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omments4.xml" ContentType="application/vnd.openxmlformats-officedocument.spreadsheetml.comments+xml"/>
  <Override PartName="/xl/drawings/drawing1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0.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1.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2.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3.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4.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5.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6.xml" ContentType="application/vnd.openxmlformats-officedocument.themeOverride+xml"/>
  <Override PartName="/xl/drawings/drawing1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3.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bitsom-my.sharepoint.com/personal/vedang_poddar2026_bitsom_edu_in/Documents/Master/TresVista/"/>
    </mc:Choice>
  </mc:AlternateContent>
  <xr:revisionPtr revIDLastSave="8" documentId="8_{1F99A1AB-3311-4BE4-9008-64F1BEDD4242}" xr6:coauthVersionLast="47" xr6:coauthVersionMax="47" xr10:uidLastSave="{395C174C-8D9F-4CA5-AC3D-56B73EC46593}"/>
  <bookViews>
    <workbookView xWindow="-98" yWindow="-98" windowWidth="19396" windowHeight="11475" tabRatio="741" firstSheet="2" activeTab="3" xr2:uid="{BB8DB627-E5E3-49F1-BB39-81FC033DB740}"/>
  </bookViews>
  <sheets>
    <sheet name="Questions" sheetId="81" r:id="rId1"/>
    <sheet name="Assumptions" sheetId="33" r:id="rId2"/>
    <sheet name="Segments" sheetId="72" r:id="rId3"/>
    <sheet name="DCF" sheetId="18" r:id="rId4"/>
    <sheet name="Financials" sheetId="70" r:id="rId5"/>
    <sheet name="Debt" sheetId="51" r:id="rId6"/>
    <sheet name="Consensus Summary" sheetId="20" r:id="rId7"/>
    <sheet name="GPU" sheetId="76" state="hidden" r:id="rId8"/>
    <sheet name="Market Share" sheetId="73" r:id="rId9"/>
    <sheet name="Charts" sheetId="30" state="hidden" r:id="rId10"/>
    <sheet name="Peer Analysis" sheetId="17" r:id="rId11"/>
    <sheet name="Chart EV-EBITDA" sheetId="22" r:id="rId12"/>
    <sheet name="WACC Calculation" sheetId="19" r:id="rId13"/>
    <sheet name="Primer" sheetId="75" r:id="rId14"/>
    <sheet name="Historical EBITDA Est" sheetId="67" state="hidden" r:id="rId15"/>
    <sheet name="Forward EV-EBITDA" sheetId="21" r:id="rId16"/>
    <sheet name="Peers Stock History" sheetId="77" r:id="rId17"/>
    <sheet name="Indexed" sheetId="78" r:id="rId18"/>
    <sheet name="TSR List" sheetId="79" r:id="rId19"/>
    <sheet name="TSR decomposition" sheetId="80" r:id="rId20"/>
    <sheet name="FX" sheetId="66" state="hidden" r:id="rId21"/>
    <sheet name="To Dos" sheetId="40" state="hidden" r:id="rId22"/>
    <sheet name="Forward PE" sheetId="23" state="hidden" r:id="rId23"/>
    <sheet name="Chart Forward PE" sheetId="24" state="hidden" r:id="rId24"/>
    <sheet name="Forward EV Revenue" sheetId="25" state="hidden" r:id="rId25"/>
    <sheet name="Chart EV Revenue" sheetId="26"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_123Graph_A" localSheetId="6" hidden="1">[1]P!#REF!</definedName>
    <definedName name="__123Graph_A" localSheetId="3" hidden="1">[1]P!#REF!</definedName>
    <definedName name="__123Graph_A" localSheetId="5" hidden="1">[2]PRICE_W!#REF!</definedName>
    <definedName name="__123Graph_A" localSheetId="10" hidden="1">[1]P!#REF!</definedName>
    <definedName name="__123Graph_A" localSheetId="16" hidden="1">[1]P!#REF!</definedName>
    <definedName name="__123Graph_A" localSheetId="19" hidden="1">[1]P!#REF!</definedName>
    <definedName name="__123Graph_A" localSheetId="18" hidden="1">[1]P!#REF!</definedName>
    <definedName name="__123Graph_A" hidden="1">[2]PRICE_W!#REF!</definedName>
    <definedName name="__123Graph_AChart1" localSheetId="6" hidden="1">[1]P!#REF!</definedName>
    <definedName name="__123Graph_AChart1" localSheetId="3" hidden="1">[1]P!#REF!</definedName>
    <definedName name="__123Graph_AChart1" localSheetId="10" hidden="1">[1]P!#REF!</definedName>
    <definedName name="__123Graph_AChart1" localSheetId="16" hidden="1">[1]P!#REF!</definedName>
    <definedName name="__123Graph_AChart1" localSheetId="19" hidden="1">[1]P!#REF!</definedName>
    <definedName name="__123Graph_AChart1" localSheetId="18" hidden="1">[1]P!#REF!</definedName>
    <definedName name="__123Graph_AChart1" hidden="1">[1]P!#REF!</definedName>
    <definedName name="__123Graph_ACurrent" localSheetId="6" hidden="1">[1]P!#REF!</definedName>
    <definedName name="__123Graph_ACurrent" localSheetId="3" hidden="1">[1]P!#REF!</definedName>
    <definedName name="__123Graph_ACurrent" localSheetId="10" hidden="1">[1]P!#REF!</definedName>
    <definedName name="__123Graph_ACurrent" localSheetId="19" hidden="1">[1]P!#REF!</definedName>
    <definedName name="__123Graph_ACurrent" localSheetId="18" hidden="1">[1]P!#REF!</definedName>
    <definedName name="__123Graph_ACurrent" hidden="1">[1]P!#REF!</definedName>
    <definedName name="__123Graph_B" localSheetId="6" hidden="1">[3]XOM!#REF!</definedName>
    <definedName name="__123Graph_B" localSheetId="3" hidden="1">[3]XOM!#REF!</definedName>
    <definedName name="__123Graph_B" localSheetId="10" hidden="1">[3]XOM!#REF!</definedName>
    <definedName name="__123Graph_B" hidden="1">[3]XOM!#REF!</definedName>
    <definedName name="__123Graph_X" localSheetId="6" hidden="1">[4]P!$R$29:$AK$29</definedName>
    <definedName name="__123Graph_X" localSheetId="3" hidden="1">[4]P!$R$29:$AK$29</definedName>
    <definedName name="__123Graph_X" localSheetId="5" hidden="1">[2]PRICE_W!#REF!</definedName>
    <definedName name="__123Graph_X" localSheetId="10" hidden="1">[4]P!$R$29:$AK$29</definedName>
    <definedName name="__123Graph_X" hidden="1">[2]PRICE_W!#REF!</definedName>
    <definedName name="__123Graph_XChart1" hidden="1">[4]P!$R$29:$AK$29</definedName>
    <definedName name="__123Graph_XCurrent" hidden="1">[4]P!$R$29:$AK$29</definedName>
    <definedName name="__a1" localSheetId="6" hidden="1">{"comp1",#N/A,FALSE,"COMPS";"footnotes",#N/A,FALSE,"COMPS"}</definedName>
    <definedName name="__a1" localSheetId="3" hidden="1">{"comp1",#N/A,FALSE,"COMPS";"footnotes",#N/A,FALSE,"COMPS"}</definedName>
    <definedName name="__a1" localSheetId="5" hidden="1">{"comp1",#N/A,FALSE,"COMPS";"footnotes",#N/A,FALSE,"COMPS"}</definedName>
    <definedName name="__a1" localSheetId="10" hidden="1">{"comp1",#N/A,FALSE,"COMPS";"footnotes",#N/A,FALSE,"COMPS"}</definedName>
    <definedName name="__a1" localSheetId="16" hidden="1">{"comp1",#N/A,FALSE,"COMPS";"footnotes",#N/A,FALSE,"COMPS"}</definedName>
    <definedName name="__a1" localSheetId="19" hidden="1">{"comp1",#N/A,FALSE,"COMPS";"footnotes",#N/A,FALSE,"COMPS"}</definedName>
    <definedName name="__a1" localSheetId="18" hidden="1">{"comp1",#N/A,FALSE,"COMPS";"footnotes",#N/A,FALSE,"COMPS"}</definedName>
    <definedName name="__a1" hidden="1">{"comp1",#N/A,FALSE,"COMPS";"footnotes",#N/A,FALSE,"COMPS"}</definedName>
    <definedName name="__aa1" localSheetId="6" hidden="1">{#N/A,#N/A,TRUE,"Pro Forma";#N/A,#N/A,TRUE,"PF_Bal";#N/A,#N/A,TRUE,"PF_INC";#N/A,#N/A,TRUE,"CBE";#N/A,#N/A,TRUE,"SWK"}</definedName>
    <definedName name="__aa1" localSheetId="3" hidden="1">{#N/A,#N/A,TRUE,"Pro Forma";#N/A,#N/A,TRUE,"PF_Bal";#N/A,#N/A,TRUE,"PF_INC";#N/A,#N/A,TRUE,"CBE";#N/A,#N/A,TRUE,"SWK"}</definedName>
    <definedName name="__aa1" localSheetId="5" hidden="1">{#N/A,#N/A,TRUE,"Pro Forma";#N/A,#N/A,TRUE,"PF_Bal";#N/A,#N/A,TRUE,"PF_INC";#N/A,#N/A,TRUE,"CBE";#N/A,#N/A,TRUE,"SWK"}</definedName>
    <definedName name="__aa1" localSheetId="10" hidden="1">{#N/A,#N/A,TRUE,"Pro Forma";#N/A,#N/A,TRUE,"PF_Bal";#N/A,#N/A,TRUE,"PF_INC";#N/A,#N/A,TRUE,"CBE";#N/A,#N/A,TRUE,"SWK"}</definedName>
    <definedName name="__aa1" localSheetId="16" hidden="1">{#N/A,#N/A,TRUE,"Pro Forma";#N/A,#N/A,TRUE,"PF_Bal";#N/A,#N/A,TRUE,"PF_INC";#N/A,#N/A,TRUE,"CBE";#N/A,#N/A,TRUE,"SWK"}</definedName>
    <definedName name="__aa1" localSheetId="19" hidden="1">{#N/A,#N/A,TRUE,"Pro Forma";#N/A,#N/A,TRUE,"PF_Bal";#N/A,#N/A,TRUE,"PF_INC";#N/A,#N/A,TRUE,"CBE";#N/A,#N/A,TRUE,"SWK"}</definedName>
    <definedName name="__aa1" localSheetId="18" hidden="1">{#N/A,#N/A,TRUE,"Pro Forma";#N/A,#N/A,TRUE,"PF_Bal";#N/A,#N/A,TRUE,"PF_INC";#N/A,#N/A,TRUE,"CBE";#N/A,#N/A,TRUE,"SWK"}</definedName>
    <definedName name="__aa1" hidden="1">{#N/A,#N/A,TRUE,"Pro Forma";#N/A,#N/A,TRUE,"PF_Bal";#N/A,#N/A,TRUE,"PF_INC";#N/A,#N/A,TRUE,"CBE";#N/A,#N/A,TRUE,"SWK"}</definedName>
    <definedName name="__ab1" localSheetId="6" hidden="1">{"comp1",#N/A,FALSE,"COMPS";"footnotes",#N/A,FALSE,"COMPS"}</definedName>
    <definedName name="__ab1" localSheetId="3" hidden="1">{"comp1",#N/A,FALSE,"COMPS";"footnotes",#N/A,FALSE,"COMPS"}</definedName>
    <definedName name="__ab1" localSheetId="5" hidden="1">{"comp1",#N/A,FALSE,"COMPS";"footnotes",#N/A,FALSE,"COMPS"}</definedName>
    <definedName name="__ab1" localSheetId="10" hidden="1">{"comp1",#N/A,FALSE,"COMPS";"footnotes",#N/A,FALSE,"COMPS"}</definedName>
    <definedName name="__ab1" localSheetId="16" hidden="1">{"comp1",#N/A,FALSE,"COMPS";"footnotes",#N/A,FALSE,"COMPS"}</definedName>
    <definedName name="__ab1" localSheetId="19" hidden="1">{"comp1",#N/A,FALSE,"COMPS";"footnotes",#N/A,FALSE,"COMPS"}</definedName>
    <definedName name="__ab1" localSheetId="18" hidden="1">{"comp1",#N/A,FALSE,"COMPS";"footnotes",#N/A,FALSE,"COMPS"}</definedName>
    <definedName name="__ab1" hidden="1">{"comp1",#N/A,FALSE,"COMPS";"footnotes",#N/A,FALSE,"COMPS"}</definedName>
    <definedName name="__ae1" localSheetId="6" hidden="1">{#N/A,#N/A,FALSE,"Calc";#N/A,#N/A,FALSE,"Sensitivity";#N/A,#N/A,FALSE,"LT Earn.Dil.";#N/A,#N/A,FALSE,"Dil. AVP"}</definedName>
    <definedName name="__ae1" localSheetId="3" hidden="1">{#N/A,#N/A,FALSE,"Calc";#N/A,#N/A,FALSE,"Sensitivity";#N/A,#N/A,FALSE,"LT Earn.Dil.";#N/A,#N/A,FALSE,"Dil. AVP"}</definedName>
    <definedName name="__ae1" localSheetId="5" hidden="1">{#N/A,#N/A,FALSE,"Calc";#N/A,#N/A,FALSE,"Sensitivity";#N/A,#N/A,FALSE,"LT Earn.Dil.";#N/A,#N/A,FALSE,"Dil. AVP"}</definedName>
    <definedName name="__ae1" localSheetId="10" hidden="1">{#N/A,#N/A,FALSE,"Calc";#N/A,#N/A,FALSE,"Sensitivity";#N/A,#N/A,FALSE,"LT Earn.Dil.";#N/A,#N/A,FALSE,"Dil. AVP"}</definedName>
    <definedName name="__ae1" localSheetId="16" hidden="1">{#N/A,#N/A,FALSE,"Calc";#N/A,#N/A,FALSE,"Sensitivity";#N/A,#N/A,FALSE,"LT Earn.Dil.";#N/A,#N/A,FALSE,"Dil. AVP"}</definedName>
    <definedName name="__ae1" localSheetId="19" hidden="1">{#N/A,#N/A,FALSE,"Calc";#N/A,#N/A,FALSE,"Sensitivity";#N/A,#N/A,FALSE,"LT Earn.Dil.";#N/A,#N/A,FALSE,"Dil. AVP"}</definedName>
    <definedName name="__ae1" localSheetId="18" hidden="1">{#N/A,#N/A,FALSE,"Calc";#N/A,#N/A,FALSE,"Sensitivity";#N/A,#N/A,FALSE,"LT Earn.Dil.";#N/A,#N/A,FALSE,"Dil. AVP"}</definedName>
    <definedName name="__ae1" hidden="1">{#N/A,#N/A,FALSE,"Calc";#N/A,#N/A,FALSE,"Sensitivity";#N/A,#N/A,FALSE,"LT Earn.Dil.";#N/A,#N/A,FALSE,"Dil. AVP"}</definedName>
    <definedName name="__am1" localSheetId="6" hidden="1">{#N/A,#N/A,TRUE,"Pro Forma";#N/A,#N/A,TRUE,"PF_Bal";#N/A,#N/A,TRUE,"PF_INC";#N/A,#N/A,TRUE,"CBE";#N/A,#N/A,TRUE,"SWK"}</definedName>
    <definedName name="__am1" localSheetId="3" hidden="1">{#N/A,#N/A,TRUE,"Pro Forma";#N/A,#N/A,TRUE,"PF_Bal";#N/A,#N/A,TRUE,"PF_INC";#N/A,#N/A,TRUE,"CBE";#N/A,#N/A,TRUE,"SWK"}</definedName>
    <definedName name="__am1" localSheetId="5" hidden="1">{#N/A,#N/A,TRUE,"Pro Forma";#N/A,#N/A,TRUE,"PF_Bal";#N/A,#N/A,TRUE,"PF_INC";#N/A,#N/A,TRUE,"CBE";#N/A,#N/A,TRUE,"SWK"}</definedName>
    <definedName name="__am1" localSheetId="10" hidden="1">{#N/A,#N/A,TRUE,"Pro Forma";#N/A,#N/A,TRUE,"PF_Bal";#N/A,#N/A,TRUE,"PF_INC";#N/A,#N/A,TRUE,"CBE";#N/A,#N/A,TRUE,"SWK"}</definedName>
    <definedName name="__am1" localSheetId="16" hidden="1">{#N/A,#N/A,TRUE,"Pro Forma";#N/A,#N/A,TRUE,"PF_Bal";#N/A,#N/A,TRUE,"PF_INC";#N/A,#N/A,TRUE,"CBE";#N/A,#N/A,TRUE,"SWK"}</definedName>
    <definedName name="__am1" localSheetId="19" hidden="1">{#N/A,#N/A,TRUE,"Pro Forma";#N/A,#N/A,TRUE,"PF_Bal";#N/A,#N/A,TRUE,"PF_INC";#N/A,#N/A,TRUE,"CBE";#N/A,#N/A,TRUE,"SWK"}</definedName>
    <definedName name="__am1" localSheetId="18" hidden="1">{#N/A,#N/A,TRUE,"Pro Forma";#N/A,#N/A,TRUE,"PF_Bal";#N/A,#N/A,TRUE,"PF_INC";#N/A,#N/A,TRUE,"CBE";#N/A,#N/A,TRUE,"SWK"}</definedName>
    <definedName name="__am1" hidden="1">{#N/A,#N/A,TRUE,"Pro Forma";#N/A,#N/A,TRUE,"PF_Bal";#N/A,#N/A,TRUE,"PF_INC";#N/A,#N/A,TRUE,"CBE";#N/A,#N/A,TRUE,"SWK"}</definedName>
    <definedName name="__as1" localSheetId="6" hidden="1">{"comp1",#N/A,FALSE,"COMPS";"footnotes",#N/A,FALSE,"COMPS"}</definedName>
    <definedName name="__as1" localSheetId="3" hidden="1">{"comp1",#N/A,FALSE,"COMPS";"footnotes",#N/A,FALSE,"COMPS"}</definedName>
    <definedName name="__as1" localSheetId="5" hidden="1">{"comp1",#N/A,FALSE,"COMPS";"footnotes",#N/A,FALSE,"COMPS"}</definedName>
    <definedName name="__as1" localSheetId="10" hidden="1">{"comp1",#N/A,FALSE,"COMPS";"footnotes",#N/A,FALSE,"COMPS"}</definedName>
    <definedName name="__as1" localSheetId="16" hidden="1">{"comp1",#N/A,FALSE,"COMPS";"footnotes",#N/A,FALSE,"COMPS"}</definedName>
    <definedName name="__as1" localSheetId="19" hidden="1">{"comp1",#N/A,FALSE,"COMPS";"footnotes",#N/A,FALSE,"COMPS"}</definedName>
    <definedName name="__as1" localSheetId="18" hidden="1">{"comp1",#N/A,FALSE,"COMPS";"footnotes",#N/A,FALSE,"COMPS"}</definedName>
    <definedName name="__as1" hidden="1">{"comp1",#N/A,FALSE,"COMPS";"footnotes",#N/A,FALSE,"COMPS"}</definedName>
    <definedName name="__f1" localSheetId="6" hidden="1">{"assumption cash",#N/A,TRUE,"Merger";"has gets cash",#N/A,TRUE,"Merger";"accretion dilution",#N/A,TRUE,"Merger";"comparison credit stats",#N/A,TRUE,"Merger";"pf credit stats",#N/A,TRUE,"Merger";"pf sheets",#N/A,TRUE,"Merger"}</definedName>
    <definedName name="__f1" localSheetId="3" hidden="1">{"assumption cash",#N/A,TRUE,"Merger";"has gets cash",#N/A,TRUE,"Merger";"accretion dilution",#N/A,TRUE,"Merger";"comparison credit stats",#N/A,TRUE,"Merger";"pf credit stats",#N/A,TRUE,"Merger";"pf sheets",#N/A,TRUE,"Merger"}</definedName>
    <definedName name="__f1" localSheetId="5" hidden="1">{"assumption cash",#N/A,TRUE,"Merger";"has gets cash",#N/A,TRUE,"Merger";"accretion dilution",#N/A,TRUE,"Merger";"comparison credit stats",#N/A,TRUE,"Merger";"pf credit stats",#N/A,TRUE,"Merger";"pf sheets",#N/A,TRUE,"Merger"}</definedName>
    <definedName name="__f1" localSheetId="10" hidden="1">{"assumption cash",#N/A,TRUE,"Merger";"has gets cash",#N/A,TRUE,"Merger";"accretion dilution",#N/A,TRUE,"Merger";"comparison credit stats",#N/A,TRUE,"Merger";"pf credit stats",#N/A,TRUE,"Merger";"pf sheets",#N/A,TRUE,"Merger"}</definedName>
    <definedName name="__f1" localSheetId="16" hidden="1">{"assumption cash",#N/A,TRUE,"Merger";"has gets cash",#N/A,TRUE,"Merger";"accretion dilution",#N/A,TRUE,"Merger";"comparison credit stats",#N/A,TRUE,"Merger";"pf credit stats",#N/A,TRUE,"Merger";"pf sheets",#N/A,TRUE,"Merger"}</definedName>
    <definedName name="__f1" localSheetId="19" hidden="1">{"assumption cash",#N/A,TRUE,"Merger";"has gets cash",#N/A,TRUE,"Merger";"accretion dilution",#N/A,TRUE,"Merger";"comparison credit stats",#N/A,TRUE,"Merger";"pf credit stats",#N/A,TRUE,"Merger";"pf sheets",#N/A,TRUE,"Merger"}</definedName>
    <definedName name="__f1" localSheetId="18" hidden="1">{"assumption cash",#N/A,TRUE,"Merger";"has gets cash",#N/A,TRUE,"Merger";"accretion dilution",#N/A,TRUE,"Merger";"comparison credit stats",#N/A,TRUE,"Merger";"pf credit stats",#N/A,TRUE,"Merger";"pf sheets",#N/A,TRUE,"Merger"}</definedName>
    <definedName name="__f1" hidden="1">{"assumption cash",#N/A,TRUE,"Merger";"has gets cash",#N/A,TRUE,"Merger";"accretion dilution",#N/A,TRUE,"Merger";"comparison credit stats",#N/A,TRUE,"Merger";"pf credit stats",#N/A,TRUE,"Merger";"pf sheets",#N/A,TRUE,"Merger"}</definedName>
    <definedName name="__FDS_HYPERLINK_TOGGLE_STATE__" hidden="1">"ON"</definedName>
    <definedName name="__FDS_UNIQUE_RANGE_ID_GENERATOR_COUNTER" localSheetId="6" hidden="1">1</definedName>
    <definedName name="__FDS_UNIQUE_RANGE_ID_GENERATOR_COUNTER" localSheetId="3" hidden="1">1</definedName>
    <definedName name="__FDS_UNIQUE_RANGE_ID_GENERATOR_COUNTER" localSheetId="10" hidden="1">1</definedName>
    <definedName name="__FDS_UNIQUE_RANGE_ID_GENERATOR_COUNTER" hidden="1">416</definedName>
    <definedName name="__FDS_USED_FOR_REUSING_RANGE_IDS_RECYCLE" localSheetId="5"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16"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19"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localSheetId="18"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FDS_USED_FOR_REUSING_RANGE_IDS_RECYCLE" hidden="1">{199,199,199,199,199,199,199,199,199,199,199,199,199,199,199,199,199,199,199,199,199,199,199,199,199,199,199,199,199,199,199,199,199,199,199,199,199,199,199,199,199,199,199,199,199,199,199,200,201,202,203,204,205,206,207,208,209,210,139,141,142,143,145,146,147,148,149,150,151,153,154,155,156,158,159,160,162,163,579,584,585,586,140,144,152,157,161,164,587,383,234,383,236,239,578,156,157,158,324,325,326,327,328,329,330,331,332,333,334,154,155,314,315,316,317,318,319,320,321,322,323,286,287,288,294,295,296,297,298,299,300,301,302,303,304,305,306,307,308,309,310,311,312,313,351,352,353,354,355,356,357,358,359,360,285,340,341,342,343,344,345,346,347,348,349,350,361,362,363,364,365,366,367,368,369,370,371,372,373,375,377,378,379,380,381,382,384,385,386,335,336,337,338,339,391,392,393,387,388,389,390}</definedName>
    <definedName name="__ik1" localSheetId="6" hidden="1">{"casespecific",#N/A,FALSE,"Assumptions"}</definedName>
    <definedName name="__ik1" localSheetId="3" hidden="1">{"casespecific",#N/A,FALSE,"Assumptions"}</definedName>
    <definedName name="__ik1" localSheetId="5" hidden="1">{"casespecific",#N/A,FALSE,"Assumptions"}</definedName>
    <definedName name="__ik1" localSheetId="10" hidden="1">{"casespecific",#N/A,FALSE,"Assumptions"}</definedName>
    <definedName name="__ik1" localSheetId="16" hidden="1">{"casespecific",#N/A,FALSE,"Assumptions"}</definedName>
    <definedName name="__ik1" localSheetId="19" hidden="1">{"casespecific",#N/A,FALSE,"Assumptions"}</definedName>
    <definedName name="__ik1" localSheetId="18" hidden="1">{"casespecific",#N/A,FALSE,"Assumptions"}</definedName>
    <definedName name="__ik1" hidden="1">{"casespecific",#N/A,FALSE,"Assumptions"}</definedName>
    <definedName name="__xlfn.RTD" hidden="1">#NAME?</definedName>
    <definedName name="_1__123Graph_AADV_GDP" hidden="1">[5]ADVOL!$C$97:$C$128</definedName>
    <definedName name="_1__123Graph_ACHART_1" localSheetId="6" hidden="1">'[6]Edge 10797 Drilling Inventory'!#REF!</definedName>
    <definedName name="_1__123Graph_ACHART_1" localSheetId="3" hidden="1">'[6]Edge 10797 Drilling Inventory'!#REF!</definedName>
    <definedName name="_1__123Graph_ACHART_1" localSheetId="5" hidden="1">'[6]Edge 10797 Drilling Inventory'!#REF!</definedName>
    <definedName name="_1__123Graph_ACHART_1" localSheetId="19" hidden="1">'[6]Edge 10797 Drilling Inventory'!#REF!</definedName>
    <definedName name="_1__123Graph_ACHART_1" localSheetId="18" hidden="1">'[6]Edge 10797 Drilling Inventory'!#REF!</definedName>
    <definedName name="_1__123Graph_ACHART_1" hidden="1">'[6]Edge 10797 Drilling Inventory'!#REF!</definedName>
    <definedName name="_1__FDSAUDITLINK__" localSheetId="5"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16"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19"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localSheetId="18"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__FDSAUDITLINK__" hidden="1">{"fdsup://IBCentral/FAT Viewer?action=UPDATE&amp;creator=factset&amp;DOC_NAME=fat:reuters_annual_source_window.fat&amp;display_string=Audit&amp;DYN_ARGS=TRUE&amp;VAR:ID1=B058TZ&amp;VAR:RCODE=EBITDA&amp;VAR:SDATE=20071299&amp;VAR:FREQ=Y&amp;VAR:RELITEM=RP&amp;VAR:CURRENCY=&amp;VAR:CURRSOURCE=EXSHARE&amp;V","AR:NATFREQ=ANNUAL&amp;VAR:RFIELD=FINALIZED&amp;VAR:DB_TYPE=&amp;VAR:UNITS=M&amp;window=popup&amp;width=450&amp;height=300&amp;START_MAXIMIZED=FALSE"}</definedName>
    <definedName name="_10__123Graph_BADV_GDPR" hidden="1">[5]ADVOL!$A$97:$A$132</definedName>
    <definedName name="_10__123Graph_LBL_ACHART_3" localSheetId="6" hidden="1">'[6]Edge 10797 Drilling Inventory'!#REF!</definedName>
    <definedName name="_10__123Graph_LBL_ACHART_3" localSheetId="3" hidden="1">'[6]Edge 10797 Drilling Inventory'!#REF!</definedName>
    <definedName name="_10__123Graph_LBL_ACHART_3" localSheetId="5" hidden="1">'[6]Edge 10797 Drilling Inventory'!#REF!</definedName>
    <definedName name="_10__123Graph_LBL_ACHART_3" localSheetId="19" hidden="1">'[6]Edge 10797 Drilling Inventory'!#REF!</definedName>
    <definedName name="_10__123Graph_LBL_ACHART_3" localSheetId="18" hidden="1">'[6]Edge 10797 Drilling Inventory'!#REF!</definedName>
    <definedName name="_10__123Graph_LBL_ACHART_3" hidden="1">'[6]Edge 10797 Drilling Inventory'!#REF!</definedName>
    <definedName name="_10__FDSAUDITLINK__" localSheetId="5"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16"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19"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localSheetId="18"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00__FDSAUDITLINK__" localSheetId="6"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3"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5"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0__FDSAUDITLINK__" localSheetId="10"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16"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19"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localSheetId="18" hidden="1">{"fdsup://directions/FAT Viewer?action=UPDATE&amp;creator=factset&amp;DYN_ARGS=TRUE&amp;DOC_NAME=FAT:FQL_AUDITING_CLIENT_TEMPLATE.FAT&amp;display_string=Audit&amp;VAR:KEY=PSDGZOPMZI&amp;VAR:QUERY=RkZfREVCVChRVFIsMCk=&amp;WINDOW=FIRST_POPUP&amp;HEIGHT=450&amp;WIDTH=450&amp;START_MAXIMIZED=FALSE&amp;VA","R:CALENDAR=FIVEDAY&amp;VAR:SYMBOL=ALXN&amp;VAR:INDEX=0"}</definedName>
    <definedName name="_100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1__FDSAUDITLINK__" localSheetId="6"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3"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5"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1__FDSAUDITLINK__" localSheetId="10"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16"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19"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localSheetId="18" hidden="1">{"fdsup://Directions/FactSet Auditing Viewer?action=AUDIT_VALUE&amp;DB=129&amp;ID1=03116210&amp;VALUEID=02001&amp;SDATE=201102&amp;PERIODTYPE=QTR_STD&amp;SCFT=3&amp;window=popup_no_bar&amp;width=385&amp;height=120&amp;START_MAXIMIZED=FALSE&amp;creator=factset&amp;display_string=Audit"}</definedName>
    <definedName name="_101__FDSAUDITLINK__" hidden="1">{"fdsup://IBCentral/FAT Viewer?action=UPDATE&amp;creator=factset&amp;DOC_NAME=fat:reuters_annual_source_window.fat&amp;display_string=Audit&amp;DYN_ARGS=TRUE&amp;VAR:ID1=19401410&amp;VAR:RCODE=EBITDA&amp;VAR:SDATE=20071299&amp;VAR:FREQ=Y&amp;VAR:RELITEM=RP&amp;VAR:CURRENCY=&amp;VAR:CURRSOURCE=EXSHARE","&amp;VAR:NATFREQ=ANNUAL&amp;VAR:RFIELD=FINALIZED&amp;VAR:DB_TYPE=&amp;VAR:UNITS=M&amp;window=popup&amp;width=450&amp;height=300&amp;START_MAXIMIZED=FALSE"}</definedName>
    <definedName name="_102__FDSAUDITLINK__" localSheetId="6"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3"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5"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2__FDSAUDITLINK__" localSheetId="10"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16"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19"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localSheetId="18" hidden="1">{"fdsup://directions/FAT Viewer?action=UPDATE&amp;creator=factset&amp;DYN_ARGS=TRUE&amp;DOC_NAME=FAT:FQL_AUDITING_CLIENT_TEMPLATE.FAT&amp;display_string=Audit&amp;VAR:KEY=VSXYLYBGBQ&amp;VAR:QUERY=RkZfREVCVChRVFIsMCk=&amp;WINDOW=FIRST_POPUP&amp;HEIGHT=450&amp;WIDTH=450&amp;START_MAXIMIZED=FALSE&amp;VA","R:CALENDAR=FIVEDAY&amp;VAR:SYMBOL=AMGN&amp;VAR:INDEX=0"}</definedName>
    <definedName name="_102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03__FDSAUDITLINK__" localSheetId="6"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3"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3__FDSAUDITLINK__" localSheetId="10"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16"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19"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localSheetId="18" hidden="1">{"fdsup://Directions/FactSet Auditing Viewer?action=AUDIT_VALUE&amp;DB=129&amp;ID1=09062X10&amp;VALUEID=02001&amp;SDATE=201102&amp;PERIODTYPE=QTR_STD&amp;SCFT=3&amp;window=popup_no_bar&amp;width=385&amp;height=120&amp;START_MAXIMIZED=FALSE&amp;creator=factset&amp;display_string=Audit"}</definedName>
    <definedName name="_103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104__FDSAUDITLINK__" localSheetId="6"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3"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5"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4__FDSAUDITLINK__" localSheetId="10"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16"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19"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localSheetId="18" hidden="1">{"fdsup://directions/FAT Viewer?action=UPDATE&amp;creator=factset&amp;DYN_ARGS=TRUE&amp;DOC_NAME=FAT:FQL_AUDITING_CLIENT_TEMPLATE.FAT&amp;display_string=Audit&amp;VAR:KEY=VMDCDAZUDU&amp;VAR:QUERY=RkZfREVCVChRVFIsMCk=&amp;WINDOW=FIRST_POPUP&amp;HEIGHT=450&amp;WIDTH=450&amp;START_MAXIMIZED=FALSE&amp;VA","R:CALENDAR=FIVEDAY&amp;VAR:SYMBOL=BIIB&amp;VAR:INDEX=0"}</definedName>
    <definedName name="_104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105__FDSAUDITLINK__" localSheetId="6"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3"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5"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5__FDSAUDITLINK__" localSheetId="10"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16"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19"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localSheetId="18" hidden="1">{"fdsup://Directions/FactSet Auditing Viewer?action=AUDIT_VALUE&amp;DB=129&amp;ID1=15102010&amp;VALUEID=02001&amp;SDATE=201102&amp;PERIODTYPE=QTR_STD&amp;SCFT=3&amp;window=popup_no_bar&amp;width=385&amp;height=120&amp;START_MAXIMIZED=FALSE&amp;creator=factset&amp;display_string=Audit"}</definedName>
    <definedName name="_105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106__FDSAUDITLINK__" localSheetId="6"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3"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5"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6__FDSAUDITLINK__" localSheetId="10"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16"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19"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localSheetId="18" hidden="1">{"fdsup://directions/FAT Viewer?action=UPDATE&amp;creator=factset&amp;DYN_ARGS=TRUE&amp;DOC_NAME=FAT:FQL_AUDITING_CLIENT_TEMPLATE.FAT&amp;display_string=Audit&amp;VAR:KEY=PAZYDCHIJW&amp;VAR:QUERY=RkZfREVCVChRVFIsMCk=&amp;WINDOW=FIRST_POPUP&amp;HEIGHT=450&amp;WIDTH=450&amp;START_MAXIMIZED=FALSE&amp;VA","R:CALENDAR=FIVEDAY&amp;VAR:SYMBOL=CELG&amp;VAR:INDEX=0"}</definedName>
    <definedName name="_106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107__FDSAUDITLINK__" localSheetId="6"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3"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5"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7__FDSAUDITLINK__" localSheetId="10"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16"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19"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localSheetId="18" hidden="1">{"fdsup://Directions/FactSet Auditing Viewer?action=AUDIT_VALUE&amp;DB=129&amp;ID1=37555810&amp;VALUEID=02001&amp;SDATE=201102&amp;PERIODTYPE=QTR_STD&amp;SCFT=3&amp;window=popup_no_bar&amp;width=385&amp;height=120&amp;START_MAXIMIZED=FALSE&amp;creator=factset&amp;display_string=Audit"}</definedName>
    <definedName name="_107__FDSAUDITLINK__" hidden="1">{"fdsup://IBCentral/FAT Viewer?action=UPDATE&amp;creator=factset&amp;DOC_NAME=fat:reuters_annual_source_window.fat&amp;display_string=Audit&amp;DYN_ARGS=TRUE&amp;VAR:ID1=88320310&amp;VAR:RCODE=EBITDA&amp;VAR:SDATE=20071299&amp;VAR:FREQ=Y&amp;VAR:RELITEM=RP&amp;VAR:CURRENCY=&amp;VAR:CURRSOURCE=EXSHARE","&amp;VAR:NATFREQ=ANNUAL&amp;VAR:RFIELD=FINALIZED&amp;VAR:DB_TYPE=&amp;VAR:UNITS=M&amp;window=popup&amp;width=450&amp;height=300&amp;START_MAXIMIZED=FALSE"}</definedName>
    <definedName name="_108__FDSAUDITLINK__" localSheetId="6"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3"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5"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8__FDSAUDITLINK__" localSheetId="10"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16"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19"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localSheetId="18" hidden="1">{"fdsup://directions/FAT Viewer?action=UPDATE&amp;creator=factset&amp;DYN_ARGS=TRUE&amp;DOC_NAME=FAT:FQL_AUDITING_CLIENT_TEMPLATE.FAT&amp;display_string=Audit&amp;VAR:KEY=JEFCXSDILQ&amp;VAR:QUERY=RkZfREVCVChRVFIsMCk=&amp;WINDOW=FIRST_POPUP&amp;HEIGHT=450&amp;WIDTH=450&amp;START_MAXIMIZED=FALSE&amp;VA","R:CALENDAR=FIVEDAY&amp;VAR:SYMBOL=GILD&amp;VAR:INDEX=0"}</definedName>
    <definedName name="_108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109__FDSAUDITLINK__" localSheetId="6"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3"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5"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09__FDSAUDITLINK__" localSheetId="10"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16"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19"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localSheetId="18" hidden="1">{"fdsup://Directions/FactSet Auditing Viewer?action=AUDIT_VALUE&amp;DB=129&amp;ID1=01849010&amp;VALUEID=02001&amp;SDATE=201102&amp;PERIODTYPE=QTR_STD&amp;SCFT=3&amp;window=popup_no_bar&amp;width=385&amp;height=120&amp;START_MAXIMIZED=FALSE&amp;creator=factset&amp;display_string=Audit"}</definedName>
    <definedName name="_109__FDSAUDITLINK__" hidden="1">{"fdsup://IBCentral/FAT Viewer?action=UPDATE&amp;creator=factset&amp;DOC_NAME=fat:reuters_annual_source_window.fat&amp;display_string=Audit&amp;DYN_ARGS=TRUE&amp;VAR:ID1=21935010&amp;VAR:RCODE=EBITDA&amp;VAR:SDATE=20071299&amp;VAR:FREQ=Y&amp;VAR:RELITEM=RP&amp;VAR:CURRENCY=&amp;VAR:CURRSOURCE=EXSHARE","&amp;VAR:NATFREQ=ANNUAL&amp;VAR:RFIELD=FINALIZED&amp;VAR:DB_TYPE=&amp;VAR:UNITS=M&amp;window=popup&amp;width=450&amp;height=300&amp;START_MAXIMIZED=FALSE"}</definedName>
    <definedName name="_11__123Graph_BADV_PCE" hidden="1">[5]ADVOL!$G$170:$G$202</definedName>
    <definedName name="_11__123Graph_LBL_ACHART_4" localSheetId="6" hidden="1">'[6]Edge 10797 Drilling Inventory'!#REF!</definedName>
    <definedName name="_11__123Graph_LBL_ACHART_4" localSheetId="3" hidden="1">'[6]Edge 10797 Drilling Inventory'!#REF!</definedName>
    <definedName name="_11__123Graph_LBL_ACHART_4" localSheetId="5" hidden="1">'[6]Edge 10797 Drilling Inventory'!#REF!</definedName>
    <definedName name="_11__123Graph_LBL_ACHART_4" localSheetId="19" hidden="1">'[6]Edge 10797 Drilling Inventory'!#REF!</definedName>
    <definedName name="_11__123Graph_LBL_ACHART_4" localSheetId="18" hidden="1">'[6]Edge 10797 Drilling Inventory'!#REF!</definedName>
    <definedName name="_11__123Graph_LBL_ACHART_4" hidden="1">'[6]Edge 10797 Drilling Inventory'!#REF!</definedName>
    <definedName name="_11__FDSAUDITLINK__" localSheetId="5"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1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1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localSheetId="1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110__FDSAUDITLINK__" localSheetId="6"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3"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5"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0__FDSAUDITLINK__" localSheetId="10"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16"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19"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localSheetId="18" hidden="1">{"fdsup://directions/FAT Viewer?action=UPDATE&amp;creator=factset&amp;DYN_ARGS=TRUE&amp;DOC_NAME=FAT:FQL_AUDITING_CLIENT_TEMPLATE.FAT&amp;display_string=Audit&amp;VAR:KEY=VUZWFCLEDW&amp;VAR:QUERY=RkZfREVCVChRVFIsMCk=&amp;WINDOW=FIRST_POPUP&amp;HEIGHT=450&amp;WIDTH=450&amp;START_MAXIMIZED=FALSE&amp;VA","R:CALENDAR=FIVEDAY&amp;VAR:SYMBOL=AGN&amp;VAR:INDEX=0"}</definedName>
    <definedName name="_110__FDSAUDITLINK__" hidden="1">{"fdsup://IBCentral/FAT Viewer?action=UPDATE&amp;creator=factset&amp;DOC_NAME=fat:reuters_annual_source_window.fat&amp;display_string=Audit&amp;DYN_ARGS=TRUE&amp;VAR:ID1=17275R10&amp;VAR:RCODE=EBITDA&amp;VAR:SDATE=20070799&amp;VAR:FREQ=Y&amp;VAR:RELITEM=RP&amp;VAR:CURRENCY=&amp;VAR:CURRSOURCE=EXSHARE","&amp;VAR:NATFREQ=ANNUAL&amp;VAR:RFIELD=FINALIZED&amp;VAR:DB_TYPE=&amp;VAR:UNITS=M&amp;window=popup&amp;width=450&amp;height=300&amp;START_MAXIMIZED=FALSE"}</definedName>
    <definedName name="_111__FDSAUDITLINK__" localSheetId="6"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3"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5"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1__FDSAUDITLINK__" localSheetId="10"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16"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19"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localSheetId="18" hidden="1">{"fdsup://Directions/FactSet Auditing Viewer?action=AUDIT_VALUE&amp;DB=129&amp;ID1=15670810&amp;VALUEID=02001&amp;SDATE=201102&amp;PERIODTYPE=QTR_STD&amp;SCFT=3&amp;window=popup_no_bar&amp;width=385&amp;height=120&amp;START_MAXIMIZED=FALSE&amp;creator=factset&amp;display_string=Audit"}</definedName>
    <definedName name="_111__FDSAUDITLINK__"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112__FDSAUDITLINK__" localSheetId="6"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3"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5"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2__FDSAUDITLINK__" localSheetId="10"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16"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19"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localSheetId="18" hidden="1">{"fdsup://directions/FAT Viewer?action=UPDATE&amp;creator=factset&amp;DYN_ARGS=TRUE&amp;DOC_NAME=FAT:FQL_AUDITING_CLIENT_TEMPLATE.FAT&amp;display_string=Audit&amp;VAR:KEY=BCLCTSFIVE&amp;VAR:QUERY=RkZfREVCVChRVFIsMCk=&amp;WINDOW=FIRST_POPUP&amp;HEIGHT=450&amp;WIDTH=450&amp;START_MAXIMIZED=FALSE&amp;VA","R:CALENDAR=FIVEDAY&amp;VAR:SYMBOL=CEPH&amp;VAR:INDEX=0"}</definedName>
    <definedName name="_112__FDSAUDITLINK__" hidden="1">{"fdsup://IBCentral/FAT Viewer?action=UPDATE&amp;creator=factset&amp;DOC_NAME=fat:reuters_annual_source_window.fat&amp;display_string=Audit&amp;DYN_ARGS=TRUE&amp;VAR:ID1=48203R10&amp;VAR:RCODE=EBITDA&amp;VAR:SDATE=20071299&amp;VAR:FREQ=Y&amp;VAR:RELITEM=RP&amp;VAR:CURRENCY=&amp;VAR:CURRSOURCE=EXSHARE","&amp;VAR:NATFREQ=ANNUAL&amp;VAR:RFIELD=FINALIZED&amp;VAR:DB_TYPE=&amp;VAR:UNITS=M&amp;window=popup&amp;width=450&amp;height=300&amp;START_MAXIMIZED=FALSE"}</definedName>
    <definedName name="_113__FDSAUDITLINK__" localSheetId="6"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3"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5"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3__FDSAUDITLINK__" localSheetId="10"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16"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19"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localSheetId="18" hidden="1">{"fdsup://Directions/FactSet Auditing Viewer?action=AUDIT_VALUE&amp;DB=129&amp;ID1=29264F20&amp;VALUEID=02001&amp;SDATE=201102&amp;PERIODTYPE=QTR_STD&amp;SCFT=3&amp;window=popup_no_bar&amp;width=385&amp;height=120&amp;START_MAXIMIZED=FALSE&amp;creator=factset&amp;display_string=Audit"}</definedName>
    <definedName name="_113__FDSAUDITLINK__" hidden="1">{"fdsup://IBCentral/FAT Viewer?action=UPDATE&amp;creator=factset&amp;DOC_NAME=fat:reuters_annual_source_window.fat&amp;display_string=Audit&amp;DYN_ARGS=TRUE&amp;VAR:ID1=597500&amp;VAR:RCODE=EBITDA&amp;VAR:SDATE=20071299&amp;VAR:FREQ=Y&amp;VAR:RELITEM=RP&amp;VAR:CURRENCY=&amp;VAR:CURRSOURCE=EXSHARE&amp;V","AR:NATFREQ=ANNUAL&amp;VAR:RFIELD=FINALIZED&amp;VAR:DB_TYPE=&amp;VAR:UNITS=M&amp;window=popup&amp;width=450&amp;height=300&amp;START_MAXIMIZED=FALSE"}</definedName>
    <definedName name="_114__FDSAUDITLINK__" localSheetId="6"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3"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5"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4__FDSAUDITLINK__" localSheetId="10"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16"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19"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localSheetId="18" hidden="1">{"fdsup://directions/FAT Viewer?action=UPDATE&amp;creator=factset&amp;DYN_ARGS=TRUE&amp;DOC_NAME=FAT:FQL_AUDITING_CLIENT_TEMPLATE.FAT&amp;display_string=Audit&amp;VAR:KEY=VIDYPCHCVC&amp;VAR:QUERY=RkZfREVCVChRVFIsMCk=&amp;WINDOW=FIRST_POPUP&amp;HEIGHT=450&amp;WIDTH=450&amp;START_MAXIMIZED=FALSE&amp;VA","R:CALENDAR=FIVEDAY&amp;VAR:SYMBOL=ENDP&amp;VAR:INDEX=0"}</definedName>
    <definedName name="_114__FDSAUDITLINK__"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115__FDSAUDITLINK__" localSheetId="6"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3"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5"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5__FDSAUDITLINK__" localSheetId="10"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16"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19"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localSheetId="18" hidden="1">{"fdsup://Directions/FactSet Auditing Viewer?action=AUDIT_VALUE&amp;DB=129&amp;ID1=34583810&amp;VALUEID=02001&amp;SDATE=201101&amp;PERIODTYPE=QTR_STD&amp;SCFT=3&amp;window=popup_no_bar&amp;width=385&amp;height=120&amp;START_MAXIMIZED=FALSE&amp;creator=factset&amp;display_string=Audit"}</definedName>
    <definedName name="_115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16__FDSAUDITLINK__" localSheetId="6"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3"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5"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6__FDSAUDITLINK__" localSheetId="10"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16"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19"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localSheetId="18" hidden="1">{"fdsup://directions/FAT Viewer?action=UPDATE&amp;creator=factset&amp;DYN_ARGS=TRUE&amp;DOC_NAME=FAT:FQL_AUDITING_CLIENT_TEMPLATE.FAT&amp;display_string=Audit&amp;VAR:KEY=VSVENCJCNO&amp;VAR:QUERY=RkZfREVCVChRVFIsMCk=&amp;WINDOW=FIRST_POPUP&amp;HEIGHT=450&amp;WIDTH=450&amp;START_MAXIMIZED=FALSE&amp;VA","R:CALENDAR=FIVEDAY&amp;VAR:SYMBOL=FRX&amp;VAR:INDEX=0"}</definedName>
    <definedName name="_116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117__FDSAUDITLINK__" localSheetId="6"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3"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5"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7__FDSAUDITLINK__" localSheetId="10"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16"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19"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localSheetId="18" hidden="1">{"fdsup://Directions/FactSet Auditing Viewer?action=AUDIT_VALUE&amp;DB=129&amp;ID1=47214710&amp;VALUEID=02001&amp;SDATE=201102&amp;PERIODTYPE=QTR_STD&amp;SCFT=3&amp;window=popup_no_bar&amp;width=385&amp;height=120&amp;START_MAXIMIZED=FALSE&amp;creator=factset&amp;display_string=Audit"}</definedName>
    <definedName name="_117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18__FDSAUDITLINK__" localSheetId="6"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3"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5"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8__FDSAUDITLINK__" localSheetId="10"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16"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19"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localSheetId="18" hidden="1">{"fdsup://directions/FAT Viewer?action=UPDATE&amp;creator=factset&amp;DYN_ARGS=TRUE&amp;DOC_NAME=FAT:FQL_AUDITING_CLIENT_TEMPLATE.FAT&amp;display_string=Audit&amp;VAR:KEY=FUTILMFCBM&amp;VAR:QUERY=RkZfREVCVChRVFIsMCk=&amp;WINDOW=FIRST_POPUP&amp;HEIGHT=450&amp;WIDTH=450&amp;START_MAXIMIZED=FALSE&amp;VA","R:CALENDAR=FIVEDAY&amp;VAR:SYMBOL=JAZZ&amp;VAR:INDEX=0"}</definedName>
    <definedName name="_118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19__FDSAUDITLINK__" localSheetId="6"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3"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5"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19__FDSAUDITLINK__" localSheetId="10"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16"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19"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localSheetId="18" hidden="1">{"fdsup://Directions/FactSet Auditing Viewer?action=AUDIT_VALUE&amp;DB=129&amp;ID1=58469030&amp;VALUEID=02001&amp;SDATE=201102&amp;PERIODTYPE=QTR_STD&amp;SCFT=3&amp;window=popup_no_bar&amp;width=385&amp;height=120&amp;START_MAXIMIZED=FALSE&amp;creator=factset&amp;display_string=Audit"}</definedName>
    <definedName name="_119__FDSAUDITLINK__" hidden="1">{"fdsup://IBCentral/FAT Viewer?action=UPDATE&amp;creator=factset&amp;DOC_NAME=fat:reuters_annual_source_window.fat&amp;display_string=Audit&amp;DYN_ARGS=TRUE&amp;VAR:ID1=03110010&amp;VAR:RCODE=EBITDA&amp;VAR:SDATE=20071299&amp;VAR:FREQ=Y&amp;VAR:RELITEM=RP&amp;VAR:CURRENCY=&amp;VAR:CURRSOURCE=EXSHARE","&amp;VAR:NATFREQ=ANNUAL&amp;VAR:RFIELD=FINALIZED&amp;VAR:DB_TYPE=&amp;VAR:UNITS=M&amp;window=popup&amp;width=450&amp;height=300&amp;START_MAXIMIZED=FALSE"}</definedName>
    <definedName name="_12__123Graph_BADV_PCGD" hidden="1">[5]ADVOL!$E$170:$E$202</definedName>
    <definedName name="_12__123Graph_LBL_BCHART_1" localSheetId="6" hidden="1">'[6]Edge 10797 Drilling Inventory'!#REF!</definedName>
    <definedName name="_12__123Graph_LBL_BCHART_1" localSheetId="3" hidden="1">'[6]Edge 10797 Drilling Inventory'!#REF!</definedName>
    <definedName name="_12__123Graph_LBL_BCHART_1" localSheetId="5" hidden="1">'[6]Edge 10797 Drilling Inventory'!#REF!</definedName>
    <definedName name="_12__123Graph_LBL_BCHART_1" localSheetId="19" hidden="1">'[6]Edge 10797 Drilling Inventory'!#REF!</definedName>
    <definedName name="_12__123Graph_LBL_BCHART_1" localSheetId="18" hidden="1">'[6]Edge 10797 Drilling Inventory'!#REF!</definedName>
    <definedName name="_12__123Graph_LBL_BCHART_1" hidden="1">'[6]Edge 10797 Drilling Inventory'!#REF!</definedName>
    <definedName name="_12__FDSAUDITLINK__" localSheetId="5"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16"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19"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localSheetId="18"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__FDSAUDITLINK__" hidden="1">{"fdsup://IBCentral/FAT Viewer?action=UPDATE&amp;creator=factset&amp;DOC_NAME=fat:reuters_annual_source_window.fat&amp;display_string=Audit&amp;DYN_ARGS=TRUE&amp;VAR:ID1=03110010&amp;VAR:RCODE=EBITDA&amp;VAR:SDATE=20071299&amp;VAR:FREQ=Y&amp;VAR:RELITEM=&amp;VAR:CURRENCY=&amp;VAR:CURRSOURCE=EXSHARE&amp;V","AR:NATFREQ=ANNUAL&amp;VAR:RFIELD=FINALIZED&amp;VAR:DB_TYPE=&amp;VAR:UNITS=M&amp;window=popup&amp;width=450&amp;height=300&amp;START_MAXIMIZED=FALSE"}</definedName>
    <definedName name="_120__FDSAUDITLINK__" localSheetId="6"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3"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5"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0__FDSAUDITLINK__" localSheetId="10"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16"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19"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localSheetId="18" hidden="1">{"fdsup://directions/FAT Viewer?action=UPDATE&amp;creator=factset&amp;DYN_ARGS=TRUE&amp;DOC_NAME=FAT:FQL_AUDITING_CLIENT_TEMPLATE.FAT&amp;display_string=Audit&amp;VAR:KEY=FGNOVMBIZI&amp;VAR:QUERY=RkZfREVCVChRVFIsMCk=&amp;WINDOW=FIRST_POPUP&amp;HEIGHT=450&amp;WIDTH=450&amp;START_MAXIMIZED=FALSE&amp;VA","R:CALENDAR=FIVEDAY&amp;VAR:SYMBOL=MRX&amp;VAR:INDEX=0"}</definedName>
    <definedName name="_120__FDSAUDITLINK__"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121__FDSAUDITLINK__" localSheetId="6"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3"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5"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1__FDSAUDITLINK__" localSheetId="10"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16"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19"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localSheetId="18" hidden="1">{"fdsup://Directions/FactSet Auditing Viewer?action=AUDIT_VALUE&amp;DB=129&amp;ID1=79543510&amp;VALUEID=02001&amp;SDATE=201102&amp;PERIODTYPE=QTR_STD&amp;SCFT=3&amp;window=popup_no_bar&amp;width=385&amp;height=120&amp;START_MAXIMIZED=FALSE&amp;creator=factset&amp;display_string=Audit"}</definedName>
    <definedName name="_121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122__FDSAUDITLINK__" localSheetId="6"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3"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5"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2__FDSAUDITLINK__" localSheetId="10"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16"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19"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localSheetId="18" hidden="1">{"fdsup://directions/FAT Viewer?action=UPDATE&amp;creator=factset&amp;DYN_ARGS=TRUE&amp;DOC_NAME=FAT:FQL_AUDITING_CLIENT_TEMPLATE.FAT&amp;display_string=Audit&amp;VAR:KEY=ZUTEFOPYRO&amp;VAR:QUERY=RkZfREVCVChRVFIsMCk=&amp;WINDOW=FIRST_POPUP&amp;HEIGHT=450&amp;WIDTH=450&amp;START_MAXIMIZED=FALSE&amp;VA","R:CALENDAR=FIVEDAY&amp;VAR:SYMBOL=SLXP&amp;VAR:INDEX=0"}</definedName>
    <definedName name="_122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123__FDSAUDITLINK__" localSheetId="6"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3"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5"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3__FDSAUDITLINK__" localSheetId="10"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16"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19"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localSheetId="18" hidden="1">{"fdsup://directions/FAT Viewer?action=UPDATE&amp;creator=factset&amp;DYN_ARGS=TRUE&amp;DOC_NAME=FAT:FQL_AUDITING_CLIENT_TEMPLATE.FAT&amp;display_string=Audit&amp;VAR:KEY=PYDEHOFGDK&amp;VAR:QUERY=RkZfREVCVChRVFIsMCk=&amp;WINDOW=FIRST_POPUP&amp;HEIGHT=450&amp;WIDTH=450&amp;START_MAXIMIZED=FALSE&amp;VA","R:CALENDAR=FIVEDAY&amp;VAR:SYMBOL=VRX&amp;VAR:INDEX=0"}</definedName>
    <definedName name="_123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124__FDSAUDITLINK__" localSheetId="6"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3"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5"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4__FDSAUDITLINK__" localSheetId="10"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16"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19"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localSheetId="18" hidden="1">{"fdsup://Directions/FactSet Auditing Viewer?action=AUDIT_VALUE&amp;DB=129&amp;ID1=92824110&amp;VALUEID=02001&amp;SDATE=201102&amp;PERIODTYPE=QTR_STD&amp;SCFT=3&amp;window=popup_no_bar&amp;width=385&amp;height=120&amp;START_MAXIMIZED=FALSE&amp;creator=factset&amp;display_string=Audit"}</definedName>
    <definedName name="_124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125__FDSAUDITLINK__" localSheetId="6"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3"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5"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5__FDSAUDITLINK__" localSheetId="10"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16"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19"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localSheetId="18" hidden="1">{"fdsup://directions/FAT Viewer?action=UPDATE&amp;creator=factset&amp;DYN_ARGS=TRUE&amp;DOC_NAME=FAT:FQL_AUDITING_CLIENT_TEMPLATE.FAT&amp;display_string=Audit&amp;VAR:KEY=VYLUTCPEFG&amp;VAR:QUERY=RkZfREVCVChRVFIsMCk=&amp;WINDOW=FIRST_POPUP&amp;HEIGHT=450&amp;WIDTH=450&amp;START_MAXIMIZED=FALSE&amp;VA","R:CALENDAR=FIVEDAY&amp;VAR:SYMBOL=VPHM&amp;VAR:INDEX=0"}</definedName>
    <definedName name="_125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126__FDSAUDITLINK__" localSheetId="6"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3"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5"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6__FDSAUDITLINK__" localSheetId="10"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16"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19"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localSheetId="18" hidden="1">{"fdsup://Directions/FactSet Auditing Viewer?action=AUDIT_VALUE&amp;DB=129&amp;ID1=G9436810&amp;VALUEID=02001&amp;SDATE=201102&amp;PERIODTYPE=QTR_STD&amp;SCFT=3&amp;window=popup_no_bar&amp;width=385&amp;height=120&amp;START_MAXIMIZED=FALSE&amp;creator=factset&amp;display_string=Audit"}</definedName>
    <definedName name="_126__FDSAUDITLINK__" hidden="1">{"fdsup://IBCentral/FAT Viewer?action=UPDATE&amp;creator=factset&amp;DOC_NAME=fat:reuters_annual_source_window.fat&amp;display_string=Audit&amp;DYN_ARGS=TRUE&amp;VAR:ID1=21935010&amp;VAR:RCODE=EBITDA&amp;VAR:SDATE=20071299&amp;VAR:FREQ=Y&amp;VAR:RELITEM=&amp;VAR:CURRENCY=&amp;VAR:CURRSOURCE=EXSHARE&amp;V","AR:NATFREQ=ANNUAL&amp;VAR:RFIELD=FINALIZED&amp;VAR:DB_TYPE=&amp;VAR:UNITS=M&amp;window=popup&amp;width=450&amp;height=300&amp;START_MAXIMIZED=FALSE"}</definedName>
    <definedName name="_127__FDSAUDITLINK__" localSheetId="6"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3"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5"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7__FDSAUDITLINK__" localSheetId="10"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16"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19"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localSheetId="18" hidden="1">{"fdsup://directions/FAT Viewer?action=UPDATE&amp;creator=factset&amp;DYN_ARGS=TRUE&amp;DOC_NAME=FAT:FQL_AUDITING_CLIENT_TEMPLATE.FAT&amp;display_string=Audit&amp;VAR:KEY=VOFGXWTOLW&amp;VAR:QUERY=RkZfREVCVChRVFIsMCk=&amp;WINDOW=FIRST_POPUP&amp;HEIGHT=450&amp;WIDTH=450&amp;START_MAXIMIZED=FALSE&amp;VA","R:CALENDAR=FIVEDAY&amp;VAR:SYMBOL=WCRX&amp;VAR:INDEX=0"}</definedName>
    <definedName name="_127__FDSAUDITLINK__" hidden="1">{"fdsup://IBCentral/FAT Viewer?action=UPDATE&amp;creator=factset&amp;DOC_NAME=fat:reuters_annual_source_window.fat&amp;display_string=Audit&amp;DYN_ARGS=TRUE&amp;VAR:ID1=17275R10&amp;VAR:RCODE=EBITDA&amp;VAR:SDATE=20080799&amp;VAR:FREQ=Y&amp;VAR:RELITEM=&amp;VAR:CURRENCY=&amp;VAR:CURRSOURCE=EXSHARE&amp;V","AR:NATFREQ=ANNUAL&amp;VAR:RFIELD=FINALIZED&amp;VAR:DB_TYPE=&amp;VAR:UNITS=M&amp;window=popup&amp;width=450&amp;height=300&amp;START_MAXIMIZED=FALSE"}</definedName>
    <definedName name="_128__FDSAUDITLINK__" localSheetId="6"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3"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5"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8__FDSAUDITLINK__" localSheetId="10"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16"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19"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localSheetId="18" hidden="1">{"fdsup://Directions/FactSet Auditing Viewer?action=AUDIT_VALUE&amp;DB=129&amp;ID1=42840B10&amp;VALUEID=02001&amp;SDATE=201004&amp;PERIODTYPE=QTR_STD&amp;SCFT=3&amp;window=popup_no_bar&amp;width=385&amp;height=120&amp;START_MAXIMIZED=FALSE&amp;creator=factset&amp;display_string=Audit"}</definedName>
    <definedName name="_128__FDSAUDITLINK__" hidden="1">{"fdsup://IBCentral/FAT Viewer?action=UPDATE&amp;creator=factset&amp;DOC_NAME=fat:reuters_annual_source_window.fat&amp;display_string=Audit&amp;DYN_ARGS=TRUE&amp;VAR:ID1=597500&amp;VAR:RCODE=EBITDA&amp;VAR:SDATE=20071299&amp;VAR:FREQ=Y&amp;VAR:RELITEM=&amp;VAR:CURRENCY=&amp;VAR:CURRSOURCE=EXSHARE&amp;VAR",":NATFREQ=ANNUAL&amp;VAR:RFIELD=FINALIZED&amp;VAR:DB_TYPE=&amp;VAR:UNITS=M&amp;window=popup&amp;width=450&amp;height=300&amp;START_MAXIMIZED=FALSE"}</definedName>
    <definedName name="_129__FDSAUDITLINK__" localSheetId="6"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3"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5"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29__FDSAUDITLINK__" localSheetId="10"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16"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19"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localSheetId="18" hidden="1">{"fdsup://directions/FAT Viewer?action=UPDATE&amp;creator=factset&amp;DYN_ARGS=TRUE&amp;DOC_NAME=FAT:FQL_AUDITING_CLIENT_TEMPLATE.FAT&amp;display_string=Audit&amp;VAR:KEY=HQPMJKLSBE&amp;VAR:QUERY=RkZfREVCVChRVFIsMCk=&amp;WINDOW=FIRST_POPUP&amp;HEIGHT=450&amp;WIDTH=450&amp;START_MAXIMIZED=FALSE&amp;VA","R:CALENDAR=FIVEDAY&amp;VAR:SYMBOL=HITK&amp;VAR:INDEX=0"}</definedName>
    <definedName name="_129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13__123Graph_BMAG_PCE" hidden="1">[5]ADVOL!$A$171:$A$204</definedName>
    <definedName name="_13__123Graph_LBL_BCHART_2" localSheetId="6" hidden="1">'[6]Edge 10797 Drilling Inventory'!#REF!</definedName>
    <definedName name="_13__123Graph_LBL_BCHART_2" localSheetId="3" hidden="1">'[6]Edge 10797 Drilling Inventory'!#REF!</definedName>
    <definedName name="_13__123Graph_LBL_BCHART_2" localSheetId="5" hidden="1">'[6]Edge 10797 Drilling Inventory'!#REF!</definedName>
    <definedName name="_13__123Graph_LBL_BCHART_2" localSheetId="19" hidden="1">'[6]Edge 10797 Drilling Inventory'!#REF!</definedName>
    <definedName name="_13__123Graph_LBL_BCHART_2" localSheetId="18" hidden="1">'[6]Edge 10797 Drilling Inventory'!#REF!</definedName>
    <definedName name="_13__123Graph_LBL_BCHART_2" hidden="1">'[6]Edge 10797 Drilling Inventory'!#REF!</definedName>
    <definedName name="_13__FDSAUDITLINK__" localSheetId="5"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1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19"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localSheetId="18"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30__FDSAUDITLINK__" localSheetId="6"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3"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5"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0__FDSAUDITLINK__" localSheetId="10"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16"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19"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localSheetId="18" hidden="1">{"fdsup://Directions/FactSet Auditing Viewer?action=AUDIT_VALUE&amp;DB=129&amp;ID1=44106010&amp;VALUEID=02001&amp;SDATE=201102&amp;PERIODTYPE=QTR_STD&amp;SCFT=3&amp;window=popup_no_bar&amp;width=385&amp;height=120&amp;START_MAXIMIZED=FALSE&amp;creator=factset&amp;display_string=Audit"}</definedName>
    <definedName name="_130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31__FDSAUDITLINK__" localSheetId="6"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3"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5"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1__FDSAUDITLINK__" localSheetId="10"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16"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19"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localSheetId="18" hidden="1">{"fdsup://directions/FAT Viewer?action=UPDATE&amp;creator=factset&amp;DYN_ARGS=TRUE&amp;DOC_NAME=FAT:FQL_AUDITING_CLIENT_TEMPLATE.FAT&amp;display_string=Audit&amp;VAR:KEY=JOVQVKXOTE&amp;VAR:QUERY=RkZfREVCVChRVFIsMCk=&amp;WINDOW=FIRST_POPUP&amp;HEIGHT=450&amp;WIDTH=450&amp;START_MAXIMIZED=FALSE&amp;VA","R:CALENDAR=FIVEDAY&amp;VAR:SYMBOL=HSP&amp;VAR:INDEX=0"}</definedName>
    <definedName name="_131__FDSAUDITLINK__"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132__FDSAUDITLINK__" localSheetId="6"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3"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5"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2__FDSAUDITLINK__" localSheetId="10"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16"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19"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localSheetId="18" hidden="1">{"fdsup://Directions/FactSet Auditing Viewer?action=AUDIT_VALUE&amp;DB=129&amp;ID1=45256B10&amp;VALUEID=02001&amp;SDATE=201102&amp;PERIODTYPE=QTR_STD&amp;SCFT=3&amp;window=popup_no_bar&amp;width=385&amp;height=120&amp;START_MAXIMIZED=FALSE&amp;creator=factset&amp;display_string=Audit"}</definedName>
    <definedName name="_132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33__FDSAUDITLINK__" localSheetId="6"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3"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5"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3__FDSAUDITLINK__" localSheetId="10"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16"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19"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localSheetId="18" hidden="1">{"fdsup://directions/FAT Viewer?action=UPDATE&amp;creator=factset&amp;DYN_ARGS=TRUE&amp;DOC_NAME=FAT:FQL_AUDITING_CLIENT_TEMPLATE.FAT&amp;display_string=Audit&amp;VAR:KEY=HUNQXUHUPG&amp;VAR:QUERY=RkZfREVCVChRVFIsMCk=&amp;WINDOW=FIRST_POPUP&amp;HEIGHT=450&amp;WIDTH=450&amp;START_MAXIMIZED=FALSE&amp;VA","R:CALENDAR=FIVEDAY&amp;VAR:SYMBOL=IPXL&amp;VAR:INDEX=0"}</definedName>
    <definedName name="_133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134__FDSAUDITLINK__" localSheetId="6"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3"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5"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4__FDSAUDITLINK__" localSheetId="10"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16"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19"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localSheetId="18" hidden="1">{"fdsup://Directions/FactSet Auditing Viewer?action=AUDIT_VALUE&amp;DB=129&amp;ID1=62853010&amp;VALUEID=02001&amp;SDATE=201102&amp;PERIODTYPE=QTR_STD&amp;SCFT=3&amp;window=popup_no_bar&amp;width=385&amp;height=120&amp;START_MAXIMIZED=FALSE&amp;creator=factset&amp;display_string=Audit"}</definedName>
    <definedName name="_134__FDSAUDITLINK__" hidden="1">{"fdsup://IBCentral/FAT Viewer?action=UPDATE&amp;creator=factset&amp;DOC_NAME=fat:reuters_annual_source_window.fat&amp;display_string=Audit&amp;DYN_ARGS=TRUE&amp;VAR:ID1=96332010&amp;VAR:RCODE=EBITDA&amp;VAR:SDATE=20071299&amp;VAR:FREQ=Y&amp;VAR:RELITEM=RP&amp;VAR:CURRENCY=&amp;VAR:CURRSOURCE=EXSHARE","&amp;VAR:NATFREQ=ANNUAL&amp;VAR:RFIELD=FINALIZED&amp;VAR:DB_TYPE=&amp;VAR:UNITS=M&amp;window=popup&amp;width=450&amp;height=300&amp;START_MAXIMIZED=FALSE"}</definedName>
    <definedName name="_135__FDSAUDITLINK__" localSheetId="6"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3"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5"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5__FDSAUDITLINK__" localSheetId="10"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16"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19"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localSheetId="18" hidden="1">{"fdsup://directions/FAT Viewer?action=UPDATE&amp;creator=factset&amp;DYN_ARGS=TRUE&amp;DOC_NAME=FAT:FQL_AUDITING_CLIENT_TEMPLATE.FAT&amp;display_string=Audit&amp;VAR:KEY=LGRYPMTCTO&amp;VAR:QUERY=RkZfREVCVChRVFIsMCk=&amp;WINDOW=FIRST_POPUP&amp;HEIGHT=450&amp;WIDTH=450&amp;START_MAXIMIZED=FALSE&amp;VA","R:CALENDAR=FIVEDAY&amp;VAR:SYMBOL=MYL&amp;VAR:INDEX=0"}</definedName>
    <definedName name="_135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136__FDSAUDITLINK__" localSheetId="6"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3"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5"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6__FDSAUDITLINK__" localSheetId="10"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16"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19"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localSheetId="18" hidden="1">{"fdsup://Directions/FactSet Auditing Viewer?action=AUDIT_VALUE&amp;DB=129&amp;ID1=71429010&amp;VALUEID=02001&amp;SDATE=201104&amp;PERIODTYPE=QTR_STD&amp;SCFT=3&amp;window=popup_no_bar&amp;width=385&amp;height=120&amp;START_MAXIMIZED=FALSE&amp;creator=factset&amp;display_string=Audit"}</definedName>
    <definedName name="_136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137__FDSAUDITLINK__" localSheetId="6"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3"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7__FDSAUDITLINK__" localSheetId="10"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16"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19"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localSheetId="18" hidden="1">{"fdsup://directions/FAT Viewer?action=UPDATE&amp;creator=factset&amp;DYN_ARGS=TRUE&amp;DOC_NAME=FAT:FQL_AUDITING_CLIENT_TEMPLATE.FAT&amp;display_string=Audit&amp;VAR:KEY=LMPYFOLSXK&amp;VAR:QUERY=RkZfREVCVChRVFIsMCk=&amp;WINDOW=FIRST_POPUP&amp;HEIGHT=450&amp;WIDTH=450&amp;START_MAXIMIZED=FALSE&amp;VA","R:CALENDAR=FIVEDAY&amp;VAR:SYMBOL=PRGO&amp;VAR:INDEX=0"}</definedName>
    <definedName name="_137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38__FDSAUDITLINK__" localSheetId="6"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3"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5"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8__FDSAUDITLINK__" localSheetId="10"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16"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19"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localSheetId="18" hidden="1">{"fdsup://Directions/FactSet Auditing Viewer?action=AUDIT_VALUE&amp;DB=129&amp;ID1=69888P10&amp;VALUEID=02001&amp;SDATE=201102&amp;PERIODTYPE=QTR_STD&amp;SCFT=3&amp;window=popup_no_bar&amp;width=385&amp;height=120&amp;START_MAXIMIZED=FALSE&amp;creator=factset&amp;display_string=Audit"}</definedName>
    <definedName name="_138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139__FDSAUDITLINK__" localSheetId="6"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3"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5"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39__FDSAUDITLINK__" localSheetId="10"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16"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19"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localSheetId="18" hidden="1">{"fdsup://directions/FAT Viewer?action=UPDATE&amp;creator=factset&amp;DYN_ARGS=TRUE&amp;DOC_NAME=FAT:FQL_AUDITING_CLIENT_TEMPLATE.FAT&amp;display_string=Audit&amp;VAR:KEY=ZSVYTCNSBU&amp;VAR:QUERY=RkZfREVCVChRVFIsMCk=&amp;WINDOW=FIRST_POPUP&amp;HEIGHT=450&amp;WIDTH=450&amp;START_MAXIMIZED=FALSE&amp;VA","R:CALENDAR=FIVEDAY&amp;VAR:SYMBOL=PRX&amp;VAR:INDEX=0"}</definedName>
    <definedName name="_139__FDSAUDITLINK__" hidden="1">{"fdsup://IBCentral/FAT Viewer?action=UPDATE&amp;creator=factset&amp;DOC_NAME=fat:reuters_annual_source_window.fat&amp;display_string=Audit&amp;DYN_ARGS=TRUE&amp;VAR:ID1=77390310&amp;VAR:RCODE=EBIT&amp;VAR:SDATE=20070999&amp;VAR:FREQ=Y&amp;VAR:RELITEM=RP&amp;VAR:CURRENCY=&amp;VAR:CURRSOURCE=EXSHARE&amp;V","AR:NATFREQ=ANNUAL&amp;VAR:RFIELD=FINALIZED&amp;VAR:DB_TYPE=&amp;VAR:UNITS=M&amp;window=popup&amp;width=450&amp;height=300&amp;START_MAXIMIZED=FALSE"}</definedName>
    <definedName name="_14__123Graph_BNRET_PCE" hidden="1">[5]ADVOL!$A$171:$A$206</definedName>
    <definedName name="_14__123Graph_LBL_BCHART_3" localSheetId="6" hidden="1">'[6]Edge 10797 Drilling Inventory'!#REF!</definedName>
    <definedName name="_14__123Graph_LBL_BCHART_3" localSheetId="3" hidden="1">'[6]Edge 10797 Drilling Inventory'!#REF!</definedName>
    <definedName name="_14__123Graph_LBL_BCHART_3" localSheetId="5" hidden="1">'[6]Edge 10797 Drilling Inventory'!#REF!</definedName>
    <definedName name="_14__123Graph_LBL_BCHART_3" localSheetId="19" hidden="1">'[6]Edge 10797 Drilling Inventory'!#REF!</definedName>
    <definedName name="_14__123Graph_LBL_BCHART_3" localSheetId="18" hidden="1">'[6]Edge 10797 Drilling Inventory'!#REF!</definedName>
    <definedName name="_14__123Graph_LBL_BCHART_3" hidden="1">'[6]Edge 10797 Drilling Inventory'!#REF!</definedName>
    <definedName name="_14__FDSAUDITLINK__" localSheetId="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1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localSheetId="1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140__FDSAUDITLINK__" localSheetId="6"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3"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5"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0__FDSAUDITLINK__" localSheetId="10"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16"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19"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localSheetId="18" hidden="1">{"fdsup://Directions/FactSet Auditing Viewer?action=AUDIT_VALUE&amp;DB=129&amp;ID1=78669210&amp;VALUEID=02001&amp;SDATE=201102&amp;PERIODTYPE=QTR_STD&amp;SCFT=3&amp;window=popup_no_bar&amp;width=385&amp;height=120&amp;START_MAXIMIZED=FALSE&amp;creator=factset&amp;display_string=Audit"}</definedName>
    <definedName name="_140__FDSAUDITLINK__" hidden="1">{"fdsup://IBCentral/FAT Viewer?action=UPDATE&amp;creator=factset&amp;DOC_NAME=fat:reuters_annual_source_window.fat&amp;display_string=Audit&amp;DYN_ARGS=TRUE&amp;VAR:ID1=29101110&amp;VAR:RCODE=EBIT&amp;VAR:SDATE=20070999&amp;VAR:FREQ=Y&amp;VAR:RELITEM=RP&amp;VAR:CURRENCY=&amp;VAR:CURRSOURCE=EXSHARE&amp;V","AR:NATFREQ=ANNUAL&amp;VAR:RFIELD=FINALIZED&amp;VAR:DB_TYPE=&amp;VAR:UNITS=M&amp;window=popup&amp;width=450&amp;height=300&amp;START_MAXIMIZED=FALSE"}</definedName>
    <definedName name="_141__FDSAUDITLINK__" localSheetId="6"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3"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5"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1__FDSAUDITLINK__" localSheetId="10"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16"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19"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localSheetId="18" hidden="1">{"fdsup://directions/FAT Viewer?action=UPDATE&amp;creator=factset&amp;DYN_ARGS=TRUE&amp;DOC_NAME=FAT:FQL_AUDITING_CLIENT_TEMPLATE.FAT&amp;display_string=Audit&amp;VAR:KEY=FGXQXCPORU&amp;VAR:QUERY=RkZfREVCVChRVFIsMCk=&amp;WINDOW=FIRST_POPUP&amp;HEIGHT=450&amp;WIDTH=450&amp;START_MAXIMIZED=FALSE&amp;VA","R:CALENDAR=FIVEDAY&amp;VAR:SYMBOL=SGNT&amp;VAR:INDEX=0"}</definedName>
    <definedName name="_141__FDSAUDITLINK__" hidden="1">{"fdsup://IBCentral/FAT Viewer?action=UPDATE&amp;creator=factset&amp;DOC_NAME=fat:reuters_annual_source_window.fat&amp;display_string=Audit&amp;DYN_ARGS=TRUE&amp;VAR:ID1=25468710&amp;VAR:RCODE=EBIT&amp;VAR:SDATE=20070999&amp;VAR:FREQ=Y&amp;VAR:RELITEM=RP&amp;VAR:CURRENCY=&amp;VAR:CURRSOURCE=EXSHARE&amp;V","AR:NATFREQ=ANNUAL&amp;VAR:RFIELD=FINALIZED&amp;VAR:DB_TYPE=&amp;VAR:UNITS=M&amp;window=popup&amp;width=450&amp;height=300&amp;START_MAXIMIZED=FALSE"}</definedName>
    <definedName name="_142__FDSAUDITLINK__" localSheetId="6"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3"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5"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2__FDSAUDITLINK__" localSheetId="10"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16"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19"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localSheetId="18" hidden="1">{"fdsup://directions/FAT Viewer?action=UPDATE&amp;creator=factset&amp;DYN_ARGS=TRUE&amp;DOC_NAME=FAT:FQL_AUDITING_CLIENT_TEMPLATE.FAT&amp;display_string=Audit&amp;VAR:KEY=POJIJMTWHO&amp;VAR:QUERY=RkZfREVCVChRVFIsMCk=&amp;WINDOW=FIRST_POPUP&amp;HEIGHT=450&amp;WIDTH=450&amp;START_MAXIMIZED=FALSE&amp;VA","R:CALENDAR=FIVEDAY&amp;VAR:SYMBOL=TEVA&amp;VAR:INDEX=0"}</definedName>
    <definedName name="_142__FDSAUDITLINK__" hidden="1">{"fdsup://IBCentral/FAT Viewer?action=UPDATE&amp;creator=factset&amp;DOC_NAME=fat:reuters_annual_source_window.fat&amp;display_string=Audit&amp;DYN_ARGS=TRUE&amp;VAR:ID1=92553P20&amp;VAR:RCODE=EBIT&amp;VAR:SDATE=20071299&amp;VAR:FREQ=Y&amp;VAR:RELITEM=RP&amp;VAR:CURRENCY=&amp;VAR:CURRSOURCE=EXSHARE&amp;V","AR:NATFREQ=ANNUAL&amp;VAR:RFIELD=FINALIZED&amp;VAR:DB_TYPE=&amp;VAR:UNITS=M&amp;window=popup&amp;width=450&amp;height=300&amp;START_MAXIMIZED=FALSE"}</definedName>
    <definedName name="_143__FDSAUDITLINK__" localSheetId="6"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3"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5"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3__FDSAUDITLINK__" localSheetId="10"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16"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19"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localSheetId="18" hidden="1">{"fdsup://Directions/FactSet Auditing Viewer?action=AUDIT_VALUE&amp;DB=129&amp;ID1=94268310&amp;VALUEID=02001&amp;SDATE=201102&amp;PERIODTYPE=QTR_STD&amp;SCFT=3&amp;window=popup_no_bar&amp;width=385&amp;height=120&amp;START_MAXIMIZED=FALSE&amp;creator=factset&amp;display_string=Audit"}</definedName>
    <definedName name="_143__FDSAUDITLINK__" hidden="1">{"fdsup://IBCentral/FAT Viewer?action=UPDATE&amp;creator=factset&amp;DOC_NAME=fat:reuters_annual_source_window.fat&amp;display_string=Audit&amp;DYN_ARGS=TRUE&amp;VAR:ID1=88731710&amp;VAR:RCODE=EBIT&amp;VAR:SDATE=20071299&amp;VAR:FREQ=Y&amp;VAR:RELITEM=RP&amp;VAR:CURRENCY=&amp;VAR:CURRSOURCE=EXSHARE&amp;V","AR:NATFREQ=ANNUAL&amp;VAR:RFIELD=FINALIZED&amp;VAR:DB_TYPE=&amp;VAR:UNITS=M&amp;window=popup&amp;width=450&amp;height=300&amp;START_MAXIMIZED=FALSE"}</definedName>
    <definedName name="_144__FDSAUDITLINK__" localSheetId="6"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3"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5"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4__FDSAUDITLINK__" localSheetId="10"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16"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19"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localSheetId="18" hidden="1">{"fdsup://directions/FAT Viewer?action=UPDATE&amp;creator=factset&amp;DYN_ARGS=TRUE&amp;DOC_NAME=FAT:FQL_AUDITING_CLIENT_TEMPLATE.FAT&amp;display_string=Audit&amp;VAR:KEY=ZIBYFOFQBU&amp;VAR:QUERY=RkZfREVCVChRVFIsMCk=&amp;WINDOW=FIRST_POPUP&amp;HEIGHT=450&amp;WIDTH=450&amp;START_MAXIMIZED=FALSE&amp;VA","R:CALENDAR=FIVEDAY&amp;VAR:SYMBOL=WPI&amp;VAR:INDEX=0"}</definedName>
    <definedName name="_144__FDSAUDITLINK__" hidden="1">{"fdsup://IBCentral/FAT Viewer?action=UPDATE&amp;creator=factset&amp;DOC_NAME=fat:reuters_annual_source_window.fat&amp;display_string=Audit&amp;DYN_ARGS=TRUE&amp;VAR:ID1=65248E10&amp;VAR:RCODE=EBIT&amp;VAR:SDATE=20070699&amp;VAR:FREQ=Y&amp;VAR:RELITEM=RP&amp;VAR:CURRENCY=&amp;VAR:CURRSOURCE=EXSHARE&amp;V","AR:NATFREQ=ANNUAL&amp;VAR:RFIELD=FINALIZED&amp;VAR:DB_TYPE=&amp;VAR:UNITS=M&amp;window=popup&amp;width=450&amp;height=300&amp;START_MAXIMIZED=FALSE"}</definedName>
    <definedName name="_145__FDSAUDITLINK__" localSheetId="6"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3"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5"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5__FDSAUDITLINK__" localSheetId="10"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16"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19"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localSheetId="18" hidden="1">{"fdsup://directions/FAT Viewer?action=UPDATE&amp;creator=factset&amp;DYN_ARGS=TRUE&amp;DOC_NAME=FAT:FQL_AUDITING_CLIENT_TEMPLATE.FAT&amp;display_string=Audit&amp;VAR:KEY=ZYZQZMRURU&amp;VAR:QUERY=RkZfREVCVChRVFIsMCk=&amp;WINDOW=FIRST_POPUP&amp;HEIGHT=450&amp;WIDTH=450&amp;START_MAXIMIZED=FALSE&amp;VA","R:CALENDAR=FIVEDAY&amp;VAR:SYMBOL=SP50&amp;VAR:INDEX=0"}</definedName>
    <definedName name="_145__FDSAUDITLINK__" hidden="1">{"fdsup://IBCentral/FAT Viewer?action=UPDATE&amp;creator=factset&amp;DOC_NAME=fat:reuters_annual_source_window.fat&amp;display_string=Audit&amp;DYN_ARGS=TRUE&amp;VAR:ID1=00282410&amp;VAR:RCODE=EBIT&amp;VAR:SDATE=20071299&amp;VAR:FREQ=Y&amp;VAR:RELITEM=RP&amp;VAR:CURRENCY=&amp;VAR:CURRSOURCE=EXSHARE&amp;V","AR:NATFREQ=ANNUAL&amp;VAR:RFIELD=FINALIZED&amp;VAR:DB_TYPE=&amp;VAR:UNITS=M&amp;window=popup&amp;width=450&amp;height=300&amp;START_MAXIMIZED=FALSE"}</definedName>
    <definedName name="_146__FDSAUDITLINK__" localSheetId="6"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3"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5"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6__FDSAUDITLINK__" localSheetId="10"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16"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19"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localSheetId="18" hidden="1">{"fdsup://directions/FAT Viewer?action=UPDATE&amp;creator=factset&amp;DYN_ARGS=TRUE&amp;DOC_NAME=FAT:FQL_AUDITING_CLIENT_TEMPLATE.FAT&amp;display_string=Audit&amp;VAR:KEY=ZWXQZQFWZW&amp;VAR:QUERY=RkZfREVCVChRVFIsMCk=&amp;WINDOW=FIRST_POPUP&amp;HEIGHT=450&amp;WIDTH=450&amp;START_MAXIMIZED=FALSE&amp;VA","R:CALENDAR=FIVEDAY&amp;VAR:SYMBOL=SP565&amp;VAR:INDEX=0"}</definedName>
    <definedName name="_146__FDSAUDITLINK__" hidden="1">{"fdsup://IBCentral/FAT Viewer?action=UPDATE&amp;creator=factset&amp;DOC_NAME=fat:reuters_annual_source_window.fat&amp;display_string=Audit&amp;DYN_ARGS=TRUE&amp;VAR:ID1=07581110&amp;VAR:RCODE=EBIT&amp;VAR:SDATE=20071299&amp;VAR:FREQ=Y&amp;VAR:RELITEM=RP&amp;VAR:CURRENCY=&amp;VAR:CURRSOURCE=EXSHARE&amp;V","AR:NATFREQ=ANNUAL&amp;VAR:RFIELD=FINALIZED&amp;VAR:DB_TYPE=&amp;VAR:UNITS=M&amp;window=popup&amp;width=450&amp;height=300&amp;START_MAXIMIZED=FALSE"}</definedName>
    <definedName name="_147__FDSAUDITLINK__" localSheetId="6"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3"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5"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7__FDSAUDITLINK__" localSheetId="10"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16"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19"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localSheetId="18" hidden="1">{"fdsup://directions/FAT Viewer?action=UPDATE&amp;creator=factset&amp;DYN_ARGS=TRUE&amp;DOC_NAME=FAT:FQL_AUDITING_CLIENT_TEMPLATE.FAT&amp;display_string=Audit&amp;VAR:KEY=DSDATGHMDG&amp;VAR:QUERY=RkZfREVCVChRVFIsMCk=&amp;WINDOW=FIRST_POPUP&amp;HEIGHT=450&amp;WIDTH=450&amp;START_MAXIMIZED=FALSE&amp;VA","R:CALENDAR=FIVEDAY&amp;VAR:SYMBOL=DRG&amp;VAR:INDEX=0"}</definedName>
    <definedName name="_147__FDSAUDITLINK__" hidden="1">{"fdsup://IBCentral/FAT Viewer?action=UPDATE&amp;creator=factset&amp;DOC_NAME=fat:reuters_annual_source_window.fat&amp;display_string=Audit&amp;DYN_ARGS=TRUE&amp;VAR:ID1=07588710&amp;VAR:RCODE=EBIT&amp;VAR:SDATE=20070999&amp;VAR:FREQ=Y&amp;VAR:RELITEM=RP&amp;VAR:CURRENCY=&amp;VAR:CURRSOURCE=EXSHARE&amp;V","AR:NATFREQ=ANNUAL&amp;VAR:RFIELD=FINALIZED&amp;VAR:DB_TYPE=&amp;VAR:UNITS=M&amp;window=popup&amp;width=450&amp;height=300&amp;START_MAXIMIZED=FALSE"}</definedName>
    <definedName name="_148__FDSAUDITLINK__" localSheetId="5"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16"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19"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localSheetId="18"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8__FDSAUDITLINK__" hidden="1">{"fdsup://IBCentral/FAT Viewer?action=UPDATE&amp;creator=factset&amp;DOC_NAME=fat:reuters_annual_source_window.fat&amp;display_string=Audit&amp;DYN_ARGS=TRUE&amp;VAR:ID1=00846U10&amp;VAR:RCODE=EBIT&amp;VAR:SDATE=20071099&amp;VAR:FREQ=Y&amp;VAR:RELITEM=RP&amp;VAR:CURRENCY=&amp;VAR:CURRSOURCE=EXSHARE&amp;V","AR:NATFREQ=ANNUAL&amp;VAR:RFIELD=FINALIZED&amp;VAR:DB_TYPE=&amp;VAR:UNITS=M&amp;window=popup&amp;width=450&amp;height=300&amp;START_MAXIMIZED=FALSE"}</definedName>
    <definedName name="_149__FDSAUDITLINK__" localSheetId="5"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16"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19"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localSheetId="18"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49__FDSAUDITLINK__" hidden="1">{"fdsup://IBCentral/FAT Viewer?action=UPDATE&amp;creator=factset&amp;DOC_NAME=fat:reuters_annual_source_window.fat&amp;display_string=Audit&amp;DYN_ARGS=TRUE&amp;VAR:ID1=58505510&amp;VAR:RCODE=EBIT&amp;VAR:SDATE=20080499&amp;VAR:FREQ=Y&amp;VAR:RELITEM=RP&amp;VAR:CURRENCY=&amp;VAR:CURRSOURCE=EXSHARE&amp;V","AR:NATFREQ=ANNUAL&amp;VAR:RFIELD=FINALIZED&amp;VAR:DB_TYPE=&amp;VAR:UNITS=M&amp;window=popup&amp;width=450&amp;height=300&amp;START_MAXIMIZED=FALSE"}</definedName>
    <definedName name="_15__123Graph_BNRT_PCE" hidden="1">[5]ADVOL!$A$171:$A$206</definedName>
    <definedName name="_15__123Graph_XCHART_1" localSheetId="6" hidden="1">'[6]Edge 10797 Drilling Inventory'!#REF!</definedName>
    <definedName name="_15__123Graph_XCHART_1" localSheetId="3" hidden="1">'[6]Edge 10797 Drilling Inventory'!#REF!</definedName>
    <definedName name="_15__123Graph_XCHART_1" localSheetId="5" hidden="1">'[6]Edge 10797 Drilling Inventory'!#REF!</definedName>
    <definedName name="_15__123Graph_XCHART_1" localSheetId="19" hidden="1">'[6]Edge 10797 Drilling Inventory'!#REF!</definedName>
    <definedName name="_15__123Graph_XCHART_1" localSheetId="18" hidden="1">'[6]Edge 10797 Drilling Inventory'!#REF!</definedName>
    <definedName name="_15__123Graph_XCHART_1" hidden="1">'[6]Edge 10797 Drilling Inventory'!#REF!</definedName>
    <definedName name="_15__FDSAUDITLINK__" localSheetId="5"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1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1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localSheetId="1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50__FDSAUDITLINK__" localSheetId="5"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16"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19"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localSheetId="18"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0__FDSAUDITLINK__" hidden="1">{"fdsup://IBCentral/FAT Viewer?action=UPDATE&amp;creator=factset&amp;DOC_NAME=fat:reuters_annual_source_window.fat&amp;display_string=Audit&amp;DYN_ARGS=TRUE&amp;VAR:ID1=88355610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5"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16"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19"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localSheetId="18"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1__FDSAUDITLINK__" hidden="1">{"fdsup://IBCentral/FAT Viewer?action=UPDATE&amp;creator=factset&amp;DOC_NAME=fat:reuters_annual_source_window.fat&amp;display_string=Audit&amp;DYN_ARGS=TRUE&amp;VAR:ID1=10113710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5"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16"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19"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localSheetId="18"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2__FDSAUDITLINK__" hidden="1">{"fdsup://IBCentral/FAT Viewer?action=UPDATE&amp;creator=factset&amp;DOC_NAME=fat:reuters_annual_source_window.fat&amp;display_string=Audit&amp;DYN_ARGS=TRUE&amp;VAR:ID1=47816010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5"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16"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19"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localSheetId="18"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3__FDSAUDITLINK__" hidden="1">{"fdsup://IBCentral/FAT Viewer?action=UPDATE&amp;creator=factset&amp;DOC_NAME=fat:reuters_annual_source_window.fat&amp;display_string=Audit&amp;DYN_ARGS=TRUE&amp;VAR:ID1=78463510&amp;VAR:RCODE=EBIT&amp;VAR:SDATE=20071299&amp;VAR:FREQ=Y&amp;VAR:RELITEM=RP&amp;VAR:CURRENCY=&amp;VAR:CURRSOURCE=EXSHARE&amp;V","AR:NATFREQ=ANNUAL&amp;VAR:RFIELD=FINALIZED&amp;VAR:DB_TYPE=&amp;VAR:UNITS=M&amp;window=popup&amp;width=450&amp;height=300&amp;START_MAXIMIZED=FALSE"}</definedName>
    <definedName name="_154__FDSAUDITLINK__" localSheetId="5"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16"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19"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localSheetId="18"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4__FDSAUDITLINK__" hidden="1">{"fdsup://IBCentral/FAT Viewer?action=UPDATE&amp;creator=factset&amp;DOC_NAME=fat:reuters_annual_source_window.fat&amp;display_string=Audit&amp;DYN_ARGS=TRUE&amp;VAR:ID1=572797&amp;VAR:RCODE=EBIT&amp;VAR:SDATE=20070999&amp;VAR:FREQ=Y&amp;VAR:RELITEM=RP&amp;VAR:CURRENCY=&amp;VAR:CURRSOURCE=EXSHARE&amp;VAR",":NATFREQ=ANNUAL&amp;VAR:RFIELD=FINALIZED&amp;VAR:DB_TYPE=&amp;VAR:UNITS=M&amp;window=popup&amp;width=450&amp;height=300&amp;START_MAXIMIZED=FALSE"}</definedName>
    <definedName name="_155__FDSAUDITLINK__" localSheetId="5"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16"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19"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localSheetId="18"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5__FDSAUDITLINK__" hidden="1">{"fdsup://IBCentral/FAT Viewer?action=UPDATE&amp;creator=factset&amp;DOC_NAME=fat:reuters_annual_source_window.fat&amp;display_string=Audit&amp;DYN_ARGS=TRUE&amp;VAR:ID1=62985Q10&amp;VAR:RCODE=EBIT&amp;VAR:SDATE=20071299&amp;VAR:FREQ=Y&amp;VAR:RELITEM=RP&amp;VAR:CURRENCY=&amp;VAR:CURRSOURCE=EXSHARE&amp;V","AR:NATFREQ=ANNUAL&amp;VAR:RFIELD=FINALIZED&amp;VAR:DB_TYPE=&amp;VAR:UNITS=M&amp;window=popup&amp;width=450&amp;height=300&amp;START_MAXIMIZED=FALSE"}</definedName>
    <definedName name="_156__FDSAUDITLINK__" localSheetId="5"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16"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19"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localSheetId="18"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6__FDSAUDITLINK__"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57__FDSAUDITLINK__" localSheetId="5"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16"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19"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localSheetId="18"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7__FDSAUDITLINK__" hidden="1">{"fdsup://IBCentral/FAT Viewer?action=UPDATE&amp;creator=factset&amp;DOC_NAME=fat:reuters_annual_source_window.fat&amp;display_string=Audit&amp;DYN_ARGS=TRUE&amp;VAR:ID1=210972&amp;VAR:RCODE=EBIT&amp;VAR:SDATE=20080199&amp;VAR:FREQ=Y&amp;VAR:RELITEM=RP&amp;VAR:CURRENCY=&amp;VAR:CURRSOURCE=EXSHARE&amp;VAR",":NATFREQ=ANNUAL&amp;VAR:RFIELD=FINALIZED&amp;VAR:DB_TYPE=&amp;VAR:UNITS=M&amp;window=popup&amp;width=450&amp;height=300&amp;START_MAXIMIZED=FALSE"}</definedName>
    <definedName name="_158__FDSAUDITLINK__" localSheetId="5"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16"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19"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localSheetId="18"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8__FDSAUDITLINK__" hidden="1">{"fdsup://IBCentral/FAT Viewer?action=UPDATE&amp;creator=factset&amp;DOC_NAME=fat:reuters_annual_source_window.fat&amp;display_string=Audit&amp;DYN_ARGS=TRUE&amp;VAR:ID1=G9508910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5"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16"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19"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localSheetId="18"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59__FDSAUDITLINK__" hidden="1">{"fdsup://IBCentral/FAT Viewer?action=UPDATE&amp;creator=factset&amp;DOC_NAME=fat:reuters_annual_source_window.fat&amp;display_string=Audit&amp;DYN_ARGS=TRUE&amp;VAR:ID1=63707110&amp;VAR:RCODE=EBIT&amp;VAR:SDATE=20071299&amp;VAR:FREQ=Y&amp;VAR:RELITEM=RP&amp;VAR:CURRENCY=&amp;VAR:CURRSOURCE=EXSHARE&amp;V","AR:NATFREQ=ANNUAL&amp;VAR:RFIELD=FINALIZED&amp;VAR:DB_TYPE=&amp;VAR:UNITS=M&amp;window=popup&amp;width=450&amp;height=300&amp;START_MAXIMIZED=FALSE"}</definedName>
    <definedName name="_16__123Graph_CADV_PCE" hidden="1">[5]ADVOL!$H$170:$H$202</definedName>
    <definedName name="_16__123Graph_XCHART_2" localSheetId="6" hidden="1">'[6]Edge 10797 Drilling Inventory'!#REF!</definedName>
    <definedName name="_16__123Graph_XCHART_2" localSheetId="3" hidden="1">'[6]Edge 10797 Drilling Inventory'!#REF!</definedName>
    <definedName name="_16__123Graph_XCHART_2" localSheetId="5" hidden="1">'[6]Edge 10797 Drilling Inventory'!#REF!</definedName>
    <definedName name="_16__123Graph_XCHART_2" localSheetId="19" hidden="1">'[6]Edge 10797 Drilling Inventory'!#REF!</definedName>
    <definedName name="_16__123Graph_XCHART_2" localSheetId="18" hidden="1">'[6]Edge 10797 Drilling Inventory'!#REF!</definedName>
    <definedName name="_16__123Graph_XCHART_2" hidden="1">'[6]Edge 10797 Drilling Inventory'!#REF!</definedName>
    <definedName name="_16__FDSAUDITLINK__" localSheetId="5"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16"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19"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localSheetId="18"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__FDSAUDITLINK__" hidden="1">{"fdsup://IBCentral/FAT Viewer?action=UPDATE&amp;creator=factset&amp;DOC_NAME=fat:reuters_annual_source_window.fat&amp;display_string=Audit&amp;DYN_ARGS=TRUE&amp;VAR:ID1=87264S10&amp;VAR:RCODE=EBITDA&amp;VAR:SDATE=20071299&amp;VAR:FREQ=Y&amp;VAR:RELITEM=RP&amp;VAR:CURRENCY=&amp;VAR:CURRSOURCE=EXSHARE","&amp;VAR:NATFREQ=ANNUAL&amp;VAR:RFIELD=FINALIZED&amp;VAR:DB_TYPE=&amp;VAR:UNITS=M&amp;window=popup&amp;width=450&amp;height=300&amp;START_MAXIMIZED=FALSE"}</definedName>
    <definedName name="_160__FDSAUDITLINK__" localSheetId="5"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16"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19"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localSheetId="18"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0__FDSAUDITLINK__" hidden="1">{"fdsup://IBCentral/FAT Viewer?action=UPDATE&amp;creator=factset&amp;DOC_NAME=fat:reuters_annual_source_window.fat&amp;display_string=Audit&amp;DYN_ARGS=TRUE&amp;VAR:ID1=26160810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5"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16"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19"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localSheetId="18"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1__FDSAUDITLINK__" hidden="1">{"fdsup://IBCentral/FAT Viewer?action=UPDATE&amp;creator=factset&amp;DOC_NAME=fat:reuters_annual_source_window.fat&amp;display_string=Audit&amp;DYN_ARGS=TRUE&amp;VAR:ID1=13342B10&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5"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16"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19"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localSheetId="18"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2__FDSAUDITLINK__" hidden="1">{"fdsup://IBCentral/FAT Viewer?action=UPDATE&amp;creator=factset&amp;DOC_NAME=fat:reuters_annual_source_window.fat&amp;display_string=Audit&amp;DYN_ARGS=TRUE&amp;VAR:ID1=596465&amp;VAR:RCODE=EBIT&amp;VAR:SDATE=20071299&amp;VAR:FREQ=Y&amp;VAR:RELITEM=RP&amp;VAR:CURRENCY=&amp;VAR:CURRSOURCE=EXSHARE&amp;VAR",":NATFREQ=ANNUAL&amp;VAR:RFIELD=FINALIZED&amp;VAR:DB_TYPE=&amp;VAR:UNITS=M&amp;window=popup&amp;width=450&amp;height=300&amp;START_MAXIMIZED=FALSE"}</definedName>
    <definedName name="_163__FDSAUDITLINK__" localSheetId="5"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16"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19"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localSheetId="18"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3__FDSAUDITLINK__" hidden="1">{"fdsup://IBCentral/FAT Viewer?action=UPDATE&amp;creator=factset&amp;DOC_NAME=fat:reuters_annual_source_window.fat&amp;display_string=Audit&amp;DYN_ARGS=TRUE&amp;VAR:ID1=B0DJ8Q&amp;VAR:RCODE=EBIT&amp;VAR:SDATE=20080399&amp;VAR:FREQ=Y&amp;VAR:RELITEM=RP&amp;VAR:CURRENCY=&amp;VAR:CURRSOURCE=EXSHARE&amp;VAR",":NATFREQ=ANNUAL&amp;VAR:RFIELD=FINALIZED&amp;VAR:DB_TYPE=&amp;VAR:UNITS=M&amp;window=popup&amp;width=450&amp;height=300&amp;START_MAXIMIZED=FALSE"}</definedName>
    <definedName name="_164__FDSAUDITLINK__" localSheetId="5"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16"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19"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localSheetId="18"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4__FDSAUDITLINK__" hidden="1">{"fdsup://IBCentral/FAT Viewer?action=UPDATE&amp;creator=factset&amp;DOC_NAME=fat:reuters_annual_source_window.fat&amp;display_string=Audit&amp;DYN_ARGS=TRUE&amp;VAR:ID1=710889&amp;VAR:RCODE=EBIT&amp;VAR:SDATE=20071299&amp;VAR:FREQ=Y&amp;VAR:RELITEM=RP&amp;VAR:CURRENCY=&amp;VAR:CURRSOURCE=EXSHARE&amp;VAR",":NATFREQ=ANNUAL&amp;VAR:RFIELD=FINALIZED&amp;VAR:DB_TYPE=&amp;VAR:UNITS=M&amp;window=popup&amp;width=450&amp;height=300&amp;START_MAXIMIZED=FALSE"}</definedName>
    <definedName name="_165__FDSAUDITLINK__" localSheetId="5"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16"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19"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localSheetId="18"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5__FDSAUDITLINK__"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5"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1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19"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localSheetId="18"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6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5"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16"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19"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localSheetId="18"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7__FDSAUDITLINK__"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5"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1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19"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localSheetId="18"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8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169__FDSAUDITLINK__" localSheetId="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1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1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localSheetId="1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6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7__123Graph_XADV_GDP" hidden="1">[5]ADVOL!$A$23:$A$54</definedName>
    <definedName name="_17__123Graph_XCHART_3" localSheetId="6" hidden="1">'[6]Edge 10797 Drilling Inventory'!#REF!</definedName>
    <definedName name="_17__123Graph_XCHART_3" localSheetId="3" hidden="1">'[6]Edge 10797 Drilling Inventory'!#REF!</definedName>
    <definedName name="_17__123Graph_XCHART_3" localSheetId="5" hidden="1">'[6]Edge 10797 Drilling Inventory'!#REF!</definedName>
    <definedName name="_17__123Graph_XCHART_3" localSheetId="19" hidden="1">'[6]Edge 10797 Drilling Inventory'!#REF!</definedName>
    <definedName name="_17__123Graph_XCHART_3" localSheetId="18" hidden="1">'[6]Edge 10797 Drilling Inventory'!#REF!</definedName>
    <definedName name="_17__123Graph_XCHART_3" hidden="1">'[6]Edge 10797 Drilling Inventory'!#REF!</definedName>
    <definedName name="_17__FDSAUDITLINK__" localSheetId="5"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16"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19"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localSheetId="18"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__FDSAUDITLINK__"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170__FDSAUDITLINK__" localSheetId="5"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1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1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localSheetId="1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0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171__FDSAUDITLINK__" localSheetId="5"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1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19"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localSheetId="18"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1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172__FDSAUDITLINK__" localSheetId="5"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1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19"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localSheetId="18"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2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173__FDSAUDITLINK__" localSheetId="5"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1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19"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localSheetId="18"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3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5"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1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19"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localSheetId="18"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4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1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localSheetId="1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5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5"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16"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19"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localSheetId="18"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6__FDSAUDITLINK__" hidden="1">{"fdsup://IBCentral/FAT Viewer?action=UPDATE&amp;creator=factset&amp;DOC_NAME=fat:reuters_annual_source_window.fat&amp;display_string=Audit&amp;DYN_ARGS=TRUE&amp;VAR:ID1=026349&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5"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16"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19"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localSheetId="18"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7__FDSAUDITLINK__" hidden="1">{"fdsup://IBCentral/FAT Viewer?action=UPDATE&amp;creator=factset&amp;DOC_NAME=fat:reuters_annual_source_window.fat&amp;display_string=Audit&amp;DYN_ARGS=TRUE&amp;VAR:ID1=53983010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5"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16"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19"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localSheetId="18"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8__FDSAUDITLINK__" hidden="1">{"fdsup://IBCentral/FAT Viewer?action=UPDATE&amp;creator=factset&amp;DOC_NAME=fat:reuters_annual_source_window.fat&amp;display_string=Audit&amp;DYN_ARGS=TRUE&amp;VAR:ID1=75511150&amp;VAR:RCODE=EBITDA&amp;VAR:SDATE=20071299&amp;VAR:FREQ=Y&amp;VAR:RELITEM=RP&amp;VAR:CURRENCY=&amp;VAR:CURRSOURCE=EXSHARE","&amp;VAR:NATFREQ=ANNUAL&amp;VAR:RFIELD=FINALIZED&amp;VAR:DB_TYPE=&amp;VAR:UNITS=M&amp;window=popup&amp;width=450&amp;height=300&amp;START_MAXIMIZED=FALSE"}</definedName>
    <definedName name="_179__FDSAUDITLINK__" localSheetId="5"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16"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19"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localSheetId="18"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79__FDSAUDITLINK__" hidden="1">{"fdsup://IBCentral/FAT Viewer?action=UPDATE&amp;creator=factset&amp;DOC_NAME=fat:reuters_annual_source_window.fat&amp;display_string=Audit&amp;DYN_ARGS=TRUE&amp;VAR:ID1=88579Y10&amp;VAR:RCODE=EBITDA&amp;VAR:SDATE=20071299&amp;VAR:FREQ=Y&amp;VAR:RELITEM=&amp;VAR:CURRENCY=&amp;VAR:CURRSOURCE=EXSHARE&amp;V","AR:NATFREQ=ANNUAL&amp;VAR:RFIELD=FINALIZED&amp;VAR:DB_TYPE=&amp;VAR:UNITS=M&amp;window=popup&amp;width=450&amp;height=300&amp;START_MAXIMIZED=FALSE"}</definedName>
    <definedName name="_18__123Graph_XADV_GDPR" hidden="1">[5]ADVOL!$A$23:$A$58</definedName>
    <definedName name="_18__123Graph_XCHART_4" localSheetId="6" hidden="1">'[6]Edge 10797 Drilling Inventory'!#REF!</definedName>
    <definedName name="_18__123Graph_XCHART_4" localSheetId="3" hidden="1">'[6]Edge 10797 Drilling Inventory'!#REF!</definedName>
    <definedName name="_18__123Graph_XCHART_4" localSheetId="5" hidden="1">'[6]Edge 10797 Drilling Inventory'!#REF!</definedName>
    <definedName name="_18__123Graph_XCHART_4" localSheetId="19" hidden="1">'[6]Edge 10797 Drilling Inventory'!#REF!</definedName>
    <definedName name="_18__123Graph_XCHART_4" localSheetId="18" hidden="1">'[6]Edge 10797 Drilling Inventory'!#REF!</definedName>
    <definedName name="_18__123Graph_XCHART_4" hidden="1">'[6]Edge 10797 Drilling Inventory'!#REF!</definedName>
    <definedName name="_18__FDSAUDITLINK__" localSheetId="5"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16"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19"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localSheetId="18"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__FDSAUDITLINK__" hidden="1">{"fdsup://IBCentral/FAT Viewer?action=UPDATE&amp;creator=factset&amp;DOC_NAME=fat:reuters_annual_source_window.fat&amp;display_string=Audit&amp;DYN_ARGS=TRUE&amp;VAR:ID1=664154&amp;VAR:RCODE=EBITDA&amp;VAR:SDATE=20080399&amp;VAR:FREQ=Y&amp;VAR:RELITEM=&amp;VAR:CURRENCY=&amp;VAR:CURRSOURCE=EXSHARE&amp;VAR",":NATFREQ=ANNUAL&amp;VAR:RFIELD=FINALIZED&amp;VAR:DB_TYPE=&amp;VAR:UNITS=M&amp;window=popup&amp;width=450&amp;height=300&amp;START_MAXIMIZED=FALSE"}</definedName>
    <definedName name="_180__FDSAUDITLINK__" localSheetId="5"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16"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19"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localSheetId="18"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0__FDSAUDITLINK__" hidden="1">{"fdsup://IBCentral/FAT Viewer?action=UPDATE&amp;creator=factset&amp;DOC_NAME=fat:reuters_annual_source_window.fat&amp;display_string=Audit&amp;DYN_ARGS=TRUE&amp;VAR:ID1=01265310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5"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1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19"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localSheetId="18"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1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5"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16"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19"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localSheetId="18"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2__FDSAUDITLINK__"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5"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16"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19"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localSheetId="18"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3__FDSAUDITLINK__" hidden="1">{"fdsup://IBCentral/FAT Viewer?action=UPDATE&amp;creator=factset&amp;DOC_NAME=fat:reuters_annual_source_window.fat&amp;display_string=Audit&amp;DYN_ARGS=TRUE&amp;VAR:ID1=26054310&amp;VAR:RCODE=EBITDA&amp;VAR:SDATE=20071299&amp;VAR:FREQ=Y&amp;VAR:RELITEM=&amp;VAR:CURRENCY=&amp;VAR:CURRSOURCE=EXSHARE&amp;V","AR:NATFREQ=ANNUAL&amp;VAR:RFIELD=FINALIZED&amp;VAR:DB_TYPE=&amp;VAR:UNITS=M&amp;window=popup&amp;width=450&amp;height=300&amp;START_MAXIMIZED=FALSE"}</definedName>
    <definedName name="_184__FDSAUDITLINK__" localSheetId="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1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localSheetId="1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4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85__FDSAUDITLINK__" localSheetId="5"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16"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19"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localSheetId="18"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5__FDSAUDITLINK__" hidden="1">{"fdsup://IBCentral/FAT Viewer?action=UPDATE&amp;creator=factset&amp;DOC_NAME=fat:reuters_annual_source_window.fat&amp;display_string=Audit&amp;DYN_ARGS=TRUE&amp;VAR:ID1=41387510&amp;VAR:RCODE=EBITDA&amp;VAR:SDATE=20070699&amp;VAR:FREQ=Y&amp;VAR:RELITEM=RP&amp;VAR:CURRENCY=&amp;VAR:CURRSOURCE=EXSHARE","&amp;VAR:NATFREQ=ANNUAL&amp;VAR:RFIELD=FINALIZED&amp;VAR:DB_TYPE=&amp;VAR:UNITS=M&amp;window=popup&amp;width=450&amp;height=300&amp;START_MAXIMIZED=FALSE"}</definedName>
    <definedName name="_186__FDSAUDITLINK__" localSheetId="5"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1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19"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localSheetId="18"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6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5"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1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1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localSheetId="1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7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5"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1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19"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localSheetId="18"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8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189__FDSAUDITLINK__" localSheetId="5"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16"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19"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localSheetId="18"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89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19__123Graph_XADV_PCE" hidden="1">[5]ADVOL!$A$22:$A$54</definedName>
    <definedName name="_19__FDSAUDITLINK__" localSheetId="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1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1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localSheetId="1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190__FDSAUDITLINK__" localSheetId="5"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1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1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localSheetId="1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0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191__FDSAUDITLINK__" localSheetId="5"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1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19"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localSheetId="18"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1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192__FDSAUDITLINK__" localSheetId="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1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localSheetId="1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2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5"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1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19"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localSheetId="18"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3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194__FDSAUDITLINK__" localSheetId="5"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16"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19"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localSheetId="18"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4__FDSAUDITLINK__"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195__FDSAUDITLINK__" localSheetId="5"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1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1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localSheetId="1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5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196__FDSAUDITLINK__" localSheetId="5"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1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1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localSheetId="1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6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5"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1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19"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localSheetId="18"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7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198__FDSAUDITLINK__" localSheetId="5"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1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1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localSheetId="1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8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199__FDSAUDITLINK__" localSheetId="5"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16"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19"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localSheetId="18"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199__FDSAUDITLINK__" hidden="1">{"fdsup://IBCentral/FAT Viewer?action=UPDATE&amp;creator=factset&amp;DOC_NAME=fat:reuters_annual_source_window.fat&amp;display_string=Audit&amp;DYN_ARGS=TRUE&amp;VAR:ID1=78354910&amp;VAR:RCODE=EBIT&amp;VAR:SDATE=20071299&amp;VAR:FREQ=Y&amp;VAR:RELITEM=RP&amp;VAR:CURRENCY=&amp;VAR:CURRSOURCE=EXSHARE&amp;V","AR:NATFREQ=ANNUAL&amp;VAR:RFIELD=FINALIZED&amp;VAR:DB_TYPE=&amp;VAR:UNITS=M&amp;window=popup&amp;width=450&amp;height=300&amp;START_MAXIMIZED=FALSE"}</definedName>
    <definedName name="_2__123Graph_AADV_GDPR" hidden="1">[5]ADVOL!$C$97:$C$131</definedName>
    <definedName name="_2__123Graph_ACHART_2" localSheetId="6" hidden="1">'[6]Edge 10797 Drilling Inventory'!#REF!</definedName>
    <definedName name="_2__123Graph_ACHART_2" localSheetId="3" hidden="1">'[6]Edge 10797 Drilling Inventory'!#REF!</definedName>
    <definedName name="_2__123Graph_ACHART_2" localSheetId="5" hidden="1">'[6]Edge 10797 Drilling Inventory'!#REF!</definedName>
    <definedName name="_2__123Graph_ACHART_2" localSheetId="19" hidden="1">'[6]Edge 10797 Drilling Inventory'!#REF!</definedName>
    <definedName name="_2__123Graph_ACHART_2" localSheetId="18" hidden="1">'[6]Edge 10797 Drilling Inventory'!#REF!</definedName>
    <definedName name="_2__123Graph_ACHART_2" hidden="1">'[6]Edge 10797 Drilling Inventory'!#REF!</definedName>
    <definedName name="_2__FDSAUDITLINK__" localSheetId="5"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16"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19"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localSheetId="18"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__FDSAUDITLINK__" hidden="1">{"fdsup://IBCentral/FAT Viewer?action=UPDATE&amp;creator=factset&amp;DOC_NAME=fat:reuters_annual_source_window.fat&amp;display_string=Audit&amp;DYN_ARGS=TRUE&amp;VAR:ID1=09702310&amp;VAR:RCODE=EBITDA&amp;VAR:SDATE=20071299&amp;VAR:FREQ=Y&amp;VAR:RELITEM=RP&amp;VAR:CURRENCY=&amp;VAR:CURRSOURCE=EXSHARE","&amp;VAR:NATFREQ=ANNUAL&amp;VAR:RFIELD=FINALIZED&amp;VAR:DB_TYPE=&amp;VAR:UNITS=M&amp;window=popup&amp;width=450&amp;height=300&amp;START_MAXIMIZED=FALSE"}</definedName>
    <definedName name="_20__123Graph_XADV_PCGD" hidden="1">[5]ADVOL!$A$22:$A$54</definedName>
    <definedName name="_20__FDSAUDITLINK__" localSheetId="5"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16"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19"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localSheetId="18"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__FDSAUDITLINK__"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00__FDSAUDITLINK__" localSheetId="5"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16"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19"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localSheetId="18"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0__FDSAUDITLINK__" hidden="1">{"fdsup://IBCentral/FAT Viewer?action=UPDATE&amp;creator=factset&amp;DOC_NAME=fat:reuters_annual_source_window.fat&amp;display_string=Audit&amp;DYN_ARGS=TRUE&amp;VAR:ID1=85747710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5"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16"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19"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localSheetId="18"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1__FDSAUDITLINK__" hidden="1">{"fdsup://IBCentral/FAT Viewer?action=UPDATE&amp;creator=factset&amp;DOC_NAME=fat:reuters_annual_source_window.fat&amp;display_string=Audit&amp;DYN_ARGS=TRUE&amp;VAR:ID1=78442P10&amp;VAR:RCODE=EBIT&amp;VAR:SDATE=20071299&amp;VAR:FREQ=Y&amp;VAR:RELITEM=RP&amp;VAR:CURRENCY=&amp;VAR:CURRSOURCE=EXSHARE&amp;V","AR:NATFREQ=ANNUAL&amp;VAR:RFIELD=FINALIZED&amp;VAR:DB_TYPE=&amp;VAR:UNITS=M&amp;window=popup&amp;width=450&amp;height=300&amp;START_MAXIMIZED=FALSE"}</definedName>
    <definedName name="_202__FDSAUDITLINK__" localSheetId="5"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16"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19"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localSheetId="18"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2__FDSAUDITLINK__" hidden="1">{"fdsup://IBCentral/FAT Viewer?action=UPDATE&amp;creator=factset&amp;DOC_NAME=fat:reuters_annual_source_window.fat&amp;display_string=Audit&amp;DYN_ARGS=TRUE&amp;VAR:ID1=61744644&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5"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16"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19"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localSheetId="18"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3__FDSAUDITLINK__" hidden="1">{"fdsup://IBCentral/FAT Viewer?action=UPDATE&amp;creator=factset&amp;DOC_NAME=fat:reuters_annual_source_window.fat&amp;display_string=Audit&amp;DYN_ARGS=TRUE&amp;VAR:ID1=38141G10&amp;VAR:RCODE=EBIT&amp;VAR:SDATE=20071199&amp;VAR:FREQ=Y&amp;VAR:RELITEM=RP&amp;VAR:CURRENCY=&amp;VAR:CURRSOURCE=EXSHARE&amp;V","AR:NATFREQ=ANNUAL&amp;VAR:RFIELD=FINALIZED&amp;VAR:DB_TYPE=&amp;VAR:UNITS=M&amp;window=popup&amp;width=450&amp;height=300&amp;START_MAXIMIZED=FALSE"}</definedName>
    <definedName name="_204__FDSAUDITLINK__" localSheetId="5"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16"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19"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localSheetId="18"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4__FDSAUDITLINK__" hidden="1">{"fdsup://IBCentral/FAT Viewer?action=UPDATE&amp;creator=factset&amp;DOC_NAME=fat:reuters_annual_source_window.fat&amp;display_string=Audit&amp;DYN_ARGS=TRUE&amp;VAR:ID1=46625H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5"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16"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19"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localSheetId="18"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5__FDSAUDITLINK__" hidden="1">{"fdsup://IBCentral/FAT Viewer?action=UPDATE&amp;creator=factset&amp;DOC_NAME=fat:reuters_annual_source_window.fat&amp;display_string=Audit&amp;DYN_ARGS=TRUE&amp;VAR:ID1=17296710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5"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16"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19"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localSheetId="18"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6__FDSAUDITLINK__" hidden="1">{"fdsup://IBCentral/FAT Viewer?action=UPDATE&amp;creator=factset&amp;DOC_NAME=fat:reuters_annual_source_window.fat&amp;display_string=Audit&amp;DYN_ARGS=TRUE&amp;VAR:ID1=12558110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5"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16"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19"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localSheetId="18"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7__FDSAUDITLINK__" hidden="1">{"fdsup://IBCentral/FAT Viewer?action=UPDATE&amp;creator=factset&amp;DOC_NAME=fat:reuters_annual_source_window.fat&amp;display_string=Audit&amp;DYN_ARGS=TRUE&amp;VAR:ID1=14040H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5"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16"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19"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localSheetId="18"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8__FDSAUDITLINK__" hidden="1">{"fdsup://IBCentral/FAT Viewer?action=UPDATE&amp;creator=factset&amp;DOC_NAME=fat:reuters_annual_source_window.fat&amp;display_string=Audit&amp;DYN_ARGS=TRUE&amp;VAR:ID1=06050510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5"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16"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19"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localSheetId="18"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09__FDSAUDITLINK__" hidden="1">{"fdsup://IBCentral/FAT Viewer?action=UPDATE&amp;creator=factset&amp;DOC_NAME=fat:reuters_annual_source_window.fat&amp;display_string=Audit&amp;DYN_ARGS=TRUE&amp;VAR:ID1=02581610&amp;VAR:RCODE=EBIT&amp;VAR:SDATE=20071299&amp;VAR:FREQ=Y&amp;VAR:RELITEM=RP&amp;VAR:CURRENCY=&amp;VAR:CURRSOURCE=EXSHARE&amp;V","AR:NATFREQ=ANNUAL&amp;VAR:RFIELD=FINALIZED&amp;VAR:DB_TYPE=&amp;VAR:UNITS=M&amp;window=popup&amp;width=450&amp;height=300&amp;START_MAXIMIZED=FALSE"}</definedName>
    <definedName name="_21__123Graph_XMAG_PCE" hidden="1">[5]ADVOL!$A$23:$A$56</definedName>
    <definedName name="_21__FDSAUDITLINK__" localSheetId="5"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16"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19"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localSheetId="18"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__FDSAUDITLINK__"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210__FDSAUDITLINK__" localSheetId="5"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16"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19"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localSheetId="18"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0__FDSAUDITLINK__" hidden="1">{"fdsup://IBCentral/FAT Viewer?action=UPDATE&amp;creator=factset&amp;DOC_NAME=fat:reuters_annual_source_window.fat&amp;display_string=Audit&amp;DYN_ARGS=TRUE&amp;VAR:ID1=01903Q10&amp;VAR:RCODE=EBIT&amp;VAR:SDATE=20071299&amp;VAR:FREQ=Y&amp;VAR:RELITEM=RP&amp;VAR:CURRENCY=&amp;VAR:CURRSOURCE=EXSHARE&amp;V","AR:NATFREQ=ANNUAL&amp;VAR:RFIELD=FINALIZED&amp;VAR:DB_TYPE=&amp;VAR:UNITS=M&amp;window=popup&amp;width=450&amp;height=300&amp;START_MAXIMIZED=FALSE"}</definedName>
    <definedName name="_211__FDSAUDITLINK__" localSheetId="5"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16"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19"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localSheetId="18"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1__FDSAUDITLINK__"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2__FDSAUDITLINK__" localSheetId="5"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16"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19"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localSheetId="18"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2__FDSAUDITLINK__"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5"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16"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19"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localSheetId="18"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3__FDSAUDITLINK__"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5"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1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19"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localSheetId="18"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4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5__FDSAUDITLINK__" localSheetId="5"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16"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19"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localSheetId="18"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5__FDSAUDITLINK__"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16__FDSAUDITLINK__" localSheetId="5"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16"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19"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localSheetId="18"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6__FDSAUDITLINK__" hidden="1">{"fdsup://IBCentral/FAT Viewer?action=UPDATE&amp;creator=factset&amp;DOC_NAME=fat:reuters_annual_source_window.fat&amp;display_string=Audit&amp;DYN_ARGS=TRUE&amp;VAR:ID1=98975W10&amp;VAR:RCODE=EBITDA&amp;VAR:SDATE=20070999&amp;VAR:FREQ=Y&amp;VAR:RELITEM=&amp;VAR:CURRENCY=&amp;VAR:CURRSOURCE=EXSHARE&amp;V","AR:NATFREQ=ANNUAL&amp;VAR:RFIELD=FINALIZED&amp;VAR:DB_TYPE=&amp;VAR:UNITS=M&amp;window=popup&amp;width=450&amp;height=300&amp;START_MAXIMIZED=FALSE"}</definedName>
    <definedName name="_217__FDSAUDITLINK__" localSheetId="5"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16"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19"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localSheetId="18"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7__FDSAUDITLINK__" hidden="1">{"fdsup://IBCentral/FAT Viewer?action=UPDATE&amp;creator=factset&amp;DOC_NAME=fat:reuters_annual_source_window.fat&amp;display_string=Audit&amp;DYN_ARGS=TRUE&amp;VAR:ID1=481835&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5"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16"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19"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localSheetId="18"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8__FDSAUDITLINK__" hidden="1">{"fdsup://IBCentral/FAT Viewer?action=UPDATE&amp;creator=factset&amp;DOC_NAME=fat:reuters_annual_source_window.fat&amp;display_string=Audit&amp;DYN_ARGS=TRUE&amp;VAR:ID1=570379&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5"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16"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19"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localSheetId="18"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19__FDSAUDITLINK__" hidden="1">{"fdsup://IBCentral/FAT Viewer?action=UPDATE&amp;creator=factset&amp;DOC_NAME=fat:reuters_annual_source_window.fat&amp;display_string=Audit&amp;DYN_ARGS=TRUE&amp;VAR:ID1=23282010&amp;VAR:RCODE=EBITDA&amp;VAR:SDATE=20071299&amp;VAR:FREQ=Y&amp;VAR:RELITEM=&amp;VAR:CURRENCY=&amp;VAR:CURRSOURCE=EXSHARE&amp;V","AR:NATFREQ=ANNUAL&amp;VAR:RFIELD=FINALIZED&amp;VAR:DB_TYPE=&amp;VAR:UNITS=M&amp;window=popup&amp;width=450&amp;height=300&amp;START_MAXIMIZED=FALSE"}</definedName>
    <definedName name="_22__123Graph_XNRET_PCE" hidden="1">[5]ADVOL!$A$23:$A$58</definedName>
    <definedName name="_22__FDSAUDITLINK__" localSheetId="5"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1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19"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localSheetId="18"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220__FDSAUDITLINK__" localSheetId="5"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16"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19"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localSheetId="18"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0__FDSAUDITLINK__" hidden="1">{"fdsup://IBCentral/FAT Viewer?action=UPDATE&amp;creator=factset&amp;DOC_NAME=fat:reuters_annual_source_window.fat&amp;display_string=Audit&amp;DYN_ARGS=TRUE&amp;VAR:ID1=689714&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5"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16"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19"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localSheetId="18"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1__FDSAUDITLINK__" hidden="1">{"fdsup://IBCentral/FAT Viewer?action=UPDATE&amp;creator=factset&amp;DOC_NAME=fat:reuters_annual_source_window.fat&amp;display_string=Audit&amp;DYN_ARGS=TRUE&amp;VAR:ID1=B0DX8R&amp;VAR:RCODE=EBITDA&amp;VAR:SDATE=20080399&amp;VAR:FREQ=Y&amp;VAR:RELITEM=&amp;VAR:CURRENCY=&amp;VAR:CURRSOURCE=EXSHARE&amp;VAR",":NATFREQ=ANNUAL&amp;VAR:RFIELD=FINALIZED&amp;VAR:DB_TYPE=&amp;VAR:UNITS=M&amp;window=popup&amp;width=450&amp;height=300&amp;START_MAXIMIZED=FALSE"}</definedName>
    <definedName name="_222__FDSAUDITLINK__" localSheetId="5"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16"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19"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localSheetId="18"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2__FDSAUDITLINK__"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5"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16"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19"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localSheetId="18"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3__FDSAUDITLINK__"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5"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16"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19"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localSheetId="18"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4__FDSAUDITLINK__"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225__FDSAUDITLINK__" localSheetId="5"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1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1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localSheetId="1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5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226__FDSAUDITLINK__" localSheetId="5"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1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1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localSheetId="1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6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5"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1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19"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localSheetId="18"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7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228__FDSAUDITLINK__" localSheetId="5"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16"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19"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localSheetId="18"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8__FDSAUDITLINK__"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5"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1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1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localSheetId="1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29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23__123Graph_XNRET_RS" hidden="1">[5]ADVOL!$A$30:$A$58</definedName>
    <definedName name="_23__FDSAUDITLINK__" localSheetId="5"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16"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19"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localSheetId="18"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__FDSAUDITLINK__"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5"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16"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19"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localSheetId="18"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0__FDSAUDITLINK__" hidden="1">{"fdsup://IBCentral/FAT Viewer?action=UPDATE&amp;creator=factset&amp;DOC_NAME=fat:reuters_annual_source_window.fat&amp;display_string=Audit&amp;DYN_ARGS=TRUE&amp;VAR:ID1=26353410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5"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16"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19"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localSheetId="18"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1__FDSAUDITLINK__" hidden="1">{"fdsup://IBCentral/FAT Viewer?action=UPDATE&amp;creator=factset&amp;DOC_NAME=fat:reuters_annual_source_window.fat&amp;display_string=Audit&amp;DYN_ARGS=TRUE&amp;VAR:ID1=36955010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5"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16"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19"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localSheetId="18"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2__FDSAUDITLINK__" hidden="1">{"fdsup://IBCentral/FAT Viewer?action=UPDATE&amp;creator=factset&amp;DOC_NAME=fat:reuters_annual_source_window.fat&amp;display_string=Audit&amp;DYN_ARGS=TRUE&amp;VAR:ID1=66680710&amp;VAR:RCODE=EBITDA&amp;VAR:SDATE=20071299&amp;VAR:FREQ=Y&amp;VAR:RELITEM=RP&amp;VAR:CURRENCY=&amp;VAR:CURRSOURCE=EXSHARE","&amp;VAR:NATFREQ=ANNUAL&amp;VAR:RFIELD=FINALIZED&amp;VAR:DB_TYPE=&amp;VAR:UNITS=M&amp;window=popup&amp;width=450&amp;height=300&amp;START_MAXIMIZED=FALSE"}</definedName>
    <definedName name="_233__FDSAUDITLINK__" localSheetId="5"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1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19"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localSheetId="18"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3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234__FDSAUDITLINK__" localSheetId="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1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localSheetId="1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4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235__FDSAUDITLINK__" localSheetId="5"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16"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19"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localSheetId="18"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5__FDSAUDITLINK__"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5"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16"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19"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localSheetId="18"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6__FDSAUDITLINK__"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5"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16"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19"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localSheetId="18"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7__FDSAUDITLINK__" hidden="1">{"fdsup://IBCentral/FAT Viewer?action=UPDATE&amp;creator=factset&amp;DOC_NAME=fat:reuters_annual_source_window.fat&amp;display_string=Audit&amp;DYN_ARGS=TRUE&amp;VAR:ID1=23156110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5"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16"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19"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localSheetId="18"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8__FDSAUDITLINK__"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239__FDSAUDITLINK__" localSheetId="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1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localSheetId="1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39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4__123Graph_XNRT_PCE" hidden="1">[5]ADVOL!$A$23:$A$58</definedName>
    <definedName name="_24__FDSAUDITLINK__" localSheetId="5"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16"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19"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localSheetId="18"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__FDSAUDITLINK__"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240__FDSAUDITLINK__" localSheetId="5"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1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1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localSheetId="1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0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5"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1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19"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localSheetId="18"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1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5"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1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1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localSheetId="1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2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5"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1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1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localSheetId="1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3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244__FDSAUDITLINK__" localSheetId="5"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16"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19"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localSheetId="18"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4__FDSAUDITLINK__" hidden="1">{"fdsup://IBCentral/FAT Viewer?action=UPDATE&amp;creator=factset&amp;DOC_NAME=fat:reuters_annual_source_window.fat&amp;display_string=Audit&amp;DYN_ARGS=TRUE&amp;VAR:ID1=26054310&amp;VAR:RCODE=EBITDA&amp;VAR:SDATE=20071299&amp;VAR:FREQ=Y&amp;VAR:RELITEM=RP&amp;VAR:CURRENCY=&amp;VAR:CURRSOURCE=EXSHARE","&amp;VAR:NATFREQ=ANNUAL&amp;VAR:RFIELD=FINALIZED&amp;VAR:DB_TYPE=&amp;VAR:UNITS=M&amp;window=popup&amp;width=450&amp;height=300&amp;START_MAXIMIZED=FALSE"}</definedName>
    <definedName name="_245__FDSAUDITLINK__" localSheetId="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1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1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localSheetId="1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5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46__FDSAUDITLINK__" localSheetId="5"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16"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19"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localSheetId="18"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6__FDSAUDITLINK__" hidden="1">{"fdsup://IBCentral/FAT Viewer?action=UPDATE&amp;creator=factset&amp;DOC_NAME=fat:reuters_annual_source_window.fat&amp;display_string=Audit&amp;DYN_ARGS=TRUE&amp;VAR:ID1=09972410&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5"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1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1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localSheetId="1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5"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1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19"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localSheetId="18"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8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249__FDSAUDITLINK__" localSheetId="5"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1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1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localSheetId="1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49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5__FDSAUDITLINK__" localSheetId="5"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16"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19"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localSheetId="18"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__FDSAUDITLINK__"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250__FDSAUDITLINK__" localSheetId="5"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1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19"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localSheetId="18"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0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51__FDSAUDITLINK__" localSheetId="5"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1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1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localSheetId="1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1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5"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1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1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localSheetId="1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2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5"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1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1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localSheetId="1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254__FDSAUDITLINK__" localSheetId="5"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16"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19"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localSheetId="18"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4__FDSAUDITLINK__" hidden="1">{"fdsup://IBCentral/FAT Viewer?action=UPDATE&amp;creator=factset&amp;DOC_NAME=fat:reuters_annual_source_window.fat&amp;display_string=Audit&amp;DYN_ARGS=TRUE&amp;VAR:ID1=G9143X20&amp;VAR:RCODE=EBITDA&amp;VAR:SDATE=20080999&amp;VAR:FREQ=Y&amp;VAR:RELITEM=&amp;VAR:CURRENCY=&amp;VAR:CURRSOURCE=EXSHARE&amp;V","AR:NATFREQ=ANNUAL&amp;VAR:RFIELD=FINALIZED&amp;VAR:DB_TYPE=&amp;VAR:UNITS=M&amp;window=popup&amp;width=450&amp;height=300&amp;START_MAXIMIZED=FALSE"}</definedName>
    <definedName name="_255__FDSAUDITLINK__" localSheetId="5"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1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19"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localSheetId="18"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5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5"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16"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19"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localSheetId="18"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6__FDSAUDITLINK__"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5"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16"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19"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localSheetId="18"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7__FDSAUDITLINK__" hidden="1">{"fdsup://IBCentral/FAT Viewer?action=UPDATE&amp;creator=factset&amp;DOC_NAME=fat:reuters_annual_source_window.fat&amp;display_string=Audit&amp;DYN_ARGS=TRUE&amp;VAR:ID1=91301710&amp;VAR:RCODE=EBITDA&amp;VAR:SDATE=20071299&amp;VAR:FREQ=Y&amp;VAR:RELITEM=&amp;VAR:CURRENCY=&amp;VAR:CURRSOURCE=EXSHARE&amp;V","AR:NATFREQ=ANNUAL&amp;VAR:RFIELD=FINALIZED&amp;VAR:DB_TYPE=&amp;VAR:UNITS=M&amp;window=popup&amp;width=450&amp;height=300&amp;START_MAXIMIZED=FALSE"}</definedName>
    <definedName name="_258__FDSAUDITLINK__" localSheetId="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1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localSheetId="1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8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259__FDSAUDITLINK__" localSheetId="5"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1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19"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localSheetId="18"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59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26__FDSAUDITLINK__" localSheetId="5"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1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19"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localSheetId="18"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260__FDSAUDITLINK__" localSheetId="5"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1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19"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localSheetId="18"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0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1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localSheetId="1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1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5"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16"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19"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localSheetId="18"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2__FDSAUDITLINK__" hidden="1">{"fdsup://IBCentral/FAT Viewer?action=UPDATE&amp;creator=factset&amp;DOC_NAME=fat:reuters_annual_source_window.fat&amp;display_string=Audit&amp;DYN_ARGS=TRUE&amp;VAR:ID1=026349&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5"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16"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19"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localSheetId="18"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3__FDSAUDITLINK__" hidden="1">{"fdsup://IBCentral/FAT Viewer?action=UPDATE&amp;creator=factset&amp;DOC_NAME=fat:reuters_annual_source_window.fat&amp;display_string=Audit&amp;DYN_ARGS=TRUE&amp;VAR:ID1=53983010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5"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16"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19"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localSheetId="18"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4__FDSAUDITLINK__" hidden="1">{"fdsup://IBCentral/FAT Viewer?action=UPDATE&amp;creator=factset&amp;DOC_NAME=fat:reuters_annual_source_window.fat&amp;display_string=Audit&amp;DYN_ARGS=TRUE&amp;VAR:ID1=75511150&amp;VAR:RCODE=EBITDA&amp;VAR:SDATE=20071299&amp;VAR:FREQ=Y&amp;VAR:RELITEM=&amp;VAR:CURRENCY=&amp;VAR:CURRSOURCE=EXSHARE&amp;V","AR:NATFREQ=ANNUAL&amp;VAR:RFIELD=FINALIZED&amp;VAR:DB_TYPE=&amp;VAR:UNITS=M&amp;window=popup&amp;width=450&amp;height=300&amp;START_MAXIMIZED=FALSE"}</definedName>
    <definedName name="_265__FDSAUDITLINK__" localSheetId="5"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16"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19"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localSheetId="18"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5__FDSAUDITLINK__" hidden="1">{"fdsup://IBCentral/FAT Viewer?action=UPDATE&amp;creator=factset&amp;DOC_NAME=fat:reuters_annual_source_window.fat&amp;display_string=Audit&amp;DYN_ARGS=TRUE&amp;VAR:ID1=41387510&amp;VAR:RCODE=EBITDA&amp;VAR:SDATE=20080699&amp;VAR:FREQ=Y&amp;VAR:RELITEM=&amp;VAR:CURRENCY=&amp;VAR:CURRSOURCE=EXSHARE&amp;V","AR:NATFREQ=ANNUAL&amp;VAR:RFIELD=FINALIZED&amp;VAR:DB_TYPE=&amp;VAR:UNITS=M&amp;window=popup&amp;width=450&amp;height=300&amp;START_MAXIMIZED=FALSE"}</definedName>
    <definedName name="_266__FDSAUDITLINK__" localSheetId="5"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16"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19"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localSheetId="18"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6__FDSAUDITLINK__" hidden="1">{"fdsup://IBCentral/FAT Viewer?action=UPDATE&amp;creator=factset&amp;DOC_NAME=fat:reuters_annual_source_window.fat&amp;display_string=Audit&amp;DYN_ARGS=TRUE&amp;VAR:ID1=36955010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5"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16"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19"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localSheetId="18"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7__FDSAUDITLINK__"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268__FDSAUDITLINK__" localSheetId="5"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1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1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localSheetId="1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8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269__FDSAUDITLINK__" localSheetId="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1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localSheetId="1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69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27__FDSAUDITLINK__" localSheetId="5"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16"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19"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localSheetId="18"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__FDSAUDITLINK__"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270__FDSAUDITLINK__" localSheetId="5"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1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1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localSheetId="1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0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5"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1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1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localSheetId="1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1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1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1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localSheetId="1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2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273__FDSAUDITLINK__" localSheetId="5"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1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1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localSheetId="1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3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274__FDSAUDITLINK__" localSheetId="5"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1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1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localSheetId="1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275__FDSAUDITLINK__" localSheetId="5"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1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19"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localSheetId="18"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5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276__FDSAUDITLINK__" localSheetId="5"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16"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19"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localSheetId="18"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6__FDSAUDITLINK__"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5"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1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19"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localSheetId="18"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7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5"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16"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19"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localSheetId="18"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8__FDSAUDITLINK__" hidden="1">{"fdsup://IBCentral/FAT Viewer?action=UPDATE&amp;creator=factset&amp;DOC_NAME=fat:reuters_annual_source_window.fat&amp;display_string=Audit&amp;DYN_ARGS=TRUE&amp;VAR:ID1=91301710&amp;VAR:RCODE=EBITDA&amp;VAR:SDATE=20071299&amp;VAR:FREQ=Y&amp;VAR:RELITEM=RP&amp;VAR:CURRENCY=&amp;VAR:CURRSOURCE=EXSHARE","&amp;VAR:NATFREQ=ANNUAL&amp;VAR:RFIELD=FINALIZED&amp;VAR:DB_TYPE=&amp;VAR:UNITS=M&amp;window=popup&amp;width=450&amp;height=300&amp;START_MAXIMIZED=FALSE"}</definedName>
    <definedName name="_279__FDSAUDITLINK__" localSheetId="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1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1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localSheetId="1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79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28__FDSAUDITLINK__" localSheetId="5"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1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19"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localSheetId="18"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280__FDSAUDITLINK__" localSheetId="5"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16"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19"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localSheetId="18"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0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281__FDSAUDITLINK__" localSheetId="5"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1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1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localSheetId="1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1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282__FDSAUDITLINK__" localSheetId="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1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1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localSheetId="1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2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283__FDSAUDITLINK__" localSheetId="5"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16"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19"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localSheetId="18"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3__FDSAUDITLINK__" hidden="1">{"fdsup://IBCentral/FAT Viewer?action=UPDATE&amp;creator=factset&amp;DOC_NAME=fat:reuters_annual_source_window.fat&amp;display_string=Audit&amp;DYN_ARGS=TRUE&amp;VAR:ID1=481835&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5"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16"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19"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localSheetId="18"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4__FDSAUDITLINK__" hidden="1">{"fdsup://IBCentral/FAT Viewer?action=UPDATE&amp;creator=factset&amp;DOC_NAME=fat:reuters_annual_source_window.fat&amp;display_string=Audit&amp;DYN_ARGS=TRUE&amp;VAR:ID1=570379&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5"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16"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19"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localSheetId="18"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5__FDSAUDITLINK__" hidden="1">{"fdsup://IBCentral/FAT Viewer?action=UPDATE&amp;creator=factset&amp;DOC_NAME=fat:reuters_annual_source_window.fat&amp;display_string=Audit&amp;DYN_ARGS=TRUE&amp;VAR:ID1=55922240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5"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16"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19"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localSheetId="18"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6__FDSAUDITLINK__" hidden="1">{"fdsup://IBCentral/FAT Viewer?action=UPDATE&amp;creator=factset&amp;DOC_NAME=fat:reuters_annual_source_window.fat&amp;display_string=Audit&amp;DYN_ARGS=TRUE&amp;VAR:ID1=69371810&amp;VAR:RCODE=EBITDA&amp;VAR:SDATE=20071299&amp;VAR:FREQ=Y&amp;VAR:RELITEM=RP&amp;VAR:CURRENCY=&amp;VAR:CURRSOURCE=EXSHARE","&amp;VAR:NATFREQ=ANNUAL&amp;VAR:RFIELD=FINALIZED&amp;VAR:DB_TYPE=&amp;VAR:UNITS=M&amp;window=popup&amp;width=450&amp;height=300&amp;START_MAXIMIZED=FALSE"}</definedName>
    <definedName name="_287__FDSAUDITLINK__" localSheetId="5"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16"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19"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localSheetId="18"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7__FDSAUDITLINK__" hidden="1">{"fdsup://IBCentral/FAT Viewer?action=UPDATE&amp;creator=factset&amp;DOC_NAME=fat:reuters_annual_source_window.fat&amp;display_string=Audit&amp;DYN_ARGS=TRUE&amp;VAR:ID1=63934E10&amp;VAR:RCODE=EBITDA&amp;VAR:SDATE=20071099&amp;VAR:FREQ=Y&amp;VAR:RELITEM=RP&amp;VAR:CURRENCY=&amp;VAR:CURRSOURCE=EXSHARE","&amp;VAR:NATFREQ=ANNUAL&amp;VAR:RFIELD=FINALIZED&amp;VAR:DB_TYPE=&amp;VAR:UNITS=M&amp;window=popup&amp;width=450&amp;height=300&amp;START_MAXIMIZED=FALSE"}</definedName>
    <definedName name="_288__FDSAUDITLINK__" localSheetId="5"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16"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19"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localSheetId="18"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8__FDSAUDITLINK__" hidden="1">{"fdsup://IBCentral/FAT Viewer?action=UPDATE&amp;creator=factset&amp;DOC_NAME=fat:reuters_annual_source_window.fat&amp;display_string=Audit&amp;DYN_ARGS=TRUE&amp;VAR:ID1=04335310&amp;VAR:RCODE=EBITDA&amp;VAR:SDATE=20070999&amp;VAR:FREQ=Y&amp;VAR:RELITEM=RP&amp;VAR:CURRENCY=&amp;VAR:CURRSOURCE=EXSHARE","&amp;VAR:NATFREQ=ANNUAL&amp;VAR:RFIELD=FINALIZED&amp;VAR:DB_TYPE=&amp;VAR:UNITS=M&amp;window=popup&amp;width=450&amp;height=300&amp;START_MAXIMIZED=FALSE"}</definedName>
    <definedName name="_289__FDSAUDITLINK__" localSheetId="5"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1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1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localSheetId="1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89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29__FDSAUDITLINK__" localSheetId="6"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3"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5"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__FDSAUDITLINK__" localSheetId="10"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16"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19"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localSheetId="18" hidden="1">{"fdsup://directions/FAT Viewer?action=UPDATE&amp;creator=factset&amp;DYN_ARGS=TRUE&amp;DOC_NAME=FAT:FQL_AUDITING_CLIENT_TEMPLATE.FAT&amp;display_string=Audit&amp;VAR:KEY=PUPARQXUXG&amp;VAR:QUERY=RkZfUEFZX09VVF9SQVRJTyhBTk4sTk9XKQ==&amp;WINDOW=FIRST_POPUP&amp;HEIGHT=450&amp;WIDTH=450&amp;START_MA","XIMIZED=FALSE&amp;VAR:CALENDAR=FIVEDAY&amp;VAR:SYMBOL=AMGN&amp;VAR:INDEX=0"}</definedName>
    <definedName name="_29__FDSAUDITLINK__" hidden="1">{"fdsup://IBCentral/FAT Viewer?action=UPDATE&amp;creator=factset&amp;DOC_NAME=fat:reuters_annual_source_window.fat&amp;display_string=Audit&amp;DYN_ARGS=TRUE&amp;VAR:ID1=B1Q3J3&amp;VAR:RCODE=EBITDA&amp;VAR:SDATE=20071299&amp;VAR:FREQ=Y&amp;VAR:RELITEM=&amp;VAR:CURRENCY=&amp;VAR:CURRSOURCE=EXSHARE&amp;VAR",":NATFREQ=ANNUAL&amp;VAR:RFIELD=FINALIZED&amp;VAR:DB_TYPE=&amp;VAR:UNITS=M&amp;window=popup&amp;width=450&amp;height=300&amp;START_MAXIMIZED=FALSE"}</definedName>
    <definedName name="_290__FDSAUDITLINK__" localSheetId="5"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1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1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localSheetId="1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0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5"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1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1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localSheetId="1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1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292__FDSAUDITLINK__" localSheetId="5"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16"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19"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localSheetId="18"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2__FDSAUDITLINK__" hidden="1">{"fdsup://IBCentral/FAT Viewer?action=UPDATE&amp;creator=factset&amp;DOC_NAME=fat:reuters_annual_source_window.fat&amp;display_string=Audit&amp;DYN_ARGS=TRUE&amp;VAR:ID1=07330210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5"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1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1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localSheetId="1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3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5"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16"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19"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localSheetId="18"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4__FDSAUDITLINK__" hidden="1">{"fdsup://IBCentral/FAT Viewer?action=UPDATE&amp;creator=factset&amp;DOC_NAME=fat:reuters_annual_source_window.fat&amp;display_string=Audit&amp;DYN_ARGS=TRUE&amp;VAR:ID1=86694210&amp;VAR:RCODE=EBITDA&amp;VAR:SDATE=20071299&amp;VAR:FREQ=Y&amp;VAR:RELITEM=RP&amp;VAR:CURRENCY=&amp;VAR:CURRSOURCE=EXSHARE","&amp;VAR:NATFREQ=ANNUAL&amp;VAR:RFIELD=FINALIZED&amp;VAR:DB_TYPE=&amp;VAR:UNITS=M&amp;window=popup&amp;width=450&amp;height=300&amp;START_MAXIMIZED=FALSE"}</definedName>
    <definedName name="_295__FDSAUDITLINK__" localSheetId="5"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16"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19"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localSheetId="18"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5__FDSAUDITLINK__" hidden="1">{"fdsup://IBCentral/FAT Viewer?action=UPDATE&amp;creator=factset&amp;DOC_NAME=fat:reuters_annual_source_window.fat&amp;display_string=Audit&amp;DYN_ARGS=TRUE&amp;VAR:ID1=676396&amp;VAR:RCODE=EBITDA&amp;VAR:SDATE=20080399&amp;VAR:FREQ=Y&amp;VAR:RELITEM=RP&amp;VAR:CURRENCY=&amp;VAR:CURRSOURCE=EXSHARE&amp;V","AR:NATFREQ=ANNUAL&amp;VAR:RFIELD=FINALIZED&amp;VAR:DB_TYPE=&amp;VAR:UNITS=M&amp;window=popup&amp;width=450&amp;height=300&amp;START_MAXIMIZED=FALSE"}</definedName>
    <definedName name="_296__FDSAUDITLINK__" localSheetId="5"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16"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19"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localSheetId="18"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6__FDSAUDITLINK__" hidden="1">{"fdsup://IBCentral/FAT Viewer?action=UPDATE&amp;creator=factset&amp;DOC_NAME=fat:reuters_annual_source_window.fat&amp;display_string=Audit&amp;DYN_ARGS=TRUE&amp;VAR:ID1=69642930&amp;VAR:RCODE=EBITDA&amp;VAR:SDATE=20070799&amp;VAR:FREQ=Y&amp;VAR:RELITEM=RP&amp;VAR:CURRENCY=&amp;VAR:CURRSOURCE=EXSHARE","&amp;VAR:NATFREQ=ANNUAL&amp;VAR:RFIELD=FINALIZED&amp;VAR:DB_TYPE=&amp;VAR:UNITS=M&amp;window=popup&amp;width=450&amp;height=300&amp;START_MAXIMIZED=FALSE"}</definedName>
    <definedName name="_297__FDSAUDITLINK__" localSheetId="5"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16"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19"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localSheetId="18"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7__FDSAUDITLINK__" hidden="1">{"fdsup://IBCentral/FAT Viewer?action=UPDATE&amp;creator=factset&amp;DOC_NAME=fat:reuters_annual_source_window.fat&amp;display_string=Audit&amp;DYN_ARGS=TRUE&amp;VAR:ID1=490238&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5"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16"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19"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localSheetId="18"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8__FDSAUDITLINK__" hidden="1">{"fdsup://IBCentral/FAT Viewer?action=UPDATE&amp;creator=factset&amp;DOC_NAME=fat:reuters_annual_source_window.fat&amp;display_string=Audit&amp;DYN_ARGS=TRUE&amp;VAR:ID1=80413710&amp;VAR:RCODE=EBITDA&amp;VAR:SDATE=20071299&amp;VAR:FREQ=Y&amp;VAR:RELITEM=RP&amp;VAR:CURRENCY=&amp;VAR:CURRSOURCE=EXSHARE","&amp;VAR:NATFREQ=ANNUAL&amp;VAR:RFIELD=FINALIZED&amp;VAR:DB_TYPE=&amp;VAR:UNITS=M&amp;window=popup&amp;width=450&amp;height=300&amp;START_MAXIMIZED=FALSE"}</definedName>
    <definedName name="_299__FDSAUDITLINK__" localSheetId="5"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1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19"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localSheetId="18"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299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3__123Graph_AADV_PCE" hidden="1">[5]ADVOL!$F$170:$F$202</definedName>
    <definedName name="_3__123Graph_ACHART_3" localSheetId="6" hidden="1">'[6]Edge 10797 Drilling Inventory'!#REF!</definedName>
    <definedName name="_3__123Graph_ACHART_3" localSheetId="3" hidden="1">'[6]Edge 10797 Drilling Inventory'!#REF!</definedName>
    <definedName name="_3__123Graph_ACHART_3" localSheetId="5" hidden="1">'[6]Edge 10797 Drilling Inventory'!#REF!</definedName>
    <definedName name="_3__123Graph_ACHART_3" localSheetId="19" hidden="1">'[6]Edge 10797 Drilling Inventory'!#REF!</definedName>
    <definedName name="_3__123Graph_ACHART_3" localSheetId="18" hidden="1">'[6]Edge 10797 Drilling Inventory'!#REF!</definedName>
    <definedName name="_3__123Graph_ACHART_3" hidden="1">'[6]Edge 10797 Drilling Inventory'!#REF!</definedName>
    <definedName name="_3__123Graph_ALIQUIDS" hidden="1">[4]P!$S$78:$AL$78</definedName>
    <definedName name="_3__FDSAUDITLINK__" localSheetId="5"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1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19"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localSheetId="18"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30__FDSAUDITLINK__" localSheetId="6"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3"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5"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__FDSAUDITLINK__" localSheetId="10"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16"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19"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localSheetId="18" hidden="1">{"fdsup://directions/FAT Viewer?action=UPDATE&amp;creator=factset&amp;DYN_ARGS=TRUE&amp;DOC_NAME=FAT:FQL_AUDITING_CLIENT_TEMPLATE.FAT&amp;display_string=Audit&amp;VAR:KEY=NOBIVMNGPE&amp;VAR:QUERY=RkZfUEFZX09VVF9SQVRJTyhBTk4sTk9XKQ==&amp;WINDOW=FIRST_POPUP&amp;HEIGHT=450&amp;WIDTH=450&amp;START_MA","XIMIZED=FALSE&amp;VAR:CALENDAR=FIVEDAY&amp;VAR:SYMBOL=ALXN&amp;VAR:INDEX=0"}</definedName>
    <definedName name="_30__FDSAUDITLINK__" hidden="1">{"fdsup://IBCentral/FAT Viewer?action=UPDATE&amp;creator=factset&amp;DOC_NAME=fat:reuters_annual_source_window.fat&amp;display_string=Audit&amp;DYN_ARGS=TRUE&amp;VAR:ID1=98975W10&amp;VAR:RCODE=EBITDA&amp;VAR:SDATE=20070999&amp;VAR:FREQ=Y&amp;VAR:RELITEM=RP&amp;VAR:CURRENCY=&amp;VAR:CURRSOURCE=EXSHARE","&amp;VAR:NATFREQ=ANNUAL&amp;VAR:RFIELD=FINALIZED&amp;VAR:DB_TYPE=&amp;VAR:UNITS=M&amp;window=popup&amp;width=450&amp;height=300&amp;START_MAXIMIZED=FALSE"}</definedName>
    <definedName name="_300__FDSAUDITLINK__" localSheetId="5"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16"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19"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localSheetId="18"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0__FDSAUDITLINK__"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5"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16"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19"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localSheetId="18"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1__FDSAUDITLINK__" hidden="1">{"fdsup://IBCentral/FAT Viewer?action=UPDATE&amp;creator=factset&amp;DOC_NAME=fat:reuters_annual_source_window.fat&amp;display_string=Audit&amp;DYN_ARGS=TRUE&amp;VAR:ID1=B11ZRK&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5"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16"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19"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localSheetId="18"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2__FDSAUDITLINK__" hidden="1">{"fdsup://IBCentral/FAT Viewer?action=UPDATE&amp;creator=factset&amp;DOC_NAME=fat:reuters_annual_source_window.fat&amp;display_string=Audit&amp;DYN_ARGS=TRUE&amp;VAR:ID1=44351020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5"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16"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19"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localSheetId="18"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3__FDSAUDITLINK__" hidden="1">{"fdsup://IBCentral/FAT Viewer?action=UPDATE&amp;creator=factset&amp;DOC_NAME=fat:reuters_annual_source_window.fat&amp;display_string=Audit&amp;DYN_ARGS=TRUE&amp;VAR:ID1=88431510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5"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16"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19"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localSheetId="18"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4__FDSAUDITLINK__" hidden="1">{"fdsup://IBCentral/FAT Viewer?action=UPDATE&amp;creator=factset&amp;DOC_NAME=fat:reuters_annual_source_window.fat&amp;display_string=Audit&amp;DYN_ARGS=TRUE&amp;VAR:ID1=G2418210&amp;VAR:RCODE=EBITDA&amp;VAR:SDATE=20071299&amp;VAR:FREQ=Y&amp;VAR:RELITEM=RP&amp;VAR:CURRENCY=&amp;VAR:CURRSOURCE=EXSHARE","&amp;VAR:NATFREQ=ANNUAL&amp;VAR:RFIELD=FINALIZED&amp;VAR:DB_TYPE=&amp;VAR:UNITS=M&amp;window=popup&amp;width=450&amp;height=300&amp;START_MAXIMIZED=FALSE"}</definedName>
    <definedName name="_305__FDSAUDITLINK__" localSheetId="5"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16"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19"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localSheetId="18"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5__FDSAUDITLINK__" hidden="1">{"fdsup://IBCentral/FAT Viewer?action=UPDATE&amp;creator=factset&amp;DOC_NAME=fat:reuters_annual_source_window.fat&amp;display_string=Audit&amp;DYN_ARGS=TRUE&amp;VAR:ID1=019520&amp;VAR:RCODE=EBITDA&amp;VAR:SDATE=20080399&amp;VAR:FREQ=Y&amp;VAR:RELITEM=RP&amp;VAR:CURRENCY=&amp;VAR:CURRSOURCE=EXSHARE&amp;V","AR:NATFREQ=ANNUAL&amp;VAR:RFIELD=FINALIZED&amp;VAR:DB_TYPE=&amp;VAR:UNITS=M&amp;window=popup&amp;width=450&amp;height=300&amp;START_MAXIMIZED=FALSE"}</definedName>
    <definedName name="_306__FDSAUDITLINK__" localSheetId="5"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16"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19"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localSheetId="18"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6__FDSAUDITLINK__" hidden="1">{"fdsup://IBCentral/FAT Viewer?action=UPDATE&amp;creator=factset&amp;DOC_NAME=fat:reuters_annual_source_window.fat&amp;display_string=Audit&amp;DYN_ARGS=TRUE&amp;VAR:ID1=87264S10&amp;VAR:RCODE=EBITDA&amp;VAR:SDATE=20071299&amp;VAR:FREQ=Y&amp;VAR:RELITEM=&amp;VAR:CURRENCY=&amp;VAR:CURRSOURCE=EXSHARE&amp;V","AR:NATFREQ=ANNUAL&amp;VAR:RFIELD=FINALIZED&amp;VAR:DB_TYPE=&amp;VAR:UNITS=M&amp;window=popup&amp;width=450&amp;height=300&amp;START_MAXIMIZED=FALSE"}</definedName>
    <definedName name="_307__FDSAUDITLINK__" localSheetId="5"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16"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19"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localSheetId="18"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7__FDSAUDITLINK__"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08__FDSAUDITLINK__" localSheetId="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1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localSheetId="1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8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309__FDSAUDITLINK__" localSheetId="5"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1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19"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localSheetId="18"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09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31__FDSAUDITLINK__" localSheetId="5"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16"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19"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localSheetId="18"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__FDSAUDITLINK__" hidden="1">{"fdsup://IBCentral/FAT Viewer?action=UPDATE&amp;creator=factset&amp;DOC_NAME=fat:reuters_annual_source_window.fat&amp;display_string=Audit&amp;DYN_ARGS=TRUE&amp;VAR:ID1=23282010&amp;VAR:RCODE=EBITDA&amp;VAR:SDATE=20071299&amp;VAR:FREQ=Y&amp;VAR:RELITEM=RP&amp;VAR:CURRENCY=&amp;VAR:CURRSOURCE=EXSHARE","&amp;VAR:NATFREQ=ANNUAL&amp;VAR:RFIELD=FINALIZED&amp;VAR:DB_TYPE=&amp;VAR:UNITS=M&amp;window=popup&amp;width=450&amp;height=300&amp;START_MAXIMIZED=FALSE"}</definedName>
    <definedName name="_310__FDSAUDITLINK__" localSheetId="5"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16"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19"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localSheetId="18"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0__FDSAUDITLINK__" hidden="1">{"fdsup://IBCentral/FAT Viewer?action=UPDATE&amp;creator=factset&amp;DOC_NAME=fat:reuters_annual_source_window.fat&amp;display_string=Audit&amp;DYN_ARGS=TRUE&amp;VAR:ID1=55922240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5"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16"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19"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localSheetId="18"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1__FDSAUDITLINK__"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312__FDSAUDITLINK__" localSheetId="5"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16"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19"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localSheetId="18"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2__FDSAUDITLINK__"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313__FDSAUDITLINK__" localSheetId="5"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16"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19"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localSheetId="18"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3__FDSAUDITLINK__" hidden="1">{"fdsup://IBCentral/FAT Viewer?action=UPDATE&amp;creator=factset&amp;DOC_NAME=fat:reuters_annual_source_window.fat&amp;display_string=Audit&amp;DYN_ARGS=TRUE&amp;VAR:ID1=04335310&amp;VAR:RCODE=EBITDA&amp;VAR:SDATE=20070999&amp;VAR:FREQ=Y&amp;VAR:RELITEM=&amp;VAR:CURRENCY=&amp;VAR:CURRSOURCE=EXSHARE&amp;V","AR:NATFREQ=ANNUAL&amp;VAR:RFIELD=FINALIZED&amp;VAR:DB_TYPE=&amp;VAR:UNITS=M&amp;window=popup&amp;width=450&amp;height=300&amp;START_MAXIMIZED=FALSE"}</definedName>
    <definedName name="_314__FDSAUDITLINK__" localSheetId="5"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1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1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localSheetId="1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4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315__FDSAUDITLINK__" localSheetId="5"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1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1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localSheetId="1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5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5"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16"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19"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localSheetId="18"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6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317__FDSAUDITLINK__" localSheetId="5"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16"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19"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localSheetId="18"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7__FDSAUDITLINK__" hidden="1">{"fdsup://IBCentral/FAT Viewer?action=UPDATE&amp;creator=factset&amp;DOC_NAME=fat:reuters_annual_source_window.fat&amp;display_string=Audit&amp;DYN_ARGS=TRUE&amp;VAR:ID1=07330210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5"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1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1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localSheetId="1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8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5"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16"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19"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localSheetId="18"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19__FDSAUDITLINK__" hidden="1">{"fdsup://IBCentral/FAT Viewer?action=UPDATE&amp;creator=factset&amp;DOC_NAME=fat:reuters_annual_source_window.fat&amp;display_string=Audit&amp;DYN_ARGS=TRUE&amp;VAR:ID1=86694210&amp;VAR:RCODE=EBITDA&amp;VAR:SDATE=20071299&amp;VAR:FREQ=Y&amp;VAR:RELITEM=&amp;VAR:CURRENCY=&amp;VAR:CURRSOURCE=EXSHARE&amp;V","AR:NATFREQ=ANNUAL&amp;VAR:RFIELD=FINALIZED&amp;VAR:DB_TYPE=&amp;VAR:UNITS=M&amp;window=popup&amp;width=450&amp;height=300&amp;START_MAXIMIZED=FALSE"}</definedName>
    <definedName name="_32__FDSAUDITLINK__" localSheetId="5"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16"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19"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localSheetId="18"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__FDSAUDITLINK__" hidden="1">{"fdsup://IBCentral/FAT Viewer?action=UPDATE&amp;creator=factset&amp;DOC_NAME=fat:reuters_annual_source_window.fat&amp;display_string=Audit&amp;DYN_ARGS=TRUE&amp;VAR:ID1=689714&amp;VAR:RCODE=EBITDA&amp;VAR:SDATE=20080399&amp;VAR:FREQ=Y&amp;VAR:RELITEM=RP&amp;VAR:CURRENCY=&amp;VAR:CURRSOURCE=EXSHARE&amp;V","AR:NATFREQ=ANNUAL&amp;VAR:RFIELD=FINALIZED&amp;VAR:DB_TYPE=&amp;VAR:UNITS=M&amp;window=popup&amp;width=450&amp;height=300&amp;START_MAXIMIZED=FALSE"}</definedName>
    <definedName name="_320__FDSAUDITLINK__" localSheetId="5"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1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19"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localSheetId="18"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0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321__FDSAUDITLINK__" localSheetId="5"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16"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19"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localSheetId="18"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1__FDSAUDITLINK__"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322__FDSAUDITLINK__" localSheetId="5"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16"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19"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localSheetId="18"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2__FDSAUDITLINK__" hidden="1">{"fdsup://IBCentral/FAT Viewer?action=UPDATE&amp;creator=factset&amp;DOC_NAME=fat:reuters_annual_source_window.fat&amp;display_string=Audit&amp;DYN_ARGS=TRUE&amp;VAR:ID1=490238&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5"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16"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19"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localSheetId="18"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3__FDSAUDITLINK__" hidden="1">{"fdsup://IBCentral/FAT Viewer?action=UPDATE&amp;creator=factset&amp;DOC_NAME=fat:reuters_annual_source_window.fat&amp;display_string=Audit&amp;DYN_ARGS=TRUE&amp;VAR:ID1=80413710&amp;VAR:RCODE=EBITDA&amp;VAR:SDATE=20071299&amp;VAR:FREQ=Y&amp;VAR:RELITEM=&amp;VAR:CURRENCY=&amp;VAR:CURRSOURCE=EXSHARE&amp;V","AR:NATFREQ=ANNUAL&amp;VAR:RFIELD=FINALIZED&amp;VAR:DB_TYPE=&amp;VAR:UNITS=M&amp;window=popup&amp;width=450&amp;height=300&amp;START_MAXIMIZED=FALSE"}</definedName>
    <definedName name="_324__FDSAUDITLINK__" localSheetId="5"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16"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19"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localSheetId="18"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4__FDSAUDITLINK__"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325__FDSAUDITLINK__" localSheetId="5"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1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1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localSheetId="1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5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5"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16"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19"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localSheetId="18"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6__FDSAUDITLINK__"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5"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16"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19"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localSheetId="18"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7__FDSAUDITLINK__" hidden="1">{"fdsup://IBCentral/FAT Viewer?action=UPDATE&amp;creator=factset&amp;DOC_NAME=fat:reuters_annual_source_window.fat&amp;display_string=Audit&amp;DYN_ARGS=TRUE&amp;VAR:ID1=44351020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5"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16"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19"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localSheetId="18"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8__FDSAUDITLINK__" hidden="1">{"fdsup://IBCentral/FAT Viewer?action=UPDATE&amp;creator=factset&amp;DOC_NAME=fat:reuters_annual_source_window.fat&amp;display_string=Audit&amp;DYN_ARGS=TRUE&amp;VAR:ID1=88431510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5"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16"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19"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localSheetId="18"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29__FDSAUDITLINK__" hidden="1">{"fdsup://IBCentral/FAT Viewer?action=UPDATE&amp;creator=factset&amp;DOC_NAME=fat:reuters_annual_source_window.fat&amp;display_string=Audit&amp;DYN_ARGS=TRUE&amp;VAR:ID1=G2418210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5"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1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19"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localSheetId="18"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330__FDSAUDITLINK__" localSheetId="5"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16"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19"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localSheetId="18"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0__FDSAUDITLINK__"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331__FDSAUDITLINK__" localSheetId="5"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16"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19"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localSheetId="18"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1__FDSAUDITLINK__" hidden="1">{"fdsup://IBCentral/FAT Viewer?action=UPDATE&amp;creator=factset&amp;DOC_NAME=fat:reuters_annual_source_window.fat&amp;display_string=Audit&amp;DYN_ARGS=TRUE&amp;VAR:ID1=Y9369110&amp;VAR:RCODE=EBITDA&amp;VAR:SDATE=20071099&amp;VAR:FREQ=Y&amp;VAR:RELITEM=RP&amp;VAR:CURRENCY=&amp;VAR:CURRSOURCE=EXSHARE","&amp;VAR:NATFREQ=ANNUAL&amp;VAR:RFIELD=FINALIZED&amp;VAR:DB_TYPE=&amp;VAR:UNITS=M&amp;window=popup&amp;width=450&amp;height=300&amp;START_MAXIMIZED=FALSE"}</definedName>
    <definedName name="_332__FDSAUDITLINK__" localSheetId="5"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16"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19"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localSheetId="18"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2__FDSAUDITLINK__" hidden="1">{"fdsup://IBCentral/FAT Viewer?action=UPDATE&amp;creator=factset&amp;DOC_NAME=fat:reuters_annual_source_window.fat&amp;display_string=Audit&amp;DYN_ARGS=TRUE&amp;VAR:ID1=27000610&amp;VAR:RCODE=EBITDA&amp;VAR:SDATE=20070999&amp;VAR:FREQ=Y&amp;VAR:RELITEM=RP&amp;VAR:CURRENCY=&amp;VAR:CURRSOURCE=EXSHARE","&amp;VAR:NATFREQ=ANNUAL&amp;VAR:RFIELD=FINALIZED&amp;VAR:DB_TYPE=&amp;VAR:UNITS=M&amp;window=popup&amp;width=450&amp;height=300&amp;START_MAXIMIZED=FALSE"}</definedName>
    <definedName name="_333__FDSAUDITLINK__" localSheetId="5"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16"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19"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localSheetId="18"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3__FDSAUDITLINK__" hidden="1">{"fdsup://IBCentral/FAT Viewer?action=UPDATE&amp;creator=factset&amp;DOC_NAME=fat:reuters_annual_source_window.fat&amp;display_string=Audit&amp;DYN_ARGS=TRUE&amp;VAR:ID1=48248010&amp;VAR:RCODE=EBITDA&amp;VAR:SDATE=20070699&amp;VAR:FREQ=Y&amp;VAR:RELITEM=RP&amp;VAR:CURRENCY=&amp;VAR:CURRSOURCE=EXSHARE","&amp;VAR:NATFREQ=ANNUAL&amp;VAR:RFIELD=FINALIZED&amp;VAR:DB_TYPE=&amp;VAR:UNITS=M&amp;window=popup&amp;width=450&amp;height=300&amp;START_MAXIMIZED=FALSE"}</definedName>
    <definedName name="_334__FDSAUDITLINK__" localSheetId="5"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16"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19"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localSheetId="18"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4__FDSAUDITLINK__" hidden="1">{"fdsup://IBCentral/FAT Viewer?action=UPDATE&amp;creator=factset&amp;DOC_NAME=fat:reuters_annual_source_window.fat&amp;display_string=Audit&amp;DYN_ARGS=TRUE&amp;VAR:ID1=04273510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5"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16"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19"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localSheetId="18"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5__FDSAUDITLINK__"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5"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1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19"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localSheetId="18"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6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5"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16"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19"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localSheetId="18"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7__FDSAUDITLINK__"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5"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1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19"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localSheetId="18"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8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339__FDSAUDITLINK__" localSheetId="5"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1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19"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localSheetId="18"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39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34__FDSAUDITLINK__" localSheetId="5"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1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1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localSheetId="1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340__FDSAUDITLINK__" localSheetId="5"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1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1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localSheetId="1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0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1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localSheetId="1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1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5"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16"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19"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localSheetId="18"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2__FDSAUDITLINK__" hidden="1">{"fdsup://IBCentral/FAT Viewer?action=UPDATE&amp;creator=factset&amp;DOC_NAME=fat:reuters_annual_source_window.fat&amp;display_string=Audit&amp;DYN_ARGS=TRUE&amp;VAR:ID1=G9508910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5"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16"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19"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localSheetId="18"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3__FDSAUDITLINK__" hidden="1">{"fdsup://IBCentral/FAT Viewer?action=UPDATE&amp;creator=factset&amp;DOC_NAME=fat:reuters_annual_source_window.fat&amp;display_string=Audit&amp;DYN_ARGS=TRUE&amp;VAR:ID1=63707110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5"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16"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19"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localSheetId="18"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4__FDSAUDITLINK__" hidden="1">{"fdsup://IBCentral/FAT Viewer?action=UPDATE&amp;creator=factset&amp;DOC_NAME=fat:reuters_annual_source_window.fat&amp;display_string=Audit&amp;DYN_ARGS=TRUE&amp;VAR:ID1=56357110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5"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16"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19"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localSheetId="18"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5__FDSAUDITLINK__" hidden="1">{"fdsup://IBCentral/FAT Viewer?action=UPDATE&amp;creator=factset&amp;DOC_NAME=fat:reuters_annual_source_window.fat&amp;display_string=Audit&amp;DYN_ARGS=TRUE&amp;VAR:ID1=59627810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5"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16"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19"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localSheetId="18"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6__FDSAUDITLINK__" hidden="1">{"fdsup://IBCentral/FAT Viewer?action=UPDATE&amp;creator=factset&amp;DOC_NAME=fat:reuters_annual_source_window.fat&amp;display_string=Audit&amp;DYN_ARGS=TRUE&amp;VAR:ID1=45878610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5"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16"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19"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localSheetId="18"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7__FDSAUDITLINK__" hidden="1">{"fdsup://IBCentral/FAT Viewer?action=UPDATE&amp;creator=factset&amp;DOC_NAME=fat:reuters_annual_source_window.fat&amp;display_string=Audit&amp;DYN_ARGS=TRUE&amp;VAR:ID1=23102110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5"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16"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19"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localSheetId="18"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8__FDSAUDITLINK__" hidden="1">{"fdsup://IBCentral/FAT Viewer?action=UPDATE&amp;creator=factset&amp;DOC_NAME=fat:reuters_annual_source_window.fat&amp;display_string=Audit&amp;DYN_ARGS=TRUE&amp;VAR:ID1=N2093520&amp;VAR:RCODE=EBITDA&amp;VAR:SDATE=20071299&amp;VAR:FREQ=Y&amp;VAR:RELITEM=RP&amp;VAR:CURRENCY=&amp;VAR:CURRSOURCE=EXSHARE","&amp;VAR:NATFREQ=ANNUAL&amp;VAR:RFIELD=FINALIZED&amp;VAR:DB_TYPE=&amp;VAR:UNITS=M&amp;window=popup&amp;width=450&amp;height=300&amp;START_MAXIMIZED=FALSE"}</definedName>
    <definedName name="_349__FDSAUDITLINK__" localSheetId="5"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16"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19"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localSheetId="18"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49__FDSAUDITLINK__" hidden="1">{"fdsup://IBCentral/FAT Viewer?action=UPDATE&amp;creator=factset&amp;DOC_NAME=fat:reuters_annual_source_window.fat&amp;display_string=Audit&amp;DYN_ARGS=TRUE&amp;VAR:ID1=649658&amp;VAR:RCODE=EBITDA&amp;VAR:SDATE=20080399&amp;VAR:FREQ=Y&amp;VAR:RELITEM=RP&amp;VAR:CURRENCY=&amp;VAR:CURRSOURCE=EXSHARE&amp;V","AR:NATFREQ=ANNUAL&amp;VAR:RFIELD=FINALIZED&amp;VAR:DB_TYPE=&amp;VAR:UNITS=M&amp;window=popup&amp;width=450&amp;height=300&amp;START_MAXIMIZED=FALSE"}</definedName>
    <definedName name="_35__FDSAUDITLINK__" localSheetId="5"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1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1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localSheetId="1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350__FDSAUDITLINK__" localSheetId="5"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16"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19"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localSheetId="18"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0__FDSAUDITLINK__" hidden="1">{"fdsup://IBCentral/FAT Viewer?action=UPDATE&amp;creator=factset&amp;DOC_NAME=fat:reuters_annual_source_window.fat&amp;display_string=Audit&amp;DYN_ARGS=TRUE&amp;VAR:ID1=88077910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5"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16"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19"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localSheetId="18"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1__FDSAUDITLINK__" hidden="1">{"fdsup://IBCentral/FAT Viewer?action=UPDATE&amp;creator=factset&amp;DOC_NAME=fat:reuters_annual_source_window.fat&amp;display_string=Audit&amp;DYN_ARGS=TRUE&amp;VAR:ID1=14912310&amp;VAR:RCODE=EBITDA&amp;VAR:SDATE=20071299&amp;VAR:FREQ=Y&amp;VAR:RELITEM=RP&amp;VAR:CURRENCY=&amp;VAR:CURRSOURCE=EXSHARE","&amp;VAR:NATFREQ=ANNUAL&amp;VAR:RFIELD=FINALIZED&amp;VAR:DB_TYPE=&amp;VAR:UNITS=M&amp;window=popup&amp;width=450&amp;height=300&amp;START_MAXIMIZED=FALSE"}</definedName>
    <definedName name="_352__FDSAUDITLINK__" localSheetId="5"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16"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19"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localSheetId="18"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2__FDSAUDITLINK__"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353__FDSAUDITLINK__" localSheetId="5"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16"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19"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localSheetId="18"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3__FDSAUDITLINK__" hidden="1">{"fdsup://IBCentral/FAT Viewer?action=UPDATE&amp;creator=factset&amp;DOC_NAME=fat:reuters_annual_source_window.fat&amp;display_string=Audit&amp;DYN_ARGS=TRUE&amp;VAR:ID1=27000610&amp;VAR:RCODE=EBITDA&amp;VAR:SDATE=20070999&amp;VAR:FREQ=Y&amp;VAR:RELITEM=&amp;VAR:CURRENCY=&amp;VAR:CURRSOURCE=EXSHARE&amp;V","AR:NATFREQ=ANNUAL&amp;VAR:RFIELD=FINALIZED&amp;VAR:DB_TYPE=&amp;VAR:UNITS=M&amp;window=popup&amp;width=450&amp;height=300&amp;START_MAXIMIZED=FALSE"}</definedName>
    <definedName name="_354__FDSAUDITLINK__" localSheetId="5"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16"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19"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localSheetId="18"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4__FDSAUDITLINK__" hidden="1">{"fdsup://IBCentral/FAT Viewer?action=UPDATE&amp;creator=factset&amp;DOC_NAME=fat:reuters_annual_source_window.fat&amp;display_string=Audit&amp;DYN_ARGS=TRUE&amp;VAR:ID1=48248010&amp;VAR:RCODE=EBITDA&amp;VAR:SDATE=20080699&amp;VAR:FREQ=Y&amp;VAR:RELITEM=&amp;VAR:CURRENCY=&amp;VAR:CURRSOURCE=EXSHARE&amp;V","AR:NATFREQ=ANNUAL&amp;VAR:RFIELD=FINALIZED&amp;VAR:DB_TYPE=&amp;VAR:UNITS=M&amp;window=popup&amp;width=450&amp;height=300&amp;START_MAXIMIZED=FALSE"}</definedName>
    <definedName name="_355__FDSAUDITLINK__" localSheetId="5"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16"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19"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localSheetId="18"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5__FDSAUDITLINK__" hidden="1">{"fdsup://IBCentral/FAT Viewer?action=UPDATE&amp;creator=factset&amp;DOC_NAME=fat:reuters_annual_source_window.fat&amp;display_string=Audit&amp;DYN_ARGS=TRUE&amp;VAR:ID1=04273510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5"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16"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19"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localSheetId="18"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6__FDSAUDITLINK__"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5"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1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1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localSheetId="1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7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5"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1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19"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localSheetId="18"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8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5"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1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1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localSheetId="1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59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36__FDSAUDITLINK__" localSheetId="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1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localSheetId="1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360__FDSAUDITLINK__" localSheetId="5"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1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19"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localSheetId="18"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0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361__FDSAUDITLINK__" localSheetId="5"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1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1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localSheetId="1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1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1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localSheetId="1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2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5"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16"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19"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localSheetId="18"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3__FDSAUDITLINK__"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5"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16"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19"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localSheetId="18"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4__FDSAUDITLINK__" hidden="1">{"fdsup://IBCentral/FAT Viewer?action=UPDATE&amp;creator=factset&amp;DOC_NAME=fat:reuters_annual_source_window.fat&amp;display_string=Audit&amp;DYN_ARGS=TRUE&amp;VAR:ID1=63707110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5"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16"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19"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localSheetId="18"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5__FDSAUDITLINK__" hidden="1">{"fdsup://IBCentral/FAT Viewer?action=UPDATE&amp;creator=factset&amp;DOC_NAME=fat:reuters_annual_source_window.fat&amp;display_string=Audit&amp;DYN_ARGS=TRUE&amp;VAR:ID1=59627810&amp;VAR:RCODE=EBITDA&amp;VAR:SDATE=20071299&amp;VAR:FREQ=Y&amp;VAR:RELITEM=&amp;VAR:CURRENCY=&amp;VAR:CURRSOURCE=EXSHARE&amp;V","AR:NATFREQ=ANNUAL&amp;VAR:RFIELD=FINALIZED&amp;VAR:DB_TYPE=&amp;VAR:UNITS=M&amp;window=popup&amp;width=450&amp;height=300&amp;START_MAXIMIZED=FALSE"}</definedName>
    <definedName name="_366__FDSAUDITLINK__" localSheetId="5"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1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19"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localSheetId="18"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6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67__FDSAUDITLINK__" localSheetId="5"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16"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19"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localSheetId="18"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7__FDSAUDITLINK__" hidden="1">{"fdsup://IBCentral/FAT Viewer?action=UPDATE&amp;creator=factset&amp;DOC_NAME=fat:reuters_annual_source_window.fat&amp;display_string=Audit&amp;DYN_ARGS=TRUE&amp;VAR:ID1=45878610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5"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1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19"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localSheetId="18"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8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5"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16"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19"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localSheetId="18"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69__FDSAUDITLINK__" hidden="1">{"fdsup://IBCentral/FAT Viewer?action=UPDATE&amp;creator=factset&amp;DOC_NAME=fat:reuters_annual_source_window.fat&amp;display_string=Audit&amp;DYN_ARGS=TRUE&amp;VAR:ID1=N2093520&amp;VAR:RCODE=EBITDA&amp;VAR:SDATE=20071299&amp;VAR:FREQ=Y&amp;VAR:RELITEM=&amp;VAR:CURRENCY=&amp;VAR:CURRSOURCE=EXSHARE&amp;V","AR:NATFREQ=ANNUAL&amp;VAR:RFIELD=FINALIZED&amp;VAR:DB_TYPE=&amp;VAR:UNITS=M&amp;window=popup&amp;width=450&amp;height=300&amp;START_MAXIMIZED=FALSE"}</definedName>
    <definedName name="_37__FDSAUDITLINK__" localSheetId="5"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1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1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localSheetId="1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370__FDSAUDITLINK__" localSheetId="5"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16"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19"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localSheetId="18"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0__FDSAUDITLINK__" hidden="1">{"fdsup://IBCentral/FAT Viewer?action=UPDATE&amp;creator=factset&amp;DOC_NAME=fat:reuters_annual_source_window.fat&amp;display_string=Audit&amp;DYN_ARGS=TRUE&amp;VAR:ID1=649658&amp;VAR:RCODE=EBITDA&amp;VAR:SDATE=20080399&amp;VAR:FREQ=Y&amp;VAR:RELITEM=&amp;VAR:CURRENCY=&amp;VAR:CURRSOURCE=EXSHARE&amp;VAR",":NATFREQ=ANNUAL&amp;VAR:RFIELD=FINALIZED&amp;VAR:DB_TYPE=&amp;VAR:UNITS=M&amp;window=popup&amp;width=450&amp;height=300&amp;START_MAXIMIZED=FALSE"}</definedName>
    <definedName name="_371__FDSAUDITLINK__" localSheetId="5"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16"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19"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localSheetId="18"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1__FDSAUDITLINK__" hidden="1">{"fdsup://IBCentral/FAT Viewer?action=UPDATE&amp;creator=factset&amp;DOC_NAME=fat:reuters_annual_source_window.fat&amp;display_string=Audit&amp;DYN_ARGS=TRUE&amp;VAR:ID1=88077910&amp;VAR:RCODE=EBITDA&amp;VAR:SDATE=20071299&amp;VAR:FREQ=Y&amp;VAR:RELITEM=&amp;VAR:CURRENCY=&amp;VAR:CURRSOURCE=EXSHARE&amp;V","AR:NATFREQ=ANNUAL&amp;VAR:RFIELD=FINALIZED&amp;VAR:DB_TYPE=&amp;VAR:UNITS=M&amp;window=popup&amp;width=450&amp;height=300&amp;START_MAXIMIZED=FALSE"}</definedName>
    <definedName name="_372__FDSAUDITLINK__" localSheetId="5"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1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1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localSheetId="1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2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373__FDSAUDITLINK__" localSheetId="5"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16"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19"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localSheetId="18"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3__FDSAUDITLINK__"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374__FDSAUDITLINK__" localSheetId="5"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1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19"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localSheetId="18"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4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5"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1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1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localSheetId="1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5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5"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1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1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localSheetId="1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6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5"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1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19"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localSheetId="18"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7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378__FDSAUDITLINK__" localSheetId="5"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16"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19"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localSheetId="18"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8__FDSAUDITLINK__" hidden="1">{"fdsup://IBCentral/FAT Viewer?action=UPDATE&amp;creator=factset&amp;DOC_NAME=fat:reuters_annual_source_window.fat&amp;display_string=Audit&amp;DYN_ARGS=TRUE&amp;VAR:ID1=027480&amp;VAR:RCODE=EBITDA&amp;VAR:SDATE=20071099&amp;VAR:FREQ=Y&amp;VAR:RELITEM=RP&amp;VAR:CURRENCY=&amp;VAR:CURRSOURCE=EXSHARE&amp;V","AR:NATFREQ=ANNUAL&amp;VAR:RFIELD=FINALIZED&amp;VAR:DB_TYPE=&amp;VAR:UNITS=M&amp;window=popup&amp;width=450&amp;height=300&amp;START_MAXIMIZED=FALSE"}</definedName>
    <definedName name="_379__FDSAUDITLINK__" localSheetId="5"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16"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19"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localSheetId="18"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79__FDSAUDITLINK__" hidden="1">{"fdsup://IBCentral/FAT Viewer?action=UPDATE&amp;creator=factset&amp;DOC_NAME=fat:reuters_annual_source_window.fat&amp;display_string=Audit&amp;DYN_ARGS=TRUE&amp;VAR:ID1=98920710&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6"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3"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5"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__FDSAUDITLINK__" localSheetId="10"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16"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19"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localSheetId="18" hidden="1">{"fdsup://directions/FAT Viewer?action=UPDATE&amp;creator=factset&amp;DYN_ARGS=TRUE&amp;DOC_NAME=FAT:FQL_AUDITING_CLIENT_TEMPLATE.FAT&amp;display_string=Audit&amp;VAR:KEY=NQHQDUZKFC&amp;VAR:QUERY=RkZfUEFZX09VVF9SQVRJTyhBTk4sTk9XKQ==&amp;WINDOW=FIRST_POPUP&amp;HEIGHT=450&amp;WIDTH=450&amp;START_MA","XIMIZED=FALSE&amp;VAR:CALENDAR=FIVEDAY&amp;VAR:SYMBOL=BAYRY&amp;VAR:INDEX=0"}</definedName>
    <definedName name="_38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380__FDSAUDITLINK__" localSheetId="5"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16"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19"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localSheetId="18"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0__FDSAUDITLINK__" hidden="1">{"fdsup://IBCentral/FAT Viewer?action=UPDATE&amp;creator=factset&amp;DOC_NAME=fat:reuters_annual_source_window.fat&amp;display_string=Audit&amp;DYN_ARGS=TRUE&amp;VAR:ID1=77390310&amp;VAR:RCODE=EBITDA&amp;VAR:SDATE=20070999&amp;VAR:FREQ=Y&amp;VAR:RELITEM=RP&amp;VAR:CURRENCY=&amp;VAR:CURRSOURCE=EXSHARE","&amp;VAR:NATFREQ=ANNUAL&amp;VAR:RFIELD=FINALIZED&amp;VAR:DB_TYPE=&amp;VAR:UNITS=M&amp;window=popup&amp;width=450&amp;height=300&amp;START_MAXIMIZED=FALSE"}</definedName>
    <definedName name="_381__FDSAUDITLINK__" localSheetId="5"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16"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19"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localSheetId="18"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1__FDSAUDITLINK__" hidden="1">{"fdsup://IBCentral/FAT Viewer?action=UPDATE&amp;creator=factset&amp;DOC_NAME=fat:reuters_annual_source_window.fat&amp;display_string=Audit&amp;DYN_ARGS=TRUE&amp;VAR:ID1=70109410&amp;VAR:RCODE=EBITDA&amp;VAR:SDATE=20070699&amp;VAR:FREQ=Y&amp;VAR:RELITEM=RP&amp;VAR:CURRENCY=&amp;VAR:CURRSOURCE=EXSHARE","&amp;VAR:NATFREQ=ANNUAL&amp;VAR:RFIELD=FINALIZED&amp;VAR:DB_TYPE=&amp;VAR:UNITS=M&amp;window=popup&amp;width=450&amp;height=300&amp;START_MAXIMIZED=FALSE"}</definedName>
    <definedName name="_382__FDSAUDITLINK__" localSheetId="5"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16"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19"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localSheetId="18"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2__FDSAUDITLINK__" hidden="1">{"fdsup://IBCentral/FAT Viewer?action=UPDATE&amp;creator=factset&amp;DOC_NAME=fat:reuters_annual_source_window.fat&amp;display_string=Audit&amp;DYN_ARGS=TRUE&amp;VAR:ID1=82966C10&amp;VAR:RCODE=EBITDA&amp;VAR:SDATE=20070999&amp;VAR:FREQ=Y&amp;VAR:RELITEM=RP&amp;VAR:CURRENCY=&amp;VAR:CURRSOURCE=EXSHARE","&amp;VAR:NATFREQ=ANNUAL&amp;VAR:RFIELD=FINALIZED&amp;VAR:DB_TYPE=&amp;VAR:UNITS=M&amp;window=popup&amp;width=450&amp;height=300&amp;START_MAXIMIZED=FALSE"}</definedName>
    <definedName name="_383__FDSAUDITLINK__" localSheetId="5"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16"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19"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localSheetId="18"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3__FDSAUDITLINK__" hidden="1">{"fdsup://IBCentral/FAT Viewer?action=UPDATE&amp;creator=factset&amp;DOC_NAME=fat:reuters_annual_source_window.fat&amp;display_string=Audit&amp;DYN_ARGS=TRUE&amp;VAR:ID1=80640710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5"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16"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19"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localSheetId="18"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4__FDSAUDITLINK__" hidden="1">{"fdsup://IBCentral/FAT Viewer?action=UPDATE&amp;creator=factset&amp;DOC_NAME=fat:reuters_annual_source_window.fat&amp;display_string=Audit&amp;DYN_ARGS=TRUE&amp;VAR:ID1=24903010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5"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16"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19"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localSheetId="18"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5__FDSAUDITLINK__" hidden="1">{"fdsup://IBCentral/FAT Viewer?action=UPDATE&amp;creator=factset&amp;DOC_NAME=fat:reuters_annual_source_window.fat&amp;display_string=Audit&amp;DYN_ARGS=TRUE&amp;VAR:ID1=71404610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5"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16"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19"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localSheetId="18"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6__FDSAUDITLINK__" hidden="1">{"fdsup://IBCentral/FAT Viewer?action=UPDATE&amp;creator=factset&amp;DOC_NAME=fat:reuters_annual_source_window.fat&amp;display_string=Audit&amp;DYN_ARGS=TRUE&amp;VAR:ID1=88355610&amp;VAR:RCODE=EBITDA&amp;VAR:SDATE=20071299&amp;VAR:FREQ=Y&amp;VAR:RELITEM=RP&amp;VAR:CURRENCY=&amp;VAR:CURRSOURCE=EXSHARE","&amp;VAR:NATFREQ=ANNUAL&amp;VAR:RFIELD=FINALIZED&amp;VAR:DB_TYPE=&amp;VAR:UNITS=M&amp;window=popup&amp;width=450&amp;height=300&amp;START_MAXIMIZED=FALSE"}</definedName>
    <definedName name="_387__FDSAUDITLINK__" localSheetId="5"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16"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19"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localSheetId="18"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7__FDSAUDITLINK__" hidden="1">{"fdsup://IBCentral/FAT Viewer?action=UPDATE&amp;creator=factset&amp;DOC_NAME=fat:reuters_annual_source_window.fat&amp;display_string=Audit&amp;DYN_ARGS=TRUE&amp;VAR:ID1=07588710&amp;VAR:RCODE=EBITDA&amp;VAR:SDATE=20070999&amp;VAR:FREQ=Y&amp;VAR:RELITEM=RP&amp;VAR:CURRENCY=&amp;VAR:CURRSOURCE=EXSHARE","&amp;VAR:NATFREQ=ANNUAL&amp;VAR:RFIELD=FINALIZED&amp;VAR:DB_TYPE=&amp;VAR:UNITS=M&amp;window=popup&amp;width=450&amp;height=300&amp;START_MAXIMIZED=FALSE"}</definedName>
    <definedName name="_388__FDSAUDITLINK__" localSheetId="5"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16"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19"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localSheetId="18"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8__FDSAUDITLINK__" hidden="1">{"fdsup://IBCentral/FAT Viewer?action=UPDATE&amp;creator=factset&amp;DOC_NAME=fat:reuters_annual_source_window.fat&amp;display_string=Audit&amp;DYN_ARGS=TRUE&amp;VAR:ID1=07581110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5"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16"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19"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localSheetId="18"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89__FDSAUDITLINK__" hidden="1">{"fdsup://IBCentral/FAT Viewer?action=UPDATE&amp;creator=factset&amp;DOC_NAME=fat:reuters_annual_source_window.fat&amp;display_string=Audit&amp;DYN_ARGS=TRUE&amp;VAR:ID1=62985Q10&amp;VAR:RCODE=EBITDA&amp;VAR:SDATE=20071299&amp;VAR:FREQ=Y&amp;VAR:RELITEM=RP&amp;VAR:CURRENCY=&amp;VAR:CURRSOURCE=EXSHARE","&amp;VAR:NATFREQ=ANNUAL&amp;VAR:RFIELD=FINALIZED&amp;VAR:DB_TYPE=&amp;VAR:UNITS=M&amp;window=popup&amp;width=450&amp;height=300&amp;START_MAXIMIZED=FALSE"}</definedName>
    <definedName name="_39__FDSAUDITLINK__" localSheetId="6"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3"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5"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__FDSAUDITLINK__" localSheetId="10"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16"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19"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localSheetId="18" hidden="1">{"fdsup://directions/FAT Viewer?action=UPDATE&amp;creator=factset&amp;DYN_ARGS=TRUE&amp;DOC_NAME=FAT:FQL_AUDITING_CLIENT_TEMPLATE.FAT&amp;display_string=Audit&amp;VAR:KEY=LOPGHWHAPU&amp;VAR:QUERY=RkZfUEFZX09VVF9SQVRJTyhBTk4sTk9XKQ==&amp;WINDOW=FIRST_POPUP&amp;HEIGHT=450&amp;WIDTH=450&amp;START_MA","XIMIZED=FALSE&amp;VAR:CALENDAR=FIVEDAY&amp;VAR:SYMBOL=AZN&amp;VAR:INDEX=0"}</definedName>
    <definedName name="_39__FDSAUDITLINK__"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390__FDSAUDITLINK__" localSheetId="5"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16"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19"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localSheetId="18"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0__FDSAUDITLINK__" hidden="1">{"fdsup://IBCentral/FAT Viewer?action=UPDATE&amp;creator=factset&amp;DOC_NAME=fat:reuters_annual_source_window.fat&amp;display_string=Audit&amp;DYN_ARGS=TRUE&amp;VAR:ID1=63651810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5"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16"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19"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localSheetId="18"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1__FDSAUDITLINK__" hidden="1">{"fdsup://IBCentral/FAT Viewer?action=UPDATE&amp;creator=factset&amp;DOC_NAME=fat:reuters_annual_source_window.fat&amp;display_string=Audit&amp;DYN_ARGS=TRUE&amp;VAR:ID1=65182410&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5"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16"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19"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localSheetId="18"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2__FDSAUDITLINK__" hidden="1">{"fdsup://IBCentral/FAT Viewer?action=UPDATE&amp;creator=factset&amp;DOC_NAME=fat:reuters_annual_source_window.fat&amp;display_string=Audit&amp;DYN_ARGS=TRUE&amp;VAR:ID1=B096C6&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5"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16"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19"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localSheetId="18"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3__FDSAUDITLINK__" hidden="1">{"fdsup://IBCentral/FAT Viewer?action=UPDATE&amp;creator=factset&amp;DOC_NAME=fat:reuters_annual_source_window.fat&amp;display_string=Audit&amp;DYN_ARGS=TRUE&amp;VAR:ID1=88077010&amp;VAR:RCODE=EBITDA&amp;VAR:SDATE=20071299&amp;VAR:FREQ=Y&amp;VAR:RELITEM=RP&amp;VAR:CURRENCY=&amp;VAR:CURRSOURCE=EXSHARE","&amp;VAR:NATFREQ=ANNUAL&amp;VAR:RFIELD=FINALIZED&amp;VAR:DB_TYPE=&amp;VAR:UNITS=M&amp;window=popup&amp;width=450&amp;height=300&amp;START_MAXIMIZED=FALSE"}</definedName>
    <definedName name="_394__FDSAUDITLINK__" localSheetId="5"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16"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19"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localSheetId="18"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4__FDSAUDITLINK__" hidden="1">{"fdsup://IBCentral/FAT Viewer?action=UPDATE&amp;creator=factset&amp;DOC_NAME=fat:reuters_annual_source_window.fat&amp;display_string=Audit&amp;DYN_ARGS=TRUE&amp;VAR:ID1=00846U10&amp;VAR:RCODE=EBITDA&amp;VAR:SDATE=20071099&amp;VAR:FREQ=Y&amp;VAR:RELITEM=RP&amp;VAR:CURRENCY=&amp;VAR:CURRSOURCE=EXSHARE","&amp;VAR:NATFREQ=ANNUAL&amp;VAR:RFIELD=FINALIZED&amp;VAR:DB_TYPE=&amp;VAR:UNITS=M&amp;window=popup&amp;width=450&amp;height=300&amp;START_MAXIMIZED=FALSE"}</definedName>
    <definedName name="_395__FDSAUDITLINK__" localSheetId="5"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1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19"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localSheetId="18"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5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5"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1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1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localSheetId="1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6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5"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1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1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localSheetId="1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7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5"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16"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19"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localSheetId="18"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8__FDSAUDITLINK__"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399__FDSAUDITLINK__" localSheetId="5"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1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19"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localSheetId="18"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399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4__123Graph_AADV_PCGD" hidden="1">[5]ADVOL!$F$170:$F$202</definedName>
    <definedName name="_4__123Graph_ACHART_4" localSheetId="6" hidden="1">'[6]Edge 10797 Drilling Inventory'!#REF!</definedName>
    <definedName name="_4__123Graph_ACHART_4" localSheetId="3" hidden="1">'[6]Edge 10797 Drilling Inventory'!#REF!</definedName>
    <definedName name="_4__123Graph_ACHART_4" localSheetId="5" hidden="1">'[6]Edge 10797 Drilling Inventory'!#REF!</definedName>
    <definedName name="_4__123Graph_ACHART_4" localSheetId="19" hidden="1">'[6]Edge 10797 Drilling Inventory'!#REF!</definedName>
    <definedName name="_4__123Graph_ACHART_4" localSheetId="18" hidden="1">'[6]Edge 10797 Drilling Inventory'!#REF!</definedName>
    <definedName name="_4__123Graph_ACHART_4" hidden="1">'[6]Edge 10797 Drilling Inventory'!#REF!</definedName>
    <definedName name="_4__123Graph_AR_M_MARG" localSheetId="6" hidden="1">[1]P!#REF!</definedName>
    <definedName name="_4__123Graph_AR_M_MARG" localSheetId="3" hidden="1">[1]P!#REF!</definedName>
    <definedName name="_4__123Graph_AR_M_MARG" localSheetId="19" hidden="1">[1]P!#REF!</definedName>
    <definedName name="_4__123Graph_AR_M_MARG" localSheetId="18" hidden="1">[1]P!#REF!</definedName>
    <definedName name="_4__123Graph_AR_M_MARG" hidden="1">[1]P!#REF!</definedName>
    <definedName name="_4__FDSAUDITLINK__" localSheetId="5"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1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19"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localSheetId="18"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__FDSAUDITLINK__" localSheetId="6"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3"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5"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__FDSAUDITLINK__" localSheetId="10"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16"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19"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localSheetId="18" hidden="1">{"fdsup://directions/FAT Viewer?action=UPDATE&amp;creator=factset&amp;DYN_ARGS=TRUE&amp;DOC_NAME=FAT:FQL_AUDITING_CLIENT_TEMPLATE.FAT&amp;display_string=Audit&amp;VAR:KEY=ZCLCRSDAPS&amp;VAR:QUERY=RkZfUEFZX09VVF9SQVRJTyhBTk4sTk9XKQ==&amp;WINDOW=FIRST_POPUP&amp;HEIGHT=450&amp;WIDTH=450&amp;START_MA","XIMIZED=FALSE&amp;VAR:CALENDAR=FIVEDAY&amp;VAR:SYMBOL=PFE&amp;VAR:INDEX=0"}</definedName>
    <definedName name="_40__FDSAUDITLINK__" hidden="1">{"fdsup://IBCentral/FAT Viewer?action=UPDATE&amp;creator=factset&amp;DOC_NAME=fat:reuters_annual_source_window.fat&amp;display_string=Audit&amp;DYN_ARGS=TRUE&amp;VAR:ID1=665118&amp;VAR:RCODE=EBITDA&amp;VAR:SDATE=20080399&amp;VAR:FREQ=Y&amp;VAR:RELITEM=&amp;VAR:CURRENCY=&amp;VAR:CURRSOURCE=EXSHARE&amp;VAR",":NATFREQ=ANNUAL&amp;VAR:RFIELD=FINALIZED&amp;VAR:DB_TYPE=&amp;VAR:UNITS=M&amp;window=popup&amp;width=450&amp;height=300&amp;START_MAXIMIZED=FALSE"}</definedName>
    <definedName name="_400__FDSAUDITLINK__" localSheetId="5"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1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1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localSheetId="1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0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401__FDSAUDITLINK__" localSheetId="5"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16"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19"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localSheetId="18"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1__FDSAUDITLINK__" hidden="1">{"fdsup://IBCentral/FAT Viewer?action=UPDATE&amp;creator=factset&amp;DOC_NAME=fat:reuters_annual_source_window.fat&amp;display_string=Audit&amp;DYN_ARGS=TRUE&amp;VAR:ID1=77390310&amp;VAR:RCODE=EBITDA&amp;VAR:SDATE=20080999&amp;VAR:FREQ=Y&amp;VAR:RELITEM=&amp;VAR:CURRENCY=&amp;VAR:CURRSOURCE=EXSHARE&amp;V","AR:NATFREQ=ANNUAL&amp;VAR:RFIELD=FINALIZED&amp;VAR:DB_TYPE=&amp;VAR:UNITS=M&amp;window=popup&amp;width=450&amp;height=300&amp;START_MAXIMIZED=FALSE"}</definedName>
    <definedName name="_402__FDSAUDITLINK__" localSheetId="5"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1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1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localSheetId="1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2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403__FDSAUDITLINK__" localSheetId="5"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16"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19"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localSheetId="18"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3__FDSAUDITLINK__"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404__FDSAUDITLINK__" localSheetId="5"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16"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19"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localSheetId="18"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4__FDSAUDITLINK__"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5"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16"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19"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localSheetId="18"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5__FDSAUDITLINK__" hidden="1">{"fdsup://IBCentral/FAT Viewer?action=UPDATE&amp;creator=factset&amp;DOC_NAME=fat:reuters_annual_source_window.fat&amp;display_string=Audit&amp;DYN_ARGS=TRUE&amp;VAR:ID1=24903010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5"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16"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19"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localSheetId="18"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6__FDSAUDITLINK__"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5"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16"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19"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localSheetId="18"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7__FDSAUDITLINK__"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408__FDSAUDITLINK__" localSheetId="5"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16"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19"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localSheetId="18"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8__FDSAUDITLINK__" hidden="1">{"fdsup://IBCentral/FAT Viewer?action=UPDATE&amp;creator=factset&amp;DOC_NAME=fat:reuters_annual_source_window.fat&amp;display_string=Audit&amp;DYN_ARGS=TRUE&amp;VAR:ID1=07588710&amp;VAR:RCODE=EBITDA&amp;VAR:SDATE=20080999&amp;VAR:FREQ=Y&amp;VAR:RELITEM=&amp;VAR:CURRENCY=&amp;VAR:CURRSOURCE=EXSHARE&amp;V","AR:NATFREQ=ANNUAL&amp;VAR:RFIELD=FINALIZED&amp;VAR:DB_TYPE=&amp;VAR:UNITS=M&amp;window=popup&amp;width=450&amp;height=300&amp;START_MAXIMIZED=FALSE"}</definedName>
    <definedName name="_409__FDSAUDITLINK__" localSheetId="5"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16"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19"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localSheetId="18"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09__FDSAUDITLINK__" hidden="1">{"fdsup://IBCentral/FAT Viewer?action=UPDATE&amp;creator=factset&amp;DOC_NAME=fat:reuters_annual_source_window.fat&amp;display_string=Audit&amp;DYN_ARGS=TRUE&amp;VAR:ID1=07581110&amp;VAR:RCODE=EBITDA&amp;VAR:SDATE=20071299&amp;VAR:FREQ=Y&amp;VAR:RELITEM=&amp;VAR:CURRENCY=&amp;VAR:CURRSOURCE=EXSHARE&amp;V","AR:NATFREQ=ANNUAL&amp;VAR:RFIELD=FINALIZED&amp;VAR:DB_TYPE=&amp;VAR:UNITS=M&amp;window=popup&amp;width=450&amp;height=300&amp;START_MAXIMIZED=FALSE"}</definedName>
    <definedName name="_41__FDSAUDITLINK__" localSheetId="6"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3"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__FDSAUDITLINK__" localSheetId="10"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16"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19"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localSheetId="18" hidden="1">{"fdsup://directions/FAT Viewer?action=UPDATE&amp;creator=factset&amp;DYN_ARGS=TRUE&amp;DOC_NAME=FAT:FQL_AUDITING_CLIENT_TEMPLATE.FAT&amp;display_string=Audit&amp;VAR:KEY=BYLCVWFIZG&amp;VAR:QUERY=RkZfUEFZX09VVF9SQVRJTyhBTk4sTk9XKQ==&amp;WINDOW=FIRST_POPUP&amp;HEIGHT=450&amp;WIDTH=450&amp;START_MA","XIMIZED=FALSE&amp;VAR:CALENDAR=FIVEDAY&amp;VAR:SYMBOL=MRK&amp;VAR:INDEX=0"}</definedName>
    <definedName name="_41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10__FDSAUDITLINK__" localSheetId="5"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1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19"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localSheetId="18"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0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5"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1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19"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localSheetId="18"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1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5"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16"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19"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localSheetId="18"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2__FDSAUDITLINK__"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5"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16"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19"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localSheetId="18"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3__FDSAUDITLINK__"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5"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1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19"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localSheetId="18"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4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415__FDSAUDITLINK__" localSheetId="5"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16"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19"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localSheetId="18"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15__FDSAUDITLINK__"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42__FDSAUDITLINK__" localSheetId="6"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3"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5"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2__FDSAUDITLINK__" localSheetId="10"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16"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19"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localSheetId="18" hidden="1">{"fdsup://directions/FAT Viewer?action=UPDATE&amp;creator=factset&amp;DYN_ARGS=TRUE&amp;DOC_NAME=FAT:FQL_AUDITING_CLIENT_TEMPLATE.FAT&amp;display_string=Audit&amp;VAR:KEY=ZIRGRQDQTW&amp;VAR:QUERY=RkZfUEFZX09VVF9SQVRJTyhBTk4sTk9XKQ==&amp;WINDOW=FIRST_POPUP&amp;HEIGHT=450&amp;WIDTH=450&amp;START_MA","XIMIZED=FALSE&amp;VAR:CALENDAR=FIVEDAY&amp;VAR:SYMBOL=LLY&amp;VAR:INDEX=0"}</definedName>
    <definedName name="_42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3__FDSAUDITLINK__" localSheetId="6"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3"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5"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3__FDSAUDITLINK__" localSheetId="10"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16"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19"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localSheetId="18" hidden="1">{"fdsup://directions/FAT Viewer?action=UPDATE&amp;creator=factset&amp;DYN_ARGS=TRUE&amp;DOC_NAME=FAT:FQL_AUDITING_CLIENT_TEMPLATE.FAT&amp;display_string=Audit&amp;VAR:KEY=NEPKPEBABG&amp;VAR:QUERY=RkZfUEFZX09VVF9SQVRJTyhBTk4sTk9XKQ==&amp;WINDOW=FIRST_POPUP&amp;HEIGHT=450&amp;WIDTH=450&amp;START_MA","XIMIZED=FALSE&amp;VAR:CALENDAR=FIVEDAY&amp;VAR:SYMBOL=JNJ&amp;VAR:INDEX=0"}</definedName>
    <definedName name="_43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44__FDSAUDITLINK__" localSheetId="6"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3"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4__FDSAUDITLINK__" localSheetId="10"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16"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19"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localSheetId="18" hidden="1">{"fdsup://directions/FAT Viewer?action=UPDATE&amp;creator=factset&amp;DYN_ARGS=TRUE&amp;DOC_NAME=FAT:FQL_AUDITING_CLIENT_TEMPLATE.FAT&amp;display_string=Audit&amp;VAR:KEY=DCPCRGJOXS&amp;VAR:QUERY=RkZfUEFZX09VVF9SQVRJTyhBTk4sTk9XKQ==&amp;WINDOW=FIRST_POPUP&amp;HEIGHT=450&amp;WIDTH=450&amp;START_MA","XIMIZED=FALSE&amp;VAR:CALENDAR=FIVEDAY&amp;VAR:SYMBOL=BMY&amp;VAR:INDEX=0"}</definedName>
    <definedName name="_44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45__FDSAUDITLINK__" localSheetId="6"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3"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5"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__FDSAUDITLINK__" localSheetId="10"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16"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19"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localSheetId="18" hidden="1">{"fdsup://directions/FAT Viewer?action=UPDATE&amp;creator=factset&amp;DYN_ARGS=TRUE&amp;DOC_NAME=FAT:FQL_AUDITING_CLIENT_TEMPLATE.FAT&amp;display_string=Audit&amp;VAR:KEY=ZYZAZOHSNG&amp;VAR:QUERY=RkZfUEFZX09VVF9SQVRJTyhBTk4sTk9XKQ==&amp;WINDOW=FIRST_POPUP&amp;HEIGHT=450&amp;WIDTH=450&amp;START_MA","XIMIZED=FALSE&amp;VAR:CALENDAR=FIVEDAY&amp;VAR:SYMBOL=ABT&amp;VAR:INDEX=0"}</definedName>
    <definedName name="_45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450__FDSAUDITLINK__" localSheetId="5"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1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1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localSheetId="1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0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5"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16"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19"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localSheetId="18"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1__FDSAUDITLINK__" hidden="1">{"fdsup://IBCentral/FAT Viewer?action=UPDATE&amp;creator=factset&amp;DOC_NAME=fat:reuters_annual_source_window.fat&amp;display_string=Audit&amp;DYN_ARGS=TRUE&amp;VAR:ID1=82434810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5"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1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19"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localSheetId="18"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2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53__FDSAUDITLINK__" localSheetId="5"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16"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19"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localSheetId="18"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3__FDSAUDITLINK__" hidden="1">{"fdsup://IBCentral/FAT Viewer?action=UPDATE&amp;creator=factset&amp;DOC_NAME=fat:reuters_annual_source_window.fat&amp;display_string=Audit&amp;DYN_ARGS=TRUE&amp;VAR:ID1=43707610&amp;VAR:RCODE=EBITDA&amp;VAR:SDATE=20080199&amp;VAR:FREQ=Y&amp;VAR:RELITEM=&amp;VAR:CURRENCY=&amp;VAR:CURRSOURCE=EXSHARE&amp;V","AR:NATFREQ=ANNUAL&amp;VAR:RFIELD=FINALIZED&amp;VAR:DB_TYPE=&amp;VAR:UNITS=M&amp;window=popup&amp;width=450&amp;height=300&amp;START_MAXIMIZED=FALSE"}</definedName>
    <definedName name="_454__FDSAUDITLINK__" localSheetId="5"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16"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19"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localSheetId="18"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4__FDSAUDITLINK__" hidden="1">{"fdsup://IBCentral/FAT Viewer?action=UPDATE&amp;creator=factset&amp;DOC_NAME=fat:reuters_annual_source_window.fat&amp;display_string=Audit&amp;DYN_ARGS=TRUE&amp;VAR:ID1=60819010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5"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16"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19"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localSheetId="18"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5__FDSAUDITLINK__" hidden="1">{"fdsup://IBCentral/FAT Viewer?action=UPDATE&amp;creator=factset&amp;DOC_NAME=fat:reuters_annual_source_window.fat&amp;display_string=Audit&amp;DYN_ARGS=TRUE&amp;VAR:ID1=36092110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5"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16"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19"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localSheetId="18"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6__FDSAUDITLINK__" hidden="1">{"fdsup://IBCentral/FAT Viewer?action=UPDATE&amp;creator=factset&amp;DOC_NAME=fat:reuters_annual_source_window.fat&amp;display_string=Audit&amp;DYN_ARGS=TRUE&amp;VAR:ID1=57459910&amp;VAR:RCODE=EBITDA&amp;VAR:SDATE=20071299&amp;VAR:FREQ=Y&amp;VAR:RELITEM=&amp;VAR:CURRENCY=&amp;VAR:CURRSOURCE=EXSHARE&amp;V","AR:NATFREQ=ANNUAL&amp;VAR:RFIELD=FINALIZED&amp;VAR:DB_TYPE=&amp;VAR:UNITS=M&amp;window=popup&amp;width=450&amp;height=300&amp;START_MAXIMIZED=FALSE"}</definedName>
    <definedName name="_457__FDSAUDITLINK__" localSheetId="5"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1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1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localSheetId="1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58__FDSAUDITLINK__" localSheetId="5"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16"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19"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localSheetId="18"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8__FDSAUDITLINK__" hidden="1">{"fdsup://IBCentral/FAT Viewer?action=UPDATE&amp;creator=factset&amp;DOC_NAME=fat:reuters_annual_source_window.fat&amp;display_string=Audit&amp;DYN_ARGS=TRUE&amp;VAR:ID1=46981410&amp;VAR:RCODE=EBITDA&amp;VAR:SDATE=20070999&amp;VAR:FREQ=Y&amp;VAR:RELITEM=RP&amp;VAR:CURRENCY=&amp;VAR:CURRSOURCE=EXSHARE","&amp;VAR:NATFREQ=ANNUAL&amp;VAR:RFIELD=FINALIZED&amp;VAR:DB_TYPE=&amp;VAR:UNITS=M&amp;window=popup&amp;width=450&amp;height=300&amp;START_MAXIMIZED=FALSE"}</definedName>
    <definedName name="_459__FDSAUDITLINK__" localSheetId="5"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16"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19"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localSheetId="18"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59__FDSAUDITLINK__" hidden="1">{"fdsup://IBCentral/FAT Viewer?action=UPDATE&amp;creator=factset&amp;DOC_NAME=fat:reuters_annual_source_window.fat&amp;display_string=Audit&amp;DYN_ARGS=TRUE&amp;VAR:ID1=34341210&amp;VAR:RCODE=EBITDA&amp;VAR:SDATE=20071299&amp;VAR:FREQ=Y&amp;VAR:RELITEM=RP&amp;VAR:CURRENCY=&amp;VAR:CURRSOURCE=EXSHARE","&amp;VAR:NATFREQ=ANNUAL&amp;VAR:RFIELD=FINALIZED&amp;VAR:DB_TYPE=&amp;VAR:UNITS=M&amp;window=popup&amp;width=450&amp;height=300&amp;START_MAXIMIZED=FALSE"}</definedName>
    <definedName name="_46__FDSAUDITLINK__" localSheetId="6"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3"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5"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__FDSAUDITLINK__" localSheetId="10"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16"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19"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localSheetId="18" hidden="1">{"fdsup://directions/FAT Viewer?action=UPDATE&amp;creator=factset&amp;DYN_ARGS=TRUE&amp;DOC_NAME=FAT:FQL_AUDITING_CLIENT_TEMPLATE.FAT&amp;display_string=Audit&amp;VAR:KEY=BCPWDIXCDW&amp;VAR:QUERY=RkZfSU5WRVNUX0xUKFFUUiwwKQ==&amp;WINDOW=FIRST_POPUP&amp;HEIGHT=450&amp;WIDTH=450&amp;START_MAXIMIZED=","FALSE&amp;VAR:CALENDAR=FIVEDAY&amp;VAR:SYMBOL=DRG&amp;VAR:INDEX=0"}</definedName>
    <definedName name="_46__FDSAUDITLINK__" hidden="1">{"fdsup://IBCentral/FAT Viewer?action=UPDATE&amp;creator=factset&amp;DOC_NAME=fat:reuters_annual_source_window.fat&amp;display_string=Audit&amp;DYN_ARGS=TRUE&amp;VAR:ID1=B01CP2&amp;VAR:RCODE=EBITDA&amp;VAR:SDATE=20071299&amp;VAR:FREQ=Y&amp;VAR:RELITEM=&amp;VAR:CURRENCY=&amp;VAR:CURRSOURCE=EXSHARE&amp;VAR",":NATFREQ=ANNUAL&amp;VAR:RFIELD=FINALIZED&amp;VAR:DB_TYPE=&amp;VAR:UNITS=M&amp;window=popup&amp;width=450&amp;height=300&amp;START_MAXIMIZED=FALSE"}</definedName>
    <definedName name="_460__FDSAUDITLINK__" localSheetId="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1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1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localSheetId="1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0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5"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1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1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localSheetId="1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1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462__FDSAUDITLINK__" localSheetId="5"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1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1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localSheetId="1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2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5"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1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1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localSheetId="1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3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5"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1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1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localSheetId="1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4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65__FDSAUDITLINK__" localSheetId="5"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16"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19"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localSheetId="18"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5__FDSAUDITLINK__" hidden="1">{"fdsup://IBCentral/FAT Viewer?action=UPDATE&amp;creator=factset&amp;DOC_NAME=fat:reuters_annual_source_window.fat&amp;display_string=Audit&amp;DYN_ARGS=TRUE&amp;VAR:ID1=29101110&amp;VAR:RCODE=EBITDA&amp;VAR:SDATE=20080999&amp;VAR:FREQ=Y&amp;VAR:RELITEM=&amp;VAR:CURRENCY=&amp;VAR:CURRSOURCE=EXSHARE&amp;V","AR:NATFREQ=ANNUAL&amp;VAR:RFIELD=FINALIZED&amp;VAR:DB_TYPE=&amp;VAR:UNITS=M&amp;window=popup&amp;width=450&amp;height=300&amp;START_MAXIMIZED=FALSE"}</definedName>
    <definedName name="_466__FDSAUDITLINK__" localSheetId="5"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1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19"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localSheetId="18"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6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5"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16"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19"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localSheetId="18"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7__FDSAUDITLINK__" hidden="1">{"fdsup://IBCentral/FAT Viewer?action=UPDATE&amp;creator=factset&amp;DOC_NAME=fat:reuters_annual_source_window.fat&amp;display_string=Audit&amp;DYN_ARGS=TRUE&amp;VAR:ID1=19401410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5"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1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1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localSheetId="1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8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1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localSheetId="1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69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7__FDSAUDITLINK__" localSheetId="6"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3"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5"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__FDSAUDITLINK__" localSheetId="10"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16"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19"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localSheetId="18" hidden="1">{"fdsup://directions/FAT Viewer?action=UPDATE&amp;creator=factset&amp;DYN_ARGS=TRUE&amp;DOC_NAME=FAT:FQL_AUDITING_CLIENT_TEMPLATE.FAT&amp;display_string=Audit&amp;VAR:KEY=TEDYJYHWRU&amp;VAR:QUERY=RkZfSU5WRVNUX0xUKFFUUiwwKQ==&amp;WINDOW=FIRST_POPUP&amp;HEIGHT=450&amp;WIDTH=450&amp;START_MAXIMIZED=","FALSE&amp;VAR:CALENDAR=FIVEDAY&amp;VAR:SYMBOL=SP565&amp;VAR:INDEX=0"}</definedName>
    <definedName name="_47__FDSAUDITLINK__" hidden="1">{"fdsup://IBCentral/FAT Viewer?action=UPDATE&amp;creator=factset&amp;DOC_NAME=fat:reuters_annual_source_window.fat&amp;display_string=Audit&amp;DYN_ARGS=TRUE&amp;VAR:ID1=635682&amp;VAR:RCODE=EBITDA&amp;VAR:SDATE=20080399&amp;VAR:FREQ=Y&amp;VAR:RELITEM=RP&amp;VAR:CURRENCY=&amp;VAR:CURRSOURCE=EXSHARE&amp;V","AR:NATFREQ=ANNUAL&amp;VAR:RFIELD=FINALIZED&amp;VAR:DB_TYPE=&amp;VAR:UNITS=M&amp;window=popup&amp;width=450&amp;height=300&amp;START_MAXIMIZED=FALSE"}</definedName>
    <definedName name="_470__FDSAUDITLINK__" localSheetId="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1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1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localSheetId="1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71__FDSAUDITLINK__" localSheetId="5"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1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1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localSheetId="1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1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472__FDSAUDITLINK__" localSheetId="5"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16"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19"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localSheetId="18"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2__FDSAUDITLINK__" hidden="1">{"fdsup://IBCentral/FAT Viewer?action=UPDATE&amp;creator=factset&amp;DOC_NAME=fat:reuters_annual_source_window.fat&amp;display_string=Audit&amp;DYN_ARGS=TRUE&amp;VAR:ID1=77019610&amp;VAR:RCODE=EBITDA&amp;VAR:SDATE=20070899&amp;VAR:FREQ=Y&amp;VAR:RELITEM=RP&amp;VAR:CURRENCY=&amp;VAR:CURRSOURCE=EXSHARE","&amp;VAR:NATFREQ=ANNUAL&amp;VAR:RFIELD=FINALIZED&amp;VAR:DB_TYPE=&amp;VAR:UNITS=M&amp;window=popup&amp;width=450&amp;height=300&amp;START_MAXIMIZED=FALSE"}</definedName>
    <definedName name="_473__FDSAUDITLINK__" localSheetId="5"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16"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19"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localSheetId="18"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3__FDSAUDITLINK__" hidden="1">{"fdsup://IBCentral/FAT Viewer?action=UPDATE&amp;creator=factset&amp;DOC_NAME=fat:reuters_annual_source_window.fat&amp;display_string=Audit&amp;DYN_ARGS=TRUE&amp;VAR:ID1=045796&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1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localSheetId="1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4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475__FDSAUDITLINK__" localSheetId="5"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1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1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localSheetId="1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5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5"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1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1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localSheetId="1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6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5"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1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1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localSheetId="1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7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5"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1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1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localSheetId="1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8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5"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1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1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localSheetId="1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79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48__FDSAUDITLINK__" localSheetId="6"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3"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5"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__FDSAUDITLINK__" localSheetId="10"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16"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19"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localSheetId="18" hidden="1">{"fdsup://directions/FAT Viewer?action=UPDATE&amp;creator=factset&amp;DYN_ARGS=TRUE&amp;DOC_NAME=FAT:FQL_AUDITING_CLIENT_TEMPLATE.FAT&amp;display_string=Audit&amp;VAR:KEY=DSLAREBAXY&amp;VAR:QUERY=RkZfSU5WRVNUX0xUKFFUUiwwKQ==&amp;WINDOW=FIRST_POPUP&amp;HEIGHT=450&amp;WIDTH=450&amp;START_MAXIMIZED=","FALSE&amp;VAR:CALENDAR=FIVEDAY&amp;VAR:SYMBOL=SP50&amp;VAR:INDEX=0"}</definedName>
    <definedName name="_48__FDSAUDITLINK__" hidden="1">{"fdsup://IBCentral/FAT Viewer?action=UPDATE&amp;creator=factset&amp;DOC_NAME=fat:reuters_annual_source_window.fat&amp;display_string=Audit&amp;DYN_ARGS=TRUE&amp;VAR:ID1=B09M9D&amp;VAR:RCODE=EBITDA&amp;VAR:SDATE=20071299&amp;VAR:FREQ=Y&amp;VAR:RELITEM=RP&amp;VAR:CURRENCY=&amp;VAR:CURRSOURCE=EXSHARE&amp;V","AR:NATFREQ=ANNUAL&amp;VAR:RFIELD=FINALIZED&amp;VAR:DB_TYPE=&amp;VAR:UNITS=M&amp;window=popup&amp;width=450&amp;height=300&amp;START_MAXIMIZED=FALSE"}</definedName>
    <definedName name="_480__FDSAUDITLINK__" localSheetId="5"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1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1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localSheetId="1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0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5"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1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1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localSheetId="1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1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482__FDSAUDITLINK__" localSheetId="5"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16"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19"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localSheetId="18"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2__FDSAUDITLINK__" hidden="1">{"fdsup://IBCentral/FAT Viewer?action=UPDATE&amp;creator=factset&amp;DOC_NAME=fat:reuters_annual_source_window.fat&amp;display_string=Audit&amp;DYN_ARGS=TRUE&amp;VAR:ID1=77019610&amp;VAR:RCODE=EBITDA&amp;VAR:SDATE=20080899&amp;VAR:FREQ=Y&amp;VAR:RELITEM=&amp;VAR:CURRENCY=&amp;VAR:CURRSOURCE=EXSHARE&amp;V","AR:NATFREQ=ANNUAL&amp;VAR:RFIELD=FINALIZED&amp;VAR:DB_TYPE=&amp;VAR:UNITS=M&amp;window=popup&amp;width=450&amp;height=300&amp;START_MAXIMIZED=FALSE"}</definedName>
    <definedName name="_483__FDSAUDITLINK__" localSheetId="5"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16"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19"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localSheetId="18"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3__FDSAUDITLINK__" hidden="1">{"fdsup://IBCentral/FAT Viewer?action=UPDATE&amp;creator=factset&amp;DOC_NAME=fat:reuters_annual_source_window.fat&amp;display_string=Audit&amp;DYN_ARGS=TRUE&amp;VAR:ID1=045796&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1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localSheetId="1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4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485__FDSAUDITLINK__" localSheetId="5"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16"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19"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localSheetId="18"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5__FDSAUDITLINK__"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486__FDSAUDITLINK__" localSheetId="5"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16"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19"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localSheetId="18"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6__FDSAUDITLINK__" hidden="1">{"fdsup://IBCentral/FAT Viewer?action=UPDATE&amp;creator=factset&amp;DOC_NAME=fat:reuters_annual_source_window.fat&amp;display_string=Audit&amp;DYN_ARGS=TRUE&amp;VAR:ID1=483410&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5"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1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1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localSheetId="1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7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88__FDSAUDITLINK__" localSheetId="5"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1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19"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localSheetId="18"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8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489__FDSAUDITLINK__" localSheetId="5"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16"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19"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localSheetId="18"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89__FDSAUDITLINK__" hidden="1">{"fdsup://IBCentral/FAT Viewer?action=UPDATE&amp;creator=factset&amp;DOC_NAME=fat:reuters_annual_source_window.fat&amp;display_string=Audit&amp;DYN_ARGS=TRUE&amp;VAR:ID1=77390310&amp;VAR:RCODE=EBITDA&amp;VAR:SDATE=20070999&amp;VAR:FREQ=Y&amp;VAR:RELITEM=&amp;VAR:CURRENCY=&amp;VAR:CURRSOURCE=EXSHARE&amp;V","AR:NATFREQ=ANNUAL&amp;VAR:RFIELD=FINALIZED&amp;VAR:DB_TYPE=&amp;VAR:UNITS=M&amp;window=popup&amp;width=450&amp;height=300&amp;START_MAXIMIZED=FALSE"}</definedName>
    <definedName name="_49__FDSAUDITLINK__" localSheetId="6"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3"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5"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__FDSAUDITLINK__" localSheetId="10"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16"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19"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localSheetId="18" hidden="1">{"fdsup://directions/FAT Viewer?action=UPDATE&amp;creator=factset&amp;DYN_ARGS=TRUE&amp;DOC_NAME=FAT:FQL_AUDITING_CLIENT_TEMPLATE.FAT&amp;display_string=Audit&amp;VAR:KEY=BCRAPSHKZU&amp;VAR:QUERY=RkZfSU5WRVNUX0xUKFFUUiwwKQ==&amp;WINDOW=FIRST_POPUP&amp;HEIGHT=450&amp;WIDTH=450&amp;START_MAXIMIZED=","FALSE&amp;VAR:CALENDAR=FIVEDAY&amp;VAR:SYMBOL=WPI&amp;VAR:INDEX=0"}</definedName>
    <definedName name="_49__FDSAUDITLINK__" hidden="1">{"fdsup://IBCentral/FAT Viewer?action=UPDATE&amp;creator=factset&amp;DOC_NAME=fat:reuters_annual_source_window.fat&amp;display_string=Audit&amp;DYN_ARGS=TRUE&amp;VAR:ID1=B0DJNG&amp;VAR:RCODE=EBITDA&amp;VAR:SDATE=20071299&amp;VAR:FREQ=Y&amp;VAR:RELITEM=RP&amp;VAR:CURRENCY=&amp;VAR:CURRSOURCE=EXSHARE&amp;V","AR:NATFREQ=ANNUAL&amp;VAR:RFIELD=FINALIZED&amp;VAR:DB_TYPE=&amp;VAR:UNITS=M&amp;window=popup&amp;width=450&amp;height=300&amp;START_MAXIMIZED=FALSE"}</definedName>
    <definedName name="_490__FDSAUDITLINK__" localSheetId="5"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16"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19"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localSheetId="18"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0__FDSAUDITLINK__" hidden="1">{"fdsup://IBCentral/FAT Viewer?action=UPDATE&amp;creator=factset&amp;DOC_NAME=fat:reuters_annual_source_window.fat&amp;display_string=Audit&amp;DYN_ARGS=TRUE&amp;VAR:ID1=B19DVX&amp;VAR:RCODE=EBITDA&amp;VAR:SDATE=20080399&amp;VAR:FREQ=Y&amp;VAR:RELITEM=&amp;VAR:CURRENCY=&amp;VAR:CURRSOURCE=EXSHARE&amp;VAR",":NATFREQ=ANNUAL&amp;VAR:RFIELD=FINALIZED&amp;VAR:DB_TYPE=&amp;VAR:UNITS=M&amp;window=popup&amp;width=450&amp;height=300&amp;START_MAXIMIZED=FALSE"}</definedName>
    <definedName name="_491__FDSAUDITLINK__" localSheetId="5"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1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1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localSheetId="1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1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492__FDSAUDITLINK__" localSheetId="5"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16"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19"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localSheetId="18"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2__FDSAUDITLINK__" hidden="1">{"fdsup://IBCentral/FAT Viewer?action=UPDATE&amp;creator=factset&amp;DOC_NAME=fat:reuters_annual_source_window.fat&amp;display_string=Audit&amp;DYN_ARGS=TRUE&amp;VAR:ID1=710889&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5"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1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1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localSheetId="1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3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5"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1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1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localSheetId="1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4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495__FDSAUDITLINK__" localSheetId="5"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1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1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localSheetId="1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5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5"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16"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19"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localSheetId="18"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6__FDSAUDITLINK__" hidden="1">{"fdsup://IBCentral/FAT Viewer?action=UPDATE&amp;creator=factset&amp;DOC_NAME=fat:reuters_annual_source_window.fat&amp;display_string=Audit&amp;DYN_ARGS=TRUE&amp;VAR:ID1=09179710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5"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1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1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localSheetId="1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7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498__FDSAUDITLINK__" localSheetId="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1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1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localSheetId="1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8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499__FDSAUDITLINK__" localSheetId="5"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1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1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localSheetId="1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499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__123Graph_AMAG_PCE" hidden="1">[5]ADVOL!$S$23:$S$54</definedName>
    <definedName name="_5__123Graph_BCHART_1" localSheetId="6" hidden="1">'[6]Edge 10797 Drilling Inventory'!#REF!</definedName>
    <definedName name="_5__123Graph_BCHART_1" localSheetId="3" hidden="1">'[6]Edge 10797 Drilling Inventory'!#REF!</definedName>
    <definedName name="_5__123Graph_BCHART_1" localSheetId="5" hidden="1">'[6]Edge 10797 Drilling Inventory'!#REF!</definedName>
    <definedName name="_5__123Graph_BCHART_1" localSheetId="19" hidden="1">'[6]Edge 10797 Drilling Inventory'!#REF!</definedName>
    <definedName name="_5__123Graph_BCHART_1" localSheetId="18" hidden="1">'[6]Edge 10797 Drilling Inventory'!#REF!</definedName>
    <definedName name="_5__123Graph_BCHART_1" hidden="1">'[6]Edge 10797 Drilling Inventory'!#REF!</definedName>
    <definedName name="_5__123Graph_XLIQUIDS" hidden="1">[4]P!$R$29:$AK$29</definedName>
    <definedName name="_5__FDSAUDITLINK__" localSheetId="5"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1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1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localSheetId="1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6"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3"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5"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__FDSAUDITLINK__" localSheetId="10"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16"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19"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localSheetId="18" hidden="1">{"fdsup://directions/FAT Viewer?action=UPDATE&amp;creator=factset&amp;DYN_ARGS=TRUE&amp;DOC_NAME=FAT:FQL_AUDITING_CLIENT_TEMPLATE.FAT&amp;display_string=Audit&amp;VAR:KEY=DKBYXGNAJE&amp;VAR:QUERY=RkZfSU5WRVNUX0xUKFFUUiwwKQ==&amp;WINDOW=FIRST_POPUP&amp;HEIGHT=450&amp;WIDTH=450&amp;START_MAXIMIZED=","FALSE&amp;VAR:CALENDAR=FIVEDAY&amp;VAR:SYMBOL=TEVA&amp;VAR:INDEX=0"}</definedName>
    <definedName name="_50__FDSAUDITLINK__" hidden="1">{"fdsup://IBCentral/FAT Viewer?action=UPDATE&amp;creator=factset&amp;DOC_NAME=fat:reuters_annual_source_window.fat&amp;display_string=Audit&amp;DYN_ARGS=TRUE&amp;VAR:ID1=596465&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5"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16"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19"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localSheetId="18"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0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01__FDSAUDITLINK__" localSheetId="5"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1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1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localSheetId="1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1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02__FDSAUDITLINK__" localSheetId="5"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1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1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localSheetId="1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2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5"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1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19"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localSheetId="18"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3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5"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1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1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localSheetId="1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5"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1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1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localSheetId="1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5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5"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1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19"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localSheetId="18"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6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507__FDSAUDITLINK__" localSheetId="5"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16"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19"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localSheetId="18"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7__FDSAUDITLINK__"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08__FDSAUDITLINK__" localSheetId="5"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1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1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localSheetId="1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8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09__FDSAUDITLINK__" localSheetId="5"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1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1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localSheetId="1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09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1__FDSAUDITLINK__" localSheetId="6"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3"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5"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__FDSAUDITLINK__" localSheetId="10"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16"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19"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localSheetId="18" hidden="1">{"fdsup://directions/FAT Viewer?action=UPDATE&amp;creator=factset&amp;DYN_ARGS=TRUE&amp;DOC_NAME=FAT:FQL_AUDITING_CLIENT_TEMPLATE.FAT&amp;display_string=Audit&amp;VAR:KEY=BSRGLGNQFU&amp;VAR:QUERY=RkZfSU5WRVNUX0xUKFFUUiwwKQ==&amp;WINDOW=FIRST_POPUP&amp;HEIGHT=450&amp;WIDTH=450&amp;START_MAXIMIZED=","FALSE&amp;VAR:CALENDAR=FIVEDAY&amp;VAR:SYMBOL=SGNT&amp;VAR:INDEX=0"}</definedName>
    <definedName name="_51__FDSAUDITLINK__" hidden="1">{"fdsup://IBCentral/FAT Viewer?action=UPDATE&amp;creator=factset&amp;DOC_NAME=fat:reuters_annual_source_window.fat&amp;display_string=Audit&amp;DYN_ARGS=TRUE&amp;VAR:ID1=732584&amp;VAR:RCODE=EBITDA&amp;VAR:SDATE=20071299&amp;VAR:FREQ=Y&amp;VAR:RELITEM=&amp;VAR:CURRENCY=&amp;VAR:CURRSOURCE=EXSHARE&amp;VAR",":NATFREQ=ANNUAL&amp;VAR:RFIELD=FINALIZED&amp;VAR:DB_TYPE=&amp;VAR:UNITS=M&amp;window=popup&amp;width=450&amp;height=300&amp;START_MAXIMIZED=FALSE"}</definedName>
    <definedName name="_510__FDSAUDITLINK__" localSheetId="5"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16"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19"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localSheetId="18"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0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1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1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localSheetId="1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1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5"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1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1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localSheetId="1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2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13__FDSAUDITLINK__" localSheetId="5"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16"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19"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localSheetId="18"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3__FDSAUDITLINK__" hidden="1">{"fdsup://IBCentral/FAT Viewer?action=UPDATE&amp;creator=factset&amp;DOC_NAME=fat:reuters_annual_source_window.fat&amp;display_string=Audit&amp;DYN_ARGS=TRUE&amp;VAR:ID1=38308210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5"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16"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19"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localSheetId="18"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4__FDSAUDITLINK__" hidden="1">{"fdsup://IBCentral/FAT Viewer?action=UPDATE&amp;creator=factset&amp;DOC_NAME=fat:reuters_annual_source_window.fat&amp;display_string=Audit&amp;DYN_ARGS=TRUE&amp;VAR:ID1=36555810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5"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16"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19"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localSheetId="18"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5__FDSAUDITLINK__" hidden="1">{"fdsup://IBCentral/FAT Viewer?action=UPDATE&amp;creator=factset&amp;DOC_NAME=fat:reuters_annual_source_window.fat&amp;display_string=Audit&amp;DYN_ARGS=TRUE&amp;VAR:ID1=38410910&amp;VAR:RCODE=EBITDA&amp;VAR:SDATE=20071299&amp;VAR:FREQ=Y&amp;VAR:RELITEM=&amp;VAR:CURRENCY=&amp;VAR:CURRSOURCE=EXSHARE&amp;V","AR:NATFREQ=ANNUAL&amp;VAR:RFIELD=FINALIZED&amp;VAR:DB_TYPE=&amp;VAR:UNITS=M&amp;window=popup&amp;width=450&amp;height=300&amp;START_MAXIMIZED=FALSE"}</definedName>
    <definedName name="_516__FDSAUDITLINK__" localSheetId="5"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16"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19"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localSheetId="18"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6__FDSAUDITLINK__"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17__FDSAUDITLINK__" localSheetId="5"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16"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19"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localSheetId="18"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7__FDSAUDITLINK__" hidden="1">{"fdsup://IBCentral/FAT Viewer?action=UPDATE&amp;creator=factset&amp;DOC_NAME=fat:reuters_annual_source_window.fat&amp;display_string=Audit&amp;DYN_ARGS=TRUE&amp;VAR:ID1=13342B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5"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16"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19"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localSheetId="18"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8__FDSAUDITLINK__" hidden="1">{"fdsup://IBCentral/FAT Viewer?action=UPDATE&amp;creator=factset&amp;DOC_NAME=fat:reuters_annual_source_window.fat&amp;display_string=Audit&amp;DYN_ARGS=TRUE&amp;VAR:ID1=45167R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1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localSheetId="1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19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6"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3"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5"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__FDSAUDITLINK__" localSheetId="10"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16"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19"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localSheetId="18" hidden="1">{"fdsup://directions/FAT Viewer?action=UPDATE&amp;creator=factset&amp;DYN_ARGS=TRUE&amp;DOC_NAME=FAT:FQL_AUDITING_CLIENT_TEMPLATE.FAT&amp;display_string=Audit&amp;VAR:KEY=JYNYLSNKZK&amp;VAR:QUERY=RkZfSU5WRVNUX0xUKFFUUiwwKQ==&amp;WINDOW=FIRST_POPUP&amp;HEIGHT=450&amp;WIDTH=450&amp;START_MAXIMIZED=","FALSE&amp;VAR:CALENDAR=FIVEDAY&amp;VAR:SYMBOL=PRX&amp;VAR:INDEX=0"}</definedName>
    <definedName name="_52__FDSAUDITLINK__"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20__FDSAUDITLINK__" localSheetId="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1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1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localSheetId="1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21__FDSAUDITLINK__" localSheetId="5"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1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19"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localSheetId="18"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1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5"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1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1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localSheetId="1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2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5"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1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1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localSheetId="1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5"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1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1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localSheetId="1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4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25__FDSAUDITLINK__" localSheetId="5"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1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1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localSheetId="1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5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26__FDSAUDITLINK__" localSheetId="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1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localSheetId="1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1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localSheetId="1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7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28__FDSAUDITLINK__" localSheetId="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1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1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localSheetId="1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8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29__FDSAUDITLINK__" localSheetId="5"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16"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19"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localSheetId="18"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29__FDSAUDITLINK__" hidden="1">{"fdsup://IBCentral/FAT Viewer?action=UPDATE&amp;creator=factset&amp;DOC_NAME=fat:reuters_annual_source_window.fat&amp;display_string=Audit&amp;DYN_ARGS=TRUE&amp;VAR:ID1=77434110&amp;VAR:RCODE=EBITDA&amp;VAR:SDATE=20070999&amp;VAR:FREQ=Y&amp;VAR:RELITEM=&amp;VAR:CURRENCY=&amp;VAR:CURRSOURCE=EXSHARE&amp;V","AR:NATFREQ=ANNUAL&amp;VAR:RFIELD=FINALIZED&amp;VAR:DB_TYPE=&amp;VAR:UNITS=M&amp;window=popup&amp;width=450&amp;height=300&amp;START_MAXIMIZED=FALSE"}</definedName>
    <definedName name="_53__FDSAUDITLINK__" localSheetId="6"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3"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5"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__FDSAUDITLINK__" localSheetId="10"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16"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19"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localSheetId="18" hidden="1">{"fdsup://directions/FAT Viewer?action=UPDATE&amp;creator=factset&amp;DYN_ARGS=TRUE&amp;DOC_NAME=FAT:FQL_AUDITING_CLIENT_TEMPLATE.FAT&amp;display_string=Audit&amp;VAR:KEY=VORGDSBSHE&amp;VAR:QUERY=RkZfSU5WRVNUX0xUKFFUUiwwKQ==&amp;WINDOW=FIRST_POPUP&amp;HEIGHT=450&amp;WIDTH=450&amp;START_MAXIMIZED=","FALSE&amp;VAR:CALENDAR=FIVEDAY&amp;VAR:SYMBOL=PRGO&amp;VAR:INDEX=0"}</definedName>
    <definedName name="_53__FDSAUDITLINK__" hidden="1">{"fdsup://IBCentral/FAT Viewer?action=UPDATE&amp;creator=factset&amp;DOC_NAME=fat:reuters_annual_source_window.fat&amp;display_string=Audit&amp;DYN_ARGS=TRUE&amp;VAR:ID1=604321&amp;VAR:RCODE=EBITDA&amp;VAR:SDATE=20071299&amp;VAR:FREQ=Y&amp;VAR:RELITEM=RP&amp;VAR:CURRENCY=&amp;VAR:CURRSOURCE=EXSHARE&amp;V","AR:NATFREQ=ANNUAL&amp;VAR:RFIELD=FINALIZED&amp;VAR:DB_TYPE=&amp;VAR:UNITS=M&amp;window=popup&amp;width=450&amp;height=300&amp;START_MAXIMIZED=FALSE"}</definedName>
    <definedName name="_530__FDSAUDITLINK__" localSheetId="5"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1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1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localSheetId="1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0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31__FDSAUDITLINK__" localSheetId="5"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16"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19"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localSheetId="18"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1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5"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16"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19"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localSheetId="18"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2__FDSAUDITLINK__"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5"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16"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19"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localSheetId="18"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3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534__FDSAUDITLINK__" localSheetId="5"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16"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19"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localSheetId="18"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4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535__FDSAUDITLINK__" localSheetId="5"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16"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19"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localSheetId="18"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5__FDSAUDITLINK__"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5"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1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1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localSheetId="1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6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1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localSheetId="1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7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38__FDSAUDITLINK__" localSheetId="5"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16"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19"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localSheetId="18"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8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539__FDSAUDITLINK__" localSheetId="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16"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19"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localSheetId="18"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39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54__FDSAUDITLINK__" localSheetId="6"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3"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5"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__FDSAUDITLINK__" localSheetId="10"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16"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19"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localSheetId="18" hidden="1">{"fdsup://directions/FAT Viewer?action=UPDATE&amp;creator=factset&amp;DYN_ARGS=TRUE&amp;DOC_NAME=FAT:FQL_AUDITING_CLIENT_TEMPLATE.FAT&amp;display_string=Audit&amp;VAR:KEY=NWLCFEHKDW&amp;VAR:QUERY=RkZfSU5WRVNUX0xUKFFUUiwwKQ==&amp;WINDOW=FIRST_POPUP&amp;HEIGHT=450&amp;WIDTH=450&amp;START_MAXIMIZED=","FALSE&amp;VAR:CALENDAR=FIVEDAY&amp;VAR:SYMBOL=MYL&amp;VAR:INDEX=0"}</definedName>
    <definedName name="_54__FDSAUDITLINK__" hidden="1">{"fdsup://IBCentral/FAT Viewer?action=UPDATE&amp;creator=factset&amp;DOC_NAME=fat:reuters_annual_source_window.fat&amp;display_string=Audit&amp;DYN_ARGS=TRUE&amp;VAR:ID1=B19DVX&amp;VAR:RCODE=EBITDA&amp;VAR:SDATE=20080399&amp;VAR:FREQ=Y&amp;VAR:RELITEM=RP&amp;VAR:CURRENCY=&amp;VAR:CURRSOURCE=EXSHARE&amp;V","AR:NATFREQ=ANNUAL&amp;VAR:RFIELD=FINALIZED&amp;VAR:DB_TYPE=&amp;VAR:UNITS=M&amp;window=popup&amp;width=450&amp;height=300&amp;START_MAXIMIZED=FALSE"}</definedName>
    <definedName name="_540__FDSAUDITLINK__" localSheetId="5"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16"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19"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localSheetId="18"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0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5"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16"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19"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localSheetId="18"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1__FDSAUDITLINK__"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5"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16"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19"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localSheetId="18"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2__FDSAUDITLINK__"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43__FDSAUDITLINK__" localSheetId="5"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16"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19"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localSheetId="18"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3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544__FDSAUDITLINK__" localSheetId="5"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16"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19"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localSheetId="18"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4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545__FDSAUDITLINK__" localSheetId="5"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16"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19"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localSheetId="18"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5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546__FDSAUDITLINK__" localSheetId="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1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localSheetId="1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6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47__FDSAUDITLINK__" localSheetId="5"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1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1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localSheetId="1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7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16"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19"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localSheetId="18"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8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5"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16"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19"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localSheetId="18"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49__FDSAUDITLINK__" hidden="1">{"fdsup://IBCentral/FAT Viewer?action=UPDATE&amp;creator=factset&amp;DOC_NAME=fat:reuters_annual_source_window.fat&amp;display_string=Audit&amp;DYN_ARGS=TRUE&amp;VAR:ID1=569878&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6"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3"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5"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__FDSAUDITLINK__" localSheetId="10"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16"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19"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localSheetId="18" hidden="1">{"fdsup://directions/FAT Viewer?action=UPDATE&amp;creator=factset&amp;DYN_ARGS=TRUE&amp;DOC_NAME=FAT:FQL_AUDITING_CLIENT_TEMPLATE.FAT&amp;display_string=Audit&amp;VAR:KEY=VOTWJIPIRG&amp;VAR:QUERY=RkZfSU5WRVNUX0xUKFFUUiwwKQ==&amp;WINDOW=FIRST_POPUP&amp;HEIGHT=450&amp;WIDTH=450&amp;START_MAXIMIZED=","FALSE&amp;VAR:CALENDAR=FIVEDAY&amp;VAR:SYMBOL=IPXL&amp;VAR:INDEX=0"}</definedName>
    <definedName name="_55__FDSAUDITLINK__" hidden="1">{"fdsup://IBCentral/FAT Viewer?action=UPDATE&amp;creator=factset&amp;DOC_NAME=fat:reuters_annual_source_window.fat&amp;display_string=Audit&amp;DYN_ARGS=TRUE&amp;VAR:ID1=13342B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5"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16"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19"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localSheetId="18"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0__FDSAUDITLINK__" hidden="1">{"fdsup://IBCentral/FAT Viewer?action=UPDATE&amp;creator=factset&amp;DOC_NAME=fat:reuters_annual_source_window.fat&amp;display_string=Audit&amp;DYN_ARGS=TRUE&amp;VAR:ID1=52610710&amp;VAR:RCODE=EBITDA&amp;VAR:SDATE=20071299&amp;VAR:FREQ=Y&amp;VAR:RELITEM=RP&amp;VAR:CURRENCY=&amp;VAR:CURRSOURCE=EXSHARE","&amp;VAR:NATFREQ=ANNUAL&amp;VAR:RFIELD=FINALIZED&amp;VAR:DB_TYPE=&amp;VAR:UNITS=M&amp;window=popup&amp;width=450&amp;height=300&amp;START_MAXIMIZED=FALSE"}</definedName>
    <definedName name="_551__FDSAUDITLINK__" localSheetId="5"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16"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19"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localSheetId="18"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1__FDSAUDITLINK__" hidden="1">{"fdsup://IBCentral/FAT Viewer?action=UPDATE&amp;creator=factset&amp;DOC_NAME=fat:reuters_annual_source_window.fat&amp;display_string=Audit&amp;DYN_ARGS=TRUE&amp;VAR:ID1=47836610&amp;VAR:RCODE=EBITDA&amp;VAR:SDATE=20070999&amp;VAR:FREQ=Y&amp;VAR:RELITEM=RP&amp;VAR:CURRENCY=&amp;VAR:CURRSOURCE=EXSHARE","&amp;VAR:NATFREQ=ANNUAL&amp;VAR:RFIELD=FINALIZED&amp;VAR:DB_TYPE=&amp;VAR:UNITS=M&amp;window=popup&amp;width=450&amp;height=300&amp;START_MAXIMIZED=FALSE"}</definedName>
    <definedName name="_552__FDSAUDITLINK__" localSheetId="5"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16"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19"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localSheetId="18"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2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5"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16"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19"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localSheetId="18"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3__FDSAUDITLINK__" hidden="1">{"fdsup://IBCentral/FAT Viewer?action=UPDATE&amp;creator=factset&amp;DOC_NAME=fat:reuters_annual_source_window.fat&amp;display_string=Audit&amp;DYN_ARGS=TRUE&amp;VAR:ID1=B1QGR4&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5"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1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19"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localSheetId="18"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4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555__FDSAUDITLINK__" localSheetId="5"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1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1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localSheetId="1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5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56__FDSAUDITLINK__" localSheetId="5"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1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1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localSheetId="1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6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5"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1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1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localSheetId="1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7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58__FDSAUDITLINK__" localSheetId="5"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1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1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localSheetId="1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8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59__FDSAUDITLINK__" localSheetId="5"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16"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19"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localSheetId="18"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59__FDSAUDITLINK__" hidden="1">{"fdsup://IBCentral/FAT Viewer?action=UPDATE&amp;creator=factset&amp;DOC_NAME=fat:reuters_annual_source_window.fat&amp;display_string=Audit&amp;DYN_ARGS=TRUE&amp;VAR:ID1=G9143X20&amp;VAR:RCODE=EBITDA&amp;VAR:SDATE=20070999&amp;VAR:FREQ=Y&amp;VAR:RELITEM=&amp;VAR:CURRENCY=&amp;VAR:CURRSOURCE=EXSHARE&amp;V","AR:NATFREQ=ANNUAL&amp;VAR:RFIELD=FINALIZED&amp;VAR:DB_TYPE=&amp;VAR:UNITS=M&amp;window=popup&amp;width=450&amp;height=300&amp;START_MAXIMIZED=FALSE"}</definedName>
    <definedName name="_56__FDSAUDITLINK__" localSheetId="6"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3"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5"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__FDSAUDITLINK__" localSheetId="10"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16"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19"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localSheetId="18" hidden="1">{"fdsup://directions/FAT Viewer?action=UPDATE&amp;creator=factset&amp;DYN_ARGS=TRUE&amp;DOC_NAME=FAT:FQL_AUDITING_CLIENT_TEMPLATE.FAT&amp;display_string=Audit&amp;VAR:KEY=HYXOPWBMVW&amp;VAR:QUERY=RkZfSU5WRVNUX0xUKFFUUiwwKQ==&amp;WINDOW=FIRST_POPUP&amp;HEIGHT=450&amp;WIDTH=450&amp;START_MAXIMIZED=","FALSE&amp;VAR:CALENDAR=FIVEDAY&amp;VAR:SYMBOL=HSP&amp;VAR:INDEX=0"}</definedName>
    <definedName name="_56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560__FDSAUDITLINK__" localSheetId="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16"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19"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localSheetId="18"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0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561__FDSAUDITLINK__" localSheetId="5"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16"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19"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localSheetId="18"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1__FDSAUDITLINK__" hidden="1">{"fdsup://IBCentral/FAT Viewer?action=UPDATE&amp;creator=factset&amp;DOC_NAME=fat:reuters_annual_source_window.fat&amp;display_string=Audit&amp;DYN_ARGS=TRUE&amp;VAR:ID1=555404&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5"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16"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19"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localSheetId="18"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2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5"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16"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19"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localSheetId="18"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3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5"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16"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19"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localSheetId="18"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4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5"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1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1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localSheetId="1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5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5"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16"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19"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localSheetId="18"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6__FDSAUDITLINK__" hidden="1">{"fdsup://IBCentral/FAT Viewer?action=UPDATE&amp;creator=factset&amp;DOC_NAME=fat:reuters_annual_source_window.fat&amp;display_string=Audit&amp;DYN_ARGS=TRUE&amp;VAR:ID1=34354P10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5"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16"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19"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localSheetId="18"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7__FDSAUDITLINK__" hidden="1">{"fdsup://IBCentral/FAT Viewer?action=UPDATE&amp;creator=factset&amp;DOC_NAME=fat:reuters_annual_source_window.fat&amp;display_string=Audit&amp;DYN_ARGS=TRUE&amp;VAR:ID1=83186520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5"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16"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19"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localSheetId="18"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8__FDSAUDITLINK__" hidden="1">{"fdsup://IBCentral/FAT Viewer?action=UPDATE&amp;creator=factset&amp;DOC_NAME=fat:reuters_annual_source_window.fat&amp;display_string=Audit&amp;DYN_ARGS=TRUE&amp;VAR:ID1=66680710&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5"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16"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19"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localSheetId="18"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69__FDSAUDITLINK__" hidden="1">{"fdsup://IBCentral/FAT Viewer?action=UPDATE&amp;creator=factset&amp;DOC_NAME=fat:reuters_annual_source_window.fat&amp;display_string=Audit&amp;DYN_ARGS=TRUE&amp;VAR:ID1=B06CF7&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6"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3"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5"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__FDSAUDITLINK__" localSheetId="10"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16"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19"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localSheetId="18" hidden="1">{"fdsup://directions/FAT Viewer?action=UPDATE&amp;creator=factset&amp;DYN_ARGS=TRUE&amp;DOC_NAME=FAT:FQL_AUDITING_CLIENT_TEMPLATE.FAT&amp;display_string=Audit&amp;VAR:KEY=JGLIBUVSXS&amp;VAR:QUERY=RkZfSU5WRVNUX0xUKFFUUiwwKQ==&amp;WINDOW=FIRST_POPUP&amp;HEIGHT=450&amp;WIDTH=450&amp;START_MAXIMIZED=","FALSE&amp;VAR:CALENDAR=FIVEDAY&amp;VAR:SYMBOL=HITK&amp;VAR:INDEX=0"}</definedName>
    <definedName name="_57__FDSAUDITLINK__" hidden="1">{"fdsup://IBCentral/FAT Viewer?action=UPDATE&amp;creator=factset&amp;DOC_NAME=fat:reuters_annual_source_window.fat&amp;display_string=Audit&amp;DYN_ARGS=TRUE&amp;VAR:ID1=B1QGR4&amp;VAR:RCODE=EBITDA&amp;VAR:SDATE=20071299&amp;VAR:FREQ=Y&amp;VAR:RELITEM=&amp;VAR:CURRENCY=&amp;VAR:CURRSOURCE=EXSHARE&amp;VAR",":NATFREQ=ANNUAL&amp;VAR:RFIELD=FINALIZED&amp;VAR:DB_TYPE=&amp;VAR:UNITS=M&amp;window=popup&amp;width=450&amp;height=300&amp;START_MAXIMIZED=FALSE"}</definedName>
    <definedName name="_570__FDSAUDITLINK__" localSheetId="5"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16"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19"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localSheetId="18"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0__FDSAUDITLINK__" hidden="1">{"fdsup://IBCentral/FAT Viewer?action=UPDATE&amp;creator=factset&amp;DOC_NAME=fat:reuters_annual_source_window.fat&amp;display_string=Audit&amp;DYN_ARGS=TRUE&amp;VAR:ID1=01265310&amp;VAR:RCODE=EBITDA&amp;VAR:SDATE=20071299&amp;VAR:FREQ=Y&amp;VAR:RELITEM=RP&amp;VAR:CURRENCY=&amp;VAR:CURRSOURCE=EXSHARE","&amp;VAR:NATFREQ=ANNUAL&amp;VAR:RFIELD=FINALIZED&amp;VAR:DB_TYPE=&amp;VAR:UNITS=M&amp;window=popup&amp;width=450&amp;height=300&amp;START_MAXIMIZED=FALSE"}</definedName>
    <definedName name="_571__FDSAUDITLINK__" localSheetId="5"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16"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19"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localSheetId="18"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1__FDSAUDITLINK__" hidden="1">{"fdsup://IBCentral/FAT Viewer?action=UPDATE&amp;creator=factset&amp;DOC_NAME=fat:reuters_annual_source_window.fat&amp;display_string=Audit&amp;DYN_ARGS=TRUE&amp;VAR:ID1=26353410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5"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16"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19"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localSheetId="18"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2__FDSAUDITLINK__" hidden="1">{"fdsup://IBCentral/FAT Viewer?action=UPDATE&amp;creator=factset&amp;DOC_NAME=fat:reuters_annual_source_window.fat&amp;display_string=Audit&amp;DYN_ARGS=TRUE&amp;VAR:ID1=73179P10&amp;VAR:RCODE=EBITDA&amp;VAR:SDATE=20071299&amp;VAR:FREQ=Y&amp;VAR:RELITEM=&amp;VAR:CURRENCY=&amp;VAR:CURRSOURCE=EXSHARE&amp;V","AR:NATFREQ=ANNUAL&amp;VAR:RFIELD=FINALIZED&amp;VAR:DB_TYPE=&amp;VAR:UNITS=M&amp;window=popup&amp;width=450&amp;height=300&amp;START_MAXIMIZED=FALSE"}</definedName>
    <definedName name="_573__FDSAUDITLINK__" localSheetId="5"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16"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19"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localSheetId="18"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3__FDSAUDITLINK__" hidden="1">{"fdsup://IBCentral/FAT Viewer?action=UPDATE&amp;creator=factset&amp;DOC_NAME=fat:reuters_annual_source_window.fat&amp;display_string=Audit&amp;DYN_ARGS=TRUE&amp;VAR:ID1=B01FLG&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5"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16"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19"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localSheetId="18"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4__FDSAUDITLINK__" hidden="1">{"fdsup://IBCentral/FAT Viewer?action=UPDATE&amp;creator=factset&amp;DOC_NAME=fat:reuters_annual_source_window.fat&amp;display_string=Audit&amp;DYN_ARGS=TRUE&amp;VAR:ID1=555404&amp;VAR:RCODE=EBITDA&amp;VAR:SDATE=20071299&amp;VAR:FREQ=Y&amp;VAR:RELITEM=RP&amp;VAR:CURRENCY=&amp;VAR:CURRSOURCE=EXSHARE&amp;V","AR:NATFREQ=ANNUAL&amp;VAR:RFIELD=FINALIZED&amp;VAR:DB_TYPE=&amp;VAR:UNITS=M&amp;window=popup&amp;width=450&amp;height=300&amp;START_MAXIMIZED=FALSE"}</definedName>
    <definedName name="_575__FDSAUDITLINK__" localSheetId="5"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16"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19"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localSheetId="18"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5__FDSAUDITLINK__" hidden="1">{"fdsup://IBCentral/FAT Viewer?action=UPDATE&amp;creator=factset&amp;DOC_NAME=fat:reuters_annual_source_window.fat&amp;display_string=Audit&amp;DYN_ARGS=TRUE&amp;VAR:ID1=679159&amp;VAR:RCODE=EBITDA&amp;VAR:SDATE=20080399&amp;VAR:FREQ=Y&amp;VAR:RELITEM=RP&amp;VAR:CURRENCY=&amp;VAR:CURRSOURCE=EXSHARE&amp;V","AR:NATFREQ=ANNUAL&amp;VAR:RFIELD=FINALIZED&amp;VAR:DB_TYPE=&amp;VAR:UNITS=M&amp;window=popup&amp;width=450&amp;height=300&amp;START_MAXIMIZED=FALSE"}</definedName>
    <definedName name="_576__FDSAUDITLINK__" localSheetId="5"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16"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19"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localSheetId="18"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6__FDSAUDITLINK__" hidden="1">{"fdsup://IBCentral/FAT Viewer?action=UPDATE&amp;creator=factset&amp;DOC_NAME=fat:reuters_annual_source_window.fat&amp;display_string=Audit&amp;DYN_ARGS=TRUE&amp;VAR:ID1=34354P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5"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16"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19"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localSheetId="18"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7__FDSAUDITLINK__" hidden="1">{"fdsup://IBCentral/FAT Viewer?action=UPDATE&amp;creator=factset&amp;DOC_NAME=fat:reuters_annual_source_window.fat&amp;display_string=Audit&amp;DYN_ARGS=TRUE&amp;VAR:ID1=45167R10&amp;VAR:RCODE=EBITDA&amp;VAR:SDATE=20071299&amp;VAR:FREQ=Y&amp;VAR:RELITEM=RP&amp;VAR:CURRENCY=&amp;VAR:CURRSOURCE=EXSHARE","&amp;VAR:NATFREQ=ANNUAL&amp;VAR:RFIELD=FINALIZED&amp;VAR:DB_TYPE=&amp;VAR:UNITS=M&amp;window=popup&amp;width=450&amp;height=300&amp;START_MAXIMIZED=FALSE"}</definedName>
    <definedName name="_578__FDSAUDITLINK__" localSheetId="5"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16"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19"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localSheetId="18"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8__FDSAUDITLINK__" hidden="1">{"fdsup://IBCentral/FAT Viewer?action=UPDATE&amp;creator=factset&amp;DOC_NAME=fat:reuters_annual_source_window.fat&amp;display_string=Audit&amp;DYN_ARGS=TRUE&amp;VAR:ID1=019520&amp;VAR:RCODE=EBITDA&amp;VAR:SDATE=20080399&amp;VAR:FREQ=Y&amp;VAR:RELITEM=&amp;VAR:CURRENCY=&amp;VAR:CURRSOURCE=EXSHARE&amp;VAR",":NATFREQ=ANNUAL&amp;VAR:RFIELD=FINALIZED&amp;VAR:DB_TYPE=&amp;VAR:UNITS=M&amp;window=popup&amp;width=450&amp;height=300&amp;START_MAXIMIZED=FALSE"}</definedName>
    <definedName name="_579__FDSAUDITLINK__" localSheetId="5"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16"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19"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localSheetId="18"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79__FDSAUDITLINK__" hidden="1">{"fdsup://IBCentral/FAT Viewer?action=UPDATE&amp;creator=factset&amp;DOC_NAME=fat:reuters_annual_source_window.fat&amp;display_string=Audit&amp;DYN_ARGS=TRUE&amp;VAR:ID1=38238810&amp;VAR:RCODE=EBIT&amp;VAR:SDATE=20071299&amp;VAR:FREQ=Y&amp;VAR:RELITEM=RP&amp;VAR:CURRENCY=&amp;VAR:CURRSOURCE=EXSHARE&amp;V","AR:NATFREQ=ANNUAL&amp;VAR:RFIELD=FINALIZED&amp;VAR:DB_TYPE=&amp;VAR:UNITS=M&amp;window=popup&amp;width=450&amp;height=300&amp;START_MAXIMIZED=FALSE"}</definedName>
    <definedName name="_58__FDSAUDITLINK__" localSheetId="6"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3"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5"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__FDSAUDITLINK__" localSheetId="10"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16"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19"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localSheetId="18" hidden="1">{"fdsup://directions/FAT Viewer?action=UPDATE&amp;creator=factset&amp;DYN_ARGS=TRUE&amp;DOC_NAME=FAT:FQL_AUDITING_CLIENT_TEMPLATE.FAT&amp;display_string=Audit&amp;VAR:KEY=LIZAJWFUFG&amp;VAR:QUERY=RkZfSU5WRVNUX0xUKFFUUiwwKQ==&amp;WINDOW=FIRST_POPUP&amp;HEIGHT=450&amp;WIDTH=450&amp;START_MAXIMIZED=","FALSE&amp;VAR:CALENDAR=FIVEDAY&amp;VAR:SYMBOL=WCRX&amp;VAR:INDEX=0"}</definedName>
    <definedName name="_58__FDSAUDITLINK__" hidden="1">{"fdsup://IBCentral/FAT Viewer?action=UPDATE&amp;creator=factset&amp;DOC_NAME=fat:reuters_annual_source_window.fat&amp;display_string=Audit&amp;DYN_ARGS=TRUE&amp;VAR:ID1=G4776G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5"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16"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19"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localSheetId="18"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0__FDSAUDITLINK__" hidden="1">{"fdsup://IBCentral/FAT Viewer?action=UPDATE&amp;creator=factset&amp;DOC_NAME=fat:reuters_annual_source_window.fat&amp;display_string=Audit&amp;DYN_ARGS=TRUE&amp;VAR:ID1=38238810&amp;VAR:RCODE=EBITDA&amp;VAR:SDATE=20071299&amp;VAR:FREQ=Y&amp;VAR:RELITEM=RP&amp;VAR:CURRENCY=&amp;VAR:CURRSOURCE=EXSHARE","&amp;VAR:NATFREQ=ANNUAL&amp;VAR:RFIELD=FINALIZED&amp;VAR:DB_TYPE=&amp;VAR:UNITS=M&amp;window=popup&amp;width=450&amp;height=300&amp;START_MAXIMIZED=FALSE"}</definedName>
    <definedName name="_581__FDSAUDITLINK__" localSheetId="5"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1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1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localSheetId="1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1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582__FDSAUDITLINK__" localSheetId="5"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1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1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localSheetId="1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2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583__FDSAUDITLINK__" localSheetId="5"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1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1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localSheetId="1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3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584__FDSAUDITLINK__" localSheetId="5"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16"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19"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localSheetId="18"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4__FDSAUDITLINK__" hidden="1">{"fdsup://IBCentral/FAT Viewer?action=UPDATE&amp;creator=factset&amp;DOC_NAME=fat:reuters_annual_source_window.fat&amp;display_string=Audit&amp;DYN_ARGS=TRUE&amp;VAR:ID1=77441510&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5"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16"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19"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localSheetId="18"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5__FDSAUDITLINK__" hidden="1">{"fdsup://IBCentral/FAT Viewer?action=UPDATE&amp;creator=factset&amp;DOC_NAME=fat:reuters_annual_source_window.fat&amp;display_string=Audit&amp;DYN_ARGS=TRUE&amp;VAR:ID1=B058TZ&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5"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16"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19"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localSheetId="18"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6__FDSAUDITLINK__" hidden="1">{"fdsup://IBCentral/FAT Viewer?action=UPDATE&amp;creator=factset&amp;DOC_NAME=fat:reuters_annual_source_window.fat&amp;display_string=Audit&amp;DYN_ARGS=TRUE&amp;VAR:ID1=B09DHL&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5"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16"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19"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localSheetId="18"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7__FDSAUDITLINK__" hidden="1">{"fdsup://IBCentral/FAT Viewer?action=UPDATE&amp;creator=factset&amp;DOC_NAME=fat:reuters_annual_source_window.fat&amp;display_string=Audit&amp;DYN_ARGS=TRUE&amp;VAR:ID1=328364&amp;VAR:RCODE=EBIT&amp;VAR:SDATE=20071299&amp;VAR:FREQ=Y&amp;VAR:RELITEM=RP&amp;VAR:CURRENCY=&amp;VAR:CURRSOURCE=EXSHARE&amp;VAR",":NATFREQ=ANNUAL&amp;VAR:RFIELD=FINALIZED&amp;VAR:DB_TYPE=&amp;VAR:UNITS=M&amp;window=popup&amp;width=450&amp;height=300&amp;START_MAXIMIZED=FALSE"}</definedName>
    <definedName name="_588__FDSAUDITLINK__" localSheetId="5"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16"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19"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localSheetId="18"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8__FDSAUDITLINK__" hidden="1">{"fdsup://IBCentral/FAT Viewer?action=UPDATE&amp;creator=factset&amp;DOC_NAME=fat:reuters_annual_source_window.fat&amp;display_string=Audit&amp;DYN_ARGS=TRUE&amp;VAR:ID1=96332010&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5"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16"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19"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localSheetId="18"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89__FDSAUDITLINK__" hidden="1">{"fdsup://IBCentral/FAT Viewer?action=UPDATE&amp;creator=factset&amp;DOC_NAME=fat:reuters_annual_source_window.fat&amp;display_string=Audit&amp;DYN_ARGS=TRUE&amp;VAR:ID1=710889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6"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3"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5"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__FDSAUDITLINK__" localSheetId="10"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16"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19"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localSheetId="18" hidden="1">{"fdsup://directions/FAT Viewer?action=UPDATE&amp;creator=factset&amp;DYN_ARGS=TRUE&amp;DOC_NAME=FAT:FQL_AUDITING_CLIENT_TEMPLATE.FAT&amp;display_string=Audit&amp;VAR:KEY=ZAPCZANCVI&amp;VAR:QUERY=RkZfSU5WRVNUX0xUKFFUUiwwKQ==&amp;WINDOW=FIRST_POPUP&amp;HEIGHT=450&amp;WIDTH=450&amp;START_MAXIMIZED=","FALSE&amp;VAR:CALENDAR=FIVEDAY&amp;VAR:SYMBOL=VPHM&amp;VAR:INDEX=0"}</definedName>
    <definedName name="_59__FDSAUDITLINK__" hidden="1">{"fdsup://IBCentral/FAT Viewer?action=UPDATE&amp;creator=factset&amp;DOC_NAME=fat:reuters_annual_source_window.fat&amp;display_string=Audit&amp;DYN_ARGS=TRUE&amp;VAR:ID1=416279&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5"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16"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19"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localSheetId="18"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0__FDSAUDITLINK__" hidden="1">{"fdsup://IBCentral/FAT Viewer?action=UPDATE&amp;creator=factset&amp;DOC_NAME=fat:reuters_annual_source_window.fat&amp;display_string=Audit&amp;DYN_ARGS=TRUE&amp;VAR:ID1=09972410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5"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16"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19"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localSheetId="18"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1__FDSAUDITLINK__" hidden="1">{"fdsup://IBCentral/FAT Viewer?action=UPDATE&amp;creator=factset&amp;DOC_NAME=fat:reuters_annual_source_window.fat&amp;display_string=Audit&amp;DYN_ARGS=TRUE&amp;VAR:ID1=69371810&amp;VAR:RCODE=EBITDA&amp;VAR:SDATE=20071299&amp;VAR:FREQ=Y&amp;VAR:RELITEM=&amp;VAR:CURRENCY=&amp;VAR:CURRSOURCE=EXSHARE&amp;V","AR:NATFREQ=ANNUAL&amp;VAR:RFIELD=FINALIZED&amp;VAR:DB_TYPE=&amp;VAR:UNITS=M&amp;window=popup&amp;width=450&amp;height=300&amp;START_MAXIMIZED=FALSE"}</definedName>
    <definedName name="_592__FDSAUDITLINK__" localSheetId="5"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16"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19"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localSheetId="18"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2__FDSAUDITLINK__" hidden="1">{"fdsup://IBCentral/FAT Viewer?action=UPDATE&amp;creator=factset&amp;DOC_NAME=fat:reuters_annual_source_window.fat&amp;display_string=Audit&amp;DYN_ARGS=TRUE&amp;VAR:ID1=63934E10&amp;VAR:RCODE=EBITDA&amp;VAR:SDATE=20071099&amp;VAR:FREQ=Y&amp;VAR:RELITEM=&amp;VAR:CURRENCY=&amp;VAR:CURRSOURCE=EXSHARE&amp;V","AR:NATFREQ=ANNUAL&amp;VAR:RFIELD=FINALIZED&amp;VAR:DB_TYPE=&amp;VAR:UNITS=M&amp;window=popup&amp;width=450&amp;height=300&amp;START_MAXIMIZED=FALSE"}</definedName>
    <definedName name="_593__FDSAUDITLINK__" localSheetId="5"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16"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19"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localSheetId="18"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3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594__FDSAUDITLINK__" localSheetId="5"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16"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19"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localSheetId="18"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4__FDSAUDITLINK__" hidden="1">{"fdsup://IBCentral/FAT Viewer?action=UPDATE&amp;creator=factset&amp;DOC_NAME=fat:reuters_annual_source_window.fat&amp;display_string=Audit&amp;DYN_ARGS=TRUE&amp;VAR:ID1=676396&amp;VAR:RCODE=EBITDA&amp;VAR:SDATE=20080399&amp;VAR:FREQ=Y&amp;VAR:RELITEM=&amp;VAR:CURRENCY=&amp;VAR:CURRSOURCE=EXSHARE&amp;VAR",":NATFREQ=ANNUAL&amp;VAR:RFIELD=FINALIZED&amp;VAR:DB_TYPE=&amp;VAR:UNITS=M&amp;window=popup&amp;width=450&amp;height=300&amp;START_MAXIMIZED=FALSE"}</definedName>
    <definedName name="_595__FDSAUDITLINK__" localSheetId="5"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16"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19"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localSheetId="18"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5__FDSAUDITLINK__" hidden="1">{"fdsup://IBCentral/FAT Viewer?action=UPDATE&amp;creator=factset&amp;DOC_NAME=fat:reuters_annual_source_window.fat&amp;display_string=Audit&amp;DYN_ARGS=TRUE&amp;VAR:ID1=69642930&amp;VAR:RCODE=EBITDA&amp;VAR:SDATE=20080799&amp;VAR:FREQ=Y&amp;VAR:RELITEM=&amp;VAR:CURRENCY=&amp;VAR:CURRSOURCE=EXSHARE&amp;V","AR:NATFREQ=ANNUAL&amp;VAR:RFIELD=FINALIZED&amp;VAR:DB_TYPE=&amp;VAR:UNITS=M&amp;window=popup&amp;width=450&amp;height=300&amp;START_MAXIMIZED=FALSE"}</definedName>
    <definedName name="_596__FDSAUDITLINK__" localSheetId="5"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16"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19"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localSheetId="18"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6__FDSAUDITLINK__" hidden="1">{"fdsup://IBCentral/FAT Viewer?action=UPDATE&amp;creator=factset&amp;DOC_NAME=fat:reuters_annual_source_window.fat&amp;display_string=Audit&amp;DYN_ARGS=TRUE&amp;VAR:ID1=29101110&amp;VAR:RCODE=EBITDA&amp;VAR:SDATE=20070999&amp;VAR:FREQ=Y&amp;VAR:RELITEM=&amp;VAR:CURRENCY=&amp;VAR:CURRSOURCE=EXSHARE&amp;V","AR:NATFREQ=ANNUAL&amp;VAR:RFIELD=FINALIZED&amp;VAR:DB_TYPE=&amp;VAR:UNITS=M&amp;window=popup&amp;width=450&amp;height=300&amp;START_MAXIMIZED=FALSE"}</definedName>
    <definedName name="_597__FDSAUDITLINK__" localSheetId="5"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16"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19"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localSheetId="18"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7__FDSAUDITLINK__" hidden="1">{"fdsup://IBCentral/FAT Viewer?action=UPDATE&amp;creator=factset&amp;DOC_NAME=fat:reuters_annual_source_window.fat&amp;display_string=Audit&amp;DYN_ARGS=TRUE&amp;VAR:ID1=483410&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5"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16"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19"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localSheetId="18"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8__FDSAUDITLINK__" hidden="1">{"fdsup://IBCentral/FAT Viewer?action=UPDATE&amp;creator=factset&amp;DOC_NAME=fat:reuters_annual_source_window.fat&amp;display_string=Audit&amp;DYN_ARGS=TRUE&amp;VAR:ID1=B11ZRK&amp;VAR:RCODE=EBITDA&amp;VAR:SDATE=20071299&amp;VAR:FREQ=Y&amp;VAR:RELITEM=&amp;VAR:CURRENCY=&amp;VAR:CURRSOURCE=EXSHARE&amp;VAR",":NATFREQ=ANNUAL&amp;VAR:RFIELD=FINALIZED&amp;VAR:DB_TYPE=&amp;VAR:UNITS=M&amp;window=popup&amp;width=450&amp;height=300&amp;START_MAXIMIZED=FALSE"}</definedName>
    <definedName name="_599__FDSAUDITLINK__" localSheetId="5"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16"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19"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localSheetId="18"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599__FDSAUDITLINK__" hidden="1">{"fdsup://IBCentral/FAT Viewer?action=UPDATE&amp;creator=factset&amp;DOC_NAME=fat:reuters_annual_source_window.fat&amp;display_string=Audit&amp;DYN_ARGS=TRUE&amp;VAR:ID1=03209510&amp;VAR:RCODE=EBITDA&amp;VAR:SDATE=20071299&amp;VAR:FREQ=Y&amp;VAR:RELITEM=RP&amp;VAR:CURRENCY=&amp;VAR:CURRSOURCE=EXSHARE","&amp;VAR:NATFREQ=ANNUAL&amp;VAR:RFIELD=FINALIZED&amp;VAR:DB_TYPE=&amp;VAR:UNITS=M&amp;window=popup&amp;width=450&amp;height=300&amp;START_MAXIMIZED=FALSE"}</definedName>
    <definedName name="_6__123Graph_ANRET_PCE" hidden="1">[5]ADVOL!$AD$23:$AD$57</definedName>
    <definedName name="_6__123Graph_BCHART_2" localSheetId="6" hidden="1">'[6]Edge 10797 Drilling Inventory'!#REF!</definedName>
    <definedName name="_6__123Graph_BCHART_2" localSheetId="3" hidden="1">'[6]Edge 10797 Drilling Inventory'!#REF!</definedName>
    <definedName name="_6__123Graph_BCHART_2" localSheetId="5" hidden="1">'[6]Edge 10797 Drilling Inventory'!#REF!</definedName>
    <definedName name="_6__123Graph_BCHART_2" localSheetId="19" hidden="1">'[6]Edge 10797 Drilling Inventory'!#REF!</definedName>
    <definedName name="_6__123Graph_BCHART_2" localSheetId="18" hidden="1">'[6]Edge 10797 Drilling Inventory'!#REF!</definedName>
    <definedName name="_6__123Graph_BCHART_2" hidden="1">'[6]Edge 10797 Drilling Inventory'!#REF!</definedName>
    <definedName name="_6__123Graph_XR_M_MARG" hidden="1">[4]P!$R$29:$AK$29</definedName>
    <definedName name="_6__FDSAUDITLINK__" localSheetId="5"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16"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19"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localSheetId="18"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__FDSAUDITLINK__" hidden="1">{"fdsup://IBCentral/FAT Viewer?action=UPDATE&amp;creator=factset&amp;DOC_NAME=fat:reuters_annual_source_window.fat&amp;display_string=Audit&amp;DYN_ARGS=TRUE&amp;VAR:ID1=416279&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6"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3"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5"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__FDSAUDITLINK__" localSheetId="10"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16"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19"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localSheetId="18" hidden="1">{"fdsup://directions/FAT Viewer?action=UPDATE&amp;creator=factset&amp;DYN_ARGS=TRUE&amp;DOC_NAME=FAT:FQL_AUDITING_CLIENT_TEMPLATE.FAT&amp;display_string=Audit&amp;VAR:KEY=DMPWPUVYLW&amp;VAR:QUERY=RkZfSU5WRVNUX0xUKFFUUiwwKQ==&amp;WINDOW=FIRST_POPUP&amp;HEIGHT=450&amp;WIDTH=450&amp;START_MAXIMIZED=","FALSE&amp;VAR:CALENDAR=FIVEDAY&amp;VAR:SYMBOL=VRX&amp;VAR:INDEX=0"}</definedName>
    <definedName name="_60__FDSAUDITLINK__" hidden="1">{"fdsup://IBCentral/FAT Viewer?action=UPDATE&amp;creator=factset&amp;DOC_NAME=fat:reuters_annual_source_window.fat&amp;display_string=Audit&amp;DYN_ARGS=TRUE&amp;VAR:ID1=10969610&amp;VAR:RCODE=EBITDA&amp;VAR:SDATE=20071299&amp;VAR:FREQ=Y&amp;VAR:RELITEM=RP&amp;VAR:CURRENCY=&amp;VAR:CURRSOURCE=EXSHARE","&amp;VAR:NATFREQ=ANNUAL&amp;VAR:RFIELD=FINALIZED&amp;VAR:DB_TYPE=&amp;VAR:UNITS=M&amp;window=popup&amp;width=450&amp;height=300&amp;START_MAXIMIZED=FALSE"}</definedName>
    <definedName name="_600__FDSAUDITLINK__" localSheetId="5"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16"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19"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localSheetId="18"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0__FDSAUDITLINK__" hidden="1">{"fdsup://IBCentral/FAT Viewer?action=UPDATE&amp;creator=factset&amp;DOC_NAME=fat:reuters_annual_source_window.fat&amp;display_string=Audit&amp;DYN_ARGS=TRUE&amp;VAR:ID1=Y9369110&amp;VAR:RCODE=EBITDA&amp;VAR:SDATE=20071099&amp;VAR:FREQ=Y&amp;VAR:RELITEM=&amp;VAR:CURRENCY=&amp;VAR:CURRSOURCE=EXSHARE&amp;V","AR:NATFREQ=ANNUAL&amp;VAR:RFIELD=FINALIZED&amp;VAR:DB_TYPE=&amp;VAR:UNITS=M&amp;window=popup&amp;width=450&amp;height=300&amp;START_MAXIMIZED=FALSE"}</definedName>
    <definedName name="_601__FDSAUDITLINK__" localSheetId="5"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16"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19"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localSheetId="18"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1__FDSAUDITLINK__" hidden="1">{"fdsup://IBCentral/FAT Viewer?action=UPDATE&amp;creator=factset&amp;DOC_NAME=fat:reuters_annual_source_window.fat&amp;display_string=Audit&amp;DYN_ARGS=TRUE&amp;VAR:ID1=03209510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5"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16"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19"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localSheetId="18"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2__FDSAUDITLINK__" hidden="1">{"fdsup://IBCentral/FAT Viewer?action=UPDATE&amp;creator=factset&amp;DOC_NAME=fat:reuters_annual_source_window.fat&amp;display_string=Audit&amp;DYN_ARGS=TRUE&amp;VAR:ID1=G9508910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5"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16"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19"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localSheetId="18"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3__FDSAUDITLINK__" hidden="1">{"fdsup://IBCentral/FAT Viewer?action=UPDATE&amp;creator=factset&amp;DOC_NAME=fat:reuters_annual_source_window.fat&amp;display_string=Audit&amp;DYN_ARGS=TRUE&amp;VAR:ID1=23102110&amp;VAR:RCODE=EBITDA&amp;VAR:SDATE=20071299&amp;VAR:FREQ=Y&amp;VAR:RELITEM=&amp;VAR:CURRENCY=&amp;VAR:CURRSOURCE=EXSHARE&amp;V","AR:NATFREQ=ANNUAL&amp;VAR:RFIELD=FINALIZED&amp;VAR:DB_TYPE=&amp;VAR:UNITS=M&amp;window=popup&amp;width=450&amp;height=300&amp;START_MAXIMIZED=FALSE"}</definedName>
    <definedName name="_604__FDSAUDITLINK__" localSheetId="5"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1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1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localSheetId="1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4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05__FDSAUDITLINK__" localSheetId="5"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16"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19"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localSheetId="18"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5__FDSAUDITLINK__" hidden="1">{"fdsup://IBCentral/FAT Viewer?action=UPDATE&amp;creator=factset&amp;DOC_NAME=fat:reuters_annual_source_window.fat&amp;display_string=Audit&amp;DYN_ARGS=TRUE&amp;VAR:ID1=14912310&amp;VAR:RCODE=EBITDA&amp;VAR:SDATE=20071299&amp;VAR:FREQ=Y&amp;VAR:RELITEM=&amp;VAR:CURRENCY=&amp;VAR:CURRSOURCE=EXSHARE&amp;V","AR:NATFREQ=ANNUAL&amp;VAR:RFIELD=FINALIZED&amp;VAR:DB_TYPE=&amp;VAR:UNITS=M&amp;window=popup&amp;width=450&amp;height=300&amp;START_MAXIMIZED=FALSE"}</definedName>
    <definedName name="_606__FDSAUDITLINK__" localSheetId="5"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16"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19"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localSheetId="18"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6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5"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16"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19"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localSheetId="18"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7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5"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16"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19"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localSheetId="18"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8__FDSAUDITLINK__" hidden="1">{"fdsup://IBCentral/FAT Viewer?action=UPDATE&amp;creator=factset&amp;DOC_NAME=fat:reuters_annual_source_window.fat&amp;display_string=Audit&amp;DYN_ARGS=TRUE&amp;VAR:ID1=85461610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5"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16"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19"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localSheetId="18"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09__FDSAUDITLINK__" hidden="1">{"fdsup://IBCentral/FAT Viewer?action=UPDATE&amp;creator=factset&amp;DOC_NAME=fat:reuters_annual_source_window.fat&amp;display_string=Audit&amp;DYN_ARGS=TRUE&amp;VAR:ID1=05774110&amp;VAR:RCODE=EBITDA&amp;VAR:SDATE=20071299&amp;VAR:FREQ=Y&amp;VAR:RELITEM=RP&amp;VAR:CURRENCY=&amp;VAR:CURRSOURCE=EXSHARE","&amp;VAR:NATFREQ=ANNUAL&amp;VAR:RFIELD=FINALIZED&amp;VAR:DB_TYPE=&amp;VAR:UNITS=M&amp;window=popup&amp;width=450&amp;height=300&amp;START_MAXIMIZED=FALSE"}</definedName>
    <definedName name="_61__FDSAUDITLINK__" localSheetId="6"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3"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5"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__FDSAUDITLINK__" localSheetId="10"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16"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19"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localSheetId="18" hidden="1">{"fdsup://directions/FAT Viewer?action=UPDATE&amp;creator=factset&amp;DYN_ARGS=TRUE&amp;DOC_NAME=FAT:FQL_AUDITING_CLIENT_TEMPLATE.FAT&amp;display_string=Audit&amp;VAR:KEY=ZWLERMTOXY&amp;VAR:QUERY=RkZfSU5WRVNUX0xUKFFUUiwwKQ==&amp;WINDOW=FIRST_POPUP&amp;HEIGHT=450&amp;WIDTH=450&amp;START_MAXIMIZED=","FALSE&amp;VAR:CALENDAR=FIVEDAY&amp;VAR:SYMBOL=SLXP&amp;VAR:INDEX=0"}</definedName>
    <definedName name="_61__FDSAUDITLINK__" hidden="1">{"fdsup://IBCentral/FAT Viewer?action=UPDATE&amp;creator=factset&amp;DOC_NAME=fat:reuters_annual_source_window.fat&amp;display_string=Audit&amp;DYN_ARGS=TRUE&amp;VAR:ID1=G9143X20&amp;VAR:RCODE=EBITDA&amp;VAR:SDATE=20070999&amp;VAR:FREQ=Y&amp;VAR:RELITEM=RP&amp;VAR:CURRENCY=&amp;VAR:CURRSOURCE=EXSHARE","&amp;VAR:NATFREQ=ANNUAL&amp;VAR:RFIELD=FINALIZED&amp;VAR:DB_TYPE=&amp;VAR:UNITS=M&amp;window=popup&amp;width=450&amp;height=300&amp;START_MAXIMIZED=FALSE"}</definedName>
    <definedName name="_610__FDSAUDITLINK__" localSheetId="5"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16"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19"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localSheetId="18"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0__FDSAUDITLINK__" hidden="1">{"fdsup://IBCentral/FAT Viewer?action=UPDATE&amp;creator=factset&amp;DOC_NAME=fat:reuters_annual_source_window.fat&amp;display_string=Audit&amp;DYN_ARGS=TRUE&amp;VAR:ID1=83303410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5"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16"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19"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localSheetId="18"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1__FDSAUDITLINK__" hidden="1">{"fdsup://IBCentral/FAT Viewer?action=UPDATE&amp;creator=factset&amp;DOC_NAME=fat:reuters_annual_source_window.fat&amp;display_string=Audit&amp;DYN_ARGS=TRUE&amp;VAR:ID1=85461610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5"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16"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19"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localSheetId="18"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2__FDSAUDITLINK__" hidden="1">{"fdsup://IBCentral/FAT Viewer?action=UPDATE&amp;creator=factset&amp;DOC_NAME=fat:reuters_annual_source_window.fat&amp;display_string=Audit&amp;DYN_ARGS=TRUE&amp;VAR:ID1=05774110&amp;VAR:RCODE=EBITDA&amp;VAR:SDATE=20071299&amp;VAR:FREQ=Y&amp;VAR:RELITEM=&amp;VAR:CURRENCY=&amp;VAR:CURRSOURCE=EXSHARE&amp;V","AR:NATFREQ=ANNUAL&amp;VAR:RFIELD=FINALIZED&amp;VAR:DB_TYPE=&amp;VAR:UNITS=M&amp;window=popup&amp;width=450&amp;height=300&amp;START_MAXIMIZED=FALSE"}</definedName>
    <definedName name="_613__FDSAUDITLINK__" localSheetId="5"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16"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19"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localSheetId="18"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3__FDSAUDITLINK__" hidden="1">{"fdsup://IBCentral/FAT Viewer?action=UPDATE&amp;creator=factset&amp;DOC_NAME=fat:reuters_annual_source_window.fat&amp;display_string=Audit&amp;DYN_ARGS=TRUE&amp;VAR:ID1=027480&amp;VAR:RCODE=EBITDA&amp;VAR:SDATE=20071099&amp;VAR:FREQ=Y&amp;VAR:RELITEM=&amp;VAR:CURRENCY=&amp;VAR:CURRSOURCE=EXSHARE&amp;VAR",":NATFREQ=ANNUAL&amp;VAR:RFIELD=FINALIZED&amp;VAR:DB_TYPE=&amp;VAR:UNITS=M&amp;window=popup&amp;width=450&amp;height=300&amp;START_MAXIMIZED=FALSE"}</definedName>
    <definedName name="_614__FDSAUDITLINK__" localSheetId="5"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16"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19"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localSheetId="18"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4__FDSAUDITLINK__" hidden="1">{"fdsup://IBCentral/FAT Viewer?action=UPDATE&amp;creator=factset&amp;DOC_NAME=fat:reuters_annual_source_window.fat&amp;display_string=Audit&amp;DYN_ARGS=TRUE&amp;VAR:ID1=98920710&amp;VAR:RCODE=EBITDA&amp;VAR:SDATE=20071299&amp;VAR:FREQ=Y&amp;VAR:RELITEM=&amp;VAR:CURRENCY=&amp;VAR:CURRSOURCE=EXSHARE&amp;V","AR:NATFREQ=ANNUAL&amp;VAR:RFIELD=FINALIZED&amp;VAR:DB_TYPE=&amp;VAR:UNITS=M&amp;window=popup&amp;width=450&amp;height=300&amp;START_MAXIMIZED=FALSE"}</definedName>
    <definedName name="_615__FDSAUDITLINK__" localSheetId="5"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16"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19"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localSheetId="18"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5__FDSAUDITLINK__" hidden="1">{"fdsup://IBCentral/FAT Viewer?action=UPDATE&amp;creator=factset&amp;DOC_NAME=fat:reuters_annual_source_window.fat&amp;display_string=Audit&amp;DYN_ARGS=TRUE&amp;VAR:ID1=70109410&amp;VAR:RCODE=EBITDA&amp;VAR:SDATE=20080699&amp;VAR:FREQ=Y&amp;VAR:RELITEM=&amp;VAR:CURRENCY=&amp;VAR:CURRSOURCE=EXSHARE&amp;V","AR:NATFREQ=ANNUAL&amp;VAR:RFIELD=FINALIZED&amp;VAR:DB_TYPE=&amp;VAR:UNITS=M&amp;window=popup&amp;width=450&amp;height=300&amp;START_MAXIMIZED=FALSE"}</definedName>
    <definedName name="_616__FDSAUDITLINK__" localSheetId="5"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16"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19"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localSheetId="18"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6__FDSAUDITLINK__" hidden="1">{"fdsup://IBCentral/FAT Viewer?action=UPDATE&amp;creator=factset&amp;DOC_NAME=fat:reuters_annual_source_window.fat&amp;display_string=Audit&amp;DYN_ARGS=TRUE&amp;VAR:ID1=82966C10&amp;VAR:RCODE=EBITDA&amp;VAR:SDATE=20070999&amp;VAR:FREQ=Y&amp;VAR:RELITEM=&amp;VAR:CURRENCY=&amp;VAR:CURRSOURCE=EXSHARE&amp;V","AR:NATFREQ=ANNUAL&amp;VAR:RFIELD=FINALIZED&amp;VAR:DB_TYPE=&amp;VAR:UNITS=M&amp;window=popup&amp;width=450&amp;height=300&amp;START_MAXIMIZED=FALSE"}</definedName>
    <definedName name="_617__FDSAUDITLINK__" localSheetId="5"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16"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19"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localSheetId="18"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7__FDSAUDITLINK__" hidden="1">{"fdsup://IBCentral/FAT Viewer?action=UPDATE&amp;creator=factset&amp;DOC_NAME=fat:reuters_annual_source_window.fat&amp;display_string=Audit&amp;DYN_ARGS=TRUE&amp;VAR:ID1=80640710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5"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16"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19"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localSheetId="18"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8__FDSAUDITLINK__" hidden="1">{"fdsup://IBCentral/FAT Viewer?action=UPDATE&amp;creator=factset&amp;DOC_NAME=fat:reuters_annual_source_window.fat&amp;display_string=Audit&amp;DYN_ARGS=TRUE&amp;VAR:ID1=71404610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5"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16"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19"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localSheetId="18"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19__FDSAUDITLINK__" hidden="1">{"fdsup://IBCentral/FAT Viewer?action=UPDATE&amp;creator=factset&amp;DOC_NAME=fat:reuters_annual_source_window.fat&amp;display_string=Audit&amp;DYN_ARGS=TRUE&amp;VAR:ID1=88355610&amp;VAR:RCODE=EBITDA&amp;VAR:SDATE=20071299&amp;VAR:FREQ=Y&amp;VAR:RELITEM=&amp;VAR:CURRENCY=&amp;VAR:CURRSOURCE=EXSHARE&amp;V","AR:NATFREQ=ANNUAL&amp;VAR:RFIELD=FINALIZED&amp;VAR:DB_TYPE=&amp;VAR:UNITS=M&amp;window=popup&amp;width=450&amp;height=300&amp;START_MAXIMIZED=FALSE"}</definedName>
    <definedName name="_62__FDSAUDITLINK__" localSheetId="6"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3"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5"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__FDSAUDITLINK__" localSheetId="10"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16"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19"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localSheetId="18" hidden="1">{"fdsup://directions/FAT Viewer?action=UPDATE&amp;creator=factset&amp;DYN_ARGS=TRUE&amp;DOC_NAME=FAT:FQL_AUDITING_CLIENT_TEMPLATE.FAT&amp;display_string=Audit&amp;VAR:KEY=TEVCJYNIRA&amp;VAR:QUERY=RkZfSU5WRVNUX0xUKFFUUiwwKQ==&amp;WINDOW=FIRST_POPUP&amp;HEIGHT=450&amp;WIDTH=450&amp;START_MAXIMIZED=","FALSE&amp;VAR:CALENDAR=FIVEDAY&amp;VAR:SYMBOL=MRX&amp;VAR:INDEX=0"}</definedName>
    <definedName name="_62__FDSAUDITLINK__" hidden="1">{"fdsup://IBCentral/FAT Viewer?action=UPDATE&amp;creator=factset&amp;DOC_NAME=fat:reuters_annual_source_window.fat&amp;display_string=Audit&amp;DYN_ARGS=TRUE&amp;VAR:ID1=83303410&amp;VAR:RCODE=EBITDA&amp;VAR:SDATE=20071299&amp;VAR:FREQ=Y&amp;VAR:RELITEM=RP&amp;VAR:CURRENCY=&amp;VAR:CURRSOURCE=EXSHARE","&amp;VAR:NATFREQ=ANNUAL&amp;VAR:RFIELD=FINALIZED&amp;VAR:DB_TYPE=&amp;VAR:UNITS=M&amp;window=popup&amp;width=450&amp;height=300&amp;START_MAXIMIZED=FALSE"}</definedName>
    <definedName name="_620__FDSAUDITLINK__" localSheetId="5"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16"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19"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localSheetId="18"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0__FDSAUDITLINK__" hidden="1">{"fdsup://IBCentral/FAT Viewer?action=UPDATE&amp;creator=factset&amp;DOC_NAME=fat:reuters_annual_source_window.fat&amp;display_string=Audit&amp;DYN_ARGS=TRUE&amp;VAR:ID1=07588710&amp;VAR:RCODE=EBITDA&amp;VAR:SDATE=20070999&amp;VAR:FREQ=Y&amp;VAR:RELITEM=&amp;VAR:CURRENCY=&amp;VAR:CURRSOURCE=EXSHARE&amp;V","AR:NATFREQ=ANNUAL&amp;VAR:RFIELD=FINALIZED&amp;VAR:DB_TYPE=&amp;VAR:UNITS=M&amp;window=popup&amp;width=450&amp;height=300&amp;START_MAXIMIZED=FALSE"}</definedName>
    <definedName name="_621__FDSAUDITLINK__" localSheetId="5"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16"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19"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localSheetId="18"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1__FDSAUDITLINK__" hidden="1">{"fdsup://IBCentral/FAT Viewer?action=UPDATE&amp;creator=factset&amp;DOC_NAME=fat:reuters_annual_source_window.fat&amp;display_string=Audit&amp;DYN_ARGS=TRUE&amp;VAR:ID1=62985Q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5"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16"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19"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localSheetId="18"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2__FDSAUDITLINK__" hidden="1">{"fdsup://IBCentral/FAT Viewer?action=UPDATE&amp;creator=factset&amp;DOC_NAME=fat:reuters_annual_source_window.fat&amp;display_string=Audit&amp;DYN_ARGS=TRUE&amp;VAR:ID1=63651810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5"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16"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19"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localSheetId="18"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3__FDSAUDITLINK__" hidden="1">{"fdsup://IBCentral/FAT Viewer?action=UPDATE&amp;creator=factset&amp;DOC_NAME=fat:reuters_annual_source_window.fat&amp;display_string=Audit&amp;DYN_ARGS=TRUE&amp;VAR:ID1=65182410&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5"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16"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19"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localSheetId="18"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4__FDSAUDITLINK__" hidden="1">{"fdsup://IBCentral/FAT Viewer?action=UPDATE&amp;creator=factset&amp;DOC_NAME=fat:reuters_annual_source_window.fat&amp;display_string=Audit&amp;DYN_ARGS=TRUE&amp;VAR:ID1=B096C6&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5"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16"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19"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localSheetId="18"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5__FDSAUDITLINK__" hidden="1">{"fdsup://IBCentral/FAT Viewer?action=UPDATE&amp;creator=factset&amp;DOC_NAME=fat:reuters_annual_source_window.fat&amp;display_string=Audit&amp;DYN_ARGS=TRUE&amp;VAR:ID1=88077010&amp;VAR:RCODE=EBITDA&amp;VAR:SDATE=20071299&amp;VAR:FREQ=Y&amp;VAR:RELITEM=&amp;VAR:CURRENCY=&amp;VAR:CURRSOURCE=EXSHARE&amp;V","AR:NATFREQ=ANNUAL&amp;VAR:RFIELD=FINALIZED&amp;VAR:DB_TYPE=&amp;VAR:UNITS=M&amp;window=popup&amp;width=450&amp;height=300&amp;START_MAXIMIZED=FALSE"}</definedName>
    <definedName name="_626__FDSAUDITLINK__" localSheetId="5"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16"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19"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localSheetId="18"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26__FDSAUDITLINK__" hidden="1">{"fdsup://IBCentral/FAT Viewer?action=UPDATE&amp;creator=factset&amp;DOC_NAME=fat:reuters_annual_source_window.fat&amp;display_string=Audit&amp;DYN_ARGS=TRUE&amp;VAR:ID1=00846U10&amp;VAR:RCODE=EBITDA&amp;VAR:SDATE=20071099&amp;VAR:FREQ=Y&amp;VAR:RELITEM=&amp;VAR:CURRENCY=&amp;VAR:CURRSOURCE=EXSHARE&amp;V","AR:NATFREQ=ANNUAL&amp;VAR:RFIELD=FINALIZED&amp;VAR:DB_TYPE=&amp;VAR:UNITS=M&amp;window=popup&amp;width=450&amp;height=300&amp;START_MAXIMIZED=FALSE"}</definedName>
    <definedName name="_63__FDSAUDITLINK__" localSheetId="6"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3"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5"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3__FDSAUDITLINK__" localSheetId="10"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16"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19"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localSheetId="18" hidden="1">{"fdsup://directions/FAT Viewer?action=UPDATE&amp;creator=factset&amp;DYN_ARGS=TRUE&amp;DOC_NAME=FAT:FQL_AUDITING_CLIENT_TEMPLATE.FAT&amp;display_string=Audit&amp;VAR:KEY=PQXQHMJAJK&amp;VAR:QUERY=RkZfSU5WRVNUX0xUKFFUUiwwKQ==&amp;WINDOW=FIRST_POPUP&amp;HEIGHT=450&amp;WIDTH=450&amp;START_MAXIMIZED=","FALSE&amp;VAR:CALENDAR=FIVEDAY&amp;VAR:SYMBOL=JAZZ&amp;VAR:INDEX=0"}</definedName>
    <definedName name="_63__FDSAUDITLINK__" hidden="1">{"fdsup://IBCentral/FAT Viewer?action=UPDATE&amp;creator=factset&amp;DOC_NAME=fat:reuters_annual_source_window.fat&amp;display_string=Audit&amp;DYN_ARGS=TRUE&amp;VAR:ID1=74018910&amp;VAR:RCODE=EBITDA&amp;VAR:SDATE=20080399&amp;VAR:FREQ=Y&amp;VAR:RELITEM=&amp;VAR:CURRENCY=&amp;VAR:CURRSOURCE=EXSHARE&amp;V","AR:NATFREQ=ANNUAL&amp;VAR:RFIELD=FINALIZED&amp;VAR:DB_TYPE=&amp;VAR:UNITS=M&amp;window=popup&amp;width=450&amp;height=300&amp;START_MAXIMIZED=FALSE"}</definedName>
    <definedName name="_64__FDSAUDITLINK__" localSheetId="6"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3"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5"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4__FDSAUDITLINK__" localSheetId="10"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16"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19"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localSheetId="18" hidden="1">{"fdsup://directions/FAT Viewer?action=UPDATE&amp;creator=factset&amp;DYN_ARGS=TRUE&amp;DOC_NAME=FAT:FQL_AUDITING_CLIENT_TEMPLATE.FAT&amp;display_string=Audit&amp;VAR:KEY=HORKLYBSXK&amp;VAR:QUERY=RkZfSU5WRVNUX0xUKFFUUiwwKQ==&amp;WINDOW=FIRST_POPUP&amp;HEIGHT=450&amp;WIDTH=450&amp;START_MAXIMIZED=","FALSE&amp;VAR:CALENDAR=FIVEDAY&amp;VAR:SYMBOL=FRX&amp;VAR:INDEX=0"}</definedName>
    <definedName name="_64__FDSAUDITLINK__" hidden="1">{"fdsup://IBCentral/FAT Viewer?action=UPDATE&amp;creator=factset&amp;DOC_NAME=fat:reuters_annual_source_window.fat&amp;display_string=Audit&amp;DYN_ARGS=TRUE&amp;VAR:ID1=82434810&amp;VAR:RCODE=EBITDA&amp;VAR:SDATE=20071299&amp;VAR:FREQ=Y&amp;VAR:RELITEM=RP&amp;VAR:CURRENCY=&amp;VAR:CURRSOURCE=EXSHARE","&amp;VAR:NATFREQ=ANNUAL&amp;VAR:RFIELD=FINALIZED&amp;VAR:DB_TYPE=&amp;VAR:UNITS=M&amp;window=popup&amp;width=450&amp;height=300&amp;START_MAXIMIZED=FALSE"}</definedName>
    <definedName name="_65__FDSAUDITLINK__" localSheetId="6"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3"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5"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5__FDSAUDITLINK__" localSheetId="10"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16"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19"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localSheetId="18" hidden="1">{"fdsup://directions/FAT Viewer?action=UPDATE&amp;creator=factset&amp;DYN_ARGS=TRUE&amp;DOC_NAME=FAT:FQL_AUDITING_CLIENT_TEMPLATE.FAT&amp;display_string=Audit&amp;VAR:KEY=DITIHIDQBQ&amp;VAR:QUERY=RkZfSU5WRVNUX0xUKFFUUiwwKQ==&amp;WINDOW=FIRST_POPUP&amp;HEIGHT=450&amp;WIDTH=450&amp;START_MAXIMIZED=","FALSE&amp;VAR:CALENDAR=FIVEDAY&amp;VAR:SYMBOL=ENDP&amp;VAR:INDEX=0"}</definedName>
    <definedName name="_65__FDSAUDITLINK__" hidden="1">{"fdsup://IBCentral/FAT Viewer?action=UPDATE&amp;creator=factset&amp;DOC_NAME=fat:reuters_annual_source_window.fat&amp;display_string=Audit&amp;DYN_ARGS=TRUE&amp;VAR:ID1=09179710&amp;VAR:RCODE=EBITDA&amp;VAR:SDATE=20071299&amp;VAR:FREQ=Y&amp;VAR:RELITEM=RP&amp;VAR:CURRENCY=&amp;VAR:CURRSOURCE=EXSHARE","&amp;VAR:NATFREQ=ANNUAL&amp;VAR:RFIELD=FINALIZED&amp;VAR:DB_TYPE=&amp;VAR:UNITS=M&amp;window=popup&amp;width=450&amp;height=300&amp;START_MAXIMIZED=FALSE"}</definedName>
    <definedName name="_66__FDSAUDITLINK__" localSheetId="6"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3"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5"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6__FDSAUDITLINK__" localSheetId="10"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16"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19"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localSheetId="18" hidden="1">{"fdsup://directions/FAT Viewer?action=UPDATE&amp;creator=factset&amp;DYN_ARGS=TRUE&amp;DOC_NAME=FAT:FQL_AUDITING_CLIENT_TEMPLATE.FAT&amp;display_string=Audit&amp;VAR:KEY=RKVMRORARM&amp;VAR:QUERY=RkZfSU5WRVNUX0xUKFFUUiwwKQ==&amp;WINDOW=FIRST_POPUP&amp;HEIGHT=450&amp;WIDTH=450&amp;START_MAXIMIZED=","FALSE&amp;VAR:CALENDAR=FIVEDAY&amp;VAR:SYMBOL=CEPH&amp;VAR:INDEX=0"}</definedName>
    <definedName name="_66__FDSAUDITLINK__" hidden="1">{"fdsup://IBCentral/FAT Viewer?action=UPDATE&amp;creator=factset&amp;DOC_NAME=fat:reuters_annual_source_window.fat&amp;display_string=Audit&amp;DYN_ARGS=TRUE&amp;VAR:ID1=43707610&amp;VAR:RCODE=EBITDA&amp;VAR:SDATE=20080199&amp;VAR:FREQ=Y&amp;VAR:RELITEM=RP&amp;VAR:CURRENCY=&amp;VAR:CURRSOURCE=EXSHARE","&amp;VAR:NATFREQ=ANNUAL&amp;VAR:RFIELD=FINALIZED&amp;VAR:DB_TYPE=&amp;VAR:UNITS=M&amp;window=popup&amp;width=450&amp;height=300&amp;START_MAXIMIZED=FALSE"}</definedName>
    <definedName name="_67__FDSAUDITLINK__" localSheetId="6"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3"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5"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7__FDSAUDITLINK__" localSheetId="10"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16"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19"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localSheetId="18" hidden="1">{"fdsup://directions/FAT Viewer?action=UPDATE&amp;creator=factset&amp;DYN_ARGS=TRUE&amp;DOC_NAME=FAT:FQL_AUDITING_CLIENT_TEMPLATE.FAT&amp;display_string=Audit&amp;VAR:KEY=XILINMFINW&amp;VAR:QUERY=RkZfSU5WRVNUX0xUKFFUUiwwKQ==&amp;WINDOW=FIRST_POPUP&amp;HEIGHT=450&amp;WIDTH=450&amp;START_MAXIMIZED=","FALSE&amp;VAR:CALENDAR=FIVEDAY&amp;VAR:SYMBOL=AGN&amp;VAR:INDEX=0"}</definedName>
    <definedName name="_67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68__FDSAUDITLINK__" localSheetId="6"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3"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5"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8__FDSAUDITLINK__" localSheetId="10"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16"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19"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localSheetId="18" hidden="1">{"fdsup://directions/FAT Viewer?action=UPDATE&amp;creator=factset&amp;DYN_ARGS=TRUE&amp;DOC_NAME=FAT:FQL_AUDITING_CLIENT_TEMPLATE.FAT&amp;display_string=Audit&amp;VAR:KEY=NAHOLSNWDY&amp;VAR:QUERY=RkZfSU5WRVNUX0xUKFFUUiwwKQ==&amp;WINDOW=FIRST_POPUP&amp;HEIGHT=450&amp;WIDTH=450&amp;START_MAXIMIZED=","FALSE&amp;VAR:CALENDAR=FIVEDAY&amp;VAR:SYMBOL=GILD&amp;VAR:INDEX=0"}</definedName>
    <definedName name="_68__FDSAUDITLINK__" hidden="1">{"fdsup://IBCentral/FAT Viewer?action=UPDATE&amp;creator=factset&amp;DOC_NAME=fat:reuters_annual_source_window.fat&amp;display_string=Audit&amp;DYN_ARGS=TRUE&amp;VAR:ID1=635682&amp;VAR:RCODE=EBITDA&amp;VAR:SDATE=20080399&amp;VAR:FREQ=Y&amp;VAR:RELITEM=&amp;VAR:CURRENCY=&amp;VAR:CURRSOURCE=EXSHARE&amp;VAR",":NATFREQ=ANNUAL&amp;VAR:RFIELD=FINALIZED&amp;VAR:DB_TYPE=&amp;VAR:UNITS=M&amp;window=popup&amp;width=450&amp;height=300&amp;START_MAXIMIZED=FALSE"}</definedName>
    <definedName name="_69__FDSAUDITLINK__" localSheetId="6"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3"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5"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69__FDSAUDITLINK__" localSheetId="10"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16"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19"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localSheetId="18" hidden="1">{"fdsup://directions/FAT Viewer?action=UPDATE&amp;creator=factset&amp;DYN_ARGS=TRUE&amp;DOC_NAME=FAT:FQL_AUDITING_CLIENT_TEMPLATE.FAT&amp;display_string=Audit&amp;VAR:KEY=XYVWDOTINK&amp;VAR:QUERY=RkZfSU5WRVNUX0xUKFFUUiwwKQ==&amp;WINDOW=FIRST_POPUP&amp;HEIGHT=450&amp;WIDTH=450&amp;START_MAXIMIZED=","FALSE&amp;VAR:CALENDAR=FIVEDAY&amp;VAR:SYMBOL=CELG&amp;VAR:INDEX=0"}</definedName>
    <definedName name="_69__FDSAUDITLINK__" hidden="1">{"fdsup://IBCentral/FAT Viewer?action=UPDATE&amp;creator=factset&amp;DOC_NAME=fat:reuters_annual_source_window.fat&amp;display_string=Audit&amp;DYN_ARGS=TRUE&amp;VAR:ID1=B09M9D&amp;VAR:RCODE=EBITDA&amp;VAR:SDATE=20071299&amp;VAR:FREQ=Y&amp;VAR:RELITEM=&amp;VAR:CURRENCY=&amp;VAR:CURRSOURCE=EXSHARE&amp;VAR",":NATFREQ=ANNUAL&amp;VAR:RFIELD=FINALIZED&amp;VAR:DB_TYPE=&amp;VAR:UNITS=M&amp;window=popup&amp;width=450&amp;height=300&amp;START_MAXIMIZED=FALSE"}</definedName>
    <definedName name="_7__123Graph_ANRET_RS" hidden="1">[5]ADVOL!$AG$30:$AG$56</definedName>
    <definedName name="_7__123Graph_BCHART_3" localSheetId="6" hidden="1">'[6]Edge 10797 Drilling Inventory'!#REF!</definedName>
    <definedName name="_7__123Graph_BCHART_3" localSheetId="3" hidden="1">'[6]Edge 10797 Drilling Inventory'!#REF!</definedName>
    <definedName name="_7__123Graph_BCHART_3" localSheetId="5" hidden="1">'[6]Edge 10797 Drilling Inventory'!#REF!</definedName>
    <definedName name="_7__123Graph_BCHART_3" localSheetId="19" hidden="1">'[6]Edge 10797 Drilling Inventory'!#REF!</definedName>
    <definedName name="_7__123Graph_BCHART_3" localSheetId="18" hidden="1">'[6]Edge 10797 Drilling Inventory'!#REF!</definedName>
    <definedName name="_7__123Graph_BCHART_3" hidden="1">'[6]Edge 10797 Drilling Inventory'!#REF!</definedName>
    <definedName name="_7__FDSAUDITLINK__" localSheetId="5"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16"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19"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localSheetId="18"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__FDSAUDITLINK__" hidden="1">{"fdsup://IBCentral/FAT Viewer?action=UPDATE&amp;creator=factset&amp;DOC_NAME=fat:reuters_annual_source_window.fat&amp;display_string=Audit&amp;DYN_ARGS=TRUE&amp;VAR:ID1=74018910&amp;VAR:RCODE=EBITDA&amp;VAR:SDATE=20080399&amp;VAR:FREQ=Y&amp;VAR:RELITEM=RP&amp;VAR:CURRENCY=&amp;VAR:CURRSOURCE=EXSHARE","&amp;VAR:NATFREQ=ANNUAL&amp;VAR:RFIELD=FINALIZED&amp;VAR:DB_TYPE=&amp;VAR:UNITS=M&amp;window=popup&amp;width=450&amp;height=300&amp;START_MAXIMIZED=FALSE"}</definedName>
    <definedName name="_70__FDSAUDITLINK__" localSheetId="6"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3"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5"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0__FDSAUDITLINK__" localSheetId="10"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16"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19"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localSheetId="18" hidden="1">{"fdsup://directions/FAT Viewer?action=UPDATE&amp;creator=factset&amp;DYN_ARGS=TRUE&amp;DOC_NAME=FAT:FQL_AUDITING_CLIENT_TEMPLATE.FAT&amp;display_string=Audit&amp;VAR:KEY=VGXUNQXELC&amp;VAR:QUERY=RkZfSU5WRVNUX0xUKFFUUiwwKQ==&amp;WINDOW=FIRST_POPUP&amp;HEIGHT=450&amp;WIDTH=450&amp;START_MAXIMIZED=","FALSE&amp;VAR:CALENDAR=FIVEDAY&amp;VAR:SYMBOL=BIIB&amp;VAR:INDEX=0"}</definedName>
    <definedName name="_70__FDSAUDITLINK__" hidden="1">{"fdsup://IBCentral/FAT Viewer?action=UPDATE&amp;creator=factset&amp;DOC_NAME=fat:reuters_annual_source_window.fat&amp;display_string=Audit&amp;DYN_ARGS=TRUE&amp;VAR:ID1=B11WWH&amp;VAR:RCODE=EBITDA&amp;VAR:SDATE=20071299&amp;VAR:FREQ=Y&amp;VAR:RELITEM=&amp;VAR:CURRENCY=&amp;VAR:CURRSOURCE=EXSHARE&amp;VAR",":NATFREQ=ANNUAL&amp;VAR:RFIELD=FINALIZED&amp;VAR:DB_TYPE=&amp;VAR:UNITS=M&amp;window=popup&amp;width=450&amp;height=300&amp;START_MAXIMIZED=FALSE"}</definedName>
    <definedName name="_71__FDSAUDITLINK__" localSheetId="6"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3"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5"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1__FDSAUDITLINK__" localSheetId="10"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16"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19"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localSheetId="18" hidden="1">{"fdsup://directions/FAT Viewer?action=UPDATE&amp;creator=factset&amp;DYN_ARGS=TRUE&amp;DOC_NAME=FAT:FQL_AUDITING_CLIENT_TEMPLATE.FAT&amp;display_string=Audit&amp;VAR:KEY=ZWDUTWDEPG&amp;VAR:QUERY=RkZfSU5WRVNUX0xUKFFUUiwwKQ==&amp;WINDOW=FIRST_POPUP&amp;HEIGHT=450&amp;WIDTH=450&amp;START_MAXIMIZED=","FALSE&amp;VAR:CALENDAR=FIVEDAY&amp;VAR:SYMBOL=AMGN&amp;VAR:INDEX=0"}</definedName>
    <definedName name="_71__FDSAUDITLINK__" hidden="1">{"fdsup://IBCentral/FAT Viewer?action=UPDATE&amp;creator=factset&amp;DOC_NAME=fat:reuters_annual_source_window.fat&amp;display_string=Audit&amp;DYN_ARGS=TRUE&amp;VAR:ID1=B0DJNG&amp;VAR:RCODE=EBITDA&amp;VAR:SDATE=20071299&amp;VAR:FREQ=Y&amp;VAR:RELITEM=&amp;VAR:CURRENCY=&amp;VAR:CURRSOURCE=EXSHARE&amp;VAR",":NATFREQ=ANNUAL&amp;VAR:RFIELD=FINALIZED&amp;VAR:DB_TYPE=&amp;VAR:UNITS=M&amp;window=popup&amp;width=450&amp;height=300&amp;START_MAXIMIZED=FALSE"}</definedName>
    <definedName name="_72__FDSAUDITLINK__" localSheetId="6"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3"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5"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2__FDSAUDITLINK__" localSheetId="10"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16"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19"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localSheetId="18" hidden="1">{"fdsup://directions/FAT Viewer?action=UPDATE&amp;creator=factset&amp;DYN_ARGS=TRUE&amp;DOC_NAME=FAT:FQL_AUDITING_CLIENT_TEMPLATE.FAT&amp;display_string=Audit&amp;VAR:KEY=LOPUXAFKXA&amp;VAR:QUERY=RkZfSU5WRVNUX0xUKFFUUiwwKQ==&amp;WINDOW=FIRST_POPUP&amp;HEIGHT=450&amp;WIDTH=450&amp;START_MAXIMIZED=","FALSE&amp;VAR:CALENDAR=FIVEDAY&amp;VAR:SYMBOL=ALXN&amp;VAR:INDEX=0"}</definedName>
    <definedName name="_72__FDSAUDITLINK__" hidden="1">{"fdsup://IBCentral/FAT Viewer?action=UPDATE&amp;creator=factset&amp;DOC_NAME=fat:reuters_annual_source_window.fat&amp;display_string=Audit&amp;DYN_ARGS=TRUE&amp;VAR:ID1=88320310&amp;VAR:RCODE=EBITDA&amp;VAR:SDATE=20071299&amp;VAR:FREQ=Y&amp;VAR:RELITEM=&amp;VAR:CURRENCY=&amp;VAR:CURRSOURCE=EXSHARE&amp;V","AR:NATFREQ=ANNUAL&amp;VAR:RFIELD=FINALIZED&amp;VAR:DB_TYPE=&amp;VAR:UNITS=M&amp;window=popup&amp;width=450&amp;height=300&amp;START_MAXIMIZED=FALSE"}</definedName>
    <definedName name="_73__FDSAUDITLINK__" localSheetId="6"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3"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5"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3__FDSAUDITLINK__" localSheetId="10"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16"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19"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localSheetId="18" hidden="1">{"fdsup://directions/FAT Viewer?action=UPDATE&amp;creator=factset&amp;DYN_ARGS=TRUE&amp;DOC_NAME=FAT:FQL_AUDITING_CLIENT_TEMPLATE.FAT&amp;display_string=Audit&amp;VAR:KEY=ZSHOZIHUTA&amp;VAR:QUERY=RkZfSU5WRVNUX0xUKFFUUiwwKQ==&amp;WINDOW=FIRST_POPUP&amp;HEIGHT=450&amp;WIDTH=450&amp;START_MAXIMIZED=","FALSE&amp;VAR:CALENDAR=FIVEDAY&amp;VAR:SYMBOL=435209&amp;VAR:INDEX=0"}</definedName>
    <definedName name="_73__FDSAUDITLINK__" hidden="1">{"fdsup://IBCentral/FAT Viewer?action=UPDATE&amp;creator=factset&amp;DOC_NAME=fat:reuters_annual_source_window.fat&amp;display_string=Audit&amp;DYN_ARGS=TRUE&amp;VAR:ID1=09702310&amp;VAR:RCODE=EBITDA&amp;VAR:SDATE=20071299&amp;VAR:FREQ=Y&amp;VAR:RELITEM=&amp;VAR:CURRENCY=&amp;VAR:CURRSOURCE=EXSHARE&amp;V","AR:NATFREQ=ANNUAL&amp;VAR:RFIELD=FINALIZED&amp;VAR:DB_TYPE=&amp;VAR:UNITS=M&amp;window=popup&amp;width=450&amp;height=300&amp;START_MAXIMIZED=FALSE"}</definedName>
    <definedName name="_74__FDSAUDITLINK__" localSheetId="6"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3"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5"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4__FDSAUDITLINK__" localSheetId="10"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16"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19"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localSheetId="18" hidden="1">{"fdsup://directions/FAT Viewer?action=UPDATE&amp;creator=factset&amp;DYN_ARGS=TRUE&amp;DOC_NAME=FAT:FQL_AUDITING_CLIENT_TEMPLATE.FAT&amp;display_string=Audit&amp;VAR:KEY=VQFEJCHUXU&amp;VAR:QUERY=RkZfREVCVChRVFIsMCk=&amp;WINDOW=FIRST_POPUP&amp;HEIGHT=450&amp;WIDTH=450&amp;START_MAXIMIZED=FALSE&amp;VA","R:CALENDAR=FIVEDAY&amp;VAR:SYMBOL=435209&amp;VAR:INDEX=0"}</definedName>
    <definedName name="_74__FDSAUDITLINK__" hidden="1">{"fdsup://IBCentral/FAT Viewer?action=UPDATE&amp;creator=factset&amp;DOC_NAME=fat:reuters_annual_source_window.fat&amp;display_string=Audit&amp;DYN_ARGS=TRUE&amp;VAR:ID1=604321&amp;VAR:RCODE=EBITDA&amp;VAR:SDATE=20071299&amp;VAR:FREQ=Y&amp;VAR:RELITEM=&amp;VAR:CURRENCY=&amp;VAR:CURRSOURCE=EXSHARE&amp;VAR",":NATFREQ=ANNUAL&amp;VAR:RFIELD=FINALIZED&amp;VAR:DB_TYPE=&amp;VAR:UNITS=M&amp;window=popup&amp;width=450&amp;height=300&amp;START_MAXIMIZED=FALSE"}</definedName>
    <definedName name="_75__FDSAUDITLINK__" localSheetId="6"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3"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5"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5__FDSAUDITLINK__" localSheetId="10"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16"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19"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localSheetId="18" hidden="1">{"fdsup://directions/FAT Viewer?action=UPDATE&amp;creator=factset&amp;DYN_ARGS=TRUE&amp;DOC_NAME=FAT:FQL_AUDITING_CLIENT_TEMPLATE.FAT&amp;display_string=Audit&amp;VAR:KEY=LCJMPUTERA&amp;VAR:QUERY=RkZfSU5WRVNUX0xUKFFUUiwwKQ==&amp;WINDOW=FIRST_POPUP&amp;HEIGHT=450&amp;WIDTH=450&amp;START_MAXIMIZED=","FALSE&amp;VAR:CALENDAR=FIVEDAY&amp;VAR:SYMBOL=PFE&amp;VAR:INDEX=0"}</definedName>
    <definedName name="_75__FDSAUDITLINK__" hidden="1">{"fdsup://IBCentral/FAT Viewer?action=UPDATE&amp;creator=factset&amp;DOC_NAME=fat:reuters_annual_source_window.fat&amp;display_string=Audit&amp;DYN_ARGS=TRUE&amp;VAR:ID1=B058TZ&amp;VAR:RCODE=EBITDA&amp;VAR:SDATE=20071299&amp;VAR:FREQ=Y&amp;VAR:RELITEM=&amp;VAR:CURRENCY=&amp;VAR:CURRSOURCE=EXSHARE&amp;VAR",":NATFREQ=ANNUAL&amp;VAR:RFIELD=FINALIZED&amp;VAR:DB_TYPE=&amp;VAR:UNITS=M&amp;window=popup&amp;width=450&amp;height=300&amp;START_MAXIMIZED=FALSE"}</definedName>
    <definedName name="_76__FDSAUDITLINK__" localSheetId="6"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3"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5"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6__FDSAUDITLINK__" localSheetId="10"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16"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19"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localSheetId="18" hidden="1">{"fdsup://directions/FAT Viewer?action=UPDATE&amp;creator=factset&amp;DYN_ARGS=TRUE&amp;DOC_NAME=FAT:FQL_AUDITING_CLIENT_TEMPLATE.FAT&amp;display_string=Audit&amp;VAR:KEY=HYLCZGJGBW&amp;VAR:QUERY=RkZfSU5WRVNUX0xUKFFUUiwwKQ==&amp;WINDOW=FIRST_POPUP&amp;HEIGHT=450&amp;WIDTH=450&amp;START_MAXIMIZED=","FALSE&amp;VAR:CALENDAR=FIVEDAY&amp;VAR:SYMBOL=MRK&amp;VAR:INDEX=0"}</definedName>
    <definedName name="_76__FDSAUDITLINK__" hidden="1">{"fdsup://IBCentral/FAT Viewer?action=UPDATE&amp;creator=factset&amp;DOC_NAME=fat:reuters_annual_source_window.fat&amp;display_string=Audit&amp;DYN_ARGS=TRUE&amp;VAR:ID1=60819010&amp;VAR:RCODE=EBITDA&amp;VAR:SDATE=20071299&amp;VAR:FREQ=Y&amp;VAR:RELITEM=RP&amp;VAR:CURRENCY=&amp;VAR:CURRSOURCE=EXSHARE","&amp;VAR:NATFREQ=ANNUAL&amp;VAR:RFIELD=FINALIZED&amp;VAR:DB_TYPE=&amp;VAR:UNITS=M&amp;window=popup&amp;width=450&amp;height=300&amp;START_MAXIMIZED=FALSE"}</definedName>
    <definedName name="_77__FDSAUDITLINK__" localSheetId="6"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3"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5"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7__FDSAUDITLINK__" localSheetId="10"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16"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19"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localSheetId="18" hidden="1">{"fdsup://directions/FAT Viewer?action=UPDATE&amp;creator=factset&amp;DYN_ARGS=TRUE&amp;DOC_NAME=FAT:FQL_AUDITING_CLIENT_TEMPLATE.FAT&amp;display_string=Audit&amp;VAR:KEY=DERQHCPOHU&amp;VAR:QUERY=RkZfSU5WRVNUX0xUKFFUUiwwKQ==&amp;WINDOW=FIRST_POPUP&amp;HEIGHT=450&amp;WIDTH=450&amp;START_MAXIMIZED=","FALSE&amp;VAR:CALENDAR=FIVEDAY&amp;VAR:SYMBOL=LLY&amp;VAR:INDEX=0"}</definedName>
    <definedName name="_77__FDSAUDITLINK__" hidden="1">{"fdsup://IBCentral/FAT Viewer?action=UPDATE&amp;creator=factset&amp;DOC_NAME=fat:reuters_annual_source_window.fat&amp;display_string=Audit&amp;DYN_ARGS=TRUE&amp;VAR:ID1=42280610&amp;VAR:RCODE=EBITDA&amp;VAR:SDATE=20071099&amp;VAR:FREQ=Y&amp;VAR:RELITEM=&amp;VAR:CURRENCY=&amp;VAR:CURRSOURCE=EXSHARE&amp;V","AR:NATFREQ=ANNUAL&amp;VAR:RFIELD=FINALIZED&amp;VAR:DB_TYPE=&amp;VAR:UNITS=M&amp;window=popup&amp;width=450&amp;height=300&amp;START_MAXIMIZED=FALSE"}</definedName>
    <definedName name="_78__FDSAUDITLINK__" localSheetId="6"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3"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5"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8__FDSAUDITLINK__" localSheetId="10"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16"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19"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localSheetId="18" hidden="1">{"fdsup://directions/FAT Viewer?action=UPDATE&amp;creator=factset&amp;DYN_ARGS=TRUE&amp;DOC_NAME=FAT:FQL_AUDITING_CLIENT_TEMPLATE.FAT&amp;display_string=Audit&amp;VAR:KEY=FGNKPMPQZY&amp;VAR:QUERY=RkZfSU5WRVNUX0xUKFFUUiwwKQ==&amp;WINDOW=FIRST_POPUP&amp;HEIGHT=450&amp;WIDTH=450&amp;START_MAXIMIZED=","FALSE&amp;VAR:CALENDAR=FIVEDAY&amp;VAR:SYMBOL=JNJ&amp;VAR:INDEX=0"}</definedName>
    <definedName name="_78__FDSAUDITLINK__" hidden="1">{"fdsup://IBCentral/FAT Viewer?action=UPDATE&amp;creator=factset&amp;DOC_NAME=fat:reuters_annual_source_window.fat&amp;display_string=Audit&amp;DYN_ARGS=TRUE&amp;VAR:ID1=B09DHL&amp;VAR:RCODE=EBITDA&amp;VAR:SDATE=20071299&amp;VAR:FREQ=Y&amp;VAR:RELITEM=&amp;VAR:CURRENCY=&amp;VAR:CURRSOURCE=EXSHARE&amp;VAR",":NATFREQ=ANNUAL&amp;VAR:RFIELD=FINALIZED&amp;VAR:DB_TYPE=&amp;VAR:UNITS=M&amp;window=popup&amp;width=450&amp;height=300&amp;START_MAXIMIZED=FALSE"}</definedName>
    <definedName name="_79__FDSAUDITLINK__" localSheetId="6"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3"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5"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79__FDSAUDITLINK__" localSheetId="10"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16"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19"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localSheetId="18" hidden="1">{"fdsup://directions/FAT Viewer?action=UPDATE&amp;creator=factset&amp;DYN_ARGS=TRUE&amp;DOC_NAME=FAT:FQL_AUDITING_CLIENT_TEMPLATE.FAT&amp;display_string=Audit&amp;VAR:KEY=LYXSRCBOHA&amp;VAR:QUERY=RkZfSU5WRVNUX0xUKFFUUiwwKQ==&amp;WINDOW=FIRST_POPUP&amp;HEIGHT=450&amp;WIDTH=450&amp;START_MAXIMIZED=","FALSE&amp;VAR:CALENDAR=FIVEDAY&amp;VAR:SYMBOL=BMY&amp;VAR:INDEX=0"}</definedName>
    <definedName name="_79__FDSAUDITLINK__" hidden="1">{"fdsup://IBCentral/FAT Viewer?action=UPDATE&amp;creator=factset&amp;DOC_NAME=fat:reuters_annual_source_window.fat&amp;display_string=Audit&amp;DYN_ARGS=TRUE&amp;VAR:ID1=328364&amp;VAR:RCODE=EBITDA&amp;VAR:SDATE=20071299&amp;VAR:FREQ=Y&amp;VAR:RELITEM=&amp;VAR:CURRENCY=&amp;VAR:CURRSOURCE=EXSHARE&amp;VAR",":NATFREQ=ANNUAL&amp;VAR:RFIELD=FINALIZED&amp;VAR:DB_TYPE=&amp;VAR:UNITS=M&amp;window=popup&amp;width=450&amp;height=300&amp;START_MAXIMIZED=FALSE"}</definedName>
    <definedName name="_8__123Graph_ANRT_PCE" hidden="1">[5]ADVOL!$AD$97:$AD$131</definedName>
    <definedName name="_8__123Graph_LBL_ACHART_1" localSheetId="6" hidden="1">'[6]Edge 10797 Drilling Inventory'!#REF!</definedName>
    <definedName name="_8__123Graph_LBL_ACHART_1" localSheetId="3" hidden="1">'[6]Edge 10797 Drilling Inventory'!#REF!</definedName>
    <definedName name="_8__123Graph_LBL_ACHART_1" localSheetId="5" hidden="1">'[6]Edge 10797 Drilling Inventory'!#REF!</definedName>
    <definedName name="_8__123Graph_LBL_ACHART_1" localSheetId="19" hidden="1">'[6]Edge 10797 Drilling Inventory'!#REF!</definedName>
    <definedName name="_8__123Graph_LBL_ACHART_1" localSheetId="18" hidden="1">'[6]Edge 10797 Drilling Inventory'!#REF!</definedName>
    <definedName name="_8__123Graph_LBL_ACHART_1" hidden="1">'[6]Edge 10797 Drilling Inventory'!#REF!</definedName>
    <definedName name="_8__FDSAUDITLINK__" localSheetId="5"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16"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19"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localSheetId="18"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__FDSAUDITLINK__" hidden="1">{"fdsup://IBCentral/FAT Viewer?action=UPDATE&amp;creator=factset&amp;DOC_NAME=fat:reuters_annual_source_window.fat&amp;display_string=Audit&amp;DYN_ARGS=TRUE&amp;VAR:ID1=61539420&amp;VAR:RCODE=EBITDA&amp;VAR:SDATE=20070999&amp;VAR:FREQ=Y&amp;VAR:RELITEM=RP&amp;VAR:CURRENCY=&amp;VAR:CURRSOURCE=EXSHARE","&amp;VAR:NATFREQ=ANNUAL&amp;VAR:RFIELD=FINALIZED&amp;VAR:DB_TYPE=&amp;VAR:UNITS=M&amp;window=popup&amp;width=450&amp;height=300&amp;START_MAXIMIZED=FALSE"}</definedName>
    <definedName name="_80__FDSAUDITLINK__" localSheetId="6"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3"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5"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0__FDSAUDITLINK__" localSheetId="10"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16"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19"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localSheetId="18" hidden="1">{"fdsup://directions/FAT Viewer?action=UPDATE&amp;creator=factset&amp;DYN_ARGS=TRUE&amp;DOC_NAME=FAT:FQL_AUDITING_CLIENT_TEMPLATE.FAT&amp;display_string=Audit&amp;VAR:KEY=ZOVAZMHKPC&amp;VAR:QUERY=RkZfSU5WRVNUX0xUKFFUUiwwKQ==&amp;WINDOW=FIRST_POPUP&amp;HEIGHT=450&amp;WIDTH=450&amp;START_MAXIMIZED=","FALSE&amp;VAR:CALENDAR=FIVEDAY&amp;VAR:SYMBOL=ABT&amp;VAR:INDEX=0"}</definedName>
    <definedName name="_80__FDSAUDITLINK__" hidden="1">{"fdsup://IBCentral/FAT Viewer?action=UPDATE&amp;creator=factset&amp;DOC_NAME=fat:reuters_annual_source_window.fat&amp;display_string=Audit&amp;DYN_ARGS=TRUE&amp;VAR:ID1=57459910&amp;VAR:RCODE=EBITDA&amp;VAR:SDATE=20071299&amp;VAR:FREQ=Y&amp;VAR:RELITEM=RP&amp;VAR:CURRENCY=&amp;VAR:CURRSOURCE=EXSHARE","&amp;VAR:NATFREQ=ANNUAL&amp;VAR:RFIELD=FINALIZED&amp;VAR:DB_TYPE=&amp;VAR:UNITS=M&amp;window=popup&amp;width=450&amp;height=300&amp;START_MAXIMIZED=FALSE"}</definedName>
    <definedName name="_81__FDSAUDITLINK__" localSheetId="6"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3"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5"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1__FDSAUDITLINK__" localSheetId="10"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16"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19"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localSheetId="18" hidden="1">{"fdsup://directions/FAT Viewer?action=UPDATE&amp;creator=factset&amp;DYN_ARGS=TRUE&amp;DOC_NAME=FAT:FQL_AUDITING_CLIENT_TEMPLATE.FAT&amp;display_string=Audit&amp;VAR:KEY=JSLSBKVYHS&amp;VAR:QUERY=RkZfSU5WRVNUX0xUKFFUUiwwKQ==&amp;WINDOW=FIRST_POPUP&amp;HEIGHT=450&amp;WIDTH=450&amp;START_MAXIMIZED=","FALSE&amp;VAR:CALENDAR=FIVEDAY&amp;VAR:SYMBOL=AZN&amp;VAR:INDEX=0"}</definedName>
    <definedName name="_81__FDSAUDITLINK__" hidden="1">{"fdsup://IBCentral/FAT Viewer?action=UPDATE&amp;creator=factset&amp;DOC_NAME=fat:reuters_annual_source_window.fat&amp;display_string=Audit&amp;DYN_ARGS=TRUE&amp;VAR:ID1=61539420&amp;VAR:RCODE=EBITDA&amp;VAR:SDATE=20080999&amp;VAR:FREQ=Y&amp;VAR:RELITEM=&amp;VAR:CURRENCY=&amp;VAR:CURRSOURCE=EXSHARE&amp;V","AR:NATFREQ=ANNUAL&amp;VAR:RFIELD=FINALIZED&amp;VAR:DB_TYPE=&amp;VAR:UNITS=M&amp;window=popup&amp;width=450&amp;height=300&amp;START_MAXIMIZED=FALSE"}</definedName>
    <definedName name="_82__FDSAUDITLINK__" localSheetId="6"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3"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5"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2__FDSAUDITLINK__" localSheetId="10"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16"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19"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localSheetId="18" hidden="1">{"fdsup://directions/FAT Viewer?action=UPDATE&amp;creator=factset&amp;DYN_ARGS=TRUE&amp;DOC_NAME=FAT:FQL_AUDITING_CLIENT_TEMPLATE.FAT&amp;display_string=Audit&amp;VAR:KEY=HAHKXMLERQ&amp;VAR:QUERY=RkZfSU5WRVNUX0xUKFFUUiwwKQ==&amp;WINDOW=FIRST_POPUP&amp;HEIGHT=450&amp;WIDTH=450&amp;START_MAXIMIZED=","FALSE&amp;VAR:CALENDAR=FIVEDAY&amp;VAR:SYMBOL=NVS&amp;VAR:INDEX=0"}</definedName>
    <definedName name="_82__FDSAUDITLINK__" hidden="1">{"fdsup://IBCentral/FAT Viewer?action=UPDATE&amp;creator=factset&amp;DOC_NAME=fat:reuters_annual_source_window.fat&amp;display_string=Audit&amp;DYN_ARGS=TRUE&amp;VAR:ID1=77434110&amp;VAR:RCODE=EBITDA&amp;VAR:SDATE=20080999&amp;VAR:FREQ=Y&amp;VAR:RELITEM=&amp;VAR:CURRENCY=&amp;VAR:CURRSOURCE=EXSHARE&amp;V","AR:NATFREQ=ANNUAL&amp;VAR:RFIELD=FINALIZED&amp;VAR:DB_TYPE=&amp;VAR:UNITS=M&amp;window=popup&amp;width=450&amp;height=300&amp;START_MAXIMIZED=FALSE"}</definedName>
    <definedName name="_83__FDSAUDITLINK__" localSheetId="6"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3"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5"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3__FDSAUDITLINK__" localSheetId="10"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16"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19"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localSheetId="18" hidden="1">{"fdsup://directions/FAT Viewer?action=UPDATE&amp;creator=factset&amp;DYN_ARGS=TRUE&amp;DOC_NAME=FAT:FQL_AUDITING_CLIENT_TEMPLATE.FAT&amp;display_string=Audit&amp;VAR:KEY=ZGBABKVOBO&amp;VAR:QUERY=RkZfSU5WRVNUX0xUKFFUUiwwKQ==&amp;WINDOW=FIRST_POPUP&amp;HEIGHT=450&amp;WIDTH=450&amp;START_MAXIMIZED=","FALSE&amp;VAR:CALENDAR=FIVEDAY&amp;VAR:SYMBOL=SHPGY&amp;VAR:INDEX=0"}</definedName>
    <definedName name="_83__FDSAUDITLINK__" hidden="1">{"fdsup://IBCentral/FAT Viewer?action=UPDATE&amp;creator=factset&amp;DOC_NAME=fat:reuters_annual_source_window.fat&amp;display_string=Audit&amp;DYN_ARGS=TRUE&amp;VAR:ID1=38238810&amp;VAR:RCODE=EBITDA&amp;VAR:SDATE=20071299&amp;VAR:FREQ=Y&amp;VAR:RELITEM=&amp;VAR:CURRENCY=&amp;VAR:CURRSOURCE=EXSHARE&amp;V","AR:NATFREQ=ANNUAL&amp;VAR:RFIELD=FINALIZED&amp;VAR:DB_TYPE=&amp;VAR:UNITS=M&amp;window=popup&amp;width=450&amp;height=300&amp;START_MAXIMIZED=FALSE"}</definedName>
    <definedName name="_84__FDSAUDITLINK__" localSheetId="6"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3"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5"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4__FDSAUDITLINK__" localSheetId="10"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16"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19"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localSheetId="18" hidden="1">{"fdsup://Directions/FactSet Auditing Viewer?action=AUDIT_VALUE&amp;DB=129&amp;ID1=00282410&amp;VALUEID=02001&amp;SDATE=201102&amp;PERIODTYPE=QTR_STD&amp;SCFT=3&amp;window=popup_no_bar&amp;width=385&amp;height=120&amp;START_MAXIMIZED=FALSE&amp;creator=factset&amp;display_string=Audit"}</definedName>
    <definedName name="_84__FDSAUDITLINK__" hidden="1">{"fdsup://IBCentral/FAT Viewer?action=UPDATE&amp;creator=factset&amp;DOC_NAME=fat:reuters_annual_source_window.fat&amp;display_string=Audit&amp;DYN_ARGS=TRUE&amp;VAR:ID1=38308210&amp;VAR:RCODE=EBITDA&amp;VAR:SDATE=20071299&amp;VAR:FREQ=Y&amp;VAR:RELITEM=RP&amp;VAR:CURRENCY=&amp;VAR:CURRSOURCE=EXSHARE","&amp;VAR:NATFREQ=ANNUAL&amp;VAR:RFIELD=FINALIZED&amp;VAR:DB_TYPE=&amp;VAR:UNITS=M&amp;window=popup&amp;width=450&amp;height=300&amp;START_MAXIMIZED=FALSE"}</definedName>
    <definedName name="_85__FDSAUDITLINK__" localSheetId="6"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3"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5"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5__FDSAUDITLINK__" localSheetId="10"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16"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19"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localSheetId="18" hidden="1">{"fdsup://directions/FAT Viewer?action=UPDATE&amp;creator=factset&amp;DYN_ARGS=TRUE&amp;DOC_NAME=FAT:FQL_AUDITING_CLIENT_TEMPLATE.FAT&amp;display_string=Audit&amp;VAR:KEY=FQVITULUDU&amp;VAR:QUERY=RkZfREVCVChRVFIsMCk=&amp;WINDOW=FIRST_POPUP&amp;HEIGHT=450&amp;WIDTH=450&amp;START_MAXIMIZED=FALSE&amp;VA","R:CALENDAR=FIVEDAY&amp;VAR:SYMBOL=ABT&amp;VAR:INDEX=0"}</definedName>
    <definedName name="_85__FDSAUDITLINK__" hidden="1">{"fdsup://IBCentral/FAT Viewer?action=UPDATE&amp;creator=factset&amp;DOC_NAME=fat:reuters_annual_source_window.fat&amp;display_string=Audit&amp;DYN_ARGS=TRUE&amp;VAR:ID1=36555810&amp;VAR:RCODE=EBITDA&amp;VAR:SDATE=20071299&amp;VAR:FREQ=Y&amp;VAR:RELITEM=RP&amp;VAR:CURRENCY=&amp;VAR:CURRSOURCE=EXSHARE","&amp;VAR:NATFREQ=ANNUAL&amp;VAR:RFIELD=FINALIZED&amp;VAR:DB_TYPE=&amp;VAR:UNITS=M&amp;window=popup&amp;width=450&amp;height=300&amp;START_MAXIMIZED=FALSE"}</definedName>
    <definedName name="_86__FDSAUDITLINK__" localSheetId="6"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3"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5"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6__FDSAUDITLINK__" localSheetId="10"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16"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19"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localSheetId="18" hidden="1">{"fdsup://Directions/FactSet Auditing Viewer?action=AUDIT_VALUE&amp;DB=129&amp;ID1=11012210&amp;VALUEID=02001&amp;SDATE=201102&amp;PERIODTYPE=QTR_STD&amp;SCFT=3&amp;window=popup_no_bar&amp;width=385&amp;height=120&amp;START_MAXIMIZED=FALSE&amp;creator=factset&amp;display_string=Audit"}</definedName>
    <definedName name="_86__FDSAUDITLINK__" hidden="1">{"fdsup://IBCentral/FAT Viewer?action=UPDATE&amp;creator=factset&amp;DOC_NAME=fat:reuters_annual_source_window.fat&amp;display_string=Audit&amp;DYN_ARGS=TRUE&amp;VAR:ID1=38410910&amp;VAR:RCODE=EBITDA&amp;VAR:SDATE=20071299&amp;VAR:FREQ=Y&amp;VAR:RELITEM=RP&amp;VAR:CURRENCY=&amp;VAR:CURRSOURCE=EXSHARE","&amp;VAR:NATFREQ=ANNUAL&amp;VAR:RFIELD=FINALIZED&amp;VAR:DB_TYPE=&amp;VAR:UNITS=M&amp;window=popup&amp;width=450&amp;height=300&amp;START_MAXIMIZED=FALSE"}</definedName>
    <definedName name="_87__FDSAUDITLINK__" localSheetId="6"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3"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5"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7__FDSAUDITLINK__" localSheetId="10"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16"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19"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localSheetId="18" hidden="1">{"fdsup://directions/FAT Viewer?action=UPDATE&amp;creator=factset&amp;DYN_ARGS=TRUE&amp;DOC_NAME=FAT:FQL_AUDITING_CLIENT_TEMPLATE.FAT&amp;display_string=Audit&amp;VAR:KEY=DKTMXEVMHY&amp;VAR:QUERY=RkZfREVCVChRVFIsMCk=&amp;WINDOW=FIRST_POPUP&amp;HEIGHT=450&amp;WIDTH=450&amp;START_MAXIMIZED=FALSE&amp;VA","R:CALENDAR=FIVEDAY&amp;VAR:SYMBOL=BMY&amp;VAR:INDEX=0"}</definedName>
    <definedName name="_87__FDSAUDITLINK__" hidden="1">{"fdsup://IBCentral/FAT Viewer?action=UPDATE&amp;creator=factset&amp;DOC_NAME=fat:reuters_annual_source_window.fat&amp;display_string=Audit&amp;DYN_ARGS=TRUE&amp;VAR:ID1=52610710&amp;VAR:RCODE=EBITDA&amp;VAR:SDATE=20071299&amp;VAR:FREQ=Y&amp;VAR:RELITEM=&amp;VAR:CURRENCY=&amp;VAR:CURRSOURCE=EXSHARE&amp;V","AR:NATFREQ=ANNUAL&amp;VAR:RFIELD=FINALIZED&amp;VAR:DB_TYPE=&amp;VAR:UNITS=M&amp;window=popup&amp;width=450&amp;height=300&amp;START_MAXIMIZED=FALSE"}</definedName>
    <definedName name="_88__FDSAUDITLINK__" localSheetId="6"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3"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5"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8__FDSAUDITLINK__" localSheetId="10"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16"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19"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localSheetId="18" hidden="1">{"fdsup://Directions/FactSet Auditing Viewer?action=AUDIT_VALUE&amp;DB=129&amp;ID1=47816010&amp;VALUEID=02001&amp;SDATE=201102&amp;PERIODTYPE=QTR_STD&amp;SCFT=3&amp;window=popup_no_bar&amp;width=385&amp;height=120&amp;START_MAXIMIZED=FALSE&amp;creator=factset&amp;display_string=Audit"}</definedName>
    <definedName name="_88__FDSAUDITLINK__" hidden="1">{"fdsup://IBCentral/FAT Viewer?action=UPDATE&amp;creator=factset&amp;DOC_NAME=fat:reuters_annual_source_window.fat&amp;display_string=Audit&amp;DYN_ARGS=TRUE&amp;VAR:ID1=29101110&amp;VAR:RCODE=EBITDA&amp;VAR:SDATE=20070999&amp;VAR:FREQ=Y&amp;VAR:RELITEM=RP&amp;VAR:CURRENCY=&amp;VAR:CURRSOURCE=EXSHARE","&amp;VAR:NATFREQ=ANNUAL&amp;VAR:RFIELD=FINALIZED&amp;VAR:DB_TYPE=&amp;VAR:UNITS=M&amp;window=popup&amp;width=450&amp;height=300&amp;START_MAXIMIZED=FALSE"}</definedName>
    <definedName name="_89__FDSAUDITLINK__" localSheetId="6"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3"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5"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89__FDSAUDITLINK__" localSheetId="10"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16"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19"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localSheetId="18" hidden="1">{"fdsup://directions/FAT Viewer?action=UPDATE&amp;creator=factset&amp;DYN_ARGS=TRUE&amp;DOC_NAME=FAT:FQL_AUDITING_CLIENT_TEMPLATE.FAT&amp;display_string=Audit&amp;VAR:KEY=TCZQTEZSZW&amp;VAR:QUERY=RkZfREVCVChRVFIsMCk=&amp;WINDOW=FIRST_POPUP&amp;HEIGHT=450&amp;WIDTH=450&amp;START_MAXIMIZED=FALSE&amp;VA","R:CALENDAR=FIVEDAY&amp;VAR:SYMBOL=JNJ&amp;VAR:INDEX=0"}</definedName>
    <definedName name="_89__FDSAUDITLINK__" hidden="1">{"fdsup://IBCentral/FAT Viewer?action=UPDATE&amp;creator=factset&amp;DOC_NAME=fat:reuters_annual_source_window.fat&amp;display_string=Audit&amp;DYN_ARGS=TRUE&amp;VAR:ID1=47836610&amp;VAR:RCODE=EBITDA&amp;VAR:SDATE=20080999&amp;VAR:FREQ=Y&amp;VAR:RELITEM=&amp;VAR:CURRENCY=&amp;VAR:CURRSOURCE=EXSHARE&amp;V","AR:NATFREQ=ANNUAL&amp;VAR:RFIELD=FINALIZED&amp;VAR:DB_TYPE=&amp;VAR:UNITS=M&amp;window=popup&amp;width=450&amp;height=300&amp;START_MAXIMIZED=FALSE"}</definedName>
    <definedName name="_9__123Graph_BADV_GDP" hidden="1">[5]ADVOL!$F$97:$F$128</definedName>
    <definedName name="_9__123Graph_LBL_ACHART_2" localSheetId="6" hidden="1">'[6]Edge 10797 Drilling Inventory'!#REF!</definedName>
    <definedName name="_9__123Graph_LBL_ACHART_2" localSheetId="3" hidden="1">'[6]Edge 10797 Drilling Inventory'!#REF!</definedName>
    <definedName name="_9__123Graph_LBL_ACHART_2" localSheetId="5" hidden="1">'[6]Edge 10797 Drilling Inventory'!#REF!</definedName>
    <definedName name="_9__123Graph_LBL_ACHART_2" localSheetId="19" hidden="1">'[6]Edge 10797 Drilling Inventory'!#REF!</definedName>
    <definedName name="_9__123Graph_LBL_ACHART_2" localSheetId="18" hidden="1">'[6]Edge 10797 Drilling Inventory'!#REF!</definedName>
    <definedName name="_9__123Graph_LBL_ACHART_2" hidden="1">'[6]Edge 10797 Drilling Inventory'!#REF!</definedName>
    <definedName name="_9__FDSAUDITLINK__" localSheetId="5"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16"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19"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localSheetId="18"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__FDSAUDITLINK__" hidden="1">{"fdsup://IBCentral/FAT Viewer?action=UPDATE&amp;creator=factset&amp;DOC_NAME=fat:reuters_annual_source_window.fat&amp;display_string=Audit&amp;DYN_ARGS=TRUE&amp;VAR:ID1=77434110&amp;VAR:RCODE=EBITDA&amp;VAR:SDATE=20070999&amp;VAR:FREQ=Y&amp;VAR:RELITEM=RP&amp;VAR:CURRENCY=&amp;VAR:CURRSOURCE=EXSHARE","&amp;VAR:NATFREQ=ANNUAL&amp;VAR:RFIELD=FINALIZED&amp;VAR:DB_TYPE=&amp;VAR:UNITS=M&amp;window=popup&amp;width=450&amp;height=300&amp;START_MAXIMIZED=FALSE"}</definedName>
    <definedName name="_90__FDSAUDITLINK__" localSheetId="6"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3"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5"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0__FDSAUDITLINK__" localSheetId="10"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16"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19"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localSheetId="18" hidden="1">{"fdsup://Directions/FactSet Auditing Viewer?action=AUDIT_VALUE&amp;DB=129&amp;ID1=53245710&amp;VALUEID=02001&amp;SDATE=201102&amp;PERIODTYPE=QTR_STD&amp;SCFT=3&amp;window=popup_no_bar&amp;width=385&amp;height=120&amp;START_MAXIMIZED=FALSE&amp;creator=factset&amp;display_string=Audit"}</definedName>
    <definedName name="_90__FDSAUDITLINK__" hidden="1">{"fdsup://IBCentral/FAT Viewer?action=UPDATE&amp;creator=factset&amp;DOC_NAME=fat:reuters_annual_source_window.fat&amp;display_string=Audit&amp;DYN_ARGS=TRUE&amp;VAR:ID1=B11WWH&amp;VAR:RCODE=EBITDA&amp;VAR:SDATE=20071299&amp;VAR:FREQ=Y&amp;VAR:RELITEM=RP&amp;VAR:CURRENCY=&amp;VAR:CURRSOURCE=EXSHARE&amp;V","AR:NATFREQ=ANNUAL&amp;VAR:RFIELD=FINALIZED&amp;VAR:DB_TYPE=&amp;VAR:UNITS=M&amp;window=popup&amp;width=450&amp;height=300&amp;START_MAXIMIZED=FALSE"}</definedName>
    <definedName name="_91__FDSAUDITLINK__" localSheetId="6"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3"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5"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1__FDSAUDITLINK__" localSheetId="10"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16"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19"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localSheetId="18" hidden="1">{"fdsup://directions/FAT Viewer?action=UPDATE&amp;creator=factset&amp;DYN_ARGS=TRUE&amp;DOC_NAME=FAT:FQL_AUDITING_CLIENT_TEMPLATE.FAT&amp;display_string=Audit&amp;VAR:KEY=XEBYRMFCTI&amp;VAR:QUERY=RkZfREVCVChRVFIsMCk=&amp;WINDOW=FIRST_POPUP&amp;HEIGHT=450&amp;WIDTH=450&amp;START_MAXIMIZED=FALSE&amp;VA","R:CALENDAR=FIVEDAY&amp;VAR:SYMBOL=LLY&amp;VAR:INDEX=0"}</definedName>
    <definedName name="_91__FDSAUDITLINK__" hidden="1">{"fdsup://IBCentral/FAT Viewer?action=UPDATE&amp;creator=factset&amp;DOC_NAME=fat:reuters_annual_source_window.fat&amp;display_string=Audit&amp;DYN_ARGS=TRUE&amp;VAR:ID1=42280610&amp;VAR:RCODE=EBITDA&amp;VAR:SDATE=20071099&amp;VAR:FREQ=Y&amp;VAR:RELITEM=RP&amp;VAR:CURRENCY=&amp;VAR:CURRSOURCE=EXSHARE","&amp;VAR:NATFREQ=ANNUAL&amp;VAR:RFIELD=FINALIZED&amp;VAR:DB_TYPE=&amp;VAR:UNITS=M&amp;window=popup&amp;width=450&amp;height=300&amp;START_MAXIMIZED=FALSE"}</definedName>
    <definedName name="_92__FDSAUDITLINK__" localSheetId="6"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3"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5"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2__FDSAUDITLINK__" localSheetId="10"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16"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19"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localSheetId="18" hidden="1">{"fdsup://Directions/FactSet Auditing Viewer?action=AUDIT_VALUE&amp;DB=129&amp;ID1=58933Y10&amp;VALUEID=02001&amp;SDATE=201102&amp;PERIODTYPE=QTR_STD&amp;SCFT=3&amp;window=popup_no_bar&amp;width=385&amp;height=120&amp;START_MAXIMIZED=FALSE&amp;creator=factset&amp;display_string=Audit"}</definedName>
    <definedName name="_92__FDSAUDITLINK__" hidden="1">{"fdsup://IBCentral/FAT Viewer?action=UPDATE&amp;creator=factset&amp;DOC_NAME=fat:reuters_annual_source_window.fat&amp;display_string=Audit&amp;DYN_ARGS=TRUE&amp;VAR:ID1=328364&amp;VAR:RCODE=EBITDA&amp;VAR:SDATE=20071299&amp;VAR:FREQ=Y&amp;VAR:RELITEM=RP&amp;VAR:CURRENCY=&amp;VAR:CURRSOURCE=EXSHARE&amp;V","AR:NATFREQ=ANNUAL&amp;VAR:RFIELD=FINALIZED&amp;VAR:DB_TYPE=&amp;VAR:UNITS=M&amp;window=popup&amp;width=450&amp;height=300&amp;START_MAXIMIZED=FALSE"}</definedName>
    <definedName name="_93__FDSAUDITLINK__" localSheetId="6"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3"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5"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3__FDSAUDITLINK__" localSheetId="10"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16"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19"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localSheetId="18" hidden="1">{"fdsup://directions/FAT Viewer?action=UPDATE&amp;creator=factset&amp;DYN_ARGS=TRUE&amp;DOC_NAME=FAT:FQL_AUDITING_CLIENT_TEMPLATE.FAT&amp;display_string=Audit&amp;VAR:KEY=VSHAXOFKJC&amp;VAR:QUERY=RkZfREVCVChRVFIsMCk=&amp;WINDOW=FIRST_POPUP&amp;HEIGHT=450&amp;WIDTH=450&amp;START_MAXIMIZED=FALSE&amp;VA","R:CALENDAR=FIVEDAY&amp;VAR:SYMBOL=MRK&amp;VAR:INDEX=0"}</definedName>
    <definedName name="_93__FDSAUDITLINK__" hidden="1">{"fdsup://IBCentral/FAT Viewer?action=UPDATE&amp;creator=factset&amp;DOC_NAME=fat:reuters_annual_source_window.fat&amp;display_string=Audit&amp;DYN_ARGS=TRUE&amp;VAR:ID1=B09DHL&amp;VAR:RCODE=EBITDA&amp;VAR:SDATE=20071299&amp;VAR:FREQ=Y&amp;VAR:RELITEM=RP&amp;VAR:CURRENCY=&amp;VAR:CURRSOURCE=EXSHARE&amp;V","AR:NATFREQ=ANNUAL&amp;VAR:RFIELD=FINALIZED&amp;VAR:DB_TYPE=&amp;VAR:UNITS=M&amp;window=popup&amp;width=450&amp;height=300&amp;START_MAXIMIZED=FALSE"}</definedName>
    <definedName name="_94__FDSAUDITLINK__" localSheetId="6"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3"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5"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4__FDSAUDITLINK__" localSheetId="10"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16"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19"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localSheetId="18" hidden="1">{"fdsup://Directions/FactSet Auditing Viewer?action=AUDIT_VALUE&amp;DB=129&amp;ID1=71708110&amp;VALUEID=02001&amp;SDATE=201102&amp;PERIODTYPE=QTR_STD&amp;SCFT=3&amp;window=popup_no_bar&amp;width=385&amp;height=120&amp;START_MAXIMIZED=FALSE&amp;creator=factset&amp;display_string=Audit"}</definedName>
    <definedName name="_94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5__FDSAUDITLINK__" localSheetId="6"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3"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5"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5__FDSAUDITLINK__" localSheetId="10"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16"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19"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localSheetId="18" hidden="1">{"fdsup://directions/FAT Viewer?action=UPDATE&amp;creator=factset&amp;DYN_ARGS=TRUE&amp;DOC_NAME=FAT:FQL_AUDITING_CLIENT_TEMPLATE.FAT&amp;display_string=Audit&amp;VAR:KEY=DKFMPYNSHQ&amp;VAR:QUERY=RkZfREVCVChRVFIsMCk=&amp;WINDOW=FIRST_POPUP&amp;HEIGHT=450&amp;WIDTH=450&amp;START_MAXIMIZED=FALSE&amp;VA","R:CALENDAR=FIVEDAY&amp;VAR:SYMBOL=PFE&amp;VAR:INDEX=0"}</definedName>
    <definedName name="_95__FDSAUDITLINK__" hidden="1">{"fdsup://IBCentral/FAT Viewer?action=UPDATE&amp;creator=factset&amp;DOC_NAME=fat:reuters_annual_source_window.fat&amp;display_string=Audit&amp;DYN_ARGS=TRUE&amp;VAR:ID1=679159&amp;VAR:RCODE=EBITDA&amp;VAR:SDATE=20080399&amp;VAR:FREQ=Y&amp;VAR:RELITEM=&amp;VAR:CURRENCY=&amp;VAR:CURRSOURCE=EXSHARE&amp;VAR",":NATFREQ=ANNUAL&amp;VAR:RFIELD=FINALIZED&amp;VAR:DB_TYPE=&amp;VAR:UNITS=M&amp;window=popup&amp;width=450&amp;height=300&amp;START_MAXIMIZED=FALSE"}</definedName>
    <definedName name="_96__FDSAUDITLINK__" localSheetId="6"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3"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5"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6__FDSAUDITLINK__" localSheetId="10"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16"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19"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localSheetId="18" hidden="1">{"fdsup://directions/FAT Viewer?action=UPDATE&amp;creator=factset&amp;DYN_ARGS=TRUE&amp;DOC_NAME=FAT:FQL_AUDITING_CLIENT_TEMPLATE.FAT&amp;display_string=Audit&amp;VAR:KEY=JWRODKFUNO&amp;VAR:QUERY=RkZfREVCVChRVFIsMCk=&amp;WINDOW=FIRST_POPUP&amp;HEIGHT=450&amp;WIDTH=450&amp;START_MAXIMIZED=FALSE&amp;VA","R:CALENDAR=FIVEDAY&amp;VAR:SYMBOL=AZN&amp;VAR:INDEX=0"}</definedName>
    <definedName name="_96__FDSAUDITLINK__" hidden="1">{"fdsup://IBCentral/FAT Viewer?action=UPDATE&amp;creator=factset&amp;DOC_NAME=fat:reuters_annual_source_window.fat&amp;display_string=Audit&amp;DYN_ARGS=TRUE&amp;VAR:ID1=B01FLG&amp;VAR:RCODE=EBITDA&amp;VAR:SDATE=20071299&amp;VAR:FREQ=Y&amp;VAR:RELITEM=&amp;VAR:CURRENCY=&amp;VAR:CURRSOURCE=EXSHARE&amp;VAR",":NATFREQ=ANNUAL&amp;VAR:RFIELD=FINALIZED&amp;VAR:DB_TYPE=&amp;VAR:UNITS=M&amp;window=popup&amp;width=450&amp;height=300&amp;START_MAXIMIZED=FALSE"}</definedName>
    <definedName name="_97__FDSAUDITLINK__" localSheetId="6"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3"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5"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7__FDSAUDITLINK__" localSheetId="10"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16"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19"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localSheetId="18" hidden="1">{"fdsup://directions/FAT Viewer?action=UPDATE&amp;creator=factset&amp;DYN_ARGS=TRUE&amp;DOC_NAME=FAT:FQL_AUDITING_CLIENT_TEMPLATE.FAT&amp;display_string=Audit&amp;VAR:KEY=DIZEHARWFQ&amp;VAR:QUERY=RkZfREVCVChRVFIsMCk=&amp;WINDOW=FIRST_POPUP&amp;HEIGHT=450&amp;WIDTH=450&amp;START_MAXIMIZED=FALSE&amp;VA","R:CALENDAR=FIVEDAY&amp;VAR:SYMBOL=NVS&amp;VAR:INDEX=0"}</definedName>
    <definedName name="_97__FDSAUDITLINK__" hidden="1">{"fdsup://IBCentral/FAT Viewer?action=UPDATE&amp;creator=factset&amp;DOC_NAME=fat:reuters_annual_source_window.fat&amp;display_string=Audit&amp;DYN_ARGS=TRUE&amp;VAR:ID1=G4776G10&amp;VAR:RCODE=EBITDA&amp;VAR:SDATE=20071299&amp;VAR:FREQ=Y&amp;VAR:RELITEM=&amp;VAR:CURRENCY=&amp;VAR:CURRSOURCE=EXSHARE&amp;V","AR:NATFREQ=ANNUAL&amp;VAR:RFIELD=FINALIZED&amp;VAR:DB_TYPE=&amp;VAR:UNITS=M&amp;window=popup&amp;width=450&amp;height=300&amp;START_MAXIMIZED=FALSE"}</definedName>
    <definedName name="_98__FDSAUDITLINK__" localSheetId="6"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3"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5"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8__FDSAUDITLINK__" localSheetId="10"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16"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19"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localSheetId="18" hidden="1">{"fdsup://directions/FAT Viewer?action=UPDATE&amp;creator=factset&amp;DYN_ARGS=TRUE&amp;DOC_NAME=FAT:FQL_AUDITING_CLIENT_TEMPLATE.FAT&amp;display_string=Audit&amp;VAR:KEY=VSPITILQPU&amp;VAR:QUERY=RkZfREVCVChRVFIsMCk=&amp;WINDOW=FIRST_POPUP&amp;HEIGHT=450&amp;WIDTH=450&amp;START_MAXIMIZED=FALSE&amp;VA","R:CALENDAR=FIVEDAY&amp;VAR:SYMBOL=SHPGY&amp;VAR:INDEX=0"}</definedName>
    <definedName name="_98__FDSAUDITLINK__" hidden="1">{"fdsup://IBCentral/FAT Viewer?action=UPDATE&amp;creator=factset&amp;DOC_NAME=fat:reuters_annual_source_window.fat&amp;display_string=Audit&amp;DYN_ARGS=TRUE&amp;VAR:ID1=569878&amp;VAR:RCODE=EBITDA&amp;VAR:SDATE=20071299&amp;VAR:FREQ=Y&amp;VAR:RELITEM=&amp;VAR:CURRENCY=&amp;VAR:CURRSOURCE=EXSHARE&amp;VAR",":NATFREQ=ANNUAL&amp;VAR:RFIELD=FINALIZED&amp;VAR:DB_TYPE=&amp;VAR:UNITS=M&amp;window=popup&amp;width=450&amp;height=300&amp;START_MAXIMIZED=FALSE"}</definedName>
    <definedName name="_99__FDSAUDITLINK__" localSheetId="6"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3"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5"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99__FDSAUDITLINK__" localSheetId="10"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16"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19"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localSheetId="18" hidden="1">{"fdsup://Directions/FactSet Auditing Viewer?action=AUDIT_VALUE&amp;DB=129&amp;ID1=01535110&amp;VALUEID=02001&amp;SDATE=201102&amp;PERIODTYPE=QTR_STD&amp;SCFT=3&amp;window=popup_no_bar&amp;width=385&amp;height=120&amp;START_MAXIMIZED=FALSE&amp;creator=factset&amp;display_string=Audit"}</definedName>
    <definedName name="_99__FDSAUDITLINK__" hidden="1">{"fdsup://IBCentral/FAT Viewer?action=UPDATE&amp;creator=factset&amp;DOC_NAME=fat:reuters_annual_source_window.fat&amp;display_string=Audit&amp;DYN_ARGS=TRUE&amp;VAR:ID1=10969610&amp;VAR:RCODE=EBITDA&amp;VAR:SDATE=20071299&amp;VAR:FREQ=Y&amp;VAR:RELITEM=&amp;VAR:CURRENCY=&amp;VAR:CURRSOURCE=EXSHARE&amp;V","AR:NATFREQ=ANNUAL&amp;VAR:RFIELD=FINALIZED&amp;VAR:DB_TYPE=&amp;VAR:UNITS=M&amp;window=popup&amp;width=450&amp;height=300&amp;START_MAXIMIZED=FALSE"}</definedName>
    <definedName name="_bdm.02E29E7B1053433EA3CCCBE4E5141596.edm" hidden="1">[7]Sheet1!$1:$1048576</definedName>
    <definedName name="_bdm.0465D0F8BD2C4E888AB9C11EA0CBE52C.edm" hidden="1">'[8]rev change analysis'!$1:$1048576</definedName>
    <definedName name="_bdm.05014202F2F74FEBA82C7ECB9BD89D08.edm" hidden="1">'[9]Ace-Out'!$1:$1048576</definedName>
    <definedName name="_bdm.07B5818A383F4DC2A6BFA30C130CBB78.edm" hidden="1">'[9]AFFILIATES (2)'!$1:$1048576</definedName>
    <definedName name="_bdm.0B341BE4D8094DE588E2D5F8CE090BA0.edm" localSheetId="19" hidden="1">#REF!</definedName>
    <definedName name="_bdm.0B341BE4D8094DE588E2D5F8CE090BA0.edm" localSheetId="18" hidden="1">#REF!</definedName>
    <definedName name="_bdm.0B341BE4D8094DE588E2D5F8CE090BA0.edm" hidden="1">#REF!</definedName>
    <definedName name="_bdm.14D1A22932234486A69AAF8B879B86C4.edm" hidden="1">'[10]Ace-Out'!$1:$1048576</definedName>
    <definedName name="_bdm.1BB247BF873F4738A7B222A36B9E0B0F.edm" hidden="1">[8]DCF!$1:$1048576</definedName>
    <definedName name="_bdm.2DD2C96D34A94119897BA9F9064DA371.edm" hidden="1">'[11]rev change analysis'!$1:$1048576</definedName>
    <definedName name="_bdm.312C5E895E1543D19C7EFF6DFE3C9678.edm" hidden="1">[12]Performance!$1:$1048576</definedName>
    <definedName name="_bdm.31B38A4456914D13B036C519BB497D92.edm" hidden="1">'[13]rev change analysis'!$1:$1048576</definedName>
    <definedName name="_bdm.32D7B9D24AF64DA9AE0D64C1FEF4C1CC.edm" localSheetId="19" hidden="1">#REF!</definedName>
    <definedName name="_bdm.32D7B9D24AF64DA9AE0D64C1FEF4C1CC.edm" localSheetId="18" hidden="1">#REF!</definedName>
    <definedName name="_bdm.32D7B9D24AF64DA9AE0D64C1FEF4C1CC.edm" hidden="1">#REF!</definedName>
    <definedName name="_bdm.384BFCED33ED4B149016C877E23F998D.edm" hidden="1">'[13]short IS'!$1:$1048576</definedName>
    <definedName name="_bdm.42F67CCC3C1C45638B5EC98256E90947.edm" hidden="1">'[14]Good 12-00 (2)'!$1:$1048576</definedName>
    <definedName name="_bdm.46D56600DB7840728F138544F8E425DB.edm" hidden="1">'[14]Good 11-36'!$1:$1048576</definedName>
    <definedName name="_bdm.47A9582B933E4E72A394E87C9154471A.edm" hidden="1">'[12]PE FY1'!$1:$1048576</definedName>
    <definedName name="_bdm.47EB3A8D6EB649F8A5D7883E75A2EDC8.edm" localSheetId="19" hidden="1">#REF!</definedName>
    <definedName name="_bdm.47EB3A8D6EB649F8A5D7883E75A2EDC8.edm" localSheetId="18" hidden="1">#REF!</definedName>
    <definedName name="_bdm.47EB3A8D6EB649F8A5D7883E75A2EDC8.edm" hidden="1">#REF!</definedName>
    <definedName name="_bdm.4B0C5E9A7A304C39AE91E40CECBE19EC.edm" hidden="1">'[15]Vs Global'!$1:$1048576</definedName>
    <definedName name="_bdm.5DABC0184DB54AB5A1B2CA684F814CAA.edm" localSheetId="19" hidden="1">#REF!</definedName>
    <definedName name="_bdm.5DABC0184DB54AB5A1B2CA684F814CAA.edm" localSheetId="18" hidden="1">#REF!</definedName>
    <definedName name="_bdm.5DABC0184DB54AB5A1B2CA684F814CAA.edm" hidden="1">#REF!</definedName>
    <definedName name="_bdm.60A1016E4A5045B0B4BE42FB21AAF6D6.edm" hidden="1">'[14]Good 11-50'!$1:$1048576</definedName>
    <definedName name="_bdm.616E44005FE6405981F35900D6DC2E1A.edm" hidden="1">'[16]SLC USD'!$1:$1048576</definedName>
    <definedName name="_bdm.72DEA641117C458FB001A8023143E740.edm" hidden="1">'[17]pipeline-handout'!$1:$1048576</definedName>
    <definedName name="_bdm.7317521E367C4A50896524C70180A68C.edm" hidden="1">'[13]2015 rev change'!$1:$1048576</definedName>
    <definedName name="_bdm.76074D17ADD044A287D271B1AAFC4036.edm" hidden="1">'[13]Product Mix 100%'!$1:$1048576</definedName>
    <definedName name="_bdm.77192A69936D48368D0A13E908672759.edm" hidden="1">'[13]cost savings'!$1:$1048576</definedName>
    <definedName name="_bdm.7AD0907D10F74471B9EAB1D380B65FFA.edm" localSheetId="19" hidden="1">#REF!</definedName>
    <definedName name="_bdm.7AD0907D10F74471B9EAB1D380B65FFA.edm" localSheetId="18" hidden="1">#REF!</definedName>
    <definedName name="_bdm.7AD0907D10F74471B9EAB1D380B65FFA.edm" hidden="1">#REF!</definedName>
    <definedName name="_bdm.7BD26B3608B542F58E240F2B55D81C5F.edm" hidden="1">[12]Results!$1:$1048576</definedName>
    <definedName name="_bdm.803A27019B5442DB920C7AA8DB319C37.edm" localSheetId="19" hidden="1">#REF!</definedName>
    <definedName name="_bdm.803A27019B5442DB920C7AA8DB319C37.edm" localSheetId="18" hidden="1">#REF!</definedName>
    <definedName name="_bdm.803A27019B5442DB920C7AA8DB319C37.edm" hidden="1">#REF!</definedName>
    <definedName name="_bdm.84F38A9759994A80A6CF34B5BBEB633C.edm" hidden="1">'[18]rev change analysis'!$1:$1048576</definedName>
    <definedName name="_bdm.879B950EBBAB4597B88189350706EC93.edm" hidden="1">'[19]Ace-Out'!$1:$1048576</definedName>
    <definedName name="_bdm.9301DDFC67D846248C16E96B86458D94.edm" hidden="1">'[8]rev contribution analysis'!$1:$1048576</definedName>
    <definedName name="_bdm.94C3FC3AA30F4A2A98F01CBD81AF3400.edm" localSheetId="19" hidden="1">#REF!</definedName>
    <definedName name="_bdm.94C3FC3AA30F4A2A98F01CBD81AF3400.edm" localSheetId="18" hidden="1">#REF!</definedName>
    <definedName name="_bdm.94C3FC3AA30F4A2A98F01CBD81AF3400.edm" hidden="1">#REF!</definedName>
    <definedName name="_bdm.9B45399882F64A698DD1C1BDB9A04C25.edm" hidden="1">[15]Peers!$1:$1048576</definedName>
    <definedName name="_bdm.A02D80F893DD4C7DA6D997E701C867FB.edm" hidden="1">[10]Results!$1:$1048576</definedName>
    <definedName name="_bdm.ABF68B911D8942438A2B464C7A4E0C3F.edm" hidden="1">'[16]AGRO BRL'!$1:$1048576</definedName>
    <definedName name="_bdm.B7CC83D9B1D34661812434787CF5F95D.edm" hidden="1">'[20]Ace-Out'!$1:$1048576</definedName>
    <definedName name="_bdm.BC24D84D167F490CB707C13DAD482FB0.edm" localSheetId="19" hidden="1">#REF!</definedName>
    <definedName name="_bdm.BC24D84D167F490CB707C13DAD482FB0.edm" localSheetId="18" hidden="1">#REF!</definedName>
    <definedName name="_bdm.BC24D84D167F490CB707C13DAD482FB0.edm" hidden="1">#REF!</definedName>
    <definedName name="_bdm.BE7E13023C594ED083AA3198647FF8FD.edm" localSheetId="19" hidden="1">#REF!</definedName>
    <definedName name="_bdm.BE7E13023C594ED083AA3198647FF8FD.edm" localSheetId="18" hidden="1">#REF!</definedName>
    <definedName name="_bdm.BE7E13023C594ED083AA3198647FF8FD.edm" hidden="1">#REF!</definedName>
    <definedName name="_bdm.C7C6FBA36F39444B8BCEC128D5B7F931.edm" hidden="1">'[14]Sheet3 (5)'!$1:$1048576</definedName>
    <definedName name="_bdm.D8226746037A4B218F06698B6B570FD4.edm" hidden="1">'[21]Risk-Reward_View_Chart'!$1:$1048576</definedName>
    <definedName name="_bdm.E2B991B7B5454C4CBE252B2B73D6513B.edm" hidden="1">[22]margins!$1:$1048576</definedName>
    <definedName name="_bdm.E8E1D9C16424403FB6536CF6D099CF86.edm" hidden="1">[15]Performance!$1:$1048576</definedName>
    <definedName name="_bdm.F0D73515AC3D4919BC3602806970DE2D.edm" hidden="1">'[13]Per Pharma Traditional &amp; Biolog'!$1:$1048576</definedName>
    <definedName name="_bdm.F503F160FFA641EDB1AD757205401861.edm" hidden="1">'[22]rev change analysis'!$1:$1048576</definedName>
    <definedName name="_bdm.FA5426C63BEA4CFAA7E2E8F12419DEE9.edm" localSheetId="19" hidden="1">#REF!</definedName>
    <definedName name="_bdm.FA5426C63BEA4CFAA7E2E8F12419DEE9.edm" localSheetId="18" hidden="1">#REF!</definedName>
    <definedName name="_bdm.FA5426C63BEA4CFAA7E2E8F12419DEE9.edm" hidden="1">#REF!</definedName>
    <definedName name="_Fill" localSheetId="6" hidden="1">'[23]US&amp;EuroEarnings'!#REF!</definedName>
    <definedName name="_Fill" localSheetId="3" hidden="1">'[23]US&amp;EuroEarnings'!#REF!</definedName>
    <definedName name="_Fill" localSheetId="5" hidden="1">#REF!</definedName>
    <definedName name="_Fill" localSheetId="10" hidden="1">'[23]US&amp;EuroEarnings'!#REF!</definedName>
    <definedName name="_Fill" localSheetId="16" hidden="1">'[23]US&amp;EuroEarnings'!#REF!</definedName>
    <definedName name="_Fill" localSheetId="19" hidden="1">'[23]US&amp;EuroEarnings'!#REF!</definedName>
    <definedName name="_Fill" localSheetId="18" hidden="1">'[23]US&amp;EuroEarnings'!#REF!</definedName>
    <definedName name="_Fill" hidden="1">#REF!</definedName>
    <definedName name="_xlnm._FilterDatabase" localSheetId="4" hidden="1">Financials!#REF!</definedName>
    <definedName name="_xlnm._FilterDatabase" localSheetId="20" hidden="1">FX!$C$4:$I$63</definedName>
    <definedName name="_xlnm._FilterDatabase" localSheetId="8" hidden="1">'Market Share'!$S$79:$U$92</definedName>
    <definedName name="_xlnm._FilterDatabase" localSheetId="16" hidden="1">'Peers Stock History'!#REF!</definedName>
    <definedName name="_xlnm._FilterDatabase" localSheetId="19" hidden="1">'TSR decomposition'!$D$26:$E$27</definedName>
    <definedName name="_xlnm._FilterDatabase" localSheetId="18" hidden="1">'TSR List'!#REF!</definedName>
    <definedName name="_Key1" localSheetId="6" hidden="1">'[6]Edge 10797 Drilling Inventory'!#REF!</definedName>
    <definedName name="_Key1" localSheetId="3" hidden="1">'[6]Edge 10797 Drilling Inventory'!#REF!</definedName>
    <definedName name="_Key1" localSheetId="5" hidden="1">#REF!</definedName>
    <definedName name="_Key1" localSheetId="10" hidden="1">'[6]Edge 10797 Drilling Inventory'!#REF!</definedName>
    <definedName name="_Key1" localSheetId="16" hidden="1">'[6]Edge 10797 Drilling Inventory'!#REF!</definedName>
    <definedName name="_Key1" localSheetId="19" hidden="1">'[6]Edge 10797 Drilling Inventory'!#REF!</definedName>
    <definedName name="_Key1" localSheetId="18" hidden="1">'[6]Edge 10797 Drilling Inventory'!#REF!</definedName>
    <definedName name="_Key1" hidden="1">#REF!</definedName>
    <definedName name="_Order1" localSheetId="6" hidden="1">255</definedName>
    <definedName name="_Order1" localSheetId="3" hidden="1">255</definedName>
    <definedName name="_Order1" localSheetId="10" hidden="1">255</definedName>
    <definedName name="_Order1" hidden="1">0</definedName>
    <definedName name="_Order2" hidden="1">255</definedName>
    <definedName name="_Regression_Int" hidden="1">1</definedName>
    <definedName name="_Regression_Out" localSheetId="16" hidden="1">#REF!</definedName>
    <definedName name="_Regression_Out" localSheetId="19" hidden="1">#REF!</definedName>
    <definedName name="_Regression_Out" localSheetId="18" hidden="1">#REF!</definedName>
    <definedName name="_Regression_Out" hidden="1">#REF!</definedName>
    <definedName name="_Regression_X" localSheetId="19" hidden="1">#REF!</definedName>
    <definedName name="_Regression_X" localSheetId="18" hidden="1">#REF!</definedName>
    <definedName name="_Regression_X" hidden="1">#REF!</definedName>
    <definedName name="_Regression_Y" localSheetId="19" hidden="1">#REF!</definedName>
    <definedName name="_Regression_Y" localSheetId="18" hidden="1">#REF!</definedName>
    <definedName name="_Regression_Y" hidden="1">#REF!</definedName>
    <definedName name="_Sort" localSheetId="6" hidden="1">'[6]Edge 10797 Drilling Inventory'!#REF!</definedName>
    <definedName name="_Sort" localSheetId="3" hidden="1">'[6]Edge 10797 Drilling Inventory'!#REF!</definedName>
    <definedName name="_Sort" localSheetId="10" hidden="1">'[6]Edge 10797 Drilling Inventory'!#REF!</definedName>
    <definedName name="_Sort" localSheetId="16" hidden="1">'[6]Edge 10797 Drilling Inventory'!#REF!</definedName>
    <definedName name="_Sort" localSheetId="19" hidden="1">'[6]Edge 10797 Drilling Inventory'!#REF!</definedName>
    <definedName name="_Sort" localSheetId="18" hidden="1">'[6]Edge 10797 Drilling Inventory'!#REF!</definedName>
    <definedName name="_Sort" hidden="1">#REF!</definedName>
    <definedName name="_Table1_In1" localSheetId="6" hidden="1">'[6]#REF'!#REF!</definedName>
    <definedName name="_Table1_In1" localSheetId="3" hidden="1">'[6]#REF'!#REF!</definedName>
    <definedName name="_Table1_In1" localSheetId="10" hidden="1">'[6]#REF'!#REF!</definedName>
    <definedName name="_Table1_In1" localSheetId="16" hidden="1">'[6]#REF'!#REF!</definedName>
    <definedName name="_Table1_In1" localSheetId="19" hidden="1">'[6]#REF'!#REF!</definedName>
    <definedName name="_Table1_In1" localSheetId="18" hidden="1">'[6]#REF'!#REF!</definedName>
    <definedName name="_Table1_In1" hidden="1">'[24]qtrly cash flow'!$AI$30:$AI$30</definedName>
    <definedName name="_Table1_Out" localSheetId="6" hidden="1">#REF!</definedName>
    <definedName name="_Table1_Out" localSheetId="3" hidden="1">#REF!</definedName>
    <definedName name="_Table1_Out" localSheetId="10" hidden="1">#REF!</definedName>
    <definedName name="_Table1_Out" localSheetId="16" hidden="1">#REF!</definedName>
    <definedName name="_Table1_Out" localSheetId="19" hidden="1">#REF!</definedName>
    <definedName name="_Table1_Out" localSheetId="18" hidden="1">#REF!</definedName>
    <definedName name="_Table1_Out" hidden="1">'[24]qtrly cash flow'!$AT$27:$AU$31</definedName>
    <definedName name="_Table2_In1" localSheetId="6" hidden="1">'[6]#REF'!#REF!</definedName>
    <definedName name="_Table2_In1" localSheetId="3" hidden="1">'[6]#REF'!#REF!</definedName>
    <definedName name="_Table2_In1" localSheetId="5" hidden="1">'[6]#REF'!#REF!</definedName>
    <definedName name="_Table2_In1" localSheetId="10" hidden="1">'[6]#REF'!#REF!</definedName>
    <definedName name="_Table2_In1" localSheetId="16" hidden="1">'[6]#REF'!#REF!</definedName>
    <definedName name="_Table2_In1" localSheetId="19" hidden="1">'[6]#REF'!#REF!</definedName>
    <definedName name="_Table2_In1" localSheetId="18" hidden="1">'[6]#REF'!#REF!</definedName>
    <definedName name="_Table2_In1" hidden="1">'[6]#REF'!#REF!</definedName>
    <definedName name="_xlcn.WorksheetConnection_InfoB6B7" localSheetId="16" hidden="1">#REF!</definedName>
    <definedName name="_xlcn.WorksheetConnection_InfoB6B7" hidden="1">#REF!</definedName>
    <definedName name="a" localSheetId="6" hidden="1">'[6]#REF'!#REF!</definedName>
    <definedName name="a" localSheetId="3" hidden="1">'[6]#REF'!#REF!</definedName>
    <definedName name="a" localSheetId="14" hidden="1">[25]!PRT6BD5BK32</definedName>
    <definedName name="a" localSheetId="10" hidden="1">'[6]#REF'!#REF!</definedName>
    <definedName name="a" localSheetId="16" hidden="1">'[6]#REF'!#REF!</definedName>
    <definedName name="a" localSheetId="19" hidden="1">'[6]#REF'!#REF!</definedName>
    <definedName name="a" localSheetId="18" hidden="1">'[6]#REF'!#REF!</definedName>
    <definedName name="a" hidden="1">[25]!PRT6BD5BK32</definedName>
    <definedName name="aaa" localSheetId="5" hidden="1">{"AVSHAR","BSHAR"}</definedName>
    <definedName name="aaa" localSheetId="16" hidden="1">{"AVSHAR","BSHAR"}</definedName>
    <definedName name="aaa" localSheetId="19" hidden="1">{"AVSHAR","BSHAR"}</definedName>
    <definedName name="aaa" localSheetId="18" hidden="1">{"AVSHAR","BSHAR"}</definedName>
    <definedName name="aaa" hidden="1">{"AVSHAR","BSHAR"}</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bc" localSheetId="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9"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localSheetId="18"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ctual" localSheetId="6" hidden="1">{#N/A,#N/A,TRUE,"Historicals";#N/A,#N/A,TRUE,"Charts";#N/A,#N/A,TRUE,"Forecasts"}</definedName>
    <definedName name="Actual" localSheetId="3" hidden="1">{#N/A,#N/A,TRUE,"Historicals";#N/A,#N/A,TRUE,"Charts";#N/A,#N/A,TRUE,"Forecasts"}</definedName>
    <definedName name="Actual" localSheetId="5" hidden="1">{#N/A,#N/A,TRUE,"Historicals";#N/A,#N/A,TRUE,"Charts";#N/A,#N/A,TRUE,"Forecasts"}</definedName>
    <definedName name="Actual" localSheetId="10" hidden="1">{#N/A,#N/A,TRUE,"Historicals";#N/A,#N/A,TRUE,"Charts";#N/A,#N/A,TRUE,"Forecasts"}</definedName>
    <definedName name="Actual" localSheetId="16" hidden="1">{#N/A,#N/A,TRUE,"Historicals";#N/A,#N/A,TRUE,"Charts";#N/A,#N/A,TRUE,"Forecasts"}</definedName>
    <definedName name="Actual" localSheetId="19" hidden="1">{#N/A,#N/A,TRUE,"Historicals";#N/A,#N/A,TRUE,"Charts";#N/A,#N/A,TRUE,"Forecasts"}</definedName>
    <definedName name="Actual" localSheetId="18" hidden="1">{#N/A,#N/A,TRUE,"Historicals";#N/A,#N/A,TRUE,"Charts";#N/A,#N/A,TRUE,"Forecasts"}</definedName>
    <definedName name="Actual" hidden="1">{#N/A,#N/A,TRUE,"Historicals";#N/A,#N/A,TRUE,"Charts";#N/A,#N/A,TRUE,"Forecasts"}</definedName>
    <definedName name="anscount" hidden="1">1</definedName>
    <definedName name="AS2DocOpenMode" hidden="1">"AS2DocumentEdit"</definedName>
    <definedName name="asd"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5" hidden="1">{"comps",#N/A,FALSE,"TXTCOMPS";"segment_EPS",#N/A,FALSE,"TXTCOMPS";"valuation",#N/A,FALSE,"TXTCOMPS"}</definedName>
    <definedName name="asd"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 hidden="1">{"comps",#N/A,FALSE,"TXTCOMPS";"segment_EPS",#N/A,FALSE,"TXTCOMPS";"valuation",#N/A,FALSE,"TXTCOMPS"}</definedName>
    <definedName name="asda" localSheetId="6"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3"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5"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0"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6"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9"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localSheetId="18"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a" hidden="1">{"fdsup://directions/FAT%20Viewer?VAR:PED=20071231&amp;VAR:PERIOD=FIXED&amp;VAR:V=5.898401&amp;VAR:AUDIT_ID=71692910&amp;VAR:DATE=20100305&amp;action=UPDATE&amp;creator=factset&amp;DOC_NAME=FAT:FMA_audit_DETAIL.fat&amp;DISPLAY_STRING=Display Audit for EPS LTG&amp;DYN_ARGS=TRUE&amp;WINDOW=first_po","pup&amp;START_MAXIMIZED=FALSE&amp;width=910&amp;height=525&amp;TITLEBAR=FactSet Market Aggregates&amp;VAR:MEASURE=LTG_EPS&amp;VAR:CALC_MODE=PORTFOLIO&amp;VAR:CHGPERIOD=NA&amp;VAR:FQLFORMULA=FMA_LTG_EPS&amp;VAR:CURRENCY=USD&amp;VAR:P=NA&amp;VAR:THRESH=||||&amp;VAR:null=.html"}</definedName>
    <definedName name="asdf" localSheetId="6" hidden="1">#REF!</definedName>
    <definedName name="asdf" localSheetId="3" hidden="1">#REF!</definedName>
    <definedName name="asdf" localSheetId="10" hidden="1">#REF!</definedName>
    <definedName name="asdf" localSheetId="16" hidden="1">#REF!</definedName>
    <definedName name="asdf" localSheetId="19" hidden="1">#REF!</definedName>
    <definedName name="asdf" localSheetId="18" hidden="1">#REF!</definedName>
    <definedName name="asdf" hidden="1">#REF!</definedName>
    <definedName name="asdfas"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hifoea" localSheetId="19" hidden="1">#REF!</definedName>
    <definedName name="asdhifoea" localSheetId="18" hidden="1">#REF!</definedName>
    <definedName name="asdhifoea" hidden="1">#REF!</definedName>
    <definedName name="ax" localSheetId="5" hidden="1">{"comps",#N/A,FALSE,"TXTCOMPS"}</definedName>
    <definedName name="ax" localSheetId="16" hidden="1">{"comps",#N/A,FALSE,"TXTCOMPS"}</definedName>
    <definedName name="ax" localSheetId="19" hidden="1">{"comps",#N/A,FALSE,"TXTCOMPS"}</definedName>
    <definedName name="ax" localSheetId="18" hidden="1">{"comps",#N/A,FALSE,"TXTCOMPS"}</definedName>
    <definedName name="ax" hidden="1">{"comps",#N/A,FALSE,"TXTCOMPS"}</definedName>
    <definedName name="azs.a" localSheetId="6" hidden="1">{"Corp. Profile",#N/A,FALSE,"Corporate Profile"}</definedName>
    <definedName name="azs.a" localSheetId="3" hidden="1">{"Corp. Profile",#N/A,FALSE,"Corporate Profile"}</definedName>
    <definedName name="azs.a" localSheetId="5" hidden="1">{"Corp. Profile",#N/A,FALSE,"Corporate Profile"}</definedName>
    <definedName name="azs.a" localSheetId="10" hidden="1">{"Corp. Profile",#N/A,FALSE,"Corporate Profile"}</definedName>
    <definedName name="azs.a" localSheetId="16" hidden="1">{"Corp. Profile",#N/A,FALSE,"Corporate Profile"}</definedName>
    <definedName name="azs.a" localSheetId="19" hidden="1">{"Corp. Profile",#N/A,FALSE,"Corporate Profile"}</definedName>
    <definedName name="azs.a" localSheetId="18" hidden="1">{"Corp. Profile",#N/A,FALSE,"Corporate Profile"}</definedName>
    <definedName name="azs.a" hidden="1">{"Corp. Profile",#N/A,FALSE,"Corporate Profile"}</definedName>
    <definedName name="azz.corrporate" localSheetId="6" hidden="1">{"Corporate",#N/A,FALSE,"Corporate Profile"}</definedName>
    <definedName name="azz.corrporate" localSheetId="3" hidden="1">{"Corporate",#N/A,FALSE,"Corporate Profile"}</definedName>
    <definedName name="azz.corrporate" localSheetId="5" hidden="1">{"Corporate",#N/A,FALSE,"Corporate Profile"}</definedName>
    <definedName name="azz.corrporate" localSheetId="10" hidden="1">{"Corporate",#N/A,FALSE,"Corporate Profile"}</definedName>
    <definedName name="azz.corrporate" localSheetId="16" hidden="1">{"Corporate",#N/A,FALSE,"Corporate Profile"}</definedName>
    <definedName name="azz.corrporate" localSheetId="19" hidden="1">{"Corporate",#N/A,FALSE,"Corporate Profile"}</definedName>
    <definedName name="azz.corrporate" localSheetId="18" hidden="1">{"Corporate",#N/A,FALSE,"Corporate Profile"}</definedName>
    <definedName name="azz.corrporate" hidden="1">{"Corporate",#N/A,FALSE,"Corporate Profile"}</definedName>
    <definedName name="b"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5" hidden="1">{"comps",#N/A,FALSE,"TXTCOMPS";"segment_EPS",#N/A,FALSE,"TXTCOMPS";"valuation",#N/A,FALSE,"TXTCOMPS"}</definedName>
    <definedName name="b"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hidden="1">{"comps",#N/A,FALSE,"TXTCOMPS";"segment_EPS",#N/A,FALSE,"TXTCOMPS";"valuation",#N/A,FALSE,"TXTCOMPS"}</definedName>
    <definedName name="bethany" localSheetId="6" hidden="1">{"income statement",#N/A,FALSE,"ATLAS-A"}</definedName>
    <definedName name="bethany" localSheetId="3" hidden="1">{"income statement",#N/A,FALSE,"ATLAS-A"}</definedName>
    <definedName name="bethany" localSheetId="5" hidden="1">{"income statement",#N/A,FALSE,"ATLAS-A"}</definedName>
    <definedName name="bethany" localSheetId="10" hidden="1">{"income statement",#N/A,FALSE,"ATLAS-A"}</definedName>
    <definedName name="bethany" localSheetId="16" hidden="1">{"income statement",#N/A,FALSE,"ATLAS-A"}</definedName>
    <definedName name="bethany" localSheetId="19" hidden="1">{"income statement",#N/A,FALSE,"ATLAS-A"}</definedName>
    <definedName name="bethany" localSheetId="18" hidden="1">{"income statement",#N/A,FALSE,"ATLAS-A"}</definedName>
    <definedName name="bethany" hidden="1">{"income statement",#N/A,FALSE,"ATLAS-A"}</definedName>
    <definedName name="BLPH1" localSheetId="6" hidden="1">#REF!</definedName>
    <definedName name="BLPH1" localSheetId="3" hidden="1">#REF!</definedName>
    <definedName name="BLPH1" localSheetId="10" hidden="1">#REF!</definedName>
    <definedName name="BLPH1" localSheetId="16" hidden="1">#REF!</definedName>
    <definedName name="BLPH1" localSheetId="19" hidden="1">#REF!</definedName>
    <definedName name="BLPH1" localSheetId="18" hidden="1">#REF!</definedName>
    <definedName name="BLPH1" hidden="1">#REF!</definedName>
    <definedName name="BLPH10" localSheetId="6" hidden="1">#REF!</definedName>
    <definedName name="BLPH10" localSheetId="3" hidden="1">#REF!</definedName>
    <definedName name="BLPH10" localSheetId="10" hidden="1">#REF!</definedName>
    <definedName name="BLPH10" localSheetId="16" hidden="1">#REF!</definedName>
    <definedName name="BLPH10" localSheetId="19" hidden="1">#REF!</definedName>
    <definedName name="BLPH10" localSheetId="18" hidden="1">#REF!</definedName>
    <definedName name="BLPH10" hidden="1">#REF!</definedName>
    <definedName name="BLPH100" localSheetId="6" hidden="1">#REF!</definedName>
    <definedName name="BLPH100" localSheetId="3" hidden="1">#REF!</definedName>
    <definedName name="BLPH100" localSheetId="10" hidden="1">#REF!</definedName>
    <definedName name="BLPH100" localSheetId="16" hidden="1">#REF!</definedName>
    <definedName name="BLPH100" localSheetId="19" hidden="1">#REF!</definedName>
    <definedName name="BLPH100" localSheetId="18" hidden="1">#REF!</definedName>
    <definedName name="BLPH100" hidden="1">#REF!</definedName>
    <definedName name="blph1000" localSheetId="6" hidden="1">#REF!</definedName>
    <definedName name="blph1000" localSheetId="3" hidden="1">#REF!</definedName>
    <definedName name="blph1000" localSheetId="10" hidden="1">#REF!</definedName>
    <definedName name="blph1000" localSheetId="16" hidden="1">#REF!</definedName>
    <definedName name="blph1000" localSheetId="19" hidden="1">#REF!</definedName>
    <definedName name="blph1000" localSheetId="18" hidden="1">#REF!</definedName>
    <definedName name="blph1000" hidden="1">#REF!</definedName>
    <definedName name="BLPH101" localSheetId="6" hidden="1">#REF!</definedName>
    <definedName name="BLPH101" localSheetId="3" hidden="1">#REF!</definedName>
    <definedName name="BLPH101" localSheetId="10" hidden="1">#REF!</definedName>
    <definedName name="BLPH101" localSheetId="16" hidden="1">#REF!</definedName>
    <definedName name="BLPH101" localSheetId="19" hidden="1">#REF!</definedName>
    <definedName name="BLPH101" localSheetId="18" hidden="1">#REF!</definedName>
    <definedName name="BLPH101" hidden="1">#REF!</definedName>
    <definedName name="BLPH102" localSheetId="6" hidden="1">#REF!</definedName>
    <definedName name="BLPH102" localSheetId="3" hidden="1">#REF!</definedName>
    <definedName name="BLPH102" localSheetId="10" hidden="1">#REF!</definedName>
    <definedName name="BLPH102" localSheetId="16" hidden="1">#REF!</definedName>
    <definedName name="BLPH102" localSheetId="19" hidden="1">#REF!</definedName>
    <definedName name="BLPH102" localSheetId="18" hidden="1">#REF!</definedName>
    <definedName name="BLPH102" hidden="1">#REF!</definedName>
    <definedName name="BLPH103" localSheetId="6" hidden="1">#REF!</definedName>
    <definedName name="BLPH103" localSheetId="3" hidden="1">#REF!</definedName>
    <definedName name="BLPH103" localSheetId="10" hidden="1">#REF!</definedName>
    <definedName name="BLPH103" localSheetId="16" hidden="1">#REF!</definedName>
    <definedName name="BLPH103" localSheetId="19" hidden="1">#REF!</definedName>
    <definedName name="BLPH103" localSheetId="18" hidden="1">#REF!</definedName>
    <definedName name="BLPH103" hidden="1">#REF!</definedName>
    <definedName name="BLPH104" localSheetId="6" hidden="1">#REF!</definedName>
    <definedName name="BLPH104" localSheetId="3" hidden="1">#REF!</definedName>
    <definedName name="BLPH104" localSheetId="10" hidden="1">#REF!</definedName>
    <definedName name="BLPH104" localSheetId="16" hidden="1">#REF!</definedName>
    <definedName name="BLPH104" localSheetId="19" hidden="1">#REF!</definedName>
    <definedName name="BLPH104" localSheetId="18" hidden="1">#REF!</definedName>
    <definedName name="BLPH104" hidden="1">#REF!</definedName>
    <definedName name="BLPH105" localSheetId="6" hidden="1">#REF!</definedName>
    <definedName name="BLPH105" localSheetId="3" hidden="1">#REF!</definedName>
    <definedName name="BLPH105" localSheetId="10" hidden="1">#REF!</definedName>
    <definedName name="BLPH105" localSheetId="16" hidden="1">#REF!</definedName>
    <definedName name="BLPH105" localSheetId="19" hidden="1">#REF!</definedName>
    <definedName name="BLPH105" localSheetId="18" hidden="1">#REF!</definedName>
    <definedName name="BLPH105" hidden="1">#REF!</definedName>
    <definedName name="BLPH106" localSheetId="6" hidden="1">#REF!</definedName>
    <definedName name="BLPH106" localSheetId="3" hidden="1">#REF!</definedName>
    <definedName name="BLPH106" localSheetId="10" hidden="1">#REF!</definedName>
    <definedName name="BLPH106" localSheetId="16" hidden="1">#REF!</definedName>
    <definedName name="BLPH106" localSheetId="19" hidden="1">#REF!</definedName>
    <definedName name="BLPH106" localSheetId="18" hidden="1">#REF!</definedName>
    <definedName name="BLPH106" hidden="1">#REF!</definedName>
    <definedName name="BLPH107" localSheetId="6" hidden="1">#REF!</definedName>
    <definedName name="BLPH107" localSheetId="3" hidden="1">#REF!</definedName>
    <definedName name="BLPH107" localSheetId="10" hidden="1">#REF!</definedName>
    <definedName name="BLPH107" localSheetId="16" hidden="1">#REF!</definedName>
    <definedName name="BLPH107" localSheetId="19" hidden="1">#REF!</definedName>
    <definedName name="BLPH107" localSheetId="18" hidden="1">#REF!</definedName>
    <definedName name="BLPH107" hidden="1">#REF!</definedName>
    <definedName name="BLPH108" localSheetId="6" hidden="1">#REF!</definedName>
    <definedName name="BLPH108" localSheetId="3" hidden="1">#REF!</definedName>
    <definedName name="BLPH108" localSheetId="10" hidden="1">#REF!</definedName>
    <definedName name="BLPH108" localSheetId="16" hidden="1">#REF!</definedName>
    <definedName name="BLPH108" localSheetId="19" hidden="1">#REF!</definedName>
    <definedName name="BLPH108" localSheetId="18" hidden="1">#REF!</definedName>
    <definedName name="BLPH108" hidden="1">#REF!</definedName>
    <definedName name="BLPH109" localSheetId="6" hidden="1">#REF!</definedName>
    <definedName name="BLPH109" localSheetId="3" hidden="1">#REF!</definedName>
    <definedName name="BLPH109" localSheetId="10" hidden="1">#REF!</definedName>
    <definedName name="BLPH109" localSheetId="16" hidden="1">#REF!</definedName>
    <definedName name="BLPH109" localSheetId="19" hidden="1">#REF!</definedName>
    <definedName name="BLPH109" localSheetId="18" hidden="1">#REF!</definedName>
    <definedName name="BLPH109" hidden="1">#REF!</definedName>
    <definedName name="BLPH11" localSheetId="6" hidden="1">#REF!</definedName>
    <definedName name="BLPH11" localSheetId="3" hidden="1">#REF!</definedName>
    <definedName name="BLPH11" localSheetId="10" hidden="1">#REF!</definedName>
    <definedName name="BLPH11" localSheetId="16" hidden="1">#REF!</definedName>
    <definedName name="BLPH11" localSheetId="19" hidden="1">#REF!</definedName>
    <definedName name="BLPH11" localSheetId="18" hidden="1">#REF!</definedName>
    <definedName name="BLPH11" hidden="1">#REF!</definedName>
    <definedName name="BLPH110" localSheetId="6" hidden="1">#REF!</definedName>
    <definedName name="BLPH110" localSheetId="3" hidden="1">#REF!</definedName>
    <definedName name="BLPH110" localSheetId="10" hidden="1">#REF!</definedName>
    <definedName name="BLPH110" localSheetId="16" hidden="1">#REF!</definedName>
    <definedName name="BLPH110" localSheetId="19" hidden="1">#REF!</definedName>
    <definedName name="BLPH110" localSheetId="18" hidden="1">#REF!</definedName>
    <definedName name="BLPH110" hidden="1">#REF!</definedName>
    <definedName name="BLPH111" localSheetId="6" hidden="1">#REF!</definedName>
    <definedName name="BLPH111" localSheetId="3" hidden="1">#REF!</definedName>
    <definedName name="BLPH111" localSheetId="10" hidden="1">#REF!</definedName>
    <definedName name="BLPH111" localSheetId="16" hidden="1">#REF!</definedName>
    <definedName name="BLPH111" localSheetId="19" hidden="1">#REF!</definedName>
    <definedName name="BLPH111" localSheetId="18" hidden="1">#REF!</definedName>
    <definedName name="BLPH111" hidden="1">#REF!</definedName>
    <definedName name="BLPH112" localSheetId="6" hidden="1">#REF!</definedName>
    <definedName name="BLPH112" localSheetId="3" hidden="1">#REF!</definedName>
    <definedName name="BLPH112" localSheetId="10" hidden="1">#REF!</definedName>
    <definedName name="BLPH112" localSheetId="16" hidden="1">#REF!</definedName>
    <definedName name="BLPH112" localSheetId="19" hidden="1">#REF!</definedName>
    <definedName name="BLPH112" localSheetId="18" hidden="1">#REF!</definedName>
    <definedName name="BLPH112" hidden="1">#REF!</definedName>
    <definedName name="BLPH113" localSheetId="6" hidden="1">#REF!</definedName>
    <definedName name="BLPH113" localSheetId="3" hidden="1">#REF!</definedName>
    <definedName name="BLPH113" localSheetId="10" hidden="1">#REF!</definedName>
    <definedName name="BLPH113" localSheetId="16" hidden="1">#REF!</definedName>
    <definedName name="BLPH113" localSheetId="19" hidden="1">#REF!</definedName>
    <definedName name="BLPH113" localSheetId="18" hidden="1">#REF!</definedName>
    <definedName name="BLPH113" hidden="1">#REF!</definedName>
    <definedName name="BLPH114" localSheetId="6" hidden="1">#REF!</definedName>
    <definedName name="BLPH114" localSheetId="3" hidden="1">#REF!</definedName>
    <definedName name="BLPH114" localSheetId="10" hidden="1">#REF!</definedName>
    <definedName name="BLPH114" localSheetId="16" hidden="1">#REF!</definedName>
    <definedName name="BLPH114" localSheetId="19" hidden="1">#REF!</definedName>
    <definedName name="BLPH114" localSheetId="18" hidden="1">#REF!</definedName>
    <definedName name="BLPH114" hidden="1">#REF!</definedName>
    <definedName name="BLPH115" localSheetId="6" hidden="1">#REF!</definedName>
    <definedName name="BLPH115" localSheetId="3" hidden="1">#REF!</definedName>
    <definedName name="BLPH115" localSheetId="10" hidden="1">#REF!</definedName>
    <definedName name="BLPH115" localSheetId="16" hidden="1">#REF!</definedName>
    <definedName name="BLPH115" localSheetId="19" hidden="1">#REF!</definedName>
    <definedName name="BLPH115" localSheetId="18" hidden="1">#REF!</definedName>
    <definedName name="BLPH115" hidden="1">#REF!</definedName>
    <definedName name="BLPH116" localSheetId="6" hidden="1">#REF!</definedName>
    <definedName name="BLPH116" localSheetId="3" hidden="1">#REF!</definedName>
    <definedName name="BLPH116" localSheetId="10" hidden="1">#REF!</definedName>
    <definedName name="BLPH116" localSheetId="16" hidden="1">#REF!</definedName>
    <definedName name="BLPH116" localSheetId="19" hidden="1">#REF!</definedName>
    <definedName name="BLPH116" localSheetId="18" hidden="1">#REF!</definedName>
    <definedName name="BLPH116" hidden="1">#REF!</definedName>
    <definedName name="BLPH117" localSheetId="6" hidden="1">#REF!</definedName>
    <definedName name="BLPH117" localSheetId="3" hidden="1">#REF!</definedName>
    <definedName name="BLPH117" localSheetId="10" hidden="1">#REF!</definedName>
    <definedName name="BLPH117" localSheetId="16" hidden="1">#REF!</definedName>
    <definedName name="BLPH117" localSheetId="19" hidden="1">#REF!</definedName>
    <definedName name="BLPH117" localSheetId="18" hidden="1">#REF!</definedName>
    <definedName name="BLPH117" hidden="1">#REF!</definedName>
    <definedName name="BLPH118" localSheetId="6" hidden="1">#REF!</definedName>
    <definedName name="BLPH118" localSheetId="3" hidden="1">#REF!</definedName>
    <definedName name="BLPH118" localSheetId="10" hidden="1">#REF!</definedName>
    <definedName name="BLPH118" localSheetId="16" hidden="1">#REF!</definedName>
    <definedName name="BLPH118" localSheetId="19" hidden="1">#REF!</definedName>
    <definedName name="BLPH118" localSheetId="18" hidden="1">#REF!</definedName>
    <definedName name="BLPH118" hidden="1">#REF!</definedName>
    <definedName name="BLPH119" localSheetId="6" hidden="1">#REF!</definedName>
    <definedName name="BLPH119" localSheetId="3" hidden="1">#REF!</definedName>
    <definedName name="BLPH119" localSheetId="10" hidden="1">#REF!</definedName>
    <definedName name="BLPH119" localSheetId="16" hidden="1">#REF!</definedName>
    <definedName name="BLPH119" localSheetId="19" hidden="1">#REF!</definedName>
    <definedName name="BLPH119" localSheetId="18" hidden="1">#REF!</definedName>
    <definedName name="BLPH119" hidden="1">#REF!</definedName>
    <definedName name="BLPH12" localSheetId="6" hidden="1">#REF!</definedName>
    <definedName name="BLPH12" localSheetId="3" hidden="1">#REF!</definedName>
    <definedName name="BLPH12" localSheetId="10" hidden="1">#REF!</definedName>
    <definedName name="BLPH12" localSheetId="16" hidden="1">#REF!</definedName>
    <definedName name="BLPH12" localSheetId="19" hidden="1">#REF!</definedName>
    <definedName name="BLPH12" localSheetId="18" hidden="1">#REF!</definedName>
    <definedName name="BLPH12" hidden="1">#REF!</definedName>
    <definedName name="BLPH120" localSheetId="6" hidden="1">#REF!</definedName>
    <definedName name="BLPH120" localSheetId="3" hidden="1">#REF!</definedName>
    <definedName name="BLPH120" localSheetId="10" hidden="1">#REF!</definedName>
    <definedName name="BLPH120" localSheetId="16" hidden="1">#REF!</definedName>
    <definedName name="BLPH120" localSheetId="19" hidden="1">#REF!</definedName>
    <definedName name="BLPH120" localSheetId="18" hidden="1">#REF!</definedName>
    <definedName name="BLPH120" hidden="1">#REF!</definedName>
    <definedName name="BLPH121" localSheetId="6" hidden="1">#REF!</definedName>
    <definedName name="BLPH121" localSheetId="3" hidden="1">#REF!</definedName>
    <definedName name="BLPH121" localSheetId="10" hidden="1">#REF!</definedName>
    <definedName name="BLPH121" localSheetId="16" hidden="1">#REF!</definedName>
    <definedName name="BLPH121" localSheetId="19" hidden="1">#REF!</definedName>
    <definedName name="BLPH121" localSheetId="18" hidden="1">#REF!</definedName>
    <definedName name="BLPH121" hidden="1">#REF!</definedName>
    <definedName name="BLPH122" localSheetId="6" hidden="1">#REF!</definedName>
    <definedName name="BLPH122" localSheetId="3" hidden="1">#REF!</definedName>
    <definedName name="BLPH122" localSheetId="10" hidden="1">#REF!</definedName>
    <definedName name="BLPH122" localSheetId="16" hidden="1">#REF!</definedName>
    <definedName name="BLPH122" localSheetId="19" hidden="1">#REF!</definedName>
    <definedName name="BLPH122" localSheetId="18" hidden="1">#REF!</definedName>
    <definedName name="BLPH122" hidden="1">#REF!</definedName>
    <definedName name="BLPH123" localSheetId="6" hidden="1">#REF!</definedName>
    <definedName name="BLPH123" localSheetId="3" hidden="1">#REF!</definedName>
    <definedName name="BLPH123" localSheetId="10" hidden="1">#REF!</definedName>
    <definedName name="BLPH123" localSheetId="16" hidden="1">#REF!</definedName>
    <definedName name="BLPH123" localSheetId="19" hidden="1">#REF!</definedName>
    <definedName name="BLPH123" localSheetId="18" hidden="1">#REF!</definedName>
    <definedName name="BLPH123" hidden="1">#REF!</definedName>
    <definedName name="BLPH124" localSheetId="6" hidden="1">#REF!</definedName>
    <definedName name="BLPH124" localSheetId="3" hidden="1">#REF!</definedName>
    <definedName name="BLPH124" localSheetId="10" hidden="1">#REF!</definedName>
    <definedName name="BLPH124" localSheetId="16" hidden="1">#REF!</definedName>
    <definedName name="BLPH124" localSheetId="19" hidden="1">#REF!</definedName>
    <definedName name="BLPH124" localSheetId="18" hidden="1">#REF!</definedName>
    <definedName name="BLPH124" hidden="1">#REF!</definedName>
    <definedName name="BLPH125" localSheetId="6" hidden="1">#REF!</definedName>
    <definedName name="BLPH125" localSheetId="3" hidden="1">#REF!</definedName>
    <definedName name="BLPH125" localSheetId="10" hidden="1">#REF!</definedName>
    <definedName name="BLPH125" localSheetId="16" hidden="1">#REF!</definedName>
    <definedName name="BLPH125" localSheetId="19" hidden="1">#REF!</definedName>
    <definedName name="BLPH125" localSheetId="18" hidden="1">#REF!</definedName>
    <definedName name="BLPH125" hidden="1">#REF!</definedName>
    <definedName name="BLPH126" localSheetId="6" hidden="1">#REF!</definedName>
    <definedName name="BLPH126" localSheetId="3" hidden="1">#REF!</definedName>
    <definedName name="BLPH126" localSheetId="10" hidden="1">#REF!</definedName>
    <definedName name="BLPH126" localSheetId="16" hidden="1">#REF!</definedName>
    <definedName name="BLPH126" localSheetId="19" hidden="1">#REF!</definedName>
    <definedName name="BLPH126" localSheetId="18" hidden="1">#REF!</definedName>
    <definedName name="BLPH126" hidden="1">#REF!</definedName>
    <definedName name="BLPH127" localSheetId="6" hidden="1">#REF!</definedName>
    <definedName name="BLPH127" localSheetId="3" hidden="1">#REF!</definedName>
    <definedName name="BLPH127" localSheetId="10" hidden="1">#REF!</definedName>
    <definedName name="BLPH127" localSheetId="16" hidden="1">#REF!</definedName>
    <definedName name="BLPH127" localSheetId="19" hidden="1">#REF!</definedName>
    <definedName name="BLPH127" localSheetId="18" hidden="1">#REF!</definedName>
    <definedName name="BLPH127" hidden="1">#REF!</definedName>
    <definedName name="BLPH128" localSheetId="6" hidden="1">#REF!</definedName>
    <definedName name="BLPH128" localSheetId="3" hidden="1">#REF!</definedName>
    <definedName name="BLPH128" localSheetId="10" hidden="1">#REF!</definedName>
    <definedName name="BLPH128" localSheetId="16" hidden="1">#REF!</definedName>
    <definedName name="BLPH128" localSheetId="19" hidden="1">#REF!</definedName>
    <definedName name="BLPH128" localSheetId="18" hidden="1">#REF!</definedName>
    <definedName name="BLPH128" hidden="1">#REF!</definedName>
    <definedName name="BLPH129" localSheetId="6" hidden="1">#REF!</definedName>
    <definedName name="BLPH129" localSheetId="3" hidden="1">#REF!</definedName>
    <definedName name="BLPH129" localSheetId="10" hidden="1">#REF!</definedName>
    <definedName name="BLPH129" localSheetId="16" hidden="1">#REF!</definedName>
    <definedName name="BLPH129" localSheetId="19" hidden="1">#REF!</definedName>
    <definedName name="BLPH129" localSheetId="18" hidden="1">#REF!</definedName>
    <definedName name="BLPH129" hidden="1">#REF!</definedName>
    <definedName name="BLPH13" localSheetId="6" hidden="1">#REF!</definedName>
    <definedName name="BLPH13" localSheetId="3" hidden="1">#REF!</definedName>
    <definedName name="BLPH13" localSheetId="10" hidden="1">#REF!</definedName>
    <definedName name="BLPH13" localSheetId="16" hidden="1">#REF!</definedName>
    <definedName name="BLPH13" localSheetId="19" hidden="1">#REF!</definedName>
    <definedName name="BLPH13" localSheetId="18" hidden="1">#REF!</definedName>
    <definedName name="BLPH13" hidden="1">#REF!</definedName>
    <definedName name="BLPH130" localSheetId="6" hidden="1">#REF!</definedName>
    <definedName name="BLPH130" localSheetId="3" hidden="1">#REF!</definedName>
    <definedName name="BLPH130" localSheetId="10" hidden="1">#REF!</definedName>
    <definedName name="BLPH130" localSheetId="16" hidden="1">#REF!</definedName>
    <definedName name="BLPH130" localSheetId="19" hidden="1">#REF!</definedName>
    <definedName name="BLPH130" localSheetId="18" hidden="1">#REF!</definedName>
    <definedName name="BLPH130" hidden="1">#REF!</definedName>
    <definedName name="BLPH131" localSheetId="6" hidden="1">#REF!</definedName>
    <definedName name="BLPH131" localSheetId="3" hidden="1">#REF!</definedName>
    <definedName name="BLPH131" localSheetId="10" hidden="1">#REF!</definedName>
    <definedName name="BLPH131" localSheetId="16" hidden="1">#REF!</definedName>
    <definedName name="BLPH131" localSheetId="19" hidden="1">#REF!</definedName>
    <definedName name="BLPH131" localSheetId="18" hidden="1">#REF!</definedName>
    <definedName name="BLPH131" hidden="1">#REF!</definedName>
    <definedName name="BLPH132" localSheetId="6" hidden="1">#REF!</definedName>
    <definedName name="BLPH132" localSheetId="3" hidden="1">#REF!</definedName>
    <definedName name="BLPH132" localSheetId="10" hidden="1">#REF!</definedName>
    <definedName name="BLPH132" localSheetId="16" hidden="1">#REF!</definedName>
    <definedName name="BLPH132" localSheetId="19" hidden="1">#REF!</definedName>
    <definedName name="BLPH132" localSheetId="18" hidden="1">#REF!</definedName>
    <definedName name="BLPH132" hidden="1">#REF!</definedName>
    <definedName name="BLPH133" localSheetId="6" hidden="1">#REF!</definedName>
    <definedName name="BLPH133" localSheetId="3" hidden="1">#REF!</definedName>
    <definedName name="BLPH133" localSheetId="10" hidden="1">#REF!</definedName>
    <definedName name="BLPH133" localSheetId="16" hidden="1">#REF!</definedName>
    <definedName name="BLPH133" localSheetId="19" hidden="1">#REF!</definedName>
    <definedName name="BLPH133" localSheetId="18" hidden="1">#REF!</definedName>
    <definedName name="BLPH133" hidden="1">#REF!</definedName>
    <definedName name="BLPH134" localSheetId="6" hidden="1">#REF!</definedName>
    <definedName name="BLPH134" localSheetId="3" hidden="1">#REF!</definedName>
    <definedName name="BLPH134" localSheetId="10" hidden="1">#REF!</definedName>
    <definedName name="BLPH134" localSheetId="16" hidden="1">#REF!</definedName>
    <definedName name="BLPH134" localSheetId="19" hidden="1">#REF!</definedName>
    <definedName name="BLPH134" localSheetId="18" hidden="1">#REF!</definedName>
    <definedName name="BLPH134" hidden="1">#REF!</definedName>
    <definedName name="BLPH135" localSheetId="6" hidden="1">#REF!</definedName>
    <definedName name="BLPH135" localSheetId="3" hidden="1">#REF!</definedName>
    <definedName name="BLPH135" localSheetId="10" hidden="1">#REF!</definedName>
    <definedName name="BLPH135" localSheetId="16" hidden="1">#REF!</definedName>
    <definedName name="BLPH135" localSheetId="19" hidden="1">#REF!</definedName>
    <definedName name="BLPH135" localSheetId="18" hidden="1">#REF!</definedName>
    <definedName name="BLPH135" hidden="1">#REF!</definedName>
    <definedName name="BLPH136" localSheetId="6" hidden="1">#REF!</definedName>
    <definedName name="BLPH136" localSheetId="3" hidden="1">#REF!</definedName>
    <definedName name="BLPH136" localSheetId="10" hidden="1">#REF!</definedName>
    <definedName name="BLPH136" localSheetId="16" hidden="1">#REF!</definedName>
    <definedName name="BLPH136" localSheetId="19" hidden="1">#REF!</definedName>
    <definedName name="BLPH136" localSheetId="18" hidden="1">#REF!</definedName>
    <definedName name="BLPH136" hidden="1">#REF!</definedName>
    <definedName name="BLPH137" localSheetId="6" hidden="1">#REF!</definedName>
    <definedName name="BLPH137" localSheetId="3" hidden="1">#REF!</definedName>
    <definedName name="BLPH137" localSheetId="10" hidden="1">#REF!</definedName>
    <definedName name="BLPH137" localSheetId="16" hidden="1">#REF!</definedName>
    <definedName name="BLPH137" localSheetId="19" hidden="1">#REF!</definedName>
    <definedName name="BLPH137" localSheetId="18" hidden="1">#REF!</definedName>
    <definedName name="BLPH137" hidden="1">#REF!</definedName>
    <definedName name="BLPH138" localSheetId="6" hidden="1">#REF!</definedName>
    <definedName name="BLPH138" localSheetId="3" hidden="1">#REF!</definedName>
    <definedName name="BLPH138" localSheetId="10" hidden="1">#REF!</definedName>
    <definedName name="BLPH138" localSheetId="16" hidden="1">#REF!</definedName>
    <definedName name="BLPH138" localSheetId="19" hidden="1">#REF!</definedName>
    <definedName name="BLPH138" localSheetId="18" hidden="1">#REF!</definedName>
    <definedName name="BLPH138" hidden="1">#REF!</definedName>
    <definedName name="BLPH139" localSheetId="6" hidden="1">#REF!</definedName>
    <definedName name="BLPH139" localSheetId="3" hidden="1">#REF!</definedName>
    <definedName name="BLPH139" localSheetId="10" hidden="1">#REF!</definedName>
    <definedName name="BLPH139" localSheetId="16" hidden="1">#REF!</definedName>
    <definedName name="BLPH139" localSheetId="19" hidden="1">#REF!</definedName>
    <definedName name="BLPH139" localSheetId="18" hidden="1">#REF!</definedName>
    <definedName name="BLPH139" hidden="1">#REF!</definedName>
    <definedName name="BLPH14" localSheetId="6" hidden="1">#REF!</definedName>
    <definedName name="BLPH14" localSheetId="3" hidden="1">#REF!</definedName>
    <definedName name="BLPH14" localSheetId="10" hidden="1">#REF!</definedName>
    <definedName name="BLPH14" localSheetId="16" hidden="1">#REF!</definedName>
    <definedName name="BLPH14" localSheetId="19" hidden="1">#REF!</definedName>
    <definedName name="BLPH14" localSheetId="18" hidden="1">#REF!</definedName>
    <definedName name="BLPH14" hidden="1">#REF!</definedName>
    <definedName name="BLPH140" localSheetId="6" hidden="1">#REF!</definedName>
    <definedName name="BLPH140" localSheetId="3" hidden="1">#REF!</definedName>
    <definedName name="BLPH140" localSheetId="10" hidden="1">#REF!</definedName>
    <definedName name="BLPH140" localSheetId="16" hidden="1">#REF!</definedName>
    <definedName name="BLPH140" localSheetId="19" hidden="1">#REF!</definedName>
    <definedName name="BLPH140" localSheetId="18" hidden="1">#REF!</definedName>
    <definedName name="BLPH140" hidden="1">#REF!</definedName>
    <definedName name="BLPH141" localSheetId="6" hidden="1">#REF!</definedName>
    <definedName name="BLPH141" localSheetId="3" hidden="1">#REF!</definedName>
    <definedName name="BLPH141" localSheetId="10" hidden="1">#REF!</definedName>
    <definedName name="BLPH141" localSheetId="16" hidden="1">#REF!</definedName>
    <definedName name="BLPH141" localSheetId="19" hidden="1">#REF!</definedName>
    <definedName name="BLPH141" localSheetId="18" hidden="1">#REF!</definedName>
    <definedName name="BLPH141" hidden="1">#REF!</definedName>
    <definedName name="BLPH142" localSheetId="6" hidden="1">#REF!</definedName>
    <definedName name="BLPH142" localSheetId="3" hidden="1">#REF!</definedName>
    <definedName name="BLPH142" localSheetId="10" hidden="1">#REF!</definedName>
    <definedName name="BLPH142" localSheetId="16" hidden="1">#REF!</definedName>
    <definedName name="BLPH142" localSheetId="19" hidden="1">#REF!</definedName>
    <definedName name="BLPH142" localSheetId="18" hidden="1">#REF!</definedName>
    <definedName name="BLPH142" hidden="1">#REF!</definedName>
    <definedName name="BLPH143" localSheetId="6" hidden="1">#REF!</definedName>
    <definedName name="BLPH143" localSheetId="3" hidden="1">#REF!</definedName>
    <definedName name="BLPH143" localSheetId="10" hidden="1">#REF!</definedName>
    <definedName name="BLPH143" localSheetId="16" hidden="1">#REF!</definedName>
    <definedName name="BLPH143" localSheetId="19" hidden="1">#REF!</definedName>
    <definedName name="BLPH143" localSheetId="18" hidden="1">#REF!</definedName>
    <definedName name="BLPH143" hidden="1">#REF!</definedName>
    <definedName name="BLPH144" localSheetId="6" hidden="1">#REF!</definedName>
    <definedName name="BLPH144" localSheetId="3" hidden="1">#REF!</definedName>
    <definedName name="BLPH144" localSheetId="10" hidden="1">#REF!</definedName>
    <definedName name="BLPH144" localSheetId="16" hidden="1">#REF!</definedName>
    <definedName name="BLPH144" localSheetId="19" hidden="1">#REF!</definedName>
    <definedName name="BLPH144" localSheetId="18" hidden="1">#REF!</definedName>
    <definedName name="BLPH144" hidden="1">#REF!</definedName>
    <definedName name="BLPH145" localSheetId="6" hidden="1">#REF!</definedName>
    <definedName name="BLPH145" localSheetId="3" hidden="1">#REF!</definedName>
    <definedName name="BLPH145" localSheetId="10" hidden="1">#REF!</definedName>
    <definedName name="BLPH145" localSheetId="16" hidden="1">#REF!</definedName>
    <definedName name="BLPH145" localSheetId="19" hidden="1">#REF!</definedName>
    <definedName name="BLPH145" localSheetId="18" hidden="1">#REF!</definedName>
    <definedName name="BLPH145" hidden="1">#REF!</definedName>
    <definedName name="BLPH146" localSheetId="6" hidden="1">#REF!</definedName>
    <definedName name="BLPH146" localSheetId="3" hidden="1">#REF!</definedName>
    <definedName name="BLPH146" localSheetId="10" hidden="1">#REF!</definedName>
    <definedName name="BLPH146" localSheetId="16" hidden="1">#REF!</definedName>
    <definedName name="BLPH146" localSheetId="19" hidden="1">#REF!</definedName>
    <definedName name="BLPH146" localSheetId="18" hidden="1">#REF!</definedName>
    <definedName name="BLPH146" hidden="1">#REF!</definedName>
    <definedName name="BLPH147" localSheetId="6" hidden="1">#REF!</definedName>
    <definedName name="BLPH147" localSheetId="3" hidden="1">#REF!</definedName>
    <definedName name="BLPH147" localSheetId="10" hidden="1">#REF!</definedName>
    <definedName name="BLPH147" localSheetId="16" hidden="1">#REF!</definedName>
    <definedName name="BLPH147" localSheetId="19" hidden="1">#REF!</definedName>
    <definedName name="BLPH147" localSheetId="18" hidden="1">#REF!</definedName>
    <definedName name="BLPH147" hidden="1">#REF!</definedName>
    <definedName name="BLPH148" localSheetId="6" hidden="1">#REF!</definedName>
    <definedName name="BLPH148" localSheetId="3" hidden="1">#REF!</definedName>
    <definedName name="BLPH148" localSheetId="10" hidden="1">#REF!</definedName>
    <definedName name="BLPH148" localSheetId="16" hidden="1">#REF!</definedName>
    <definedName name="BLPH148" localSheetId="19" hidden="1">#REF!</definedName>
    <definedName name="BLPH148" localSheetId="18" hidden="1">#REF!</definedName>
    <definedName name="BLPH148" hidden="1">#REF!</definedName>
    <definedName name="BLPH149" localSheetId="6" hidden="1">#REF!</definedName>
    <definedName name="BLPH149" localSheetId="3" hidden="1">#REF!</definedName>
    <definedName name="BLPH149" localSheetId="10" hidden="1">#REF!</definedName>
    <definedName name="BLPH149" localSheetId="16" hidden="1">#REF!</definedName>
    <definedName name="BLPH149" localSheetId="19" hidden="1">#REF!</definedName>
    <definedName name="BLPH149" localSheetId="18" hidden="1">#REF!</definedName>
    <definedName name="BLPH149" hidden="1">#REF!</definedName>
    <definedName name="BLPH15" localSheetId="6" hidden="1">#REF!</definedName>
    <definedName name="BLPH15" localSheetId="3" hidden="1">#REF!</definedName>
    <definedName name="BLPH15" localSheetId="10" hidden="1">#REF!</definedName>
    <definedName name="BLPH15" localSheetId="16" hidden="1">#REF!</definedName>
    <definedName name="BLPH15" localSheetId="19" hidden="1">#REF!</definedName>
    <definedName name="BLPH15" localSheetId="18" hidden="1">#REF!</definedName>
    <definedName name="BLPH15" hidden="1">#REF!</definedName>
    <definedName name="BLPH150" localSheetId="6" hidden="1">#REF!</definedName>
    <definedName name="BLPH150" localSheetId="3" hidden="1">#REF!</definedName>
    <definedName name="BLPH150" localSheetId="10" hidden="1">#REF!</definedName>
    <definedName name="BLPH150" localSheetId="16" hidden="1">#REF!</definedName>
    <definedName name="BLPH150" localSheetId="19" hidden="1">#REF!</definedName>
    <definedName name="BLPH150" localSheetId="18" hidden="1">#REF!</definedName>
    <definedName name="BLPH150" hidden="1">#REF!</definedName>
    <definedName name="BLPH151" localSheetId="6" hidden="1">#REF!</definedName>
    <definedName name="BLPH151" localSheetId="3" hidden="1">#REF!</definedName>
    <definedName name="BLPH151" localSheetId="10" hidden="1">#REF!</definedName>
    <definedName name="BLPH151" localSheetId="16" hidden="1">#REF!</definedName>
    <definedName name="BLPH151" localSheetId="19" hidden="1">#REF!</definedName>
    <definedName name="BLPH151" localSheetId="18" hidden="1">#REF!</definedName>
    <definedName name="BLPH151" hidden="1">#REF!</definedName>
    <definedName name="BLPH152" localSheetId="6" hidden="1">#REF!</definedName>
    <definedName name="BLPH152" localSheetId="3" hidden="1">#REF!</definedName>
    <definedName name="BLPH152" localSheetId="10" hidden="1">#REF!</definedName>
    <definedName name="BLPH152" localSheetId="16" hidden="1">#REF!</definedName>
    <definedName name="BLPH152" localSheetId="19" hidden="1">#REF!</definedName>
    <definedName name="BLPH152" localSheetId="18" hidden="1">#REF!</definedName>
    <definedName name="BLPH152" hidden="1">#REF!</definedName>
    <definedName name="BLPH153" localSheetId="6" hidden="1">#REF!</definedName>
    <definedName name="BLPH153" localSheetId="3" hidden="1">#REF!</definedName>
    <definedName name="BLPH153" localSheetId="10" hidden="1">#REF!</definedName>
    <definedName name="BLPH153" localSheetId="16" hidden="1">#REF!</definedName>
    <definedName name="BLPH153" localSheetId="19" hidden="1">#REF!</definedName>
    <definedName name="BLPH153" localSheetId="18" hidden="1">#REF!</definedName>
    <definedName name="BLPH153" hidden="1">#REF!</definedName>
    <definedName name="BLPH154" localSheetId="6" hidden="1">#REF!</definedName>
    <definedName name="BLPH154" localSheetId="3" hidden="1">#REF!</definedName>
    <definedName name="BLPH154" localSheetId="10" hidden="1">#REF!</definedName>
    <definedName name="BLPH154" localSheetId="16" hidden="1">#REF!</definedName>
    <definedName name="BLPH154" localSheetId="19" hidden="1">#REF!</definedName>
    <definedName name="BLPH154" localSheetId="18" hidden="1">#REF!</definedName>
    <definedName name="BLPH154" hidden="1">#REF!</definedName>
    <definedName name="BLPH155" localSheetId="6" hidden="1">#REF!</definedName>
    <definedName name="BLPH155" localSheetId="3" hidden="1">#REF!</definedName>
    <definedName name="BLPH155" localSheetId="10" hidden="1">#REF!</definedName>
    <definedName name="BLPH155" localSheetId="16" hidden="1">#REF!</definedName>
    <definedName name="BLPH155" localSheetId="19" hidden="1">#REF!</definedName>
    <definedName name="BLPH155" localSheetId="18" hidden="1">#REF!</definedName>
    <definedName name="BLPH155" hidden="1">#REF!</definedName>
    <definedName name="BLPH156" localSheetId="6" hidden="1">#REF!</definedName>
    <definedName name="BLPH156" localSheetId="3" hidden="1">#REF!</definedName>
    <definedName name="BLPH156" localSheetId="10" hidden="1">#REF!</definedName>
    <definedName name="BLPH156" localSheetId="16" hidden="1">#REF!</definedName>
    <definedName name="BLPH156" localSheetId="19" hidden="1">#REF!</definedName>
    <definedName name="BLPH156" localSheetId="18" hidden="1">#REF!</definedName>
    <definedName name="BLPH156" hidden="1">#REF!</definedName>
    <definedName name="BLPH157" localSheetId="6" hidden="1">#REF!</definedName>
    <definedName name="BLPH157" localSheetId="3" hidden="1">#REF!</definedName>
    <definedName name="BLPH157" localSheetId="10" hidden="1">#REF!</definedName>
    <definedName name="BLPH157" localSheetId="16" hidden="1">#REF!</definedName>
    <definedName name="BLPH157" localSheetId="19" hidden="1">#REF!</definedName>
    <definedName name="BLPH157" localSheetId="18" hidden="1">#REF!</definedName>
    <definedName name="BLPH157" hidden="1">#REF!</definedName>
    <definedName name="BLPH158" localSheetId="6" hidden="1">#REF!</definedName>
    <definedName name="BLPH158" localSheetId="3" hidden="1">#REF!</definedName>
    <definedName name="BLPH158" localSheetId="10" hidden="1">#REF!</definedName>
    <definedName name="BLPH158" localSheetId="16" hidden="1">#REF!</definedName>
    <definedName name="BLPH158" localSheetId="19" hidden="1">#REF!</definedName>
    <definedName name="BLPH158" localSheetId="18" hidden="1">#REF!</definedName>
    <definedName name="BLPH158" hidden="1">#REF!</definedName>
    <definedName name="BLPH159" localSheetId="6" hidden="1">#REF!</definedName>
    <definedName name="BLPH159" localSheetId="3" hidden="1">#REF!</definedName>
    <definedName name="BLPH159" localSheetId="10" hidden="1">#REF!</definedName>
    <definedName name="BLPH159" localSheetId="16" hidden="1">#REF!</definedName>
    <definedName name="BLPH159" localSheetId="19" hidden="1">#REF!</definedName>
    <definedName name="BLPH159" localSheetId="18" hidden="1">#REF!</definedName>
    <definedName name="BLPH159" hidden="1">#REF!</definedName>
    <definedName name="BLPH16" localSheetId="6" hidden="1">#REF!</definedName>
    <definedName name="BLPH16" localSheetId="3" hidden="1">#REF!</definedName>
    <definedName name="BLPH16" localSheetId="10" hidden="1">#REF!</definedName>
    <definedName name="BLPH16" localSheetId="16" hidden="1">#REF!</definedName>
    <definedName name="BLPH16" localSheetId="19" hidden="1">#REF!</definedName>
    <definedName name="BLPH16" localSheetId="18" hidden="1">#REF!</definedName>
    <definedName name="BLPH16" hidden="1">#REF!</definedName>
    <definedName name="BLPH160" localSheetId="6" hidden="1">#REF!</definedName>
    <definedName name="BLPH160" localSheetId="3" hidden="1">#REF!</definedName>
    <definedName name="BLPH160" localSheetId="10" hidden="1">#REF!</definedName>
    <definedName name="BLPH160" localSheetId="16" hidden="1">#REF!</definedName>
    <definedName name="BLPH160" localSheetId="19" hidden="1">#REF!</definedName>
    <definedName name="BLPH160" localSheetId="18" hidden="1">#REF!</definedName>
    <definedName name="BLPH160" hidden="1">#REF!</definedName>
    <definedName name="BLPH161" localSheetId="6" hidden="1">#REF!</definedName>
    <definedName name="BLPH161" localSheetId="3" hidden="1">#REF!</definedName>
    <definedName name="BLPH161" localSheetId="10" hidden="1">#REF!</definedName>
    <definedName name="BLPH161" localSheetId="16" hidden="1">#REF!</definedName>
    <definedName name="BLPH161" localSheetId="19" hidden="1">#REF!</definedName>
    <definedName name="BLPH161" localSheetId="18" hidden="1">#REF!</definedName>
    <definedName name="BLPH161" hidden="1">#REF!</definedName>
    <definedName name="BLPH162" localSheetId="6" hidden="1">#REF!</definedName>
    <definedName name="BLPH162" localSheetId="3" hidden="1">#REF!</definedName>
    <definedName name="BLPH162" localSheetId="10" hidden="1">#REF!</definedName>
    <definedName name="BLPH162" localSheetId="16" hidden="1">#REF!</definedName>
    <definedName name="BLPH162" localSheetId="19" hidden="1">#REF!</definedName>
    <definedName name="BLPH162" localSheetId="18" hidden="1">#REF!</definedName>
    <definedName name="BLPH162" hidden="1">#REF!</definedName>
    <definedName name="BLPH163" localSheetId="6" hidden="1">#REF!</definedName>
    <definedName name="BLPH163" localSheetId="3" hidden="1">#REF!</definedName>
    <definedName name="BLPH163" localSheetId="10" hidden="1">#REF!</definedName>
    <definedName name="BLPH163" localSheetId="16" hidden="1">#REF!</definedName>
    <definedName name="BLPH163" localSheetId="19" hidden="1">#REF!</definedName>
    <definedName name="BLPH163" localSheetId="18" hidden="1">#REF!</definedName>
    <definedName name="BLPH163" hidden="1">#REF!</definedName>
    <definedName name="BLPH164" localSheetId="6" hidden="1">#REF!</definedName>
    <definedName name="BLPH164" localSheetId="3" hidden="1">#REF!</definedName>
    <definedName name="BLPH164" localSheetId="10" hidden="1">#REF!</definedName>
    <definedName name="BLPH164" localSheetId="16" hidden="1">#REF!</definedName>
    <definedName name="BLPH164" localSheetId="19" hidden="1">#REF!</definedName>
    <definedName name="BLPH164" localSheetId="18" hidden="1">#REF!</definedName>
    <definedName name="BLPH164" hidden="1">#REF!</definedName>
    <definedName name="BLPH165" localSheetId="6" hidden="1">#REF!</definedName>
    <definedName name="BLPH165" localSheetId="3" hidden="1">#REF!</definedName>
    <definedName name="BLPH165" localSheetId="10" hidden="1">#REF!</definedName>
    <definedName name="BLPH165" localSheetId="16" hidden="1">#REF!</definedName>
    <definedName name="BLPH165" localSheetId="19" hidden="1">#REF!</definedName>
    <definedName name="BLPH165" localSheetId="18" hidden="1">#REF!</definedName>
    <definedName name="BLPH165" hidden="1">#REF!</definedName>
    <definedName name="BLPH166" localSheetId="6" hidden="1">#REF!</definedName>
    <definedName name="BLPH166" localSheetId="3" hidden="1">#REF!</definedName>
    <definedName name="BLPH166" localSheetId="10" hidden="1">#REF!</definedName>
    <definedName name="BLPH166" localSheetId="16" hidden="1">#REF!</definedName>
    <definedName name="BLPH166" localSheetId="19" hidden="1">#REF!</definedName>
    <definedName name="BLPH166" localSheetId="18" hidden="1">#REF!</definedName>
    <definedName name="BLPH166" hidden="1">#REF!</definedName>
    <definedName name="BLPH167" localSheetId="6" hidden="1">#REF!</definedName>
    <definedName name="BLPH167" localSheetId="3" hidden="1">#REF!</definedName>
    <definedName name="BLPH167" localSheetId="10" hidden="1">#REF!</definedName>
    <definedName name="BLPH167" localSheetId="16" hidden="1">#REF!</definedName>
    <definedName name="BLPH167" localSheetId="19" hidden="1">#REF!</definedName>
    <definedName name="BLPH167" localSheetId="18" hidden="1">#REF!</definedName>
    <definedName name="BLPH167" hidden="1">#REF!</definedName>
    <definedName name="BLPH168" localSheetId="6" hidden="1">#REF!</definedName>
    <definedName name="BLPH168" localSheetId="3" hidden="1">#REF!</definedName>
    <definedName name="BLPH168" localSheetId="10" hidden="1">#REF!</definedName>
    <definedName name="BLPH168" localSheetId="16" hidden="1">#REF!</definedName>
    <definedName name="BLPH168" localSheetId="19" hidden="1">#REF!</definedName>
    <definedName name="BLPH168" localSheetId="18" hidden="1">#REF!</definedName>
    <definedName name="BLPH168" hidden="1">#REF!</definedName>
    <definedName name="BLPH169" localSheetId="6" hidden="1">#REF!</definedName>
    <definedName name="BLPH169" localSheetId="3" hidden="1">#REF!</definedName>
    <definedName name="BLPH169" localSheetId="10" hidden="1">#REF!</definedName>
    <definedName name="BLPH169" localSheetId="16" hidden="1">#REF!</definedName>
    <definedName name="BLPH169" localSheetId="19" hidden="1">#REF!</definedName>
    <definedName name="BLPH169" localSheetId="18" hidden="1">#REF!</definedName>
    <definedName name="BLPH169" hidden="1">#REF!</definedName>
    <definedName name="BLPH17" localSheetId="6" hidden="1">#REF!</definedName>
    <definedName name="BLPH17" localSheetId="3" hidden="1">#REF!</definedName>
    <definedName name="BLPH17" localSheetId="10" hidden="1">#REF!</definedName>
    <definedName name="BLPH17" localSheetId="16" hidden="1">#REF!</definedName>
    <definedName name="BLPH17" localSheetId="19" hidden="1">#REF!</definedName>
    <definedName name="BLPH17" localSheetId="18" hidden="1">#REF!</definedName>
    <definedName name="BLPH17" hidden="1">#REF!</definedName>
    <definedName name="BLPH170" localSheetId="6" hidden="1">#REF!</definedName>
    <definedName name="BLPH170" localSheetId="3" hidden="1">#REF!</definedName>
    <definedName name="BLPH170" localSheetId="10" hidden="1">#REF!</definedName>
    <definedName name="BLPH170" localSheetId="16" hidden="1">#REF!</definedName>
    <definedName name="BLPH170" localSheetId="19" hidden="1">#REF!</definedName>
    <definedName name="BLPH170" localSheetId="18" hidden="1">#REF!</definedName>
    <definedName name="BLPH170" hidden="1">#REF!</definedName>
    <definedName name="BLPH171" localSheetId="6" hidden="1">#REF!</definedName>
    <definedName name="BLPH171" localSheetId="3" hidden="1">#REF!</definedName>
    <definedName name="BLPH171" localSheetId="10" hidden="1">#REF!</definedName>
    <definedName name="BLPH171" localSheetId="16" hidden="1">#REF!</definedName>
    <definedName name="BLPH171" localSheetId="19" hidden="1">#REF!</definedName>
    <definedName name="BLPH171" localSheetId="18" hidden="1">#REF!</definedName>
    <definedName name="BLPH171" hidden="1">#REF!</definedName>
    <definedName name="BLPH172" localSheetId="6" hidden="1">#REF!</definedName>
    <definedName name="BLPH172" localSheetId="3" hidden="1">#REF!</definedName>
    <definedName name="BLPH172" localSheetId="10" hidden="1">#REF!</definedName>
    <definedName name="BLPH172" localSheetId="16" hidden="1">#REF!</definedName>
    <definedName name="BLPH172" localSheetId="19" hidden="1">#REF!</definedName>
    <definedName name="BLPH172" localSheetId="18" hidden="1">#REF!</definedName>
    <definedName name="BLPH172" hidden="1">#REF!</definedName>
    <definedName name="BLPH173" localSheetId="6" hidden="1">#REF!</definedName>
    <definedName name="BLPH173" localSheetId="3" hidden="1">#REF!</definedName>
    <definedName name="BLPH173" localSheetId="10" hidden="1">#REF!</definedName>
    <definedName name="BLPH173" localSheetId="16" hidden="1">#REF!</definedName>
    <definedName name="BLPH173" localSheetId="19" hidden="1">#REF!</definedName>
    <definedName name="BLPH173" localSheetId="18" hidden="1">#REF!</definedName>
    <definedName name="BLPH173" hidden="1">#REF!</definedName>
    <definedName name="BLPH174" localSheetId="6" hidden="1">#REF!</definedName>
    <definedName name="BLPH174" localSheetId="3" hidden="1">#REF!</definedName>
    <definedName name="BLPH174" localSheetId="10" hidden="1">#REF!</definedName>
    <definedName name="BLPH174" localSheetId="16" hidden="1">#REF!</definedName>
    <definedName name="BLPH174" localSheetId="19" hidden="1">#REF!</definedName>
    <definedName name="BLPH174" localSheetId="18" hidden="1">#REF!</definedName>
    <definedName name="BLPH174" hidden="1">#REF!</definedName>
    <definedName name="BLPH175" localSheetId="6" hidden="1">#REF!</definedName>
    <definedName name="BLPH175" localSheetId="3" hidden="1">#REF!</definedName>
    <definedName name="BLPH175" localSheetId="10" hidden="1">#REF!</definedName>
    <definedName name="BLPH175" localSheetId="16" hidden="1">#REF!</definedName>
    <definedName name="BLPH175" localSheetId="19" hidden="1">#REF!</definedName>
    <definedName name="BLPH175" localSheetId="18" hidden="1">#REF!</definedName>
    <definedName name="BLPH175" hidden="1">#REF!</definedName>
    <definedName name="BLPH176" localSheetId="6" hidden="1">#REF!</definedName>
    <definedName name="BLPH176" localSheetId="3" hidden="1">#REF!</definedName>
    <definedName name="BLPH176" localSheetId="10" hidden="1">#REF!</definedName>
    <definedName name="BLPH176" localSheetId="16" hidden="1">#REF!</definedName>
    <definedName name="BLPH176" localSheetId="19" hidden="1">#REF!</definedName>
    <definedName name="BLPH176" localSheetId="18" hidden="1">#REF!</definedName>
    <definedName name="BLPH176" hidden="1">#REF!</definedName>
    <definedName name="BLPH177" localSheetId="6" hidden="1">#REF!</definedName>
    <definedName name="BLPH177" localSheetId="3" hidden="1">#REF!</definedName>
    <definedName name="BLPH177" localSheetId="10" hidden="1">#REF!</definedName>
    <definedName name="BLPH177" localSheetId="16" hidden="1">#REF!</definedName>
    <definedName name="BLPH177" localSheetId="19" hidden="1">#REF!</definedName>
    <definedName name="BLPH177" localSheetId="18" hidden="1">#REF!</definedName>
    <definedName name="BLPH177" hidden="1">#REF!</definedName>
    <definedName name="BLPH178" localSheetId="6" hidden="1">#REF!</definedName>
    <definedName name="BLPH178" localSheetId="3" hidden="1">#REF!</definedName>
    <definedName name="BLPH178" localSheetId="10" hidden="1">#REF!</definedName>
    <definedName name="BLPH178" localSheetId="16" hidden="1">#REF!</definedName>
    <definedName name="BLPH178" localSheetId="19" hidden="1">#REF!</definedName>
    <definedName name="BLPH178" localSheetId="18" hidden="1">#REF!</definedName>
    <definedName name="BLPH178" hidden="1">#REF!</definedName>
    <definedName name="BLPH179" localSheetId="6" hidden="1">#REF!</definedName>
    <definedName name="BLPH179" localSheetId="3" hidden="1">#REF!</definedName>
    <definedName name="BLPH179" localSheetId="10" hidden="1">#REF!</definedName>
    <definedName name="BLPH179" localSheetId="16" hidden="1">#REF!</definedName>
    <definedName name="BLPH179" localSheetId="19" hidden="1">#REF!</definedName>
    <definedName name="BLPH179" localSheetId="18" hidden="1">#REF!</definedName>
    <definedName name="BLPH179" hidden="1">#REF!</definedName>
    <definedName name="BLPH18" localSheetId="6" hidden="1">#REF!</definedName>
    <definedName name="BLPH18" localSheetId="3" hidden="1">#REF!</definedName>
    <definedName name="BLPH18" localSheetId="10" hidden="1">#REF!</definedName>
    <definedName name="BLPH18" localSheetId="16" hidden="1">#REF!</definedName>
    <definedName name="BLPH18" localSheetId="19" hidden="1">#REF!</definedName>
    <definedName name="BLPH18" localSheetId="18" hidden="1">#REF!</definedName>
    <definedName name="BLPH18" hidden="1">#REF!</definedName>
    <definedName name="BLPH180" localSheetId="6" hidden="1">#REF!</definedName>
    <definedName name="BLPH180" localSheetId="3" hidden="1">#REF!</definedName>
    <definedName name="BLPH180" localSheetId="10" hidden="1">#REF!</definedName>
    <definedName name="BLPH180" localSheetId="16" hidden="1">#REF!</definedName>
    <definedName name="BLPH180" localSheetId="19" hidden="1">#REF!</definedName>
    <definedName name="BLPH180" localSheetId="18" hidden="1">#REF!</definedName>
    <definedName name="BLPH180" hidden="1">#REF!</definedName>
    <definedName name="BLPH181" localSheetId="6" hidden="1">#REF!</definedName>
    <definedName name="BLPH181" localSheetId="3" hidden="1">#REF!</definedName>
    <definedName name="BLPH181" localSheetId="10" hidden="1">#REF!</definedName>
    <definedName name="BLPH181" localSheetId="16" hidden="1">#REF!</definedName>
    <definedName name="BLPH181" localSheetId="19" hidden="1">#REF!</definedName>
    <definedName name="BLPH181" localSheetId="18" hidden="1">#REF!</definedName>
    <definedName name="BLPH181" hidden="1">#REF!</definedName>
    <definedName name="BLPH182" localSheetId="6" hidden="1">#REF!</definedName>
    <definedName name="BLPH182" localSheetId="3" hidden="1">#REF!</definedName>
    <definedName name="BLPH182" localSheetId="10" hidden="1">#REF!</definedName>
    <definedName name="BLPH182" localSheetId="16" hidden="1">#REF!</definedName>
    <definedName name="BLPH182" localSheetId="19" hidden="1">#REF!</definedName>
    <definedName name="BLPH182" localSheetId="18" hidden="1">#REF!</definedName>
    <definedName name="BLPH182" hidden="1">#REF!</definedName>
    <definedName name="BLPH183" localSheetId="6" hidden="1">#REF!</definedName>
    <definedName name="BLPH183" localSheetId="3" hidden="1">#REF!</definedName>
    <definedName name="BLPH183" localSheetId="10" hidden="1">#REF!</definedName>
    <definedName name="BLPH183" localSheetId="16" hidden="1">#REF!</definedName>
    <definedName name="BLPH183" localSheetId="19" hidden="1">#REF!</definedName>
    <definedName name="BLPH183" localSheetId="18" hidden="1">#REF!</definedName>
    <definedName name="BLPH183" hidden="1">#REF!</definedName>
    <definedName name="BLPH184" localSheetId="6" hidden="1">#REF!</definedName>
    <definedName name="BLPH184" localSheetId="3" hidden="1">#REF!</definedName>
    <definedName name="BLPH184" localSheetId="10" hidden="1">#REF!</definedName>
    <definedName name="BLPH184" localSheetId="16" hidden="1">#REF!</definedName>
    <definedName name="BLPH184" localSheetId="19" hidden="1">#REF!</definedName>
    <definedName name="BLPH184" localSheetId="18" hidden="1">#REF!</definedName>
    <definedName name="BLPH184" hidden="1">#REF!</definedName>
    <definedName name="BLPH185" localSheetId="6" hidden="1">#REF!</definedName>
    <definedName name="BLPH185" localSheetId="3" hidden="1">#REF!</definedName>
    <definedName name="BLPH185" localSheetId="10" hidden="1">#REF!</definedName>
    <definedName name="BLPH185" localSheetId="16" hidden="1">#REF!</definedName>
    <definedName name="BLPH185" localSheetId="19" hidden="1">#REF!</definedName>
    <definedName name="BLPH185" localSheetId="18" hidden="1">#REF!</definedName>
    <definedName name="BLPH185" hidden="1">#REF!</definedName>
    <definedName name="BLPH186" localSheetId="6" hidden="1">#REF!</definedName>
    <definedName name="BLPH186" localSheetId="3" hidden="1">#REF!</definedName>
    <definedName name="BLPH186" localSheetId="10" hidden="1">#REF!</definedName>
    <definedName name="BLPH186" localSheetId="16" hidden="1">#REF!</definedName>
    <definedName name="BLPH186" localSheetId="19" hidden="1">#REF!</definedName>
    <definedName name="BLPH186" localSheetId="18" hidden="1">#REF!</definedName>
    <definedName name="BLPH186" hidden="1">#REF!</definedName>
    <definedName name="BLPH187" localSheetId="6" hidden="1">#REF!</definedName>
    <definedName name="BLPH187" localSheetId="3" hidden="1">#REF!</definedName>
    <definedName name="BLPH187" localSheetId="10" hidden="1">#REF!</definedName>
    <definedName name="BLPH187" localSheetId="16" hidden="1">#REF!</definedName>
    <definedName name="BLPH187" localSheetId="19" hidden="1">#REF!</definedName>
    <definedName name="BLPH187" localSheetId="18" hidden="1">#REF!</definedName>
    <definedName name="BLPH187" hidden="1">#REF!</definedName>
    <definedName name="BLPH188" localSheetId="6" hidden="1">#REF!</definedName>
    <definedName name="BLPH188" localSheetId="3" hidden="1">#REF!</definedName>
    <definedName name="BLPH188" localSheetId="10" hidden="1">#REF!</definedName>
    <definedName name="BLPH188" localSheetId="16" hidden="1">#REF!</definedName>
    <definedName name="BLPH188" localSheetId="19" hidden="1">#REF!</definedName>
    <definedName name="BLPH188" localSheetId="18" hidden="1">#REF!</definedName>
    <definedName name="BLPH188" hidden="1">#REF!</definedName>
    <definedName name="BLPH189" localSheetId="6" hidden="1">#REF!</definedName>
    <definedName name="BLPH189" localSheetId="3" hidden="1">#REF!</definedName>
    <definedName name="BLPH189" localSheetId="10" hidden="1">#REF!</definedName>
    <definedName name="BLPH189" localSheetId="16" hidden="1">#REF!</definedName>
    <definedName name="BLPH189" localSheetId="19" hidden="1">#REF!</definedName>
    <definedName name="BLPH189" localSheetId="18" hidden="1">#REF!</definedName>
    <definedName name="BLPH189" hidden="1">#REF!</definedName>
    <definedName name="BLPH19" localSheetId="6" hidden="1">#REF!</definedName>
    <definedName name="BLPH19" localSheetId="3" hidden="1">#REF!</definedName>
    <definedName name="BLPH19" localSheetId="10" hidden="1">#REF!</definedName>
    <definedName name="BLPH19" localSheetId="16" hidden="1">#REF!</definedName>
    <definedName name="BLPH19" localSheetId="19" hidden="1">#REF!</definedName>
    <definedName name="BLPH19" localSheetId="18" hidden="1">#REF!</definedName>
    <definedName name="BLPH19" hidden="1">#REF!</definedName>
    <definedName name="BLPH190" localSheetId="6" hidden="1">#REF!</definedName>
    <definedName name="BLPH190" localSheetId="3" hidden="1">#REF!</definedName>
    <definedName name="BLPH190" localSheetId="10" hidden="1">#REF!</definedName>
    <definedName name="BLPH190" localSheetId="16" hidden="1">#REF!</definedName>
    <definedName name="BLPH190" localSheetId="19" hidden="1">#REF!</definedName>
    <definedName name="BLPH190" localSheetId="18" hidden="1">#REF!</definedName>
    <definedName name="BLPH190" hidden="1">#REF!</definedName>
    <definedName name="BLPH191" localSheetId="6" hidden="1">#REF!</definedName>
    <definedName name="BLPH191" localSheetId="3" hidden="1">#REF!</definedName>
    <definedName name="BLPH191" localSheetId="10" hidden="1">#REF!</definedName>
    <definedName name="BLPH191" localSheetId="16" hidden="1">#REF!</definedName>
    <definedName name="BLPH191" localSheetId="19" hidden="1">#REF!</definedName>
    <definedName name="BLPH191" localSheetId="18" hidden="1">#REF!</definedName>
    <definedName name="BLPH191" hidden="1">#REF!</definedName>
    <definedName name="BLPH192" localSheetId="6" hidden="1">#REF!</definedName>
    <definedName name="BLPH192" localSheetId="3" hidden="1">#REF!</definedName>
    <definedName name="BLPH192" localSheetId="10" hidden="1">#REF!</definedName>
    <definedName name="BLPH192" localSheetId="16" hidden="1">#REF!</definedName>
    <definedName name="BLPH192" localSheetId="19" hidden="1">#REF!</definedName>
    <definedName name="BLPH192" localSheetId="18" hidden="1">#REF!</definedName>
    <definedName name="BLPH192" hidden="1">#REF!</definedName>
    <definedName name="BLPH193" localSheetId="6" hidden="1">#REF!</definedName>
    <definedName name="BLPH193" localSheetId="3" hidden="1">#REF!</definedName>
    <definedName name="BLPH193" localSheetId="10" hidden="1">#REF!</definedName>
    <definedName name="BLPH193" localSheetId="16" hidden="1">#REF!</definedName>
    <definedName name="BLPH193" localSheetId="19" hidden="1">#REF!</definedName>
    <definedName name="BLPH193" localSheetId="18" hidden="1">#REF!</definedName>
    <definedName name="BLPH193" hidden="1">#REF!</definedName>
    <definedName name="BLPH194" localSheetId="6" hidden="1">#REF!</definedName>
    <definedName name="BLPH194" localSheetId="3" hidden="1">#REF!</definedName>
    <definedName name="BLPH194" localSheetId="10" hidden="1">#REF!</definedName>
    <definedName name="BLPH194" localSheetId="16" hidden="1">#REF!</definedName>
    <definedName name="BLPH194" localSheetId="19" hidden="1">#REF!</definedName>
    <definedName name="BLPH194" localSheetId="18" hidden="1">#REF!</definedName>
    <definedName name="BLPH194" hidden="1">#REF!</definedName>
    <definedName name="BLPH195" localSheetId="6" hidden="1">#REF!</definedName>
    <definedName name="BLPH195" localSheetId="3" hidden="1">#REF!</definedName>
    <definedName name="BLPH195" localSheetId="10" hidden="1">#REF!</definedName>
    <definedName name="BLPH195" localSheetId="16" hidden="1">#REF!</definedName>
    <definedName name="BLPH195" localSheetId="19" hidden="1">#REF!</definedName>
    <definedName name="BLPH195" localSheetId="18" hidden="1">#REF!</definedName>
    <definedName name="BLPH195" hidden="1">#REF!</definedName>
    <definedName name="BLPH196" localSheetId="6" hidden="1">#REF!</definedName>
    <definedName name="BLPH196" localSheetId="3" hidden="1">#REF!</definedName>
    <definedName name="BLPH196" localSheetId="10" hidden="1">#REF!</definedName>
    <definedName name="BLPH196" localSheetId="16" hidden="1">#REF!</definedName>
    <definedName name="BLPH196" localSheetId="19" hidden="1">#REF!</definedName>
    <definedName name="BLPH196" localSheetId="18" hidden="1">#REF!</definedName>
    <definedName name="BLPH196" hidden="1">#REF!</definedName>
    <definedName name="BLPH197" localSheetId="6" hidden="1">#REF!</definedName>
    <definedName name="BLPH197" localSheetId="3" hidden="1">#REF!</definedName>
    <definedName name="BLPH197" localSheetId="10" hidden="1">#REF!</definedName>
    <definedName name="BLPH197" localSheetId="16" hidden="1">#REF!</definedName>
    <definedName name="BLPH197" localSheetId="19" hidden="1">#REF!</definedName>
    <definedName name="BLPH197" localSheetId="18" hidden="1">#REF!</definedName>
    <definedName name="BLPH197" hidden="1">#REF!</definedName>
    <definedName name="BLPH198" localSheetId="6" hidden="1">#REF!</definedName>
    <definedName name="BLPH198" localSheetId="3" hidden="1">#REF!</definedName>
    <definedName name="BLPH198" localSheetId="10" hidden="1">#REF!</definedName>
    <definedName name="BLPH198" localSheetId="16" hidden="1">#REF!</definedName>
    <definedName name="BLPH198" localSheetId="19" hidden="1">#REF!</definedName>
    <definedName name="BLPH198" localSheetId="18" hidden="1">#REF!</definedName>
    <definedName name="BLPH198" hidden="1">#REF!</definedName>
    <definedName name="BLPH199" localSheetId="6" hidden="1">#REF!</definedName>
    <definedName name="BLPH199" localSheetId="3" hidden="1">#REF!</definedName>
    <definedName name="BLPH199" localSheetId="10" hidden="1">#REF!</definedName>
    <definedName name="BLPH199" localSheetId="16" hidden="1">#REF!</definedName>
    <definedName name="BLPH199" localSheetId="19" hidden="1">#REF!</definedName>
    <definedName name="BLPH199" localSheetId="18" hidden="1">#REF!</definedName>
    <definedName name="BLPH199" hidden="1">#REF!</definedName>
    <definedName name="BLPH2" localSheetId="6" hidden="1">#REF!</definedName>
    <definedName name="BLPH2" localSheetId="3" hidden="1">#REF!</definedName>
    <definedName name="BLPH2" localSheetId="10" hidden="1">#REF!</definedName>
    <definedName name="BLPH2" localSheetId="16" hidden="1">#REF!</definedName>
    <definedName name="BLPH2" localSheetId="19" hidden="1">#REF!</definedName>
    <definedName name="BLPH2" localSheetId="18" hidden="1">#REF!</definedName>
    <definedName name="BLPH2" hidden="1">#REF!</definedName>
    <definedName name="BLPH20" localSheetId="6" hidden="1">#REF!</definedName>
    <definedName name="BLPH20" localSheetId="3" hidden="1">#REF!</definedName>
    <definedName name="BLPH20" localSheetId="10" hidden="1">#REF!</definedName>
    <definedName name="BLPH20" localSheetId="16" hidden="1">#REF!</definedName>
    <definedName name="BLPH20" localSheetId="19" hidden="1">#REF!</definedName>
    <definedName name="BLPH20" localSheetId="18" hidden="1">#REF!</definedName>
    <definedName name="BLPH20" hidden="1">#REF!</definedName>
    <definedName name="BLPH200" localSheetId="6" hidden="1">#REF!</definedName>
    <definedName name="BLPH200" localSheetId="3" hidden="1">#REF!</definedName>
    <definedName name="BLPH200" localSheetId="10" hidden="1">#REF!</definedName>
    <definedName name="BLPH200" localSheetId="16" hidden="1">#REF!</definedName>
    <definedName name="BLPH200" localSheetId="19" hidden="1">#REF!</definedName>
    <definedName name="BLPH200" localSheetId="18" hidden="1">#REF!</definedName>
    <definedName name="BLPH200" hidden="1">#REF!</definedName>
    <definedName name="BLPH201" localSheetId="6" hidden="1">#REF!</definedName>
    <definedName name="BLPH201" localSheetId="3" hidden="1">#REF!</definedName>
    <definedName name="BLPH201" localSheetId="10" hidden="1">#REF!</definedName>
    <definedName name="BLPH201" localSheetId="16" hidden="1">#REF!</definedName>
    <definedName name="BLPH201" localSheetId="19" hidden="1">#REF!</definedName>
    <definedName name="BLPH201" localSheetId="18" hidden="1">#REF!</definedName>
    <definedName name="BLPH201" hidden="1">#REF!</definedName>
    <definedName name="BLPH21" localSheetId="6" hidden="1">#REF!</definedName>
    <definedName name="BLPH21" localSheetId="3" hidden="1">#REF!</definedName>
    <definedName name="BLPH21" localSheetId="10" hidden="1">#REF!</definedName>
    <definedName name="BLPH21" localSheetId="16" hidden="1">#REF!</definedName>
    <definedName name="BLPH21" localSheetId="19" hidden="1">#REF!</definedName>
    <definedName name="BLPH21" localSheetId="18" hidden="1">#REF!</definedName>
    <definedName name="BLPH21" hidden="1">#REF!</definedName>
    <definedName name="BLPH22" localSheetId="6" hidden="1">#REF!</definedName>
    <definedName name="BLPH22" localSheetId="3" hidden="1">#REF!</definedName>
    <definedName name="BLPH22" localSheetId="10" hidden="1">#REF!</definedName>
    <definedName name="BLPH22" localSheetId="16" hidden="1">#REF!</definedName>
    <definedName name="BLPH22" localSheetId="19" hidden="1">#REF!</definedName>
    <definedName name="BLPH22" localSheetId="18" hidden="1">#REF!</definedName>
    <definedName name="BLPH22" hidden="1">#REF!</definedName>
    <definedName name="BLPH23" localSheetId="6" hidden="1">#REF!</definedName>
    <definedName name="BLPH23" localSheetId="3" hidden="1">#REF!</definedName>
    <definedName name="BLPH23" localSheetId="10" hidden="1">#REF!</definedName>
    <definedName name="BLPH23" localSheetId="16" hidden="1">#REF!</definedName>
    <definedName name="BLPH23" localSheetId="19" hidden="1">#REF!</definedName>
    <definedName name="BLPH23" localSheetId="18" hidden="1">#REF!</definedName>
    <definedName name="BLPH23" hidden="1">#REF!</definedName>
    <definedName name="BLPH24" localSheetId="6" hidden="1">#REF!</definedName>
    <definedName name="BLPH24" localSheetId="3" hidden="1">#REF!</definedName>
    <definedName name="BLPH24" localSheetId="10" hidden="1">#REF!</definedName>
    <definedName name="BLPH24" localSheetId="16" hidden="1">#REF!</definedName>
    <definedName name="BLPH24" localSheetId="19" hidden="1">#REF!</definedName>
    <definedName name="BLPH24" localSheetId="18" hidden="1">#REF!</definedName>
    <definedName name="BLPH24" hidden="1">#REF!</definedName>
    <definedName name="BLPH25" localSheetId="6" hidden="1">#REF!</definedName>
    <definedName name="BLPH25" localSheetId="3" hidden="1">#REF!</definedName>
    <definedName name="BLPH25" localSheetId="10" hidden="1">#REF!</definedName>
    <definedName name="BLPH25" localSheetId="16" hidden="1">#REF!</definedName>
    <definedName name="BLPH25" localSheetId="19" hidden="1">#REF!</definedName>
    <definedName name="BLPH25" localSheetId="18" hidden="1">#REF!</definedName>
    <definedName name="BLPH25" hidden="1">#REF!</definedName>
    <definedName name="BLPH26" localSheetId="6" hidden="1">#REF!</definedName>
    <definedName name="BLPH26" localSheetId="3" hidden="1">#REF!</definedName>
    <definedName name="BLPH26" localSheetId="10" hidden="1">#REF!</definedName>
    <definedName name="BLPH26" localSheetId="16" hidden="1">#REF!</definedName>
    <definedName name="BLPH26" localSheetId="19" hidden="1">#REF!</definedName>
    <definedName name="BLPH26" localSheetId="18" hidden="1">#REF!</definedName>
    <definedName name="BLPH26" hidden="1">#REF!</definedName>
    <definedName name="BLPH27" localSheetId="6" hidden="1">#REF!</definedName>
    <definedName name="BLPH27" localSheetId="3" hidden="1">#REF!</definedName>
    <definedName name="BLPH27" localSheetId="10" hidden="1">#REF!</definedName>
    <definedName name="BLPH27" localSheetId="16" hidden="1">#REF!</definedName>
    <definedName name="BLPH27" localSheetId="19" hidden="1">#REF!</definedName>
    <definedName name="BLPH27" localSheetId="18" hidden="1">#REF!</definedName>
    <definedName name="BLPH27" hidden="1">#REF!</definedName>
    <definedName name="BLPH28" localSheetId="6" hidden="1">#REF!</definedName>
    <definedName name="BLPH28" localSheetId="3" hidden="1">#REF!</definedName>
    <definedName name="BLPH28" localSheetId="10" hidden="1">#REF!</definedName>
    <definedName name="BLPH28" localSheetId="16" hidden="1">#REF!</definedName>
    <definedName name="BLPH28" localSheetId="19" hidden="1">#REF!</definedName>
    <definedName name="BLPH28" localSheetId="18" hidden="1">#REF!</definedName>
    <definedName name="BLPH28" hidden="1">#REF!</definedName>
    <definedName name="BLPH29" localSheetId="6" hidden="1">#REF!</definedName>
    <definedName name="BLPH29" localSheetId="3" hidden="1">#REF!</definedName>
    <definedName name="BLPH29" localSheetId="10" hidden="1">#REF!</definedName>
    <definedName name="BLPH29" localSheetId="16" hidden="1">#REF!</definedName>
    <definedName name="BLPH29" localSheetId="19" hidden="1">#REF!</definedName>
    <definedName name="BLPH29" localSheetId="18" hidden="1">#REF!</definedName>
    <definedName name="BLPH29" hidden="1">#REF!</definedName>
    <definedName name="BLPH3" localSheetId="6" hidden="1">#REF!</definedName>
    <definedName name="BLPH3" localSheetId="3" hidden="1">#REF!</definedName>
    <definedName name="BLPH3" localSheetId="10" hidden="1">#REF!</definedName>
    <definedName name="BLPH3" localSheetId="16" hidden="1">#REF!</definedName>
    <definedName name="BLPH3" localSheetId="19" hidden="1">#REF!</definedName>
    <definedName name="BLPH3" localSheetId="18" hidden="1">#REF!</definedName>
    <definedName name="BLPH3" hidden="1">#REF!</definedName>
    <definedName name="BLPH30" localSheetId="6" hidden="1">#REF!</definedName>
    <definedName name="BLPH30" localSheetId="3" hidden="1">#REF!</definedName>
    <definedName name="BLPH30" localSheetId="10" hidden="1">#REF!</definedName>
    <definedName name="BLPH30" localSheetId="16" hidden="1">#REF!</definedName>
    <definedName name="BLPH30" localSheetId="19" hidden="1">#REF!</definedName>
    <definedName name="BLPH30" localSheetId="18" hidden="1">#REF!</definedName>
    <definedName name="BLPH30" hidden="1">#REF!</definedName>
    <definedName name="BLPH31" localSheetId="6" hidden="1">#REF!</definedName>
    <definedName name="BLPH31" localSheetId="3" hidden="1">#REF!</definedName>
    <definedName name="BLPH31" localSheetId="10" hidden="1">#REF!</definedName>
    <definedName name="BLPH31" localSheetId="16" hidden="1">#REF!</definedName>
    <definedName name="BLPH31" localSheetId="19" hidden="1">#REF!</definedName>
    <definedName name="BLPH31" localSheetId="18" hidden="1">#REF!</definedName>
    <definedName name="BLPH31" hidden="1">#REF!</definedName>
    <definedName name="BLPH32" localSheetId="6" hidden="1">#REF!</definedName>
    <definedName name="BLPH32" localSheetId="3" hidden="1">#REF!</definedName>
    <definedName name="BLPH32" localSheetId="10" hidden="1">#REF!</definedName>
    <definedName name="BLPH32" localSheetId="16" hidden="1">#REF!</definedName>
    <definedName name="BLPH32" localSheetId="19" hidden="1">#REF!</definedName>
    <definedName name="BLPH32" localSheetId="18" hidden="1">#REF!</definedName>
    <definedName name="BLPH32" hidden="1">#REF!</definedName>
    <definedName name="BLPH33" localSheetId="6" hidden="1">#REF!</definedName>
    <definedName name="BLPH33" localSheetId="3" hidden="1">#REF!</definedName>
    <definedName name="BLPH33" localSheetId="10" hidden="1">#REF!</definedName>
    <definedName name="BLPH33" localSheetId="16" hidden="1">#REF!</definedName>
    <definedName name="BLPH33" localSheetId="19" hidden="1">#REF!</definedName>
    <definedName name="BLPH33" localSheetId="18" hidden="1">#REF!</definedName>
    <definedName name="BLPH33" hidden="1">#REF!</definedName>
    <definedName name="BLPH34" localSheetId="6" hidden="1">#REF!</definedName>
    <definedName name="BLPH34" localSheetId="3" hidden="1">#REF!</definedName>
    <definedName name="BLPH34" localSheetId="10" hidden="1">#REF!</definedName>
    <definedName name="BLPH34" localSheetId="16" hidden="1">#REF!</definedName>
    <definedName name="BLPH34" localSheetId="19" hidden="1">#REF!</definedName>
    <definedName name="BLPH34" localSheetId="18" hidden="1">#REF!</definedName>
    <definedName name="BLPH34" hidden="1">#REF!</definedName>
    <definedName name="BLPH35" localSheetId="6" hidden="1">#REF!</definedName>
    <definedName name="BLPH35" localSheetId="3" hidden="1">#REF!</definedName>
    <definedName name="BLPH35" localSheetId="10" hidden="1">#REF!</definedName>
    <definedName name="BLPH35" localSheetId="16" hidden="1">#REF!</definedName>
    <definedName name="BLPH35" localSheetId="19" hidden="1">#REF!</definedName>
    <definedName name="BLPH35" localSheetId="18" hidden="1">#REF!</definedName>
    <definedName name="BLPH35" hidden="1">#REF!</definedName>
    <definedName name="BLPH36" localSheetId="6" hidden="1">#REF!</definedName>
    <definedName name="BLPH36" localSheetId="3" hidden="1">#REF!</definedName>
    <definedName name="BLPH36" localSheetId="10" hidden="1">#REF!</definedName>
    <definedName name="BLPH36" localSheetId="16" hidden="1">#REF!</definedName>
    <definedName name="BLPH36" localSheetId="19" hidden="1">#REF!</definedName>
    <definedName name="BLPH36" localSheetId="18" hidden="1">#REF!</definedName>
    <definedName name="BLPH36" hidden="1">#REF!</definedName>
    <definedName name="BLPH37" localSheetId="6" hidden="1">#REF!</definedName>
    <definedName name="BLPH37" localSheetId="3" hidden="1">#REF!</definedName>
    <definedName name="BLPH37" localSheetId="10" hidden="1">#REF!</definedName>
    <definedName name="BLPH37" localSheetId="16" hidden="1">#REF!</definedName>
    <definedName name="BLPH37" localSheetId="19" hidden="1">#REF!</definedName>
    <definedName name="BLPH37" localSheetId="18" hidden="1">#REF!</definedName>
    <definedName name="BLPH37" hidden="1">#REF!</definedName>
    <definedName name="BLPH38" localSheetId="6" hidden="1">#REF!</definedName>
    <definedName name="BLPH38" localSheetId="3" hidden="1">#REF!</definedName>
    <definedName name="BLPH38" localSheetId="10" hidden="1">#REF!</definedName>
    <definedName name="BLPH38" localSheetId="16" hidden="1">#REF!</definedName>
    <definedName name="BLPH38" localSheetId="19" hidden="1">#REF!</definedName>
    <definedName name="BLPH38" localSheetId="18" hidden="1">#REF!</definedName>
    <definedName name="BLPH38" hidden="1">#REF!</definedName>
    <definedName name="BLPH39" localSheetId="6" hidden="1">#REF!</definedName>
    <definedName name="BLPH39" localSheetId="3" hidden="1">#REF!</definedName>
    <definedName name="BLPH39" localSheetId="10" hidden="1">#REF!</definedName>
    <definedName name="BLPH39" localSheetId="16" hidden="1">#REF!</definedName>
    <definedName name="BLPH39" localSheetId="19" hidden="1">#REF!</definedName>
    <definedName name="BLPH39" localSheetId="18" hidden="1">#REF!</definedName>
    <definedName name="BLPH39" hidden="1">#REF!</definedName>
    <definedName name="BLPH4" localSheetId="6" hidden="1">#REF!</definedName>
    <definedName name="BLPH4" localSheetId="3" hidden="1">#REF!</definedName>
    <definedName name="BLPH4" localSheetId="10" hidden="1">#REF!</definedName>
    <definedName name="BLPH4" localSheetId="16" hidden="1">#REF!</definedName>
    <definedName name="BLPH4" localSheetId="19" hidden="1">#REF!</definedName>
    <definedName name="BLPH4" localSheetId="18" hidden="1">#REF!</definedName>
    <definedName name="BLPH4" hidden="1">#REF!</definedName>
    <definedName name="BLPH40" localSheetId="6" hidden="1">#REF!</definedName>
    <definedName name="BLPH40" localSheetId="3" hidden="1">#REF!</definedName>
    <definedName name="BLPH40" localSheetId="10" hidden="1">#REF!</definedName>
    <definedName name="BLPH40" localSheetId="16" hidden="1">#REF!</definedName>
    <definedName name="BLPH40" localSheetId="19" hidden="1">#REF!</definedName>
    <definedName name="BLPH40" localSheetId="18" hidden="1">#REF!</definedName>
    <definedName name="BLPH40" hidden="1">#REF!</definedName>
    <definedName name="BLPH41" localSheetId="6" hidden="1">#REF!</definedName>
    <definedName name="BLPH41" localSheetId="3" hidden="1">#REF!</definedName>
    <definedName name="BLPH41" localSheetId="10" hidden="1">#REF!</definedName>
    <definedName name="BLPH41" localSheetId="16" hidden="1">#REF!</definedName>
    <definedName name="BLPH41" localSheetId="19" hidden="1">#REF!</definedName>
    <definedName name="BLPH41" localSheetId="18" hidden="1">#REF!</definedName>
    <definedName name="BLPH41" hidden="1">#REF!</definedName>
    <definedName name="BLPH42" localSheetId="6" hidden="1">#REF!</definedName>
    <definedName name="BLPH42" localSheetId="3" hidden="1">#REF!</definedName>
    <definedName name="BLPH42" localSheetId="10" hidden="1">#REF!</definedName>
    <definedName name="BLPH42" localSheetId="16" hidden="1">#REF!</definedName>
    <definedName name="BLPH42" localSheetId="19" hidden="1">#REF!</definedName>
    <definedName name="BLPH42" localSheetId="18" hidden="1">#REF!</definedName>
    <definedName name="BLPH42" hidden="1">#REF!</definedName>
    <definedName name="BLPH43" localSheetId="6" hidden="1">#REF!</definedName>
    <definedName name="BLPH43" localSheetId="3" hidden="1">#REF!</definedName>
    <definedName name="BLPH43" localSheetId="10" hidden="1">#REF!</definedName>
    <definedName name="BLPH43" localSheetId="16" hidden="1">#REF!</definedName>
    <definedName name="BLPH43" localSheetId="19" hidden="1">#REF!</definedName>
    <definedName name="BLPH43" localSheetId="18" hidden="1">#REF!</definedName>
    <definedName name="BLPH43" hidden="1">#REF!</definedName>
    <definedName name="BLPH44" localSheetId="6" hidden="1">#REF!</definedName>
    <definedName name="BLPH44" localSheetId="3" hidden="1">#REF!</definedName>
    <definedName name="BLPH44" localSheetId="10" hidden="1">#REF!</definedName>
    <definedName name="BLPH44" localSheetId="16" hidden="1">#REF!</definedName>
    <definedName name="BLPH44" localSheetId="19" hidden="1">#REF!</definedName>
    <definedName name="BLPH44" localSheetId="18" hidden="1">#REF!</definedName>
    <definedName name="BLPH44" hidden="1">#REF!</definedName>
    <definedName name="BLPH45" localSheetId="6" hidden="1">#REF!</definedName>
    <definedName name="BLPH45" localSheetId="3" hidden="1">#REF!</definedName>
    <definedName name="BLPH45" localSheetId="10" hidden="1">#REF!</definedName>
    <definedName name="BLPH45" localSheetId="16" hidden="1">#REF!</definedName>
    <definedName name="BLPH45" localSheetId="19" hidden="1">#REF!</definedName>
    <definedName name="BLPH45" localSheetId="18" hidden="1">#REF!</definedName>
    <definedName name="BLPH45" hidden="1">#REF!</definedName>
    <definedName name="BLPH46" localSheetId="6" hidden="1">#REF!</definedName>
    <definedName name="BLPH46" localSheetId="3" hidden="1">#REF!</definedName>
    <definedName name="BLPH46" localSheetId="10" hidden="1">#REF!</definedName>
    <definedName name="BLPH46" localSheetId="16" hidden="1">#REF!</definedName>
    <definedName name="BLPH46" localSheetId="19" hidden="1">#REF!</definedName>
    <definedName name="BLPH46" localSheetId="18" hidden="1">#REF!</definedName>
    <definedName name="BLPH46" hidden="1">#REF!</definedName>
    <definedName name="BLPH47" localSheetId="6" hidden="1">#REF!</definedName>
    <definedName name="BLPH47" localSheetId="3" hidden="1">#REF!</definedName>
    <definedName name="BLPH47" localSheetId="10" hidden="1">#REF!</definedName>
    <definedName name="BLPH47" localSheetId="16" hidden="1">#REF!</definedName>
    <definedName name="BLPH47" localSheetId="19" hidden="1">#REF!</definedName>
    <definedName name="BLPH47" localSheetId="18" hidden="1">#REF!</definedName>
    <definedName name="BLPH47" hidden="1">#REF!</definedName>
    <definedName name="BLPH472" localSheetId="6" hidden="1">'[26]BalanceSheet &amp; Rates'!#REF!</definedName>
    <definedName name="BLPH472" localSheetId="3" hidden="1">'[26]BalanceSheet &amp; Rates'!#REF!</definedName>
    <definedName name="BLPH472" localSheetId="5" hidden="1">'[26]BalanceSheet &amp; Rates'!#REF!</definedName>
    <definedName name="BLPH472" localSheetId="10" hidden="1">'[26]BalanceSheet &amp; Rates'!#REF!</definedName>
    <definedName name="BLPH472" localSheetId="16" hidden="1">'[26]BalanceSheet &amp; Rates'!#REF!</definedName>
    <definedName name="BLPH472" localSheetId="19" hidden="1">'[26]BalanceSheet &amp; Rates'!#REF!</definedName>
    <definedName name="BLPH472" localSheetId="18" hidden="1">'[26]BalanceSheet &amp; Rates'!#REF!</definedName>
    <definedName name="BLPH472" hidden="1">'[26]BalanceSheet &amp; Rates'!#REF!</definedName>
    <definedName name="BLPH473" localSheetId="6" hidden="1">'[26]BalanceSheet &amp; Rates'!#REF!</definedName>
    <definedName name="BLPH473" localSheetId="3" hidden="1">'[26]BalanceSheet &amp; Rates'!#REF!</definedName>
    <definedName name="BLPH473" localSheetId="10" hidden="1">'[26]BalanceSheet &amp; Rates'!#REF!</definedName>
    <definedName name="BLPH473" localSheetId="16" hidden="1">'[26]BalanceSheet &amp; Rates'!#REF!</definedName>
    <definedName name="BLPH473" localSheetId="19" hidden="1">'[26]BalanceSheet &amp; Rates'!#REF!</definedName>
    <definedName name="BLPH473" localSheetId="18" hidden="1">'[26]BalanceSheet &amp; Rates'!#REF!</definedName>
    <definedName name="BLPH473" hidden="1">'[26]BalanceSheet &amp; Rates'!#REF!</definedName>
    <definedName name="BLPH474" localSheetId="10" hidden="1">'[26]BalanceSheet &amp; Rates'!#REF!</definedName>
    <definedName name="BLPH474" localSheetId="16" hidden="1">'[26]BalanceSheet &amp; Rates'!#REF!</definedName>
    <definedName name="BLPH474" hidden="1">'[26]BalanceSheet &amp; Rates'!#REF!</definedName>
    <definedName name="BLPH475" localSheetId="10" hidden="1">'[26]Data (from 01-01-02)'!#REF!</definedName>
    <definedName name="BLPH475" localSheetId="16" hidden="1">'[26]Data (from 01-01-02)'!#REF!</definedName>
    <definedName name="BLPH475" hidden="1">'[26]Data (from 01-01-02)'!#REF!</definedName>
    <definedName name="BLPH48" localSheetId="6" hidden="1">#REF!</definedName>
    <definedName name="BLPH48" localSheetId="3" hidden="1">#REF!</definedName>
    <definedName name="BLPH48" localSheetId="10" hidden="1">#REF!</definedName>
    <definedName name="BLPH48" localSheetId="16" hidden="1">#REF!</definedName>
    <definedName name="BLPH48" localSheetId="19" hidden="1">#REF!</definedName>
    <definedName name="BLPH48" localSheetId="18" hidden="1">#REF!</definedName>
    <definedName name="BLPH48" hidden="1">#REF!</definedName>
    <definedName name="BLPH49" localSheetId="6" hidden="1">#REF!</definedName>
    <definedName name="BLPH49" localSheetId="3" hidden="1">#REF!</definedName>
    <definedName name="BLPH49" localSheetId="10" hidden="1">#REF!</definedName>
    <definedName name="BLPH49" localSheetId="16" hidden="1">#REF!</definedName>
    <definedName name="BLPH49" localSheetId="19" hidden="1">#REF!</definedName>
    <definedName name="BLPH49" localSheetId="18" hidden="1">#REF!</definedName>
    <definedName name="BLPH49" hidden="1">#REF!</definedName>
    <definedName name="BLPH5" localSheetId="6" hidden="1">#REF!</definedName>
    <definedName name="BLPH5" localSheetId="3" hidden="1">#REF!</definedName>
    <definedName name="BLPH5" localSheetId="10" hidden="1">#REF!</definedName>
    <definedName name="BLPH5" localSheetId="16" hidden="1">#REF!</definedName>
    <definedName name="BLPH5" localSheetId="19" hidden="1">#REF!</definedName>
    <definedName name="BLPH5" localSheetId="18" hidden="1">#REF!</definedName>
    <definedName name="BLPH5" hidden="1">#REF!</definedName>
    <definedName name="BLPH50" localSheetId="6" hidden="1">#REF!</definedName>
    <definedName name="BLPH50" localSheetId="3" hidden="1">#REF!</definedName>
    <definedName name="BLPH50" localSheetId="10" hidden="1">#REF!</definedName>
    <definedName name="BLPH50" localSheetId="16" hidden="1">#REF!</definedName>
    <definedName name="BLPH50" localSheetId="19" hidden="1">#REF!</definedName>
    <definedName name="BLPH50" localSheetId="18" hidden="1">#REF!</definedName>
    <definedName name="BLPH50" hidden="1">#REF!</definedName>
    <definedName name="BLPH51" localSheetId="6" hidden="1">#REF!</definedName>
    <definedName name="BLPH51" localSheetId="3" hidden="1">#REF!</definedName>
    <definedName name="BLPH51" localSheetId="10" hidden="1">#REF!</definedName>
    <definedName name="BLPH51" localSheetId="16" hidden="1">#REF!</definedName>
    <definedName name="BLPH51" localSheetId="19" hidden="1">#REF!</definedName>
    <definedName name="BLPH51" localSheetId="18" hidden="1">#REF!</definedName>
    <definedName name="BLPH51" hidden="1">#REF!</definedName>
    <definedName name="BLPH52" localSheetId="6" hidden="1">#REF!</definedName>
    <definedName name="BLPH52" localSheetId="3" hidden="1">#REF!</definedName>
    <definedName name="BLPH52" localSheetId="10" hidden="1">#REF!</definedName>
    <definedName name="BLPH52" localSheetId="16" hidden="1">#REF!</definedName>
    <definedName name="BLPH52" localSheetId="19" hidden="1">#REF!</definedName>
    <definedName name="BLPH52" localSheetId="18" hidden="1">#REF!</definedName>
    <definedName name="BLPH52" hidden="1">#REF!</definedName>
    <definedName name="BLPH53" localSheetId="6" hidden="1">#REF!</definedName>
    <definedName name="BLPH53" localSheetId="3" hidden="1">#REF!</definedName>
    <definedName name="BLPH53" localSheetId="10" hidden="1">#REF!</definedName>
    <definedName name="BLPH53" localSheetId="16" hidden="1">#REF!</definedName>
    <definedName name="BLPH53" localSheetId="19" hidden="1">#REF!</definedName>
    <definedName name="BLPH53" localSheetId="18" hidden="1">#REF!</definedName>
    <definedName name="BLPH53" hidden="1">#REF!</definedName>
    <definedName name="BLPH54" localSheetId="6" hidden="1">#REF!</definedName>
    <definedName name="BLPH54" localSheetId="3" hidden="1">#REF!</definedName>
    <definedName name="BLPH54" localSheetId="10" hidden="1">#REF!</definedName>
    <definedName name="BLPH54" localSheetId="16" hidden="1">#REF!</definedName>
    <definedName name="BLPH54" localSheetId="19" hidden="1">#REF!</definedName>
    <definedName name="BLPH54" localSheetId="18" hidden="1">#REF!</definedName>
    <definedName name="BLPH54" hidden="1">#REF!</definedName>
    <definedName name="BLPH55" localSheetId="6" hidden="1">#REF!</definedName>
    <definedName name="BLPH55" localSheetId="3" hidden="1">#REF!</definedName>
    <definedName name="BLPH55" localSheetId="10" hidden="1">#REF!</definedName>
    <definedName name="BLPH55" localSheetId="16" hidden="1">#REF!</definedName>
    <definedName name="BLPH55" localSheetId="19" hidden="1">#REF!</definedName>
    <definedName name="BLPH55" localSheetId="18" hidden="1">#REF!</definedName>
    <definedName name="BLPH55" hidden="1">#REF!</definedName>
    <definedName name="BLPH56" localSheetId="6" hidden="1">'[26]BalanceSheet &amp; Rates'!#REF!</definedName>
    <definedName name="BLPH56" localSheetId="3" hidden="1">'[26]BalanceSheet &amp; Rates'!#REF!</definedName>
    <definedName name="BLPH56" localSheetId="5" hidden="1">'[26]BalanceSheet &amp; Rates'!#REF!</definedName>
    <definedName name="BLPH56" localSheetId="10" hidden="1">'[26]BalanceSheet &amp; Rates'!#REF!</definedName>
    <definedName name="BLPH56" localSheetId="16" hidden="1">'[26]BalanceSheet &amp; Rates'!#REF!</definedName>
    <definedName name="BLPH56" localSheetId="19" hidden="1">'[26]BalanceSheet &amp; Rates'!#REF!</definedName>
    <definedName name="BLPH56" localSheetId="18" hidden="1">'[26]BalanceSheet &amp; Rates'!#REF!</definedName>
    <definedName name="BLPH56" hidden="1">'[26]BalanceSheet &amp; Rates'!#REF!</definedName>
    <definedName name="BLPH57" localSheetId="6" hidden="1">#REF!</definedName>
    <definedName name="BLPH57" localSheetId="3" hidden="1">#REF!</definedName>
    <definedName name="BLPH57" localSheetId="10" hidden="1">#REF!</definedName>
    <definedName name="BLPH57" localSheetId="16" hidden="1">#REF!</definedName>
    <definedName name="BLPH57" localSheetId="19" hidden="1">#REF!</definedName>
    <definedName name="BLPH57" localSheetId="18" hidden="1">#REF!</definedName>
    <definedName name="BLPH57" hidden="1">#REF!</definedName>
    <definedName name="BLPH58" localSheetId="6" hidden="1">#REF!</definedName>
    <definedName name="BLPH58" localSheetId="3" hidden="1">#REF!</definedName>
    <definedName name="BLPH58" localSheetId="10" hidden="1">#REF!</definedName>
    <definedName name="BLPH58" localSheetId="16" hidden="1">#REF!</definedName>
    <definedName name="BLPH58" localSheetId="19" hidden="1">#REF!</definedName>
    <definedName name="BLPH58" localSheetId="18" hidden="1">#REF!</definedName>
    <definedName name="BLPH58" hidden="1">#REF!</definedName>
    <definedName name="BLPH59" localSheetId="6" hidden="1">#REF!</definedName>
    <definedName name="BLPH59" localSheetId="3" hidden="1">#REF!</definedName>
    <definedName name="BLPH59" localSheetId="10" hidden="1">#REF!</definedName>
    <definedName name="BLPH59" localSheetId="16" hidden="1">#REF!</definedName>
    <definedName name="BLPH59" localSheetId="19" hidden="1">#REF!</definedName>
    <definedName name="BLPH59" localSheetId="18" hidden="1">#REF!</definedName>
    <definedName name="BLPH59" hidden="1">#REF!</definedName>
    <definedName name="BLPH6" localSheetId="6" hidden="1">#REF!</definedName>
    <definedName name="BLPH6" localSheetId="3" hidden="1">#REF!</definedName>
    <definedName name="BLPH6" localSheetId="10" hidden="1">#REF!</definedName>
    <definedName name="BLPH6" localSheetId="16" hidden="1">#REF!</definedName>
    <definedName name="BLPH6" localSheetId="19" hidden="1">#REF!</definedName>
    <definedName name="BLPH6" localSheetId="18" hidden="1">#REF!</definedName>
    <definedName name="BLPH6" hidden="1">#REF!</definedName>
    <definedName name="BLPH60" localSheetId="6" hidden="1">#REF!</definedName>
    <definedName name="BLPH60" localSheetId="3" hidden="1">#REF!</definedName>
    <definedName name="BLPH60" localSheetId="10" hidden="1">#REF!</definedName>
    <definedName name="BLPH60" localSheetId="16" hidden="1">#REF!</definedName>
    <definedName name="BLPH60" localSheetId="19" hidden="1">#REF!</definedName>
    <definedName name="BLPH60" localSheetId="18" hidden="1">#REF!</definedName>
    <definedName name="BLPH60" hidden="1">#REF!</definedName>
    <definedName name="BLPH61" localSheetId="6" hidden="1">#REF!</definedName>
    <definedName name="BLPH61" localSheetId="3" hidden="1">#REF!</definedName>
    <definedName name="BLPH61" localSheetId="10" hidden="1">#REF!</definedName>
    <definedName name="BLPH61" localSheetId="16" hidden="1">#REF!</definedName>
    <definedName name="BLPH61" localSheetId="19" hidden="1">#REF!</definedName>
    <definedName name="BLPH61" localSheetId="18" hidden="1">#REF!</definedName>
    <definedName name="BLPH61" hidden="1">#REF!</definedName>
    <definedName name="BLPH62" localSheetId="6" hidden="1">#REF!</definedName>
    <definedName name="BLPH62" localSheetId="3" hidden="1">#REF!</definedName>
    <definedName name="BLPH62" localSheetId="10" hidden="1">#REF!</definedName>
    <definedName name="BLPH62" localSheetId="16" hidden="1">#REF!</definedName>
    <definedName name="BLPH62" localSheetId="19" hidden="1">#REF!</definedName>
    <definedName name="BLPH62" localSheetId="18" hidden="1">#REF!</definedName>
    <definedName name="BLPH62" hidden="1">#REF!</definedName>
    <definedName name="BLPH63" localSheetId="6" hidden="1">#REF!</definedName>
    <definedName name="BLPH63" localSheetId="3" hidden="1">#REF!</definedName>
    <definedName name="BLPH63" localSheetId="10" hidden="1">#REF!</definedName>
    <definedName name="BLPH63" localSheetId="16" hidden="1">#REF!</definedName>
    <definedName name="BLPH63" localSheetId="19" hidden="1">#REF!</definedName>
    <definedName name="BLPH63" localSheetId="18" hidden="1">#REF!</definedName>
    <definedName name="BLPH63" hidden="1">#REF!</definedName>
    <definedName name="BLPH64" localSheetId="6" hidden="1">#REF!</definedName>
    <definedName name="BLPH64" localSheetId="3" hidden="1">#REF!</definedName>
    <definedName name="BLPH64" localSheetId="10" hidden="1">#REF!</definedName>
    <definedName name="BLPH64" localSheetId="16" hidden="1">#REF!</definedName>
    <definedName name="BLPH64" localSheetId="19" hidden="1">#REF!</definedName>
    <definedName name="BLPH64" localSheetId="18" hidden="1">#REF!</definedName>
    <definedName name="BLPH64" hidden="1">#REF!</definedName>
    <definedName name="BLPH65" localSheetId="6" hidden="1">#REF!</definedName>
    <definedName name="BLPH65" localSheetId="3" hidden="1">#REF!</definedName>
    <definedName name="BLPH65" localSheetId="10" hidden="1">#REF!</definedName>
    <definedName name="BLPH65" localSheetId="16" hidden="1">#REF!</definedName>
    <definedName name="BLPH65" localSheetId="19" hidden="1">#REF!</definedName>
    <definedName name="BLPH65" localSheetId="18" hidden="1">#REF!</definedName>
    <definedName name="BLPH65" hidden="1">#REF!</definedName>
    <definedName name="BLPH66" localSheetId="6" hidden="1">#REF!</definedName>
    <definedName name="BLPH66" localSheetId="3" hidden="1">#REF!</definedName>
    <definedName name="BLPH66" localSheetId="10" hidden="1">#REF!</definedName>
    <definedName name="BLPH66" localSheetId="16" hidden="1">#REF!</definedName>
    <definedName name="BLPH66" localSheetId="19" hidden="1">#REF!</definedName>
    <definedName name="BLPH66" localSheetId="18" hidden="1">#REF!</definedName>
    <definedName name="BLPH66" hidden="1">#REF!</definedName>
    <definedName name="BLPH67" localSheetId="6" hidden="1">#REF!</definedName>
    <definedName name="BLPH67" localSheetId="3" hidden="1">#REF!</definedName>
    <definedName name="BLPH67" localSheetId="10" hidden="1">#REF!</definedName>
    <definedName name="BLPH67" localSheetId="16" hidden="1">#REF!</definedName>
    <definedName name="BLPH67" localSheetId="19" hidden="1">#REF!</definedName>
    <definedName name="BLPH67" localSheetId="18" hidden="1">#REF!</definedName>
    <definedName name="BLPH67" hidden="1">#REF!</definedName>
    <definedName name="BLPH68" localSheetId="6" hidden="1">#REF!</definedName>
    <definedName name="BLPH68" localSheetId="3" hidden="1">#REF!</definedName>
    <definedName name="BLPH68" localSheetId="10" hidden="1">#REF!</definedName>
    <definedName name="BLPH68" localSheetId="16" hidden="1">#REF!</definedName>
    <definedName name="BLPH68" localSheetId="19" hidden="1">#REF!</definedName>
    <definedName name="BLPH68" localSheetId="18" hidden="1">#REF!</definedName>
    <definedName name="BLPH68" hidden="1">#REF!</definedName>
    <definedName name="BLPH69" localSheetId="6" hidden="1">#REF!</definedName>
    <definedName name="BLPH69" localSheetId="3" hidden="1">#REF!</definedName>
    <definedName name="BLPH69" localSheetId="10" hidden="1">#REF!</definedName>
    <definedName name="BLPH69" localSheetId="16" hidden="1">#REF!</definedName>
    <definedName name="BLPH69" localSheetId="19" hidden="1">#REF!</definedName>
    <definedName name="BLPH69" localSheetId="18" hidden="1">#REF!</definedName>
    <definedName name="BLPH69" hidden="1">#REF!</definedName>
    <definedName name="BLPH7" localSheetId="6" hidden="1">#REF!</definedName>
    <definedName name="BLPH7" localSheetId="3" hidden="1">#REF!</definedName>
    <definedName name="BLPH7" localSheetId="10" hidden="1">#REF!</definedName>
    <definedName name="BLPH7" localSheetId="16" hidden="1">#REF!</definedName>
    <definedName name="BLPH7" localSheetId="19" hidden="1">#REF!</definedName>
    <definedName name="BLPH7" localSheetId="18" hidden="1">#REF!</definedName>
    <definedName name="BLPH7" hidden="1">#REF!</definedName>
    <definedName name="BLPH70" localSheetId="6" hidden="1">#REF!</definedName>
    <definedName name="BLPH70" localSheetId="3" hidden="1">#REF!</definedName>
    <definedName name="BLPH70" localSheetId="10" hidden="1">#REF!</definedName>
    <definedName name="BLPH70" localSheetId="16" hidden="1">#REF!</definedName>
    <definedName name="BLPH70" localSheetId="19" hidden="1">#REF!</definedName>
    <definedName name="BLPH70" localSheetId="18" hidden="1">#REF!</definedName>
    <definedName name="BLPH70" hidden="1">#REF!</definedName>
    <definedName name="BLPH71" localSheetId="6" hidden="1">#REF!</definedName>
    <definedName name="BLPH71" localSheetId="3" hidden="1">#REF!</definedName>
    <definedName name="BLPH71" localSheetId="10" hidden="1">#REF!</definedName>
    <definedName name="BLPH71" localSheetId="16" hidden="1">#REF!</definedName>
    <definedName name="BLPH71" localSheetId="19" hidden="1">#REF!</definedName>
    <definedName name="BLPH71" localSheetId="18" hidden="1">#REF!</definedName>
    <definedName name="BLPH71" hidden="1">#REF!</definedName>
    <definedName name="BLPH72" localSheetId="6" hidden="1">#REF!</definedName>
    <definedName name="BLPH72" localSheetId="3" hidden="1">#REF!</definedName>
    <definedName name="BLPH72" localSheetId="10" hidden="1">#REF!</definedName>
    <definedName name="BLPH72" localSheetId="16" hidden="1">#REF!</definedName>
    <definedName name="BLPH72" localSheetId="19" hidden="1">#REF!</definedName>
    <definedName name="BLPH72" localSheetId="18" hidden="1">#REF!</definedName>
    <definedName name="BLPH72" hidden="1">#REF!</definedName>
    <definedName name="BLPH73" localSheetId="6" hidden="1">#REF!</definedName>
    <definedName name="BLPH73" localSheetId="3" hidden="1">#REF!</definedName>
    <definedName name="BLPH73" localSheetId="10" hidden="1">#REF!</definedName>
    <definedName name="BLPH73" localSheetId="16" hidden="1">#REF!</definedName>
    <definedName name="BLPH73" localSheetId="19" hidden="1">#REF!</definedName>
    <definedName name="BLPH73" localSheetId="18" hidden="1">#REF!</definedName>
    <definedName name="BLPH73" hidden="1">#REF!</definedName>
    <definedName name="BLPH74" localSheetId="6" hidden="1">#REF!</definedName>
    <definedName name="BLPH74" localSheetId="3" hidden="1">#REF!</definedName>
    <definedName name="BLPH74" localSheetId="10" hidden="1">#REF!</definedName>
    <definedName name="BLPH74" localSheetId="16" hidden="1">#REF!</definedName>
    <definedName name="BLPH74" localSheetId="19" hidden="1">#REF!</definedName>
    <definedName name="BLPH74" localSheetId="18" hidden="1">#REF!</definedName>
    <definedName name="BLPH74" hidden="1">#REF!</definedName>
    <definedName name="BLPH75" localSheetId="6" hidden="1">#REF!</definedName>
    <definedName name="BLPH75" localSheetId="3" hidden="1">#REF!</definedName>
    <definedName name="BLPH75" localSheetId="10" hidden="1">#REF!</definedName>
    <definedName name="BLPH75" localSheetId="16" hidden="1">#REF!</definedName>
    <definedName name="BLPH75" localSheetId="19" hidden="1">#REF!</definedName>
    <definedName name="BLPH75" localSheetId="18" hidden="1">#REF!</definedName>
    <definedName name="BLPH75" hidden="1">#REF!</definedName>
    <definedName name="BLPH76" localSheetId="6" hidden="1">#REF!</definedName>
    <definedName name="BLPH76" localSheetId="3" hidden="1">#REF!</definedName>
    <definedName name="BLPH76" localSheetId="10" hidden="1">#REF!</definedName>
    <definedName name="BLPH76" localSheetId="16" hidden="1">#REF!</definedName>
    <definedName name="BLPH76" localSheetId="19" hidden="1">#REF!</definedName>
    <definedName name="BLPH76" localSheetId="18" hidden="1">#REF!</definedName>
    <definedName name="BLPH76" hidden="1">#REF!</definedName>
    <definedName name="BLPH77" localSheetId="6" hidden="1">#REF!</definedName>
    <definedName name="BLPH77" localSheetId="3" hidden="1">#REF!</definedName>
    <definedName name="BLPH77" localSheetId="10" hidden="1">#REF!</definedName>
    <definedName name="BLPH77" localSheetId="16" hidden="1">#REF!</definedName>
    <definedName name="BLPH77" localSheetId="19" hidden="1">#REF!</definedName>
    <definedName name="BLPH77" localSheetId="18" hidden="1">#REF!</definedName>
    <definedName name="BLPH77" hidden="1">#REF!</definedName>
    <definedName name="BLPH78" localSheetId="6" hidden="1">#REF!</definedName>
    <definedName name="BLPH78" localSheetId="3" hidden="1">#REF!</definedName>
    <definedName name="BLPH78" localSheetId="10" hidden="1">#REF!</definedName>
    <definedName name="BLPH78" localSheetId="16" hidden="1">#REF!</definedName>
    <definedName name="BLPH78" localSheetId="19" hidden="1">#REF!</definedName>
    <definedName name="BLPH78" localSheetId="18" hidden="1">#REF!</definedName>
    <definedName name="BLPH78" hidden="1">#REF!</definedName>
    <definedName name="BLPH79" localSheetId="6" hidden="1">#REF!</definedName>
    <definedName name="BLPH79" localSheetId="3" hidden="1">#REF!</definedName>
    <definedName name="BLPH79" localSheetId="10" hidden="1">#REF!</definedName>
    <definedName name="BLPH79" localSheetId="16" hidden="1">#REF!</definedName>
    <definedName name="BLPH79" localSheetId="19" hidden="1">#REF!</definedName>
    <definedName name="BLPH79" localSheetId="18" hidden="1">#REF!</definedName>
    <definedName name="BLPH79" hidden="1">#REF!</definedName>
    <definedName name="BLPH8" localSheetId="6" hidden="1">#REF!</definedName>
    <definedName name="BLPH8" localSheetId="3" hidden="1">#REF!</definedName>
    <definedName name="BLPH8" localSheetId="10" hidden="1">#REF!</definedName>
    <definedName name="BLPH8" localSheetId="16" hidden="1">#REF!</definedName>
    <definedName name="BLPH8" localSheetId="19" hidden="1">#REF!</definedName>
    <definedName name="BLPH8" localSheetId="18" hidden="1">#REF!</definedName>
    <definedName name="BLPH8" hidden="1">#REF!</definedName>
    <definedName name="BLPH80" localSheetId="6" hidden="1">#REF!</definedName>
    <definedName name="BLPH80" localSheetId="3" hidden="1">#REF!</definedName>
    <definedName name="BLPH80" localSheetId="10" hidden="1">#REF!</definedName>
    <definedName name="BLPH80" localSheetId="16" hidden="1">#REF!</definedName>
    <definedName name="BLPH80" localSheetId="19" hidden="1">#REF!</definedName>
    <definedName name="BLPH80" localSheetId="18" hidden="1">#REF!</definedName>
    <definedName name="BLPH80" hidden="1">#REF!</definedName>
    <definedName name="BLPH81" localSheetId="6" hidden="1">#REF!</definedName>
    <definedName name="BLPH81" localSheetId="3" hidden="1">#REF!</definedName>
    <definedName name="BLPH81" localSheetId="10" hidden="1">#REF!</definedName>
    <definedName name="BLPH81" localSheetId="16" hidden="1">#REF!</definedName>
    <definedName name="BLPH81" localSheetId="19" hidden="1">#REF!</definedName>
    <definedName name="BLPH81" localSheetId="18" hidden="1">#REF!</definedName>
    <definedName name="BLPH81" hidden="1">#REF!</definedName>
    <definedName name="BLPH82" localSheetId="6" hidden="1">#REF!</definedName>
    <definedName name="BLPH82" localSheetId="3" hidden="1">#REF!</definedName>
    <definedName name="BLPH82" localSheetId="10" hidden="1">#REF!</definedName>
    <definedName name="BLPH82" localSheetId="16" hidden="1">#REF!</definedName>
    <definedName name="BLPH82" localSheetId="19" hidden="1">#REF!</definedName>
    <definedName name="BLPH82" localSheetId="18" hidden="1">#REF!</definedName>
    <definedName name="BLPH82" hidden="1">#REF!</definedName>
    <definedName name="BLPH83" localSheetId="6" hidden="1">#REF!</definedName>
    <definedName name="BLPH83" localSheetId="3" hidden="1">#REF!</definedName>
    <definedName name="BLPH83" localSheetId="10" hidden="1">#REF!</definedName>
    <definedName name="BLPH83" localSheetId="16" hidden="1">#REF!</definedName>
    <definedName name="BLPH83" localSheetId="19" hidden="1">#REF!</definedName>
    <definedName name="BLPH83" localSheetId="18" hidden="1">#REF!</definedName>
    <definedName name="BLPH83" hidden="1">#REF!</definedName>
    <definedName name="BLPH84" localSheetId="6" hidden="1">#REF!</definedName>
    <definedName name="BLPH84" localSheetId="3" hidden="1">#REF!</definedName>
    <definedName name="BLPH84" localSheetId="10" hidden="1">#REF!</definedName>
    <definedName name="BLPH84" localSheetId="16" hidden="1">#REF!</definedName>
    <definedName name="BLPH84" localSheetId="19" hidden="1">#REF!</definedName>
    <definedName name="BLPH84" localSheetId="18" hidden="1">#REF!</definedName>
    <definedName name="BLPH84" hidden="1">#REF!</definedName>
    <definedName name="BLPH85" localSheetId="6" hidden="1">#REF!</definedName>
    <definedName name="BLPH85" localSheetId="3" hidden="1">#REF!</definedName>
    <definedName name="BLPH85" localSheetId="10" hidden="1">#REF!</definedName>
    <definedName name="BLPH85" localSheetId="16" hidden="1">#REF!</definedName>
    <definedName name="BLPH85" localSheetId="19" hidden="1">#REF!</definedName>
    <definedName name="BLPH85" localSheetId="18" hidden="1">#REF!</definedName>
    <definedName name="BLPH85" hidden="1">#REF!</definedName>
    <definedName name="BLPH86" localSheetId="6" hidden="1">#REF!</definedName>
    <definedName name="BLPH86" localSheetId="3" hidden="1">#REF!</definedName>
    <definedName name="BLPH86" localSheetId="10" hidden="1">#REF!</definedName>
    <definedName name="BLPH86" localSheetId="16" hidden="1">#REF!</definedName>
    <definedName name="BLPH86" localSheetId="19" hidden="1">#REF!</definedName>
    <definedName name="BLPH86" localSheetId="18" hidden="1">#REF!</definedName>
    <definedName name="BLPH86" hidden="1">#REF!</definedName>
    <definedName name="BLPH87" localSheetId="6" hidden="1">#REF!</definedName>
    <definedName name="BLPH87" localSheetId="3" hidden="1">#REF!</definedName>
    <definedName name="BLPH87" localSheetId="10" hidden="1">#REF!</definedName>
    <definedName name="BLPH87" localSheetId="16" hidden="1">#REF!</definedName>
    <definedName name="BLPH87" localSheetId="19" hidden="1">#REF!</definedName>
    <definedName name="BLPH87" localSheetId="18" hidden="1">#REF!</definedName>
    <definedName name="BLPH87" hidden="1">#REF!</definedName>
    <definedName name="BLPH88" localSheetId="6" hidden="1">#REF!</definedName>
    <definedName name="BLPH88" localSheetId="3" hidden="1">#REF!</definedName>
    <definedName name="BLPH88" localSheetId="10" hidden="1">#REF!</definedName>
    <definedName name="BLPH88" localSheetId="16" hidden="1">#REF!</definedName>
    <definedName name="BLPH88" localSheetId="19" hidden="1">#REF!</definedName>
    <definedName name="BLPH88" localSheetId="18" hidden="1">#REF!</definedName>
    <definedName name="BLPH88" hidden="1">#REF!</definedName>
    <definedName name="BLPH89" localSheetId="6" hidden="1">#REF!</definedName>
    <definedName name="BLPH89" localSheetId="3" hidden="1">#REF!</definedName>
    <definedName name="BLPH89" localSheetId="10" hidden="1">#REF!</definedName>
    <definedName name="BLPH89" localSheetId="16" hidden="1">#REF!</definedName>
    <definedName name="BLPH89" localSheetId="19" hidden="1">#REF!</definedName>
    <definedName name="BLPH89" localSheetId="18" hidden="1">#REF!</definedName>
    <definedName name="BLPH89" hidden="1">#REF!</definedName>
    <definedName name="BLPH9" localSheetId="6" hidden="1">#REF!</definedName>
    <definedName name="BLPH9" localSheetId="3" hidden="1">#REF!</definedName>
    <definedName name="BLPH9" localSheetId="10" hidden="1">#REF!</definedName>
    <definedName name="BLPH9" localSheetId="16" hidden="1">#REF!</definedName>
    <definedName name="BLPH9" localSheetId="19" hidden="1">#REF!</definedName>
    <definedName name="BLPH9" localSheetId="18" hidden="1">#REF!</definedName>
    <definedName name="BLPH9" hidden="1">#REF!</definedName>
    <definedName name="BLPH90" localSheetId="6" hidden="1">#REF!</definedName>
    <definedName name="BLPH90" localSheetId="3" hidden="1">#REF!</definedName>
    <definedName name="BLPH90" localSheetId="10" hidden="1">#REF!</definedName>
    <definedName name="BLPH90" localSheetId="16" hidden="1">#REF!</definedName>
    <definedName name="BLPH90" localSheetId="19" hidden="1">#REF!</definedName>
    <definedName name="BLPH90" localSheetId="18" hidden="1">#REF!</definedName>
    <definedName name="BLPH90" hidden="1">#REF!</definedName>
    <definedName name="BLPH91" localSheetId="6" hidden="1">#REF!</definedName>
    <definedName name="BLPH91" localSheetId="3" hidden="1">#REF!</definedName>
    <definedName name="BLPH91" localSheetId="10" hidden="1">#REF!</definedName>
    <definedName name="BLPH91" localSheetId="16" hidden="1">#REF!</definedName>
    <definedName name="BLPH91" localSheetId="19" hidden="1">#REF!</definedName>
    <definedName name="BLPH91" localSheetId="18" hidden="1">#REF!</definedName>
    <definedName name="BLPH91" hidden="1">#REF!</definedName>
    <definedName name="BLPH92" localSheetId="6" hidden="1">#REF!</definedName>
    <definedName name="BLPH92" localSheetId="3" hidden="1">#REF!</definedName>
    <definedName name="BLPH92" localSheetId="10" hidden="1">#REF!</definedName>
    <definedName name="BLPH92" localSheetId="16" hidden="1">#REF!</definedName>
    <definedName name="BLPH92" localSheetId="19" hidden="1">#REF!</definedName>
    <definedName name="BLPH92" localSheetId="18" hidden="1">#REF!</definedName>
    <definedName name="BLPH92" hidden="1">#REF!</definedName>
    <definedName name="BLPH93" localSheetId="6" hidden="1">#REF!</definedName>
    <definedName name="BLPH93" localSheetId="3" hidden="1">#REF!</definedName>
    <definedName name="BLPH93" localSheetId="10" hidden="1">#REF!</definedName>
    <definedName name="BLPH93" localSheetId="16" hidden="1">#REF!</definedName>
    <definedName name="BLPH93" localSheetId="19" hidden="1">#REF!</definedName>
    <definedName name="BLPH93" localSheetId="18" hidden="1">#REF!</definedName>
    <definedName name="BLPH93" hidden="1">#REF!</definedName>
    <definedName name="BLPH94" localSheetId="6" hidden="1">#REF!</definedName>
    <definedName name="BLPH94" localSheetId="3" hidden="1">#REF!</definedName>
    <definedName name="BLPH94" localSheetId="10" hidden="1">#REF!</definedName>
    <definedName name="BLPH94" localSheetId="16" hidden="1">#REF!</definedName>
    <definedName name="BLPH94" localSheetId="19" hidden="1">#REF!</definedName>
    <definedName name="BLPH94" localSheetId="18" hidden="1">#REF!</definedName>
    <definedName name="BLPH94" hidden="1">#REF!</definedName>
    <definedName name="BLPH95" localSheetId="6" hidden="1">#REF!</definedName>
    <definedName name="BLPH95" localSheetId="3" hidden="1">#REF!</definedName>
    <definedName name="BLPH95" localSheetId="10" hidden="1">#REF!</definedName>
    <definedName name="BLPH95" localSheetId="16" hidden="1">#REF!</definedName>
    <definedName name="BLPH95" localSheetId="19" hidden="1">#REF!</definedName>
    <definedName name="BLPH95" localSheetId="18" hidden="1">#REF!</definedName>
    <definedName name="BLPH95" hidden="1">#REF!</definedName>
    <definedName name="BLPH96" localSheetId="6" hidden="1">#REF!</definedName>
    <definedName name="BLPH96" localSheetId="3" hidden="1">#REF!</definedName>
    <definedName name="BLPH96" localSheetId="10" hidden="1">#REF!</definedName>
    <definedName name="BLPH96" localSheetId="16" hidden="1">#REF!</definedName>
    <definedName name="BLPH96" localSheetId="19" hidden="1">#REF!</definedName>
    <definedName name="BLPH96" localSheetId="18" hidden="1">#REF!</definedName>
    <definedName name="BLPH96" hidden="1">#REF!</definedName>
    <definedName name="BLPH97" localSheetId="6" hidden="1">#REF!</definedName>
    <definedName name="BLPH97" localSheetId="3" hidden="1">#REF!</definedName>
    <definedName name="BLPH97" localSheetId="10" hidden="1">#REF!</definedName>
    <definedName name="BLPH97" localSheetId="16" hidden="1">#REF!</definedName>
    <definedName name="BLPH97" localSheetId="19" hidden="1">#REF!</definedName>
    <definedName name="BLPH97" localSheetId="18" hidden="1">#REF!</definedName>
    <definedName name="BLPH97" hidden="1">#REF!</definedName>
    <definedName name="BLPH98" localSheetId="6" hidden="1">#REF!</definedName>
    <definedName name="BLPH98" localSheetId="3" hidden="1">#REF!</definedName>
    <definedName name="BLPH98" localSheetId="10" hidden="1">#REF!</definedName>
    <definedName name="BLPH98" localSheetId="16" hidden="1">#REF!</definedName>
    <definedName name="BLPH98" localSheetId="19" hidden="1">#REF!</definedName>
    <definedName name="BLPH98" localSheetId="18" hidden="1">#REF!</definedName>
    <definedName name="BLPH98" hidden="1">#REF!</definedName>
    <definedName name="BLPH99" localSheetId="6" hidden="1">#REF!</definedName>
    <definedName name="BLPH99" localSheetId="3" hidden="1">#REF!</definedName>
    <definedName name="BLPH99" localSheetId="10" hidden="1">#REF!</definedName>
    <definedName name="BLPH99" localSheetId="16" hidden="1">#REF!</definedName>
    <definedName name="BLPH99" localSheetId="19" hidden="1">#REF!</definedName>
    <definedName name="BLPH99" localSheetId="18" hidden="1">#REF!</definedName>
    <definedName name="BLPH99" hidden="1">#REF!</definedName>
    <definedName name="BS추정" localSheetId="5" hidden="1">{"'보고양식'!$A$58:$K$111"}</definedName>
    <definedName name="BS추정" localSheetId="16" hidden="1">{"'보고양식'!$A$58:$K$111"}</definedName>
    <definedName name="BS추정" localSheetId="19" hidden="1">{"'보고양식'!$A$58:$K$111"}</definedName>
    <definedName name="BS추정" localSheetId="18" hidden="1">{"'보고양식'!$A$58:$K$111"}</definedName>
    <definedName name="BS추정" hidden="1">{"'보고양식'!$A$58:$K$111"}</definedName>
    <definedName name="Case">DCF!$G$3</definedName>
    <definedName name="cd"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IQWBGuid" localSheetId="19" hidden="1">"9a9a58b2-c100-40f0-ae1d-51c2d5122844"</definedName>
    <definedName name="CIQWBGuid" localSheetId="18" hidden="1">"9a9a58b2-c100-40f0-ae1d-51c2d5122844"</definedName>
    <definedName name="CIQWBGuid" hidden="1">"REN Transaction Expenses.xlsx"</definedName>
    <definedName name="CIQWBInfo" hidden="1">"{ ""CIQVersion"":""9.49.2423.4439"" }"</definedName>
    <definedName name="Circ" localSheetId="5">Debt!$AD$2</definedName>
    <definedName name="cox" localSheetId="6" hidden="1">{#N/A,#N/A,FALSE,"Time Warner";#N/A,#N/A,FALSE,"Entertainment Group";#N/A,#N/A,FALSE,"EBITDA";#N/A,#N/A,FALSE,"Notes"}</definedName>
    <definedName name="cox" localSheetId="3" hidden="1">{#N/A,#N/A,FALSE,"Time Warner";#N/A,#N/A,FALSE,"Entertainment Group";#N/A,#N/A,FALSE,"EBITDA";#N/A,#N/A,FALSE,"Notes"}</definedName>
    <definedName name="cox" localSheetId="5" hidden="1">{#N/A,#N/A,FALSE,"Time Warner";#N/A,#N/A,FALSE,"Entertainment Group";#N/A,#N/A,FALSE,"EBITDA";#N/A,#N/A,FALSE,"Notes"}</definedName>
    <definedName name="cox" localSheetId="10" hidden="1">{#N/A,#N/A,FALSE,"Time Warner";#N/A,#N/A,FALSE,"Entertainment Group";#N/A,#N/A,FALSE,"EBITDA";#N/A,#N/A,FALSE,"Notes"}</definedName>
    <definedName name="cox" localSheetId="16" hidden="1">{#N/A,#N/A,FALSE,"Time Warner";#N/A,#N/A,FALSE,"Entertainment Group";#N/A,#N/A,FALSE,"EBITDA";#N/A,#N/A,FALSE,"Notes"}</definedName>
    <definedName name="cox" localSheetId="19" hidden="1">{#N/A,#N/A,FALSE,"Time Warner";#N/A,#N/A,FALSE,"Entertainment Group";#N/A,#N/A,FALSE,"EBITDA";#N/A,#N/A,FALSE,"Notes"}</definedName>
    <definedName name="cox" localSheetId="18" hidden="1">{#N/A,#N/A,FALSE,"Time Warner";#N/A,#N/A,FALSE,"Entertainment Group";#N/A,#N/A,FALSE,"EBITDA";#N/A,#N/A,FALSE,"Notes"}</definedName>
    <definedName name="cox" hidden="1">{#N/A,#N/A,FALSE,"Time Warner";#N/A,#N/A,FALSE,"Entertainment Group";#N/A,#N/A,FALSE,"EBITDA";#N/A,#N/A,FALSE,"Notes"}</definedName>
    <definedName name="cu102.ShareScalingFactor" hidden="1">1000000</definedName>
    <definedName name="cu103.EmployeeScalingFactor" hidden="1">1000</definedName>
    <definedName name="cu107.EPSSymbol" hidden="1">"CHF"</definedName>
    <definedName name="cu119.CopyLastPeriodRows" localSheetId="5" hidden="1">{"AVSHAR","BSHAR"}</definedName>
    <definedName name="cu119.CopyLastPeriodRows" localSheetId="16" hidden="1">{"AVSHAR","BSHAR"}</definedName>
    <definedName name="cu119.CopyLastPeriodRows" localSheetId="19" hidden="1">{"AVSHAR","BSHAR"}</definedName>
    <definedName name="cu119.CopyLastPeriodRows" localSheetId="18" hidden="1">{"AVSHAR","BSHAR"}</definedName>
    <definedName name="cu119.CopyLastPeriodRows" hidden="1">{"AVSHAR","BSHAR"}</definedName>
    <definedName name="cu71.ScalingFactor" hidden="1">1000000</definedName>
    <definedName name="d" localSheetId="5" hidden="1">{"comps",#N/A,FALSE,"TXTCOMPS";"segment_EPS",#N/A,FALSE,"TXTCOMPS";"valuation",#N/A,FALSE,"TXTCOMPS"}</definedName>
    <definedName name="d" localSheetId="16" hidden="1">{"comps",#N/A,FALSE,"TXTCOMPS";"segment_EPS",#N/A,FALSE,"TXTCOMPS";"valuation",#N/A,FALSE,"TXTCOMPS"}</definedName>
    <definedName name="d" localSheetId="19" hidden="1">{"comps",#N/A,FALSE,"TXTCOMPS";"segment_EPS",#N/A,FALSE,"TXTCOMPS";"valuation",#N/A,FALSE,"TXTCOMPS"}</definedName>
    <definedName name="d" localSheetId="18" hidden="1">{"comps",#N/A,FALSE,"TXTCOMPS";"segment_EPS",#N/A,FALSE,"TXTCOMPS";"valuation",#N/A,FALSE,"TXTCOMPS"}</definedName>
    <definedName name="d" hidden="1">{"comps",#N/A,FALSE,"TXTCOMPS";"segment_EPS",#N/A,FALSE,"TXTCOMPS";"valuation",#N/A,FALSE,"TXTCOMPS"}</definedName>
    <definedName name="djsj" localSheetId="5" hidden="1">{"comps",#N/A,FALSE,"TXTCOMPS";"segment_EPS",#N/A,FALSE,"TXTCOMPS";"valuation",#N/A,FALSE,"TXTCOMPS"}</definedName>
    <definedName name="djsj" localSheetId="16" hidden="1">{"comps",#N/A,FALSE,"TXTCOMPS";"segment_EPS",#N/A,FALSE,"TXTCOMPS";"valuation",#N/A,FALSE,"TXTCOMPS"}</definedName>
    <definedName name="djsj" localSheetId="19" hidden="1">{"comps",#N/A,FALSE,"TXTCOMPS";"segment_EPS",#N/A,FALSE,"TXTCOMPS";"valuation",#N/A,FALSE,"TXTCOMPS"}</definedName>
    <definedName name="djsj" localSheetId="18" hidden="1">{"comps",#N/A,FALSE,"TXTCOMPS";"segment_EPS",#N/A,FALSE,"TXTCOMPS";"valuation",#N/A,FALSE,"TXTCOMPS"}</definedName>
    <definedName name="djsj" hidden="1">{"comps",#N/A,FALSE,"TXTCOMPS";"segment_EPS",#N/A,FALSE,"TXTCOMPS";"valuation",#N/A,FALSE,"TXTCOMPS"}</definedName>
    <definedName name="e" localSheetId="6" hidden="1">{"Qearn1",#N/A,FALSE,"Qearn";"Qearn2",#N/A,FALSE,"Qearn";"Qmargin",#N/A,FALSE,"Qmargin";"Cashflow",#N/A,FALSE,"Cashflow"}</definedName>
    <definedName name="e" localSheetId="3" hidden="1">{"Qearn1",#N/A,FALSE,"Qearn";"Qearn2",#N/A,FALSE,"Qearn";"Qmargin",#N/A,FALSE,"Qmargin";"Cashflow",#N/A,FALSE,"Cashflow"}</definedName>
    <definedName name="e" localSheetId="5" hidden="1">{"Qearn1",#N/A,FALSE,"Qearn";"Qearn2",#N/A,FALSE,"Qearn";"Qmargin",#N/A,FALSE,"Qmargin";"Cashflow",#N/A,FALSE,"Cashflow"}</definedName>
    <definedName name="e" localSheetId="10" hidden="1">{"Qearn1",#N/A,FALSE,"Qearn";"Qearn2",#N/A,FALSE,"Qearn";"Qmargin",#N/A,FALSE,"Qmargin";"Cashflow",#N/A,FALSE,"Cashflow"}</definedName>
    <definedName name="e" localSheetId="16" hidden="1">{"Qearn1",#N/A,FALSE,"Qearn";"Qearn2",#N/A,FALSE,"Qearn";"Qmargin",#N/A,FALSE,"Qmargin";"Cashflow",#N/A,FALSE,"Cashflow"}</definedName>
    <definedName name="e" localSheetId="19" hidden="1">{"Qearn1",#N/A,FALSE,"Qearn";"Qearn2",#N/A,FALSE,"Qearn";"Qmargin",#N/A,FALSE,"Qmargin";"Cashflow",#N/A,FALSE,"Cashflow"}</definedName>
    <definedName name="e" localSheetId="18" hidden="1">{"Qearn1",#N/A,FALSE,"Qearn";"Qearn2",#N/A,FALSE,"Qearn";"Qmargin",#N/A,FALSE,"Qmargin";"Cashflow",#N/A,FALSE,"Cashflow"}</definedName>
    <definedName name="e" hidden="1">{"Qearn1",#N/A,FALSE,"Qearn";"Qearn2",#N/A,FALSE,"Qearn";"Qmargin",#N/A,FALSE,"Qmargin";"Cashflow",#N/A,FALSE,"Cashflow"}</definedName>
    <definedName name="EARN" localSheetId="6" hidden="1">#REF!</definedName>
    <definedName name="EARN" localSheetId="3" hidden="1">#REF!</definedName>
    <definedName name="EARN" localSheetId="10" hidden="1">#REF!</definedName>
    <definedName name="EARN" localSheetId="16" hidden="1">#REF!</definedName>
    <definedName name="EARN" localSheetId="19" hidden="1">#REF!</definedName>
    <definedName name="EARN" localSheetId="18" hidden="1">#REF!</definedName>
    <definedName name="EARN" hidden="1">#REF!</definedName>
    <definedName name="EarningsModel"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d" localSheetId="5" hidden="1">{"'보고양식'!$A$58:$K$111"}</definedName>
    <definedName name="ed" localSheetId="16" hidden="1">{"'보고양식'!$A$58:$K$111"}</definedName>
    <definedName name="ed" localSheetId="19" hidden="1">{"'보고양식'!$A$58:$K$111"}</definedName>
    <definedName name="ed" localSheetId="18" hidden="1">{"'보고양식'!$A$58:$K$111"}</definedName>
    <definedName name="ed" hidden="1">{"'보고양식'!$A$58:$K$111"}</definedName>
    <definedName name="eg" localSheetId="5" hidden="1">{"comps",#N/A,FALSE,"TXTCOMPS";"segment_EPS",#N/A,FALSE,"TXTCOMPS";"valuation",#N/A,FALSE,"TXTCOMPS"}</definedName>
    <definedName name="eg" localSheetId="16" hidden="1">{"comps",#N/A,FALSE,"TXTCOMPS";"segment_EPS",#N/A,FALSE,"TXTCOMPS";"valuation",#N/A,FALSE,"TXTCOMPS"}</definedName>
    <definedName name="eg" localSheetId="19" hidden="1">{"comps",#N/A,FALSE,"TXTCOMPS";"segment_EPS",#N/A,FALSE,"TXTCOMPS";"valuation",#N/A,FALSE,"TXTCOMPS"}</definedName>
    <definedName name="eg" localSheetId="18" hidden="1">{"comps",#N/A,FALSE,"TXTCOMPS";"segment_EPS",#N/A,FALSE,"TXTCOMPS";"valuation",#N/A,FALSE,"TXTCOMPS"}</definedName>
    <definedName name="eg" hidden="1">{"comps",#N/A,FALSE,"TXTCOMPS";"segment_EPS",#N/A,FALSE,"TXTCOMPS";"valuation",#N/A,FALSE,"TXTCOMPS"}</definedName>
    <definedName name="evtab" localSheetId="6" hidden="1">{#N/A,#N/A,FALSE,"COVER";#N/A,#N/A,FALSE,"PF ASSUMPT";#N/A,#N/A,FALSE,"PF EPS";#N/A,#N/A,FALSE,"CASHFLOWS";#N/A,#N/A,FALSE,"BALANCESHEET"}</definedName>
    <definedName name="evtab" localSheetId="3" hidden="1">{#N/A,#N/A,FALSE,"COVER";#N/A,#N/A,FALSE,"PF ASSUMPT";#N/A,#N/A,FALSE,"PF EPS";#N/A,#N/A,FALSE,"CASHFLOWS";#N/A,#N/A,FALSE,"BALANCESHEET"}</definedName>
    <definedName name="evtab" localSheetId="5" hidden="1">{#N/A,#N/A,FALSE,"COVER";#N/A,#N/A,FALSE,"PF ASSUMPT";#N/A,#N/A,FALSE,"PF EPS";#N/A,#N/A,FALSE,"CASHFLOWS";#N/A,#N/A,FALSE,"BALANCESHEET"}</definedName>
    <definedName name="evtab" localSheetId="10" hidden="1">{#N/A,#N/A,FALSE,"COVER";#N/A,#N/A,FALSE,"PF ASSUMPT";#N/A,#N/A,FALSE,"PF EPS";#N/A,#N/A,FALSE,"CASHFLOWS";#N/A,#N/A,FALSE,"BALANCESHEET"}</definedName>
    <definedName name="evtab" localSheetId="16" hidden="1">{#N/A,#N/A,FALSE,"COVER";#N/A,#N/A,FALSE,"PF ASSUMPT";#N/A,#N/A,FALSE,"PF EPS";#N/A,#N/A,FALSE,"CASHFLOWS";#N/A,#N/A,FALSE,"BALANCESHEET"}</definedName>
    <definedName name="evtab" localSheetId="19" hidden="1">{#N/A,#N/A,FALSE,"COVER";#N/A,#N/A,FALSE,"PF ASSUMPT";#N/A,#N/A,FALSE,"PF EPS";#N/A,#N/A,FALSE,"CASHFLOWS";#N/A,#N/A,FALSE,"BALANCESHEET"}</definedName>
    <definedName name="evtab" localSheetId="18" hidden="1">{#N/A,#N/A,FALSE,"COVER";#N/A,#N/A,FALSE,"PF ASSUMPT";#N/A,#N/A,FALSE,"PF EPS";#N/A,#N/A,FALSE,"CASHFLOWS";#N/A,#N/A,FALSE,"BALANCESHEET"}</definedName>
    <definedName name="evtab" hidden="1">{#N/A,#N/A,FALSE,"COVER";#N/A,#N/A,FALSE,"PF ASSUMPT";#N/A,#N/A,FALSE,"PF EPS";#N/A,#N/A,FALSE,"CASHFLOWS";#N/A,#N/A,FALSE,"BALANCESHEET"}</definedName>
    <definedName name="f" localSheetId="5" hidden="1">{"cover a","1q",FALSE,"Cover";"Op Earn Mgd Q1",#N/A,FALSE,"Op-Earn (Mng)";"Op Earn Rpt Q1",#N/A,FALSE,"Op-Earn (Rpt)";"Loans",#N/A,FALSE,"Loans";"Credit Costs",#N/A,FALSE,"CCosts";"Net Interest Margin",#N/A,FALSE,"Margin";"Nonint Income",#N/A,FALSE,"NonII";"Nonint Exp",#N/A,FALSE,"NonIE";"Valuation",#N/A,FALSE,"Valuation"}</definedName>
    <definedName name="f" localSheetId="16" hidden="1">{"cover a","1q",FALSE,"Cover";"Op Earn Mgd Q1",#N/A,FALSE,"Op-Earn (Mng)";"Op Earn Rpt Q1",#N/A,FALSE,"Op-Earn (Rpt)";"Loans",#N/A,FALSE,"Loans";"Credit Costs",#N/A,FALSE,"CCosts";"Net Interest Margin",#N/A,FALSE,"Margin";"Nonint Income",#N/A,FALSE,"NonII";"Nonint Exp",#N/A,FALSE,"NonIE";"Valuation",#N/A,FALSE,"Valuation"}</definedName>
    <definedName name="f" localSheetId="19" hidden="1">{"cover a","1q",FALSE,"Cover";"Op Earn Mgd Q1",#N/A,FALSE,"Op-Earn (Mng)";"Op Earn Rpt Q1",#N/A,FALSE,"Op-Earn (Rpt)";"Loans",#N/A,FALSE,"Loans";"Credit Costs",#N/A,FALSE,"CCosts";"Net Interest Margin",#N/A,FALSE,"Margin";"Nonint Income",#N/A,FALSE,"NonII";"Nonint Exp",#N/A,FALSE,"NonIE";"Valuation",#N/A,FALSE,"Valuation"}</definedName>
    <definedName name="f" localSheetId="18" hidden="1">{"cover a","1q",FALSE,"Cover";"Op Earn Mgd Q1",#N/A,FALSE,"Op-Earn (Mng)";"Op Earn Rpt Q1",#N/A,FALSE,"Op-Earn (Rpt)";"Loans",#N/A,FALSE,"Loans";"Credit Costs",#N/A,FALSE,"CCosts";"Net Interest Margin",#N/A,FALSE,"Margin";"Nonint Income",#N/A,FALSE,"NonII";"Nonint Exp",#N/A,FALSE,"NonIE";"Valuation",#N/A,FALSE,"Valuation"}</definedName>
    <definedName name="ｆ" hidden="1">"iQShowAnnual"</definedName>
    <definedName name="fasdfsdasd" localSheetId="5" hidden="1">{"comps",#N/A,FALSE,"TXTCOMPS";"segment_EPS",#N/A,FALSE,"TXTCOMPS";"valuation",#N/A,FALSE,"TXTCOMPS"}</definedName>
    <definedName name="fasdfsdasd" localSheetId="16" hidden="1">{"comps",#N/A,FALSE,"TXTCOMPS";"segment_EPS",#N/A,FALSE,"TXTCOMPS";"valuation",#N/A,FALSE,"TXTCOMPS"}</definedName>
    <definedName name="fasdfsdasd" localSheetId="19" hidden="1">{"comps",#N/A,FALSE,"TXTCOMPS";"segment_EPS",#N/A,FALSE,"TXTCOMPS";"valuation",#N/A,FALSE,"TXTCOMPS"}</definedName>
    <definedName name="fasdfsdasd" localSheetId="18" hidden="1">{"comps",#N/A,FALSE,"TXTCOMPS";"segment_EPS",#N/A,FALSE,"TXTCOMPS";"valuation",#N/A,FALSE,"TXTCOMPS"}</definedName>
    <definedName name="fasdfsdasd" hidden="1">{"comps",#N/A,FALSE,"TXTCOMPS";"segment_EPS",#N/A,FALSE,"TXTCOMPS";"valuation",#N/A,FALSE,"TXTCOMPS"}</definedName>
    <definedName name="FDP_0_1_aUrv" localSheetId="6" hidden="1">#REF!</definedName>
    <definedName name="FDP_0_1_aUrv" localSheetId="3" hidden="1">#REF!</definedName>
    <definedName name="FDP_0_1_aUrv" localSheetId="10" hidden="1">#REF!</definedName>
    <definedName name="FDP_0_1_aUrv" localSheetId="16" hidden="1">#REF!</definedName>
    <definedName name="FDP_0_1_aUrv" localSheetId="19" hidden="1">#REF!</definedName>
    <definedName name="FDP_0_1_aUrv" localSheetId="18" hidden="1">#REF!</definedName>
    <definedName name="FDP_0_1_aUrv" hidden="1">#REF!</definedName>
    <definedName name="FDP_1_1_aUrv" localSheetId="6" hidden="1">#REF!</definedName>
    <definedName name="FDP_1_1_aUrv" localSheetId="3" hidden="1">#REF!</definedName>
    <definedName name="FDP_1_1_aUrv" localSheetId="10" hidden="1">#REF!</definedName>
    <definedName name="FDP_1_1_aUrv" localSheetId="16" hidden="1">#REF!</definedName>
    <definedName name="FDP_1_1_aUrv" localSheetId="19" hidden="1">#REF!</definedName>
    <definedName name="FDP_1_1_aUrv" localSheetId="18" hidden="1">#REF!</definedName>
    <definedName name="FDP_1_1_aUrv" hidden="1">#REF!</definedName>
    <definedName name="FDP_10_1_aUrv" localSheetId="6" hidden="1">#REF!</definedName>
    <definedName name="FDP_10_1_aUrv" localSheetId="3" hidden="1">#REF!</definedName>
    <definedName name="FDP_10_1_aUrv" localSheetId="10" hidden="1">#REF!</definedName>
    <definedName name="FDP_10_1_aUrv" localSheetId="16" hidden="1">#REF!</definedName>
    <definedName name="FDP_10_1_aUrv" localSheetId="19" hidden="1">#REF!</definedName>
    <definedName name="FDP_10_1_aUrv" localSheetId="18" hidden="1">#REF!</definedName>
    <definedName name="FDP_10_1_aUrv" hidden="1">#REF!</definedName>
    <definedName name="FDP_100_1_aUrv" localSheetId="6" hidden="1">#REF!</definedName>
    <definedName name="FDP_100_1_aUrv" localSheetId="3" hidden="1">#REF!</definedName>
    <definedName name="FDP_100_1_aUrv" localSheetId="10" hidden="1">#REF!</definedName>
    <definedName name="FDP_100_1_aUrv" localSheetId="16" hidden="1">#REF!</definedName>
    <definedName name="FDP_100_1_aUrv" localSheetId="19" hidden="1">#REF!</definedName>
    <definedName name="FDP_100_1_aUrv" localSheetId="18" hidden="1">#REF!</definedName>
    <definedName name="FDP_100_1_aUrv" hidden="1">#REF!</definedName>
    <definedName name="FDP_101_1_aUrv" localSheetId="6" hidden="1">#REF!</definedName>
    <definedName name="FDP_101_1_aUrv" localSheetId="3" hidden="1">#REF!</definedName>
    <definedName name="FDP_101_1_aUrv" localSheetId="10" hidden="1">#REF!</definedName>
    <definedName name="FDP_101_1_aUrv" localSheetId="16" hidden="1">#REF!</definedName>
    <definedName name="FDP_101_1_aUrv" localSheetId="19" hidden="1">#REF!</definedName>
    <definedName name="FDP_101_1_aUrv" localSheetId="18" hidden="1">#REF!</definedName>
    <definedName name="FDP_101_1_aUrv" hidden="1">#REF!</definedName>
    <definedName name="FDP_102_1_aUrv" localSheetId="6" hidden="1">#REF!</definedName>
    <definedName name="FDP_102_1_aUrv" localSheetId="3" hidden="1">#REF!</definedName>
    <definedName name="FDP_102_1_aUrv" localSheetId="10" hidden="1">#REF!</definedName>
    <definedName name="FDP_102_1_aUrv" localSheetId="16" hidden="1">#REF!</definedName>
    <definedName name="FDP_102_1_aUrv" localSheetId="19" hidden="1">#REF!</definedName>
    <definedName name="FDP_102_1_aUrv" localSheetId="18" hidden="1">#REF!</definedName>
    <definedName name="FDP_102_1_aUrv" hidden="1">#REF!</definedName>
    <definedName name="FDP_103_1_aUrv" localSheetId="6" hidden="1">#REF!</definedName>
    <definedName name="FDP_103_1_aUrv" localSheetId="3" hidden="1">#REF!</definedName>
    <definedName name="FDP_103_1_aUrv" localSheetId="10" hidden="1">#REF!</definedName>
    <definedName name="FDP_103_1_aUrv" localSheetId="16" hidden="1">#REF!</definedName>
    <definedName name="FDP_103_1_aUrv" localSheetId="19" hidden="1">#REF!</definedName>
    <definedName name="FDP_103_1_aUrv" localSheetId="18" hidden="1">#REF!</definedName>
    <definedName name="FDP_103_1_aUrv" hidden="1">#REF!</definedName>
    <definedName name="FDP_104_1_aUrv" localSheetId="6" hidden="1">#REF!</definedName>
    <definedName name="FDP_104_1_aUrv" localSheetId="3" hidden="1">#REF!</definedName>
    <definedName name="FDP_104_1_aUrv" localSheetId="10" hidden="1">#REF!</definedName>
    <definedName name="FDP_104_1_aUrv" localSheetId="16" hidden="1">#REF!</definedName>
    <definedName name="FDP_104_1_aUrv" localSheetId="19" hidden="1">#REF!</definedName>
    <definedName name="FDP_104_1_aUrv" localSheetId="18" hidden="1">#REF!</definedName>
    <definedName name="FDP_104_1_aUrv" hidden="1">#REF!</definedName>
    <definedName name="FDP_105_1_aUrv" localSheetId="6" hidden="1">#REF!</definedName>
    <definedName name="FDP_105_1_aUrv" localSheetId="3" hidden="1">#REF!</definedName>
    <definedName name="FDP_105_1_aUrv" localSheetId="10" hidden="1">#REF!</definedName>
    <definedName name="FDP_105_1_aUrv" localSheetId="16" hidden="1">#REF!</definedName>
    <definedName name="FDP_105_1_aUrv" localSheetId="19" hidden="1">#REF!</definedName>
    <definedName name="FDP_105_1_aUrv" localSheetId="18" hidden="1">#REF!</definedName>
    <definedName name="FDP_105_1_aUrv" hidden="1">#REF!</definedName>
    <definedName name="FDP_106_1_aUrv" localSheetId="6" hidden="1">#REF!</definedName>
    <definedName name="FDP_106_1_aUrv" localSheetId="3" hidden="1">#REF!</definedName>
    <definedName name="FDP_106_1_aUrv" localSheetId="10" hidden="1">#REF!</definedName>
    <definedName name="FDP_106_1_aUrv" localSheetId="16" hidden="1">#REF!</definedName>
    <definedName name="FDP_106_1_aUrv" localSheetId="19" hidden="1">#REF!</definedName>
    <definedName name="FDP_106_1_aUrv" localSheetId="18" hidden="1">#REF!</definedName>
    <definedName name="FDP_106_1_aUrv" hidden="1">#REF!</definedName>
    <definedName name="FDP_107_1_aUrv" localSheetId="6" hidden="1">#REF!</definedName>
    <definedName name="FDP_107_1_aUrv" localSheetId="3" hidden="1">#REF!</definedName>
    <definedName name="FDP_107_1_aUrv" localSheetId="10" hidden="1">#REF!</definedName>
    <definedName name="FDP_107_1_aUrv" localSheetId="16" hidden="1">#REF!</definedName>
    <definedName name="FDP_107_1_aUrv" localSheetId="19" hidden="1">#REF!</definedName>
    <definedName name="FDP_107_1_aUrv" localSheetId="18" hidden="1">#REF!</definedName>
    <definedName name="FDP_107_1_aUrv" hidden="1">#REF!</definedName>
    <definedName name="FDP_108_1_aUrv" localSheetId="6" hidden="1">#REF!</definedName>
    <definedName name="FDP_108_1_aUrv" localSheetId="3" hidden="1">#REF!</definedName>
    <definedName name="FDP_108_1_aUrv" localSheetId="10" hidden="1">#REF!</definedName>
    <definedName name="FDP_108_1_aUrv" localSheetId="16" hidden="1">#REF!</definedName>
    <definedName name="FDP_108_1_aUrv" localSheetId="19" hidden="1">#REF!</definedName>
    <definedName name="FDP_108_1_aUrv" localSheetId="18" hidden="1">#REF!</definedName>
    <definedName name="FDP_108_1_aUrv" hidden="1">#REF!</definedName>
    <definedName name="FDP_109_1_aUrv" localSheetId="6" hidden="1">#REF!</definedName>
    <definedName name="FDP_109_1_aUrv" localSheetId="3" hidden="1">#REF!</definedName>
    <definedName name="FDP_109_1_aUrv" localSheetId="10" hidden="1">#REF!</definedName>
    <definedName name="FDP_109_1_aUrv" localSheetId="16" hidden="1">#REF!</definedName>
    <definedName name="FDP_109_1_aUrv" localSheetId="19" hidden="1">#REF!</definedName>
    <definedName name="FDP_109_1_aUrv" localSheetId="18" hidden="1">#REF!</definedName>
    <definedName name="FDP_109_1_aUrv" hidden="1">#REF!</definedName>
    <definedName name="FDP_11_1_aDrv" localSheetId="6" hidden="1">#REF!</definedName>
    <definedName name="FDP_11_1_aDrv" localSheetId="3" hidden="1">#REF!</definedName>
    <definedName name="FDP_11_1_aDrv" localSheetId="10" hidden="1">#REF!</definedName>
    <definedName name="FDP_11_1_aDrv" localSheetId="16" hidden="1">#REF!</definedName>
    <definedName name="FDP_11_1_aDrv" localSheetId="19" hidden="1">#REF!</definedName>
    <definedName name="FDP_11_1_aDrv" localSheetId="18" hidden="1">#REF!</definedName>
    <definedName name="FDP_11_1_aDrv" hidden="1">#REF!</definedName>
    <definedName name="FDP_110_1_aUrv" localSheetId="6" hidden="1">#REF!</definedName>
    <definedName name="FDP_110_1_aUrv" localSheetId="3" hidden="1">#REF!</definedName>
    <definedName name="FDP_110_1_aUrv" localSheetId="10" hidden="1">#REF!</definedName>
    <definedName name="FDP_110_1_aUrv" localSheetId="16" hidden="1">#REF!</definedName>
    <definedName name="FDP_110_1_aUrv" localSheetId="19" hidden="1">#REF!</definedName>
    <definedName name="FDP_110_1_aUrv" localSheetId="18" hidden="1">#REF!</definedName>
    <definedName name="FDP_110_1_aUrv" hidden="1">#REF!</definedName>
    <definedName name="FDP_111_1_aUrv" localSheetId="6" hidden="1">#REF!</definedName>
    <definedName name="FDP_111_1_aUrv" localSheetId="3" hidden="1">#REF!</definedName>
    <definedName name="FDP_111_1_aUrv" localSheetId="10" hidden="1">#REF!</definedName>
    <definedName name="FDP_111_1_aUrv" localSheetId="16" hidden="1">#REF!</definedName>
    <definedName name="FDP_111_1_aUrv" localSheetId="19" hidden="1">#REF!</definedName>
    <definedName name="FDP_111_1_aUrv" localSheetId="18" hidden="1">#REF!</definedName>
    <definedName name="FDP_111_1_aUrv" hidden="1">#REF!</definedName>
    <definedName name="FDP_112_1_aUrv" localSheetId="6" hidden="1">#REF!</definedName>
    <definedName name="FDP_112_1_aUrv" localSheetId="3" hidden="1">#REF!</definedName>
    <definedName name="FDP_112_1_aUrv" localSheetId="10" hidden="1">#REF!</definedName>
    <definedName name="FDP_112_1_aUrv" localSheetId="16" hidden="1">#REF!</definedName>
    <definedName name="FDP_112_1_aUrv" localSheetId="19" hidden="1">#REF!</definedName>
    <definedName name="FDP_112_1_aUrv" localSheetId="18" hidden="1">#REF!</definedName>
    <definedName name="FDP_112_1_aUrv" hidden="1">#REF!</definedName>
    <definedName name="FDP_113_1_aUrv" localSheetId="6" hidden="1">#REF!</definedName>
    <definedName name="FDP_113_1_aUrv" localSheetId="3" hidden="1">#REF!</definedName>
    <definedName name="FDP_113_1_aUrv" localSheetId="10" hidden="1">#REF!</definedName>
    <definedName name="FDP_113_1_aUrv" localSheetId="16" hidden="1">#REF!</definedName>
    <definedName name="FDP_113_1_aUrv" localSheetId="19" hidden="1">#REF!</definedName>
    <definedName name="FDP_113_1_aUrv" localSheetId="18" hidden="1">#REF!</definedName>
    <definedName name="FDP_113_1_aUrv" hidden="1">#REF!</definedName>
    <definedName name="FDP_114_1_aUrv" localSheetId="6" hidden="1">#REF!</definedName>
    <definedName name="FDP_114_1_aUrv" localSheetId="3" hidden="1">#REF!</definedName>
    <definedName name="FDP_114_1_aUrv" localSheetId="10" hidden="1">#REF!</definedName>
    <definedName name="FDP_114_1_aUrv" localSheetId="16" hidden="1">#REF!</definedName>
    <definedName name="FDP_114_1_aUrv" localSheetId="19" hidden="1">#REF!</definedName>
    <definedName name="FDP_114_1_aUrv" localSheetId="18" hidden="1">#REF!</definedName>
    <definedName name="FDP_114_1_aUrv" hidden="1">#REF!</definedName>
    <definedName name="FDP_115_1_aUrv" localSheetId="6" hidden="1">#REF!</definedName>
    <definedName name="FDP_115_1_aUrv" localSheetId="3" hidden="1">#REF!</definedName>
    <definedName name="FDP_115_1_aUrv" localSheetId="10" hidden="1">#REF!</definedName>
    <definedName name="FDP_115_1_aUrv" localSheetId="16" hidden="1">#REF!</definedName>
    <definedName name="FDP_115_1_aUrv" localSheetId="19" hidden="1">#REF!</definedName>
    <definedName name="FDP_115_1_aUrv" localSheetId="18" hidden="1">#REF!</definedName>
    <definedName name="FDP_115_1_aUrv" hidden="1">#REF!</definedName>
    <definedName name="FDP_116_1_aUrv" localSheetId="6" hidden="1">#REF!</definedName>
    <definedName name="FDP_116_1_aUrv" localSheetId="3" hidden="1">#REF!</definedName>
    <definedName name="FDP_116_1_aUrv" localSheetId="10" hidden="1">#REF!</definedName>
    <definedName name="FDP_116_1_aUrv" localSheetId="16" hidden="1">#REF!</definedName>
    <definedName name="FDP_116_1_aUrv" localSheetId="19" hidden="1">#REF!</definedName>
    <definedName name="FDP_116_1_aUrv" localSheetId="18" hidden="1">#REF!</definedName>
    <definedName name="FDP_116_1_aUrv" hidden="1">#REF!</definedName>
    <definedName name="FDP_117_1_aUrv" localSheetId="6" hidden="1">#REF!</definedName>
    <definedName name="FDP_117_1_aUrv" localSheetId="3" hidden="1">#REF!</definedName>
    <definedName name="FDP_117_1_aUrv" localSheetId="10" hidden="1">#REF!</definedName>
    <definedName name="FDP_117_1_aUrv" localSheetId="16" hidden="1">#REF!</definedName>
    <definedName name="FDP_117_1_aUrv" localSheetId="19" hidden="1">#REF!</definedName>
    <definedName name="FDP_117_1_aUrv" localSheetId="18" hidden="1">#REF!</definedName>
    <definedName name="FDP_117_1_aUrv" hidden="1">#REF!</definedName>
    <definedName name="FDP_118_1_aUrv" localSheetId="6" hidden="1">#REF!</definedName>
    <definedName name="FDP_118_1_aUrv" localSheetId="3" hidden="1">#REF!</definedName>
    <definedName name="FDP_118_1_aUrv" localSheetId="10" hidden="1">#REF!</definedName>
    <definedName name="FDP_118_1_aUrv" localSheetId="16" hidden="1">#REF!</definedName>
    <definedName name="FDP_118_1_aUrv" localSheetId="19" hidden="1">#REF!</definedName>
    <definedName name="FDP_118_1_aUrv" localSheetId="18" hidden="1">#REF!</definedName>
    <definedName name="FDP_118_1_aUrv" hidden="1">#REF!</definedName>
    <definedName name="FDP_119_1_aUrv" localSheetId="6" hidden="1">#REF!</definedName>
    <definedName name="FDP_119_1_aUrv" localSheetId="3" hidden="1">#REF!</definedName>
    <definedName name="FDP_119_1_aUrv" localSheetId="10" hidden="1">#REF!</definedName>
    <definedName name="FDP_119_1_aUrv" localSheetId="16" hidden="1">#REF!</definedName>
    <definedName name="FDP_119_1_aUrv" localSheetId="19" hidden="1">#REF!</definedName>
    <definedName name="FDP_119_1_aUrv" localSheetId="18" hidden="1">#REF!</definedName>
    <definedName name="FDP_119_1_aUrv" hidden="1">#REF!</definedName>
    <definedName name="FDP_12_1_aDrv" localSheetId="6" hidden="1">#REF!</definedName>
    <definedName name="FDP_12_1_aDrv" localSheetId="3" hidden="1">#REF!</definedName>
    <definedName name="FDP_12_1_aDrv" localSheetId="10" hidden="1">#REF!</definedName>
    <definedName name="FDP_12_1_aDrv" localSheetId="16" hidden="1">#REF!</definedName>
    <definedName name="FDP_12_1_aDrv" localSheetId="19" hidden="1">#REF!</definedName>
    <definedName name="FDP_12_1_aDrv" localSheetId="18" hidden="1">#REF!</definedName>
    <definedName name="FDP_12_1_aDrv" hidden="1">#REF!</definedName>
    <definedName name="FDP_120_1_aUrv" localSheetId="6" hidden="1">#REF!</definedName>
    <definedName name="FDP_120_1_aUrv" localSheetId="3" hidden="1">#REF!</definedName>
    <definedName name="FDP_120_1_aUrv" localSheetId="10" hidden="1">#REF!</definedName>
    <definedName name="FDP_120_1_aUrv" localSheetId="16" hidden="1">#REF!</definedName>
    <definedName name="FDP_120_1_aUrv" localSheetId="19" hidden="1">#REF!</definedName>
    <definedName name="FDP_120_1_aUrv" localSheetId="18" hidden="1">#REF!</definedName>
    <definedName name="FDP_120_1_aUrv" hidden="1">#REF!</definedName>
    <definedName name="FDP_121_1_aUrv" localSheetId="6" hidden="1">#REF!</definedName>
    <definedName name="FDP_121_1_aUrv" localSheetId="3" hidden="1">#REF!</definedName>
    <definedName name="FDP_121_1_aUrv" localSheetId="10" hidden="1">#REF!</definedName>
    <definedName name="FDP_121_1_aUrv" localSheetId="16" hidden="1">#REF!</definedName>
    <definedName name="FDP_121_1_aUrv" localSheetId="19" hidden="1">#REF!</definedName>
    <definedName name="FDP_121_1_aUrv" localSheetId="18" hidden="1">#REF!</definedName>
    <definedName name="FDP_121_1_aUrv" hidden="1">#REF!</definedName>
    <definedName name="FDP_122_1_aUrv" localSheetId="6" hidden="1">#REF!</definedName>
    <definedName name="FDP_122_1_aUrv" localSheetId="3" hidden="1">#REF!</definedName>
    <definedName name="FDP_122_1_aUrv" localSheetId="10" hidden="1">#REF!</definedName>
    <definedName name="FDP_122_1_aUrv" localSheetId="16" hidden="1">#REF!</definedName>
    <definedName name="FDP_122_1_aUrv" localSheetId="19" hidden="1">#REF!</definedName>
    <definedName name="FDP_122_1_aUrv" localSheetId="18" hidden="1">#REF!</definedName>
    <definedName name="FDP_122_1_aUrv" hidden="1">#REF!</definedName>
    <definedName name="FDP_123_1_aUrv" localSheetId="6" hidden="1">#REF!</definedName>
    <definedName name="FDP_123_1_aUrv" localSheetId="3" hidden="1">#REF!</definedName>
    <definedName name="FDP_123_1_aUrv" localSheetId="10" hidden="1">#REF!</definedName>
    <definedName name="FDP_123_1_aUrv" localSheetId="16" hidden="1">#REF!</definedName>
    <definedName name="FDP_123_1_aUrv" localSheetId="19" hidden="1">#REF!</definedName>
    <definedName name="FDP_123_1_aUrv" localSheetId="18" hidden="1">#REF!</definedName>
    <definedName name="FDP_123_1_aUrv" hidden="1">#REF!</definedName>
    <definedName name="FDP_124_1_aUrv" localSheetId="6" hidden="1">#REF!</definedName>
    <definedName name="FDP_124_1_aUrv" localSheetId="3" hidden="1">#REF!</definedName>
    <definedName name="FDP_124_1_aUrv" localSheetId="10" hidden="1">#REF!</definedName>
    <definedName name="FDP_124_1_aUrv" localSheetId="16" hidden="1">#REF!</definedName>
    <definedName name="FDP_124_1_aUrv" localSheetId="19" hidden="1">#REF!</definedName>
    <definedName name="FDP_124_1_aUrv" localSheetId="18" hidden="1">#REF!</definedName>
    <definedName name="FDP_124_1_aUrv" hidden="1">#REF!</definedName>
    <definedName name="FDP_125_1_aUrv" localSheetId="6" hidden="1">#REF!</definedName>
    <definedName name="FDP_125_1_aUrv" localSheetId="3" hidden="1">#REF!</definedName>
    <definedName name="FDP_125_1_aUrv" localSheetId="10" hidden="1">#REF!</definedName>
    <definedName name="FDP_125_1_aUrv" localSheetId="16" hidden="1">#REF!</definedName>
    <definedName name="FDP_125_1_aUrv" localSheetId="19" hidden="1">#REF!</definedName>
    <definedName name="FDP_125_1_aUrv" localSheetId="18" hidden="1">#REF!</definedName>
    <definedName name="FDP_125_1_aUrv" hidden="1">#REF!</definedName>
    <definedName name="FDP_126_1_aUrv" localSheetId="6" hidden="1">#REF!</definedName>
    <definedName name="FDP_126_1_aUrv" localSheetId="3" hidden="1">#REF!</definedName>
    <definedName name="FDP_126_1_aUrv" localSheetId="10" hidden="1">#REF!</definedName>
    <definedName name="FDP_126_1_aUrv" localSheetId="16" hidden="1">#REF!</definedName>
    <definedName name="FDP_126_1_aUrv" localSheetId="19" hidden="1">#REF!</definedName>
    <definedName name="FDP_126_1_aUrv" localSheetId="18" hidden="1">#REF!</definedName>
    <definedName name="FDP_126_1_aUrv" hidden="1">#REF!</definedName>
    <definedName name="FDP_127_1_aUrv" localSheetId="6" hidden="1">#REF!</definedName>
    <definedName name="FDP_127_1_aUrv" localSheetId="3" hidden="1">#REF!</definedName>
    <definedName name="FDP_127_1_aUrv" localSheetId="10" hidden="1">#REF!</definedName>
    <definedName name="FDP_127_1_aUrv" localSheetId="16" hidden="1">#REF!</definedName>
    <definedName name="FDP_127_1_aUrv" localSheetId="19" hidden="1">#REF!</definedName>
    <definedName name="FDP_127_1_aUrv" localSheetId="18" hidden="1">#REF!</definedName>
    <definedName name="FDP_127_1_aUrv" hidden="1">#REF!</definedName>
    <definedName name="FDP_128_1_aUrv" localSheetId="6" hidden="1">#REF!</definedName>
    <definedName name="FDP_128_1_aUrv" localSheetId="3" hidden="1">#REF!</definedName>
    <definedName name="FDP_128_1_aUrv" localSheetId="10" hidden="1">#REF!</definedName>
    <definedName name="FDP_128_1_aUrv" localSheetId="16" hidden="1">#REF!</definedName>
    <definedName name="FDP_128_1_aUrv" localSheetId="19" hidden="1">#REF!</definedName>
    <definedName name="FDP_128_1_aUrv" localSheetId="18" hidden="1">#REF!</definedName>
    <definedName name="FDP_128_1_aUrv" hidden="1">#REF!</definedName>
    <definedName name="FDP_129_1_aUrv" localSheetId="6" hidden="1">#REF!</definedName>
    <definedName name="FDP_129_1_aUrv" localSheetId="3" hidden="1">#REF!</definedName>
    <definedName name="FDP_129_1_aUrv" localSheetId="10" hidden="1">#REF!</definedName>
    <definedName name="FDP_129_1_aUrv" localSheetId="16" hidden="1">#REF!</definedName>
    <definedName name="FDP_129_1_aUrv" localSheetId="19" hidden="1">#REF!</definedName>
    <definedName name="FDP_129_1_aUrv" localSheetId="18" hidden="1">#REF!</definedName>
    <definedName name="FDP_129_1_aUrv" hidden="1">#REF!</definedName>
    <definedName name="FDP_13_1_aDrv" localSheetId="6" hidden="1">#REF!</definedName>
    <definedName name="FDP_13_1_aDrv" localSheetId="3" hidden="1">#REF!</definedName>
    <definedName name="FDP_13_1_aDrv" localSheetId="10" hidden="1">#REF!</definedName>
    <definedName name="FDP_13_1_aDrv" localSheetId="16" hidden="1">#REF!</definedName>
    <definedName name="FDP_13_1_aDrv" localSheetId="19" hidden="1">#REF!</definedName>
    <definedName name="FDP_13_1_aDrv" localSheetId="18" hidden="1">#REF!</definedName>
    <definedName name="FDP_13_1_aDrv" hidden="1">#REF!</definedName>
    <definedName name="FDP_130_1_aUrv" localSheetId="6" hidden="1">#REF!</definedName>
    <definedName name="FDP_130_1_aUrv" localSheetId="3" hidden="1">#REF!</definedName>
    <definedName name="FDP_130_1_aUrv" localSheetId="10" hidden="1">#REF!</definedName>
    <definedName name="FDP_130_1_aUrv" localSheetId="16" hidden="1">#REF!</definedName>
    <definedName name="FDP_130_1_aUrv" localSheetId="19" hidden="1">#REF!</definedName>
    <definedName name="FDP_130_1_aUrv" localSheetId="18" hidden="1">#REF!</definedName>
    <definedName name="FDP_130_1_aUrv" hidden="1">#REF!</definedName>
    <definedName name="FDP_131_1_aUrv" localSheetId="6" hidden="1">#REF!</definedName>
    <definedName name="FDP_131_1_aUrv" localSheetId="3" hidden="1">#REF!</definedName>
    <definedName name="FDP_131_1_aUrv" localSheetId="10" hidden="1">#REF!</definedName>
    <definedName name="FDP_131_1_aUrv" localSheetId="16" hidden="1">#REF!</definedName>
    <definedName name="FDP_131_1_aUrv" localSheetId="19" hidden="1">#REF!</definedName>
    <definedName name="FDP_131_1_aUrv" localSheetId="18" hidden="1">#REF!</definedName>
    <definedName name="FDP_131_1_aUrv" hidden="1">#REF!</definedName>
    <definedName name="FDP_132_1_aUrv" localSheetId="6" hidden="1">#REF!</definedName>
    <definedName name="FDP_132_1_aUrv" localSheetId="3" hidden="1">#REF!</definedName>
    <definedName name="FDP_132_1_aUrv" localSheetId="10" hidden="1">#REF!</definedName>
    <definedName name="FDP_132_1_aUrv" localSheetId="16" hidden="1">#REF!</definedName>
    <definedName name="FDP_132_1_aUrv" localSheetId="19" hidden="1">#REF!</definedName>
    <definedName name="FDP_132_1_aUrv" localSheetId="18" hidden="1">#REF!</definedName>
    <definedName name="FDP_132_1_aUrv" hidden="1">#REF!</definedName>
    <definedName name="FDP_133_1_aUrv" localSheetId="6" hidden="1">#REF!</definedName>
    <definedName name="FDP_133_1_aUrv" localSheetId="3" hidden="1">#REF!</definedName>
    <definedName name="FDP_133_1_aUrv" localSheetId="10" hidden="1">#REF!</definedName>
    <definedName name="FDP_133_1_aUrv" localSheetId="16" hidden="1">#REF!</definedName>
    <definedName name="FDP_133_1_aUrv" localSheetId="19" hidden="1">#REF!</definedName>
    <definedName name="FDP_133_1_aUrv" localSheetId="18" hidden="1">#REF!</definedName>
    <definedName name="FDP_133_1_aUrv" hidden="1">#REF!</definedName>
    <definedName name="FDP_134_1_aUrv" localSheetId="6" hidden="1">#REF!</definedName>
    <definedName name="FDP_134_1_aUrv" localSheetId="3" hidden="1">#REF!</definedName>
    <definedName name="FDP_134_1_aUrv" localSheetId="10" hidden="1">#REF!</definedName>
    <definedName name="FDP_134_1_aUrv" localSheetId="16" hidden="1">#REF!</definedName>
    <definedName name="FDP_134_1_aUrv" localSheetId="19" hidden="1">#REF!</definedName>
    <definedName name="FDP_134_1_aUrv" localSheetId="18" hidden="1">#REF!</definedName>
    <definedName name="FDP_134_1_aUrv" hidden="1">#REF!</definedName>
    <definedName name="FDP_135_1_aUrv" localSheetId="6" hidden="1">#REF!</definedName>
    <definedName name="FDP_135_1_aUrv" localSheetId="3" hidden="1">#REF!</definedName>
    <definedName name="FDP_135_1_aUrv" localSheetId="10" hidden="1">#REF!</definedName>
    <definedName name="FDP_135_1_aUrv" localSheetId="16" hidden="1">#REF!</definedName>
    <definedName name="FDP_135_1_aUrv" localSheetId="19" hidden="1">#REF!</definedName>
    <definedName name="FDP_135_1_aUrv" localSheetId="18" hidden="1">#REF!</definedName>
    <definedName name="FDP_135_1_aUrv" hidden="1">#REF!</definedName>
    <definedName name="FDP_136_1_aSrv" localSheetId="6" hidden="1">#REF!</definedName>
    <definedName name="FDP_136_1_aSrv" localSheetId="3" hidden="1">#REF!</definedName>
    <definedName name="FDP_136_1_aSrv" localSheetId="10" hidden="1">#REF!</definedName>
    <definedName name="FDP_136_1_aSrv" localSheetId="16" hidden="1">#REF!</definedName>
    <definedName name="FDP_136_1_aSrv" localSheetId="19" hidden="1">#REF!</definedName>
    <definedName name="FDP_136_1_aSrv" localSheetId="18" hidden="1">#REF!</definedName>
    <definedName name="FDP_136_1_aSrv" hidden="1">#REF!</definedName>
    <definedName name="FDP_137_1_aUrv" localSheetId="6" hidden="1">#REF!</definedName>
    <definedName name="FDP_137_1_aUrv" localSheetId="3" hidden="1">#REF!</definedName>
    <definedName name="FDP_137_1_aUrv" localSheetId="10" hidden="1">#REF!</definedName>
    <definedName name="FDP_137_1_aUrv" localSheetId="16" hidden="1">#REF!</definedName>
    <definedName name="FDP_137_1_aUrv" localSheetId="19" hidden="1">#REF!</definedName>
    <definedName name="FDP_137_1_aUrv" localSheetId="18" hidden="1">#REF!</definedName>
    <definedName name="FDP_137_1_aUrv" hidden="1">#REF!</definedName>
    <definedName name="FDP_138_1_aUrv" localSheetId="6" hidden="1">#REF!</definedName>
    <definedName name="FDP_138_1_aUrv" localSheetId="3" hidden="1">#REF!</definedName>
    <definedName name="FDP_138_1_aUrv" localSheetId="10" hidden="1">#REF!</definedName>
    <definedName name="FDP_138_1_aUrv" localSheetId="16" hidden="1">#REF!</definedName>
    <definedName name="FDP_138_1_aUrv" localSheetId="19" hidden="1">#REF!</definedName>
    <definedName name="FDP_138_1_aUrv" localSheetId="18" hidden="1">#REF!</definedName>
    <definedName name="FDP_138_1_aUrv" hidden="1">#REF!</definedName>
    <definedName name="FDP_139_1_aUrv" localSheetId="6" hidden="1">#REF!</definedName>
    <definedName name="FDP_139_1_aUrv" localSheetId="3" hidden="1">#REF!</definedName>
    <definedName name="FDP_139_1_aUrv" localSheetId="10" hidden="1">#REF!</definedName>
    <definedName name="FDP_139_1_aUrv" localSheetId="16" hidden="1">#REF!</definedName>
    <definedName name="FDP_139_1_aUrv" localSheetId="19" hidden="1">#REF!</definedName>
    <definedName name="FDP_139_1_aUrv" localSheetId="18" hidden="1">#REF!</definedName>
    <definedName name="FDP_139_1_aUrv" hidden="1">#REF!</definedName>
    <definedName name="FDP_14_1_aDrv" localSheetId="6" hidden="1">#REF!</definedName>
    <definedName name="FDP_14_1_aDrv" localSheetId="3" hidden="1">#REF!</definedName>
    <definedName name="FDP_14_1_aDrv" localSheetId="10" hidden="1">#REF!</definedName>
    <definedName name="FDP_14_1_aDrv" localSheetId="16" hidden="1">#REF!</definedName>
    <definedName name="FDP_14_1_aDrv" localSheetId="19" hidden="1">#REF!</definedName>
    <definedName name="FDP_14_1_aDrv" localSheetId="18" hidden="1">#REF!</definedName>
    <definedName name="FDP_14_1_aDrv" hidden="1">#REF!</definedName>
    <definedName name="FDP_140_1_aUrv" localSheetId="6" hidden="1">#REF!</definedName>
    <definedName name="FDP_140_1_aUrv" localSheetId="3" hidden="1">#REF!</definedName>
    <definedName name="FDP_140_1_aUrv" localSheetId="10" hidden="1">#REF!</definedName>
    <definedName name="FDP_140_1_aUrv" localSheetId="16" hidden="1">#REF!</definedName>
    <definedName name="FDP_140_1_aUrv" localSheetId="19" hidden="1">#REF!</definedName>
    <definedName name="FDP_140_1_aUrv" localSheetId="18" hidden="1">#REF!</definedName>
    <definedName name="FDP_140_1_aUrv" hidden="1">#REF!</definedName>
    <definedName name="FDP_141_1_aSrv" localSheetId="6" hidden="1">#REF!</definedName>
    <definedName name="FDP_141_1_aSrv" localSheetId="3" hidden="1">#REF!</definedName>
    <definedName name="FDP_141_1_aSrv" localSheetId="10" hidden="1">#REF!</definedName>
    <definedName name="FDP_141_1_aSrv" localSheetId="16" hidden="1">#REF!</definedName>
    <definedName name="FDP_141_1_aSrv" localSheetId="19" hidden="1">#REF!</definedName>
    <definedName name="FDP_141_1_aSrv" localSheetId="18" hidden="1">#REF!</definedName>
    <definedName name="FDP_141_1_aSrv" hidden="1">#REF!</definedName>
    <definedName name="FDP_142_1_aUrv" localSheetId="6" hidden="1">#REF!</definedName>
    <definedName name="FDP_142_1_aUrv" localSheetId="3" hidden="1">#REF!</definedName>
    <definedName name="FDP_142_1_aUrv" localSheetId="10" hidden="1">#REF!</definedName>
    <definedName name="FDP_142_1_aUrv" localSheetId="16" hidden="1">#REF!</definedName>
    <definedName name="FDP_142_1_aUrv" localSheetId="19" hidden="1">#REF!</definedName>
    <definedName name="FDP_142_1_aUrv" localSheetId="18" hidden="1">#REF!</definedName>
    <definedName name="FDP_142_1_aUrv" hidden="1">#REF!</definedName>
    <definedName name="FDP_143_1_aUrv" localSheetId="6" hidden="1">#REF!</definedName>
    <definedName name="FDP_143_1_aUrv" localSheetId="3" hidden="1">#REF!</definedName>
    <definedName name="FDP_143_1_aUrv" localSheetId="10" hidden="1">#REF!</definedName>
    <definedName name="FDP_143_1_aUrv" localSheetId="16" hidden="1">#REF!</definedName>
    <definedName name="FDP_143_1_aUrv" localSheetId="19" hidden="1">#REF!</definedName>
    <definedName name="FDP_143_1_aUrv" localSheetId="18" hidden="1">#REF!</definedName>
    <definedName name="FDP_143_1_aUrv" hidden="1">#REF!</definedName>
    <definedName name="FDP_144_1_aUrv" localSheetId="6" hidden="1">#REF!</definedName>
    <definedName name="FDP_144_1_aUrv" localSheetId="3" hidden="1">#REF!</definedName>
    <definedName name="FDP_144_1_aUrv" localSheetId="10" hidden="1">#REF!</definedName>
    <definedName name="FDP_144_1_aUrv" localSheetId="16" hidden="1">#REF!</definedName>
    <definedName name="FDP_144_1_aUrv" localSheetId="19" hidden="1">#REF!</definedName>
    <definedName name="FDP_144_1_aUrv" localSheetId="18" hidden="1">#REF!</definedName>
    <definedName name="FDP_144_1_aUrv" hidden="1">#REF!</definedName>
    <definedName name="FDP_145_1_aUrv" localSheetId="6" hidden="1">#REF!</definedName>
    <definedName name="FDP_145_1_aUrv" localSheetId="3" hidden="1">#REF!</definedName>
    <definedName name="FDP_145_1_aUrv" localSheetId="10" hidden="1">#REF!</definedName>
    <definedName name="FDP_145_1_aUrv" localSheetId="16" hidden="1">#REF!</definedName>
    <definedName name="FDP_145_1_aUrv" localSheetId="19" hidden="1">#REF!</definedName>
    <definedName name="FDP_145_1_aUrv" localSheetId="18" hidden="1">#REF!</definedName>
    <definedName name="FDP_145_1_aUrv" hidden="1">#REF!</definedName>
    <definedName name="FDP_146_1_aUrv" localSheetId="6" hidden="1">#REF!</definedName>
    <definedName name="FDP_146_1_aUrv" localSheetId="3" hidden="1">#REF!</definedName>
    <definedName name="FDP_146_1_aUrv" localSheetId="10" hidden="1">#REF!</definedName>
    <definedName name="FDP_146_1_aUrv" localSheetId="16" hidden="1">#REF!</definedName>
    <definedName name="FDP_146_1_aUrv" localSheetId="19" hidden="1">#REF!</definedName>
    <definedName name="FDP_146_1_aUrv" localSheetId="18" hidden="1">#REF!</definedName>
    <definedName name="FDP_146_1_aUrv" hidden="1">#REF!</definedName>
    <definedName name="FDP_147_1_aUrv" localSheetId="6" hidden="1">#REF!</definedName>
    <definedName name="FDP_147_1_aUrv" localSheetId="3" hidden="1">#REF!</definedName>
    <definedName name="FDP_147_1_aUrv" localSheetId="10" hidden="1">#REF!</definedName>
    <definedName name="FDP_147_1_aUrv" localSheetId="16" hidden="1">#REF!</definedName>
    <definedName name="FDP_147_1_aUrv" localSheetId="19" hidden="1">#REF!</definedName>
    <definedName name="FDP_147_1_aUrv" localSheetId="18" hidden="1">#REF!</definedName>
    <definedName name="FDP_147_1_aUrv" hidden="1">#REF!</definedName>
    <definedName name="FDP_148_1_aUrv" localSheetId="6" hidden="1">#REF!</definedName>
    <definedName name="FDP_148_1_aUrv" localSheetId="3" hidden="1">#REF!</definedName>
    <definedName name="FDP_148_1_aUrv" localSheetId="10" hidden="1">#REF!</definedName>
    <definedName name="FDP_148_1_aUrv" localSheetId="16" hidden="1">#REF!</definedName>
    <definedName name="FDP_148_1_aUrv" localSheetId="19" hidden="1">#REF!</definedName>
    <definedName name="FDP_148_1_aUrv" localSheetId="18" hidden="1">#REF!</definedName>
    <definedName name="FDP_148_1_aUrv" hidden="1">#REF!</definedName>
    <definedName name="FDP_149_1_aUrv" localSheetId="6" hidden="1">#REF!</definedName>
    <definedName name="FDP_149_1_aUrv" localSheetId="3" hidden="1">#REF!</definedName>
    <definedName name="FDP_149_1_aUrv" localSheetId="10" hidden="1">#REF!</definedName>
    <definedName name="FDP_149_1_aUrv" localSheetId="16" hidden="1">#REF!</definedName>
    <definedName name="FDP_149_1_aUrv" localSheetId="19" hidden="1">#REF!</definedName>
    <definedName name="FDP_149_1_aUrv" localSheetId="18" hidden="1">#REF!</definedName>
    <definedName name="FDP_149_1_aUrv" hidden="1">#REF!</definedName>
    <definedName name="FDP_15_1_aUrv" localSheetId="6" hidden="1">#REF!</definedName>
    <definedName name="FDP_15_1_aUrv" localSheetId="3" hidden="1">#REF!</definedName>
    <definedName name="FDP_15_1_aUrv" localSheetId="10" hidden="1">#REF!</definedName>
    <definedName name="FDP_15_1_aUrv" localSheetId="16" hidden="1">#REF!</definedName>
    <definedName name="FDP_15_1_aUrv" localSheetId="19" hidden="1">#REF!</definedName>
    <definedName name="FDP_15_1_aUrv" localSheetId="18" hidden="1">#REF!</definedName>
    <definedName name="FDP_15_1_aUrv" hidden="1">#REF!</definedName>
    <definedName name="FDP_150_1_aUrv" localSheetId="6" hidden="1">#REF!</definedName>
    <definedName name="FDP_150_1_aUrv" localSheetId="3" hidden="1">#REF!</definedName>
    <definedName name="FDP_150_1_aUrv" localSheetId="10" hidden="1">#REF!</definedName>
    <definedName name="FDP_150_1_aUrv" localSheetId="16" hidden="1">#REF!</definedName>
    <definedName name="FDP_150_1_aUrv" localSheetId="19" hidden="1">#REF!</definedName>
    <definedName name="FDP_150_1_aUrv" localSheetId="18" hidden="1">#REF!</definedName>
    <definedName name="FDP_150_1_aUrv" hidden="1">#REF!</definedName>
    <definedName name="FDP_151_1_aUrv" localSheetId="6" hidden="1">#REF!</definedName>
    <definedName name="FDP_151_1_aUrv" localSheetId="3" hidden="1">#REF!</definedName>
    <definedName name="FDP_151_1_aUrv" localSheetId="10" hidden="1">#REF!</definedName>
    <definedName name="FDP_151_1_aUrv" localSheetId="16" hidden="1">#REF!</definedName>
    <definedName name="FDP_151_1_aUrv" localSheetId="19" hidden="1">#REF!</definedName>
    <definedName name="FDP_151_1_aUrv" localSheetId="18" hidden="1">#REF!</definedName>
    <definedName name="FDP_151_1_aUrv" hidden="1">#REF!</definedName>
    <definedName name="FDP_152_1_aUrv" localSheetId="6" hidden="1">#REF!</definedName>
    <definedName name="FDP_152_1_aUrv" localSheetId="3" hidden="1">#REF!</definedName>
    <definedName name="FDP_152_1_aUrv" localSheetId="10" hidden="1">#REF!</definedName>
    <definedName name="FDP_152_1_aUrv" localSheetId="16" hidden="1">#REF!</definedName>
    <definedName name="FDP_152_1_aUrv" localSheetId="19" hidden="1">#REF!</definedName>
    <definedName name="FDP_152_1_aUrv" localSheetId="18" hidden="1">#REF!</definedName>
    <definedName name="FDP_152_1_aUrv" hidden="1">#REF!</definedName>
    <definedName name="FDP_153_1_aUrv" localSheetId="6" hidden="1">#REF!</definedName>
    <definedName name="FDP_153_1_aUrv" localSheetId="3" hidden="1">#REF!</definedName>
    <definedName name="FDP_153_1_aUrv" localSheetId="10" hidden="1">#REF!</definedName>
    <definedName name="FDP_153_1_aUrv" localSheetId="16" hidden="1">#REF!</definedName>
    <definedName name="FDP_153_1_aUrv" localSheetId="19" hidden="1">#REF!</definedName>
    <definedName name="FDP_153_1_aUrv" localSheetId="18" hidden="1">#REF!</definedName>
    <definedName name="FDP_153_1_aUrv" hidden="1">#REF!</definedName>
    <definedName name="FDP_154_1_aUrv" localSheetId="6" hidden="1">#REF!</definedName>
    <definedName name="FDP_154_1_aUrv" localSheetId="3" hidden="1">#REF!</definedName>
    <definedName name="FDP_154_1_aUrv" localSheetId="10" hidden="1">#REF!</definedName>
    <definedName name="FDP_154_1_aUrv" localSheetId="16" hidden="1">#REF!</definedName>
    <definedName name="FDP_154_1_aUrv" localSheetId="19" hidden="1">#REF!</definedName>
    <definedName name="FDP_154_1_aUrv" localSheetId="18" hidden="1">#REF!</definedName>
    <definedName name="FDP_154_1_aUrv" hidden="1">#REF!</definedName>
    <definedName name="FDP_155_1_aSrv" localSheetId="6" hidden="1">#REF!</definedName>
    <definedName name="FDP_155_1_aSrv" localSheetId="3" hidden="1">#REF!</definedName>
    <definedName name="FDP_155_1_aSrv" localSheetId="10" hidden="1">#REF!</definedName>
    <definedName name="FDP_155_1_aSrv" localSheetId="16" hidden="1">#REF!</definedName>
    <definedName name="FDP_155_1_aSrv" localSheetId="19" hidden="1">#REF!</definedName>
    <definedName name="FDP_155_1_aSrv" localSheetId="18" hidden="1">#REF!</definedName>
    <definedName name="FDP_155_1_aSrv" hidden="1">#REF!</definedName>
    <definedName name="FDP_156_1_aUrv" localSheetId="6" hidden="1">#REF!</definedName>
    <definedName name="FDP_156_1_aUrv" localSheetId="3" hidden="1">#REF!</definedName>
    <definedName name="FDP_156_1_aUrv" localSheetId="10" hidden="1">#REF!</definedName>
    <definedName name="FDP_156_1_aUrv" localSheetId="16" hidden="1">#REF!</definedName>
    <definedName name="FDP_156_1_aUrv" localSheetId="19" hidden="1">#REF!</definedName>
    <definedName name="FDP_156_1_aUrv" localSheetId="18" hidden="1">#REF!</definedName>
    <definedName name="FDP_156_1_aUrv" hidden="1">#REF!</definedName>
    <definedName name="FDP_157_1_aSrv" localSheetId="6" hidden="1">#REF!</definedName>
    <definedName name="FDP_157_1_aSrv" localSheetId="3" hidden="1">#REF!</definedName>
    <definedName name="FDP_157_1_aSrv" localSheetId="10" hidden="1">#REF!</definedName>
    <definedName name="FDP_157_1_aSrv" localSheetId="16" hidden="1">#REF!</definedName>
    <definedName name="FDP_157_1_aSrv" localSheetId="19" hidden="1">#REF!</definedName>
    <definedName name="FDP_157_1_aSrv" localSheetId="18" hidden="1">#REF!</definedName>
    <definedName name="FDP_157_1_aSrv" hidden="1">#REF!</definedName>
    <definedName name="FDP_158_1_aUrv" localSheetId="6" hidden="1">#REF!</definedName>
    <definedName name="FDP_158_1_aUrv" localSheetId="3" hidden="1">#REF!</definedName>
    <definedName name="FDP_158_1_aUrv" localSheetId="10" hidden="1">#REF!</definedName>
    <definedName name="FDP_158_1_aUrv" localSheetId="16" hidden="1">#REF!</definedName>
    <definedName name="FDP_158_1_aUrv" localSheetId="19" hidden="1">#REF!</definedName>
    <definedName name="FDP_158_1_aUrv" localSheetId="18" hidden="1">#REF!</definedName>
    <definedName name="FDP_158_1_aUrv" hidden="1">#REF!</definedName>
    <definedName name="FDP_159_1_aSrv" localSheetId="6" hidden="1">#REF!</definedName>
    <definedName name="FDP_159_1_aSrv" localSheetId="3" hidden="1">#REF!</definedName>
    <definedName name="FDP_159_1_aSrv" localSheetId="10" hidden="1">#REF!</definedName>
    <definedName name="FDP_159_1_aSrv" localSheetId="16" hidden="1">#REF!</definedName>
    <definedName name="FDP_159_1_aSrv" localSheetId="19" hidden="1">#REF!</definedName>
    <definedName name="FDP_159_1_aSrv" localSheetId="18" hidden="1">#REF!</definedName>
    <definedName name="FDP_159_1_aSrv" hidden="1">#REF!</definedName>
    <definedName name="FDP_16_1_aDrv" localSheetId="6" hidden="1">#REF!</definedName>
    <definedName name="FDP_16_1_aDrv" localSheetId="3" hidden="1">#REF!</definedName>
    <definedName name="FDP_16_1_aDrv" localSheetId="10" hidden="1">#REF!</definedName>
    <definedName name="FDP_16_1_aDrv" localSheetId="16" hidden="1">#REF!</definedName>
    <definedName name="FDP_16_1_aDrv" localSheetId="19" hidden="1">#REF!</definedName>
    <definedName name="FDP_16_1_aDrv" localSheetId="18" hidden="1">#REF!</definedName>
    <definedName name="FDP_16_1_aDrv" hidden="1">#REF!</definedName>
    <definedName name="FDP_160_1_aUrv" localSheetId="6" hidden="1">#REF!</definedName>
    <definedName name="FDP_160_1_aUrv" localSheetId="3" hidden="1">#REF!</definedName>
    <definedName name="FDP_160_1_aUrv" localSheetId="10" hidden="1">#REF!</definedName>
    <definedName name="FDP_160_1_aUrv" localSheetId="16" hidden="1">#REF!</definedName>
    <definedName name="FDP_160_1_aUrv" localSheetId="19" hidden="1">#REF!</definedName>
    <definedName name="FDP_160_1_aUrv" localSheetId="18" hidden="1">#REF!</definedName>
    <definedName name="FDP_160_1_aUrv" hidden="1">#REF!</definedName>
    <definedName name="FDP_161_1_aSrv" localSheetId="6" hidden="1">#REF!</definedName>
    <definedName name="FDP_161_1_aSrv" localSheetId="3" hidden="1">#REF!</definedName>
    <definedName name="FDP_161_1_aSrv" localSheetId="10" hidden="1">#REF!</definedName>
    <definedName name="FDP_161_1_aSrv" localSheetId="16" hidden="1">#REF!</definedName>
    <definedName name="FDP_161_1_aSrv" localSheetId="19" hidden="1">#REF!</definedName>
    <definedName name="FDP_161_1_aSrv" localSheetId="18" hidden="1">#REF!</definedName>
    <definedName name="FDP_161_1_aSrv" hidden="1">#REF!</definedName>
    <definedName name="FDP_162_1_aUrv" localSheetId="6" hidden="1">#REF!</definedName>
    <definedName name="FDP_162_1_aUrv" localSheetId="3" hidden="1">#REF!</definedName>
    <definedName name="FDP_162_1_aUrv" localSheetId="10" hidden="1">#REF!</definedName>
    <definedName name="FDP_162_1_aUrv" localSheetId="16" hidden="1">#REF!</definedName>
    <definedName name="FDP_162_1_aUrv" localSheetId="19" hidden="1">#REF!</definedName>
    <definedName name="FDP_162_1_aUrv" localSheetId="18" hidden="1">#REF!</definedName>
    <definedName name="FDP_162_1_aUrv" hidden="1">#REF!</definedName>
    <definedName name="FDP_163_1_aSrv" localSheetId="6" hidden="1">#REF!</definedName>
    <definedName name="FDP_163_1_aSrv" localSheetId="3" hidden="1">#REF!</definedName>
    <definedName name="FDP_163_1_aSrv" localSheetId="10" hidden="1">#REF!</definedName>
    <definedName name="FDP_163_1_aSrv" localSheetId="16" hidden="1">#REF!</definedName>
    <definedName name="FDP_163_1_aSrv" localSheetId="19" hidden="1">#REF!</definedName>
    <definedName name="FDP_163_1_aSrv" localSheetId="18" hidden="1">#REF!</definedName>
    <definedName name="FDP_163_1_aSrv" hidden="1">#REF!</definedName>
    <definedName name="FDP_164_1_aUrv" localSheetId="6" hidden="1">#REF!</definedName>
    <definedName name="FDP_164_1_aUrv" localSheetId="3" hidden="1">#REF!</definedName>
    <definedName name="FDP_164_1_aUrv" localSheetId="10" hidden="1">#REF!</definedName>
    <definedName name="FDP_164_1_aUrv" localSheetId="16" hidden="1">#REF!</definedName>
    <definedName name="FDP_164_1_aUrv" localSheetId="19" hidden="1">#REF!</definedName>
    <definedName name="FDP_164_1_aUrv" localSheetId="18" hidden="1">#REF!</definedName>
    <definedName name="FDP_164_1_aUrv" hidden="1">#REF!</definedName>
    <definedName name="FDP_165_1_aSrv" localSheetId="6" hidden="1">#REF!</definedName>
    <definedName name="FDP_165_1_aSrv" localSheetId="3" hidden="1">#REF!</definedName>
    <definedName name="FDP_165_1_aSrv" localSheetId="10" hidden="1">#REF!</definedName>
    <definedName name="FDP_165_1_aSrv" localSheetId="16" hidden="1">#REF!</definedName>
    <definedName name="FDP_165_1_aSrv" localSheetId="19" hidden="1">#REF!</definedName>
    <definedName name="FDP_165_1_aSrv" localSheetId="18" hidden="1">#REF!</definedName>
    <definedName name="FDP_165_1_aSrv" hidden="1">#REF!</definedName>
    <definedName name="FDP_166_1_aDrv" localSheetId="6" hidden="1">#REF!</definedName>
    <definedName name="FDP_166_1_aDrv" localSheetId="3" hidden="1">#REF!</definedName>
    <definedName name="FDP_166_1_aDrv" localSheetId="10" hidden="1">#REF!</definedName>
    <definedName name="FDP_166_1_aDrv" localSheetId="16" hidden="1">#REF!</definedName>
    <definedName name="FDP_166_1_aDrv" localSheetId="19" hidden="1">#REF!</definedName>
    <definedName name="FDP_166_1_aDrv" localSheetId="18" hidden="1">#REF!</definedName>
    <definedName name="FDP_166_1_aDrv" hidden="1">#REF!</definedName>
    <definedName name="FDP_167_1_aDrv" localSheetId="6" hidden="1">#REF!</definedName>
    <definedName name="FDP_167_1_aDrv" localSheetId="3" hidden="1">#REF!</definedName>
    <definedName name="FDP_167_1_aDrv" localSheetId="10" hidden="1">#REF!</definedName>
    <definedName name="FDP_167_1_aDrv" localSheetId="16" hidden="1">#REF!</definedName>
    <definedName name="FDP_167_1_aDrv" localSheetId="19" hidden="1">#REF!</definedName>
    <definedName name="FDP_167_1_aDrv" localSheetId="18" hidden="1">#REF!</definedName>
    <definedName name="FDP_167_1_aDrv" hidden="1">#REF!</definedName>
    <definedName name="FDP_168_1_aDrv" localSheetId="6" hidden="1">#REF!</definedName>
    <definedName name="FDP_168_1_aDrv" localSheetId="3" hidden="1">#REF!</definedName>
    <definedName name="FDP_168_1_aDrv" localSheetId="10" hidden="1">#REF!</definedName>
    <definedName name="FDP_168_1_aDrv" localSheetId="16" hidden="1">#REF!</definedName>
    <definedName name="FDP_168_1_aDrv" localSheetId="19" hidden="1">#REF!</definedName>
    <definedName name="FDP_168_1_aDrv" localSheetId="18" hidden="1">#REF!</definedName>
    <definedName name="FDP_168_1_aDrv" hidden="1">#REF!</definedName>
    <definedName name="FDP_169_1_aDrv" localSheetId="6" hidden="1">#REF!</definedName>
    <definedName name="FDP_169_1_aDrv" localSheetId="3" hidden="1">#REF!</definedName>
    <definedName name="FDP_169_1_aDrv" localSheetId="10" hidden="1">#REF!</definedName>
    <definedName name="FDP_169_1_aDrv" localSheetId="16" hidden="1">#REF!</definedName>
    <definedName name="FDP_169_1_aDrv" localSheetId="19" hidden="1">#REF!</definedName>
    <definedName name="FDP_169_1_aDrv" localSheetId="18" hidden="1">#REF!</definedName>
    <definedName name="FDP_169_1_aDrv" hidden="1">#REF!</definedName>
    <definedName name="FDP_17_1_aUrv" localSheetId="6" hidden="1">#REF!</definedName>
    <definedName name="FDP_17_1_aUrv" localSheetId="3" hidden="1">#REF!</definedName>
    <definedName name="FDP_17_1_aUrv" localSheetId="10" hidden="1">#REF!</definedName>
    <definedName name="FDP_17_1_aUrv" localSheetId="16" hidden="1">#REF!</definedName>
    <definedName name="FDP_17_1_aUrv" localSheetId="19" hidden="1">#REF!</definedName>
    <definedName name="FDP_17_1_aUrv" localSheetId="18" hidden="1">#REF!</definedName>
    <definedName name="FDP_17_1_aUrv" hidden="1">#REF!</definedName>
    <definedName name="FDP_170_1_aDrv" localSheetId="6" hidden="1">#REF!</definedName>
    <definedName name="FDP_170_1_aDrv" localSheetId="3" hidden="1">#REF!</definedName>
    <definedName name="FDP_170_1_aDrv" localSheetId="10" hidden="1">#REF!</definedName>
    <definedName name="FDP_170_1_aDrv" localSheetId="16" hidden="1">#REF!</definedName>
    <definedName name="FDP_170_1_aDrv" localSheetId="19" hidden="1">#REF!</definedName>
    <definedName name="FDP_170_1_aDrv" localSheetId="18" hidden="1">#REF!</definedName>
    <definedName name="FDP_170_1_aDrv" hidden="1">#REF!</definedName>
    <definedName name="FDP_171_1_aDrv" localSheetId="6" hidden="1">#REF!</definedName>
    <definedName name="FDP_171_1_aDrv" localSheetId="3" hidden="1">#REF!</definedName>
    <definedName name="FDP_171_1_aDrv" localSheetId="10" hidden="1">#REF!</definedName>
    <definedName name="FDP_171_1_aDrv" localSheetId="16" hidden="1">#REF!</definedName>
    <definedName name="FDP_171_1_aDrv" localSheetId="19" hidden="1">#REF!</definedName>
    <definedName name="FDP_171_1_aDrv" localSheetId="18" hidden="1">#REF!</definedName>
    <definedName name="FDP_171_1_aDrv" hidden="1">#REF!</definedName>
    <definedName name="FDP_172_1_aDrv" localSheetId="6" hidden="1">#REF!</definedName>
    <definedName name="FDP_172_1_aDrv" localSheetId="3" hidden="1">#REF!</definedName>
    <definedName name="FDP_172_1_aDrv" localSheetId="10" hidden="1">#REF!</definedName>
    <definedName name="FDP_172_1_aDrv" localSheetId="16" hidden="1">#REF!</definedName>
    <definedName name="FDP_172_1_aDrv" localSheetId="19" hidden="1">#REF!</definedName>
    <definedName name="FDP_172_1_aDrv" localSheetId="18" hidden="1">#REF!</definedName>
    <definedName name="FDP_172_1_aDrv" hidden="1">#REF!</definedName>
    <definedName name="FDP_173_1_aDrv" localSheetId="6" hidden="1">#REF!</definedName>
    <definedName name="FDP_173_1_aDrv" localSheetId="3" hidden="1">#REF!</definedName>
    <definedName name="FDP_173_1_aDrv" localSheetId="10" hidden="1">#REF!</definedName>
    <definedName name="FDP_173_1_aDrv" localSheetId="16" hidden="1">#REF!</definedName>
    <definedName name="FDP_173_1_aDrv" localSheetId="19" hidden="1">#REF!</definedName>
    <definedName name="FDP_173_1_aDrv" localSheetId="18" hidden="1">#REF!</definedName>
    <definedName name="FDP_173_1_aDrv" hidden="1">#REF!</definedName>
    <definedName name="FDP_174_1_aDrv" localSheetId="6" hidden="1">#REF!</definedName>
    <definedName name="FDP_174_1_aDrv" localSheetId="3" hidden="1">#REF!</definedName>
    <definedName name="FDP_174_1_aDrv" localSheetId="10" hidden="1">#REF!</definedName>
    <definedName name="FDP_174_1_aDrv" localSheetId="16" hidden="1">#REF!</definedName>
    <definedName name="FDP_174_1_aDrv" localSheetId="19" hidden="1">#REF!</definedName>
    <definedName name="FDP_174_1_aDrv" localSheetId="18" hidden="1">#REF!</definedName>
    <definedName name="FDP_174_1_aDrv" hidden="1">#REF!</definedName>
    <definedName name="FDP_175_1_aDrv" localSheetId="6" hidden="1">#REF!</definedName>
    <definedName name="FDP_175_1_aDrv" localSheetId="3" hidden="1">#REF!</definedName>
    <definedName name="FDP_175_1_aDrv" localSheetId="10" hidden="1">#REF!</definedName>
    <definedName name="FDP_175_1_aDrv" localSheetId="16" hidden="1">#REF!</definedName>
    <definedName name="FDP_175_1_aDrv" localSheetId="19" hidden="1">#REF!</definedName>
    <definedName name="FDP_175_1_aDrv" localSheetId="18" hidden="1">#REF!</definedName>
    <definedName name="FDP_175_1_aDrv" hidden="1">#REF!</definedName>
    <definedName name="FDP_176_1_aDrv" localSheetId="6" hidden="1">#REF!</definedName>
    <definedName name="FDP_176_1_aDrv" localSheetId="3" hidden="1">#REF!</definedName>
    <definedName name="FDP_176_1_aDrv" localSheetId="10" hidden="1">#REF!</definedName>
    <definedName name="FDP_176_1_aDrv" localSheetId="16" hidden="1">#REF!</definedName>
    <definedName name="FDP_176_1_aDrv" localSheetId="19" hidden="1">#REF!</definedName>
    <definedName name="FDP_176_1_aDrv" localSheetId="18" hidden="1">#REF!</definedName>
    <definedName name="FDP_176_1_aDrv" hidden="1">#REF!</definedName>
    <definedName name="FDP_177_1_aDrv" localSheetId="6" hidden="1">#REF!</definedName>
    <definedName name="FDP_177_1_aDrv" localSheetId="3" hidden="1">#REF!</definedName>
    <definedName name="FDP_177_1_aDrv" localSheetId="10" hidden="1">#REF!</definedName>
    <definedName name="FDP_177_1_aDrv" localSheetId="16" hidden="1">#REF!</definedName>
    <definedName name="FDP_177_1_aDrv" localSheetId="19" hidden="1">#REF!</definedName>
    <definedName name="FDP_177_1_aDrv" localSheetId="18" hidden="1">#REF!</definedName>
    <definedName name="FDP_177_1_aDrv" hidden="1">#REF!</definedName>
    <definedName name="FDP_178_1_aDrv" localSheetId="6" hidden="1">#REF!</definedName>
    <definedName name="FDP_178_1_aDrv" localSheetId="3" hidden="1">#REF!</definedName>
    <definedName name="FDP_178_1_aDrv" localSheetId="10" hidden="1">#REF!</definedName>
    <definedName name="FDP_178_1_aDrv" localSheetId="16" hidden="1">#REF!</definedName>
    <definedName name="FDP_178_1_aDrv" localSheetId="19" hidden="1">#REF!</definedName>
    <definedName name="FDP_178_1_aDrv" localSheetId="18" hidden="1">#REF!</definedName>
    <definedName name="FDP_178_1_aDrv" hidden="1">#REF!</definedName>
    <definedName name="FDP_179_1_aUrv" localSheetId="6" hidden="1">#REF!</definedName>
    <definedName name="FDP_179_1_aUrv" localSheetId="3" hidden="1">#REF!</definedName>
    <definedName name="FDP_179_1_aUrv" localSheetId="10" hidden="1">#REF!</definedName>
    <definedName name="FDP_179_1_aUrv" localSheetId="16" hidden="1">#REF!</definedName>
    <definedName name="FDP_179_1_aUrv" localSheetId="19" hidden="1">#REF!</definedName>
    <definedName name="FDP_179_1_aUrv" localSheetId="18" hidden="1">#REF!</definedName>
    <definedName name="FDP_179_1_aUrv" hidden="1">#REF!</definedName>
    <definedName name="FDP_18_1_aUrv" localSheetId="6" hidden="1">#REF!</definedName>
    <definedName name="FDP_18_1_aUrv" localSheetId="3" hidden="1">#REF!</definedName>
    <definedName name="FDP_18_1_aUrv" localSheetId="10" hidden="1">#REF!</definedName>
    <definedName name="FDP_18_1_aUrv" localSheetId="16" hidden="1">#REF!</definedName>
    <definedName name="FDP_18_1_aUrv" localSheetId="19" hidden="1">#REF!</definedName>
    <definedName name="FDP_18_1_aUrv" localSheetId="18" hidden="1">#REF!</definedName>
    <definedName name="FDP_18_1_aUrv" hidden="1">#REF!</definedName>
    <definedName name="FDP_180_1_aUrv" localSheetId="6" hidden="1">#REF!</definedName>
    <definedName name="FDP_180_1_aUrv" localSheetId="3" hidden="1">#REF!</definedName>
    <definedName name="FDP_180_1_aUrv" localSheetId="10" hidden="1">#REF!</definedName>
    <definedName name="FDP_180_1_aUrv" localSheetId="16" hidden="1">#REF!</definedName>
    <definedName name="FDP_180_1_aUrv" localSheetId="19" hidden="1">#REF!</definedName>
    <definedName name="FDP_180_1_aUrv" localSheetId="18" hidden="1">#REF!</definedName>
    <definedName name="FDP_180_1_aUrv" hidden="1">#REF!</definedName>
    <definedName name="FDP_181_1_aUrv" localSheetId="6" hidden="1">#REF!</definedName>
    <definedName name="FDP_181_1_aUrv" localSheetId="3" hidden="1">#REF!</definedName>
    <definedName name="FDP_181_1_aUrv" localSheetId="10" hidden="1">#REF!</definedName>
    <definedName name="FDP_181_1_aUrv" localSheetId="16" hidden="1">#REF!</definedName>
    <definedName name="FDP_181_1_aUrv" localSheetId="19" hidden="1">#REF!</definedName>
    <definedName name="FDP_181_1_aUrv" localSheetId="18" hidden="1">#REF!</definedName>
    <definedName name="FDP_181_1_aUrv" hidden="1">#REF!</definedName>
    <definedName name="FDP_182_1_aDrv" localSheetId="6" hidden="1">#REF!</definedName>
    <definedName name="FDP_182_1_aDrv" localSheetId="3" hidden="1">#REF!</definedName>
    <definedName name="FDP_182_1_aDrv" localSheetId="10" hidden="1">#REF!</definedName>
    <definedName name="FDP_182_1_aDrv" localSheetId="16" hidden="1">#REF!</definedName>
    <definedName name="FDP_182_1_aDrv" localSheetId="19" hidden="1">#REF!</definedName>
    <definedName name="FDP_182_1_aDrv" localSheetId="18" hidden="1">#REF!</definedName>
    <definedName name="FDP_182_1_aDrv" hidden="1">#REF!</definedName>
    <definedName name="FDP_183_1_aDrv" localSheetId="6" hidden="1">#REF!</definedName>
    <definedName name="FDP_183_1_aDrv" localSheetId="3" hidden="1">#REF!</definedName>
    <definedName name="FDP_183_1_aDrv" localSheetId="10" hidden="1">#REF!</definedName>
    <definedName name="FDP_183_1_aDrv" localSheetId="16" hidden="1">#REF!</definedName>
    <definedName name="FDP_183_1_aDrv" localSheetId="19" hidden="1">#REF!</definedName>
    <definedName name="FDP_183_1_aDrv" localSheetId="18" hidden="1">#REF!</definedName>
    <definedName name="FDP_183_1_aDrv" hidden="1">#REF!</definedName>
    <definedName name="FDP_184_1_aUdv" localSheetId="6" hidden="1">#REF!</definedName>
    <definedName name="FDP_184_1_aUdv" localSheetId="3" hidden="1">#REF!</definedName>
    <definedName name="FDP_184_1_aUdv" localSheetId="10" hidden="1">#REF!</definedName>
    <definedName name="FDP_184_1_aUdv" localSheetId="16" hidden="1">#REF!</definedName>
    <definedName name="FDP_184_1_aUdv" localSheetId="19" hidden="1">#REF!</definedName>
    <definedName name="FDP_184_1_aUdv" localSheetId="18" hidden="1">#REF!</definedName>
    <definedName name="FDP_184_1_aUdv" hidden="1">#REF!</definedName>
    <definedName name="FDP_185_1_aUdv" localSheetId="6" hidden="1">#REF!</definedName>
    <definedName name="FDP_185_1_aUdv" localSheetId="3" hidden="1">#REF!</definedName>
    <definedName name="FDP_185_1_aUdv" localSheetId="10" hidden="1">#REF!</definedName>
    <definedName name="FDP_185_1_aUdv" localSheetId="16" hidden="1">#REF!</definedName>
    <definedName name="FDP_185_1_aUdv" localSheetId="19" hidden="1">#REF!</definedName>
    <definedName name="FDP_185_1_aUdv" localSheetId="18" hidden="1">#REF!</definedName>
    <definedName name="FDP_185_1_aUdv" hidden="1">#REF!</definedName>
    <definedName name="FDP_186_1_aUdv" localSheetId="6" hidden="1">#REF!</definedName>
    <definedName name="FDP_186_1_aUdv" localSheetId="3" hidden="1">#REF!</definedName>
    <definedName name="FDP_186_1_aUdv" localSheetId="10" hidden="1">#REF!</definedName>
    <definedName name="FDP_186_1_aUdv" localSheetId="16" hidden="1">#REF!</definedName>
    <definedName name="FDP_186_1_aUdv" localSheetId="19" hidden="1">#REF!</definedName>
    <definedName name="FDP_186_1_aUdv" localSheetId="18" hidden="1">#REF!</definedName>
    <definedName name="FDP_186_1_aUdv" hidden="1">#REF!</definedName>
    <definedName name="FDP_187_1_aUdv" localSheetId="6" hidden="1">#REF!</definedName>
    <definedName name="FDP_187_1_aUdv" localSheetId="3" hidden="1">#REF!</definedName>
    <definedName name="FDP_187_1_aUdv" localSheetId="10" hidden="1">#REF!</definedName>
    <definedName name="FDP_187_1_aUdv" localSheetId="16" hidden="1">#REF!</definedName>
    <definedName name="FDP_187_1_aUdv" localSheetId="19" hidden="1">#REF!</definedName>
    <definedName name="FDP_187_1_aUdv" localSheetId="18" hidden="1">#REF!</definedName>
    <definedName name="FDP_187_1_aUdv" hidden="1">#REF!</definedName>
    <definedName name="FDP_188_1_aUdv" localSheetId="6" hidden="1">#REF!</definedName>
    <definedName name="FDP_188_1_aUdv" localSheetId="3" hidden="1">#REF!</definedName>
    <definedName name="FDP_188_1_aUdv" localSheetId="10" hidden="1">#REF!</definedName>
    <definedName name="FDP_188_1_aUdv" localSheetId="16" hidden="1">#REF!</definedName>
    <definedName name="FDP_188_1_aUdv" localSheetId="19" hidden="1">#REF!</definedName>
    <definedName name="FDP_188_1_aUdv" localSheetId="18" hidden="1">#REF!</definedName>
    <definedName name="FDP_188_1_aUdv" hidden="1">#REF!</definedName>
    <definedName name="FDP_189_1_aUdv" localSheetId="6" hidden="1">#REF!</definedName>
    <definedName name="FDP_189_1_aUdv" localSheetId="3" hidden="1">#REF!</definedName>
    <definedName name="FDP_189_1_aUdv" localSheetId="10" hidden="1">#REF!</definedName>
    <definedName name="FDP_189_1_aUdv" localSheetId="16" hidden="1">#REF!</definedName>
    <definedName name="FDP_189_1_aUdv" localSheetId="19" hidden="1">#REF!</definedName>
    <definedName name="FDP_189_1_aUdv" localSheetId="18" hidden="1">#REF!</definedName>
    <definedName name="FDP_189_1_aUdv" hidden="1">#REF!</definedName>
    <definedName name="FDP_19_1_aDrv" localSheetId="6" hidden="1">#REF!</definedName>
    <definedName name="FDP_19_1_aDrv" localSheetId="3" hidden="1">#REF!</definedName>
    <definedName name="FDP_19_1_aDrv" localSheetId="10" hidden="1">#REF!</definedName>
    <definedName name="FDP_19_1_aDrv" localSheetId="16" hidden="1">#REF!</definedName>
    <definedName name="FDP_19_1_aDrv" localSheetId="19" hidden="1">#REF!</definedName>
    <definedName name="FDP_19_1_aDrv" localSheetId="18" hidden="1">#REF!</definedName>
    <definedName name="FDP_19_1_aDrv" hidden="1">#REF!</definedName>
    <definedName name="FDP_190_1_aUdv" localSheetId="6" hidden="1">#REF!</definedName>
    <definedName name="FDP_190_1_aUdv" localSheetId="3" hidden="1">#REF!</definedName>
    <definedName name="FDP_190_1_aUdv" localSheetId="10" hidden="1">#REF!</definedName>
    <definedName name="FDP_190_1_aUdv" localSheetId="16" hidden="1">#REF!</definedName>
    <definedName name="FDP_190_1_aUdv" localSheetId="19" hidden="1">#REF!</definedName>
    <definedName name="FDP_190_1_aUdv" localSheetId="18" hidden="1">#REF!</definedName>
    <definedName name="FDP_190_1_aUdv" hidden="1">#REF!</definedName>
    <definedName name="FDP_191_1_aUdv" localSheetId="6" hidden="1">#REF!</definedName>
    <definedName name="FDP_191_1_aUdv" localSheetId="3" hidden="1">#REF!</definedName>
    <definedName name="FDP_191_1_aUdv" localSheetId="10" hidden="1">#REF!</definedName>
    <definedName name="FDP_191_1_aUdv" localSheetId="16" hidden="1">#REF!</definedName>
    <definedName name="FDP_191_1_aUdv" localSheetId="19" hidden="1">#REF!</definedName>
    <definedName name="FDP_191_1_aUdv" localSheetId="18" hidden="1">#REF!</definedName>
    <definedName name="FDP_191_1_aUdv" hidden="1">#REF!</definedName>
    <definedName name="FDP_192_1_aUdv" localSheetId="6" hidden="1">#REF!</definedName>
    <definedName name="FDP_192_1_aUdv" localSheetId="3" hidden="1">#REF!</definedName>
    <definedName name="FDP_192_1_aUdv" localSheetId="10" hidden="1">#REF!</definedName>
    <definedName name="FDP_192_1_aUdv" localSheetId="16" hidden="1">#REF!</definedName>
    <definedName name="FDP_192_1_aUdv" localSheetId="19" hidden="1">#REF!</definedName>
    <definedName name="FDP_192_1_aUdv" localSheetId="18" hidden="1">#REF!</definedName>
    <definedName name="FDP_192_1_aUdv" hidden="1">#REF!</definedName>
    <definedName name="FDP_193_1_aUdv" localSheetId="6" hidden="1">#REF!</definedName>
    <definedName name="FDP_193_1_aUdv" localSheetId="3" hidden="1">#REF!</definedName>
    <definedName name="FDP_193_1_aUdv" localSheetId="10" hidden="1">#REF!</definedName>
    <definedName name="FDP_193_1_aUdv" localSheetId="16" hidden="1">#REF!</definedName>
    <definedName name="FDP_193_1_aUdv" localSheetId="19" hidden="1">#REF!</definedName>
    <definedName name="FDP_193_1_aUdv" localSheetId="18" hidden="1">#REF!</definedName>
    <definedName name="FDP_193_1_aUdv" hidden="1">#REF!</definedName>
    <definedName name="FDP_194_1_aUdv" localSheetId="6" hidden="1">#REF!</definedName>
    <definedName name="FDP_194_1_aUdv" localSheetId="3" hidden="1">#REF!</definedName>
    <definedName name="FDP_194_1_aUdv" localSheetId="10" hidden="1">#REF!</definedName>
    <definedName name="FDP_194_1_aUdv" localSheetId="16" hidden="1">#REF!</definedName>
    <definedName name="FDP_194_1_aUdv" localSheetId="19" hidden="1">#REF!</definedName>
    <definedName name="FDP_194_1_aUdv" localSheetId="18" hidden="1">#REF!</definedName>
    <definedName name="FDP_194_1_aUdv" hidden="1">#REF!</definedName>
    <definedName name="FDP_195_1_aUdv" localSheetId="6" hidden="1">#REF!</definedName>
    <definedName name="FDP_195_1_aUdv" localSheetId="3" hidden="1">#REF!</definedName>
    <definedName name="FDP_195_1_aUdv" localSheetId="10" hidden="1">#REF!</definedName>
    <definedName name="FDP_195_1_aUdv" localSheetId="16" hidden="1">#REF!</definedName>
    <definedName name="FDP_195_1_aUdv" localSheetId="19" hidden="1">#REF!</definedName>
    <definedName name="FDP_195_1_aUdv" localSheetId="18" hidden="1">#REF!</definedName>
    <definedName name="FDP_195_1_aUdv" hidden="1">#REF!</definedName>
    <definedName name="FDP_196_1_aUdv" localSheetId="6" hidden="1">#REF!</definedName>
    <definedName name="FDP_196_1_aUdv" localSheetId="3" hidden="1">#REF!</definedName>
    <definedName name="FDP_196_1_aUdv" localSheetId="10" hidden="1">#REF!</definedName>
    <definedName name="FDP_196_1_aUdv" localSheetId="16" hidden="1">#REF!</definedName>
    <definedName name="FDP_196_1_aUdv" localSheetId="19" hidden="1">#REF!</definedName>
    <definedName name="FDP_196_1_aUdv" localSheetId="18" hidden="1">#REF!</definedName>
    <definedName name="FDP_196_1_aUdv" hidden="1">#REF!</definedName>
    <definedName name="FDP_197_1_aUdv" localSheetId="6" hidden="1">#REF!</definedName>
    <definedName name="FDP_197_1_aUdv" localSheetId="3" hidden="1">#REF!</definedName>
    <definedName name="FDP_197_1_aUdv" localSheetId="10" hidden="1">#REF!</definedName>
    <definedName name="FDP_197_1_aUdv" localSheetId="16" hidden="1">#REF!</definedName>
    <definedName name="FDP_197_1_aUdv" localSheetId="19" hidden="1">#REF!</definedName>
    <definedName name="FDP_197_1_aUdv" localSheetId="18" hidden="1">#REF!</definedName>
    <definedName name="FDP_197_1_aUdv" hidden="1">#REF!</definedName>
    <definedName name="FDP_198_1_aUdv" localSheetId="6" hidden="1">#REF!</definedName>
    <definedName name="FDP_198_1_aUdv" localSheetId="3" hidden="1">#REF!</definedName>
    <definedName name="FDP_198_1_aUdv" localSheetId="10" hidden="1">#REF!</definedName>
    <definedName name="FDP_198_1_aUdv" localSheetId="16" hidden="1">#REF!</definedName>
    <definedName name="FDP_198_1_aUdv" localSheetId="19" hidden="1">#REF!</definedName>
    <definedName name="FDP_198_1_aUdv" localSheetId="18" hidden="1">#REF!</definedName>
    <definedName name="FDP_198_1_aUdv" hidden="1">#REF!</definedName>
    <definedName name="FDP_199_1_aUdv" localSheetId="6" hidden="1">#REF!</definedName>
    <definedName name="FDP_199_1_aUdv" localSheetId="3" hidden="1">#REF!</definedName>
    <definedName name="FDP_199_1_aUdv" localSheetId="10" hidden="1">#REF!</definedName>
    <definedName name="FDP_199_1_aUdv" localSheetId="16" hidden="1">#REF!</definedName>
    <definedName name="FDP_199_1_aUdv" localSheetId="19" hidden="1">#REF!</definedName>
    <definedName name="FDP_199_1_aUdv" localSheetId="18" hidden="1">#REF!</definedName>
    <definedName name="FDP_199_1_aUdv" hidden="1">#REF!</definedName>
    <definedName name="FDP_2_1_aUrv" localSheetId="6" hidden="1">#REF!</definedName>
    <definedName name="FDP_2_1_aUrv" localSheetId="3" hidden="1">#REF!</definedName>
    <definedName name="FDP_2_1_aUrv" localSheetId="10" hidden="1">#REF!</definedName>
    <definedName name="FDP_2_1_aUrv" localSheetId="16" hidden="1">#REF!</definedName>
    <definedName name="FDP_2_1_aUrv" localSheetId="19" hidden="1">#REF!</definedName>
    <definedName name="FDP_2_1_aUrv" localSheetId="18" hidden="1">#REF!</definedName>
    <definedName name="FDP_2_1_aUrv" hidden="1">#REF!</definedName>
    <definedName name="FDP_20_1_aDrv" localSheetId="6" hidden="1">#REF!</definedName>
    <definedName name="FDP_20_1_aDrv" localSheetId="3" hidden="1">#REF!</definedName>
    <definedName name="FDP_20_1_aDrv" localSheetId="10" hidden="1">#REF!</definedName>
    <definedName name="FDP_20_1_aDrv" localSheetId="16" hidden="1">#REF!</definedName>
    <definedName name="FDP_20_1_aDrv" localSheetId="19" hidden="1">#REF!</definedName>
    <definedName name="FDP_20_1_aDrv" localSheetId="18" hidden="1">#REF!</definedName>
    <definedName name="FDP_20_1_aDrv" hidden="1">#REF!</definedName>
    <definedName name="FDP_200_1_aDdv" localSheetId="6" hidden="1">#REF!</definedName>
    <definedName name="FDP_200_1_aDdv" localSheetId="3" hidden="1">#REF!</definedName>
    <definedName name="FDP_200_1_aDdv" localSheetId="10" hidden="1">#REF!</definedName>
    <definedName name="FDP_200_1_aDdv" localSheetId="16" hidden="1">#REF!</definedName>
    <definedName name="FDP_200_1_aDdv" localSheetId="19" hidden="1">#REF!</definedName>
    <definedName name="FDP_200_1_aDdv" localSheetId="18" hidden="1">#REF!</definedName>
    <definedName name="FDP_200_1_aDdv" hidden="1">#REF!</definedName>
    <definedName name="FDP_201_1_aDdv" localSheetId="6" hidden="1">#REF!</definedName>
    <definedName name="FDP_201_1_aDdv" localSheetId="3" hidden="1">#REF!</definedName>
    <definedName name="FDP_201_1_aDdv" localSheetId="10" hidden="1">#REF!</definedName>
    <definedName name="FDP_201_1_aDdv" localSheetId="16" hidden="1">#REF!</definedName>
    <definedName name="FDP_201_1_aDdv" localSheetId="19" hidden="1">#REF!</definedName>
    <definedName name="FDP_201_1_aDdv" localSheetId="18" hidden="1">#REF!</definedName>
    <definedName name="FDP_201_1_aDdv" hidden="1">#REF!</definedName>
    <definedName name="FDP_202_1_aDdv" localSheetId="6" hidden="1">#REF!</definedName>
    <definedName name="FDP_202_1_aDdv" localSheetId="3" hidden="1">#REF!</definedName>
    <definedName name="FDP_202_1_aDdv" localSheetId="10" hidden="1">#REF!</definedName>
    <definedName name="FDP_202_1_aDdv" localSheetId="16" hidden="1">#REF!</definedName>
    <definedName name="FDP_202_1_aDdv" localSheetId="19" hidden="1">#REF!</definedName>
    <definedName name="FDP_202_1_aDdv" localSheetId="18" hidden="1">#REF!</definedName>
    <definedName name="FDP_202_1_aDdv" hidden="1">#REF!</definedName>
    <definedName name="FDP_203_1_aDdv" localSheetId="6" hidden="1">#REF!</definedName>
    <definedName name="FDP_203_1_aDdv" localSheetId="3" hidden="1">#REF!</definedName>
    <definedName name="FDP_203_1_aDdv" localSheetId="10" hidden="1">#REF!</definedName>
    <definedName name="FDP_203_1_aDdv" localSheetId="16" hidden="1">#REF!</definedName>
    <definedName name="FDP_203_1_aDdv" localSheetId="19" hidden="1">#REF!</definedName>
    <definedName name="FDP_203_1_aDdv" localSheetId="18" hidden="1">#REF!</definedName>
    <definedName name="FDP_203_1_aDdv" hidden="1">#REF!</definedName>
    <definedName name="FDP_204_1_aUrv" localSheetId="6" hidden="1">#REF!</definedName>
    <definedName name="FDP_204_1_aUrv" localSheetId="3" hidden="1">#REF!</definedName>
    <definedName name="FDP_204_1_aUrv" localSheetId="10" hidden="1">#REF!</definedName>
    <definedName name="FDP_204_1_aUrv" localSheetId="16" hidden="1">#REF!</definedName>
    <definedName name="FDP_204_1_aUrv" localSheetId="19" hidden="1">#REF!</definedName>
    <definedName name="FDP_204_1_aUrv" localSheetId="18" hidden="1">#REF!</definedName>
    <definedName name="FDP_204_1_aUrv" hidden="1">#REF!</definedName>
    <definedName name="FDP_205_1_aUrv" localSheetId="6" hidden="1">#REF!</definedName>
    <definedName name="FDP_205_1_aUrv" localSheetId="3" hidden="1">#REF!</definedName>
    <definedName name="FDP_205_1_aUrv" localSheetId="10" hidden="1">#REF!</definedName>
    <definedName name="FDP_205_1_aUrv" localSheetId="16" hidden="1">#REF!</definedName>
    <definedName name="FDP_205_1_aUrv" localSheetId="19" hidden="1">#REF!</definedName>
    <definedName name="FDP_205_1_aUrv" localSheetId="18" hidden="1">#REF!</definedName>
    <definedName name="FDP_205_1_aUrv" hidden="1">#REF!</definedName>
    <definedName name="FDP_206_1_aDrv" localSheetId="6" hidden="1">#REF!</definedName>
    <definedName name="FDP_206_1_aDrv" localSheetId="3" hidden="1">#REF!</definedName>
    <definedName name="FDP_206_1_aDrv" localSheetId="10" hidden="1">#REF!</definedName>
    <definedName name="FDP_206_1_aDrv" localSheetId="16" hidden="1">#REF!</definedName>
    <definedName name="FDP_206_1_aDrv" localSheetId="19" hidden="1">#REF!</definedName>
    <definedName name="FDP_206_1_aDrv" localSheetId="18" hidden="1">#REF!</definedName>
    <definedName name="FDP_206_1_aDrv" hidden="1">#REF!</definedName>
    <definedName name="FDP_21_1_aDrv" localSheetId="6" hidden="1">#REF!</definedName>
    <definedName name="FDP_21_1_aDrv" localSheetId="3" hidden="1">#REF!</definedName>
    <definedName name="FDP_21_1_aDrv" localSheetId="10" hidden="1">#REF!</definedName>
    <definedName name="FDP_21_1_aDrv" localSheetId="16" hidden="1">#REF!</definedName>
    <definedName name="FDP_21_1_aDrv" localSheetId="19" hidden="1">#REF!</definedName>
    <definedName name="FDP_21_1_aDrv" localSheetId="18" hidden="1">#REF!</definedName>
    <definedName name="FDP_21_1_aDrv" hidden="1">#REF!</definedName>
    <definedName name="FDP_22_1_aDrv" localSheetId="6" hidden="1">#REF!</definedName>
    <definedName name="FDP_22_1_aDrv" localSheetId="3" hidden="1">#REF!</definedName>
    <definedName name="FDP_22_1_aDrv" localSheetId="10" hidden="1">#REF!</definedName>
    <definedName name="FDP_22_1_aDrv" localSheetId="16" hidden="1">#REF!</definedName>
    <definedName name="FDP_22_1_aDrv" localSheetId="19" hidden="1">#REF!</definedName>
    <definedName name="FDP_22_1_aDrv" localSheetId="18" hidden="1">#REF!</definedName>
    <definedName name="FDP_22_1_aDrv" hidden="1">#REF!</definedName>
    <definedName name="FDP_23_1_aDrv" localSheetId="6" hidden="1">#REF!</definedName>
    <definedName name="FDP_23_1_aDrv" localSheetId="3" hidden="1">#REF!</definedName>
    <definedName name="FDP_23_1_aDrv" localSheetId="10" hidden="1">#REF!</definedName>
    <definedName name="FDP_23_1_aDrv" localSheetId="16" hidden="1">#REF!</definedName>
    <definedName name="FDP_23_1_aDrv" localSheetId="19" hidden="1">#REF!</definedName>
    <definedName name="FDP_23_1_aDrv" localSheetId="18" hidden="1">#REF!</definedName>
    <definedName name="FDP_23_1_aDrv" hidden="1">#REF!</definedName>
    <definedName name="FDP_24_1_aDrv" localSheetId="6" hidden="1">#REF!</definedName>
    <definedName name="FDP_24_1_aDrv" localSheetId="3" hidden="1">#REF!</definedName>
    <definedName name="FDP_24_1_aDrv" localSheetId="10" hidden="1">#REF!</definedName>
    <definedName name="FDP_24_1_aDrv" localSheetId="16" hidden="1">#REF!</definedName>
    <definedName name="FDP_24_1_aDrv" localSheetId="19" hidden="1">#REF!</definedName>
    <definedName name="FDP_24_1_aDrv" localSheetId="18" hidden="1">#REF!</definedName>
    <definedName name="FDP_24_1_aDrv" hidden="1">#REF!</definedName>
    <definedName name="FDP_25_1_aUrv" localSheetId="6" hidden="1">#REF!</definedName>
    <definedName name="FDP_25_1_aUrv" localSheetId="3" hidden="1">#REF!</definedName>
    <definedName name="FDP_25_1_aUrv" localSheetId="10" hidden="1">#REF!</definedName>
    <definedName name="FDP_25_1_aUrv" localSheetId="16" hidden="1">#REF!</definedName>
    <definedName name="FDP_25_1_aUrv" localSheetId="19" hidden="1">#REF!</definedName>
    <definedName name="FDP_25_1_aUrv" localSheetId="18" hidden="1">#REF!</definedName>
    <definedName name="FDP_25_1_aUrv" hidden="1">#REF!</definedName>
    <definedName name="FDP_26_1_aUrv" localSheetId="6" hidden="1">#REF!</definedName>
    <definedName name="FDP_26_1_aUrv" localSheetId="3" hidden="1">#REF!</definedName>
    <definedName name="FDP_26_1_aUrv" localSheetId="10" hidden="1">#REF!</definedName>
    <definedName name="FDP_26_1_aUrv" localSheetId="16" hidden="1">#REF!</definedName>
    <definedName name="FDP_26_1_aUrv" localSheetId="19" hidden="1">#REF!</definedName>
    <definedName name="FDP_26_1_aUrv" localSheetId="18" hidden="1">#REF!</definedName>
    <definedName name="FDP_26_1_aUrv" hidden="1">#REF!</definedName>
    <definedName name="FDP_27_1_aDrv" localSheetId="6" hidden="1">#REF!</definedName>
    <definedName name="FDP_27_1_aDrv" localSheetId="3" hidden="1">#REF!</definedName>
    <definedName name="FDP_27_1_aDrv" localSheetId="10" hidden="1">#REF!</definedName>
    <definedName name="FDP_27_1_aDrv" localSheetId="16" hidden="1">#REF!</definedName>
    <definedName name="FDP_27_1_aDrv" localSheetId="19" hidden="1">#REF!</definedName>
    <definedName name="FDP_27_1_aDrv" localSheetId="18" hidden="1">#REF!</definedName>
    <definedName name="FDP_27_1_aDrv" hidden="1">#REF!</definedName>
    <definedName name="FDP_28_1_aUrv" localSheetId="6" hidden="1">#REF!</definedName>
    <definedName name="FDP_28_1_aUrv" localSheetId="3" hidden="1">#REF!</definedName>
    <definedName name="FDP_28_1_aUrv" localSheetId="10" hidden="1">#REF!</definedName>
    <definedName name="FDP_28_1_aUrv" localSheetId="16" hidden="1">#REF!</definedName>
    <definedName name="FDP_28_1_aUrv" localSheetId="19" hidden="1">#REF!</definedName>
    <definedName name="FDP_28_1_aUrv" localSheetId="18" hidden="1">#REF!</definedName>
    <definedName name="FDP_28_1_aUrv" hidden="1">#REF!</definedName>
    <definedName name="FDP_29_1_aUrv" localSheetId="6" hidden="1">#REF!</definedName>
    <definedName name="FDP_29_1_aUrv" localSheetId="3" hidden="1">#REF!</definedName>
    <definedName name="FDP_29_1_aUrv" localSheetId="10" hidden="1">#REF!</definedName>
    <definedName name="FDP_29_1_aUrv" localSheetId="16" hidden="1">#REF!</definedName>
    <definedName name="FDP_29_1_aUrv" localSheetId="19" hidden="1">#REF!</definedName>
    <definedName name="FDP_29_1_aUrv" localSheetId="18" hidden="1">#REF!</definedName>
    <definedName name="FDP_29_1_aUrv" hidden="1">#REF!</definedName>
    <definedName name="FDP_3_1_aUrv" localSheetId="6" hidden="1">#REF!</definedName>
    <definedName name="FDP_3_1_aUrv" localSheetId="3" hidden="1">#REF!</definedName>
    <definedName name="FDP_3_1_aUrv" localSheetId="10" hidden="1">#REF!</definedName>
    <definedName name="FDP_3_1_aUrv" localSheetId="16" hidden="1">#REF!</definedName>
    <definedName name="FDP_3_1_aUrv" localSheetId="19" hidden="1">#REF!</definedName>
    <definedName name="FDP_3_1_aUrv" localSheetId="18" hidden="1">#REF!</definedName>
    <definedName name="FDP_3_1_aUrv" hidden="1">#REF!</definedName>
    <definedName name="FDP_30_1_aUrv" localSheetId="6" hidden="1">#REF!</definedName>
    <definedName name="FDP_30_1_aUrv" localSheetId="3" hidden="1">#REF!</definedName>
    <definedName name="FDP_30_1_aUrv" localSheetId="10" hidden="1">#REF!</definedName>
    <definedName name="FDP_30_1_aUrv" localSheetId="16" hidden="1">#REF!</definedName>
    <definedName name="FDP_30_1_aUrv" localSheetId="19" hidden="1">#REF!</definedName>
    <definedName name="FDP_30_1_aUrv" localSheetId="18" hidden="1">#REF!</definedName>
    <definedName name="FDP_30_1_aUrv" hidden="1">#REF!</definedName>
    <definedName name="FDP_31_1_aUrv" localSheetId="6" hidden="1">#REF!</definedName>
    <definedName name="FDP_31_1_aUrv" localSheetId="3" hidden="1">#REF!</definedName>
    <definedName name="FDP_31_1_aUrv" localSheetId="10" hidden="1">#REF!</definedName>
    <definedName name="FDP_31_1_aUrv" localSheetId="16" hidden="1">#REF!</definedName>
    <definedName name="FDP_31_1_aUrv" localSheetId="19" hidden="1">#REF!</definedName>
    <definedName name="FDP_31_1_aUrv" localSheetId="18" hidden="1">#REF!</definedName>
    <definedName name="FDP_31_1_aUrv" hidden="1">#REF!</definedName>
    <definedName name="FDP_32_1_aUrv" localSheetId="6" hidden="1">#REF!</definedName>
    <definedName name="FDP_32_1_aUrv" localSheetId="3" hidden="1">#REF!</definedName>
    <definedName name="FDP_32_1_aUrv" localSheetId="10" hidden="1">#REF!</definedName>
    <definedName name="FDP_32_1_aUrv" localSheetId="16" hidden="1">#REF!</definedName>
    <definedName name="FDP_32_1_aUrv" localSheetId="19" hidden="1">#REF!</definedName>
    <definedName name="FDP_32_1_aUrv" localSheetId="18" hidden="1">#REF!</definedName>
    <definedName name="FDP_32_1_aUrv" hidden="1">#REF!</definedName>
    <definedName name="FDP_33_1_aDrv" localSheetId="6" hidden="1">#REF!</definedName>
    <definedName name="FDP_33_1_aDrv" localSheetId="3" hidden="1">#REF!</definedName>
    <definedName name="FDP_33_1_aDrv" localSheetId="10" hidden="1">#REF!</definedName>
    <definedName name="FDP_33_1_aDrv" localSheetId="16" hidden="1">#REF!</definedName>
    <definedName name="FDP_33_1_aDrv" localSheetId="19" hidden="1">#REF!</definedName>
    <definedName name="FDP_33_1_aDrv" localSheetId="18" hidden="1">#REF!</definedName>
    <definedName name="FDP_33_1_aDrv" hidden="1">#REF!</definedName>
    <definedName name="FDP_34_1_aUrv" localSheetId="6" hidden="1">#REF!</definedName>
    <definedName name="FDP_34_1_aUrv" localSheetId="3" hidden="1">#REF!</definedName>
    <definedName name="FDP_34_1_aUrv" localSheetId="10" hidden="1">#REF!</definedName>
    <definedName name="FDP_34_1_aUrv" localSheetId="16" hidden="1">#REF!</definedName>
    <definedName name="FDP_34_1_aUrv" localSheetId="19" hidden="1">#REF!</definedName>
    <definedName name="FDP_34_1_aUrv" localSheetId="18" hidden="1">#REF!</definedName>
    <definedName name="FDP_34_1_aUrv" hidden="1">#REF!</definedName>
    <definedName name="FDP_35_1_aUrv" localSheetId="6" hidden="1">#REF!</definedName>
    <definedName name="FDP_35_1_aUrv" localSheetId="3" hidden="1">#REF!</definedName>
    <definedName name="FDP_35_1_aUrv" localSheetId="10" hidden="1">#REF!</definedName>
    <definedName name="FDP_35_1_aUrv" localSheetId="16" hidden="1">#REF!</definedName>
    <definedName name="FDP_35_1_aUrv" localSheetId="19" hidden="1">#REF!</definedName>
    <definedName name="FDP_35_1_aUrv" localSheetId="18" hidden="1">#REF!</definedName>
    <definedName name="FDP_35_1_aUrv" hidden="1">#REF!</definedName>
    <definedName name="FDP_36_1_aUrv" localSheetId="6" hidden="1">#REF!</definedName>
    <definedName name="FDP_36_1_aUrv" localSheetId="3" hidden="1">#REF!</definedName>
    <definedName name="FDP_36_1_aUrv" localSheetId="10" hidden="1">#REF!</definedName>
    <definedName name="FDP_36_1_aUrv" localSheetId="16" hidden="1">#REF!</definedName>
    <definedName name="FDP_36_1_aUrv" localSheetId="19" hidden="1">#REF!</definedName>
    <definedName name="FDP_36_1_aUrv" localSheetId="18" hidden="1">#REF!</definedName>
    <definedName name="FDP_36_1_aUrv" hidden="1">#REF!</definedName>
    <definedName name="FDP_37_1_aUrv" localSheetId="6" hidden="1">#REF!</definedName>
    <definedName name="FDP_37_1_aUrv" localSheetId="3" hidden="1">#REF!</definedName>
    <definedName name="FDP_37_1_aUrv" localSheetId="10" hidden="1">#REF!</definedName>
    <definedName name="FDP_37_1_aUrv" localSheetId="16" hidden="1">#REF!</definedName>
    <definedName name="FDP_37_1_aUrv" localSheetId="19" hidden="1">#REF!</definedName>
    <definedName name="FDP_37_1_aUrv" localSheetId="18" hidden="1">#REF!</definedName>
    <definedName name="FDP_37_1_aUrv" hidden="1">#REF!</definedName>
    <definedName name="FDP_38_1_aUrv" localSheetId="6" hidden="1">#REF!</definedName>
    <definedName name="FDP_38_1_aUrv" localSheetId="3" hidden="1">#REF!</definedName>
    <definedName name="FDP_38_1_aUrv" localSheetId="10" hidden="1">#REF!</definedName>
    <definedName name="FDP_38_1_aUrv" localSheetId="16" hidden="1">#REF!</definedName>
    <definedName name="FDP_38_1_aUrv" localSheetId="19" hidden="1">#REF!</definedName>
    <definedName name="FDP_38_1_aUrv" localSheetId="18" hidden="1">#REF!</definedName>
    <definedName name="FDP_38_1_aUrv" hidden="1">#REF!</definedName>
    <definedName name="FDP_39_1_aSrv" localSheetId="6" hidden="1">#REF!</definedName>
    <definedName name="FDP_39_1_aSrv" localSheetId="3" hidden="1">#REF!</definedName>
    <definedName name="FDP_39_1_aSrv" localSheetId="10" hidden="1">#REF!</definedName>
    <definedName name="FDP_39_1_aSrv" localSheetId="16" hidden="1">#REF!</definedName>
    <definedName name="FDP_39_1_aSrv" localSheetId="19" hidden="1">#REF!</definedName>
    <definedName name="FDP_39_1_aSrv" localSheetId="18" hidden="1">#REF!</definedName>
    <definedName name="FDP_39_1_aSrv" hidden="1">#REF!</definedName>
    <definedName name="FDP_4_1_aSrv" localSheetId="6" hidden="1">#REF!</definedName>
    <definedName name="FDP_4_1_aSrv" localSheetId="3" hidden="1">#REF!</definedName>
    <definedName name="FDP_4_1_aSrv" localSheetId="10" hidden="1">#REF!</definedName>
    <definedName name="FDP_4_1_aSrv" localSheetId="16" hidden="1">#REF!</definedName>
    <definedName name="FDP_4_1_aSrv" localSheetId="19" hidden="1">#REF!</definedName>
    <definedName name="FDP_4_1_aSrv" localSheetId="18" hidden="1">#REF!</definedName>
    <definedName name="FDP_4_1_aSrv" hidden="1">#REF!</definedName>
    <definedName name="FDP_40_1_aUrv" localSheetId="6" hidden="1">#REF!</definedName>
    <definedName name="FDP_40_1_aUrv" localSheetId="3" hidden="1">#REF!</definedName>
    <definedName name="FDP_40_1_aUrv" localSheetId="10" hidden="1">#REF!</definedName>
    <definedName name="FDP_40_1_aUrv" localSheetId="16" hidden="1">#REF!</definedName>
    <definedName name="FDP_40_1_aUrv" localSheetId="19" hidden="1">#REF!</definedName>
    <definedName name="FDP_40_1_aUrv" localSheetId="18" hidden="1">#REF!</definedName>
    <definedName name="FDP_40_1_aUrv" hidden="1">#REF!</definedName>
    <definedName name="FDP_41_1_aUrv" localSheetId="6" hidden="1">#REF!</definedName>
    <definedName name="FDP_41_1_aUrv" localSheetId="3" hidden="1">#REF!</definedName>
    <definedName name="FDP_41_1_aUrv" localSheetId="10" hidden="1">#REF!</definedName>
    <definedName name="FDP_41_1_aUrv" localSheetId="16" hidden="1">#REF!</definedName>
    <definedName name="FDP_41_1_aUrv" localSheetId="19" hidden="1">#REF!</definedName>
    <definedName name="FDP_41_1_aUrv" localSheetId="18" hidden="1">#REF!</definedName>
    <definedName name="FDP_41_1_aUrv" hidden="1">#REF!</definedName>
    <definedName name="FDP_42_1_aUrv" localSheetId="6" hidden="1">#REF!</definedName>
    <definedName name="FDP_42_1_aUrv" localSheetId="3" hidden="1">#REF!</definedName>
    <definedName name="FDP_42_1_aUrv" localSheetId="10" hidden="1">#REF!</definedName>
    <definedName name="FDP_42_1_aUrv" localSheetId="16" hidden="1">#REF!</definedName>
    <definedName name="FDP_42_1_aUrv" localSheetId="19" hidden="1">#REF!</definedName>
    <definedName name="FDP_42_1_aUrv" localSheetId="18" hidden="1">#REF!</definedName>
    <definedName name="FDP_42_1_aUrv" hidden="1">#REF!</definedName>
    <definedName name="FDP_43_1_aUrv" localSheetId="6" hidden="1">#REF!</definedName>
    <definedName name="FDP_43_1_aUrv" localSheetId="3" hidden="1">#REF!</definedName>
    <definedName name="FDP_43_1_aUrv" localSheetId="10" hidden="1">#REF!</definedName>
    <definedName name="FDP_43_1_aUrv" localSheetId="16" hidden="1">#REF!</definedName>
    <definedName name="FDP_43_1_aUrv" localSheetId="19" hidden="1">#REF!</definedName>
    <definedName name="FDP_43_1_aUrv" localSheetId="18" hidden="1">#REF!</definedName>
    <definedName name="FDP_43_1_aUrv" hidden="1">#REF!</definedName>
    <definedName name="FDP_44_1_aUrv" localSheetId="6" hidden="1">#REF!</definedName>
    <definedName name="FDP_44_1_aUrv" localSheetId="3" hidden="1">#REF!</definedName>
    <definedName name="FDP_44_1_aUrv" localSheetId="10" hidden="1">#REF!</definedName>
    <definedName name="FDP_44_1_aUrv" localSheetId="16" hidden="1">#REF!</definedName>
    <definedName name="FDP_44_1_aUrv" localSheetId="19" hidden="1">#REF!</definedName>
    <definedName name="FDP_44_1_aUrv" localSheetId="18" hidden="1">#REF!</definedName>
    <definedName name="FDP_44_1_aUrv" hidden="1">#REF!</definedName>
    <definedName name="FDP_45_1_aSrv" localSheetId="6" hidden="1">#REF!</definedName>
    <definedName name="FDP_45_1_aSrv" localSheetId="3" hidden="1">#REF!</definedName>
    <definedName name="FDP_45_1_aSrv" localSheetId="10" hidden="1">#REF!</definedName>
    <definedName name="FDP_45_1_aSrv" localSheetId="16" hidden="1">#REF!</definedName>
    <definedName name="FDP_45_1_aSrv" localSheetId="19" hidden="1">#REF!</definedName>
    <definedName name="FDP_45_1_aSrv" localSheetId="18" hidden="1">#REF!</definedName>
    <definedName name="FDP_45_1_aSrv" hidden="1">#REF!</definedName>
    <definedName name="FDP_46_1_aSrv" localSheetId="6" hidden="1">#REF!</definedName>
    <definedName name="FDP_46_1_aSrv" localSheetId="3" hidden="1">#REF!</definedName>
    <definedName name="FDP_46_1_aSrv" localSheetId="10" hidden="1">#REF!</definedName>
    <definedName name="FDP_46_1_aSrv" localSheetId="16" hidden="1">#REF!</definedName>
    <definedName name="FDP_46_1_aSrv" localSheetId="19" hidden="1">#REF!</definedName>
    <definedName name="FDP_46_1_aSrv" localSheetId="18" hidden="1">#REF!</definedName>
    <definedName name="FDP_46_1_aSrv" hidden="1">#REF!</definedName>
    <definedName name="FDP_47_1_aUrv" localSheetId="6" hidden="1">#REF!</definedName>
    <definedName name="FDP_47_1_aUrv" localSheetId="3" hidden="1">#REF!</definedName>
    <definedName name="FDP_47_1_aUrv" localSheetId="10" hidden="1">#REF!</definedName>
    <definedName name="FDP_47_1_aUrv" localSheetId="16" hidden="1">#REF!</definedName>
    <definedName name="FDP_47_1_aUrv" localSheetId="19" hidden="1">#REF!</definedName>
    <definedName name="FDP_47_1_aUrv" localSheetId="18" hidden="1">#REF!</definedName>
    <definedName name="FDP_47_1_aUrv" hidden="1">#REF!</definedName>
    <definedName name="FDP_48_1_aUrv" localSheetId="6" hidden="1">#REF!</definedName>
    <definedName name="FDP_48_1_aUrv" localSheetId="3" hidden="1">#REF!</definedName>
    <definedName name="FDP_48_1_aUrv" localSheetId="10" hidden="1">#REF!</definedName>
    <definedName name="FDP_48_1_aUrv" localSheetId="16" hidden="1">#REF!</definedName>
    <definedName name="FDP_48_1_aUrv" localSheetId="19" hidden="1">#REF!</definedName>
    <definedName name="FDP_48_1_aUrv" localSheetId="18" hidden="1">#REF!</definedName>
    <definedName name="FDP_48_1_aUrv" hidden="1">#REF!</definedName>
    <definedName name="FDP_49_1_aUrv" localSheetId="6" hidden="1">#REF!</definedName>
    <definedName name="FDP_49_1_aUrv" localSheetId="3" hidden="1">#REF!</definedName>
    <definedName name="FDP_49_1_aUrv" localSheetId="10" hidden="1">#REF!</definedName>
    <definedName name="FDP_49_1_aUrv" localSheetId="16" hidden="1">#REF!</definedName>
    <definedName name="FDP_49_1_aUrv" localSheetId="19" hidden="1">#REF!</definedName>
    <definedName name="FDP_49_1_aUrv" localSheetId="18" hidden="1">#REF!</definedName>
    <definedName name="FDP_49_1_aUrv" hidden="1">#REF!</definedName>
    <definedName name="FDP_5_1_aDrv" localSheetId="6" hidden="1">#REF!</definedName>
    <definedName name="FDP_5_1_aDrv" localSheetId="3" hidden="1">#REF!</definedName>
    <definedName name="FDP_5_1_aDrv" localSheetId="10" hidden="1">#REF!</definedName>
    <definedName name="FDP_5_1_aDrv" localSheetId="16" hidden="1">#REF!</definedName>
    <definedName name="FDP_5_1_aDrv" localSheetId="19" hidden="1">#REF!</definedName>
    <definedName name="FDP_5_1_aDrv" localSheetId="18" hidden="1">#REF!</definedName>
    <definedName name="FDP_5_1_aDrv" hidden="1">#REF!</definedName>
    <definedName name="FDP_50_1_aUrv" localSheetId="6" hidden="1">#REF!</definedName>
    <definedName name="FDP_50_1_aUrv" localSheetId="3" hidden="1">#REF!</definedName>
    <definedName name="FDP_50_1_aUrv" localSheetId="10" hidden="1">#REF!</definedName>
    <definedName name="FDP_50_1_aUrv" localSheetId="16" hidden="1">#REF!</definedName>
    <definedName name="FDP_50_1_aUrv" localSheetId="19" hidden="1">#REF!</definedName>
    <definedName name="FDP_50_1_aUrv" localSheetId="18" hidden="1">#REF!</definedName>
    <definedName name="FDP_50_1_aUrv" hidden="1">#REF!</definedName>
    <definedName name="FDP_51_1_aUrv" localSheetId="6" hidden="1">#REF!</definedName>
    <definedName name="FDP_51_1_aUrv" localSheetId="3" hidden="1">#REF!</definedName>
    <definedName name="FDP_51_1_aUrv" localSheetId="10" hidden="1">#REF!</definedName>
    <definedName name="FDP_51_1_aUrv" localSheetId="16" hidden="1">#REF!</definedName>
    <definedName name="FDP_51_1_aUrv" localSheetId="19" hidden="1">#REF!</definedName>
    <definedName name="FDP_51_1_aUrv" localSheetId="18" hidden="1">#REF!</definedName>
    <definedName name="FDP_51_1_aUrv" hidden="1">#REF!</definedName>
    <definedName name="FDP_52_1_aSrv" localSheetId="6" hidden="1">#REF!</definedName>
    <definedName name="FDP_52_1_aSrv" localSheetId="3" hidden="1">#REF!</definedName>
    <definedName name="FDP_52_1_aSrv" localSheetId="10" hidden="1">#REF!</definedName>
    <definedName name="FDP_52_1_aSrv" localSheetId="16" hidden="1">#REF!</definedName>
    <definedName name="FDP_52_1_aSrv" localSheetId="19" hidden="1">#REF!</definedName>
    <definedName name="FDP_52_1_aSrv" localSheetId="18" hidden="1">#REF!</definedName>
    <definedName name="FDP_52_1_aSrv" hidden="1">#REF!</definedName>
    <definedName name="FDP_53_1_aUrv" localSheetId="6" hidden="1">#REF!</definedName>
    <definedName name="FDP_53_1_aUrv" localSheetId="3" hidden="1">#REF!</definedName>
    <definedName name="FDP_53_1_aUrv" localSheetId="10" hidden="1">#REF!</definedName>
    <definedName name="FDP_53_1_aUrv" localSheetId="16" hidden="1">#REF!</definedName>
    <definedName name="FDP_53_1_aUrv" localSheetId="19" hidden="1">#REF!</definedName>
    <definedName name="FDP_53_1_aUrv" localSheetId="18" hidden="1">#REF!</definedName>
    <definedName name="FDP_53_1_aUrv" hidden="1">#REF!</definedName>
    <definedName name="FDP_54_1_aUrv" localSheetId="6" hidden="1">#REF!</definedName>
    <definedName name="FDP_54_1_aUrv" localSheetId="3" hidden="1">#REF!</definedName>
    <definedName name="FDP_54_1_aUrv" localSheetId="10" hidden="1">#REF!</definedName>
    <definedName name="FDP_54_1_aUrv" localSheetId="16" hidden="1">#REF!</definedName>
    <definedName name="FDP_54_1_aUrv" localSheetId="19" hidden="1">#REF!</definedName>
    <definedName name="FDP_54_1_aUrv" localSheetId="18" hidden="1">#REF!</definedName>
    <definedName name="FDP_54_1_aUrv" hidden="1">#REF!</definedName>
    <definedName name="FDP_55_1_aUrv" localSheetId="6" hidden="1">#REF!</definedName>
    <definedName name="FDP_55_1_aUrv" localSheetId="3" hidden="1">#REF!</definedName>
    <definedName name="FDP_55_1_aUrv" localSheetId="10" hidden="1">#REF!</definedName>
    <definedName name="FDP_55_1_aUrv" localSheetId="16" hidden="1">#REF!</definedName>
    <definedName name="FDP_55_1_aUrv" localSheetId="19" hidden="1">#REF!</definedName>
    <definedName name="FDP_55_1_aUrv" localSheetId="18" hidden="1">#REF!</definedName>
    <definedName name="FDP_55_1_aUrv" hidden="1">#REF!</definedName>
    <definedName name="FDP_56_1_aUrv" localSheetId="6" hidden="1">#REF!</definedName>
    <definedName name="FDP_56_1_aUrv" localSheetId="3" hidden="1">#REF!</definedName>
    <definedName name="FDP_56_1_aUrv" localSheetId="10" hidden="1">#REF!</definedName>
    <definedName name="FDP_56_1_aUrv" localSheetId="16" hidden="1">#REF!</definedName>
    <definedName name="FDP_56_1_aUrv" localSheetId="19" hidden="1">#REF!</definedName>
    <definedName name="FDP_56_1_aUrv" localSheetId="18" hidden="1">#REF!</definedName>
    <definedName name="FDP_56_1_aUrv" hidden="1">#REF!</definedName>
    <definedName name="FDP_57_1_aUrv" localSheetId="6" hidden="1">#REF!</definedName>
    <definedName name="FDP_57_1_aUrv" localSheetId="3" hidden="1">#REF!</definedName>
    <definedName name="FDP_57_1_aUrv" localSheetId="10" hidden="1">#REF!</definedName>
    <definedName name="FDP_57_1_aUrv" localSheetId="16" hidden="1">#REF!</definedName>
    <definedName name="FDP_57_1_aUrv" localSheetId="19" hidden="1">#REF!</definedName>
    <definedName name="FDP_57_1_aUrv" localSheetId="18" hidden="1">#REF!</definedName>
    <definedName name="FDP_57_1_aUrv" hidden="1">#REF!</definedName>
    <definedName name="FDP_58_1_aUrv" localSheetId="6" hidden="1">#REF!</definedName>
    <definedName name="FDP_58_1_aUrv" localSheetId="3" hidden="1">#REF!</definedName>
    <definedName name="FDP_58_1_aUrv" localSheetId="10" hidden="1">#REF!</definedName>
    <definedName name="FDP_58_1_aUrv" localSheetId="16" hidden="1">#REF!</definedName>
    <definedName name="FDP_58_1_aUrv" localSheetId="19" hidden="1">#REF!</definedName>
    <definedName name="FDP_58_1_aUrv" localSheetId="18" hidden="1">#REF!</definedName>
    <definedName name="FDP_58_1_aUrv" hidden="1">#REF!</definedName>
    <definedName name="FDP_59_1_aUrv" localSheetId="6" hidden="1">#REF!</definedName>
    <definedName name="FDP_59_1_aUrv" localSheetId="3" hidden="1">#REF!</definedName>
    <definedName name="FDP_59_1_aUrv" localSheetId="10" hidden="1">#REF!</definedName>
    <definedName name="FDP_59_1_aUrv" localSheetId="16" hidden="1">#REF!</definedName>
    <definedName name="FDP_59_1_aUrv" localSheetId="19" hidden="1">#REF!</definedName>
    <definedName name="FDP_59_1_aUrv" localSheetId="18" hidden="1">#REF!</definedName>
    <definedName name="FDP_59_1_aUrv" hidden="1">#REF!</definedName>
    <definedName name="FDP_6_1_aSrv" localSheetId="6" hidden="1">#REF!</definedName>
    <definedName name="FDP_6_1_aSrv" localSheetId="3" hidden="1">#REF!</definedName>
    <definedName name="FDP_6_1_aSrv" localSheetId="10" hidden="1">#REF!</definedName>
    <definedName name="FDP_6_1_aSrv" localSheetId="16" hidden="1">#REF!</definedName>
    <definedName name="FDP_6_1_aSrv" localSheetId="19" hidden="1">#REF!</definedName>
    <definedName name="FDP_6_1_aSrv" localSheetId="18" hidden="1">#REF!</definedName>
    <definedName name="FDP_6_1_aSrv" hidden="1">#REF!</definedName>
    <definedName name="FDP_60_1_aUrv" localSheetId="6" hidden="1">#REF!</definedName>
    <definedName name="FDP_60_1_aUrv" localSheetId="3" hidden="1">#REF!</definedName>
    <definedName name="FDP_60_1_aUrv" localSheetId="10" hidden="1">#REF!</definedName>
    <definedName name="FDP_60_1_aUrv" localSheetId="16" hidden="1">#REF!</definedName>
    <definedName name="FDP_60_1_aUrv" localSheetId="19" hidden="1">#REF!</definedName>
    <definedName name="FDP_60_1_aUrv" localSheetId="18" hidden="1">#REF!</definedName>
    <definedName name="FDP_60_1_aUrv" hidden="1">#REF!</definedName>
    <definedName name="FDP_61_1_aUrv" localSheetId="6" hidden="1">#REF!</definedName>
    <definedName name="FDP_61_1_aUrv" localSheetId="3" hidden="1">#REF!</definedName>
    <definedName name="FDP_61_1_aUrv" localSheetId="10" hidden="1">#REF!</definedName>
    <definedName name="FDP_61_1_aUrv" localSheetId="16" hidden="1">#REF!</definedName>
    <definedName name="FDP_61_1_aUrv" localSheetId="19" hidden="1">#REF!</definedName>
    <definedName name="FDP_61_1_aUrv" localSheetId="18" hidden="1">#REF!</definedName>
    <definedName name="FDP_61_1_aUrv" hidden="1">#REF!</definedName>
    <definedName name="FDP_62_1_aUrv" localSheetId="6" hidden="1">#REF!</definedName>
    <definedName name="FDP_62_1_aUrv" localSheetId="3" hidden="1">#REF!</definedName>
    <definedName name="FDP_62_1_aUrv" localSheetId="10" hidden="1">#REF!</definedName>
    <definedName name="FDP_62_1_aUrv" localSheetId="16" hidden="1">#REF!</definedName>
    <definedName name="FDP_62_1_aUrv" localSheetId="19" hidden="1">#REF!</definedName>
    <definedName name="FDP_62_1_aUrv" localSheetId="18" hidden="1">#REF!</definedName>
    <definedName name="FDP_62_1_aUrv" hidden="1">#REF!</definedName>
    <definedName name="FDP_63_1_aUrv" localSheetId="6" hidden="1">#REF!</definedName>
    <definedName name="FDP_63_1_aUrv" localSheetId="3" hidden="1">#REF!</definedName>
    <definedName name="FDP_63_1_aUrv" localSheetId="10" hidden="1">#REF!</definedName>
    <definedName name="FDP_63_1_aUrv" localSheetId="16" hidden="1">#REF!</definedName>
    <definedName name="FDP_63_1_aUrv" localSheetId="19" hidden="1">#REF!</definedName>
    <definedName name="FDP_63_1_aUrv" localSheetId="18" hidden="1">#REF!</definedName>
    <definedName name="FDP_63_1_aUrv" hidden="1">#REF!</definedName>
    <definedName name="FDP_64_1_aUrv" localSheetId="6" hidden="1">#REF!</definedName>
    <definedName name="FDP_64_1_aUrv" localSheetId="3" hidden="1">#REF!</definedName>
    <definedName name="FDP_64_1_aUrv" localSheetId="10" hidden="1">#REF!</definedName>
    <definedName name="FDP_64_1_aUrv" localSheetId="16" hidden="1">#REF!</definedName>
    <definedName name="FDP_64_1_aUrv" localSheetId="19" hidden="1">#REF!</definedName>
    <definedName name="FDP_64_1_aUrv" localSheetId="18" hidden="1">#REF!</definedName>
    <definedName name="FDP_64_1_aUrv" hidden="1">#REF!</definedName>
    <definedName name="FDP_65_1_aSrv" localSheetId="6" hidden="1">#REF!</definedName>
    <definedName name="FDP_65_1_aSrv" localSheetId="3" hidden="1">#REF!</definedName>
    <definedName name="FDP_65_1_aSrv" localSheetId="10" hidden="1">#REF!</definedName>
    <definedName name="FDP_65_1_aSrv" localSheetId="16" hidden="1">#REF!</definedName>
    <definedName name="FDP_65_1_aSrv" localSheetId="19" hidden="1">#REF!</definedName>
    <definedName name="FDP_65_1_aSrv" localSheetId="18" hidden="1">#REF!</definedName>
    <definedName name="FDP_65_1_aSrv" hidden="1">#REF!</definedName>
    <definedName name="FDP_66_1_aSrv" localSheetId="6" hidden="1">#REF!</definedName>
    <definedName name="FDP_66_1_aSrv" localSheetId="3" hidden="1">#REF!</definedName>
    <definedName name="FDP_66_1_aSrv" localSheetId="10" hidden="1">#REF!</definedName>
    <definedName name="FDP_66_1_aSrv" localSheetId="16" hidden="1">#REF!</definedName>
    <definedName name="FDP_66_1_aSrv" localSheetId="19" hidden="1">#REF!</definedName>
    <definedName name="FDP_66_1_aSrv" localSheetId="18" hidden="1">#REF!</definedName>
    <definedName name="FDP_66_1_aSrv" hidden="1">#REF!</definedName>
    <definedName name="FDP_67_1_aUrv" localSheetId="6" hidden="1">#REF!</definedName>
    <definedName name="FDP_67_1_aUrv" localSheetId="3" hidden="1">#REF!</definedName>
    <definedName name="FDP_67_1_aUrv" localSheetId="10" hidden="1">#REF!</definedName>
    <definedName name="FDP_67_1_aUrv" localSheetId="16" hidden="1">#REF!</definedName>
    <definedName name="FDP_67_1_aUrv" localSheetId="19" hidden="1">#REF!</definedName>
    <definedName name="FDP_67_1_aUrv" localSheetId="18" hidden="1">#REF!</definedName>
    <definedName name="FDP_67_1_aUrv" hidden="1">#REF!</definedName>
    <definedName name="FDP_68_1_aSrv" localSheetId="6" hidden="1">#REF!</definedName>
    <definedName name="FDP_68_1_aSrv" localSheetId="3" hidden="1">#REF!</definedName>
    <definedName name="FDP_68_1_aSrv" localSheetId="10" hidden="1">#REF!</definedName>
    <definedName name="FDP_68_1_aSrv" localSheetId="16" hidden="1">#REF!</definedName>
    <definedName name="FDP_68_1_aSrv" localSheetId="19" hidden="1">#REF!</definedName>
    <definedName name="FDP_68_1_aSrv" localSheetId="18" hidden="1">#REF!</definedName>
    <definedName name="FDP_68_1_aSrv" hidden="1">#REF!</definedName>
    <definedName name="FDP_69_1_aSrv" localSheetId="6" hidden="1">#REF!</definedName>
    <definedName name="FDP_69_1_aSrv" localSheetId="3" hidden="1">#REF!</definedName>
    <definedName name="FDP_69_1_aSrv" localSheetId="10" hidden="1">#REF!</definedName>
    <definedName name="FDP_69_1_aSrv" localSheetId="16" hidden="1">#REF!</definedName>
    <definedName name="FDP_69_1_aSrv" localSheetId="19" hidden="1">#REF!</definedName>
    <definedName name="FDP_69_1_aSrv" localSheetId="18" hidden="1">#REF!</definedName>
    <definedName name="FDP_69_1_aSrv" hidden="1">#REF!</definedName>
    <definedName name="FDP_7_1_aSrv" localSheetId="6" hidden="1">#REF!</definedName>
    <definedName name="FDP_7_1_aSrv" localSheetId="3" hidden="1">#REF!</definedName>
    <definedName name="FDP_7_1_aSrv" localSheetId="10" hidden="1">#REF!</definedName>
    <definedName name="FDP_7_1_aSrv" localSheetId="16" hidden="1">#REF!</definedName>
    <definedName name="FDP_7_1_aSrv" localSheetId="19" hidden="1">#REF!</definedName>
    <definedName name="FDP_7_1_aSrv" localSheetId="18" hidden="1">#REF!</definedName>
    <definedName name="FDP_7_1_aSrv" hidden="1">#REF!</definedName>
    <definedName name="FDP_70_1_aUrv" localSheetId="6" hidden="1">#REF!</definedName>
    <definedName name="FDP_70_1_aUrv" localSheetId="3" hidden="1">#REF!</definedName>
    <definedName name="FDP_70_1_aUrv" localSheetId="10" hidden="1">#REF!</definedName>
    <definedName name="FDP_70_1_aUrv" localSheetId="16" hidden="1">#REF!</definedName>
    <definedName name="FDP_70_1_aUrv" localSheetId="19" hidden="1">#REF!</definedName>
    <definedName name="FDP_70_1_aUrv" localSheetId="18" hidden="1">#REF!</definedName>
    <definedName name="FDP_70_1_aUrv" hidden="1">#REF!</definedName>
    <definedName name="FDP_71_1_aUrv" localSheetId="6" hidden="1">#REF!</definedName>
    <definedName name="FDP_71_1_aUrv" localSheetId="3" hidden="1">#REF!</definedName>
    <definedName name="FDP_71_1_aUrv" localSheetId="10" hidden="1">#REF!</definedName>
    <definedName name="FDP_71_1_aUrv" localSheetId="16" hidden="1">#REF!</definedName>
    <definedName name="FDP_71_1_aUrv" localSheetId="19" hidden="1">#REF!</definedName>
    <definedName name="FDP_71_1_aUrv" localSheetId="18" hidden="1">#REF!</definedName>
    <definedName name="FDP_71_1_aUrv" hidden="1">#REF!</definedName>
    <definedName name="FDP_72_1_aUrv" localSheetId="6" hidden="1">#REF!</definedName>
    <definedName name="FDP_72_1_aUrv" localSheetId="3" hidden="1">#REF!</definedName>
    <definedName name="FDP_72_1_aUrv" localSheetId="10" hidden="1">#REF!</definedName>
    <definedName name="FDP_72_1_aUrv" localSheetId="16" hidden="1">#REF!</definedName>
    <definedName name="FDP_72_1_aUrv" localSheetId="19" hidden="1">#REF!</definedName>
    <definedName name="FDP_72_1_aUrv" localSheetId="18" hidden="1">#REF!</definedName>
    <definedName name="FDP_72_1_aUrv" hidden="1">#REF!</definedName>
    <definedName name="FDP_73_1_aSrv" localSheetId="6" hidden="1">#REF!</definedName>
    <definedName name="FDP_73_1_aSrv" localSheetId="3" hidden="1">#REF!</definedName>
    <definedName name="FDP_73_1_aSrv" localSheetId="10" hidden="1">#REF!</definedName>
    <definedName name="FDP_73_1_aSrv" localSheetId="16" hidden="1">#REF!</definedName>
    <definedName name="FDP_73_1_aSrv" localSheetId="19" hidden="1">#REF!</definedName>
    <definedName name="FDP_73_1_aSrv" localSheetId="18" hidden="1">#REF!</definedName>
    <definedName name="FDP_73_1_aSrv" hidden="1">#REF!</definedName>
    <definedName name="FDP_74_1_aDrv" localSheetId="6" hidden="1">#REF!</definedName>
    <definedName name="FDP_74_1_aDrv" localSheetId="3" hidden="1">#REF!</definedName>
    <definedName name="FDP_74_1_aDrv" localSheetId="10" hidden="1">#REF!</definedName>
    <definedName name="FDP_74_1_aDrv" localSheetId="16" hidden="1">#REF!</definedName>
    <definedName name="FDP_74_1_aDrv" localSheetId="19" hidden="1">#REF!</definedName>
    <definedName name="FDP_74_1_aDrv" localSheetId="18" hidden="1">#REF!</definedName>
    <definedName name="FDP_74_1_aDrv" hidden="1">#REF!</definedName>
    <definedName name="FDP_75_1_aUrv" localSheetId="6" hidden="1">#REF!</definedName>
    <definedName name="FDP_75_1_aUrv" localSheetId="3" hidden="1">#REF!</definedName>
    <definedName name="FDP_75_1_aUrv" localSheetId="10" hidden="1">#REF!</definedName>
    <definedName name="FDP_75_1_aUrv" localSheetId="16" hidden="1">#REF!</definedName>
    <definedName name="FDP_75_1_aUrv" localSheetId="19" hidden="1">#REF!</definedName>
    <definedName name="FDP_75_1_aUrv" localSheetId="18" hidden="1">#REF!</definedName>
    <definedName name="FDP_75_1_aUrv" hidden="1">#REF!</definedName>
    <definedName name="FDP_76_1_aDrv" localSheetId="6" hidden="1">#REF!</definedName>
    <definedName name="FDP_76_1_aDrv" localSheetId="3" hidden="1">#REF!</definedName>
    <definedName name="FDP_76_1_aDrv" localSheetId="10" hidden="1">#REF!</definedName>
    <definedName name="FDP_76_1_aDrv" localSheetId="16" hidden="1">#REF!</definedName>
    <definedName name="FDP_76_1_aDrv" localSheetId="19" hidden="1">#REF!</definedName>
    <definedName name="FDP_76_1_aDrv" localSheetId="18" hidden="1">#REF!</definedName>
    <definedName name="FDP_76_1_aDrv" hidden="1">#REF!</definedName>
    <definedName name="FDP_77_1_aUrv" localSheetId="6" hidden="1">#REF!</definedName>
    <definedName name="FDP_77_1_aUrv" localSheetId="3" hidden="1">#REF!</definedName>
    <definedName name="FDP_77_1_aUrv" localSheetId="10" hidden="1">#REF!</definedName>
    <definedName name="FDP_77_1_aUrv" localSheetId="16" hidden="1">#REF!</definedName>
    <definedName name="FDP_77_1_aUrv" localSheetId="19" hidden="1">#REF!</definedName>
    <definedName name="FDP_77_1_aUrv" localSheetId="18" hidden="1">#REF!</definedName>
    <definedName name="FDP_77_1_aUrv" hidden="1">#REF!</definedName>
    <definedName name="FDP_78_1_aSrv" localSheetId="6" hidden="1">#REF!</definedName>
    <definedName name="FDP_78_1_aSrv" localSheetId="3" hidden="1">#REF!</definedName>
    <definedName name="FDP_78_1_aSrv" localSheetId="10" hidden="1">#REF!</definedName>
    <definedName name="FDP_78_1_aSrv" localSheetId="16" hidden="1">#REF!</definedName>
    <definedName name="FDP_78_1_aSrv" localSheetId="19" hidden="1">#REF!</definedName>
    <definedName name="FDP_78_1_aSrv" localSheetId="18" hidden="1">#REF!</definedName>
    <definedName name="FDP_78_1_aSrv" hidden="1">#REF!</definedName>
    <definedName name="FDP_79_1_aUrv" localSheetId="6" hidden="1">#REF!</definedName>
    <definedName name="FDP_79_1_aUrv" localSheetId="3" hidden="1">#REF!</definedName>
    <definedName name="FDP_79_1_aUrv" localSheetId="10" hidden="1">#REF!</definedName>
    <definedName name="FDP_79_1_aUrv" localSheetId="16" hidden="1">#REF!</definedName>
    <definedName name="FDP_79_1_aUrv" localSheetId="19" hidden="1">#REF!</definedName>
    <definedName name="FDP_79_1_aUrv" localSheetId="18" hidden="1">#REF!</definedName>
    <definedName name="FDP_79_1_aUrv" hidden="1">#REF!</definedName>
    <definedName name="FDP_8_1_aUrv" localSheetId="6" hidden="1">#REF!</definedName>
    <definedName name="FDP_8_1_aUrv" localSheetId="3" hidden="1">#REF!</definedName>
    <definedName name="FDP_8_1_aUrv" localSheetId="10" hidden="1">#REF!</definedName>
    <definedName name="FDP_8_1_aUrv" localSheetId="16" hidden="1">#REF!</definedName>
    <definedName name="FDP_8_1_aUrv" localSheetId="19" hidden="1">#REF!</definedName>
    <definedName name="FDP_8_1_aUrv" localSheetId="18" hidden="1">#REF!</definedName>
    <definedName name="FDP_8_1_aUrv" hidden="1">#REF!</definedName>
    <definedName name="FDP_80_1_aSrv" localSheetId="6" hidden="1">#REF!</definedName>
    <definedName name="FDP_80_1_aSrv" localSheetId="3" hidden="1">#REF!</definedName>
    <definedName name="FDP_80_1_aSrv" localSheetId="10" hidden="1">#REF!</definedName>
    <definedName name="FDP_80_1_aSrv" localSheetId="16" hidden="1">#REF!</definedName>
    <definedName name="FDP_80_1_aSrv" localSheetId="19" hidden="1">#REF!</definedName>
    <definedName name="FDP_80_1_aSrv" localSheetId="18" hidden="1">#REF!</definedName>
    <definedName name="FDP_80_1_aSrv" hidden="1">#REF!</definedName>
    <definedName name="FDP_81_1_aUrv" localSheetId="6" hidden="1">#REF!</definedName>
    <definedName name="FDP_81_1_aUrv" localSheetId="3" hidden="1">#REF!</definedName>
    <definedName name="FDP_81_1_aUrv" localSheetId="10" hidden="1">#REF!</definedName>
    <definedName name="FDP_81_1_aUrv" localSheetId="16" hidden="1">#REF!</definedName>
    <definedName name="FDP_81_1_aUrv" localSheetId="19" hidden="1">#REF!</definedName>
    <definedName name="FDP_81_1_aUrv" localSheetId="18" hidden="1">#REF!</definedName>
    <definedName name="FDP_81_1_aUrv" hidden="1">#REF!</definedName>
    <definedName name="FDP_82_1_aUrv" localSheetId="6" hidden="1">#REF!</definedName>
    <definedName name="FDP_82_1_aUrv" localSheetId="3" hidden="1">#REF!</definedName>
    <definedName name="FDP_82_1_aUrv" localSheetId="10" hidden="1">#REF!</definedName>
    <definedName name="FDP_82_1_aUrv" localSheetId="16" hidden="1">#REF!</definedName>
    <definedName name="FDP_82_1_aUrv" localSheetId="19" hidden="1">#REF!</definedName>
    <definedName name="FDP_82_1_aUrv" localSheetId="18" hidden="1">#REF!</definedName>
    <definedName name="FDP_82_1_aUrv" hidden="1">#REF!</definedName>
    <definedName name="FDP_83_1_aUrv" localSheetId="6" hidden="1">#REF!</definedName>
    <definedName name="FDP_83_1_aUrv" localSheetId="3" hidden="1">#REF!</definedName>
    <definedName name="FDP_83_1_aUrv" localSheetId="10" hidden="1">#REF!</definedName>
    <definedName name="FDP_83_1_aUrv" localSheetId="16" hidden="1">#REF!</definedName>
    <definedName name="FDP_83_1_aUrv" localSheetId="19" hidden="1">#REF!</definedName>
    <definedName name="FDP_83_1_aUrv" localSheetId="18" hidden="1">#REF!</definedName>
    <definedName name="FDP_83_1_aUrv" hidden="1">#REF!</definedName>
    <definedName name="FDP_84_1_aUrv" localSheetId="6" hidden="1">#REF!</definedName>
    <definedName name="FDP_84_1_aUrv" localSheetId="3" hidden="1">#REF!</definedName>
    <definedName name="FDP_84_1_aUrv" localSheetId="10" hidden="1">#REF!</definedName>
    <definedName name="FDP_84_1_aUrv" localSheetId="16" hidden="1">#REF!</definedName>
    <definedName name="FDP_84_1_aUrv" localSheetId="19" hidden="1">#REF!</definedName>
    <definedName name="FDP_84_1_aUrv" localSheetId="18" hidden="1">#REF!</definedName>
    <definedName name="FDP_84_1_aUrv" hidden="1">#REF!</definedName>
    <definedName name="FDP_85_1_aUrv" localSheetId="6" hidden="1">#REF!</definedName>
    <definedName name="FDP_85_1_aUrv" localSheetId="3" hidden="1">#REF!</definedName>
    <definedName name="FDP_85_1_aUrv" localSheetId="10" hidden="1">#REF!</definedName>
    <definedName name="FDP_85_1_aUrv" localSheetId="16" hidden="1">#REF!</definedName>
    <definedName name="FDP_85_1_aUrv" localSheetId="19" hidden="1">#REF!</definedName>
    <definedName name="FDP_85_1_aUrv" localSheetId="18" hidden="1">#REF!</definedName>
    <definedName name="FDP_85_1_aUrv" hidden="1">#REF!</definedName>
    <definedName name="FDP_86_1_aSrv" localSheetId="6" hidden="1">#REF!</definedName>
    <definedName name="FDP_86_1_aSrv" localSheetId="3" hidden="1">#REF!</definedName>
    <definedName name="FDP_86_1_aSrv" localSheetId="10" hidden="1">#REF!</definedName>
    <definedName name="FDP_86_1_aSrv" localSheetId="16" hidden="1">#REF!</definedName>
    <definedName name="FDP_86_1_aSrv" localSheetId="19" hidden="1">#REF!</definedName>
    <definedName name="FDP_86_1_aSrv" localSheetId="18" hidden="1">#REF!</definedName>
    <definedName name="FDP_86_1_aSrv" hidden="1">#REF!</definedName>
    <definedName name="FDP_87_1_aUrv" localSheetId="6" hidden="1">#REF!</definedName>
    <definedName name="FDP_87_1_aUrv" localSheetId="3" hidden="1">#REF!</definedName>
    <definedName name="FDP_87_1_aUrv" localSheetId="10" hidden="1">#REF!</definedName>
    <definedName name="FDP_87_1_aUrv" localSheetId="16" hidden="1">#REF!</definedName>
    <definedName name="FDP_87_1_aUrv" localSheetId="19" hidden="1">#REF!</definedName>
    <definedName name="FDP_87_1_aUrv" localSheetId="18" hidden="1">#REF!</definedName>
    <definedName name="FDP_87_1_aUrv" hidden="1">#REF!</definedName>
    <definedName name="FDP_88_1_aSrv" localSheetId="6" hidden="1">#REF!</definedName>
    <definedName name="FDP_88_1_aSrv" localSheetId="3" hidden="1">#REF!</definedName>
    <definedName name="FDP_88_1_aSrv" localSheetId="10" hidden="1">#REF!</definedName>
    <definedName name="FDP_88_1_aSrv" localSheetId="16" hidden="1">#REF!</definedName>
    <definedName name="FDP_88_1_aSrv" localSheetId="19" hidden="1">#REF!</definedName>
    <definedName name="FDP_88_1_aSrv" localSheetId="18" hidden="1">#REF!</definedName>
    <definedName name="FDP_88_1_aSrv" hidden="1">#REF!</definedName>
    <definedName name="FDP_89_1_aUrv" localSheetId="6" hidden="1">#REF!</definedName>
    <definedName name="FDP_89_1_aUrv" localSheetId="3" hidden="1">#REF!</definedName>
    <definedName name="FDP_89_1_aUrv" localSheetId="10" hidden="1">#REF!</definedName>
    <definedName name="FDP_89_1_aUrv" localSheetId="16" hidden="1">#REF!</definedName>
    <definedName name="FDP_89_1_aUrv" localSheetId="19" hidden="1">#REF!</definedName>
    <definedName name="FDP_89_1_aUrv" localSheetId="18" hidden="1">#REF!</definedName>
    <definedName name="FDP_89_1_aUrv" hidden="1">#REF!</definedName>
    <definedName name="FDP_9_1_aSrv" localSheetId="6" hidden="1">#REF!</definedName>
    <definedName name="FDP_9_1_aSrv" localSheetId="3" hidden="1">#REF!</definedName>
    <definedName name="FDP_9_1_aSrv" localSheetId="10" hidden="1">#REF!</definedName>
    <definedName name="FDP_9_1_aSrv" localSheetId="16" hidden="1">#REF!</definedName>
    <definedName name="FDP_9_1_aSrv" localSheetId="19" hidden="1">#REF!</definedName>
    <definedName name="FDP_9_1_aSrv" localSheetId="18" hidden="1">#REF!</definedName>
    <definedName name="FDP_9_1_aSrv" hidden="1">#REF!</definedName>
    <definedName name="FDP_90_1_aUrv" localSheetId="6" hidden="1">#REF!</definedName>
    <definedName name="FDP_90_1_aUrv" localSheetId="3" hidden="1">#REF!</definedName>
    <definedName name="FDP_90_1_aUrv" localSheetId="10" hidden="1">#REF!</definedName>
    <definedName name="FDP_90_1_aUrv" localSheetId="16" hidden="1">#REF!</definedName>
    <definedName name="FDP_90_1_aUrv" localSheetId="19" hidden="1">#REF!</definedName>
    <definedName name="FDP_90_1_aUrv" localSheetId="18" hidden="1">#REF!</definedName>
    <definedName name="FDP_90_1_aUrv" hidden="1">#REF!</definedName>
    <definedName name="FDP_91_1_aUrv" localSheetId="6" hidden="1">#REF!</definedName>
    <definedName name="FDP_91_1_aUrv" localSheetId="3" hidden="1">#REF!</definedName>
    <definedName name="FDP_91_1_aUrv" localSheetId="10" hidden="1">#REF!</definedName>
    <definedName name="FDP_91_1_aUrv" localSheetId="16" hidden="1">#REF!</definedName>
    <definedName name="FDP_91_1_aUrv" localSheetId="19" hidden="1">#REF!</definedName>
    <definedName name="FDP_91_1_aUrv" localSheetId="18" hidden="1">#REF!</definedName>
    <definedName name="FDP_91_1_aUrv" hidden="1">#REF!</definedName>
    <definedName name="FDP_92_1_aSrv" localSheetId="6" hidden="1">#REF!</definedName>
    <definedName name="FDP_92_1_aSrv" localSheetId="3" hidden="1">#REF!</definedName>
    <definedName name="FDP_92_1_aSrv" localSheetId="10" hidden="1">#REF!</definedName>
    <definedName name="FDP_92_1_aSrv" localSheetId="16" hidden="1">#REF!</definedName>
    <definedName name="FDP_92_1_aSrv" localSheetId="19" hidden="1">#REF!</definedName>
    <definedName name="FDP_92_1_aSrv" localSheetId="18" hidden="1">#REF!</definedName>
    <definedName name="FDP_92_1_aSrv" hidden="1">#REF!</definedName>
    <definedName name="FDP_93_1_aUrv" localSheetId="6" hidden="1">#REF!</definedName>
    <definedName name="FDP_93_1_aUrv" localSheetId="3" hidden="1">#REF!</definedName>
    <definedName name="FDP_93_1_aUrv" localSheetId="10" hidden="1">#REF!</definedName>
    <definedName name="FDP_93_1_aUrv" localSheetId="16" hidden="1">#REF!</definedName>
    <definedName name="FDP_93_1_aUrv" localSheetId="19" hidden="1">#REF!</definedName>
    <definedName name="FDP_93_1_aUrv" localSheetId="18" hidden="1">#REF!</definedName>
    <definedName name="FDP_93_1_aUrv" hidden="1">#REF!</definedName>
    <definedName name="FDP_94_1_aSrv" localSheetId="6" hidden="1">#REF!</definedName>
    <definedName name="FDP_94_1_aSrv" localSheetId="3" hidden="1">#REF!</definedName>
    <definedName name="FDP_94_1_aSrv" localSheetId="10" hidden="1">#REF!</definedName>
    <definedName name="FDP_94_1_aSrv" localSheetId="16" hidden="1">#REF!</definedName>
    <definedName name="FDP_94_1_aSrv" localSheetId="19" hidden="1">#REF!</definedName>
    <definedName name="FDP_94_1_aSrv" localSheetId="18" hidden="1">#REF!</definedName>
    <definedName name="FDP_94_1_aSrv" hidden="1">#REF!</definedName>
    <definedName name="FDP_95_1_aUrv" localSheetId="6" hidden="1">#REF!</definedName>
    <definedName name="FDP_95_1_aUrv" localSheetId="3" hidden="1">#REF!</definedName>
    <definedName name="FDP_95_1_aUrv" localSheetId="10" hidden="1">#REF!</definedName>
    <definedName name="FDP_95_1_aUrv" localSheetId="16" hidden="1">#REF!</definedName>
    <definedName name="FDP_95_1_aUrv" localSheetId="19" hidden="1">#REF!</definedName>
    <definedName name="FDP_95_1_aUrv" localSheetId="18" hidden="1">#REF!</definedName>
    <definedName name="FDP_95_1_aUrv" hidden="1">#REF!</definedName>
    <definedName name="FDP_96_1_aUrv" localSheetId="6" hidden="1">#REF!</definedName>
    <definedName name="FDP_96_1_aUrv" localSheetId="3" hidden="1">#REF!</definedName>
    <definedName name="FDP_96_1_aUrv" localSheetId="10" hidden="1">#REF!</definedName>
    <definedName name="FDP_96_1_aUrv" localSheetId="16" hidden="1">#REF!</definedName>
    <definedName name="FDP_96_1_aUrv" localSheetId="19" hidden="1">#REF!</definedName>
    <definedName name="FDP_96_1_aUrv" localSheetId="18" hidden="1">#REF!</definedName>
    <definedName name="FDP_96_1_aUrv" hidden="1">#REF!</definedName>
    <definedName name="FDP_97_1_aSrv" localSheetId="6" hidden="1">#REF!</definedName>
    <definedName name="FDP_97_1_aSrv" localSheetId="3" hidden="1">#REF!</definedName>
    <definedName name="FDP_97_1_aSrv" localSheetId="10" hidden="1">#REF!</definedName>
    <definedName name="FDP_97_1_aSrv" localSheetId="16" hidden="1">#REF!</definedName>
    <definedName name="FDP_97_1_aSrv" localSheetId="19" hidden="1">#REF!</definedName>
    <definedName name="FDP_97_1_aSrv" localSheetId="18" hidden="1">#REF!</definedName>
    <definedName name="FDP_97_1_aSrv" hidden="1">#REF!</definedName>
    <definedName name="FDP_98_1_aDrv" localSheetId="6" hidden="1">#REF!</definedName>
    <definedName name="FDP_98_1_aDrv" localSheetId="3" hidden="1">#REF!</definedName>
    <definedName name="FDP_98_1_aDrv" localSheetId="10" hidden="1">#REF!</definedName>
    <definedName name="FDP_98_1_aDrv" localSheetId="16" hidden="1">#REF!</definedName>
    <definedName name="FDP_98_1_aDrv" localSheetId="19" hidden="1">#REF!</definedName>
    <definedName name="FDP_98_1_aDrv" localSheetId="18" hidden="1">#REF!</definedName>
    <definedName name="FDP_98_1_aDrv" hidden="1">#REF!</definedName>
    <definedName name="FDP_99_1_aUrv" localSheetId="6" hidden="1">#REF!</definedName>
    <definedName name="FDP_99_1_aUrv" localSheetId="3" hidden="1">#REF!</definedName>
    <definedName name="FDP_99_1_aUrv" localSheetId="10" hidden="1">#REF!</definedName>
    <definedName name="FDP_99_1_aUrv" localSheetId="16" hidden="1">#REF!</definedName>
    <definedName name="FDP_99_1_aUrv" localSheetId="19" hidden="1">#REF!</definedName>
    <definedName name="FDP_99_1_aUrv" localSheetId="18" hidden="1">#REF!</definedName>
    <definedName name="FDP_99_1_aUrv" hidden="1">#REF!</definedName>
    <definedName name="ff" localSheetId="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1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1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localSheetId="1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f"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forecast" localSheetId="6"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3"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5"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0"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6"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9"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8"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g" localSheetId="5" hidden="1">{"comps",#N/A,FALSE,"TXTCOMPS";"segment_EPS",#N/A,FALSE,"TXTCOMPS";"valuation",#N/A,FALSE,"TXTCOMPS"}</definedName>
    <definedName name="g" localSheetId="16" hidden="1">{"comps",#N/A,FALSE,"TXTCOMPS";"segment_EPS",#N/A,FALSE,"TXTCOMPS";"valuation",#N/A,FALSE,"TXTCOMPS"}</definedName>
    <definedName name="g" localSheetId="19" hidden="1">{"comps",#N/A,FALSE,"TXTCOMPS";"segment_EPS",#N/A,FALSE,"TXTCOMPS";"valuation",#N/A,FALSE,"TXTCOMPS"}</definedName>
    <definedName name="g" localSheetId="18" hidden="1">{"comps",#N/A,FALSE,"TXTCOMPS";"segment_EPS",#N/A,FALSE,"TXTCOMPS";"valuation",#N/A,FALSE,"TXTCOMPS"}</definedName>
    <definedName name="g" hidden="1">{"comps",#N/A,FALSE,"TXTCOMPS";"segment_EPS",#N/A,FALSE,"TXTCOMPS";"valuation",#N/A,FALSE,"TXTCOMPS"}</definedName>
    <definedName name="gde"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ls_ACT_EST_ROW" localSheetId="6" hidden="1">#REF!</definedName>
    <definedName name="gls_ACT_EST_ROW" localSheetId="3" hidden="1">#REF!</definedName>
    <definedName name="gls_ACT_EST_ROW" localSheetId="10" hidden="1">#REF!</definedName>
    <definedName name="gls_ACT_EST_ROW" localSheetId="16" hidden="1">#REF!</definedName>
    <definedName name="gls_ACT_EST_ROW" localSheetId="19" hidden="1">#REF!</definedName>
    <definedName name="gls_ACT_EST_ROW" localSheetId="18" hidden="1">#REF!</definedName>
    <definedName name="gls_ACT_EST_ROW" hidden="1">#REF!</definedName>
    <definedName name="gls_ACT_FORM_OFFSET" localSheetId="6" hidden="1">#REF!</definedName>
    <definedName name="gls_ACT_FORM_OFFSET" localSheetId="3" hidden="1">#REF!</definedName>
    <definedName name="gls_ACT_FORM_OFFSET" localSheetId="10" hidden="1">#REF!</definedName>
    <definedName name="gls_ACT_FORM_OFFSET" localSheetId="16" hidden="1">#REF!</definedName>
    <definedName name="gls_ACT_FORM_OFFSET" localSheetId="19" hidden="1">#REF!</definedName>
    <definedName name="gls_ACT_FORM_OFFSET" localSheetId="18" hidden="1">#REF!</definedName>
    <definedName name="gls_ACT_FORM_OFFSET" hidden="1">#REF!</definedName>
    <definedName name="gls_AnalystEmpNoHeading" localSheetId="6" hidden="1">#REF!</definedName>
    <definedName name="gls_AnalystEmpNoHeading" localSheetId="3" hidden="1">#REF!</definedName>
    <definedName name="gls_AnalystEmpNoHeading" localSheetId="10" hidden="1">#REF!</definedName>
    <definedName name="gls_AnalystEmpNoHeading" localSheetId="16" hidden="1">#REF!</definedName>
    <definedName name="gls_AnalystEmpNoHeading" localSheetId="19" hidden="1">#REF!</definedName>
    <definedName name="gls_AnalystEmpNoHeading" localSheetId="18" hidden="1">#REF!</definedName>
    <definedName name="gls_AnalystEmpNoHeading" hidden="1">#REF!</definedName>
    <definedName name="gls_AnalystNameHeading" localSheetId="6" hidden="1">#REF!</definedName>
    <definedName name="gls_AnalystNameHeading" localSheetId="3" hidden="1">#REF!</definedName>
    <definedName name="gls_AnalystNameHeading" localSheetId="10" hidden="1">#REF!</definedName>
    <definedName name="gls_AnalystNameHeading" localSheetId="16" hidden="1">#REF!</definedName>
    <definedName name="gls_AnalystNameHeading" localSheetId="19" hidden="1">#REF!</definedName>
    <definedName name="gls_AnalystNameHeading" localSheetId="18" hidden="1">#REF!</definedName>
    <definedName name="gls_AnalystNameHeading" hidden="1">#REF!</definedName>
    <definedName name="gls_EST_FORM_OFFSET" localSheetId="6" hidden="1">#REF!</definedName>
    <definedName name="gls_EST_FORM_OFFSET" localSheetId="3" hidden="1">#REF!</definedName>
    <definedName name="gls_EST_FORM_OFFSET" localSheetId="10" hidden="1">#REF!</definedName>
    <definedName name="gls_EST_FORM_OFFSET" localSheetId="16" hidden="1">#REF!</definedName>
    <definedName name="gls_EST_FORM_OFFSET" localSheetId="19" hidden="1">#REF!</definedName>
    <definedName name="gls_EST_FORM_OFFSET" localSheetId="18" hidden="1">#REF!</definedName>
    <definedName name="gls_EST_FORM_OFFSET" hidden="1">#REF!</definedName>
    <definedName name="gls_EXTERNAL_COL_REF" localSheetId="6" hidden="1">#REF!</definedName>
    <definedName name="gls_EXTERNAL_COL_REF" localSheetId="3" hidden="1">#REF!</definedName>
    <definedName name="gls_EXTERNAL_COL_REF" localSheetId="10" hidden="1">#REF!</definedName>
    <definedName name="gls_EXTERNAL_COL_REF" localSheetId="16" hidden="1">#REF!</definedName>
    <definedName name="gls_EXTERNAL_COL_REF" localSheetId="19" hidden="1">#REF!</definedName>
    <definedName name="gls_EXTERNAL_COL_REF" localSheetId="18" hidden="1">#REF!</definedName>
    <definedName name="gls_EXTERNAL_COL_REF" hidden="1">#REF!</definedName>
    <definedName name="gls_FIRST_ITEM" localSheetId="6" hidden="1">#REF!</definedName>
    <definedName name="gls_FIRST_ITEM" localSheetId="3" hidden="1">#REF!</definedName>
    <definedName name="gls_FIRST_ITEM" localSheetId="10" hidden="1">#REF!</definedName>
    <definedName name="gls_FIRST_ITEM" localSheetId="16" hidden="1">#REF!</definedName>
    <definedName name="gls_FIRST_ITEM" localSheetId="19" hidden="1">#REF!</definedName>
    <definedName name="gls_FIRST_ITEM" localSheetId="18" hidden="1">#REF!</definedName>
    <definedName name="gls_FIRST_ITEM" hidden="1">#REF!</definedName>
    <definedName name="gls_FIRST_PK" localSheetId="6" hidden="1">#REF!</definedName>
    <definedName name="gls_FIRST_PK" localSheetId="3" hidden="1">#REF!</definedName>
    <definedName name="gls_FIRST_PK" localSheetId="10" hidden="1">#REF!</definedName>
    <definedName name="gls_FIRST_PK" localSheetId="16" hidden="1">#REF!</definedName>
    <definedName name="gls_FIRST_PK" localSheetId="19" hidden="1">#REF!</definedName>
    <definedName name="gls_FIRST_PK" localSheetId="18" hidden="1">#REF!</definedName>
    <definedName name="gls_FIRST_PK" hidden="1">#REF!</definedName>
    <definedName name="gls_FIRST_ROWMULT" localSheetId="6" hidden="1">#REF!</definedName>
    <definedName name="gls_FIRST_ROWMULT" localSheetId="3" hidden="1">#REF!</definedName>
    <definedName name="gls_FIRST_ROWMULT" localSheetId="10" hidden="1">#REF!</definedName>
    <definedName name="gls_FIRST_ROWMULT" localSheetId="16" hidden="1">#REF!</definedName>
    <definedName name="gls_FIRST_ROWMULT" localSheetId="19" hidden="1">#REF!</definedName>
    <definedName name="gls_FIRST_ROWMULT" localSheetId="18" hidden="1">#REF!</definedName>
    <definedName name="gls_FIRST_ROWMULT" hidden="1">#REF!</definedName>
    <definedName name="gls_FIRST_UNITS" localSheetId="6" hidden="1">#REF!</definedName>
    <definedName name="gls_FIRST_UNITS" localSheetId="3" hidden="1">#REF!</definedName>
    <definedName name="gls_FIRST_UNITS" localSheetId="10" hidden="1">#REF!</definedName>
    <definedName name="gls_FIRST_UNITS" localSheetId="16" hidden="1">#REF!</definedName>
    <definedName name="gls_FIRST_UNITS" localSheetId="19" hidden="1">#REF!</definedName>
    <definedName name="gls_FIRST_UNITS" localSheetId="18" hidden="1">#REF!</definedName>
    <definedName name="gls_FIRST_UNITS" hidden="1">#REF!</definedName>
    <definedName name="gls_FIXED_NAMES" localSheetId="6" hidden="1">#REF!</definedName>
    <definedName name="gls_FIXED_NAMES" localSheetId="3" hidden="1">#REF!</definedName>
    <definedName name="gls_FIXED_NAMES" localSheetId="10" hidden="1">#REF!</definedName>
    <definedName name="gls_FIXED_NAMES" localSheetId="16" hidden="1">#REF!</definedName>
    <definedName name="gls_FIXED_NAMES" localSheetId="19" hidden="1">#REF!</definedName>
    <definedName name="gls_FIXED_NAMES" localSheetId="18" hidden="1">#REF!</definedName>
    <definedName name="gls_FIXED_NAMES" hidden="1">#REF!</definedName>
    <definedName name="gls_FONT_STATUS" localSheetId="6" hidden="1">#REF!</definedName>
    <definedName name="gls_FONT_STATUS" localSheetId="3" hidden="1">#REF!</definedName>
    <definedName name="gls_FONT_STATUS" localSheetId="10" hidden="1">#REF!</definedName>
    <definedName name="gls_FONT_STATUS" localSheetId="16" hidden="1">#REF!</definedName>
    <definedName name="gls_FONT_STATUS" localSheetId="19" hidden="1">#REF!</definedName>
    <definedName name="gls_FONT_STATUS" localSheetId="18" hidden="1">#REF!</definedName>
    <definedName name="gls_FONT_STATUS" hidden="1">#REF!</definedName>
    <definedName name="gls_GenAccountingConvention" localSheetId="6" hidden="1">#REF!</definedName>
    <definedName name="gls_GenAccountingConvention" localSheetId="3" hidden="1">#REF!</definedName>
    <definedName name="gls_GenAccountingConvention" localSheetId="10" hidden="1">#REF!</definedName>
    <definedName name="gls_GenAccountingConvention" localSheetId="16" hidden="1">#REF!</definedName>
    <definedName name="gls_GenAccountingConvention" localSheetId="19" hidden="1">#REF!</definedName>
    <definedName name="gls_GenAccountingConvention" localSheetId="18" hidden="1">#REF!</definedName>
    <definedName name="gls_GenAccountingConvention" hidden="1">#REF!</definedName>
    <definedName name="gls_GenCompany" localSheetId="6" hidden="1">#REF!</definedName>
    <definedName name="gls_GenCompany" localSheetId="3" hidden="1">#REF!</definedName>
    <definedName name="gls_GenCompany" localSheetId="10" hidden="1">#REF!</definedName>
    <definedName name="gls_GenCompany" localSheetId="16" hidden="1">#REF!</definedName>
    <definedName name="gls_GenCompany" localSheetId="19" hidden="1">#REF!</definedName>
    <definedName name="gls_GenCompany" localSheetId="18" hidden="1">#REF!</definedName>
    <definedName name="gls_GenCompany" hidden="1">#REF!</definedName>
    <definedName name="gls_GenCompanyInfo" localSheetId="6" hidden="1">#REF!</definedName>
    <definedName name="gls_GenCompanyInfo" localSheetId="3" hidden="1">#REF!</definedName>
    <definedName name="gls_GenCompanyInfo" localSheetId="10" hidden="1">#REF!</definedName>
    <definedName name="gls_GenCompanyInfo" localSheetId="16" hidden="1">#REF!</definedName>
    <definedName name="gls_GenCompanyInfo" localSheetId="19" hidden="1">#REF!</definedName>
    <definedName name="gls_GenCompanyInfo" localSheetId="18" hidden="1">#REF!</definedName>
    <definedName name="gls_GenCompanyInfo" hidden="1">#REF!</definedName>
    <definedName name="gls_GenCountry" localSheetId="6" hidden="1">#REF!</definedName>
    <definedName name="gls_GenCountry" localSheetId="3" hidden="1">#REF!</definedName>
    <definedName name="gls_GenCountry" localSheetId="10" hidden="1">#REF!</definedName>
    <definedName name="gls_GenCountry" localSheetId="16" hidden="1">#REF!</definedName>
    <definedName name="gls_GenCountry" localSheetId="19" hidden="1">#REF!</definedName>
    <definedName name="gls_GenCountry" localSheetId="18" hidden="1">#REF!</definedName>
    <definedName name="gls_GenCountry" hidden="1">#REF!</definedName>
    <definedName name="gls_GenCurrency" localSheetId="6" hidden="1">#REF!</definedName>
    <definedName name="gls_GenCurrency" localSheetId="3" hidden="1">#REF!</definedName>
    <definedName name="gls_GenCurrency" localSheetId="10" hidden="1">#REF!</definedName>
    <definedName name="gls_GenCurrency" localSheetId="16" hidden="1">#REF!</definedName>
    <definedName name="gls_GenCurrency" localSheetId="19" hidden="1">#REF!</definedName>
    <definedName name="gls_GenCurrency" localSheetId="18" hidden="1">#REF!</definedName>
    <definedName name="gls_GenCurrency" hidden="1">#REF!</definedName>
    <definedName name="gls_GenCurrencyMultiplier" localSheetId="6" hidden="1">#REF!</definedName>
    <definedName name="gls_GenCurrencyMultiplier" localSheetId="3" hidden="1">#REF!</definedName>
    <definedName name="gls_GenCurrencyMultiplier" localSheetId="10" hidden="1">#REF!</definedName>
    <definedName name="gls_GenCurrencyMultiplier" localSheetId="16" hidden="1">#REF!</definedName>
    <definedName name="gls_GenCurrencyMultiplier" localSheetId="19" hidden="1">#REF!</definedName>
    <definedName name="gls_GenCurrencyMultiplier" localSheetId="18" hidden="1">#REF!</definedName>
    <definedName name="gls_GenCurrencyMultiplier" hidden="1">#REF!</definedName>
    <definedName name="gls_GenEnterCompInfo" localSheetId="6" hidden="1">#REF!</definedName>
    <definedName name="gls_GenEnterCompInfo" localSheetId="3" hidden="1">#REF!</definedName>
    <definedName name="gls_GenEnterCompInfo" localSheetId="10" hidden="1">#REF!</definedName>
    <definedName name="gls_GenEnterCompInfo" localSheetId="16" hidden="1">#REF!</definedName>
    <definedName name="gls_GenEnterCompInfo" localSheetId="19" hidden="1">#REF!</definedName>
    <definedName name="gls_GenEnterCompInfo" localSheetId="18" hidden="1">#REF!</definedName>
    <definedName name="gls_GenEnterCompInfo" hidden="1">#REF!</definedName>
    <definedName name="gls_GenLastPriceTargetRevised" localSheetId="6" hidden="1">#REF!</definedName>
    <definedName name="gls_GenLastPriceTargetRevised" localSheetId="3" hidden="1">#REF!</definedName>
    <definedName name="gls_GenLastPriceTargetRevised" localSheetId="10" hidden="1">#REF!</definedName>
    <definedName name="gls_GenLastPriceTargetRevised" localSheetId="16" hidden="1">#REF!</definedName>
    <definedName name="gls_GenLastPriceTargetRevised" localSheetId="19" hidden="1">#REF!</definedName>
    <definedName name="gls_GenLastPriceTargetRevised" localSheetId="18" hidden="1">#REF!</definedName>
    <definedName name="gls_GenLastPriceTargetRevised" hidden="1">#REF!</definedName>
    <definedName name="gls_GenLastPublished" localSheetId="6" hidden="1">#REF!</definedName>
    <definedName name="gls_GenLastPublished" localSheetId="3" hidden="1">#REF!</definedName>
    <definedName name="gls_GenLastPublished" localSheetId="10" hidden="1">#REF!</definedName>
    <definedName name="gls_GenLastPublished" localSheetId="16" hidden="1">#REF!</definedName>
    <definedName name="gls_GenLastPublished" localSheetId="19" hidden="1">#REF!</definedName>
    <definedName name="gls_GenLastPublished" localSheetId="18" hidden="1">#REF!</definedName>
    <definedName name="gls_GenLastPublished" hidden="1">#REF!</definedName>
    <definedName name="gls_GenLastRecRevised" localSheetId="6" hidden="1">#REF!</definedName>
    <definedName name="gls_GenLastRecRevised" localSheetId="3" hidden="1">#REF!</definedName>
    <definedName name="gls_GenLastRecRevised" localSheetId="10" hidden="1">#REF!</definedName>
    <definedName name="gls_GenLastRecRevised" localSheetId="16" hidden="1">#REF!</definedName>
    <definedName name="gls_GenLastRecRevised" localSheetId="19" hidden="1">#REF!</definedName>
    <definedName name="gls_GenLastRecRevised" localSheetId="18" hidden="1">#REF!</definedName>
    <definedName name="gls_GenLastRecRevised" hidden="1">#REF!</definedName>
    <definedName name="gls_GenMainInfo" localSheetId="6" hidden="1">#REF!</definedName>
    <definedName name="gls_GenMainInfo" localSheetId="3" hidden="1">#REF!</definedName>
    <definedName name="gls_GenMainInfo" localSheetId="10" hidden="1">#REF!</definedName>
    <definedName name="gls_GenMainInfo" localSheetId="16" hidden="1">#REF!</definedName>
    <definedName name="gls_GenMainInfo" localSheetId="19" hidden="1">#REF!</definedName>
    <definedName name="gls_GenMainInfo" localSheetId="18" hidden="1">#REF!</definedName>
    <definedName name="gls_GenMainInfo" hidden="1">#REF!</definedName>
    <definedName name="gls_GenProfile" localSheetId="6" hidden="1">#REF!</definedName>
    <definedName name="gls_GenProfile" localSheetId="3" hidden="1">#REF!</definedName>
    <definedName name="gls_GenProfile" localSheetId="10" hidden="1">#REF!</definedName>
    <definedName name="gls_GenProfile" localSheetId="16" hidden="1">#REF!</definedName>
    <definedName name="gls_GenProfile" localSheetId="19" hidden="1">#REF!</definedName>
    <definedName name="gls_GenProfile" localSheetId="18" hidden="1">#REF!</definedName>
    <definedName name="gls_GenProfile" hidden="1">#REF!</definedName>
    <definedName name="gls_GenRecComment" localSheetId="6" hidden="1">#REF!</definedName>
    <definedName name="gls_GenRecComment" localSheetId="3" hidden="1">#REF!</definedName>
    <definedName name="gls_GenRecComment" localSheetId="10" hidden="1">#REF!</definedName>
    <definedName name="gls_GenRecComment" localSheetId="16" hidden="1">#REF!</definedName>
    <definedName name="gls_GenRecComment" localSheetId="19" hidden="1">#REF!</definedName>
    <definedName name="gls_GenRecComment" localSheetId="18" hidden="1">#REF!</definedName>
    <definedName name="gls_GenRecComment" hidden="1">#REF!</definedName>
    <definedName name="gls_GenSheetVersion" localSheetId="6" hidden="1">#REF!</definedName>
    <definedName name="gls_GenSheetVersion" localSheetId="3" hidden="1">#REF!</definedName>
    <definedName name="gls_GenSheetVersion" localSheetId="10" hidden="1">#REF!</definedName>
    <definedName name="gls_GenSheetVersion" localSheetId="16" hidden="1">#REF!</definedName>
    <definedName name="gls_GenSheetVersion" localSheetId="19" hidden="1">#REF!</definedName>
    <definedName name="gls_GenSheetVersion" localSheetId="18" hidden="1">#REF!</definedName>
    <definedName name="gls_GenSheetVersion" hidden="1">#REF!</definedName>
    <definedName name="gls_genStockCore" localSheetId="6" hidden="1">#REF!</definedName>
    <definedName name="gls_genStockCore" localSheetId="3" hidden="1">#REF!</definedName>
    <definedName name="gls_genStockCore" localSheetId="10" hidden="1">#REF!</definedName>
    <definedName name="gls_genStockCore" localSheetId="16" hidden="1">#REF!</definedName>
    <definedName name="gls_genStockCore" localSheetId="19" hidden="1">#REF!</definedName>
    <definedName name="gls_genStockCore" localSheetId="18" hidden="1">#REF!</definedName>
    <definedName name="gls_genStockCore" hidden="1">#REF!</definedName>
    <definedName name="gls_genStockRec" localSheetId="6" hidden="1">#REF!</definedName>
    <definedName name="gls_genStockRec" localSheetId="3" hidden="1">#REF!</definedName>
    <definedName name="gls_genStockRec" localSheetId="10" hidden="1">#REF!</definedName>
    <definedName name="gls_genStockRec" localSheetId="16" hidden="1">#REF!</definedName>
    <definedName name="gls_genStockRec" localSheetId="19" hidden="1">#REF!</definedName>
    <definedName name="gls_genStockRec" localSheetId="18" hidden="1">#REF!</definedName>
    <definedName name="gls_genStockRec" hidden="1">#REF!</definedName>
    <definedName name="gls_GenTargetCurrency" localSheetId="6" hidden="1">#REF!</definedName>
    <definedName name="gls_GenTargetCurrency" localSheetId="3" hidden="1">#REF!</definedName>
    <definedName name="gls_GenTargetCurrency" localSheetId="10" hidden="1">#REF!</definedName>
    <definedName name="gls_GenTargetCurrency" localSheetId="16" hidden="1">#REF!</definedName>
    <definedName name="gls_GenTargetCurrency" localSheetId="19" hidden="1">#REF!</definedName>
    <definedName name="gls_GenTargetCurrency" localSheetId="18" hidden="1">#REF!</definedName>
    <definedName name="gls_GenTargetCurrency" hidden="1">#REF!</definedName>
    <definedName name="gls_IssuedStockClassHeading" localSheetId="6" hidden="1">#REF!</definedName>
    <definedName name="gls_IssuedStockClassHeading" localSheetId="3" hidden="1">#REF!</definedName>
    <definedName name="gls_IssuedStockClassHeading" localSheetId="10" hidden="1">#REF!</definedName>
    <definedName name="gls_IssuedStockClassHeading" localSheetId="16" hidden="1">#REF!</definedName>
    <definedName name="gls_IssuedStockClassHeading" localSheetId="19" hidden="1">#REF!</definedName>
    <definedName name="gls_IssuedStockClassHeading" localSheetId="18" hidden="1">#REF!</definedName>
    <definedName name="gls_IssuedStockClassHeading" hidden="1">#REF!</definedName>
    <definedName name="gls_IssuedStockCodeHeading" localSheetId="6" hidden="1">#REF!</definedName>
    <definedName name="gls_IssuedStockCodeHeading" localSheetId="3" hidden="1">#REF!</definedName>
    <definedName name="gls_IssuedStockCodeHeading" localSheetId="10" hidden="1">#REF!</definedName>
    <definedName name="gls_IssuedStockCodeHeading" localSheetId="16" hidden="1">#REF!</definedName>
    <definedName name="gls_IssuedStockCodeHeading" localSheetId="19" hidden="1">#REF!</definedName>
    <definedName name="gls_IssuedStockCodeHeading" localSheetId="18" hidden="1">#REF!</definedName>
    <definedName name="gls_IssuedStockCodeHeading" hidden="1">#REF!</definedName>
    <definedName name="gls_IssuedStockFreeFloatHeading" localSheetId="6" hidden="1">#REF!</definedName>
    <definedName name="gls_IssuedStockFreeFloatHeading" localSheetId="3" hidden="1">#REF!</definedName>
    <definedName name="gls_IssuedStockFreeFloatHeading" localSheetId="10" hidden="1">#REF!</definedName>
    <definedName name="gls_IssuedStockFreeFloatHeading" localSheetId="16" hidden="1">#REF!</definedName>
    <definedName name="gls_IssuedStockFreeFloatHeading" localSheetId="19" hidden="1">#REF!</definedName>
    <definedName name="gls_IssuedStockFreeFloatHeading" localSheetId="18" hidden="1">#REF!</definedName>
    <definedName name="gls_IssuedStockFreeFloatHeading" hidden="1">#REF!</definedName>
    <definedName name="gls_KEY_DATA" localSheetId="6" hidden="1">#REF!</definedName>
    <definedName name="gls_KEY_DATA" localSheetId="3" hidden="1">#REF!</definedName>
    <definedName name="gls_KEY_DATA" localSheetId="10" hidden="1">#REF!</definedName>
    <definedName name="gls_KEY_DATA" localSheetId="16" hidden="1">#REF!</definedName>
    <definedName name="gls_KEY_DATA" localSheetId="19" hidden="1">#REF!</definedName>
    <definedName name="gls_KEY_DATA" localSheetId="18" hidden="1">#REF!</definedName>
    <definedName name="gls_KEY_DATA" hidden="1">#REF!</definedName>
    <definedName name="gls_KEY_VALUE" localSheetId="6" hidden="1">#REF!</definedName>
    <definedName name="gls_KEY_VALUE" localSheetId="3" hidden="1">#REF!</definedName>
    <definedName name="gls_KEY_VALUE" localSheetId="10" hidden="1">#REF!</definedName>
    <definedName name="gls_KEY_VALUE" localSheetId="16" hidden="1">#REF!</definedName>
    <definedName name="gls_KEY_VALUE" localSheetId="19" hidden="1">#REF!</definedName>
    <definedName name="gls_KEY_VALUE" localSheetId="18" hidden="1">#REF!</definedName>
    <definedName name="gls_KEY_VALUE" hidden="1">#REF!</definedName>
    <definedName name="gls_PERIOD_CODE" localSheetId="6" hidden="1">#REF!</definedName>
    <definedName name="gls_PERIOD_CODE" localSheetId="3" hidden="1">#REF!</definedName>
    <definedName name="gls_PERIOD_CODE" localSheetId="10" hidden="1">#REF!</definedName>
    <definedName name="gls_PERIOD_CODE" localSheetId="16" hidden="1">#REF!</definedName>
    <definedName name="gls_PERIOD_CODE" localSheetId="19" hidden="1">#REF!</definedName>
    <definedName name="gls_PERIOD_CODE" localSheetId="18" hidden="1">#REF!</definedName>
    <definedName name="gls_PERIOD_CODE" hidden="1">#REF!</definedName>
    <definedName name="gls_PERIOD_INDICATOR" localSheetId="6" hidden="1">#REF!</definedName>
    <definedName name="gls_PERIOD_INDICATOR" localSheetId="3" hidden="1">#REF!</definedName>
    <definedName name="gls_PERIOD_INDICATOR" localSheetId="10" hidden="1">#REF!</definedName>
    <definedName name="gls_PERIOD_INDICATOR" localSheetId="16" hidden="1">#REF!</definedName>
    <definedName name="gls_PERIOD_INDICATOR" localSheetId="19" hidden="1">#REF!</definedName>
    <definedName name="gls_PERIOD_INDICATOR" localSheetId="18" hidden="1">#REF!</definedName>
    <definedName name="gls_PERIOD_INDICATOR" hidden="1">#REF!</definedName>
    <definedName name="gls_PERIOD_PARENT_OR_CONSOL" localSheetId="6" hidden="1">#REF!</definedName>
    <definedName name="gls_PERIOD_PARENT_OR_CONSOL" localSheetId="3" hidden="1">#REF!</definedName>
    <definedName name="gls_PERIOD_PARENT_OR_CONSOL" localSheetId="10" hidden="1">#REF!</definedName>
    <definedName name="gls_PERIOD_PARENT_OR_CONSOL" localSheetId="16" hidden="1">#REF!</definedName>
    <definedName name="gls_PERIOD_PARENT_OR_CONSOL" localSheetId="19" hidden="1">#REF!</definedName>
    <definedName name="gls_PERIOD_PARENT_OR_CONSOL" localSheetId="18" hidden="1">#REF!</definedName>
    <definedName name="gls_PERIOD_PARENT_OR_CONSOL" hidden="1">#REF!</definedName>
    <definedName name="gls_PERIOD_TYPE" localSheetId="6" hidden="1">#REF!</definedName>
    <definedName name="gls_PERIOD_TYPE" localSheetId="3" hidden="1">#REF!</definedName>
    <definedName name="gls_PERIOD_TYPE" localSheetId="10" hidden="1">#REF!</definedName>
    <definedName name="gls_PERIOD_TYPE" localSheetId="16" hidden="1">#REF!</definedName>
    <definedName name="gls_PERIOD_TYPE" localSheetId="19" hidden="1">#REF!</definedName>
    <definedName name="gls_PERIOD_TYPE" localSheetId="18" hidden="1">#REF!</definedName>
    <definedName name="gls_PERIOD_TYPE" hidden="1">#REF!</definedName>
    <definedName name="gls_PrincipalStockClass" localSheetId="6" hidden="1">#REF!</definedName>
    <definedName name="gls_PrincipalStockClass" localSheetId="3" hidden="1">#REF!</definedName>
    <definedName name="gls_PrincipalStockClass" localSheetId="10" hidden="1">#REF!</definedName>
    <definedName name="gls_PrincipalStockClass" localSheetId="16" hidden="1">#REF!</definedName>
    <definedName name="gls_PrincipalStockClass" localSheetId="19" hidden="1">#REF!</definedName>
    <definedName name="gls_PrincipalStockClass" localSheetId="18" hidden="1">#REF!</definedName>
    <definedName name="gls_PrincipalStockClass" hidden="1">#REF!</definedName>
    <definedName name="gls_ShareholderClassHeading" localSheetId="6" hidden="1">#REF!</definedName>
    <definedName name="gls_ShareholderClassHeading" localSheetId="3" hidden="1">#REF!</definedName>
    <definedName name="gls_ShareholderClassHeading" localSheetId="10" hidden="1">#REF!</definedName>
    <definedName name="gls_ShareholderClassHeading" localSheetId="16" hidden="1">#REF!</definedName>
    <definedName name="gls_ShareholderClassHeading" localSheetId="19" hidden="1">#REF!</definedName>
    <definedName name="gls_ShareholderClassHeading" localSheetId="18" hidden="1">#REF!</definedName>
    <definedName name="gls_ShareholderClassHeading" hidden="1">#REF!</definedName>
    <definedName name="gls_ShareholderHolding" localSheetId="6" hidden="1">#REF!</definedName>
    <definedName name="gls_ShareholderHolding" localSheetId="3" hidden="1">#REF!</definedName>
    <definedName name="gls_ShareholderHolding" localSheetId="10" hidden="1">#REF!</definedName>
    <definedName name="gls_ShareholderHolding" localSheetId="16" hidden="1">#REF!</definedName>
    <definedName name="gls_ShareholderHolding" localSheetId="19" hidden="1">#REF!</definedName>
    <definedName name="gls_ShareholderHolding" localSheetId="18" hidden="1">#REF!</definedName>
    <definedName name="gls_ShareholderHolding" hidden="1">#REF!</definedName>
    <definedName name="gls_ShareholderHoldingHeading" localSheetId="6" hidden="1">#REF!</definedName>
    <definedName name="gls_ShareholderHoldingHeading" localSheetId="3" hidden="1">#REF!</definedName>
    <definedName name="gls_ShareholderHoldingHeading" localSheetId="10" hidden="1">#REF!</definedName>
    <definedName name="gls_ShareholderHoldingHeading" localSheetId="16" hidden="1">#REF!</definedName>
    <definedName name="gls_ShareholderHoldingHeading" localSheetId="19" hidden="1">#REF!</definedName>
    <definedName name="gls_ShareholderHoldingHeading" localSheetId="18" hidden="1">#REF!</definedName>
    <definedName name="gls_ShareholderHoldingHeading" hidden="1">#REF!</definedName>
    <definedName name="gls_ShareholderName" localSheetId="6" hidden="1">#REF!</definedName>
    <definedName name="gls_ShareholderName" localSheetId="3" hidden="1">#REF!</definedName>
    <definedName name="gls_ShareholderName" localSheetId="10" hidden="1">#REF!</definedName>
    <definedName name="gls_ShareholderName" localSheetId="16" hidden="1">#REF!</definedName>
    <definedName name="gls_ShareholderName" localSheetId="19" hidden="1">#REF!</definedName>
    <definedName name="gls_ShareholderName" localSheetId="18" hidden="1">#REF!</definedName>
    <definedName name="gls_ShareholderName" hidden="1">#REF!</definedName>
    <definedName name="gls_ShareholderNameHeading" localSheetId="6" hidden="1">#REF!</definedName>
    <definedName name="gls_ShareholderNameHeading" localSheetId="3" hidden="1">#REF!</definedName>
    <definedName name="gls_ShareholderNameHeading" localSheetId="10" hidden="1">#REF!</definedName>
    <definedName name="gls_ShareholderNameHeading" localSheetId="16" hidden="1">#REF!</definedName>
    <definedName name="gls_ShareholderNameHeading" localSheetId="19" hidden="1">#REF!</definedName>
    <definedName name="gls_ShareholderNameHeading" localSheetId="18" hidden="1">#REF!</definedName>
    <definedName name="gls_ShareholderNameHeading" hidden="1">#REF!</definedName>
    <definedName name="gls_ShareholdingName" localSheetId="6" hidden="1">#REF!</definedName>
    <definedName name="gls_ShareholdingName" localSheetId="3" hidden="1">#REF!</definedName>
    <definedName name="gls_ShareholdingName" localSheetId="10" hidden="1">#REF!</definedName>
    <definedName name="gls_ShareholdingName" localSheetId="16" hidden="1">#REF!</definedName>
    <definedName name="gls_ShareholdingName" localSheetId="19" hidden="1">#REF!</definedName>
    <definedName name="gls_ShareholdingName" localSheetId="18" hidden="1">#REF!</definedName>
    <definedName name="gls_ShareholdingName" hidden="1">#REF!</definedName>
    <definedName name="gls_SPARE_YEARS" localSheetId="6" hidden="1">#REF!</definedName>
    <definedName name="gls_SPARE_YEARS" localSheetId="3" hidden="1">#REF!</definedName>
    <definedName name="gls_SPARE_YEARS" localSheetId="10" hidden="1">#REF!</definedName>
    <definedName name="gls_SPARE_YEARS" localSheetId="16" hidden="1">#REF!</definedName>
    <definedName name="gls_SPARE_YEARS" localSheetId="19" hidden="1">#REF!</definedName>
    <definedName name="gls_SPARE_YEARS" localSheetId="18" hidden="1">#REF!</definedName>
    <definedName name="gls_SPARE_YEARS" hidden="1">#REF!</definedName>
    <definedName name="gls_START_FORMULA_OVERRIDEABLE" localSheetId="6" hidden="1">#REF!</definedName>
    <definedName name="gls_START_FORMULA_OVERRIDEABLE" localSheetId="3" hidden="1">#REF!</definedName>
    <definedName name="gls_START_FORMULA_OVERRIDEABLE" localSheetId="10" hidden="1">#REF!</definedName>
    <definedName name="gls_START_FORMULA_OVERRIDEABLE" localSheetId="16" hidden="1">#REF!</definedName>
    <definedName name="gls_START_FORMULA_OVERRIDEABLE" localSheetId="19" hidden="1">#REF!</definedName>
    <definedName name="gls_START_FORMULA_OVERRIDEABLE" localSheetId="18" hidden="1">#REF!</definedName>
    <definedName name="gls_START_FORMULA_OVERRIDEABLE" hidden="1">#REF!</definedName>
    <definedName name="gls_START_LOCAL_NAMES" localSheetId="6" hidden="1">#REF!</definedName>
    <definedName name="gls_START_LOCAL_NAMES" localSheetId="3" hidden="1">#REF!</definedName>
    <definedName name="gls_START_LOCAL_NAMES" localSheetId="10" hidden="1">#REF!</definedName>
    <definedName name="gls_START_LOCAL_NAMES" localSheetId="16" hidden="1">#REF!</definedName>
    <definedName name="gls_START_LOCAL_NAMES" localSheetId="19" hidden="1">#REF!</definedName>
    <definedName name="gls_START_LOCAL_NAMES" localSheetId="18" hidden="1">#REF!</definedName>
    <definedName name="gls_START_LOCAL_NAMES" hidden="1">#REF!</definedName>
    <definedName name="gls_START_PERIOD_CURRENCY" localSheetId="6" hidden="1">#REF!</definedName>
    <definedName name="gls_START_PERIOD_CURRENCY" localSheetId="3" hidden="1">#REF!</definedName>
    <definedName name="gls_START_PERIOD_CURRENCY" localSheetId="10" hidden="1">#REF!</definedName>
    <definedName name="gls_START_PERIOD_CURRENCY" localSheetId="16" hidden="1">#REF!</definedName>
    <definedName name="gls_START_PERIOD_CURRENCY" localSheetId="19" hidden="1">#REF!</definedName>
    <definedName name="gls_START_PERIOD_CURRENCY" localSheetId="18" hidden="1">#REF!</definedName>
    <definedName name="gls_START_PERIOD_CURRENCY" hidden="1">#REF!</definedName>
    <definedName name="gls_START_STATUS" localSheetId="6" hidden="1">#REF!</definedName>
    <definedName name="gls_START_STATUS" localSheetId="3" hidden="1">#REF!</definedName>
    <definedName name="gls_START_STATUS" localSheetId="10" hidden="1">#REF!</definedName>
    <definedName name="gls_START_STATUS" localSheetId="16" hidden="1">#REF!</definedName>
    <definedName name="gls_START_STATUS" localSheetId="19" hidden="1">#REF!</definedName>
    <definedName name="gls_START_STATUS" localSheetId="18" hidden="1">#REF!</definedName>
    <definedName name="gls_START_STATUS" hidden="1">#REF!</definedName>
    <definedName name="gls_START_USER_STATUS" localSheetId="6" hidden="1">#REF!</definedName>
    <definedName name="gls_START_USER_STATUS" localSheetId="3" hidden="1">#REF!</definedName>
    <definedName name="gls_START_USER_STATUS" localSheetId="10" hidden="1">#REF!</definedName>
    <definedName name="gls_START_USER_STATUS" localSheetId="16" hidden="1">#REF!</definedName>
    <definedName name="gls_START_USER_STATUS" localSheetId="19" hidden="1">#REF!</definedName>
    <definedName name="gls_START_USER_STATUS" localSheetId="18" hidden="1">#REF!</definedName>
    <definedName name="gls_START_USER_STATUS" hidden="1">#REF!</definedName>
    <definedName name="gls_START_VALIDATION" localSheetId="6" hidden="1">#REF!</definedName>
    <definedName name="gls_START_VALIDATION" localSheetId="3" hidden="1">#REF!</definedName>
    <definedName name="gls_START_VALIDATION" localSheetId="10" hidden="1">#REF!</definedName>
    <definedName name="gls_START_VALIDATION" localSheetId="16" hidden="1">#REF!</definedName>
    <definedName name="gls_START_VALIDATION" localSheetId="19" hidden="1">#REF!</definedName>
    <definedName name="gls_START_VALIDATION" localSheetId="18" hidden="1">#REF!</definedName>
    <definedName name="gls_START_VALIDATION" hidden="1">#REF!</definedName>
    <definedName name="gls_START_WHAT" localSheetId="6" hidden="1">#REF!</definedName>
    <definedName name="gls_START_WHAT" localSheetId="3" hidden="1">#REF!</definedName>
    <definedName name="gls_START_WHAT" localSheetId="10" hidden="1">#REF!</definedName>
    <definedName name="gls_START_WHAT" localSheetId="16" hidden="1">#REF!</definedName>
    <definedName name="gls_START_WHAT" localSheetId="19" hidden="1">#REF!</definedName>
    <definedName name="gls_START_WHAT" localSheetId="18" hidden="1">#REF!</definedName>
    <definedName name="gls_START_WHAT" hidden="1">#REF!</definedName>
    <definedName name="gls_START_YEAR" localSheetId="6" hidden="1">#REF!</definedName>
    <definedName name="gls_START_YEAR" localSheetId="3" hidden="1">#REF!</definedName>
    <definedName name="gls_START_YEAR" localSheetId="10" hidden="1">#REF!</definedName>
    <definedName name="gls_START_YEAR" localSheetId="16" hidden="1">#REF!</definedName>
    <definedName name="gls_START_YEAR" localSheetId="19" hidden="1">#REF!</definedName>
    <definedName name="gls_START_YEAR" localSheetId="18" hidden="1">#REF!</definedName>
    <definedName name="gls_START_YEAR" hidden="1">#REF!</definedName>
    <definedName name="gls_TEMP_PERIOD_CODE" localSheetId="6" hidden="1">#REF!</definedName>
    <definedName name="gls_TEMP_PERIOD_CODE" localSheetId="3" hidden="1">#REF!</definedName>
    <definedName name="gls_TEMP_PERIOD_CODE" localSheetId="10" hidden="1">#REF!</definedName>
    <definedName name="gls_TEMP_PERIOD_CODE" localSheetId="16" hidden="1">#REF!</definedName>
    <definedName name="gls_TEMP_PERIOD_CODE" localSheetId="19" hidden="1">#REF!</definedName>
    <definedName name="gls_TEMP_PERIOD_CODE" localSheetId="18" hidden="1">#REF!</definedName>
    <definedName name="gls_TEMP_PERIOD_CODE" hidden="1">#REF!</definedName>
    <definedName name="gls_YEAR_AE_CONTROL" localSheetId="6" hidden="1">#REF!</definedName>
    <definedName name="gls_YEAR_AE_CONTROL" localSheetId="3" hidden="1">#REF!</definedName>
    <definedName name="gls_YEAR_AE_CONTROL" localSheetId="10" hidden="1">#REF!</definedName>
    <definedName name="gls_YEAR_AE_CONTROL" localSheetId="16" hidden="1">#REF!</definedName>
    <definedName name="gls_YEAR_AE_CONTROL" localSheetId="19" hidden="1">#REF!</definedName>
    <definedName name="gls_YEAR_AE_CONTROL" localSheetId="18" hidden="1">#REF!</definedName>
    <definedName name="gls_YEAR_AE_CONTROL" hidden="1">#REF!</definedName>
    <definedName name="gls_YEAR_END_ROW" localSheetId="6" hidden="1">#REF!</definedName>
    <definedName name="gls_YEAR_END_ROW" localSheetId="3" hidden="1">#REF!</definedName>
    <definedName name="gls_YEAR_END_ROW" localSheetId="10" hidden="1">#REF!</definedName>
    <definedName name="gls_YEAR_END_ROW" localSheetId="16" hidden="1">#REF!</definedName>
    <definedName name="gls_YEAR_END_ROW" localSheetId="19" hidden="1">#REF!</definedName>
    <definedName name="gls_YEAR_END_ROW" localSheetId="18" hidden="1">#REF!</definedName>
    <definedName name="gls_YEAR_END_ROW" hidden="1">#REF!</definedName>
    <definedName name="guidance"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anc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H" localSheetId="5"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16"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19"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localSheetId="18"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HON" localSheetId="5" hidden="1">{"comps",#N/A,FALSE,"TXTCOMPS";"segment_EPS",#N/A,FALSE,"TXTCOMPS";"valuation",#N/A,FALSE,"TXTCOMPS"}</definedName>
    <definedName name="HON" localSheetId="16" hidden="1">{"comps",#N/A,FALSE,"TXTCOMPS";"segment_EPS",#N/A,FALSE,"TXTCOMPS";"valuation",#N/A,FALSE,"TXTCOMPS"}</definedName>
    <definedName name="HON" localSheetId="19" hidden="1">{"comps",#N/A,FALSE,"TXTCOMPS";"segment_EPS",#N/A,FALSE,"TXTCOMPS";"valuation",#N/A,FALSE,"TXTCOMPS"}</definedName>
    <definedName name="HON" localSheetId="18" hidden="1">{"comps",#N/A,FALSE,"TXTCOMPS";"segment_EPS",#N/A,FALSE,"TXTCOMPS";"valuation",#N/A,FALSE,"TXTCOMPS"}</definedName>
    <definedName name="HON" hidden="1">{"comps",#N/A,FALSE,"TXTCOMPS";"segment_EPS",#N/A,FALSE,"TXTCOMPS";"valuation",#N/A,FALSE,"TXTCOMPS"}</definedName>
    <definedName name="HTML_CodePage" localSheetId="6" hidden="1">1252</definedName>
    <definedName name="HTML_CodePage" localSheetId="3" hidden="1">1252</definedName>
    <definedName name="HTML_CodePage" localSheetId="10" hidden="1">1252</definedName>
    <definedName name="HTML_CodePage" hidden="1">949</definedName>
    <definedName name="HTML_Control" localSheetId="6" hidden="1">{"'IG3Q99'!$A$306:$I$356"}</definedName>
    <definedName name="HTML_Control" localSheetId="3" hidden="1">{"'IG3Q99'!$A$306:$I$356"}</definedName>
    <definedName name="HTML_Control" localSheetId="5" hidden="1">{"'보고양식'!$A$58:$K$111"}</definedName>
    <definedName name="HTML_Control" localSheetId="10" hidden="1">{"'IG3Q99'!$A$306:$I$356"}</definedName>
    <definedName name="HTML_Control" localSheetId="16" hidden="1">{"'IG3Q99'!$A$306:$I$356"}</definedName>
    <definedName name="HTML_Control" localSheetId="19" hidden="1">{"'IG3Q99'!$A$306:$I$356"}</definedName>
    <definedName name="HTML_Control" localSheetId="18" hidden="1">{"'IG3Q99'!$A$306:$I$356"}</definedName>
    <definedName name="HTML_Control" hidden="1">{"'보고양식'!$A$58:$K$111"}</definedName>
    <definedName name="html_control_1" localSheetId="6" hidden="1">{"'IG3Q99'!$A$306:$I$356"}</definedName>
    <definedName name="html_control_1" localSheetId="3" hidden="1">{"'IG3Q99'!$A$306:$I$356"}</definedName>
    <definedName name="html_control_1" localSheetId="5" hidden="1">{"'IG3Q99'!$A$306:$I$356"}</definedName>
    <definedName name="html_control_1" localSheetId="10" hidden="1">{"'IG3Q99'!$A$306:$I$356"}</definedName>
    <definedName name="html_control_1" localSheetId="16" hidden="1">{"'IG3Q99'!$A$306:$I$356"}</definedName>
    <definedName name="html_control_1" localSheetId="19" hidden="1">{"'IG3Q99'!$A$306:$I$356"}</definedName>
    <definedName name="html_control_1" localSheetId="18" hidden="1">{"'IG3Q99'!$A$306:$I$356"}</definedName>
    <definedName name="html_control_1" hidden="1">{"'IG3Q99'!$A$306:$I$356"}</definedName>
    <definedName name="HTML_Description" hidden="1">""</definedName>
    <definedName name="HTML_Email" hidden="1">""</definedName>
    <definedName name="HTML_Header" localSheetId="6" hidden="1">"IG1Q99"</definedName>
    <definedName name="HTML_Header" localSheetId="3" hidden="1">"IG1Q99"</definedName>
    <definedName name="HTML_Header" localSheetId="10" hidden="1">"IG1Q99"</definedName>
    <definedName name="HTML_Header" hidden="1">""</definedName>
    <definedName name="HTML_LastUpdate" localSheetId="6" hidden="1">"10/26/1999"</definedName>
    <definedName name="HTML_LastUpdate" localSheetId="3" hidden="1">"10/26/1999"</definedName>
    <definedName name="HTML_LastUpdate" localSheetId="10" hidden="1">"10/26/1999"</definedName>
    <definedName name="HTML_LastUpdate" hidden="1">""</definedName>
    <definedName name="HTML_LineAfter" hidden="1">FALSE</definedName>
    <definedName name="HTML_LineBefore" hidden="1">FALSE</definedName>
    <definedName name="HTML_Name" localSheetId="6" hidden="1">"Judy Sinclair"</definedName>
    <definedName name="HTML_Name" localSheetId="3" hidden="1">"Judy Sinclair"</definedName>
    <definedName name="HTML_Name" localSheetId="10" hidden="1">"Judy Sinclair"</definedName>
    <definedName name="HTML_Name" hidden="1">""</definedName>
    <definedName name="HTML_OBDlg2" hidden="1">TRUE</definedName>
    <definedName name="HTML_OBDlg4" hidden="1">TRUE</definedName>
    <definedName name="HTML_OS" hidden="1">0</definedName>
    <definedName name="HTML_PathFile" localSheetId="6" hidden="1">"G:\EXCELDAT\CEXJIS\newcoll.htm"</definedName>
    <definedName name="HTML_PathFile" localSheetId="3" hidden="1">"G:\EXCELDAT\CEXJIS\newcoll.htm"</definedName>
    <definedName name="HTML_PathFile" localSheetId="10" hidden="1">"G:\EXCELDAT\CEXJIS\newcoll.htm"</definedName>
    <definedName name="HTML_PathFile" hidden="1">"C:\My Documents\98년\영업현황\2월 수주현황(2월 마감분).htm"</definedName>
    <definedName name="HTML_Title" localSheetId="6" hidden="1">"CNCIG98"</definedName>
    <definedName name="HTML_Title" localSheetId="3" hidden="1">"CNCIG98"</definedName>
    <definedName name="HTML_Title" localSheetId="10" hidden="1">"CNCIG98"</definedName>
    <definedName name="HTML_Title" hidden="1">""</definedName>
    <definedName name="HTML1_1" hidden="1">"[수주관리98.xls]회선현황!$A$5:$O$53"</definedName>
    <definedName name="HTML1_10" hidden="1">""</definedName>
    <definedName name="HTML1_11" hidden="1">1</definedName>
    <definedName name="HTML1_12" hidden="1">"C:\My Documents\98년\1월\영업현황\시험.htm"</definedName>
    <definedName name="HTML1_2" hidden="1">1</definedName>
    <definedName name="HTML1_3" hidden="1">"수주관리98"</definedName>
    <definedName name="HTML1_4" hidden="1">"회선현황"</definedName>
    <definedName name="HTML1_5" hidden="1">""</definedName>
    <definedName name="HTML1_6" hidden="1">-4146</definedName>
    <definedName name="HTML1_7" hidden="1">-4146</definedName>
    <definedName name="HTML1_8" hidden="1">"98-01-21"</definedName>
    <definedName name="HTML1_9" hidden="1">"김은광"</definedName>
    <definedName name="HTML10_1" hidden="1">"'[수주관리98.xls]2월1주차'!$A$1:$P$31"</definedName>
    <definedName name="HTML10_10" hidden="1">""</definedName>
    <definedName name="HTML10_11" hidden="1">1</definedName>
    <definedName name="HTML10_12" hidden="1">"C:\My Documents\98년\영업현황\일일현황-98.2.6.htm"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"'[수주관리98.xls]2월2주차'!$A$1:$P$21"</definedName>
    <definedName name="HTML11_10" hidden="1">""</definedName>
    <definedName name="HTML11_11" hidden="1">1</definedName>
    <definedName name="HTML11_12" hidden="1">"C:\My Documents\98년\영업현황\일일현황-98.2.12.htm"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"'[수주관리98.xls]2월2주차'!$A$1:$P$34"</definedName>
    <definedName name="HTML12_10" hidden="1">""</definedName>
    <definedName name="HTML12_11" hidden="1">1</definedName>
    <definedName name="HTML12_12" hidden="1">"C:\My Documents\98년\영업현황\일일현황-98.2.13.htm"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"'[수주관리98.xls]2월2주차'!$A$1:$P$19"</definedName>
    <definedName name="HTML13_10" hidden="1">""</definedName>
    <definedName name="HTML13_11" hidden="1">1</definedName>
    <definedName name="HTML13_12" hidden="1">"C:\My Documents\98년\영업현황\일일현황-98.2.12.htm"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"'[수주관리98.xls]2월2주차'!$A$1:$P$17"</definedName>
    <definedName name="HTML14_10" hidden="1">""</definedName>
    <definedName name="HTML14_11" hidden="1">1</definedName>
    <definedName name="HTML14_12" hidden="1">"C:\My Documents\98년\영업현황\일일현황-98.2.9.htm"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"'[수주관리98.xls]2월3주차'!$A$1:$P$20"</definedName>
    <definedName name="HTML15_10" hidden="1">""</definedName>
    <definedName name="HTML15_11" hidden="1">1</definedName>
    <definedName name="HTML15_12" hidden="1">"C:\My Documents\98년\영업현황\일일현황-98.2.16.htm"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"'[수주통합관리98_2_21.xls]2월3주차'!$A$1:$I$89"</definedName>
    <definedName name="HTML16_10" hidden="1">""</definedName>
    <definedName name="HTML16_11" hidden="1">1</definedName>
    <definedName name="HTML16_12" hidden="1">"C:\My Documents\98년\영업현황\일일현황-98.2.25.htm"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"'[수주통합관리98_2_21.xls]2월3주차'!$A$4:$H$30"</definedName>
    <definedName name="HTML17_10" hidden="1">""</definedName>
    <definedName name="HTML17_11" hidden="1">1</definedName>
    <definedName name="HTML17_12" hidden="1">"C:\My Documents\98년\영업현황\1월 수주현황.htm"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"'[수주통합관리98_2_21.xls]2월3주차'!$A$32:$I$58"</definedName>
    <definedName name="HTML18_10" hidden="1">""</definedName>
    <definedName name="HTML18_11" hidden="1">1</definedName>
    <definedName name="HTML18_12" hidden="1">"C:\My Documents\98년\영업현황\2월 수주현황(2월25일 현재).htm"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"'[수주통합관리98_2_21.xls]2월3주차'!$A$63:$F$89"</definedName>
    <definedName name="HTML19_10" hidden="1">""</definedName>
    <definedName name="HTML19_11" hidden="1">1</definedName>
    <definedName name="HTML19_12" hidden="1">"C:\My Documents\98년\영업현황\월별현황(2월25일 현재).htm"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"[수주관리98.xls]일일현황!$A$1:$L$10"</definedName>
    <definedName name="HTML2_10" hidden="1">""</definedName>
    <definedName name="HTML2_11" hidden="1">1</definedName>
    <definedName name="HTML2_12" hidden="1">"C:\My Documents\98년\1월\영업현황\일일현황-98.1.22.htm"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"98-01-22"</definedName>
    <definedName name="HTML2_9" hidden="1">""</definedName>
    <definedName name="HTML20_1" hidden="1">"'[수주통합관리98_2_25.xls]2월4주차'!$A$71:$F$97"</definedName>
    <definedName name="HTML20_10" hidden="1">""</definedName>
    <definedName name="HTML20_11" hidden="1">1</definedName>
    <definedName name="HTML20_12" hidden="1">"C:\My Documents\98년\영업현황\월별현황(2월 마감분).htm"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"'[수주통합관리98_2_25.xls]2월4주차'!$A$4:$H$29"</definedName>
    <definedName name="HTML21_10" hidden="1">""</definedName>
    <definedName name="HTML21_11" hidden="1">1</definedName>
    <definedName name="HTML21_12" hidden="1">"C:\My Documents\98년\영업현황\1월 수주현황(1월 마감분).htm"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"'[수주통합관리98_2_25.xls]2월4주차'!$A$31:$I$66"</definedName>
    <definedName name="HTML22_10" hidden="1">""</definedName>
    <definedName name="HTML22_11" hidden="1">1</definedName>
    <definedName name="HTML22_12" hidden="1">"C:\My Documents\98년\영업현황\1월 수주현황(2월 마감분).htm"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"[수주통합관리98_2_25.xls]보고양식!$A$32:$I$68"</definedName>
    <definedName name="HTML23_10" hidden="1">""</definedName>
    <definedName name="HTML23_11" hidden="1">1</definedName>
    <definedName name="HTML23_12" hidden="1">"C:\My Documents\98년\영업현황\2월 수주현황(2월 마감분).htm"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"[수주통합관리98_2_25.xls]보고양식!$A$73:$F$98"</definedName>
    <definedName name="HTML24_10" hidden="1">""</definedName>
    <definedName name="HTML24_11" hidden="1">1</definedName>
    <definedName name="HTML24_12" hidden="1">"C:\My Documents\98년\영업현황\월별현황(2월 마감분).htm"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"[수주통합관리98_2_25.xls]보고양식!$A$4:$I$29"</definedName>
    <definedName name="HTML25_10" hidden="1">""</definedName>
    <definedName name="HTML25_11" hidden="1">1</definedName>
    <definedName name="HTML25_12" hidden="1">"C:\My Documents\98년\영업현황\1월 수주현황(1월 마감분).htm"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definedName>
    <definedName name="HTML25_9" hidden="1">""</definedName>
    <definedName name="HTML26_1" hidden="1">"[수주통합관리98_2_25.xls]보고양식!$A$31:$K$80"</definedName>
    <definedName name="HTML26_10" hidden="1">""</definedName>
    <definedName name="HTML26_11" hidden="1">1</definedName>
    <definedName name="HTML26_12" hidden="1">"C:\My Documents\98년\영업현황\2월 수주현황(2월 마감분).htm"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"[수주통합관리98_2_25.xls]보고양식!$B$84:$G$109"</definedName>
    <definedName name="HTML27_10" hidden="1">""</definedName>
    <definedName name="HTML27_11" hidden="1">1</definedName>
    <definedName name="HTML27_12" hidden="1">"C:\My Documents\98년\영업현황\월별현황(2월 마감분).htm"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"[수주통합관리98_3_2.xls]보고양식!$B$92:$G$117"</definedName>
    <definedName name="HTML28_10" hidden="1">""</definedName>
    <definedName name="HTML28_11" hidden="1">1</definedName>
    <definedName name="HTML28_12" hidden="1">"C:\My Documents\98년\영업현황\월별현황(2월 마감분).htm"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"[수주관리98.xls]일일현황!$A$1:$N$9"</definedName>
    <definedName name="HTML3_10" hidden="1">""</definedName>
    <definedName name="HTML3_11" hidden="1">1</definedName>
    <definedName name="HTML3_12" hidden="1">"C:\My Documents\98년\영업현황\일일현황-98.1.23.htm"</definedName>
    <definedName name="HTML3_2" hidden="1">1</definedName>
    <definedName name="HTML3_3" hidden="1">""</definedName>
    <definedName name="HTML3_4" hidden="1">""</definedName>
    <definedName name="HTML3_5" hidden="1">""</definedName>
    <definedName name="HTML3_6" hidden="1">1</definedName>
    <definedName name="HTML3_7" hidden="1">1</definedName>
    <definedName name="HTML3_8" hidden="1">""</definedName>
    <definedName name="HTML3_9" hidden="1">""</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"[수주관리98.xls]영업!$A$1:$N$15"</definedName>
    <definedName name="HTML4_10" hidden="1">""</definedName>
    <definedName name="HTML4_11" hidden="1">1</definedName>
    <definedName name="HTML4_12" hidden="1">"C:\My Documents\98년\영업현황\일일현황-98.1.31.htm"</definedName>
    <definedName name="HTML4_2" hidden="1">1</definedName>
    <definedName name="HTML4_3" hidden="1">""</definedName>
    <definedName name="HTML4_4" hidden="1">""</definedName>
    <definedName name="HTML4_5" hidden="1">""</definedName>
    <definedName name="HTML4_6" hidden="1">1</definedName>
    <definedName name="HTML4_7" hidden="1">1</definedName>
    <definedName name="HTML4_8" hidden="1">"98-01-31"</definedName>
    <definedName name="HTML4_9" hidden="1">""</definedName>
    <definedName name="HTML5_1" hidden="1">"[수주관리98.xls]영업!$A$1:$N$29"</definedName>
    <definedName name="HTML5_10" hidden="1">""</definedName>
    <definedName name="HTML5_11" hidden="1">1</definedName>
    <definedName name="HTML5_12" hidden="1">"C:\My Documents\98년\영업현황\일일현황-98.1.31.v.htm"</definedName>
    <definedName name="HTML5_2" hidden="1">1</definedName>
    <definedName name="HTML5_3" hidden="1">""</definedName>
    <definedName name="HTML5_4" hidden="1">""</definedName>
    <definedName name="HTML5_5" hidden="1">""</definedName>
    <definedName name="HTML5_6" hidden="1">1</definedName>
    <definedName name="HTML5_7" hidden="1">1</definedName>
    <definedName name="HTML5_8" hidden="1">""</definedName>
    <definedName name="HTML5_9" hidden="1">""</definedName>
    <definedName name="HTML6_1" hidden="1">"'[수주관리98.xls]2월'!$A$1:$P$48"</definedName>
    <definedName name="HTML6_10" hidden="1">""</definedName>
    <definedName name="HTML6_11" hidden="1">1</definedName>
    <definedName name="HTML6_12" hidden="1">"C:\My Documents\98년\영업현황\일일현황-98.1.31.htm"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"'[수주관리98.xls]2월'!$A$3:$P$30"</definedName>
    <definedName name="HTML7_10" hidden="1">""</definedName>
    <definedName name="HTML7_11" hidden="1">1</definedName>
    <definedName name="HTML7_12" hidden="1">"C:\My Documents\98년\영업현황\일일현황-98.1.31.htm"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"'[수주관리98.xls]2월'!$A$1:$P$30"</definedName>
    <definedName name="HTML8_10" hidden="1">""</definedName>
    <definedName name="HTML8_11" hidden="1">1</definedName>
    <definedName name="HTML8_12" hidden="1">"C:\My Documents\98년\영업현황\일일현황-98.1.31.htm"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"'[수주관리98.xls]2월'!$A$1:$P$19"</definedName>
    <definedName name="HTML9_10" hidden="1">""</definedName>
    <definedName name="HTML9_11" hidden="1">1</definedName>
    <definedName name="HTML9_12" hidden="1">"C:\My Documents\98년\영업현황\일일현황-98.2.10.htm"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30</definedName>
    <definedName name="hu" localSheetId="5" hidden="1">{"comps",#N/A,FALSE,"TXTCOMPS";"segment_EPS",#N/A,FALSE,"TXTCOMPS";"valuation",#N/A,FALSE,"TXTCOMPS"}</definedName>
    <definedName name="hu" localSheetId="16" hidden="1">{"comps",#N/A,FALSE,"TXTCOMPS";"segment_EPS",#N/A,FALSE,"TXTCOMPS";"valuation",#N/A,FALSE,"TXTCOMPS"}</definedName>
    <definedName name="hu" localSheetId="19" hidden="1">{"comps",#N/A,FALSE,"TXTCOMPS";"segment_EPS",#N/A,FALSE,"TXTCOMPS";"valuation",#N/A,FALSE,"TXTCOMPS"}</definedName>
    <definedName name="hu" localSheetId="18" hidden="1">{"comps",#N/A,FALSE,"TXTCOMPS";"segment_EPS",#N/A,FALSE,"TXTCOMPS";"valuation",#N/A,FALSE,"TXTCOMPS"}</definedName>
    <definedName name="hu" hidden="1">{"comps",#N/A,FALSE,"TXTCOMPS";"segment_EPS",#N/A,FALSE,"TXTCOMPS";"valuation",#N/A,FALSE,"TXTCOMPS"}</definedName>
    <definedName name="huji" localSheetId="5" hidden="1">{"comps",#N/A,FALSE,"TXTCOMPS"}</definedName>
    <definedName name="huji" localSheetId="16" hidden="1">{"comps",#N/A,FALSE,"TXTCOMPS"}</definedName>
    <definedName name="huji" localSheetId="19" hidden="1">{"comps",#N/A,FALSE,"TXTCOMPS"}</definedName>
    <definedName name="huji" localSheetId="18" hidden="1">{"comps",#N/A,FALSE,"TXTCOMPS"}</definedName>
    <definedName name="huji" hidden="1">{"comps",#N/A,FALSE,"TXTCOMPS"}</definedName>
    <definedName name="i" localSheetId="5" hidden="1">{"comps",#N/A,FALSE,"TXTCOMPS";"segment_EPS",#N/A,FALSE,"TXTCOMPS";"valuation",#N/A,FALSE,"TXTCOMPS"}</definedName>
    <definedName name="i" localSheetId="16" hidden="1">{"comps",#N/A,FALSE,"TXTCOMPS";"segment_EPS",#N/A,FALSE,"TXTCOMPS";"valuation",#N/A,FALSE,"TXTCOMPS"}</definedName>
    <definedName name="i" localSheetId="19" hidden="1">{"comps",#N/A,FALSE,"TXTCOMPS";"segment_EPS",#N/A,FALSE,"TXTCOMPS";"valuation",#N/A,FALSE,"TXTCOMPS"}</definedName>
    <definedName name="i" localSheetId="18" hidden="1">{"comps",#N/A,FALSE,"TXTCOMPS";"segment_EPS",#N/A,FALSE,"TXTCOMPS";"valuation",#N/A,FALSE,"TXTCOMPS"}</definedName>
    <definedName name="i" hidden="1">{"comps",#N/A,FALSE,"TXTCOMPS";"segment_EPS",#N/A,FALSE,"TXTCOMPS";"valuation",#N/A,FALSE,"TXTCOMPS"}</definedName>
    <definedName name="Img_GE_Retail_Finance" hidden="1">"IMG_12"</definedName>
    <definedName name="Img_Geo" hidden="1">"IMG_4"</definedName>
    <definedName name="Img_ML_1a7g4d7g" hidden="1">"IMG_10"</definedName>
    <definedName name="Img_ML_1a9i6f1a" hidden="1">"IMG_6"</definedName>
    <definedName name="Img_ML_1c3d1n6n" hidden="1">"IMG_11"</definedName>
    <definedName name="Img_ML_1d8s8t7q" hidden="1">"IMG_10"</definedName>
    <definedName name="Img_ML_1e1k9n5y" hidden="1">"IMG_18"</definedName>
    <definedName name="Img_ML_1g2y2j4q" hidden="1">"IMG_10"</definedName>
    <definedName name="Img_ML_1g9y2u4q" hidden="1">"IMG_11"</definedName>
    <definedName name="Img_ML_1h4n3h8h" hidden="1">"IMG_8"</definedName>
    <definedName name="Img_ML_1k4g9u7k" hidden="1">"IMG_11"</definedName>
    <definedName name="Img_ML_1s1s8i2q" hidden="1">"IMG_10"</definedName>
    <definedName name="Img_ML_1s4s8z2q" hidden="1">"IMG_10"</definedName>
    <definedName name="Img_ML_1t5s6u1f" hidden="1">"IMG_5"</definedName>
    <definedName name="Img_ML_1y7a6c1t" hidden="1">"IMG_11"</definedName>
    <definedName name="Img_ML_2b1a1a6f" localSheetId="6" hidden="1">"IMG_4"</definedName>
    <definedName name="Img_ML_2b1a1a6f" localSheetId="3" hidden="1">"IMG_4"</definedName>
    <definedName name="Img_ML_2b1a1a6f" localSheetId="10" hidden="1">"IMG_4"</definedName>
    <definedName name="Img_ML_2b1a1a6f" hidden="1">"IMG_6"</definedName>
    <definedName name="Img_ML_2b2b8h8h" hidden="1">"IMG_10"</definedName>
    <definedName name="Img_ML_2b4d2b3c" hidden="1">"IMG_6"</definedName>
    <definedName name="Img_ML_2b5e9i4d" hidden="1">"IMG_6"</definedName>
    <definedName name="Img_ML_2b6f5e1a" hidden="1">"IMG_6"</definedName>
    <definedName name="Img_ML_2b9i6f3c" hidden="1">"IMG_6"</definedName>
    <definedName name="Img_ML_2e1r5p2m" hidden="1">"IMG_10"</definedName>
    <definedName name="Img_ML_2i4d6c2r" hidden="1">"IMG_18"</definedName>
    <definedName name="Img_ML_2j4h5d5y" hidden="1">"IMG_10"</definedName>
    <definedName name="Img_ML_2j6i5k6b" hidden="1">"IMG_12"</definedName>
    <definedName name="Img_ML_2j6r9l1a" hidden="1">"IMG_10"</definedName>
    <definedName name="Img_ML_2j9r9u8a" hidden="1">"IMG_10"</definedName>
    <definedName name="Img_ML_2k2r9j3a" hidden="1">"IMG_10"</definedName>
    <definedName name="Img_ML_2k5y2m3a" hidden="1">"IMG_10"</definedName>
    <definedName name="Img_ML_2m9t4m5q" hidden="1">"IMG_10"</definedName>
    <definedName name="Img_ML_2s1s8i2a" hidden="1">"IMG_10"</definedName>
    <definedName name="Img_ML_2v6s9i5c" hidden="1">"IMG_18"</definedName>
    <definedName name="Img_ML_2x1b8j5c" hidden="1">"IMG_12"</definedName>
    <definedName name="Img_ML_2x8r4a2e" hidden="1">"IMG_11"</definedName>
    <definedName name="Img_ML_3b3j3x9k" hidden="1">"IMG_18"</definedName>
    <definedName name="Img_ML_3c4d1a4d" hidden="1">"IMG_6"</definedName>
    <definedName name="Img_ML_3c4d2b5e" hidden="1">"IMG_6"</definedName>
    <definedName name="Img_ML_3c6e9c4g" hidden="1">"IMG_12"</definedName>
    <definedName name="Img_ML_3c7g1a7g" hidden="1">"IMG_3"</definedName>
    <definedName name="Img_ML_3c9i9i4d" hidden="1">"IMG_6"</definedName>
    <definedName name="Img_ML_3e2q4k7i" hidden="1">"IMG_11"</definedName>
    <definedName name="Img_ML_3g2u6j4p" hidden="1">"IMG_10"</definedName>
    <definedName name="Img_ML_3g2y2j4p" hidden="1">"IMG_10"</definedName>
    <definedName name="Img_ML_3g3r9k4p" hidden="1">"IMG_10"</definedName>
    <definedName name="Img_ML_3h2n3p4v" hidden="1">"IMG_11"</definedName>
    <definedName name="Img_ML_3j3z1k8p" hidden="1">"IMG_10"</definedName>
    <definedName name="Img_ML_3k8z1t3p" hidden="1">"IMG_10"</definedName>
    <definedName name="Img_ML_3n5p3k4y" hidden="1">"IMG_13"</definedName>
    <definedName name="Img_ML_3p2b9c6w" hidden="1">"IMG_18"</definedName>
    <definedName name="Img_ML_3p5d9q5j" hidden="1">"IMG_6"</definedName>
    <definedName name="Img_ML_3r4u7k1k" hidden="1">"IMG_14"</definedName>
    <definedName name="Img_ML_3s2w4j6p" hidden="1">"IMG_10"</definedName>
    <definedName name="Img_ML_3s8t7t6p" hidden="1">"IMG_10"</definedName>
    <definedName name="Img_ML_3t6y8n6e" hidden="1">"IMG_13"</definedName>
    <definedName name="Img_ML_3x8m5t8j" hidden="1">"IMG_12"</definedName>
    <definedName name="Img_ML_3y1j4m2m" hidden="1">"IMG_18"</definedName>
    <definedName name="Img_ML_4b5r5k9y" hidden="1">"IMG_18"</definedName>
    <definedName name="Img_ML_4d2b6f6f" hidden="1">"IMG_6"</definedName>
    <definedName name="Img_ML_4d4d7g3c" localSheetId="6" hidden="1">"IMG_4"</definedName>
    <definedName name="Img_ML_4d4d7g3c" localSheetId="3" hidden="1">"IMG_4"</definedName>
    <definedName name="Img_ML_4d4d7g3c" localSheetId="10" hidden="1">"IMG_4"</definedName>
    <definedName name="Img_ML_4d4d7g3c" hidden="1">"IMG_6"</definedName>
    <definedName name="Img_ML_4d6v5l7l" hidden="1">"IMG_10"</definedName>
    <definedName name="Img_ML_4g9z1u4l" hidden="1">"IMG_10"</definedName>
    <definedName name="Img_ML_4j1z1i1l" hidden="1">"IMG_10"</definedName>
    <definedName name="Img_ML_4k8k7q4x" hidden="1">"IMG_10"</definedName>
    <definedName name="Img_ML_4m3p5r8j" hidden="1">"IMG_32"</definedName>
    <definedName name="Img_ML_4n6t1k1h" hidden="1">"IMG_6"</definedName>
    <definedName name="Img_ML_4r3t2p9g" hidden="1">"IMG_10"</definedName>
    <definedName name="Img_ML_4s2w4j6l" hidden="1">"IMG_10"</definedName>
    <definedName name="Img_ML_4u3z1k5l" hidden="1">"IMG_11"</definedName>
    <definedName name="Img_ML_4u7w4o5l" hidden="1">"IMG_10"</definedName>
    <definedName name="Img_ML_5d3i8b5s" hidden="1">"IMG_10"</definedName>
    <definedName name="Img_ML_5e1a1a7g" hidden="1">"IMG_6"</definedName>
    <definedName name="Img_ML_5e6f9i8h" hidden="1">"IMG_6"</definedName>
    <definedName name="Img_ML_5e7g5e5e" hidden="1">"IMG_6"</definedName>
    <definedName name="Img_ML_5e7s6t2u" hidden="1">"IMG_12"</definedName>
    <definedName name="Img_ML_5e8h1a2b" hidden="1">"IMG_10"</definedName>
    <definedName name="Img_ML_5e9i9i2b" hidden="1">"IMG_6"</definedName>
    <definedName name="Img_ML_5e9m1k3s" hidden="1">"IMG_3"</definedName>
    <definedName name="Img_ML_5f9d1i5x" hidden="1">"IMG_6"</definedName>
    <definedName name="Img_ML_5f9x9u4u" hidden="1">"IMG_18"</definedName>
    <definedName name="Img_ML_5g9z1u4m" hidden="1">"IMG_10"</definedName>
    <definedName name="Img_ML_5h6q3g8u" hidden="1">"IMG_12"</definedName>
    <definedName name="Img_ML_5j2y2j1m" hidden="1">"IMG_11"</definedName>
    <definedName name="Img_ML_5k1g6v5e" hidden="1">"IMG_10"</definedName>
    <definedName name="Img_ML_5k7e4n8n" hidden="1">"IMG_5"</definedName>
    <definedName name="Img_ML_5k8u7s9i" hidden="1">"IMG_10"</definedName>
    <definedName name="Img_ML_5u2y2j5m" hidden="1">"IMG_10"</definedName>
    <definedName name="Img_ML_6d4x3z7z" hidden="1">"IMG_10"</definedName>
    <definedName name="Img_ML_6d5x3m7z" hidden="1">"IMG_10"</definedName>
    <definedName name="Img_ML_6f2b1a5e" localSheetId="6" hidden="1">"IMG_4"</definedName>
    <definedName name="Img_ML_6f2b1a5e" localSheetId="3" hidden="1">"IMG_4"</definedName>
    <definedName name="Img_ML_6f2b1a5e" localSheetId="10" hidden="1">"IMG_4"</definedName>
    <definedName name="Img_ML_6f2b1a5e" hidden="1">"IMG_10"</definedName>
    <definedName name="Img_ML_6f2p1m9g" hidden="1">"IMG_10"</definedName>
    <definedName name="Img_ML_6f5e5e4d" hidden="1">"IMG_6"</definedName>
    <definedName name="Img_ML_6f6f4d9i" hidden="1">"IMG_6"</definedName>
    <definedName name="Img_ML_6f9i2b5e" hidden="1">"IMG_6"</definedName>
    <definedName name="Img_ML_6j4v6x5i" hidden="1">"IMG_10"</definedName>
    <definedName name="Img_ML_6j5x3m8z" hidden="1">"IMG_10"</definedName>
    <definedName name="Img_ML_6k4t7z9z" hidden="1">"IMG_6"</definedName>
    <definedName name="Img_ML_6k5t7m9z" hidden="1">"IMG_10"</definedName>
    <definedName name="Img_ML_6k8x3t3z" hidden="1">"IMG_10"</definedName>
    <definedName name="Img_ML_6k9c9p4d" hidden="1">"IMG_18"</definedName>
    <definedName name="Img_ML_6m6i9t6k" hidden="1">"IMG_10"</definedName>
    <definedName name="Img_ML_6n6c2h1d" hidden="1">"IMG_17"</definedName>
    <definedName name="Img_ML_6p2b6u6k" hidden="1">"IMG_13"</definedName>
    <definedName name="Img_ML_6p3m8v1n" hidden="1">"IMG_18"</definedName>
    <definedName name="Img_ML_6r9u1n9k" hidden="1">"IMG_11"</definedName>
    <definedName name="Img_ML_6u4t7r7e" hidden="1">"IMG_10"</definedName>
    <definedName name="Img_ML_6u6x3l5z" hidden="1">"IMG_10"</definedName>
    <definedName name="Img_ML_6w6m7b7r" hidden="1">"IMG_10"</definedName>
    <definedName name="Img_ML_6y9f7y3n" hidden="1">"IMG_12"</definedName>
    <definedName name="Img_ML_7b3x8f2f" hidden="1">"IMG_10"</definedName>
    <definedName name="Img_ML_7e1g7x4r" hidden="1">"IMG_11"</definedName>
    <definedName name="Img_ML_7g3c2b9i" hidden="1">"IMG_6"</definedName>
    <definedName name="Img_ML_7g4k9d6i" hidden="1">"IMG_11"</definedName>
    <definedName name="Img_ML_7g5e5e2b" localSheetId="6" hidden="1">"IMG_12"</definedName>
    <definedName name="Img_ML_7g5e5e2b" localSheetId="3" hidden="1">"IMG_12"</definedName>
    <definedName name="Img_ML_7g5e5e2b" localSheetId="10" hidden="1">"IMG_12"</definedName>
    <definedName name="Img_ML_7g5e5e2b" hidden="1">"IMG_3"</definedName>
    <definedName name="Img_ML_7j6w4l1i" hidden="1">"IMG_10"</definedName>
    <definedName name="Img_ML_7m5m4k3b" hidden="1">"IMG_18"</definedName>
    <definedName name="Img_ML_7n6h3t1t" hidden="1">"IMG_11"</definedName>
    <definedName name="Img_ML_7s4w7c6r" hidden="1">"IMG_6"</definedName>
    <definedName name="Img_ML_7s5s8m6i" hidden="1">"IMG_10"</definedName>
    <definedName name="Img_ML_7s7v5o2i" hidden="1">"IMG_10"</definedName>
    <definedName name="Img_ML_7w3j1h9t" hidden="1">"IMG_12"</definedName>
    <definedName name="Img_ML_8b4s3j4n" hidden="1">"IMG_12"</definedName>
    <definedName name="Img_ML_8b9j5t1p" hidden="1">"IMG_18"</definedName>
    <definedName name="Img_ML_8c2q5i2r" hidden="1">"IMG_12"</definedName>
    <definedName name="Img_ML_8g3e4a7v" hidden="1">"IMG_6"</definedName>
    <definedName name="Img_ML_8g6y2l4j" hidden="1">"IMG_10"</definedName>
    <definedName name="Img_ML_8h3m3i1m" hidden="1">"IMG_11"</definedName>
    <definedName name="Img_ML_8h4d9i2b" localSheetId="6" hidden="1">"IMG_4"</definedName>
    <definedName name="Img_ML_8h4d9i2b" localSheetId="3" hidden="1">"IMG_4"</definedName>
    <definedName name="Img_ML_8h4d9i2b" localSheetId="10" hidden="1">"IMG_4"</definedName>
    <definedName name="Img_ML_8h4d9i2b" hidden="1">"IMG_6"</definedName>
    <definedName name="Img_ML_8h5e9i3c" hidden="1">"IMG_6"</definedName>
    <definedName name="Img_ML_8h7g3c9i" hidden="1">"IMG_6"</definedName>
    <definedName name="Img_ML_8h7g4d4d" hidden="1">"IMG_3"</definedName>
    <definedName name="Img_ML_8i9u7w8k" hidden="1">"IMG_10"</definedName>
    <definedName name="Img_ML_8j2w4j8j" hidden="1">"IMG_10"</definedName>
    <definedName name="Img_ML_8j3v5k8j" hidden="1">"IMG_10"</definedName>
    <definedName name="Img_ML_8j3w6p4c" hidden="1">"IMG_4"</definedName>
    <definedName name="Img_ML_8j6r9l1j" hidden="1">"IMG_10"</definedName>
    <definedName name="Img_ML_8k1s8i9j" hidden="1">"IMG_10"</definedName>
    <definedName name="Img_ML_8k7v5o9j" hidden="1">"IMG_10"</definedName>
    <definedName name="Img_ML_8k8v5t3j" hidden="1">"IMG_10"</definedName>
    <definedName name="Img_ML_8r1k8t4y" hidden="1">"IMG_11"</definedName>
    <definedName name="Img_ML_8r9f4n4f" hidden="1">"IMG_10"</definedName>
    <definedName name="Img_ML_8s3q3c1i" hidden="1">"IMG_10"</definedName>
    <definedName name="Img_ML_8s7v5o2j" hidden="1">"IMG_10"</definedName>
    <definedName name="Img_ML_8t3m5u6f" hidden="1">"IMG_10"</definedName>
    <definedName name="Img_ML_8u1r9i5j" hidden="1">"IMG_10"</definedName>
    <definedName name="Img_ML_9c9p6w6g" hidden="1">"IMG_6"</definedName>
    <definedName name="Img_ML_9d9x3u7w" hidden="1">"IMG_10"</definedName>
    <definedName name="Img_ML_9g2r1i7c" hidden="1">"IMG_11"</definedName>
    <definedName name="Img_ML_9g3r6t7h" hidden="1">"IMG_10"</definedName>
    <definedName name="Img_ML_9h6h8h8e" hidden="1">"IMG_10"</definedName>
    <definedName name="Img_ML_9h6p7r7t" hidden="1">"IMG_13"</definedName>
    <definedName name="Img_ML_9i6f5e3c" hidden="1">"IMG_10"</definedName>
    <definedName name="Img_ML_9j3t2m3v" hidden="1">"IMG_18"</definedName>
    <definedName name="Img_ML_9n1s4m5f" hidden="1">"IMG_11"</definedName>
    <definedName name="Img_ML_9s2r9j6w" hidden="1">"IMG_10"</definedName>
    <definedName name="Img_ML_9u2c1d4e" hidden="1">"IMG_12"</definedName>
    <definedName name="Img_ML_9v6s2g1u" hidden="1">"IMG_17"</definedName>
    <definedName name="Img_Production_Breakdown" hidden="1">"IMG_3"</definedName>
    <definedName name="Img_Supply_Demand_Tables" hidden="1">"IMG_11"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BS_AVAIL_SALE_FFIEC" hidden="1">"c12802"</definedName>
    <definedName name="IQ_ABS_FFIEC" hidden="1">"c12788"</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localSheetId="3" hidden="1">"c413"</definedName>
    <definedName name="IQ_ACCOUNT_CHANGE" hidden="1">"c413"</definedName>
    <definedName name="IQ_ACCOUNTING_FFIEC" hidden="1">"c13054"</definedName>
    <definedName name="IQ_ACCOUNTS_PAY" localSheetId="3" hidden="1">"c32"</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localSheetId="3" hidden="1">"c8"</definedName>
    <definedName name="IQ_ACCRUED_EXP" hidden="1">"c8"</definedName>
    <definedName name="IQ_ACCRUED_INTEREST_RECEIVABLE_FFIEC" hidden="1">"c12842"</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localSheetId="3" hidden="1">"c7"</definedName>
    <definedName name="IQ_ACCUM_DEP" hidden="1">"c7"</definedName>
    <definedName name="IQ_ACCUMULATED_PENSION_OBLIGATION" localSheetId="3" hidden="1">"c2244"</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localSheetId="3" hidden="1">"c39"</definedName>
    <definedName name="IQ_ADD_PAID_IN" hidden="1">"c39"</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localSheetId="3" hidden="1">"c16"</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localSheetId="3" hidden="1">"c1471"</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SUPPLE" hidden="1">"c13812"</definedName>
    <definedName name="IQ_ASSET_WRITEDOWN_UTI" hidden="1">"c61"</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TOTAL_ASSETS_LEVERAGE_CAPITAL_FFIEC" hidden="1">"c13159"</definedName>
    <definedName name="IQ_AVG_TOTAL_ASSETS_LEVERAGE_RATIO_FFIEC" hidden="1">"c13154"</definedName>
    <definedName name="IQ_AVG_VOLUME" localSheetId="3" hidden="1">"c65"</definedName>
    <definedName name="IQ_AVG_VOLUME" hidden="1">"c65"</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localSheetId="3" hidden="1">"c88"</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ID" hidden="1">"c13756"</definedName>
    <definedName name="IQ_BOARD_MEMBER_MAIN_FAX" hidden="1">"c15174"</definedName>
    <definedName name="IQ_BOARD_MEMBER_MAIN_PHONE" hidden="1">"c15173"</definedName>
    <definedName name="IQ_BOARD_MEMBER_OFFICE_ADDRESS" hidden="1">"c15172"</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localSheetId="3" hidden="1">"c100"</definedName>
    <definedName name="IQ_BV_OVER_SHARES" hidden="1">"c100"</definedName>
    <definedName name="IQ_BV_SHARE" hidden="1">"c100"</definedName>
    <definedName name="IQ_BV_STDDEV_EST_REUT" hidden="1">"c5408"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ALLOCATION_ADJUSTMENT_FOREIGN_FFIEC" hidden="1">"c15389"</definedName>
    <definedName name="IQ_CAPITAL_LEASE" localSheetId="3" hidden="1">"c115"</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localSheetId="3" hidden="1">"c118"</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DEPOSITORY_INSTIT_US_DOM_FFIEC" hidden="1">"c15288"</definedName>
    <definedName name="IQ_CASH_DIVIDENDS_NET_INCOME_FDIC" hidden="1">"c6738"</definedName>
    <definedName name="IQ_CASH_DUE_BANKS" localSheetId="3" hidden="1">"c118"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LOW_ACT_OR_EST" hidden="1">"c4154"</definedName>
    <definedName name="IQ_CASH_FOREIGN_BRANCH_OTHER_US_BANKS_FFIEC" hidden="1">"c15282"</definedName>
    <definedName name="IQ_CASH_IN_PROCESS_FDIC" hidden="1">"c6386"</definedName>
    <definedName name="IQ_CASH_INTEREST" hidden="1">"c120"</definedName>
    <definedName name="IQ_CASH_INVEST" hidden="1">"c121"</definedName>
    <definedName name="IQ_CASH_OPER" hidden="1">"c122"</definedName>
    <definedName name="IQ_CASH_OPER_ACT_OR_EST" hidden="1">"c4164"</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localSheetId="3" hidden="1">"c124"</definedName>
    <definedName name="IQ_CASH_ST" hidden="1">"c124"</definedName>
    <definedName name="IQ_CASH_ST_INVEST" hidden="1">"c124"</definedName>
    <definedName name="IQ_CASH_STRUCTURED_PRODUCTS_AVAIL_SALE_FFIEC" hidden="1">"c15263"</definedName>
    <definedName name="IQ_CASH_STRUCTURED_PRODUCTS_FFIEC" hidden="1">"c15260"</definedName>
    <definedName name="IQ_CASH_TAXES" hidden="1">"c125"</definedName>
    <definedName name="IQ_CCE_FDIC" hidden="1">"c6296"</definedName>
    <definedName name="IQ_CDS_COUPON" hidden="1">"c15234"</definedName>
    <definedName name="IQ_CDS_DERIVATIVES_BENEFICIARY_FFIEC" hidden="1">"c13119"</definedName>
    <definedName name="IQ_CDS_DERIVATIVES_GUARANTOR_FFIEC" hidden="1">"c13112"</definedName>
    <definedName name="IQ_CDS_LIST" hidden="1">"c13510"</definedName>
    <definedName name="IQ_CDS_LOAN_LIST" hidden="1">"c13518"</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O_ID" hidden="1">"c15212"</definedName>
    <definedName name="IQ_CFO_NAME" hidden="1">"c15211"</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localSheetId="3"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localSheetId="3" hidden="1">"c182"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LEASES_LL_REC_FFIEC" hidden="1">"c12895"</definedName>
    <definedName name="IQ_CONSUMER_LOANS" hidden="1">"c223"</definedName>
    <definedName name="IQ_CONSUMER_LOANS_LL_REC_DOM_FFIEC" hidden="1">"c12911"</definedName>
    <definedName name="IQ_CONSUMER_LOANS_TOT_LOANS_FFIEC" hidden="1">"c13875"</definedName>
    <definedName name="IQ_CONTRACT_AMOUNT" hidden="1">"c13933"</definedName>
    <definedName name="IQ_CONTRACT_DETAILS" hidden="1">"c15555"</definedName>
    <definedName name="IQ_CONTRACT_MONTH" hidden="1">"c13934"</definedName>
    <definedName name="IQ_CONTRACT_UNIT" hidden="1">"c13932"</definedName>
    <definedName name="IQ_CONTRACT_YEAR" hidden="1">"c13935"</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localSheetId="3"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OVERAGE_RATIO" hidden="1">"c15243"</definedName>
    <definedName name="IQ_COVERED_POPS" hidden="1">"c2124"</definedName>
    <definedName name="IQ_CP" hidden="1">"c2495"</definedName>
    <definedName name="IQ_CP_PCT" hidden="1">"c2496"</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localSheetId="3" hidden="1">"c274"</definedName>
    <definedName name="IQ_DAYS_PAY_OUTST" hidden="1">"c274"</definedName>
    <definedName name="IQ_DAYS_PAYABLE_OUT" hidden="1">"c274"</definedName>
    <definedName name="IQ_DAYS_SALES_OUT" hidden="1">"c275"</definedName>
    <definedName name="IQ_DAYS_SALES_OUTST" localSheetId="3"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localSheetId="3" hidden="1">"c301"</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localSheetId="3" hidden="1">"c313"</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localSheetId="3" hidden="1">"c315"</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ES" localSheetId="3" hidden="1">"c147"</definedName>
    <definedName name="IQ_DEFERRED_TAXES" hidden="1">"c147"</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localSheetId="3" hidden="1">"c247"</definedName>
    <definedName name="IQ_DEPRE_AMORT" hidden="1">"c247"</definedName>
    <definedName name="IQ_DEPRE_AMORT_SUPPL" hidden="1">"c1593"</definedName>
    <definedName name="IQ_DEPRE_DEPLE" localSheetId="3" hidden="1">"c261"</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localSheetId="3" hidden="1">"c322"</definedName>
    <definedName name="IQ_DESCRIPTION_LONG" hidden="1">"c322"</definedName>
    <definedName name="IQ_DEVELOP_LAND" hidden="1">"c323"</definedName>
    <definedName name="IQ_DIC" hidden="1">"c13834"</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localSheetId="3" hidden="1">"c333"</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localSheetId="3" hidden="1">"c330"</definedName>
    <definedName name="IQ_DIVID_SHARE" hidden="1">"c330"</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"c157"</definedName>
    <definedName name="IQ_EBIT_GROWTH_2" hidden="1">"c161"</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localSheetId="3" hidden="1">"c360"</definedName>
    <definedName name="IQ_EBIT_OVER_IE" hidden="1">"c360"</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localSheetId="3"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"c156"</definedName>
    <definedName name="IQ_EBITDA_GROWTH_2" hidden="1">"c160"</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localSheetId="3" hidden="1">"c373"</definedName>
    <definedName name="IQ_EBITDA_OVER_TOTAL_IE" hidden="1">"c373"</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PLOYEES" hidden="1">"c392"</definedName>
    <definedName name="IQ_EMPLOYEES_FFIEC" hidden="1">"c13035"</definedName>
    <definedName name="IQ_ENTERPRISE_VALUE" localSheetId="3" hidden="1">"c84"</definedName>
    <definedName name="IQ_ENTERPRISE_VALUE" hidden="1">"c84"</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"c189"</definedName>
    <definedName name="IQ_EPS_EST_REUT" hidden="1">"c5453"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localSheetId="3" hidden="1">"c552"</definedName>
    <definedName name="IQ_EQUITY_AFFIL" hidden="1">"c552"</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localSheetId="3" hidden="1">"c739"</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_REUT" hidden="1">"c5409"</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FFO_REUT" hidden="1">"c3843"</definedName>
    <definedName name="IQ_EST_ACT_FFO_SHARE_REUT" hidden="1">"c3843"</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BV_DIFF_REUT" hidden="1">"c5433"</definedName>
    <definedName name="IQ_EST_BV_SURPRISE_PERCENT_REUT" hidden="1">"c5434"</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AIR_VALUE_MORT_SERVICING_ASSETS_FFIEC" hidden="1">"c12956"</definedName>
    <definedName name="IQ_EST_FFO_DIFF" hidden="1">"c1869"</definedName>
    <definedName name="IQ_EST_FFO_DIFF_REUT" hidden="1">"c3890"</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DIFF_REUT" hidden="1">"c3890"</definedName>
    <definedName name="IQ_EST_FFO_SHARE_SURPRISE_PERCENT_REUT" hidden="1">"c3891"</definedName>
    <definedName name="IQ_EST_FFO_SURPRISE_PERCENT" hidden="1">"c1870"</definedName>
    <definedName name="IQ_EST_FFO_SURPRISE_PERCENT_REUT" hidden="1">"c3891"</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BUY_CIQ" hidden="1">"c3700"</definedName>
    <definedName name="IQ_EST_NUM_BUY_REUT" hidden="1">"c3869"</definedName>
    <definedName name="IQ_EST_NUM_BUY_THOM" hidden="1">"c5165"</definedName>
    <definedName name="IQ_EST_NUM_HOLD" hidden="1">"c1761"</definedName>
    <definedName name="IQ_EST_NUM_HOLD_CIQ" hidden="1">"c3702"</definedName>
    <definedName name="IQ_EST_NUM_HOLD_REUT" hidden="1">"c3871"</definedName>
    <definedName name="IQ_EST_NUM_HOLD_THOM" hidden="1">"c5167"</definedName>
    <definedName name="IQ_EST_NUM_NO_OPINION" hidden="1">"c1758"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localSheetId="3" hidden="1">"c1225"</definedName>
    <definedName name="IQ_EV_OVER_EMPLOYEE" hidden="1">"c1225"</definedName>
    <definedName name="IQ_EV_OVER_LTM_EBIT" localSheetId="3" hidden="1">"c1221"</definedName>
    <definedName name="IQ_EV_OVER_LTM_EBIT" hidden="1">"c1221"</definedName>
    <definedName name="IQ_EV_OVER_LTM_EBITDA" localSheetId="3" hidden="1">"c1223"</definedName>
    <definedName name="IQ_EV_OVER_LTM_EBITDA" hidden="1">"c1223"</definedName>
    <definedName name="IQ_EV_OVER_LTM_REVENUE" localSheetId="3" hidden="1">"c1227"</definedName>
    <definedName name="IQ_EV_OVER_LTM_REVENUE" hidden="1">"c1227"</definedName>
    <definedName name="IQ_EV_OVER_REVENUE_EST" hidden="1">"c165"</definedName>
    <definedName name="IQ_EV_OVER_REVENUE_EST_1" hidden="1">"c166"</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localSheetId="3" hidden="1">"c406"</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_CODE_" hidden="1">"test"</definedName>
    <definedName name="IQ_EXPENSES_FIXED_ASSETS_FFIEC" hidden="1">"c13024"</definedName>
    <definedName name="IQ_EXPIRATION_DATE" hidden="1">"c13930"</definedName>
    <definedName name="IQ_EXPLORE_DRILL" hidden="1">"c409"</definedName>
    <definedName name="IQ_EXPLORE_DRILL_EXP_TOTAL" hidden="1">"c13850"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AVG_ASSETS_FFIEC" hidden="1">"c13369"</definedName>
    <definedName name="IQ_EXTRA_ITEMS" localSheetId="3" hidden="1">"c413"</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"c4970"</definedName>
    <definedName name="IQ_FFO_EST_REUT" hidden="1">"c3837"</definedName>
    <definedName name="IQ_FFO_HIGH_EST" hidden="1">"c419"</definedName>
    <definedName name="IQ_FFO_HIGH_EST_CIQ" hidden="1">"c4977"</definedName>
    <definedName name="IQ_FFO_HIGH_EST_REUT" hidden="1">"c3839"</definedName>
    <definedName name="IQ_FFO_LOW_EST" hidden="1">"c420"</definedName>
    <definedName name="IQ_FFO_LOW_EST_CIQ" hidden="1">"c4978"</definedName>
    <definedName name="IQ_FFO_LOW_EST_REUT" hidden="1">"c3840"</definedName>
    <definedName name="IQ_FFO_MEDIAN_EST" hidden="1">"c1665"</definedName>
    <definedName name="IQ_FFO_MEDIAN_EST_CIQ" hidden="1">"c4979"</definedName>
    <definedName name="IQ_FFO_MEDIAN_EST_REUT" hidden="1">"c3838"</definedName>
    <definedName name="IQ_FFO_NUM_EST" hidden="1">"c421"</definedName>
    <definedName name="IQ_FFO_NUM_EST_CIQ" hidden="1">"c4980"</definedName>
    <definedName name="IQ_FFO_NUM_EST_REUT" hidden="1">"c3841"</definedName>
    <definedName name="IQ_FFO_PAYOUT_RATIO" hidden="1">"c3492"</definedName>
    <definedName name="IQ_FFO_SHARE_ACT_OR_EST" hidden="1">"c4446"</definedName>
    <definedName name="IQ_FFO_SHARE_EST_REUT" hidden="1">"c3837"</definedName>
    <definedName name="IQ_FFO_SHARE_HIGH_EST_REUT" hidden="1">"c3839"</definedName>
    <definedName name="IQ_FFO_SHARE_LOW_EST_REUT" hidden="1">"c3840"</definedName>
    <definedName name="IQ_FFO_SHARE_MEDIAN_EST_REUT" hidden="1">"c3838"</definedName>
    <definedName name="IQ_FFO_SHARE_NUM_EST_REUT" hidden="1">"c3841"</definedName>
    <definedName name="IQ_FFO_SHARE_STDDEV_EST_REUT" hidden="1">"c3842"</definedName>
    <definedName name="IQ_FFO_STDDEV_EST" hidden="1">"c422"</definedName>
    <definedName name="IQ_FFO_STDDEV_EST_CIQ" hidden="1">"c4981"</definedName>
    <definedName name="IQ_FFO_STDDEV_EST_REUT" hidden="1">"c3842"</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localSheetId="3" hidden="1">"c893"</definedName>
    <definedName name="IQ_FINANCING_CASH" hidden="1">"c893"</definedName>
    <definedName name="IQ_FINANCING_CASH_SUPPL" localSheetId="3" hidden="1">"c899"</definedName>
    <definedName name="IQ_FINANCING_CASH_SUPPL" hidden="1">"c899"</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 hidden="1">"c225"</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localSheetId="3" hidden="1">"c451"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UNDATION_OVER_TOTAL" hidden="1">"c13769"</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_DATE" hidden="1">"IQ_FY_DATE"</definedName>
    <definedName name="IQ_GA_EXP" hidden="1">"c2241"</definedName>
    <definedName name="IQ_GAAP_EST_CIQ" hidden="1">"c13924"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localSheetId="3" hidden="1">"c452"</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localSheetId="3" hidden="1">"c530"</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localSheetId="3" hidden="1">"c192"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PC_EARNED" hidden="1">"c2747"</definedName>
    <definedName name="IQ_GROSS_PROFIT" localSheetId="3" hidden="1">"c511"</definedName>
    <definedName name="IQ_GROSS_PROFIT" hidden="1">"c511"</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DGEFUND_OVER_TOTAL" hidden="1">"c13771"</definedName>
    <definedName name="IQ_HELD_MATURITY_FDIC" hidden="1">"c6408"</definedName>
    <definedName name="IQ_HIGH_LOW_CLOSEPRICE_DATE" hidden="1">"c1204"</definedName>
    <definedName name="IQ_HIGH_TARGET_PRICE" hidden="1">"c1651"</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PAIR_OIL" hidden="1">"c547"</definedName>
    <definedName name="IQ_IMPAIRED_LOANS" hidden="1">"c15250"</definedName>
    <definedName name="IQ_IMPAIRMENT_GW" hidden="1">"c548"</definedName>
    <definedName name="IQ_IMPAIRMENT_GW_SUPPLE" hidden="1">"c13811"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localSheetId="3" hidden="1">"c789"</definedName>
    <definedName name="IQ_INC_AVAIL_EXCL" hidden="1">"c789"</definedName>
    <definedName name="IQ_INC_AVAIL_INCL" localSheetId="3" hidden="1">"c791"</definedName>
    <definedName name="IQ_INC_AVAIL_INCL" hidden="1">"c791"</definedName>
    <definedName name="IQ_INC_BEFORE_TAX" localSheetId="3" hidden="1">"c386"</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TYPE" hidden="1">"c15223"</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SUPPLE" hidden="1">"c13814"</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localSheetId="3" hidden="1">"c907"</definedName>
    <definedName name="IQ_INTANGIBLES_NET" hidden="1">"c907"</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localSheetId="3" hidden="1">"c618"</definedName>
    <definedName name="IQ_INTEREST_EXP_NON" hidden="1">"c618"</definedName>
    <definedName name="IQ_INTEREST_EXP_SUPPL" hidden="1">"c1460"</definedName>
    <definedName name="IQ_INTEREST_INC" localSheetId="3" hidden="1">"c769"</definedName>
    <definedName name="IQ_INTEREST_INC" hidden="1">"c769"</definedName>
    <definedName name="IQ_INTEREST_INC_10K" hidden="1">"IQ_INTEREST_INC_10K"</definedName>
    <definedName name="IQ_INTEREST_INC_10Q" hidden="1">"IQ_INTEREST_INC_10Q"</definedName>
    <definedName name="IQ_INTEREST_INC_10Q1" hidden="1">"IQ_INTEREST_INC_10Q1"</definedName>
    <definedName name="IQ_INTEREST_INC_NON" localSheetId="3" hidden="1">"c619"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TERNAL_ALLOCATIONS_INC_EXP_FOREIGN_FFIEC" hidden="1">"c15394"</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PRD_SUPPLE" hidden="1">"c13813"</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localSheetId="3" hidden="1">"c751"</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localSheetId="3" hidden="1">"c656"</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localSheetId="3" hidden="1">"c674"</definedName>
    <definedName name="IQ_LONG_TERM_DEBT" hidden="1">"c674"</definedName>
    <definedName name="IQ_LONG_TERM_DEBT_OVER_TOTAL_CAP" localSheetId="3" hidden="1">"c677"</definedName>
    <definedName name="IQ_LONG_TERM_DEBT_OVER_TOTAL_CAP" hidden="1">"c677"</definedName>
    <definedName name="IQ_LONG_TERM_GROWTH" hidden="1">"c671"</definedName>
    <definedName name="IQ_LONG_TERM_INV" localSheetId="3" hidden="1">"c697"</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MATURING_1YR_INT_SENSITIVITY_FFIEC" hidden="1">"c13097"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_DATE" hidden="1">"IQ_LTM_DATE"</definedName>
    <definedName name="IQ_LTM_REVENUE_OVER_EMPLOYEES" localSheetId="3" hidden="1">"c1304"</definedName>
    <definedName name="IQ_LTM_REVENUE_OVER_EMPLOYEES" hidden="1">"c1304"</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SUPPLE" hidden="1">"c13810"</definedName>
    <definedName name="IQ_MERGER_UTI" hidden="1">"c726"</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NAMES_REVISION_DATE_" localSheetId="6" hidden="1">43839.2605092593</definedName>
    <definedName name="IQ_NAMES_REVISION_DATE_" localSheetId="3" hidden="1">44215.4904282407</definedName>
    <definedName name="IQ_NAMES_REVISION_DATE_" localSheetId="10" hidden="1">43839.2605092593</definedName>
    <definedName name="IQ_NAMES_REVISION_DATE_" localSheetId="16" hidden="1">44307.2676041667</definedName>
    <definedName name="IQ_NAMES_REVISION_DATE_" localSheetId="19" hidden="1">44768.7436226852</definedName>
    <definedName name="IQ_NAMES_REVISION_DATE_" localSheetId="18" hidden="1">44768.7436226852</definedName>
    <definedName name="IQ_NAMES_REVISION_DATE_" hidden="1">44278.2309143519</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localSheetId="3" hidden="1">"c781"</definedName>
    <definedName name="IQ_NET_INC" hidden="1">"c781"</definedName>
    <definedName name="IQ_NET_INC_10K" hidden="1">"IQ_NET_INC_10K"</definedName>
    <definedName name="IQ_NET_INC_10Q" hidden="1">"IQ_NET_INC_10Q"</definedName>
    <definedName name="IQ_NET_INC_10Q1" hidden="1">"IQ_NET_INC_10Q1"</definedName>
    <definedName name="IQ_NET_INC_BEFORE" localSheetId="3" hidden="1">"c344"</definedName>
    <definedName name="IQ_NET_INC_BEFORE" hidden="1">"c344"</definedName>
    <definedName name="IQ_NET_INC_CF" localSheetId="3" hidden="1">"c793"</definedName>
    <definedName name="IQ_NET_INC_CF" hidden="1">"c793"</definedName>
    <definedName name="IQ_NET_INC_GROWTH_1" hidden="1">"c158"</definedName>
    <definedName name="IQ_NET_INC_GROWTH_2" hidden="1">"c162"</definedName>
    <definedName name="IQ_NET_INC_MARGIN" localSheetId="3" hidden="1">"c794"</definedName>
    <definedName name="IQ_NET_INC_MARGIN" hidden="1">"c794"</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localSheetId="3" hidden="1">"c764"</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NONINTEREST_INC_EXP_INTERNATIONAL_OPS_FFIEC" hidden="1">"c15387"</definedName>
    <definedName name="IQ_NET_OPERATING_INCOME_ASSETS_FDIC" hidden="1">"c6729"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EST" hidden="1">"c1716"</definedName>
    <definedName name="IQ_NI_FFIEC" hidden="1">"c13034"</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localSheetId="3" hidden="1">"c797"</definedName>
    <definedName name="IQ_NON_CASH" hidden="1">"c797"</definedName>
    <definedName name="IQ_NON_CASH_ITEMS" hidden="1">"c797"</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DEPOSITS_DOM_FFIEC" hidden="1">"c12851"</definedName>
    <definedName name="IQ_NON_INT_DEPOSITS_FOREIGN_FFIEC" hidden="1">"c12854"</definedName>
    <definedName name="IQ_NON_INT_EXP" hidden="1">"c801"</definedName>
    <definedName name="IQ_NON_INT_EXP_FDIC" hidden="1">"c6579"</definedName>
    <definedName name="IQ_NON_INT_EXPENSE_FFIEC" hidden="1">"c13028"</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AVG_ASSETS_FFIEC" hidden="1">"c13359"</definedName>
    <definedName name="IQ_NON_INT_INC_FDIC" hidden="1">"c6575"</definedName>
    <definedName name="IQ_NON_INT_INC_OPERATING_INC_FFIEC" hidden="1">"c13382"</definedName>
    <definedName name="IQ_NON_INT_INCOME_FFIEC" hidden="1">"c13017"</definedName>
    <definedName name="IQ_NON_INTEREST_EXP" localSheetId="3" hidden="1">"c801"</definedName>
    <definedName name="IQ_NON_INTEREST_EXP" hidden="1">"c801"</definedName>
    <definedName name="IQ_NON_INTEREST_INC" localSheetId="3" hidden="1">"c802"</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localSheetId="3" hidden="1">"c1176"</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EXP_AVG_ASSETS_FFIEC" hidden="1">"c13372"</definedName>
    <definedName name="IQ_OCCUPANCY_EXP_OPERATING_INC_FFIEC" hidden="1">"c13380"</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localSheetId="3" hidden="1">"c362"</definedName>
    <definedName name="IQ_OPER_INC_MARGIN" hidden="1">"c362"</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FFIEC" hidden="1">"c12972"</definedName>
    <definedName name="IQ_OTHER_AMORT" hidden="1">"c5563"</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localSheetId="3" hidden="1">"c868"</definedName>
    <definedName name="IQ_OTHER_CURRENT_ASSETS" hidden="1">"c868"</definedName>
    <definedName name="IQ_OTHER_CURRENT_LIAB" localSheetId="3" hidden="1">"c877"</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localSheetId="3" hidden="1">"c916"</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localSheetId="3" hidden="1">"c946"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localSheetId="3" hidden="1">"c959"</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localSheetId="3" hidden="1">"c1010"</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SAVINGS_DEPOSITS_FDIC" hidden="1">"c6554"</definedName>
    <definedName name="IQ_OTHER_SAVINGS_DEPOSITS_NON_TRANS_ACCTS_FFIEC" hidden="1">"c15331"</definedName>
    <definedName name="IQ_OTHER_SECURITIES_QUARTERLY_AVG_FFIEC" hidden="1">"c15472"</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localSheetId="3" hidden="1">"c1022"</definedName>
    <definedName name="IQ_OUTSTANDING_BS_DATE" hidden="1">"c1022"</definedName>
    <definedName name="IQ_OUTSTANDING_FILING_DATE" localSheetId="3" hidden="1">"c1023"</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localSheetId="3" hidden="1">"c8"</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12MONTHS" hidden="1">"c1828"</definedName>
    <definedName name="IQ_PERCENT_CHANGE_EST_FFO_SHARE_12MONTHS_REUT" hidden="1">"c3938"</definedName>
    <definedName name="IQ_PERCENT_CHANGE_EST_FFO_SHARE_18MONTHS" hidden="1">"c1829"</definedName>
    <definedName name="IQ_PERCENT_CHANGE_EST_FFO_SHARE_18MONTHS_REUT" hidden="1">"c3939"</definedName>
    <definedName name="IQ_PERCENT_CHANGE_EST_FFO_SHARE_3MONTHS" hidden="1">"c1825"</definedName>
    <definedName name="IQ_PERCENT_CHANGE_EST_FFO_SHARE_3MONTHS_REUT" hidden="1">"c3935"</definedName>
    <definedName name="IQ_PERCENT_CHANGE_EST_FFO_SHARE_6MONTHS" hidden="1">"c1826"</definedName>
    <definedName name="IQ_PERCENT_CHANGE_EST_FFO_SHARE_6MONTHS_REUT" hidden="1">"c3936"</definedName>
    <definedName name="IQ_PERCENT_CHANGE_EST_FFO_SHARE_9MONTHS" hidden="1">"c1827"</definedName>
    <definedName name="IQ_PERCENT_CHANGE_EST_FFO_SHARE_9MONTHS_REUT" hidden="1">"c3937"</definedName>
    <definedName name="IQ_PERCENT_CHANGE_EST_FFO_SHARE_DAY" hidden="1">"c1822"</definedName>
    <definedName name="IQ_PERCENT_CHANGE_EST_FFO_SHARE_DAY_REUT" hidden="1">"c3933"</definedName>
    <definedName name="IQ_PERCENT_CHANGE_EST_FFO_SHARE_MONTH" hidden="1">"c1824"</definedName>
    <definedName name="IQ_PERCENT_CHANGE_EST_FFO_SHARE_MONTH_REUT" hidden="1">"c3934"</definedName>
    <definedName name="IQ_PERCENT_CHANGE_EST_FFO_SHARE_SHARE_12MONTHS" hidden="1">"c1828"</definedName>
    <definedName name="IQ_PERCENT_CHANGE_EST_FFO_SHARE_SHARE_12MONTHS_CIQ" hidden="1">"c3769"</definedName>
    <definedName name="IQ_PERCENT_CHANGE_EST_FFO_SHARE_SHARE_18MONTHS" hidden="1">"c1829"</definedName>
    <definedName name="IQ_PERCENT_CHANGE_EST_FFO_SHARE_SHARE_18MONTHS_CIQ" hidden="1">"c3770"</definedName>
    <definedName name="IQ_PERCENT_CHANGE_EST_FFO_SHARE_SHARE_3MONTHS" hidden="1">"c1825"</definedName>
    <definedName name="IQ_PERCENT_CHANGE_EST_FFO_SHARE_SHARE_3MONTHS_CIQ" hidden="1">"c3766"</definedName>
    <definedName name="IQ_PERCENT_CHANGE_EST_FFO_SHARE_SHARE_6MONTHS" hidden="1">"c1826"</definedName>
    <definedName name="IQ_PERCENT_CHANGE_EST_FFO_SHARE_SHARE_6MONTHS_CIQ" hidden="1">"c3767"</definedName>
    <definedName name="IQ_PERCENT_CHANGE_EST_FFO_SHARE_SHARE_9MONTHS" hidden="1">"c1827"</definedName>
    <definedName name="IQ_PERCENT_CHANGE_EST_FFO_SHARE_SHARE_9MONTHS_CIQ" hidden="1">"c3768"</definedName>
    <definedName name="IQ_PERCENT_CHANGE_EST_FFO_SHARE_SHARE_DAY" hidden="1">"c1822"</definedName>
    <definedName name="IQ_PERCENT_CHANGE_EST_FFO_SHARE_SHARE_DAY_CIQ" hidden="1">"c3764"</definedName>
    <definedName name="IQ_PERCENT_CHANGE_EST_FFO_SHARE_SHARE_MONTH" hidden="1">"c1824"</definedName>
    <definedName name="IQ_PERCENT_CHANGE_EST_FFO_SHARE_SHARE_MONTH_CIQ" hidden="1">"c3765"</definedName>
    <definedName name="IQ_PERCENT_CHANGE_EST_FFO_SHARE_SHARE_WEEK" hidden="1">"c1823"</definedName>
    <definedName name="IQ_PERCENT_CHANGE_EST_FFO_SHARE_SHARE_WEEK_CIQ" hidden="1">"c3795"</definedName>
    <definedName name="IQ_PERCENT_CHANGE_EST_FFO_SHARE_WEEK" hidden="1">"c1823"</definedName>
    <definedName name="IQ_PERCENT_CHANGE_EST_FFO_SHARE_WEEK_REUT" hidden="1">"c3964"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CENT_INSURED_FDIC" hidden="1">"c6374"</definedName>
    <definedName name="IQ_PERFORMANCE_LOC_FOREIGN_GUARANTEES_FFIEC" hidden="1">"c13251"</definedName>
    <definedName name="IQ_PERIODDATE" localSheetId="3" hidden="1">"c1034"</definedName>
    <definedName name="IQ_PERIODDATE" hidden="1">"c1034"</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CF" hidden="1">"c1502"</definedName>
    <definedName name="IQ_PERIODLENGTH_IS" hidden="1">"c1503"</definedName>
    <definedName name="IQ_PERSONNEL_EXP_AVG_ASSETS_FFIEC" hidden="1">"c13371"</definedName>
    <definedName name="IQ_PERSONNEL_EXP_OPERATING_INC_FFIEC" hidden="1">"c13379"</definedName>
    <definedName name="IQ_PERTYPE" hidden="1">"c1611"</definedName>
    <definedName name="IQ_PLEDGED_SEC_INVEST_SECURITIES_FFIEC" hidden="1">"c13467"</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localSheetId="3" hidden="1">"c1052"</definedName>
    <definedName name="IQ_PREF_STOCK" hidden="1">"c1052"</definedName>
    <definedName name="IQ_PREF_STOCK_FFIEC" hidden="1">"c12875"</definedName>
    <definedName name="IQ_PREF_TOT" localSheetId="3" hidden="1">"c1044"</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localSheetId="3" hidden="1">"c1068"</definedName>
    <definedName name="IQ_PREPAID_EXPEN" hidden="1">"c1068"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CONTRACT_ID" hidden="1">"c13929"</definedName>
    <definedName name="IQ_PRICE_OVER_BVPS" localSheetId="3" hidden="1">"c1026"</definedName>
    <definedName name="IQ_PRICE_OVER_BVPS" hidden="1">"c1026"</definedName>
    <definedName name="IQ_PRICE_OVER_EPS_EST" hidden="1">"c174"</definedName>
    <definedName name="IQ_PRICE_OVER_EPS_EST_1" hidden="1">"c175"</definedName>
    <definedName name="IQ_PRICE_OVER_LTM_EPS" localSheetId="3" hidden="1">"c1029"</definedName>
    <definedName name="IQ_PRICE_OVER_LTM_EPS" hidden="1">"c1029"</definedName>
    <definedName name="IQ_PRICE_TARGET" hidden="1">"c82"</definedName>
    <definedName name="IQ_PRICE_TARGET_REUT" hidden="1">"c3631"</definedName>
    <definedName name="IQ_PRICE_UNIT" hidden="1">"c15556"</definedName>
    <definedName name="IQ_PRICEDATE" hidden="1">"c1069"</definedName>
    <definedName name="IQ_PRICEDATETIME" hidden="1">"IQ_PRICEDATETIME"</definedName>
    <definedName name="IQ_PRICING_DATE" hidden="1">"c1613"</definedName>
    <definedName name="IQ_PRIMARY_EPS_TYPE_THOM" hidden="1">"c5297"</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localSheetId="3" hidden="1">"c795"</definedName>
    <definedName name="IQ_PRO_FORMA_NET_INC" hidden="1">"c795"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localSheetId="3" hidden="1">"c518"</definedName>
    <definedName name="IQ_PROPERTY_GROSS" hidden="1">"c518"</definedName>
    <definedName name="IQ_PROPERTY_MGMT_FEE" hidden="1">"c1074"</definedName>
    <definedName name="IQ_PROPERTY_NET" localSheetId="3" hidden="1">"c829"</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FARMLAND_GROSS_LOANS_FFIEC" hidden="1">"c13408"</definedName>
    <definedName name="IQ_RE_FARMLAND_RISK_BASED_FFIEC" hidden="1">"c13429"</definedName>
    <definedName name="IQ_RE_FORECLOSURE_FDIC" hidden="1">"c6332"</definedName>
    <definedName name="IQ_RE_FOREIGN_FFIEC" hidden="1">"c13479"</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localSheetId="3" hidden="1">"c1059"</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localSheetId="3" hidden="1">"c1090"</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localSheetId="3" hidden="1">"c1092"</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COMMON_EQUITY" hidden="1">"c13838"</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localSheetId="3" hidden="1">"c1117"</definedName>
    <definedName name="IQ_RETURN_INVESTMENT" hidden="1">"c1117"</definedName>
    <definedName name="IQ_REV" hidden="1">"c1122"</definedName>
    <definedName name="IQ_REV_BEFORE_LL" hidden="1">"c1123"</definedName>
    <definedName name="IQ_REV_BEFORE_LOAN_LOSS_FOREIGN_FFIEC" hidden="1">"c15381"</definedName>
    <definedName name="IQ_REV_STDDEV_EST" hidden="1">"c1124"</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localSheetId="3" hidden="1">"c1122"</definedName>
    <definedName name="IQ_REVENUE" hidden="1">"c1122"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BEFORE_LL_FFIEC" hidden="1">"c13018"</definedName>
    <definedName name="IQ_REVENUE_EST" hidden="1">"c1126"</definedName>
    <definedName name="IQ_REVENUE_EST_1" hidden="1">"c190"</definedName>
    <definedName name="IQ_REVENUE_EST_REUT" hidden="1">"c3634"</definedName>
    <definedName name="IQ_REVENUE_GROWTH_1" hidden="1">"c155"</definedName>
    <definedName name="IQ_REVENUE_GROWTH_2" hidden="1">"c159"</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38747.6532060184</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ISK_ADJ_BANK_ASSETS" hidden="1">"c2670"</definedName>
    <definedName name="IQ_RISK_WEIGHTED_ASSETS_FDIC" hidden="1">"c6370"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DEPOSITS_NON_TRANS_ACCTS_FFIEC" hidden="1">"c15329"</definedName>
    <definedName name="IQ_SAVINGS_DEPOSITS_QUARTERLY_AVG_FFIEC" hidden="1">"c15485"</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_PRICE" hidden="1">"c15157"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_PER_DR" hidden="1">"c204"</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POSITIONS_FFIEC" hidden="1">"c12859"</definedName>
    <definedName name="IQ_SHORT_TERM_INVEST" localSheetId="3" hidden="1">"c1197"</definedName>
    <definedName name="IQ_SHORT_TERM_INVEST" hidden="1">"c1197"</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VG_CE_TOTAL_AVG_ASSETS" hidden="1">"c1241"</definedName>
    <definedName name="IQ_TOTAL_AVG_EQUITY_TOTAL_AVG_ASSETS" hidden="1">"c1242"</definedName>
    <definedName name="IQ_TOTAL_BANK_CAPITAL" hidden="1">"c2668"</definedName>
    <definedName name="IQ_TOTAL_BROKERED_DEPOSIT_FFIEC" hidden="1">"c15304"</definedName>
    <definedName name="IQ_TOTAL_CA" hidden="1">"c1243"</definedName>
    <definedName name="IQ_TOTAL_CAP" hidden="1">"c1507"</definedName>
    <definedName name="IQ_TOTAL_CAPITAL_RATIO" hidden="1">"c1244"</definedName>
    <definedName name="IQ_TOTAL_CASH_DIVID" localSheetId="3" hidden="1">"c1266"</definedName>
    <definedName name="IQ_TOTAL_CASH_DIVID" hidden="1">"c1266"</definedName>
    <definedName name="IQ_TOTAL_CASH_DUE_DEPOSITORY_INSTIT_DOM_FFIEC" hidden="1">"c15291"</definedName>
    <definedName name="IQ_TOTAL_CASH_DUE_DEPOSITORY_INSTIT_FFIEC" hidden="1">"c15285"</definedName>
    <definedName name="IQ_TOTAL_CASH_FINAN" localSheetId="3" hidden="1">"c119"</definedName>
    <definedName name="IQ_TOTAL_CASH_FINAN" hidden="1">"c119"</definedName>
    <definedName name="IQ_TOTAL_CASH_INVEST" localSheetId="3" hidden="1">"c121"</definedName>
    <definedName name="IQ_TOTAL_CASH_INVEST" hidden="1">"c121"</definedName>
    <definedName name="IQ_TOTAL_CASH_OPER" localSheetId="3" hidden="1">"c122"</definedName>
    <definedName name="IQ_TOTAL_CASH_OPER" hidden="1">"c122"</definedName>
    <definedName name="IQ_TOTAL_CHARGE_OFFS_FDIC" hidden="1">"c6603"</definedName>
    <definedName name="IQ_TOTAL_CHURN" hidden="1">"c2122"</definedName>
    <definedName name="IQ_TOTAL_CL" hidden="1">"c1245"</definedName>
    <definedName name="IQ_TOTAL_COMMON" localSheetId="3" hidden="1">"c1022"</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localSheetId="3" hidden="1">"c1243"</definedName>
    <definedName name="IQ_TOTAL_CURRENT_ASSETS" hidden="1">"c1243"</definedName>
    <definedName name="IQ_TOTAL_CURRENT_LIAB" localSheetId="3" hidden="1">"c1245"</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localSheetId="3" hidden="1">"c1249"</definedName>
    <definedName name="IQ_TOTAL_DEBT_OVER_EBITDA" hidden="1">"c1249"</definedName>
    <definedName name="IQ_TOTAL_DEBT_OVER_TOTAL_BV" localSheetId="3" hidden="1">"c1250"</definedName>
    <definedName name="IQ_TOTAL_DEBT_OVER_TOTAL_BV" hidden="1">"c1250"</definedName>
    <definedName name="IQ_TOTAL_DEBT_OVER_TOTAL_CAP" localSheetId="3" hidden="1">"c1248"</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localSheetId="3" hidden="1">"c591"</definedName>
    <definedName name="IQ_TOTAL_INTEREST_EXP" hidden="1">"c591"</definedName>
    <definedName name="IQ_TOTAL_INTEREST_EXP_FOREIGN_FFIEC" hidden="1">"c15374"</definedName>
    <definedName name="IQ_TOTAL_INTEREST_INC_FOREIGN_FFIEC" hidden="1">"c15373"</definedName>
    <definedName name="IQ_TOTAL_INVENTORY" localSheetId="3" hidden="1">"c622"</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localSheetId="3" hidden="1">"c1279"</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localSheetId="3" hidden="1">"c1294"</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SECURITIES_FDIC" hidden="1">"c6306"</definedName>
    <definedName name="IQ_TOTAL_SPECIAL" hidden="1">"c1618"</definedName>
    <definedName name="IQ_TOTAL_ST_BORROW" localSheetId="3" hidden="1">"c1177"</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localSheetId="3" hidden="1">"c40"</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localSheetId="3" hidden="1">"c1311"</definedName>
    <definedName name="IQ_TREASURY_STOCK" hidden="1">"c1311"</definedName>
    <definedName name="IQ_TREASURY_STOCK_TRANSACTIONS_FDIC" hidden="1">"c6501"</definedName>
    <definedName name="IQ_TREASURY_STOCK_TRANSACTIONS_FFIEC" hidden="1">"c15352"</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LOANS" hidden="1">"c15249"</definedName>
    <definedName name="IQ_VENTURE_CAPITAL_REVENUE_FFIEC" hidden="1">"c13010"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1</definedName>
    <definedName name="IQB_BOOKMARK_LOCATION_0" hidden="1">#REF!</definedName>
    <definedName name="IQB_BOOKMARK_LOCATION_1" hidden="1">#REF!</definedName>
    <definedName name="IQB_BOOKMARK_LOCATION_2" hidden="1">#REF!</definedName>
    <definedName name="IQB_CURRENT_BOOKMARK" hidden="1">1</definedName>
    <definedName name="IQRA7" hidden="1">"$A$8:$A$11"</definedName>
    <definedName name="IQRAnnotatedStockPriceChartC42" hidden="1">#REF!</definedName>
    <definedName name="IQRAnnotatedStockPriceChartC44" hidden="1">#REF!</definedName>
    <definedName name="IQRAnnotatedStockPriceChartC59" hidden="1">'[27]Annotated Stock Price Chart'!$C$60:$C$552</definedName>
    <definedName name="IQRAnnotatedStockPriceChartC60" localSheetId="5" hidden="1">#REF!</definedName>
    <definedName name="IQRAnnotatedStockPriceChartC60" hidden="1">#REF!</definedName>
    <definedName name="IQRB7" hidden="1">"$B$8:$B$11"</definedName>
    <definedName name="IQRC7" hidden="1">"$C$8:$C$11"</definedName>
    <definedName name="IQRD7" hidden="1">"$D$8:$D$11"</definedName>
    <definedName name="IQRDataA8" hidden="1">[28]Data!$A$9:$A$255</definedName>
    <definedName name="IQRDataB8" hidden="1">[28]Data!$B$9:$B$255</definedName>
    <definedName name="IQRDataC8" hidden="1">[28]Data!$C$9:$C$255</definedName>
    <definedName name="IQRE7" hidden="1">"$E$8:$E$11"</definedName>
    <definedName name="IQRF7" hidden="1">"$F$8:$F$11"</definedName>
    <definedName name="IQRG7" hidden="1">"$G$8:$G$11"</definedName>
    <definedName name="IQRH7" hidden="1">"$H$8:$H$11"</definedName>
    <definedName name="IQRHistValL16" hidden="1">'[29]Hist Val'!$L$17:$L$1198</definedName>
    <definedName name="IQRI7" hidden="1">"$I$8:$I$11"</definedName>
    <definedName name="IQRJ7" hidden="1">"$J$8:$J$11"</definedName>
    <definedName name="IQRLivePersonInc2C60" hidden="1">#REF!</definedName>
    <definedName name="IQRLivePersonInc2C61" hidden="1">#REF!</definedName>
    <definedName name="IQRLivePersonInc2C62" hidden="1">#REF!</definedName>
    <definedName name="IQRLivePersonInc2C70" hidden="1">#REF!</definedName>
    <definedName name="IQRLivePersonIncC60" hidden="1">#REF!</definedName>
    <definedName name="IQRLivePersonIncC62" hidden="1">#REF!</definedName>
    <definedName name="IQRLivePersonIncMultiplesC70" hidden="1">#REF!</definedName>
    <definedName name="IQRLivePersonIncStockPriceC60" hidden="1">#REF!</definedName>
    <definedName name="IQRMultiplesEvolutionC70" hidden="1">#REF!</definedName>
    <definedName name="IQRSheet1C15" hidden="1">#REF!</definedName>
    <definedName name="IQRSheet1C53" hidden="1">#REF!</definedName>
    <definedName name="IQRSheet1F53" hidden="1">#REF!</definedName>
    <definedName name="IQRSheet7A1" hidden="1">#REF!</definedName>
    <definedName name="IQRStockChartAC7" hidden="1">'[30]Stock Chart'!$AC$8:$AC$78</definedName>
    <definedName name="IQRStockChartAD7" hidden="1">'[30]Stock Chart'!$AD$8:$AD$73</definedName>
    <definedName name="IQRStockChartAE7" hidden="1">'[30]Stock Chart'!$AE$8:$AE$53</definedName>
    <definedName name="IQRStockChartAF7" hidden="1">'[30]Stock Chart'!$AF$8:$AF$49</definedName>
    <definedName name="IQRStockChartAG7" hidden="1">'[30]Stock Chart'!$AG$8:$AG$54</definedName>
    <definedName name="IQRStockChartAH7" hidden="1">'[30]Stock Chart'!$AH$8:$AH$53</definedName>
    <definedName name="IQRStockChartAI7" hidden="1">'[30]Stock Chart'!$AI$8:$AI$54</definedName>
    <definedName name="IQRStockChartAJ7" hidden="1">'[30]Stock Chart'!$AJ$8:$AJ$61</definedName>
    <definedName name="IQRStockChartAK7" hidden="1">'[30]Stock Chart'!$AK$8:$AK$58</definedName>
    <definedName name="IQRStockChartAL7" hidden="1">'[30]Stock Chart'!$AL$8:$AL$52</definedName>
    <definedName name="IQRStockChartS12" hidden="1">'[30]Stock Chart'!$S$13:$S$2528</definedName>
    <definedName name="IQRTSRDecompA46" localSheetId="18" hidden="1">'TSR List'!#REF!</definedName>
    <definedName name="IQRTSRDecompA46" hidden="1">'TSR decomposition'!#REF!</definedName>
    <definedName name="IQRTSRDecompB46" localSheetId="18" hidden="1">'TSR List'!#REF!</definedName>
    <definedName name="IQRTSRDecompB46" hidden="1">'TSR decomposition'!$D$69:$D$284</definedName>
    <definedName name="IQRTwilioC62" localSheetId="5" hidden="1">#REF!</definedName>
    <definedName name="IQRTwilioC62" hidden="1">#REF!</definedName>
    <definedName name="IQRTwilioIncC60" hidden="1">#REF!</definedName>
    <definedName name="iQShowHideColumns" localSheetId="6" hidden="1">"iQShowAll"</definedName>
    <definedName name="iQShowHideColumns" localSheetId="3" hidden="1">"iQShowAll"</definedName>
    <definedName name="iQShowHideColumns" localSheetId="10" hidden="1">"iQShowAll"</definedName>
    <definedName name="iQShowHideColumns" hidden="1">"iQShowQuarterlyAnnual"</definedName>
    <definedName name="jeff" localSheetId="5" hidden="1">{"comps",#N/A,FALSE,"TXTCOMPS";"segment_EPS",#N/A,FALSE,"TXTCOMPS";"valuation",#N/A,FALSE,"TXTCOMPS"}</definedName>
    <definedName name="jeff" localSheetId="16" hidden="1">{"comps",#N/A,FALSE,"TXTCOMPS";"segment_EPS",#N/A,FALSE,"TXTCOMPS";"valuation",#N/A,FALSE,"TXTCOMPS"}</definedName>
    <definedName name="jeff" localSheetId="19" hidden="1">{"comps",#N/A,FALSE,"TXTCOMPS";"segment_EPS",#N/A,FALSE,"TXTCOMPS";"valuation",#N/A,FALSE,"TXTCOMPS"}</definedName>
    <definedName name="jeff" localSheetId="18" hidden="1">{"comps",#N/A,FALSE,"TXTCOMPS";"segment_EPS",#N/A,FALSE,"TXTCOMPS";"valuation",#N/A,FALSE,"TXTCOMPS"}</definedName>
    <definedName name="jeff" hidden="1">{"comps",#N/A,FALSE,"TXTCOMPS";"segment_EPS",#N/A,FALSE,"TXTCOMPS";"valuation",#N/A,FALSE,"TXTCOMPS"}</definedName>
    <definedName name="jk" localSheetId="5" hidden="1">{"segment_EPS",#N/A,FALSE,"TXTCOMPS"}</definedName>
    <definedName name="jk" localSheetId="16" hidden="1">{"segment_EPS",#N/A,FALSE,"TXTCOMPS"}</definedName>
    <definedName name="jk" localSheetId="19" hidden="1">{"segment_EPS",#N/A,FALSE,"TXTCOMPS"}</definedName>
    <definedName name="jk" localSheetId="18" hidden="1">{"segment_EPS",#N/A,FALSE,"TXTCOMPS"}</definedName>
    <definedName name="jk" hidden="1">{"segment_EPS",#N/A,FALSE,"TXTCOMPS"}</definedName>
    <definedName name="K" localSheetId="5"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16"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19"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localSheetId="18"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KHN" localSheetId="5" hidden="1">{"'보고양식'!$A$58:$K$111"}</definedName>
    <definedName name="KHN" localSheetId="16" hidden="1">{"'보고양식'!$A$58:$K$111"}</definedName>
    <definedName name="KHN" localSheetId="19" hidden="1">{"'보고양식'!$A$58:$K$111"}</definedName>
    <definedName name="KHN" localSheetId="18" hidden="1">{"'보고양식'!$A$58:$K$111"}</definedName>
    <definedName name="KHN" hidden="1">{"'보고양식'!$A$58:$K$111"}</definedName>
    <definedName name="L" localSheetId="5" hidden="1">{"rev_history_revenueDetail",#N/A,FALSE,"historical rev us";"rev_history_minutesDetail",#N/A,FALSE,"historical rev us"}</definedName>
    <definedName name="L" localSheetId="16" hidden="1">{"rev_history_revenueDetail",#N/A,FALSE,"historical rev us";"rev_history_minutesDetail",#N/A,FALSE,"historical rev us"}</definedName>
    <definedName name="L" localSheetId="19" hidden="1">{"rev_history_revenueDetail",#N/A,FALSE,"historical rev us";"rev_history_minutesDetail",#N/A,FALSE,"historical rev us"}</definedName>
    <definedName name="L" localSheetId="18" hidden="1">{"rev_history_revenueDetail",#N/A,FALSE,"historical rev us";"rev_history_minutesDetail",#N/A,FALSE,"historical rev us"}</definedName>
    <definedName name="L" hidden="1">{"rev_history_revenueDetail",#N/A,FALSE,"historical rev us";"rev_history_minutesDetail",#N/A,FALSE,"historical rev us"}</definedName>
    <definedName name="lo" localSheetId="5" hidden="1">{"valuation",#N/A,FALSE,"TXTCOMPS"}</definedName>
    <definedName name="lo" localSheetId="16" hidden="1">{"valuation",#N/A,FALSE,"TXTCOMPS"}</definedName>
    <definedName name="lo" localSheetId="19" hidden="1">{"valuation",#N/A,FALSE,"TXTCOMPS"}</definedName>
    <definedName name="lo" localSheetId="18" hidden="1">{"valuation",#N/A,FALSE,"TXTCOMPS"}</definedName>
    <definedName name="lo" hidden="1">{"valuation",#N/A,FALSE,"TXTCOMPS"}</definedName>
    <definedName name="loik" localSheetId="5" hidden="1">{"segment_EPS",#N/A,FALSE,"TXTCOMPS"}</definedName>
    <definedName name="loik" localSheetId="16" hidden="1">{"segment_EPS",#N/A,FALSE,"TXTCOMPS"}</definedName>
    <definedName name="loik" localSheetId="19" hidden="1">{"segment_EPS",#N/A,FALSE,"TXTCOMPS"}</definedName>
    <definedName name="loik" localSheetId="18" hidden="1">{"segment_EPS",#N/A,FALSE,"TXTCOMPS"}</definedName>
    <definedName name="loik" hidden="1">{"segment_EPS",#N/A,FALSE,"TXTCOMPS"}</definedName>
    <definedName name="loiku" localSheetId="5" hidden="1">{"valuation",#N/A,FALSE,"TXTCOMPS"}</definedName>
    <definedName name="loiku" localSheetId="16" hidden="1">{"valuation",#N/A,FALSE,"TXTCOMPS"}</definedName>
    <definedName name="loiku" localSheetId="19" hidden="1">{"valuation",#N/A,FALSE,"TXTCOMPS"}</definedName>
    <definedName name="loiku" localSheetId="18" hidden="1">{"valuation",#N/A,FALSE,"TXTCOMPS"}</definedName>
    <definedName name="loiku" hidden="1">{"valuation",#N/A,FALSE,"TXTCOMPS"}</definedName>
    <definedName name="loiuy" localSheetId="5" hidden="1">{"comps",#N/A,FALSE,"TXTCOMPS"}</definedName>
    <definedName name="loiuy" localSheetId="16" hidden="1">{"comps",#N/A,FALSE,"TXTCOMPS"}</definedName>
    <definedName name="loiuy" localSheetId="19" hidden="1">{"comps",#N/A,FALSE,"TXTCOMPS"}</definedName>
    <definedName name="loiuy" localSheetId="18" hidden="1">{"comps",#N/A,FALSE,"TXTCOMPS"}</definedName>
    <definedName name="loiuy" hidden="1">{"comps",#N/A,FALSE,"TXTCOMPS"}</definedName>
    <definedName name="lopi" localSheetId="5" hidden="1">{"comps",#N/A,FALSE,"TXTCOMPS"}</definedName>
    <definedName name="lopi" localSheetId="16" hidden="1">{"comps",#N/A,FALSE,"TXTCOMPS"}</definedName>
    <definedName name="lopi" localSheetId="19" hidden="1">{"comps",#N/A,FALSE,"TXTCOMPS"}</definedName>
    <definedName name="lopi" localSheetId="18" hidden="1">{"comps",#N/A,FALSE,"TXTCOMPS"}</definedName>
    <definedName name="lopi" hidden="1">{"comps",#N/A,FALSE,"TXTCOMPS"}</definedName>
    <definedName name="m" localSheetId="6" hidden="1">{"turnover",#N/A,FALSE;"profits",#N/A,FALSE;"cash",#N/A,FALSE}</definedName>
    <definedName name="m" localSheetId="3" hidden="1">{"turnover",#N/A,FALSE;"profits",#N/A,FALSE;"cash",#N/A,FALSE}</definedName>
    <definedName name="m" localSheetId="5" hidden="1">{"turnover",#N/A,FALSE;"profits",#N/A,FALSE;"cash",#N/A,FALSE}</definedName>
    <definedName name="m" localSheetId="10" hidden="1">{"turnover",#N/A,FALSE;"profits",#N/A,FALSE;"cash",#N/A,FALSE}</definedName>
    <definedName name="m" localSheetId="16" hidden="1">{"turnover",#N/A,FALSE;"profits",#N/A,FALSE;"cash",#N/A,FALSE}</definedName>
    <definedName name="m" localSheetId="19" hidden="1">{"turnover",#N/A,FALSE;"profits",#N/A,FALSE;"cash",#N/A,FALSE}</definedName>
    <definedName name="m" localSheetId="18" hidden="1">{"turnover",#N/A,FALSE;"profits",#N/A,FALSE;"cash",#N/A,FALSE}</definedName>
    <definedName name="m" hidden="1">{"turnover",#N/A,FALSE;"profits",#N/A,FALSE;"cash",#N/A,FALSE}</definedName>
    <definedName name="M_PlaceofPath" hidden="1">"\\SNYCEQT0100\HOME\DANDERS\COMPANY\IGT\IGT_VDF.xls"</definedName>
    <definedName name="mmm" localSheetId="6" hidden="1">#REF!</definedName>
    <definedName name="mmm" localSheetId="3" hidden="1">#REF!</definedName>
    <definedName name="mmm" localSheetId="10" hidden="1">#REF!</definedName>
    <definedName name="mmm" localSheetId="16" hidden="1">#REF!</definedName>
    <definedName name="mmm" localSheetId="19" hidden="1">#REF!</definedName>
    <definedName name="mmm" localSheetId="18" hidden="1">#REF!</definedName>
    <definedName name="mmm" hidden="1">#REF!</definedName>
    <definedName name="N" localSheetId="5"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16"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19"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localSheetId="18"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newname" localSheetId="6" hidden="1">{TRUE,TRUE,-1.25,-15.5,456.75,279.75,FALSE,FALSE,TRUE,TRUE,0,1,18,1,199,6,3,4,TRUE,TRUE,3,TRUE,1,TRUE,100,"Swvu.cash.","ACwvu.cash.",1,FALSE,FALSE,0.511811023622047,0.511811023622047,0.511811023622047,0.511811023622047,1,"","",FALSE,FALSE,FALSE,FALSE,1,#N/A,1,1,#DIV/0!,FALSE,"Rwvu.cash.",#N/A,FALSE,FALSE}</definedName>
    <definedName name="newname" localSheetId="3" hidden="1">{TRUE,TRUE,-1.25,-15.5,456.75,279.75,FALSE,FALSE,TRUE,TRUE,0,1,18,1,199,6,3,4,TRUE,TRUE,3,TRUE,1,TRUE,100,"Swvu.cash.","ACwvu.cash.",1,FALSE,FALSE,0.511811023622047,0.511811023622047,0.511811023622047,0.511811023622047,1,"","",FALSE,FALSE,FALSE,FALSE,1,#N/A,1,1,#DIV/0!,FALSE,"Rwvu.cash.",#N/A,FALSE,FALSE}</definedName>
    <definedName name="newname" localSheetId="5" hidden="1">{TRUE,TRUE,-1.25,-15.5,456.75,279.75,FALSE,FALSE,TRUE,TRUE,0,1,18,1,199,6,3,4,TRUE,TRUE,3,TRUE,1,TRUE,100,"Swvu.cash.","ACwvu.cash.",1,FALSE,FALSE,0.511811023622047,0.511811023622047,0.511811023622047,0.511811023622047,1,"","",FALSE,FALSE,FALSE,FALSE,1,#N/A,1,1,#DIV/0!,FALSE,"Rwvu.cash.",#N/A,FALSE,FALSE}</definedName>
    <definedName name="newname" localSheetId="10" hidden="1">{TRUE,TRUE,-1.25,-15.5,456.75,279.75,FALSE,FALSE,TRUE,TRUE,0,1,18,1,199,6,3,4,TRUE,TRUE,3,TRUE,1,TRUE,100,"Swvu.cash.","ACwvu.cash.",1,FALSE,FALSE,0.511811023622047,0.511811023622047,0.511811023622047,0.511811023622047,1,"","",FALSE,FALSE,FALSE,FALSE,1,#N/A,1,1,#DIV/0!,FALSE,"Rwvu.cash.",#N/A,FALSE,FALSE}</definedName>
    <definedName name="newname" localSheetId="16" hidden="1">{TRUE,TRUE,-1.25,-15.5,456.75,279.75,FALSE,FALSE,TRUE,TRUE,0,1,18,1,199,6,3,4,TRUE,TRUE,3,TRUE,1,TRUE,100,"Swvu.cash.","ACwvu.cash.",1,FALSE,FALSE,0.511811023622047,0.511811023622047,0.511811023622047,0.511811023622047,1,"","",FALSE,FALSE,FALSE,FALSE,1,#N/A,1,1,#DIV/0!,FALSE,"Rwvu.cash.",#N/A,FALSE,FALSE}</definedName>
    <definedName name="newname" localSheetId="19" hidden="1">{TRUE,TRUE,-1.25,-15.5,456.75,279.75,FALSE,FALSE,TRUE,TRUE,0,1,18,1,199,6,3,4,TRUE,TRUE,3,TRUE,1,TRUE,100,"Swvu.cash.","ACwvu.cash.",1,FALSE,FALSE,0.511811023622047,0.511811023622047,0.511811023622047,0.511811023622047,1,"","",FALSE,FALSE,FALSE,FALSE,1,#N/A,1,1,#DIV/0!,FALSE,"Rwvu.cash.",#N/A,FALSE,FALSE}</definedName>
    <definedName name="newname" localSheetId="18" hidden="1">{TRUE,TRUE,-1.25,-15.5,456.75,279.75,FALSE,FALSE,TRUE,TRUE,0,1,18,1,199,6,3,4,TRUE,TRUE,3,TRUE,1,TRUE,100,"Swvu.cash.","ACwvu.cash.",1,FALSE,FALSE,0.511811023622047,0.511811023622047,0.511811023622047,0.511811023622047,1,"","",FALSE,FALSE,FALSE,FALSE,1,#N/A,1,1,#DIV/0!,FALSE,"Rwvu.cash.",#N/A,FALSE,FALSE}</definedName>
    <definedName name="newname" hidden="1">{TRUE,TRUE,-1.25,-15.5,456.75,279.75,FALSE,FALSE,TRUE,TRUE,0,1,18,1,199,6,3,4,TRUE,TRUE,3,TRUE,1,TRUE,100,"Swvu.cash.","ACwvu.cash.",1,FALSE,FALSE,0.511811023622047,0.511811023622047,0.511811023622047,0.511811023622047,1,"","",FALSE,FALSE,FALSE,FALSE,1,#N/A,1,1,#DIV/0!,FALSE,"Rwvu.cash.",#N/A,FALSE,FALSE}</definedName>
    <definedName name="NJ" localSheetId="5" hidden="1">{"valuation",#N/A,FALSE,"TXTCOMPS"}</definedName>
    <definedName name="NJ" localSheetId="16" hidden="1">{"valuation",#N/A,FALSE,"TXTCOMPS"}</definedName>
    <definedName name="NJ" localSheetId="19" hidden="1">{"valuation",#N/A,FALSE,"TXTCOMPS"}</definedName>
    <definedName name="NJ" localSheetId="18" hidden="1">{"valuation",#N/A,FALSE,"TXTCOMPS"}</definedName>
    <definedName name="NJ" hidden="1">{"valuation",#N/A,FALSE,"TXTCOMPS"}</definedName>
    <definedName name="o" localSheetId="5" hidden="1">{"comps",#N/A,FALSE,"TXTCOMPS"}</definedName>
    <definedName name="o" localSheetId="16" hidden="1">{"comps",#N/A,FALSE,"TXTCOMPS"}</definedName>
    <definedName name="o" localSheetId="19" hidden="1">{"comps",#N/A,FALSE,"TXTCOMPS"}</definedName>
    <definedName name="o" localSheetId="18" hidden="1">{"comps",#N/A,FALSE,"TXTCOMPS"}</definedName>
    <definedName name="o" hidden="1">{"comps",#N/A,FALSE,"TXTCOMPS"}</definedName>
    <definedName name="p" localSheetId="5" hidden="1">{"comps",#N/A,FALSE,"TXTCOMPS";"segment_EPS",#N/A,FALSE,"TXTCOMPS";"valuation",#N/A,FALSE,"TXTCOMPS"}</definedName>
    <definedName name="p" localSheetId="16" hidden="1">{"comps",#N/A,FALSE,"TXTCOMPS";"segment_EPS",#N/A,FALSE,"TXTCOMPS";"valuation",#N/A,FALSE,"TXTCOMPS"}</definedName>
    <definedName name="p" localSheetId="19" hidden="1">{"comps",#N/A,FALSE,"TXTCOMPS";"segment_EPS",#N/A,FALSE,"TXTCOMPS";"valuation",#N/A,FALSE,"TXTCOMPS"}</definedName>
    <definedName name="p" localSheetId="18" hidden="1">{"comps",#N/A,FALSE,"TXTCOMPS";"segment_EPS",#N/A,FALSE,"TXTCOMPS";"valuation",#N/A,FALSE,"TXTCOMPS"}</definedName>
    <definedName name="p" hidden="1">{"comps",#N/A,FALSE,"TXTCOMPS";"segment_EPS",#N/A,FALSE,"TXTCOMPS";"valuation",#N/A,FALSE,"TXTCOMPS"}</definedName>
    <definedName name="pouy" localSheetId="5" hidden="1">{"segment_EPS",#N/A,FALSE,"TXTCOMPS"}</definedName>
    <definedName name="pouy" localSheetId="16" hidden="1">{"segment_EPS",#N/A,FALSE,"TXTCOMPS"}</definedName>
    <definedName name="pouy" localSheetId="19" hidden="1">{"segment_EPS",#N/A,FALSE,"TXTCOMPS"}</definedName>
    <definedName name="pouy" localSheetId="18" hidden="1">{"segment_EPS",#N/A,FALSE,"TXTCOMPS"}</definedName>
    <definedName name="pouy" hidden="1">{"segment_EPS",#N/A,FALSE,"TXTCOMPS"}</definedName>
    <definedName name="Program" localSheetId="6" hidden="1">'[6]Edge 10797 Drilling Inventory'!#REF!</definedName>
    <definedName name="Program" localSheetId="3" hidden="1">'[6]Edge 10797 Drilling Inventory'!#REF!</definedName>
    <definedName name="Program" localSheetId="5" hidden="1">'[6]Edge 10797 Drilling Inventory'!#REF!</definedName>
    <definedName name="Program" localSheetId="10" hidden="1">'[6]Edge 10797 Drilling Inventory'!#REF!</definedName>
    <definedName name="Program" localSheetId="16" hidden="1">'[6]Edge 10797 Drilling Inventory'!#REF!</definedName>
    <definedName name="Program" localSheetId="19" hidden="1">'[6]Edge 10797 Drilling Inventory'!#REF!</definedName>
    <definedName name="Program" localSheetId="18" hidden="1">'[6]Edge 10797 Drilling Inventory'!#REF!</definedName>
    <definedName name="Program" hidden="1">'[6]Edge 10797 Drilling Inventory'!#REF!</definedName>
    <definedName name="q" localSheetId="5" hidden="1">{"Qtr Op Mgd Q2",#N/A,FALSE,"Qtr-Op (Mng)";"Qtr Op Rpt Q2",#N/A,FALSE,"Qtr-Op (Rpt)";"Operating Vs Reported",#N/A,FALSE,"Rpt-Op Inc"}</definedName>
    <definedName name="q" localSheetId="16" hidden="1">{"Qtr Op Mgd Q2",#N/A,FALSE,"Qtr-Op (Mng)";"Qtr Op Rpt Q2",#N/A,FALSE,"Qtr-Op (Rpt)";"Operating Vs Reported",#N/A,FALSE,"Rpt-Op Inc"}</definedName>
    <definedName name="q" localSheetId="19" hidden="1">{"Qtr Op Mgd Q2",#N/A,FALSE,"Qtr-Op (Mng)";"Qtr Op Rpt Q2",#N/A,FALSE,"Qtr-Op (Rpt)";"Operating Vs Reported",#N/A,FALSE,"Rpt-Op Inc"}</definedName>
    <definedName name="q" localSheetId="18" hidden="1">{"Qtr Op Mgd Q2",#N/A,FALSE,"Qtr-Op (Mng)";"Qtr Op Rpt Q2",#N/A,FALSE,"Qtr-Op (Rpt)";"Operating Vs Reported",#N/A,FALSE,"Rpt-Op Inc"}</definedName>
    <definedName name="q" hidden="1">{"Qtr Op Mgd Q2",#N/A,FALSE,"Qtr-Op (Mng)";"Qtr Op Rpt Q2",#N/A,FALSE,"Qtr-Op (Rpt)";"Operating Vs Reported",#N/A,FALSE,"Rpt-Op Inc"}</definedName>
    <definedName name="qa" localSheetId="5" hidden="1">{"comps",#N/A,FALSE,"TXTCOMPS";"segment_EPS",#N/A,FALSE,"TXTCOMPS";"valuation",#N/A,FALSE,"TXTCOMPS"}</definedName>
    <definedName name="qa" localSheetId="16" hidden="1">{"comps",#N/A,FALSE,"TXTCOMPS";"segment_EPS",#N/A,FALSE,"TXTCOMPS";"valuation",#N/A,FALSE,"TXTCOMPS"}</definedName>
    <definedName name="qa" localSheetId="19" hidden="1">{"comps",#N/A,FALSE,"TXTCOMPS";"segment_EPS",#N/A,FALSE,"TXTCOMPS";"valuation",#N/A,FALSE,"TXTCOMPS"}</definedName>
    <definedName name="qa" localSheetId="18" hidden="1">{"comps",#N/A,FALSE,"TXTCOMPS";"segment_EPS",#N/A,FALSE,"TXTCOMPS";"valuation",#N/A,FALSE,"TXTCOMPS"}</definedName>
    <definedName name="qa" hidden="1">{"comps",#N/A,FALSE,"TXTCOMPS";"segment_EPS",#N/A,FALSE,"TXTCOMPS";"valuation",#N/A,FALSE,"TXTCOMPS"}</definedName>
    <definedName name="qd" localSheetId="5" hidden="1">{"comps",#N/A,FALSE,"TXTCOMPS"}</definedName>
    <definedName name="qd" localSheetId="16" hidden="1">{"comps",#N/A,FALSE,"TXTCOMPS"}</definedName>
    <definedName name="qd" localSheetId="19" hidden="1">{"comps",#N/A,FALSE,"TXTCOMPS"}</definedName>
    <definedName name="qd" localSheetId="18" hidden="1">{"comps",#N/A,FALSE,"TXTCOMPS"}</definedName>
    <definedName name="qd" hidden="1">{"comps",#N/A,FALSE,"TXTCOMPS"}</definedName>
    <definedName name="qf" localSheetId="5" hidden="1">{"segment_EPS",#N/A,FALSE,"TXTCOMPS"}</definedName>
    <definedName name="qf" localSheetId="16" hidden="1">{"segment_EPS",#N/A,FALSE,"TXTCOMPS"}</definedName>
    <definedName name="qf" localSheetId="19" hidden="1">{"segment_EPS",#N/A,FALSE,"TXTCOMPS"}</definedName>
    <definedName name="qf" localSheetId="18" hidden="1">{"segment_EPS",#N/A,FALSE,"TXTCOMPS"}</definedName>
    <definedName name="qf" hidden="1">{"segment_EPS",#N/A,FALSE,"TXTCOMPS"}</definedName>
    <definedName name="qg" localSheetId="5" hidden="1">{"valuation",#N/A,FALSE,"TXTCOMPS"}</definedName>
    <definedName name="qg" localSheetId="16" hidden="1">{"valuation",#N/A,FALSE,"TXTCOMPS"}</definedName>
    <definedName name="qg" localSheetId="19" hidden="1">{"valuation",#N/A,FALSE,"TXTCOMPS"}</definedName>
    <definedName name="qg" localSheetId="18" hidden="1">{"valuation",#N/A,FALSE,"TXTCOMPS"}</definedName>
    <definedName name="qg" hidden="1">{"valuation",#N/A,FALSE,"TXTCOMPS"}</definedName>
    <definedName name="qs" localSheetId="5" hidden="1">{"valuation",#N/A,FALSE,"TXTCOMPS"}</definedName>
    <definedName name="qs" localSheetId="16" hidden="1">{"valuation",#N/A,FALSE,"TXTCOMPS"}</definedName>
    <definedName name="qs" localSheetId="19" hidden="1">{"valuation",#N/A,FALSE,"TXTCOMPS"}</definedName>
    <definedName name="qs" localSheetId="18" hidden="1">{"valuation",#N/A,FALSE,"TXTCOMPS"}</definedName>
    <definedName name="qs" hidden="1">{"valuation",#N/A,FALSE,"TXTCOMPS"}</definedName>
    <definedName name="rep" localSheetId="6" hidden="1">{#N/A,#N/A,FALSE,"COVER";#N/A,#N/A,FALSE,"VALUATION";#N/A,#N/A,FALSE,"FORECAST";#N/A,#N/A,FALSE,"FY ANALYSIS ";#N/A,#N/A,FALSE," HY ANALYSIS"}</definedName>
    <definedName name="rep" localSheetId="3" hidden="1">{#N/A,#N/A,FALSE,"COVER";#N/A,#N/A,FALSE,"VALUATION";#N/A,#N/A,FALSE,"FORECAST";#N/A,#N/A,FALSE,"FY ANALYSIS ";#N/A,#N/A,FALSE," HY ANALYSIS"}</definedName>
    <definedName name="rep" localSheetId="5" hidden="1">{#N/A,#N/A,FALSE,"COVER";#N/A,#N/A,FALSE,"VALUATION";#N/A,#N/A,FALSE,"FORECAST";#N/A,#N/A,FALSE,"FY ANALYSIS ";#N/A,#N/A,FALSE," HY ANALYSIS"}</definedName>
    <definedName name="rep" localSheetId="10" hidden="1">{#N/A,#N/A,FALSE,"COVER";#N/A,#N/A,FALSE,"VALUATION";#N/A,#N/A,FALSE,"FORECAST";#N/A,#N/A,FALSE,"FY ANALYSIS ";#N/A,#N/A,FALSE," HY ANALYSIS"}</definedName>
    <definedName name="rep" localSheetId="16" hidden="1">{#N/A,#N/A,FALSE,"COVER";#N/A,#N/A,FALSE,"VALUATION";#N/A,#N/A,FALSE,"FORECAST";#N/A,#N/A,FALSE,"FY ANALYSIS ";#N/A,#N/A,FALSE," HY ANALYSIS"}</definedName>
    <definedName name="rep" localSheetId="19" hidden="1">{#N/A,#N/A,FALSE,"COVER";#N/A,#N/A,FALSE,"VALUATION";#N/A,#N/A,FALSE,"FORECAST";#N/A,#N/A,FALSE,"FY ANALYSIS ";#N/A,#N/A,FALSE," HY ANALYSIS"}</definedName>
    <definedName name="rep" localSheetId="18" hidden="1">{#N/A,#N/A,FALSE,"COVER";#N/A,#N/A,FALSE,"VALUATION";#N/A,#N/A,FALSE,"FORECAST";#N/A,#N/A,FALSE,"FY ANALYSIS ";#N/A,#N/A,FALSE," HY ANALYSIS"}</definedName>
    <definedName name="rep" hidden="1">{#N/A,#N/A,FALSE,"COVER";#N/A,#N/A,FALSE,"VALUATION";#N/A,#N/A,FALSE,"FORECAST";#N/A,#N/A,FALSE,"FY ANALYSIS ";#N/A,#N/A,FALSE," HY ANALYSIS"}</definedName>
    <definedName name="resss" localSheetId="5" hidden="1">{"comps",#N/A,FALSE,"TXTCOMPS";"segment_EPS",#N/A,FALSE,"TXTCOMPS";"valuation",#N/A,FALSE,"TXTCOMPS"}</definedName>
    <definedName name="resss" localSheetId="16" hidden="1">{"comps",#N/A,FALSE,"TXTCOMPS";"segment_EPS",#N/A,FALSE,"TXTCOMPS";"valuation",#N/A,FALSE,"TXTCOMPS"}</definedName>
    <definedName name="resss" localSheetId="19" hidden="1">{"comps",#N/A,FALSE,"TXTCOMPS";"segment_EPS",#N/A,FALSE,"TXTCOMPS";"valuation",#N/A,FALSE,"TXTCOMPS"}</definedName>
    <definedName name="resss" localSheetId="18" hidden="1">{"comps",#N/A,FALSE,"TXTCOMPS";"segment_EPS",#N/A,FALSE,"TXTCOMPS";"valuation",#N/A,FALSE,"TXTCOMPS"}</definedName>
    <definedName name="resss" hidden="1">{"comps",#N/A,FALSE,"TXTCOMPS";"segment_EPS",#N/A,FALSE,"TXTCOMPS";"valuation",#N/A,FALSE,"TXTCOMPS"}</definedName>
    <definedName name="RT" localSheetId="5" hidden="1">{"segment_EPS",#N/A,FALSE,"TXTCOMPS"}</definedName>
    <definedName name="RT" localSheetId="16" hidden="1">{"segment_EPS",#N/A,FALSE,"TXTCOMPS"}</definedName>
    <definedName name="RT" localSheetId="19" hidden="1">{"segment_EPS",#N/A,FALSE,"TXTCOMPS"}</definedName>
    <definedName name="RT" localSheetId="18" hidden="1">{"segment_EPS",#N/A,FALSE,"TXTCOMPS"}</definedName>
    <definedName name="RT" hidden="1">{"segment_EPS",#N/A,FALSE,"TXTCOMPS"}</definedName>
    <definedName name="s" localSheetId="5" hidden="1">{"segment_EPS",#N/A,FALSE,"TXTCOMPS"}</definedName>
    <definedName name="s" localSheetId="16" hidden="1">{"segment_EPS",#N/A,FALSE,"TXTCOMPS"}</definedName>
    <definedName name="s" localSheetId="19" hidden="1">{"segment_EPS",#N/A,FALSE,"TXTCOMPS"}</definedName>
    <definedName name="s" localSheetId="18" hidden="1">{"segment_EPS",#N/A,FALSE,"TXTCOMPS"}</definedName>
    <definedName name="s" hidden="1">{"segment_EPS",#N/A,FALSE,"TXTCOMPS"}</definedName>
    <definedName name="SAPBEXrevision" hidden="1">12</definedName>
    <definedName name="SAPBEXsysID" hidden="1">"BW1"</definedName>
    <definedName name="SAPBEXwbID" hidden="1">"EXVQ7024UZF98DYY6FAM7GVXF"</definedName>
    <definedName name="sds" localSheetId="5" hidden="1">{"'보고양식'!$A$58:$K$111"}</definedName>
    <definedName name="sds" localSheetId="16" hidden="1">{"'보고양식'!$A$58:$K$111"}</definedName>
    <definedName name="sds" localSheetId="19" hidden="1">{"'보고양식'!$A$58:$K$111"}</definedName>
    <definedName name="sds" localSheetId="18" hidden="1">{"'보고양식'!$A$58:$K$111"}</definedName>
    <definedName name="sds" hidden="1">{"'보고양식'!$A$58:$K$111"}</definedName>
    <definedName name="seg" localSheetId="5" hidden="1">{"segment_EPS",#N/A,FALSE,"TXTCOMPS"}</definedName>
    <definedName name="seg" localSheetId="16" hidden="1">{"segment_EPS",#N/A,FALSE,"TXTCOMPS"}</definedName>
    <definedName name="seg" localSheetId="19" hidden="1">{"segment_EPS",#N/A,FALSE,"TXTCOMPS"}</definedName>
    <definedName name="seg" localSheetId="18" hidden="1">{"segment_EPS",#N/A,FALSE,"TXTCOMPS"}</definedName>
    <definedName name="seg" hidden="1">{"segment_EPS",#N/A,FALSE,"TXTCOMPS"}</definedName>
    <definedName name="sencount" hidden="1">1</definedName>
    <definedName name="shrs" localSheetId="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1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1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localSheetId="1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hrs"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solver_lin" hidden="1">0</definedName>
    <definedName name="solver_num" hidden="1">0</definedName>
    <definedName name="solver_typ" hidden="1">3</definedName>
    <definedName name="solver_val" hidden="1">0.6</definedName>
    <definedName name="ssss" localSheetId="6" hidden="1">{#N/A,#N/A,FALSE,"Report Print"}</definedName>
    <definedName name="ssss" localSheetId="3" hidden="1">{#N/A,#N/A,FALSE,"Report Print"}</definedName>
    <definedName name="ssss" localSheetId="5" hidden="1">{#N/A,#N/A,FALSE,"Report Print"}</definedName>
    <definedName name="ssss" localSheetId="10" hidden="1">{#N/A,#N/A,FALSE,"Report Print"}</definedName>
    <definedName name="ssss" localSheetId="16" hidden="1">{#N/A,#N/A,FALSE,"Report Print"}</definedName>
    <definedName name="ssss" localSheetId="19" hidden="1">{#N/A,#N/A,FALSE,"Report Print"}</definedName>
    <definedName name="ssss" localSheetId="18" hidden="1">{#N/A,#N/A,FALSE,"Report Print"}</definedName>
    <definedName name="ssss" hidden="1">{#N/A,#N/A,FALSE,"Report Print"}</definedName>
    <definedName name="Surprise2" localSheetId="6" hidden="1">{"INCSTMT1",#N/A,FALSE,"COR";"INCSTMT2",#N/A,FALSE,"COR"}</definedName>
    <definedName name="Surprise2" localSheetId="3" hidden="1">{"INCSTMT1",#N/A,FALSE,"COR";"INCSTMT2",#N/A,FALSE,"COR"}</definedName>
    <definedName name="Surprise2" localSheetId="5" hidden="1">{"INCSTMT1",#N/A,FALSE,"COR";"INCSTMT2",#N/A,FALSE,"COR"}</definedName>
    <definedName name="Surprise2" localSheetId="10" hidden="1">{"INCSTMT1",#N/A,FALSE,"COR";"INCSTMT2",#N/A,FALSE,"COR"}</definedName>
    <definedName name="Surprise2" localSheetId="16" hidden="1">{"INCSTMT1",#N/A,FALSE,"COR";"INCSTMT2",#N/A,FALSE,"COR"}</definedName>
    <definedName name="Surprise2" localSheetId="19" hidden="1">{"INCSTMT1",#N/A,FALSE,"COR";"INCSTMT2",#N/A,FALSE,"COR"}</definedName>
    <definedName name="Surprise2" localSheetId="18" hidden="1">{"INCSTMT1",#N/A,FALSE,"COR";"INCSTMT2",#N/A,FALSE,"COR"}</definedName>
    <definedName name="Surprise2" hidden="1">{"INCSTMT1",#N/A,FALSE,"COR";"INCSTMT2",#N/A,FALSE,"COR"}</definedName>
    <definedName name="t" localSheetId="6" hidden="1">{"INCSTMT1",#N/A,FALSE,"COR";"INCSTMT2",#N/A,FALSE,"COR"}</definedName>
    <definedName name="t" localSheetId="3" hidden="1">{"INCSTMT1",#N/A,FALSE,"COR";"INCSTMT2",#N/A,FALSE,"COR"}</definedName>
    <definedName name="t" localSheetId="5" hidden="1">{"segment_EPS",#N/A,FALSE,"TXTCOMPS"}</definedName>
    <definedName name="t" localSheetId="10" hidden="1">{"INCSTMT1",#N/A,FALSE,"COR";"INCSTMT2",#N/A,FALSE,"COR"}</definedName>
    <definedName name="t" localSheetId="16" hidden="1">{"INCSTMT1",#N/A,FALSE,"COR";"INCSTMT2",#N/A,FALSE,"COR"}</definedName>
    <definedName name="t" localSheetId="19" hidden="1">{"INCSTMT1",#N/A,FALSE,"COR";"INCSTMT2",#N/A,FALSE,"COR"}</definedName>
    <definedName name="t" localSheetId="18" hidden="1">{"INCSTMT1",#N/A,FALSE,"COR";"INCSTMT2",#N/A,FALSE,"COR"}</definedName>
    <definedName name="t" hidden="1">{"segment_EPS",#N/A,FALSE,"TXTCOMPS"}</definedName>
    <definedName name="TEST" localSheetId="6" hidden="1">{#N/A,#N/A,FALSE,"COVER";#N/A,#N/A,FALSE,"PF ASSUMPT";#N/A,#N/A,FALSE,"PF EPS";#N/A,#N/A,FALSE,"CASHFLOWS";#N/A,#N/A,FALSE,"BALANCESHEET"}</definedName>
    <definedName name="TEST" localSheetId="3" hidden="1">{#N/A,#N/A,FALSE,"COVER";#N/A,#N/A,FALSE,"PF ASSUMPT";#N/A,#N/A,FALSE,"PF EPS";#N/A,#N/A,FALSE,"CASHFLOWS";#N/A,#N/A,FALSE,"BALANCESHEET"}</definedName>
    <definedName name="TEST" localSheetId="5" hidden="1">{#N/A,#N/A,FALSE,"COVER";#N/A,#N/A,FALSE,"PF ASSUMPT";#N/A,#N/A,FALSE,"PF EPS";#N/A,#N/A,FALSE,"CASHFLOWS";#N/A,#N/A,FALSE,"BALANCESHEET"}</definedName>
    <definedName name="TEST" localSheetId="10" hidden="1">{#N/A,#N/A,FALSE,"COVER";#N/A,#N/A,FALSE,"PF ASSUMPT";#N/A,#N/A,FALSE,"PF EPS";#N/A,#N/A,FALSE,"CASHFLOWS";#N/A,#N/A,FALSE,"BALANCESHEET"}</definedName>
    <definedName name="TEST" localSheetId="16" hidden="1">{#N/A,#N/A,FALSE,"COVER";#N/A,#N/A,FALSE,"PF ASSUMPT";#N/A,#N/A,FALSE,"PF EPS";#N/A,#N/A,FALSE,"CASHFLOWS";#N/A,#N/A,FALSE,"BALANCESHEET"}</definedName>
    <definedName name="TEST" localSheetId="19" hidden="1">{#N/A,#N/A,FALSE,"COVER";#N/A,#N/A,FALSE,"PF ASSUMPT";#N/A,#N/A,FALSE,"PF EPS";#N/A,#N/A,FALSE,"CASHFLOWS";#N/A,#N/A,FALSE,"BALANCESHEET"}</definedName>
    <definedName name="TEST" localSheetId="18" hidden="1">{#N/A,#N/A,FALSE,"COVER";#N/A,#N/A,FALSE,"PF ASSUMPT";#N/A,#N/A,FALSE,"PF EPS";#N/A,#N/A,FALSE,"CASHFLOWS";#N/A,#N/A,FALSE,"BALANCESHEET"}</definedName>
    <definedName name="TEST" hidden="1">{#N/A,#N/A,FALSE,"COVER";#N/A,#N/A,FALSE,"PF ASSUMPT";#N/A,#N/A,FALSE,"PF EPS";#N/A,#N/A,FALSE,"CASHFLOWS";#N/A,#N/A,FALSE,"BALANCESHEET"}</definedName>
    <definedName name="test1" localSheetId="6" hidden="1">{#N/A,#N/A,FALSE,"COVER";#N/A,#N/A,FALSE,"PF ASSUMPT";#N/A,#N/A,FALSE,"PF EPS";#N/A,#N/A,FALSE,"CASHFLOWS";#N/A,#N/A,FALSE,"BALANCESHEET"}</definedName>
    <definedName name="test1" localSheetId="3" hidden="1">{#N/A,#N/A,FALSE,"COVER";#N/A,#N/A,FALSE,"PF ASSUMPT";#N/A,#N/A,FALSE,"PF EPS";#N/A,#N/A,FALSE,"CASHFLOWS";#N/A,#N/A,FALSE,"BALANCESHEET"}</definedName>
    <definedName name="test1" localSheetId="5" hidden="1">{#N/A,#N/A,FALSE,"COVER";#N/A,#N/A,FALSE,"PF ASSUMPT";#N/A,#N/A,FALSE,"PF EPS";#N/A,#N/A,FALSE,"CASHFLOWS";#N/A,#N/A,FALSE,"BALANCESHEET"}</definedName>
    <definedName name="test1" localSheetId="10" hidden="1">{#N/A,#N/A,FALSE,"COVER";#N/A,#N/A,FALSE,"PF ASSUMPT";#N/A,#N/A,FALSE,"PF EPS";#N/A,#N/A,FALSE,"CASHFLOWS";#N/A,#N/A,FALSE,"BALANCESHEET"}</definedName>
    <definedName name="test1" localSheetId="16" hidden="1">{#N/A,#N/A,FALSE,"COVER";#N/A,#N/A,FALSE,"PF ASSUMPT";#N/A,#N/A,FALSE,"PF EPS";#N/A,#N/A,FALSE,"CASHFLOWS";#N/A,#N/A,FALSE,"BALANCESHEET"}</definedName>
    <definedName name="test1" localSheetId="19" hidden="1">{#N/A,#N/A,FALSE,"COVER";#N/A,#N/A,FALSE,"PF ASSUMPT";#N/A,#N/A,FALSE,"PF EPS";#N/A,#N/A,FALSE,"CASHFLOWS";#N/A,#N/A,FALSE,"BALANCESHEET"}</definedName>
    <definedName name="test1" localSheetId="18" hidden="1">{#N/A,#N/A,FALSE,"COVER";#N/A,#N/A,FALSE,"PF ASSUMPT";#N/A,#N/A,FALSE,"PF EPS";#N/A,#N/A,FALSE,"CASHFLOWS";#N/A,#N/A,FALSE,"BALANCESHEET"}</definedName>
    <definedName name="test1" hidden="1">{#N/A,#N/A,FALSE,"COVER";#N/A,#N/A,FALSE,"PF ASSUMPT";#N/A,#N/A,FALSE,"PF EPS";#N/A,#N/A,FALSE,"CASHFLOWS";#N/A,#N/A,FALSE,"BALANCESHEET"}</definedName>
    <definedName name="Test3" localSheetId="6" hidden="1">{#N/A,#N/A,FALSE,"ASSUMPTIONS";#N/A,#N/A,FALSE,"EPSMODEL";#N/A,#N/A,FALSE,"CASHFLOWS";#N/A,#N/A,FALSE,"BALANCESHEET"}</definedName>
    <definedName name="Test3" localSheetId="3" hidden="1">{#N/A,#N/A,FALSE,"ASSUMPTIONS";#N/A,#N/A,FALSE,"EPSMODEL";#N/A,#N/A,FALSE,"CASHFLOWS";#N/A,#N/A,FALSE,"BALANCESHEET"}</definedName>
    <definedName name="Test3" localSheetId="5" hidden="1">{#N/A,#N/A,FALSE,"ASSUMPTIONS";#N/A,#N/A,FALSE,"EPSMODEL";#N/A,#N/A,FALSE,"CASHFLOWS";#N/A,#N/A,FALSE,"BALANCESHEET"}</definedName>
    <definedName name="Test3" localSheetId="10" hidden="1">{#N/A,#N/A,FALSE,"ASSUMPTIONS";#N/A,#N/A,FALSE,"EPSMODEL";#N/A,#N/A,FALSE,"CASHFLOWS";#N/A,#N/A,FALSE,"BALANCESHEET"}</definedName>
    <definedName name="Test3" localSheetId="16" hidden="1">{#N/A,#N/A,FALSE,"ASSUMPTIONS";#N/A,#N/A,FALSE,"EPSMODEL";#N/A,#N/A,FALSE,"CASHFLOWS";#N/A,#N/A,FALSE,"BALANCESHEET"}</definedName>
    <definedName name="Test3" localSheetId="19" hidden="1">{#N/A,#N/A,FALSE,"ASSUMPTIONS";#N/A,#N/A,FALSE,"EPSMODEL";#N/A,#N/A,FALSE,"CASHFLOWS";#N/A,#N/A,FALSE,"BALANCESHEET"}</definedName>
    <definedName name="Test3" localSheetId="18" hidden="1">{#N/A,#N/A,FALSE,"ASSUMPTIONS";#N/A,#N/A,FALSE,"EPSMODEL";#N/A,#N/A,FALSE,"CASHFLOWS";#N/A,#N/A,FALSE,"BALANCESHEET"}</definedName>
    <definedName name="Test3" hidden="1">{#N/A,#N/A,FALSE,"ASSUMPTIONS";#N/A,#N/A,FALSE,"EPSMODEL";#N/A,#N/A,FALSE,"CASHFLOWS";#N/A,#N/A,FALSE,"BALANCESHEET"}</definedName>
    <definedName name="test4" localSheetId="6" hidden="1">{#N/A,#N/A,FALSE,"ASSUMPTIONS";#N/A,#N/A,FALSE,"EPSMODEL";#N/A,#N/A,FALSE,"CASHFLOWS";#N/A,#N/A,FALSE,"BALANCESHEET"}</definedName>
    <definedName name="test4" localSheetId="3" hidden="1">{#N/A,#N/A,FALSE,"ASSUMPTIONS";#N/A,#N/A,FALSE,"EPSMODEL";#N/A,#N/A,FALSE,"CASHFLOWS";#N/A,#N/A,FALSE,"BALANCESHEET"}</definedName>
    <definedName name="test4" localSheetId="5" hidden="1">{#N/A,#N/A,FALSE,"ASSUMPTIONS";#N/A,#N/A,FALSE,"EPSMODEL";#N/A,#N/A,FALSE,"CASHFLOWS";#N/A,#N/A,FALSE,"BALANCESHEET"}</definedName>
    <definedName name="test4" localSheetId="10" hidden="1">{#N/A,#N/A,FALSE,"ASSUMPTIONS";#N/A,#N/A,FALSE,"EPSMODEL";#N/A,#N/A,FALSE,"CASHFLOWS";#N/A,#N/A,FALSE,"BALANCESHEET"}</definedName>
    <definedName name="test4" localSheetId="16" hidden="1">{#N/A,#N/A,FALSE,"ASSUMPTIONS";#N/A,#N/A,FALSE,"EPSMODEL";#N/A,#N/A,FALSE,"CASHFLOWS";#N/A,#N/A,FALSE,"BALANCESHEET"}</definedName>
    <definedName name="test4" localSheetId="19" hidden="1">{#N/A,#N/A,FALSE,"ASSUMPTIONS";#N/A,#N/A,FALSE,"EPSMODEL";#N/A,#N/A,FALSE,"CASHFLOWS";#N/A,#N/A,FALSE,"BALANCESHEET"}</definedName>
    <definedName name="test4" localSheetId="18" hidden="1">{#N/A,#N/A,FALSE,"ASSUMPTIONS";#N/A,#N/A,FALSE,"EPSMODEL";#N/A,#N/A,FALSE,"CASHFLOWS";#N/A,#N/A,FALSE,"BALANCESHEET"}</definedName>
    <definedName name="test4" hidden="1">{#N/A,#N/A,FALSE,"ASSUMPTIONS";#N/A,#N/A,FALSE,"EPSMODEL";#N/A,#N/A,FALSE,"CASHFLOWS";#N/A,#N/A,FALSE,"BALANCESHEET"}</definedName>
    <definedName name="TRI" localSheetId="6" hidden="1">{#N/A,#N/A,FALSE,"COVER";#N/A,#N/A,FALSE,"PF ASSUMPT";#N/A,#N/A,FALSE,"PF EPS";#N/A,#N/A,FALSE,"CASHFLOWS";#N/A,#N/A,FALSE,"BALANCESHEET"}</definedName>
    <definedName name="TRI" localSheetId="3" hidden="1">{#N/A,#N/A,FALSE,"COVER";#N/A,#N/A,FALSE,"PF ASSUMPT";#N/A,#N/A,FALSE,"PF EPS";#N/A,#N/A,FALSE,"CASHFLOWS";#N/A,#N/A,FALSE,"BALANCESHEET"}</definedName>
    <definedName name="TRI" localSheetId="5" hidden="1">{#N/A,#N/A,FALSE,"COVER";#N/A,#N/A,FALSE,"PF ASSUMPT";#N/A,#N/A,FALSE,"PF EPS";#N/A,#N/A,FALSE,"CASHFLOWS";#N/A,#N/A,FALSE,"BALANCESHEET"}</definedName>
    <definedName name="TRI" localSheetId="10" hidden="1">{#N/A,#N/A,FALSE,"COVER";#N/A,#N/A,FALSE,"PF ASSUMPT";#N/A,#N/A,FALSE,"PF EPS";#N/A,#N/A,FALSE,"CASHFLOWS";#N/A,#N/A,FALSE,"BALANCESHEET"}</definedName>
    <definedName name="TRI" localSheetId="16" hidden="1">{#N/A,#N/A,FALSE,"COVER";#N/A,#N/A,FALSE,"PF ASSUMPT";#N/A,#N/A,FALSE,"PF EPS";#N/A,#N/A,FALSE,"CASHFLOWS";#N/A,#N/A,FALSE,"BALANCESHEET"}</definedName>
    <definedName name="TRI" localSheetId="19" hidden="1">{#N/A,#N/A,FALSE,"COVER";#N/A,#N/A,FALSE,"PF ASSUMPT";#N/A,#N/A,FALSE,"PF EPS";#N/A,#N/A,FALSE,"CASHFLOWS";#N/A,#N/A,FALSE,"BALANCESHEET"}</definedName>
    <definedName name="TRI" localSheetId="18" hidden="1">{#N/A,#N/A,FALSE,"COVER";#N/A,#N/A,FALSE,"PF ASSUMPT";#N/A,#N/A,FALSE,"PF EPS";#N/A,#N/A,FALSE,"CASHFLOWS";#N/A,#N/A,FALSE,"BALANCESHEET"}</definedName>
    <definedName name="TRI" hidden="1">{#N/A,#N/A,FALSE,"COVER";#N/A,#N/A,FALSE,"PF ASSUMPT";#N/A,#N/A,FALSE,"PF EPS";#N/A,#N/A,FALSE,"CASHFLOWS";#N/A,#N/A,FALSE,"BALANCESHEET"}</definedName>
    <definedName name="TRItwo" localSheetId="6" hidden="1">{#N/A,#N/A,FALSE,"COVER";#N/A,#N/A,FALSE,"PF ASSUMPT";#N/A,#N/A,FALSE,"PF EPS";#N/A,#N/A,FALSE,"CASHFLOWS";#N/A,#N/A,FALSE,"BALANCESHEET"}</definedName>
    <definedName name="TRItwo" localSheetId="3" hidden="1">{#N/A,#N/A,FALSE,"COVER";#N/A,#N/A,FALSE,"PF ASSUMPT";#N/A,#N/A,FALSE,"PF EPS";#N/A,#N/A,FALSE,"CASHFLOWS";#N/A,#N/A,FALSE,"BALANCESHEET"}</definedName>
    <definedName name="TRItwo" localSheetId="5" hidden="1">{#N/A,#N/A,FALSE,"COVER";#N/A,#N/A,FALSE,"PF ASSUMPT";#N/A,#N/A,FALSE,"PF EPS";#N/A,#N/A,FALSE,"CASHFLOWS";#N/A,#N/A,FALSE,"BALANCESHEET"}</definedName>
    <definedName name="TRItwo" localSheetId="10" hidden="1">{#N/A,#N/A,FALSE,"COVER";#N/A,#N/A,FALSE,"PF ASSUMPT";#N/A,#N/A,FALSE,"PF EPS";#N/A,#N/A,FALSE,"CASHFLOWS";#N/A,#N/A,FALSE,"BALANCESHEET"}</definedName>
    <definedName name="TRItwo" localSheetId="16" hidden="1">{#N/A,#N/A,FALSE,"COVER";#N/A,#N/A,FALSE,"PF ASSUMPT";#N/A,#N/A,FALSE,"PF EPS";#N/A,#N/A,FALSE,"CASHFLOWS";#N/A,#N/A,FALSE,"BALANCESHEET"}</definedName>
    <definedName name="TRItwo" localSheetId="19" hidden="1">{#N/A,#N/A,FALSE,"COVER";#N/A,#N/A,FALSE,"PF ASSUMPT";#N/A,#N/A,FALSE,"PF EPS";#N/A,#N/A,FALSE,"CASHFLOWS";#N/A,#N/A,FALSE,"BALANCESHEET"}</definedName>
    <definedName name="TRItwo" localSheetId="18" hidden="1">{#N/A,#N/A,FALSE,"COVER";#N/A,#N/A,FALSE,"PF ASSUMPT";#N/A,#N/A,FALSE,"PF EPS";#N/A,#N/A,FALSE,"CASHFLOWS";#N/A,#N/A,FALSE,"BALANCESHEET"}</definedName>
    <definedName name="TRItwo" hidden="1">{#N/A,#N/A,FALSE,"COVER";#N/A,#N/A,FALSE,"PF ASSUMPT";#N/A,#N/A,FALSE,"PF EPS";#N/A,#N/A,FALSE,"CASHFLOWS";#N/A,#N/A,FALSE,"BALANCESHEET"}</definedName>
    <definedName name="tyui" localSheetId="5" hidden="1">{"valuation",#N/A,FALSE,"TXTCOMPS"}</definedName>
    <definedName name="tyui" localSheetId="16" hidden="1">{"valuation",#N/A,FALSE,"TXTCOMPS"}</definedName>
    <definedName name="tyui" localSheetId="19" hidden="1">{"valuation",#N/A,FALSE,"TXTCOMPS"}</definedName>
    <definedName name="tyui" localSheetId="18" hidden="1">{"valuation",#N/A,FALSE,"TXTCOMPS"}</definedName>
    <definedName name="tyui" hidden="1">{"valuation",#N/A,FALSE,"TXTCOMPS"}</definedName>
    <definedName name="u" localSheetId="5" hidden="1">{"valuation",#N/A,FALSE,"TXTCOMPS"}</definedName>
    <definedName name="u" localSheetId="16" hidden="1">{"valuation",#N/A,FALSE,"TXTCOMPS"}</definedName>
    <definedName name="u" localSheetId="19" hidden="1">{"valuation",#N/A,FALSE,"TXTCOMPS"}</definedName>
    <definedName name="u" localSheetId="18" hidden="1">{"valuation",#N/A,FALSE,"TXTCOMPS"}</definedName>
    <definedName name="u" hidden="1">{"valuation",#N/A,FALSE,"TXTCOMPS"}</definedName>
    <definedName name="v" localSheetId="6" hidden="1">[31]ｾｸﾞﾒﾝﾄ!$E$164:$I$164</definedName>
    <definedName name="v" localSheetId="3" hidden="1">[31]ｾｸﾞﾒﾝﾄ!$E$164:$I$164</definedName>
    <definedName name="v" localSheetId="5" hidden="1">{"valuation",#N/A,FALSE,"TXTCOMPS"}</definedName>
    <definedName name="v" localSheetId="10" hidden="1">[31]ｾｸﾞﾒﾝﾄ!$E$164:$I$164</definedName>
    <definedName name="v" hidden="1">{"valuation",#N/A,FALSE,"TXTCOMPS"}</definedName>
    <definedName name="va" localSheetId="5" hidden="1">{"valuation",#N/A,FALSE,"TXTCOMPS"}</definedName>
    <definedName name="va" localSheetId="16" hidden="1">{"valuation",#N/A,FALSE,"TXTCOMPS"}</definedName>
    <definedName name="va" localSheetId="19" hidden="1">{"valuation",#N/A,FALSE,"TXTCOMPS"}</definedName>
    <definedName name="va" localSheetId="18" hidden="1">{"valuation",#N/A,FALSE,"TXTCOMPS"}</definedName>
    <definedName name="va" hidden="1">{"valuation",#N/A,FALSE,"TXTCOMPS"}</definedName>
    <definedName name="Valuation" localSheetId="6" hidden="1">{#N/A,#N/A,FALSE,"COVER";#N/A,#N/A,FALSE,"ASSUMPTIONS";#N/A,#N/A,FALSE,"EPSMODEL";#N/A,#N/A,FALSE,"CASHFLOWS";#N/A,#N/A,FALSE,"BALANCESHEET"}</definedName>
    <definedName name="Valuation" localSheetId="3" hidden="1">{#N/A,#N/A,FALSE,"COVER";#N/A,#N/A,FALSE,"ASSUMPTIONS";#N/A,#N/A,FALSE,"EPSMODEL";#N/A,#N/A,FALSE,"CASHFLOWS";#N/A,#N/A,FALSE,"BALANCESHEET"}</definedName>
    <definedName name="Valuation" localSheetId="5" hidden="1">{#N/A,#N/A,FALSE,"COVER";#N/A,#N/A,FALSE,"ASSUMPTIONS";#N/A,#N/A,FALSE,"EPSMODEL";#N/A,#N/A,FALSE,"CASHFLOWS";#N/A,#N/A,FALSE,"BALANCESHEET"}</definedName>
    <definedName name="Valuation" localSheetId="10" hidden="1">{#N/A,#N/A,FALSE,"COVER";#N/A,#N/A,FALSE,"ASSUMPTIONS";#N/A,#N/A,FALSE,"EPSMODEL";#N/A,#N/A,FALSE,"CASHFLOWS";#N/A,#N/A,FALSE,"BALANCESHEET"}</definedName>
    <definedName name="Valuation" localSheetId="16" hidden="1">{#N/A,#N/A,FALSE,"COVER";#N/A,#N/A,FALSE,"ASSUMPTIONS";#N/A,#N/A,FALSE,"EPSMODEL";#N/A,#N/A,FALSE,"CASHFLOWS";#N/A,#N/A,FALSE,"BALANCESHEET"}</definedName>
    <definedName name="Valuation" localSheetId="19" hidden="1">{#N/A,#N/A,FALSE,"COVER";#N/A,#N/A,FALSE,"ASSUMPTIONS";#N/A,#N/A,FALSE,"EPSMODEL";#N/A,#N/A,FALSE,"CASHFLOWS";#N/A,#N/A,FALSE,"BALANCESHEET"}</definedName>
    <definedName name="Valuation" localSheetId="18" hidden="1">{#N/A,#N/A,FALSE,"COVER";#N/A,#N/A,FALSE,"ASSUMPTIONS";#N/A,#N/A,FALSE,"EPSMODEL";#N/A,#N/A,FALSE,"CASHFLOWS";#N/A,#N/A,FALSE,"BALANCESHEET"}</definedName>
    <definedName name="Valuation" hidden="1">{#N/A,#N/A,FALSE,"COVER";#N/A,#N/A,FALSE,"ASSUMPTIONS";#N/A,#N/A,FALSE,"EPSMODEL";#N/A,#N/A,FALSE,"CASHFLOWS";#N/A,#N/A,FALSE,"BALANCESHEET"}</definedName>
    <definedName name="Valuation1" localSheetId="6" hidden="1">{#N/A,#N/A,FALSE,"COVER";#N/A,#N/A,FALSE,"ASSUMPTIONS";#N/A,#N/A,FALSE,"EPSMODEL";#N/A,#N/A,FALSE,"CASHFLOWS";#N/A,#N/A,FALSE,"BALANCESHEET"}</definedName>
    <definedName name="Valuation1" localSheetId="3" hidden="1">{#N/A,#N/A,FALSE,"COVER";#N/A,#N/A,FALSE,"ASSUMPTIONS";#N/A,#N/A,FALSE,"EPSMODEL";#N/A,#N/A,FALSE,"CASHFLOWS";#N/A,#N/A,FALSE,"BALANCESHEET"}</definedName>
    <definedName name="Valuation1" localSheetId="5" hidden="1">{#N/A,#N/A,FALSE,"COVER";#N/A,#N/A,FALSE,"ASSUMPTIONS";#N/A,#N/A,FALSE,"EPSMODEL";#N/A,#N/A,FALSE,"CASHFLOWS";#N/A,#N/A,FALSE,"BALANCESHEET"}</definedName>
    <definedName name="Valuation1" localSheetId="10" hidden="1">{#N/A,#N/A,FALSE,"COVER";#N/A,#N/A,FALSE,"ASSUMPTIONS";#N/A,#N/A,FALSE,"EPSMODEL";#N/A,#N/A,FALSE,"CASHFLOWS";#N/A,#N/A,FALSE,"BALANCESHEET"}</definedName>
    <definedName name="Valuation1" localSheetId="16" hidden="1">{#N/A,#N/A,FALSE,"COVER";#N/A,#N/A,FALSE,"ASSUMPTIONS";#N/A,#N/A,FALSE,"EPSMODEL";#N/A,#N/A,FALSE,"CASHFLOWS";#N/A,#N/A,FALSE,"BALANCESHEET"}</definedName>
    <definedName name="Valuation1" localSheetId="19" hidden="1">{#N/A,#N/A,FALSE,"COVER";#N/A,#N/A,FALSE,"ASSUMPTIONS";#N/A,#N/A,FALSE,"EPSMODEL";#N/A,#N/A,FALSE,"CASHFLOWS";#N/A,#N/A,FALSE,"BALANCESHEET"}</definedName>
    <definedName name="Valuation1" localSheetId="18" hidden="1">{#N/A,#N/A,FALSE,"COVER";#N/A,#N/A,FALSE,"ASSUMPTIONS";#N/A,#N/A,FALSE,"EPSMODEL";#N/A,#N/A,FALSE,"CASHFLOWS";#N/A,#N/A,FALSE,"BALANCESHEET"}</definedName>
    <definedName name="Valuation1" hidden="1">{#N/A,#N/A,FALSE,"COVER";#N/A,#N/A,FALSE,"ASSUMPTIONS";#N/A,#N/A,FALSE,"EPSMODEL";#N/A,#N/A,FALSE,"CASHFLOWS";#N/A,#N/A,FALSE,"BALANCESHEET"}</definedName>
    <definedName name="valuetwo" localSheetId="6" hidden="1">{#N/A,#N/A,FALSE,"COVER";#N/A,#N/A,FALSE,"ASSUMPTIONS";#N/A,#N/A,FALSE,"EPSMODEL";#N/A,#N/A,FALSE,"CASHFLOWS";#N/A,#N/A,FALSE,"BALANCESHEET"}</definedName>
    <definedName name="valuetwo" localSheetId="3" hidden="1">{#N/A,#N/A,FALSE,"COVER";#N/A,#N/A,FALSE,"ASSUMPTIONS";#N/A,#N/A,FALSE,"EPSMODEL";#N/A,#N/A,FALSE,"CASHFLOWS";#N/A,#N/A,FALSE,"BALANCESHEET"}</definedName>
    <definedName name="valuetwo" localSheetId="5" hidden="1">{#N/A,#N/A,FALSE,"COVER";#N/A,#N/A,FALSE,"ASSUMPTIONS";#N/A,#N/A,FALSE,"EPSMODEL";#N/A,#N/A,FALSE,"CASHFLOWS";#N/A,#N/A,FALSE,"BALANCESHEET"}</definedName>
    <definedName name="valuetwo" localSheetId="10" hidden="1">{#N/A,#N/A,FALSE,"COVER";#N/A,#N/A,FALSE,"ASSUMPTIONS";#N/A,#N/A,FALSE,"EPSMODEL";#N/A,#N/A,FALSE,"CASHFLOWS";#N/A,#N/A,FALSE,"BALANCESHEET"}</definedName>
    <definedName name="valuetwo" localSheetId="16" hidden="1">{#N/A,#N/A,FALSE,"COVER";#N/A,#N/A,FALSE,"ASSUMPTIONS";#N/A,#N/A,FALSE,"EPSMODEL";#N/A,#N/A,FALSE,"CASHFLOWS";#N/A,#N/A,FALSE,"BALANCESHEET"}</definedName>
    <definedName name="valuetwo" localSheetId="19" hidden="1">{#N/A,#N/A,FALSE,"COVER";#N/A,#N/A,FALSE,"ASSUMPTIONS";#N/A,#N/A,FALSE,"EPSMODEL";#N/A,#N/A,FALSE,"CASHFLOWS";#N/A,#N/A,FALSE,"BALANCESHEET"}</definedName>
    <definedName name="valuetwo" localSheetId="18" hidden="1">{#N/A,#N/A,FALSE,"COVER";#N/A,#N/A,FALSE,"ASSUMPTIONS";#N/A,#N/A,FALSE,"EPSMODEL";#N/A,#N/A,FALSE,"CASHFLOWS";#N/A,#N/A,FALSE,"BALANCESHEET"}</definedName>
    <definedName name="valuetwo" hidden="1">{#N/A,#N/A,FALSE,"COVER";#N/A,#N/A,FALSE,"ASSUMPTIONS";#N/A,#N/A,FALSE,"EPSMODEL";#N/A,#N/A,FALSE,"CASHFLOWS";#N/A,#N/A,FALSE,"BALANCESHEET"}</definedName>
    <definedName name="w" localSheetId="6" hidden="1">[31]単独!$AR$14:$AR$18</definedName>
    <definedName name="w" localSheetId="3" hidden="1">[31]単独!$AR$14:$AR$18</definedName>
    <definedName name="w" localSheetId="5" hidden="1">{"valuation",#N/A,FALSE,"TXTCOMPS"}</definedName>
    <definedName name="w" localSheetId="10" hidden="1">[31]単独!$AR$14:$AR$18</definedName>
    <definedName name="w" hidden="1">{"valuation",#N/A,FALSE,"TXTCOMPS"}</definedName>
    <definedName name="wed"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 localSheetId="6" hidden="1">{"INCSTMT1",#N/A,FALSE,"COR";"INCSTMT2",#N/A,FALSE,"COR"}</definedName>
    <definedName name="wet" localSheetId="3" hidden="1">{"INCSTMT1",#N/A,FALSE,"COR";"INCSTMT2",#N/A,FALSE,"COR"}</definedName>
    <definedName name="wet" localSheetId="5" hidden="1">{"INCSTMT1",#N/A,FALSE,"COR";"INCSTMT2",#N/A,FALSE,"COR"}</definedName>
    <definedName name="wet" localSheetId="10" hidden="1">{"INCSTMT1",#N/A,FALSE,"COR";"INCSTMT2",#N/A,FALSE,"COR"}</definedName>
    <definedName name="wet" localSheetId="16" hidden="1">{"INCSTMT1",#N/A,FALSE,"COR";"INCSTMT2",#N/A,FALSE,"COR"}</definedName>
    <definedName name="wet" localSheetId="19" hidden="1">{"INCSTMT1",#N/A,FALSE,"COR";"INCSTMT2",#N/A,FALSE,"COR"}</definedName>
    <definedName name="wet" localSheetId="18" hidden="1">{"INCSTMT1",#N/A,FALSE,"COR";"INCSTMT2",#N/A,FALSE,"COR"}</definedName>
    <definedName name="wet" hidden="1">{"INCSTMT1",#N/A,FALSE,"COR";"INCSTMT2",#N/A,FALSE,"COR"}</definedName>
    <definedName name="wetwo"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2._.pagers." localSheetId="6" hidden="1">{"Cover",#N/A,FALSE,"Cover";"Summary",#N/A,FALSE,"Summarpage"}</definedName>
    <definedName name="wrn.2._.pagers." localSheetId="3" hidden="1">{"Cover",#N/A,FALSE,"Cover";"Summary",#N/A,FALSE,"Summarpage"}</definedName>
    <definedName name="wrn.2._.pagers." localSheetId="5" hidden="1">{"Cover",#N/A,FALSE,"Cover";"Summary",#N/A,FALSE,"Summarpage"}</definedName>
    <definedName name="wrn.2._.pagers." localSheetId="10" hidden="1">{"Cover",#N/A,FALSE,"Cover";"Summary",#N/A,FALSE,"Summarpage"}</definedName>
    <definedName name="wrn.2._.pagers." localSheetId="16" hidden="1">{"Cover",#N/A,FALSE,"Cover";"Summary",#N/A,FALSE,"Summarpage"}</definedName>
    <definedName name="wrn.2._.pagers." localSheetId="19" hidden="1">{"Cover",#N/A,FALSE,"Cover";"Summary",#N/A,FALSE,"Summarpage"}</definedName>
    <definedName name="wrn.2._.pagers." localSheetId="18" hidden="1">{"Cover",#N/A,FALSE,"Cover";"Summary",#N/A,FALSE,"Summarpage"}</definedName>
    <definedName name="wrn.2._.pagers." hidden="1">{"Cover",#N/A,FALSE,"Cover";"Summary",#N/A,FALSE,"Summarpage"}</definedName>
    <definedName name="wrn.3._.Scenarios." localSheetId="6" hidden="1">{"full model","100% Stock",FALSE,"PROFORMA";"full model","50/50",FALSE,"PROFORMA";"full model","100% Cash",FALSE,"PROFORMA"}</definedName>
    <definedName name="wrn.3._.Scenarios." localSheetId="3" hidden="1">{"full model","100% Stock",FALSE,"PROFORMA";"full model","50/50",FALSE,"PROFORMA";"full model","100% Cash",FALSE,"PROFORMA"}</definedName>
    <definedName name="wrn.3._.Scenarios." localSheetId="5" hidden="1">{"full model","100% Stock",FALSE,"PROFORMA";"full model","50/50",FALSE,"PROFORMA";"full model","100% Cash",FALSE,"PROFORMA"}</definedName>
    <definedName name="wrn.3._.Scenarios." localSheetId="10" hidden="1">{"full model","100% Stock",FALSE,"PROFORMA";"full model","50/50",FALSE,"PROFORMA";"full model","100% Cash",FALSE,"PROFORMA"}</definedName>
    <definedName name="wrn.3._.Scenarios." localSheetId="16" hidden="1">{"full model","100% Stock",FALSE,"PROFORMA";"full model","50/50",FALSE,"PROFORMA";"full model","100% Cash",FALSE,"PROFORMA"}</definedName>
    <definedName name="wrn.3._.Scenarios." localSheetId="19" hidden="1">{"full model","100% Stock",FALSE,"PROFORMA";"full model","50/50",FALSE,"PROFORMA";"full model","100% Cash",FALSE,"PROFORMA"}</definedName>
    <definedName name="wrn.3._.Scenarios." localSheetId="18" hidden="1">{"full model","100% Stock",FALSE,"PROFORMA";"full model","50/50",FALSE,"PROFORMA";"full model","100% Cash",FALSE,"PROFORMA"}</definedName>
    <definedName name="wrn.3._.Scenarios." hidden="1">{"full model","100% Stock",FALSE,"PROFORMA";"full model","50/50",FALSE,"PROFORMA";"full model","100% Cash",FALSE,"PROFORMA"}</definedName>
    <definedName name="wrn.Accounts." localSheetId="6" hidden="1">{"turnover",#N/A,FALSE;"profits",#N/A,FALSE;"cash",#N/A,FALSE}</definedName>
    <definedName name="wrn.Accounts." localSheetId="3" hidden="1">{"turnover",#N/A,FALSE;"profits",#N/A,FALSE;"cash",#N/A,FALSE}</definedName>
    <definedName name="wrn.Accounts." localSheetId="5" hidden="1">{"turnover",#N/A,FALSE;"profits",#N/A,FALSE;"cash",#N/A,FALSE}</definedName>
    <definedName name="wrn.Accounts." localSheetId="10" hidden="1">{"turnover",#N/A,FALSE;"profits",#N/A,FALSE;"cash",#N/A,FALSE}</definedName>
    <definedName name="wrn.Accounts." localSheetId="16" hidden="1">{"turnover",#N/A,FALSE;"profits",#N/A,FALSE;"cash",#N/A,FALSE}</definedName>
    <definedName name="wrn.Accounts." localSheetId="19" hidden="1">{"turnover",#N/A,FALSE;"profits",#N/A,FALSE;"cash",#N/A,FALSE}</definedName>
    <definedName name="wrn.Accounts." localSheetId="18" hidden="1">{"turnover",#N/A,FALSE;"profits",#N/A,FALSE;"cash",#N/A,FALSE}</definedName>
    <definedName name="wrn.Accounts." hidden="1">{"turnover",#N/A,FALSE;"profits",#N/A,FALSE;"cash",#N/A,FALSE}</definedName>
    <definedName name="wrn.Aging._.and._.Trend._.Analysis." localSheetId="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N._.MODELS." localSheetId="6" hidden="1">{"QTRINC1",#N/A,FALSE,"QTRINC";"QTRINC2",#N/A,FALSE,"QTRINC";"QTRSALES",#N/A,FALSE,"QTRSALES";"ANNSALES",#N/A,FALSE,"ANNSALES";"CASHFLOW",#N/A,FALSE,"CASHFLOW"}</definedName>
    <definedName name="wrn.AGN._.MODELS." localSheetId="3" hidden="1">{"QTRINC1",#N/A,FALSE,"QTRINC";"QTRINC2",#N/A,FALSE,"QTRINC";"QTRSALES",#N/A,FALSE,"QTRSALES";"ANNSALES",#N/A,FALSE,"ANNSALES";"CASHFLOW",#N/A,FALSE,"CASHFLOW"}</definedName>
    <definedName name="wrn.AGN._.MODELS." localSheetId="5" hidden="1">{"QTRINC1",#N/A,FALSE,"QTRINC";"QTRINC2",#N/A,FALSE,"QTRINC";"QTRSALES",#N/A,FALSE,"QTRSALES";"ANNSALES",#N/A,FALSE,"ANNSALES";"CASHFLOW",#N/A,FALSE,"CASHFLOW"}</definedName>
    <definedName name="wrn.AGN._.MODELS." localSheetId="10" hidden="1">{"QTRINC1",#N/A,FALSE,"QTRINC";"QTRINC2",#N/A,FALSE,"QTRINC";"QTRSALES",#N/A,FALSE,"QTRSALES";"ANNSALES",#N/A,FALSE,"ANNSALES";"CASHFLOW",#N/A,FALSE,"CASHFLOW"}</definedName>
    <definedName name="wrn.AGN._.MODELS." localSheetId="16" hidden="1">{"QTRINC1",#N/A,FALSE,"QTRINC";"QTRINC2",#N/A,FALSE,"QTRINC";"QTRSALES",#N/A,FALSE,"QTRSALES";"ANNSALES",#N/A,FALSE,"ANNSALES";"CASHFLOW",#N/A,FALSE,"CASHFLOW"}</definedName>
    <definedName name="wrn.AGN._.MODELS." localSheetId="19" hidden="1">{"QTRINC1",#N/A,FALSE,"QTRINC";"QTRINC2",#N/A,FALSE,"QTRINC";"QTRSALES",#N/A,FALSE,"QTRSALES";"ANNSALES",#N/A,FALSE,"ANNSALES";"CASHFLOW",#N/A,FALSE,"CASHFLOW"}</definedName>
    <definedName name="wrn.AGN._.MODELS." localSheetId="18"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HP._.MODELS." localSheetId="6" hidden="1">{"QTRINC",#N/A,FALSE,"QTRINC";"MARGIN",#N/A,FALSE,"MARGIN";"CASHFLOW",#N/A,FALSE,"CASHFLOW"}</definedName>
    <definedName name="wrn.AHP._.MODELS." localSheetId="3" hidden="1">{"QTRINC",#N/A,FALSE,"QTRINC";"MARGIN",#N/A,FALSE,"MARGIN";"CASHFLOW",#N/A,FALSE,"CASHFLOW"}</definedName>
    <definedName name="wrn.AHP._.MODELS." localSheetId="5" hidden="1">{"QTRINC",#N/A,FALSE,"QTRINC";"MARGIN",#N/A,FALSE,"MARGIN";"CASHFLOW",#N/A,FALSE,"CASHFLOW"}</definedName>
    <definedName name="wrn.AHP._.MODELS." localSheetId="10" hidden="1">{"QTRINC",#N/A,FALSE,"QTRINC";"MARGIN",#N/A,FALSE,"MARGIN";"CASHFLOW",#N/A,FALSE,"CASHFLOW"}</definedName>
    <definedName name="wrn.AHP._.MODELS." localSheetId="16" hidden="1">{"QTRINC",#N/A,FALSE,"QTRINC";"MARGIN",#N/A,FALSE,"MARGIN";"CASHFLOW",#N/A,FALSE,"CASHFLOW"}</definedName>
    <definedName name="wrn.AHP._.MODELS." localSheetId="19" hidden="1">{"QTRINC",#N/A,FALSE,"QTRINC";"MARGIN",#N/A,FALSE,"MARGIN";"CASHFLOW",#N/A,FALSE,"CASHFLOW"}</definedName>
    <definedName name="wrn.AHP._.MODELS." localSheetId="18" hidden="1">{"QTRINC",#N/A,FALSE,"QTRINC";"MARGIN",#N/A,FALSE,"MARGIN";"CASHFLOW",#N/A,FALSE,"CASHFLOW"}</definedName>
    <definedName name="wrn.AHP._.MODELS." hidden="1">{"QTRINC",#N/A,FALSE,"QTRINC";"MARGIN",#N/A,FALSE,"MARGIN";"CASHFLOW",#N/A,FALSE,"CASHFLOW"}</definedName>
    <definedName name="wrn.All." localSheetId="6" hidden="1">{"Netbacks",#N/A,FALSE,"B";"IS Annually",#N/A,FALSE,"C";"IS Q95 Q96",#N/A,FALSE,"C";"Corp Pro",#N/A,FALSE,"D";"Prod Pro",#N/A,FALSE,"E"}</definedName>
    <definedName name="wrn.All." localSheetId="3" hidden="1">{"Netbacks",#N/A,FALSE,"B";"IS Annually",#N/A,FALSE,"C";"IS Q95 Q96",#N/A,FALSE,"C";"Corp Pro",#N/A,FALSE,"D";"Prod Pro",#N/A,FALSE,"E"}</definedName>
    <definedName name="wrn.all." localSheetId="5" hidden="1">{"comps",#N/A,FALSE,"TXTCOMPS";"segment_EPS",#N/A,FALSE,"TXTCOMPS";"valuation",#N/A,FALSE,"TXTCOMPS"}</definedName>
    <definedName name="wrn.All." localSheetId="10" hidden="1">{"Netbacks",#N/A,FALSE,"B";"IS Annually",#N/A,FALSE,"C";"IS Q95 Q96",#N/A,FALSE,"C";"Corp Pro",#N/A,FALSE,"D";"Prod Pro",#N/A,FALSE,"E"}</definedName>
    <definedName name="wrn.All." localSheetId="16" hidden="1">{"Netbacks",#N/A,FALSE,"B";"IS Annually",#N/A,FALSE,"C";"IS Q95 Q96",#N/A,FALSE,"C";"Corp Pro",#N/A,FALSE,"D";"Prod Pro",#N/A,FALSE,"E"}</definedName>
    <definedName name="wrn.All." localSheetId="19" hidden="1">{"Netbacks",#N/A,FALSE,"B";"IS Annually",#N/A,FALSE,"C";"IS Q95 Q96",#N/A,FALSE,"C";"Corp Pro",#N/A,FALSE,"D";"Prod Pro",#N/A,FALSE,"E"}</definedName>
    <definedName name="wrn.All." localSheetId="18" hidden="1">{"Netbacks",#N/A,FALSE,"B";"IS Annually",#N/A,FALSE,"C";"IS Q95 Q96",#N/A,FALSE,"C";"Corp Pro",#N/A,FALSE,"D";"Prod Pro",#N/A,FALSE,"E"}</definedName>
    <definedName name="wrn.all." hidden="1">{"comps",#N/A,FALSE,"TXTCOMPS";"segment_EPS",#N/A,FALSE,"TXTCOMPS";"valuation",#N/A,FALSE,"TXTCOMPS"}</definedName>
    <definedName name="wrn.all._.business._.units." localSheetId="5"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16"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19"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localSheetId="18"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business._.units." hidden="1">{"a",#N/A,FALSE,"Total";"a",#N/A,FALSE,"Grocery Chill";"a",#N/A,FALSE,"Grocery Ambient";"a",#N/A,FALSE,"Grocery Frozen";"a",#N/A,FALSE,"Tankfreight";"a",#N/A,FALSE,"App &amp; Var";"a",#N/A,FALSE,"Ireland";"a",#N/A,FALSE,"Auto &amp; Elec";"a",#N/A,FALSE,"HUD";"a",#N/A,FALSE,"NDP";"a",#N/A,FALSE,"VMS";"a",#N/A,FALSE,"Taskforce";"a",#N/A,FALSE,"Intl Dev";"a",#N/A,FALSE,"Engineering";"a",#N/A,FALSE,"Central Items";"a",#N/A,FALSE,"Solutions";"a",#N/A,FALSE,"Hire"}</definedName>
    <definedName name="wrn.All._.sheets." localSheetId="6"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3"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5"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0"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6"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9" hidden="1">{"Operating Statictics",#N/A,FALSE,"Operating Statistics";"Netbacks",#N/A,FALSE,"Netbacks";"IS Quarterly",#N/A,FALSE,"Income Statement";"IS Yearly",#N/A,FALSE,"Income Statement";"Corporate Profile",#N/A,FALSE,"Corporate Profile";"Production Schedule",#N/A,FALSE,"Production Schedule"}</definedName>
    <definedName name="wrn.All._.sheets." localSheetId="18" hidden="1">{"Operating Statictics",#N/A,FALSE,"Operating Statistics";"Netbacks",#N/A,FALSE,"Netbacks";"IS Quarterly",#N/A,FALSE,"Income Statement";"IS Yearly",#N/A,FALSE,"Income Statement";"Corporate Profile",#N/A,FALSE,"Corporate Profile";"Production Schedule",#N/A,FALSE,"Production Schedule"}</definedName>
    <definedName name="wrn.All._.sheets." hidden="1">{"Operating Statictics",#N/A,FALSE,"Operating Statistics";"Netbacks",#N/A,FALSE,"Netbacks";"IS Quarterly",#N/A,FALSE,"Income Statement";"IS Yearly",#N/A,FALSE,"Income Statement";"Corporate Profile",#N/A,FALSE,"Corporate Profile";"Production Schedule",#N/A,FALSE,"Production Schedule"}</definedName>
    <definedName name="wrn.allpages." localSheetId="6" hidden="1">{#N/A,#N/A,TRUE,"Historicals";#N/A,#N/A,TRUE,"Charts";#N/A,#N/A,TRUE,"Forecasts"}</definedName>
    <definedName name="wrn.allpages." localSheetId="3" hidden="1">{#N/A,#N/A,TRUE,"Historicals";#N/A,#N/A,TRUE,"Charts";#N/A,#N/A,TRUE,"Forecasts"}</definedName>
    <definedName name="wrn.allpages." localSheetId="5" hidden="1">{#N/A,#N/A,TRUE,"Historicals";#N/A,#N/A,TRUE,"Charts";#N/A,#N/A,TRUE,"Forecasts"}</definedName>
    <definedName name="wrn.allpages." localSheetId="10" hidden="1">{#N/A,#N/A,TRUE,"Historicals";#N/A,#N/A,TRUE,"Charts";#N/A,#N/A,TRUE,"Forecasts"}</definedName>
    <definedName name="wrn.allpages." localSheetId="16" hidden="1">{#N/A,#N/A,TRUE,"Historicals";#N/A,#N/A,TRUE,"Charts";#N/A,#N/A,TRUE,"Forecasts"}</definedName>
    <definedName name="wrn.allpages." localSheetId="19" hidden="1">{#N/A,#N/A,TRUE,"Historicals";#N/A,#N/A,TRUE,"Charts";#N/A,#N/A,TRUE,"Forecasts"}</definedName>
    <definedName name="wrn.allpages." localSheetId="18" hidden="1">{#N/A,#N/A,TRUE,"Historicals";#N/A,#N/A,TRUE,"Charts";#N/A,#N/A,TRUE,"Forecasts"}</definedName>
    <definedName name="wrn.allpages." hidden="1">{#N/A,#N/A,TRUE,"Historicals";#N/A,#N/A,TRUE,"Charts";#N/A,#N/A,TRUE,"Forecasts"}</definedName>
    <definedName name="wrn.AMAT._.Intranet." localSheetId="18" hidden="1">{"AMAT INC",#N/A,FALSE,"AMAT-INC";"AMAT BLSH",#N/A,FALSE,"AMATBLSH"}</definedName>
    <definedName name="wrn.AMAT._.Intranet." hidden="1">{"AMAT INC",#N/A,FALSE,"AMAT-INC";"AMAT BLSH",#N/A,FALSE,"AMATBLSH"}</definedName>
    <definedName name="wrn.AMAT._.Intranet1." localSheetId="18" hidden="1">{"AMAT INC",#N/A,FALSE,"AMAT-INC";"AMAT BLSH",#N/A,FALSE,"AMATBLSH"}</definedName>
    <definedName name="wrn.AMAT._.Intranet1." hidden="1">{"AMAT INC",#N/A,FALSE,"AMAT-INC";"AMAT BLSH",#N/A,FALSE,"AMATBLSH"}</definedName>
    <definedName name="wrn.Annual._.Operating._.Earnings." localSheetId="6" hidden="1">{"Annual 1996",#N/A,FALSE,"Ann-Op (Mng)";"Annual 1996",#N/A,FALSE,"Ann-Op (Rep)";"Operating Vs. Reported Earnings",#N/A,FALSE,"Rpt-Op Inc"}</definedName>
    <definedName name="wrn.Annual._.Operating._.Earnings." localSheetId="3" hidden="1">{"Annual 1996",#N/A,FALSE,"Ann-Op (Mng)";"Annual 1996",#N/A,FALSE,"Ann-Op (Rep)";"Operating Vs. Reported Earnings",#N/A,FALSE,"Rpt-Op Inc"}</definedName>
    <definedName name="wrn.Annual._.Operating._.Earnings." localSheetId="5" hidden="1">{"Annual 1996",#N/A,FALSE,"Ann-Op (Mng)";"Annual 1996",#N/A,FALSE,"Ann-Op (Rep)";"Operating Vs. Reported Earnings",#N/A,FALSE,"Rpt-Op Inc"}</definedName>
    <definedName name="wrn.Annual._.Operating._.Earnings." localSheetId="10" hidden="1">{"Annual 1996",#N/A,FALSE,"Ann-Op (Mng)";"Annual 1996",#N/A,FALSE,"Ann-Op (Rep)";"Operating Vs. Reported Earnings",#N/A,FALSE,"Rpt-Op Inc"}</definedName>
    <definedName name="wrn.Annual._.Operating._.Earnings." localSheetId="16" hidden="1">{"Annual 1996",#N/A,FALSE,"Ann-Op (Mng)";"Annual 1996",#N/A,FALSE,"Ann-Op (Rep)";"Operating Vs. Reported Earnings",#N/A,FALSE,"Rpt-Op Inc"}</definedName>
    <definedName name="wrn.Annual._.Operating._.Earnings." localSheetId="19" hidden="1">{"Annual 1996",#N/A,FALSE,"Ann-Op (Mng)";"Annual 1996",#N/A,FALSE,"Ann-Op (Rep)";"Operating Vs. Reported Earnings",#N/A,FALSE,"Rpt-Op Inc"}</definedName>
    <definedName name="wrn.Annual._.Operating._.Earnings." localSheetId="18"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1." localSheetId="6" hidden="1">{"Annual 1996",#N/A,FALSE,"Ann-Op (Mng)";"Annual 1996",#N/A,FALSE,"Ann-Op (Rep)";"Operating Vs. Reported Earnings",#N/A,FALSE,"Rpt-Op Inc"}</definedName>
    <definedName name="wrn.Annual._.Operating._.Earnings1." localSheetId="3" hidden="1">{"Annual 1996",#N/A,FALSE,"Ann-Op (Mng)";"Annual 1996",#N/A,FALSE,"Ann-Op (Rep)";"Operating Vs. Reported Earnings",#N/A,FALSE,"Rpt-Op Inc"}</definedName>
    <definedName name="wrn.Annual._.Operating._.Earnings1." localSheetId="5" hidden="1">{"Annual 1996",#N/A,FALSE,"Ann-Op (Mng)";"Annual 1996",#N/A,FALSE,"Ann-Op (Rep)";"Operating Vs. Reported Earnings",#N/A,FALSE,"Rpt-Op Inc"}</definedName>
    <definedName name="wrn.Annual._.Operating._.Earnings1." localSheetId="10" hidden="1">{"Annual 1996",#N/A,FALSE,"Ann-Op (Mng)";"Annual 1996",#N/A,FALSE,"Ann-Op (Rep)";"Operating Vs. Reported Earnings",#N/A,FALSE,"Rpt-Op Inc"}</definedName>
    <definedName name="wrn.Annual._.Operating._.Earnings1." localSheetId="16" hidden="1">{"Annual 1996",#N/A,FALSE,"Ann-Op (Mng)";"Annual 1996",#N/A,FALSE,"Ann-Op (Rep)";"Operating Vs. Reported Earnings",#N/A,FALSE,"Rpt-Op Inc"}</definedName>
    <definedName name="wrn.Annual._.Operating._.Earnings1." localSheetId="19" hidden="1">{"Annual 1996",#N/A,FALSE,"Ann-Op (Mng)";"Annual 1996",#N/A,FALSE,"Ann-Op (Rep)";"Operating Vs. Reported Earnings",#N/A,FALSE,"Rpt-Op Inc"}</definedName>
    <definedName name="wrn.Annual._.Operating._.Earnings1." localSheetId="18"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res_Serono." localSheetId="6" hidden="1">{"revenue",#N/A,FALSE,"Revenue";"Qearn1",#N/A,FALSE,"Qearn";"Qearn2",#N/A,FALSE,"Qearn";"Qmargin",#N/A,FALSE,"Qmargin";"Cashflow",#N/A,FALSE,"Cashflow"}</definedName>
    <definedName name="wrn.Ares_Serono." localSheetId="3" hidden="1">{"revenue",#N/A,FALSE,"Revenue";"Qearn1",#N/A,FALSE,"Qearn";"Qearn2",#N/A,FALSE,"Qearn";"Qmargin",#N/A,FALSE,"Qmargin";"Cashflow",#N/A,FALSE,"Cashflow"}</definedName>
    <definedName name="wrn.Ares_Serono." localSheetId="5" hidden="1">{"revenue",#N/A,FALSE,"Revenue";"Qearn1",#N/A,FALSE,"Qearn";"Qearn2",#N/A,FALSE,"Qearn";"Qmargin",#N/A,FALSE,"Qmargin";"Cashflow",#N/A,FALSE,"Cashflow"}</definedName>
    <definedName name="wrn.Ares_Serono." localSheetId="10" hidden="1">{"revenue",#N/A,FALSE,"Revenue";"Qearn1",#N/A,FALSE,"Qearn";"Qearn2",#N/A,FALSE,"Qearn";"Qmargin",#N/A,FALSE,"Qmargin";"Cashflow",#N/A,FALSE,"Cashflow"}</definedName>
    <definedName name="wrn.Ares_Serono." localSheetId="16" hidden="1">{"revenue",#N/A,FALSE,"Revenue";"Qearn1",#N/A,FALSE,"Qearn";"Qearn2",#N/A,FALSE,"Qearn";"Qmargin",#N/A,FALSE,"Qmargin";"Cashflow",#N/A,FALSE,"Cashflow"}</definedName>
    <definedName name="wrn.Ares_Serono." localSheetId="19" hidden="1">{"revenue",#N/A,FALSE,"Revenue";"Qearn1",#N/A,FALSE,"Qearn";"Qearn2",#N/A,FALSE,"Qearn";"Qmargin",#N/A,FALSE,"Qmargin";"Cashflow",#N/A,FALSE,"Cashflow"}</definedName>
    <definedName name="wrn.Ares_Serono." localSheetId="18" hidden="1">{"revenue",#N/A,FALSE,"Revenue";"Qearn1",#N/A,FALSE,"Qearn";"Qearn2",#N/A,FALSE,"Qearn";"Qmargin",#N/A,FALSE,"Qmargin";"Cashflow",#N/A,FALSE,"Cashflow"}</definedName>
    <definedName name="wrn.Ares_Serono." hidden="1">{"revenue",#N/A,FALSE,"Revenue";"Qearn1",#N/A,FALSE,"Qearn";"Qearn2",#N/A,FALSE,"Qearn";"Qmargin",#N/A,FALSE,"Qmargin";"Cashflow",#N/A,FALSE,"Cashflow"}</definedName>
    <definedName name="wrn.assumptions." localSheetId="5" hidden="1">{"a",#N/A,FALSE,"capex";"a",#N/A,FALSE,"Assumptions"}</definedName>
    <definedName name="wrn.assumptions." localSheetId="16" hidden="1">{"a",#N/A,FALSE,"capex";"a",#N/A,FALSE,"Assumptions"}</definedName>
    <definedName name="wrn.assumptions." localSheetId="19" hidden="1">{"a",#N/A,FALSE,"capex";"a",#N/A,FALSE,"Assumptions"}</definedName>
    <definedName name="wrn.assumptions." localSheetId="18" hidden="1">{"a",#N/A,FALSE,"capex";"a",#N/A,FALSE,"Assumptions"}</definedName>
    <definedName name="wrn.assumptions." hidden="1">{"a",#N/A,FALSE,"capex";"a",#N/A,FALSE,"Assumptions"}</definedName>
    <definedName name="wrn.ba." localSheetId="5"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16"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19"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localSheetId="18"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 hidden="1">{#N/A,#N/A,FALSE,"Summary";#N/A,#N/A,FALSE,"MDBA";#N/A,#N/A,FALSE,"Annual";#N/A,#N/A,FALSE,"Qrtly";#N/A,#N/A,FALSE,"Rates";#N/A,#N/A,FALSE,"CA Sales";#N/A,#N/A,FALSE,"CA SalesQtr";#N/A,#N/A,FALSE,"CA Profit";#N/A,#N/A,FALSE,"CA ProfitQtr";#N/A,#N/A,FALSE,"MD Military Aircraft";#N/A,#N/A,FALSE,"MD Space &amp; Finance";#N/A,#N/A,FALSE,"MD Commercial";#N/A,#N/A,FALSE,"MD Commercial";#N/A,#N/A,FALSE,"Space&amp;Mil.";#N/A,#N/A,FALSE,"Space&amp;DefQtr";#N/A,#N/A,FALSE,"Balance Sht";#N/A,#N/A,FALSE,"Balance Sht";#N/A,#N/A,FALSE,"BalanceShtQtr";#N/A,#N/A,FALSE,"Cash Flow Summary";#N/A,#N/A,FALSE,"Cashflow";#N/A,#N/A,FALSE,"CashflowQtr"}</definedName>
    <definedName name="wrn.Basic." localSheetId="6" hidden="1">{"ca",#N/A,FALSE,"C";"D",#N/A,FALSE,"D"}</definedName>
    <definedName name="wrn.Basic." localSheetId="3" hidden="1">{"ca",#N/A,FALSE,"C";"D",#N/A,FALSE,"D"}</definedName>
    <definedName name="wrn.Basic." localSheetId="5" hidden="1">{"ca",#N/A,FALSE,"C";"D",#N/A,FALSE,"D"}</definedName>
    <definedName name="wrn.Basic." localSheetId="10" hidden="1">{"ca",#N/A,FALSE,"C";"D",#N/A,FALSE,"D"}</definedName>
    <definedName name="wrn.Basic." localSheetId="16" hidden="1">{"ca",#N/A,FALSE,"C";"D",#N/A,FALSE,"D"}</definedName>
    <definedName name="wrn.Basic." localSheetId="19" hidden="1">{"ca",#N/A,FALSE,"C";"D",#N/A,FALSE,"D"}</definedName>
    <definedName name="wrn.Basic." localSheetId="18" hidden="1">{"ca",#N/A,FALSE,"C";"D",#N/A,FALSE,"D"}</definedName>
    <definedName name="wrn.Basic." hidden="1">{"ca",#N/A,FALSE,"C";"D",#N/A,FALSE,"D"}</definedName>
    <definedName name="wrn.Cadispa._.SA." localSheetId="6" hidden="1">{"Cadispa SA",#N/A,FALSE,"Cadispa SA"}</definedName>
    <definedName name="wrn.Cadispa._.SA." localSheetId="3" hidden="1">{"Cadispa SA",#N/A,FALSE,"Cadispa SA"}</definedName>
    <definedName name="wrn.Cadispa._.SA." localSheetId="5" hidden="1">{"Cadispa SA",#N/A,FALSE,"Cadispa SA"}</definedName>
    <definedName name="wrn.Cadispa._.SA." localSheetId="10" hidden="1">{"Cadispa SA",#N/A,FALSE,"Cadispa SA"}</definedName>
    <definedName name="wrn.Cadispa._.SA." localSheetId="16" hidden="1">{"Cadispa SA",#N/A,FALSE,"Cadispa SA"}</definedName>
    <definedName name="wrn.Cadispa._.SA." localSheetId="19" hidden="1">{"Cadispa SA",#N/A,FALSE,"Cadispa SA"}</definedName>
    <definedName name="wrn.Cadispa._.SA." localSheetId="18" hidden="1">{"Cadispa SA",#N/A,FALSE,"Cadispa SA"}</definedName>
    <definedName name="wrn.Cadispa._.SA." hidden="1">{"Cadispa SA",#N/A,FALSE,"Cadispa SA"}</definedName>
    <definedName name="wrn.Canada." localSheetId="6" hidden="1">{"Canada",#N/A,FALSE,"Canada"}</definedName>
    <definedName name="wrn.Canada." localSheetId="3" hidden="1">{"Canada",#N/A,FALSE,"Canada"}</definedName>
    <definedName name="wrn.Canada." localSheetId="5" hidden="1">{"Canada",#N/A,FALSE,"Canada"}</definedName>
    <definedName name="wrn.Canada." localSheetId="10" hidden="1">{"Canada",#N/A,FALSE,"Canada"}</definedName>
    <definedName name="wrn.Canada." localSheetId="16" hidden="1">{"Canada",#N/A,FALSE,"Canada"}</definedName>
    <definedName name="wrn.Canada." localSheetId="19" hidden="1">{"Canada",#N/A,FALSE,"Canada"}</definedName>
    <definedName name="wrn.Canada." localSheetId="18" hidden="1">{"Canada",#N/A,FALSE,"Canada"}</definedName>
    <definedName name="wrn.Canada." hidden="1">{"Canada",#N/A,FALSE,"Canada"}</definedName>
    <definedName name="wrn.Cash._.Flow." localSheetId="6" hidden="1">{"Cash Flow",#N/A,FALSE,"Multiples"}</definedName>
    <definedName name="wrn.Cash._.Flow." localSheetId="3" hidden="1">{"Cash Flow",#N/A,FALSE,"Multiples"}</definedName>
    <definedName name="wrn.Cash._.Flow." localSheetId="5" hidden="1">{"Cash Flow",#N/A,FALSE,"Multiples"}</definedName>
    <definedName name="wrn.Cash._.Flow." localSheetId="10" hidden="1">{"Cash Flow",#N/A,FALSE,"Multiples"}</definedName>
    <definedName name="wrn.Cash._.Flow." localSheetId="16" hidden="1">{"Cash Flow",#N/A,FALSE,"Multiples"}</definedName>
    <definedName name="wrn.Cash._.Flow." localSheetId="19" hidden="1">{"Cash Flow",#N/A,FALSE,"Multiples"}</definedName>
    <definedName name="wrn.Cash._.Flow." localSheetId="18" hidden="1">{"Cash Flow",#N/A,FALSE,"Multiples"}</definedName>
    <definedName name="wrn.Cash._.Flow." hidden="1">{"Cash Flow",#N/A,FALSE,"Multiples"}</definedName>
    <definedName name="wrn.Cash._.V._.LY." localSheetId="5" hidden="1">{"cash",#N/A,FALSE,"Aerospace";"cash",#N/A,FALSE,"Engines";"cash",#N/A,FALSE,"AES";"cash",#N/A,FALSE,"ES";"cash",#N/A,FALSE,"CAS";"cash",#N/A,FALSE,"ATSC";"cash",#N/A,FALSE,"FMT";"cash",#N/A,FALSE,"Aero Other";"cash",#N/A,FALSE,"Judgement"}</definedName>
    <definedName name="wrn.Cash._.V._.LY." localSheetId="16" hidden="1">{"cash",#N/A,FALSE,"Aerospace";"cash",#N/A,FALSE,"Engines";"cash",#N/A,FALSE,"AES";"cash",#N/A,FALSE,"ES";"cash",#N/A,FALSE,"CAS";"cash",#N/A,FALSE,"ATSC";"cash",#N/A,FALSE,"FMT";"cash",#N/A,FALSE,"Aero Other";"cash",#N/A,FALSE,"Judgement"}</definedName>
    <definedName name="wrn.Cash._.V._.LY." localSheetId="19" hidden="1">{"cash",#N/A,FALSE,"Aerospace";"cash",#N/A,FALSE,"Engines";"cash",#N/A,FALSE,"AES";"cash",#N/A,FALSE,"ES";"cash",#N/A,FALSE,"CAS";"cash",#N/A,FALSE,"ATSC";"cash",#N/A,FALSE,"FMT";"cash",#N/A,FALSE,"Aero Other";"cash",#N/A,FALSE,"Judgement"}</definedName>
    <definedName name="wrn.Cash._.V._.LY." localSheetId="18" hidden="1">{"cash",#N/A,FALSE,"Aerospace";"cash",#N/A,FALSE,"Engines";"cash",#N/A,FALSE,"AES";"cash",#N/A,FALSE,"ES";"cash",#N/A,FALSE,"CAS";"cash",#N/A,FALSE,"ATSC";"cash",#N/A,FALSE,"FMT";"cash",#N/A,FALSE,"Aero Other";"cash",#N/A,FALSE,"Judgement"}</definedName>
    <definedName name="wrn.Cash._.V._.LY." hidden="1">{"cash",#N/A,FALSE,"Aerospace";"cash",#N/A,FALSE,"Engines";"cash",#N/A,FALSE,"AES";"cash",#N/A,FALSE,"ES";"cash",#N/A,FALSE,"CAS";"cash",#N/A,FALSE,"ATSC";"cash",#N/A,FALSE,"FMT";"cash",#N/A,FALSE,"Aero Other";"cash",#N/A,FALSE,"Judgement"}</definedName>
    <definedName name="wrn.Cash._.V._.Prior." localSheetId="5" hidden="1">{"cash",#N/A,FALSE,"Aero V prior";"cash",#N/A,FALSE,"Eng V Prior";"cash",#N/A,FALSE,"AES V Prior";"cash",#N/A,FALSE,"ES V Prior";"cash",#N/A,FALSE,"CAS V Prior";"cash",#N/A,FALSE,"ATSC V Prior";"cash",#N/A,FALSE,"FMT V Prior";"cash",#N/A,FALSE,"Aero Other V Prior";"cash",#N/A,FALSE,"Judge V Prior"}</definedName>
    <definedName name="wrn.Cash._.V._.Prior." localSheetId="16" hidden="1">{"cash",#N/A,FALSE,"Aero V prior";"cash",#N/A,FALSE,"Eng V Prior";"cash",#N/A,FALSE,"AES V Prior";"cash",#N/A,FALSE,"ES V Prior";"cash",#N/A,FALSE,"CAS V Prior";"cash",#N/A,FALSE,"ATSC V Prior";"cash",#N/A,FALSE,"FMT V Prior";"cash",#N/A,FALSE,"Aero Other V Prior";"cash",#N/A,FALSE,"Judge V Prior"}</definedName>
    <definedName name="wrn.Cash._.V._.Prior." localSheetId="19" hidden="1">{"cash",#N/A,FALSE,"Aero V prior";"cash",#N/A,FALSE,"Eng V Prior";"cash",#N/A,FALSE,"AES V Prior";"cash",#N/A,FALSE,"ES V Prior";"cash",#N/A,FALSE,"CAS V Prior";"cash",#N/A,FALSE,"ATSC V Prior";"cash",#N/A,FALSE,"FMT V Prior";"cash",#N/A,FALSE,"Aero Other V Prior";"cash",#N/A,FALSE,"Judge V Prior"}</definedName>
    <definedName name="wrn.Cash._.V._.Prior." localSheetId="18" hidden="1">{"cash",#N/A,FALSE,"Aero V prior";"cash",#N/A,FALSE,"Eng V Prior";"cash",#N/A,FALSE,"AES V Prior";"cash",#N/A,FALSE,"ES V Prior";"cash",#N/A,FALSE,"CAS V Prior";"cash",#N/A,FALSE,"ATSC V Prior";"cash",#N/A,FALSE,"FMT V Prior";"cash",#N/A,FALSE,"Aero Other V Prior";"cash",#N/A,FALSE,"Judge V Prior"}</definedName>
    <definedName name="wrn.Cash._.V._.Prior." hidden="1">{"cash",#N/A,FALSE,"Aero V prior";"cash",#N/A,FALSE,"Eng V Prior";"cash",#N/A,FALSE,"AES V Prior";"cash",#N/A,FALSE,"ES V Prior";"cash",#N/A,FALSE,"CAS V Prior";"cash",#N/A,FALSE,"ATSC V Prior";"cash",#N/A,FALSE,"FMT V Prior";"cash",#N/A,FALSE,"Aero Other V Prior";"cash",#N/A,FALSE,"Judge V Prior"}</definedName>
    <definedName name="wrn.Clam." localSheetId="6" hidden="1">{"Clam",#N/A,FALSE,"Clam"}</definedName>
    <definedName name="wrn.Clam." localSheetId="3" hidden="1">{"Clam",#N/A,FALSE,"Clam"}</definedName>
    <definedName name="wrn.Clam." localSheetId="5" hidden="1">{"Clam",#N/A,FALSE,"Clam"}</definedName>
    <definedName name="wrn.Clam." localSheetId="10" hidden="1">{"Clam",#N/A,FALSE,"Clam"}</definedName>
    <definedName name="wrn.Clam." localSheetId="16" hidden="1">{"Clam",#N/A,FALSE,"Clam"}</definedName>
    <definedName name="wrn.Clam." localSheetId="19" hidden="1">{"Clam",#N/A,FALSE,"Clam"}</definedName>
    <definedName name="wrn.Clam." localSheetId="18" hidden="1">{"Clam",#N/A,FALSE,"Clam"}</definedName>
    <definedName name="wrn.Clam." hidden="1">{"Clam",#N/A,FALSE,"Clam"}</definedName>
    <definedName name="wrn.Client." localSheetId="5" hidden="1">{#N/A,#N/A,FALSE,"Quarterly";#N/A,#N/A,FALSE,"Inc.St.";#N/A,#N/A,FALSE,"Bal.Sht."}</definedName>
    <definedName name="wrn.Client." localSheetId="16" hidden="1">{#N/A,#N/A,FALSE,"Quarterly";#N/A,#N/A,FALSE,"Inc.St.";#N/A,#N/A,FALSE,"Bal.Sht."}</definedName>
    <definedName name="wrn.Client." localSheetId="19" hidden="1">{#N/A,#N/A,FALSE,"Quarterly";#N/A,#N/A,FALSE,"Inc.St.";#N/A,#N/A,FALSE,"Bal.Sht."}</definedName>
    <definedName name="wrn.Client." localSheetId="18" hidden="1">{#N/A,#N/A,FALSE,"Quarterly";#N/A,#N/A,FALSE,"Inc.St.";#N/A,#N/A,FALSE,"Bal.Sht."}</definedName>
    <definedName name="wrn.Client." hidden="1">{#N/A,#N/A,FALSE,"Quarterly";#N/A,#N/A,FALSE,"Inc.St.";#N/A,#N/A,FALSE,"Bal.Sht."}</definedName>
    <definedName name="wrn.Client._.cfbs." localSheetId="6" hidden="1">{"client cfbs",#N/A,FALSE,"Client"}</definedName>
    <definedName name="wrn.Client._.cfbs." localSheetId="3" hidden="1">{"client cfbs",#N/A,FALSE,"Client"}</definedName>
    <definedName name="wrn.Client._.cfbs." localSheetId="5" hidden="1">{"client cfbs",#N/A,FALSE,"Client"}</definedName>
    <definedName name="wrn.Client._.cfbs." localSheetId="10" hidden="1">{"client cfbs",#N/A,FALSE,"Client"}</definedName>
    <definedName name="wrn.Client._.cfbs." localSheetId="16" hidden="1">{"client cfbs",#N/A,FALSE,"Client"}</definedName>
    <definedName name="wrn.Client._.cfbs." localSheetId="19" hidden="1">{"client cfbs",#N/A,FALSE,"Client"}</definedName>
    <definedName name="wrn.Client._.cfbs." localSheetId="18" hidden="1">{"client cfbs",#N/A,FALSE,"Client"}</definedName>
    <definedName name="wrn.Client._.cfbs." hidden="1">{"client cfbs",#N/A,FALSE,"Client"}</definedName>
    <definedName name="wrn.Client._.is." localSheetId="6" hidden="1">{"Client is",#N/A,FALSE,"Client"}</definedName>
    <definedName name="wrn.Client._.is." localSheetId="3" hidden="1">{"Client is",#N/A,FALSE,"Client"}</definedName>
    <definedName name="wrn.Client._.is." localSheetId="5" hidden="1">{"Client is",#N/A,FALSE,"Client"}</definedName>
    <definedName name="wrn.Client._.is." localSheetId="10" hidden="1">{"Client is",#N/A,FALSE,"Client"}</definedName>
    <definedName name="wrn.Client._.is." localSheetId="16" hidden="1">{"Client is",#N/A,FALSE,"Client"}</definedName>
    <definedName name="wrn.Client._.is." localSheetId="19" hidden="1">{"Client is",#N/A,FALSE,"Client"}</definedName>
    <definedName name="wrn.Client._.is." localSheetId="18" hidden="1">{"Client is",#N/A,FALSE,"Client"}</definedName>
    <definedName name="wrn.Client._.is." hidden="1">{"Client is",#N/A,FALSE,"Client"}</definedName>
    <definedName name="wrn.Client._.Sheets." localSheetId="6" hidden="1">{"Netbacks",#N/A,FALSE,"Netbacks";"IS Quarterly",#N/A,FALSE,"Income Statement";"IS Yearly",#N/A,FALSE,"Income Statement";"Corporate Profile",#N/A,FALSE,"Corporate Profile"}</definedName>
    <definedName name="wrn.Client._.Sheets." localSheetId="3" hidden="1">{"Netbacks",#N/A,FALSE,"Netbacks";"IS Quarterly",#N/A,FALSE,"Income Statement";"IS Yearly",#N/A,FALSE,"Income Statement";"Corporate Profile",#N/A,FALSE,"Corporate Profile"}</definedName>
    <definedName name="wrn.Client._.Sheets." localSheetId="5" hidden="1">{"Netbacks",#N/A,FALSE,"Netbacks";"IS Quarterly",#N/A,FALSE,"Income Statement";"IS Yearly",#N/A,FALSE,"Income Statement";"Corporate Profile",#N/A,FALSE,"Corporate Profile"}</definedName>
    <definedName name="wrn.Client._.Sheets." localSheetId="10" hidden="1">{"Netbacks",#N/A,FALSE,"Netbacks";"IS Quarterly",#N/A,FALSE,"Income Statement";"IS Yearly",#N/A,FALSE,"Income Statement";"Corporate Profile",#N/A,FALSE,"Corporate Profile"}</definedName>
    <definedName name="wrn.Client._.Sheets." localSheetId="16" hidden="1">{"Netbacks",#N/A,FALSE,"Netbacks";"IS Quarterly",#N/A,FALSE,"Income Statement";"IS Yearly",#N/A,FALSE,"Income Statement";"Corporate Profile",#N/A,FALSE,"Corporate Profile"}</definedName>
    <definedName name="wrn.Client._.Sheets." localSheetId="19" hidden="1">{"Netbacks",#N/A,FALSE,"Netbacks";"IS Quarterly",#N/A,FALSE,"Income Statement";"IS Yearly",#N/A,FALSE,"Income Statement";"Corporate Profile",#N/A,FALSE,"Corporate Profile"}</definedName>
    <definedName name="wrn.Client._.Sheets." localSheetId="18" hidden="1">{"Netbacks",#N/A,FALSE,"Netbacks";"IS Quarterly",#N/A,FALSE,"Income Statement";"IS Yearly",#N/A,FALSE,"Income Statement";"Corporate Profile",#N/A,FALSE,"Corporate Profile"}</definedName>
    <definedName name="wrn.Client._.Sheets." hidden="1">{"Netbacks",#N/A,FALSE,"Netbacks";"IS Quarterly",#N/A,FALSE,"Income Statement";"IS Yearly",#N/A,FALSE,"Income Statement";"Corporate Profile",#N/A,FALSE,"Corporate Profile"}</definedName>
    <definedName name="wrn.Client._.stats." localSheetId="6" hidden="1">{"Client stats",#N/A,FALSE,"Client"}</definedName>
    <definedName name="wrn.Client._.stats." localSheetId="3" hidden="1">{"Client stats",#N/A,FALSE,"Client"}</definedName>
    <definedName name="wrn.Client._.stats." localSheetId="5" hidden="1">{"Client stats",#N/A,FALSE,"Client"}</definedName>
    <definedName name="wrn.Client._.stats." localSheetId="10" hidden="1">{"Client stats",#N/A,FALSE,"Client"}</definedName>
    <definedName name="wrn.Client._.stats." localSheetId="16" hidden="1">{"Client stats",#N/A,FALSE,"Client"}</definedName>
    <definedName name="wrn.Client._.stats." localSheetId="19" hidden="1">{"Client stats",#N/A,FALSE,"Client"}</definedName>
    <definedName name="wrn.Client._.stats." localSheetId="18" hidden="1">{"Client stats",#N/A,FALSE,"Client"}</definedName>
    <definedName name="wrn.Client._.stats." hidden="1">{"Client stats",#N/A,FALSE,"Client"}</definedName>
    <definedName name="wrn.Client2." localSheetId="5" hidden="1">{#N/A,#N/A,FALSE,"Inc. St.";#N/A,#N/A,FALSE,"Bal. Sht."}</definedName>
    <definedName name="wrn.Client2." localSheetId="16" hidden="1">{#N/A,#N/A,FALSE,"Inc. St.";#N/A,#N/A,FALSE,"Bal. Sht."}</definedName>
    <definedName name="wrn.Client2." localSheetId="19" hidden="1">{#N/A,#N/A,FALSE,"Inc. St.";#N/A,#N/A,FALSE,"Bal. Sht."}</definedName>
    <definedName name="wrn.Client2." localSheetId="18" hidden="1">{#N/A,#N/A,FALSE,"Inc. St.";#N/A,#N/A,FALSE,"Bal. Sht."}</definedName>
    <definedName name="wrn.Client2." hidden="1">{#N/A,#N/A,FALSE,"Inc. St.";#N/A,#N/A,FALSE,"Bal. Sht."}</definedName>
    <definedName name="wrn.COMP." localSheetId="6" hidden="1">{"CF",#N/A,FALSE,"Stone Energy";"Mult",#N/A,FALSE,"Stone Energy";"Cover",#N/A,FALSE,"Stone Energy";"TEV",#N/A,FALSE,"Stone Energy"}</definedName>
    <definedName name="wrn.COMP." localSheetId="3" hidden="1">{"CF",#N/A,FALSE,"Stone Energy";"Mult",#N/A,FALSE,"Stone Energy";"Cover",#N/A,FALSE,"Stone Energy";"TEV",#N/A,FALSE,"Stone Energy"}</definedName>
    <definedName name="wrn.COMP." localSheetId="5" hidden="1">{"CF",#N/A,FALSE,"Stone Energy";"Mult",#N/A,FALSE,"Stone Energy";"Cover",#N/A,FALSE,"Stone Energy";"TEV",#N/A,FALSE,"Stone Energy"}</definedName>
    <definedName name="wrn.COMP." localSheetId="10" hidden="1">{"CF",#N/A,FALSE,"Stone Energy";"Mult",#N/A,FALSE,"Stone Energy";"Cover",#N/A,FALSE,"Stone Energy";"TEV",#N/A,FALSE,"Stone Energy"}</definedName>
    <definedName name="wrn.COMP." localSheetId="16" hidden="1">{"CF",#N/A,FALSE,"Stone Energy";"Mult",#N/A,FALSE,"Stone Energy";"Cover",#N/A,FALSE,"Stone Energy";"TEV",#N/A,FALSE,"Stone Energy"}</definedName>
    <definedName name="wrn.COMP." localSheetId="19" hidden="1">{"CF",#N/A,FALSE,"Stone Energy";"Mult",#N/A,FALSE,"Stone Energy";"Cover",#N/A,FALSE,"Stone Energy";"TEV",#N/A,FALSE,"Stone Energy"}</definedName>
    <definedName name="wrn.COMP." localSheetId="18" hidden="1">{"CF",#N/A,FALSE,"Stone Energy";"Mult",#N/A,FALSE,"Stone Energy";"Cover",#N/A,FALSE,"Stone Energy";"TEV",#N/A,FALSE,"Stone Energy"}</definedName>
    <definedName name="wrn.COMP." hidden="1">{"CF",#N/A,FALSE,"Stone Energy";"Mult",#N/A,FALSE,"Stone Energy";"Cover",#N/A,FALSE,"Stone Energy";"TEV",#N/A,FALSE,"Stone Energy"}</definedName>
    <definedName name="wrn.Comp1." localSheetId="6" hidden="1">{"BSsheet2",#N/A,FALSE,"BS and Multiple Analysis";"netback2",#N/A,FALSE,"Reserve and Netback Analysis"}</definedName>
    <definedName name="wrn.Comp1." localSheetId="3" hidden="1">{"BSsheet2",#N/A,FALSE,"BS and Multiple Analysis";"netback2",#N/A,FALSE,"Reserve and Netback Analysis"}</definedName>
    <definedName name="wrn.Comp1." localSheetId="5" hidden="1">{"BSsheet2",#N/A,FALSE,"BS and Multiple Analysis";"netback2",#N/A,FALSE,"Reserve and Netback Analysis"}</definedName>
    <definedName name="wrn.Comp1." localSheetId="10" hidden="1">{"BSsheet2",#N/A,FALSE,"BS and Multiple Analysis";"netback2",#N/A,FALSE,"Reserve and Netback Analysis"}</definedName>
    <definedName name="wrn.Comp1." localSheetId="16" hidden="1">{"BSsheet2",#N/A,FALSE,"BS and Multiple Analysis";"netback2",#N/A,FALSE,"Reserve and Netback Analysis"}</definedName>
    <definedName name="wrn.Comp1." localSheetId="19" hidden="1">{"BSsheet2",#N/A,FALSE,"BS and Multiple Analysis";"netback2",#N/A,FALSE,"Reserve and Netback Analysis"}</definedName>
    <definedName name="wrn.Comp1." localSheetId="18" hidden="1">{"BSsheet2",#N/A,FALSE,"BS and Multiple Analysis";"netback2",#N/A,FALSE,"Reserve and Netback Analysis"}</definedName>
    <definedName name="wrn.Comp1." hidden="1">{"BSsheet2",#N/A,FALSE,"BS and Multiple Analysis";"netback2",#N/A,FALSE,"Reserve and Netback Analysis"}</definedName>
    <definedName name="wrn.Complete." localSheetId="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6"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9"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18"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localSheetId="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6"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9"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8"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s." localSheetId="5" hidden="1">{"comps",#N/A,FALSE,"TXTCOMPS"}</definedName>
    <definedName name="wrn.comps." localSheetId="16" hidden="1">{"comps",#N/A,FALSE,"TXTCOMPS"}</definedName>
    <definedName name="wrn.comps." localSheetId="19" hidden="1">{"comps",#N/A,FALSE,"TXTCOMPS"}</definedName>
    <definedName name="wrn.comps." localSheetId="18" hidden="1">{"comps",#N/A,FALSE,"TXTCOMPS"}</definedName>
    <definedName name="wrn.comps." hidden="1">{"comps",#N/A,FALSE,"TXTCOMPS"}</definedName>
    <definedName name="wrn.Congo." localSheetId="6" hidden="1">{"Congo",#N/A,FALSE,"Congo"}</definedName>
    <definedName name="wrn.Congo." localSheetId="3" hidden="1">{"Congo",#N/A,FALSE,"Congo"}</definedName>
    <definedName name="wrn.Congo." localSheetId="5" hidden="1">{"Congo",#N/A,FALSE,"Congo"}</definedName>
    <definedName name="wrn.Congo." localSheetId="10" hidden="1">{"Congo",#N/A,FALSE,"Congo"}</definedName>
    <definedName name="wrn.Congo." localSheetId="16" hidden="1">{"Congo",#N/A,FALSE,"Congo"}</definedName>
    <definedName name="wrn.Congo." localSheetId="19" hidden="1">{"Congo",#N/A,FALSE,"Congo"}</definedName>
    <definedName name="wrn.Congo." localSheetId="18" hidden="1">{"Congo",#N/A,FALSE,"Congo"}</definedName>
    <definedName name="wrn.Congo." hidden="1">{"Congo",#N/A,FALSE,"Congo"}</definedName>
    <definedName name="wrn.Consolidated._.Statements." localSheetId="6" hidden="1">{"view1",#N/A,FALSE,"EARN (US$)";"view1",#N/A,FALSE,"DASTBS (US$)";"view1",#N/A,FALSE,"DASTCF (US$)"}</definedName>
    <definedName name="wrn.Consolidated._.Statements." localSheetId="3" hidden="1">{"view1",#N/A,FALSE,"EARN (US$)";"view1",#N/A,FALSE,"DASTBS (US$)";"view1",#N/A,FALSE,"DASTCF (US$)"}</definedName>
    <definedName name="wrn.Consolidated._.Statements." localSheetId="5" hidden="1">{"view1",#N/A,FALSE,"EARN (US$)";"view1",#N/A,FALSE,"DASTBS (US$)";"view1",#N/A,FALSE,"DASTCF (US$)"}</definedName>
    <definedName name="wrn.Consolidated._.Statements." localSheetId="10" hidden="1">{"view1",#N/A,FALSE,"EARN (US$)";"view1",#N/A,FALSE,"DASTBS (US$)";"view1",#N/A,FALSE,"DASTCF (US$)"}</definedName>
    <definedName name="wrn.Consolidated._.Statements." localSheetId="16" hidden="1">{"view1",#N/A,FALSE,"EARN (US$)";"view1",#N/A,FALSE,"DASTBS (US$)";"view1",#N/A,FALSE,"DASTCF (US$)"}</definedName>
    <definedName name="wrn.Consolidated._.Statements." localSheetId="19" hidden="1">{"view1",#N/A,FALSE,"EARN (US$)";"view1",#N/A,FALSE,"DASTBS (US$)";"view1",#N/A,FALSE,"DASTCF (US$)"}</definedName>
    <definedName name="wrn.Consolidated._.Statements." localSheetId="18" hidden="1">{"view1",#N/A,FALSE,"EARN (US$)";"view1",#N/A,FALSE,"DASTBS (US$)";"view1",#N/A,FALSE,"DASTCF (US$)"}</definedName>
    <definedName name="wrn.Consolidated._.Statements." hidden="1">{"view1",#N/A,FALSE,"EARN (US$)";"view1",#N/A,FALSE,"DASTBS (US$)";"view1",#N/A,FALSE,"DASTCF (US$)"}</definedName>
    <definedName name="wrn.Corp.._.Profile." localSheetId="6" hidden="1">{"Corp Pro",#N/A,FALSE,"D"}</definedName>
    <definedName name="wrn.Corp.._.Profile." localSheetId="3" hidden="1">{"Corp Pro",#N/A,FALSE,"D"}</definedName>
    <definedName name="wrn.Corp.._.Profile." localSheetId="5" hidden="1">{"Corp Pro",#N/A,FALSE,"D"}</definedName>
    <definedName name="wrn.Corp.._.Profile." localSheetId="10" hidden="1">{"Corp Pro",#N/A,FALSE,"D"}</definedName>
    <definedName name="wrn.Corp.._.Profile." localSheetId="16" hidden="1">{"Corp Pro",#N/A,FALSE,"D"}</definedName>
    <definedName name="wrn.Corp.._.Profile." localSheetId="19" hidden="1">{"Corp Pro",#N/A,FALSE,"D"}</definedName>
    <definedName name="wrn.Corp.._.Profile." localSheetId="18" hidden="1">{"Corp Pro",#N/A,FALSE,"D"}</definedName>
    <definedName name="wrn.Corp.._.Profile." hidden="1">{"Corp Pro",#N/A,FALSE,"D"}</definedName>
    <definedName name="wrn.Corp.Profile." localSheetId="6" hidden="1">{"Corp. Profile",#N/A,FALSE,"Corporate Profile"}</definedName>
    <definedName name="wrn.Corp.Profile." localSheetId="3" hidden="1">{"Corp. Profile",#N/A,FALSE,"Corporate Profile"}</definedName>
    <definedName name="wrn.Corp.Profile." localSheetId="5" hidden="1">{"Corp. Profile",#N/A,FALSE,"Corporate Profile"}</definedName>
    <definedName name="wrn.Corp.Profile." localSheetId="10" hidden="1">{"Corp. Profile",#N/A,FALSE,"Corporate Profile"}</definedName>
    <definedName name="wrn.Corp.Profile." localSheetId="16" hidden="1">{"Corp. Profile",#N/A,FALSE,"Corporate Profile"}</definedName>
    <definedName name="wrn.Corp.Profile." localSheetId="19" hidden="1">{"Corp. Profile",#N/A,FALSE,"Corporate Profile"}</definedName>
    <definedName name="wrn.Corp.Profile." localSheetId="18" hidden="1">{"Corp. Profile",#N/A,FALSE,"Corporate Profile"}</definedName>
    <definedName name="wrn.Corp.Profile." hidden="1">{"Corp. Profile",#N/A,FALSE,"Corporate Profile"}</definedName>
    <definedName name="wrn.Corporate." localSheetId="6" hidden="1">{"Corporate",#N/A,FALSE,"Corporate Profile"}</definedName>
    <definedName name="wrn.Corporate." localSheetId="3" hidden="1">{"Corporate",#N/A,FALSE,"Corporate Profile"}</definedName>
    <definedName name="wrn.Corporate." localSheetId="5" hidden="1">{"Corporate",#N/A,FALSE,"Corporate Profile"}</definedName>
    <definedName name="wrn.Corporate." localSheetId="10" hidden="1">{"Corporate",#N/A,FALSE,"Corporate Profile"}</definedName>
    <definedName name="wrn.Corporate." localSheetId="16" hidden="1">{"Corporate",#N/A,FALSE,"Corporate Profile"}</definedName>
    <definedName name="wrn.Corporate." localSheetId="19" hidden="1">{"Corporate",#N/A,FALSE,"Corporate Profile"}</definedName>
    <definedName name="wrn.Corporate." localSheetId="18" hidden="1">{"Corporate",#N/A,FALSE,"Corporate Profile"}</definedName>
    <definedName name="wrn.Corporate." hidden="1">{"Corporate",#N/A,FALSE,"Corporate Profile"}</definedName>
    <definedName name="wrn.Corporate._.Profile." localSheetId="6" hidden="1">{"Corporate Profile",#N/A,FALSE,"D"}</definedName>
    <definedName name="wrn.Corporate._.Profile." localSheetId="3" hidden="1">{"Corporate Profile",#N/A,FALSE,"D"}</definedName>
    <definedName name="wrn.Corporate._.Profile." localSheetId="5" hidden="1">{"Corporate Profile",#N/A,FALSE,"D"}</definedName>
    <definedName name="wrn.Corporate._.Profile." localSheetId="10" hidden="1">{"Corporate Profile",#N/A,FALSE,"D"}</definedName>
    <definedName name="wrn.Corporate._.Profile." localSheetId="16" hidden="1">{"Corporate Profile",#N/A,FALSE,"D"}</definedName>
    <definedName name="wrn.Corporate._.Profile." localSheetId="19" hidden="1">{"Corporate Profile",#N/A,FALSE,"D"}</definedName>
    <definedName name="wrn.Corporate._.Profile." localSheetId="18" hidden="1">{"Corporate Profile",#N/A,FALSE,"D"}</definedName>
    <definedName name="wrn.Corporate._.Profile." hidden="1">{"Corporate Profile",#N/A,FALSE,"D"}</definedName>
    <definedName name="wrn.CorporateProfile." localSheetId="6" hidden="1">{"CorporateProfile",#N/A,FALSE,"corp profile"}</definedName>
    <definedName name="wrn.CorporateProfile." localSheetId="3" hidden="1">{"CorporateProfile",#N/A,FALSE,"corp profile"}</definedName>
    <definedName name="wrn.CorporateProfile." localSheetId="5" hidden="1">{"CorporateProfile",#N/A,FALSE,"corp profile"}</definedName>
    <definedName name="wrn.CorporateProfile." localSheetId="10" hidden="1">{"CorporateProfile",#N/A,FALSE,"corp profile"}</definedName>
    <definedName name="wrn.CorporateProfile." localSheetId="16" hidden="1">{"CorporateProfile",#N/A,FALSE,"corp profile"}</definedName>
    <definedName name="wrn.CorporateProfile." localSheetId="19" hidden="1">{"CorporateProfile",#N/A,FALSE,"corp profile"}</definedName>
    <definedName name="wrn.CorporateProfile." localSheetId="18" hidden="1">{"CorporateProfile",#N/A,FALSE,"corp profile"}</definedName>
    <definedName name="wrn.CorporateProfile." hidden="1">{"CorporateProfile",#N/A,FALSE,"corp profile"}</definedName>
    <definedName name="wrn.CORR." localSheetId="6" hidden="1">{"INCSTMT1",#N/A,FALSE,"COR";"INCSTMT2",#N/A,FALSE,"COR"}</definedName>
    <definedName name="wrn.CORR." localSheetId="3" hidden="1">{"INCSTMT1",#N/A,FALSE,"COR";"INCSTMT2",#N/A,FALSE,"COR"}</definedName>
    <definedName name="wrn.CORR." localSheetId="5" hidden="1">{"INCSTMT1",#N/A,FALSE,"COR";"INCSTMT2",#N/A,FALSE,"COR"}</definedName>
    <definedName name="wrn.CORR." localSheetId="10" hidden="1">{"INCSTMT1",#N/A,FALSE,"COR";"INCSTMT2",#N/A,FALSE,"COR"}</definedName>
    <definedName name="wrn.CORR." localSheetId="16" hidden="1">{"INCSTMT1",#N/A,FALSE,"COR";"INCSTMT2",#N/A,FALSE,"COR"}</definedName>
    <definedName name="wrn.CORR." localSheetId="19" hidden="1">{"INCSTMT1",#N/A,FALSE,"COR";"INCSTMT2",#N/A,FALSE,"COR"}</definedName>
    <definedName name="wrn.CORR." localSheetId="18" hidden="1">{"INCSTMT1",#N/A,FALSE,"COR";"INCSTMT2",#N/A,FALSE,"COR"}</definedName>
    <definedName name="wrn.CORR." hidden="1">{"INCSTMT1",#N/A,FALSE,"COR";"INCSTMT2",#N/A,FALSE,"COR"}</definedName>
    <definedName name="wrn.cotop." localSheetId="6" hidden="1">{"ReportTop",#N/A,FALSE,"report top"}</definedName>
    <definedName name="wrn.cotop." localSheetId="3" hidden="1">{"ReportTop",#N/A,FALSE,"report top"}</definedName>
    <definedName name="wrn.cotop." localSheetId="5" hidden="1">{"ReportTop",#N/A,FALSE,"report top"}</definedName>
    <definedName name="wrn.cotop." localSheetId="10" hidden="1">{"ReportTop",#N/A,FALSE,"report top"}</definedName>
    <definedName name="wrn.cotop." localSheetId="16" hidden="1">{"ReportTop",#N/A,FALSE,"report top"}</definedName>
    <definedName name="wrn.cotop." localSheetId="19" hidden="1">{"ReportTop",#N/A,FALSE,"report top"}</definedName>
    <definedName name="wrn.cotop." localSheetId="18" hidden="1">{"ReportTop",#N/A,FALSE,"report top"}</definedName>
    <definedName name="wrn.cotop." hidden="1">{"ReportTop",#N/A,FALSE,"report top"}</definedName>
    <definedName name="wrn.daily." localSheetId="6" hidden="1">{#N/A,#N/A,FALSE,"Major v. River";#N/A,#N/A,FALSE,"Large Operators";#N/A,#N/A,FALSE,"Smaller Operators";#N/A,#N/A,FALSE,"Equip. Supply";#N/A,#N/A,FALSE,"EBITDA"}</definedName>
    <definedName name="wrn.daily." localSheetId="3" hidden="1">{#N/A,#N/A,FALSE,"Major v. River";#N/A,#N/A,FALSE,"Large Operators";#N/A,#N/A,FALSE,"Smaller Operators";#N/A,#N/A,FALSE,"Equip. Supply";#N/A,#N/A,FALSE,"EBITDA"}</definedName>
    <definedName name="wrn.daily." localSheetId="5" hidden="1">{#N/A,#N/A,FALSE,"Major v. River";#N/A,#N/A,FALSE,"Large Operators";#N/A,#N/A,FALSE,"Smaller Operators";#N/A,#N/A,FALSE,"Equip. Supply";#N/A,#N/A,FALSE,"EBITDA"}</definedName>
    <definedName name="wrn.daily." localSheetId="10" hidden="1">{#N/A,#N/A,FALSE,"Major v. River";#N/A,#N/A,FALSE,"Large Operators";#N/A,#N/A,FALSE,"Smaller Operators";#N/A,#N/A,FALSE,"Equip. Supply";#N/A,#N/A,FALSE,"EBITDA"}</definedName>
    <definedName name="wrn.daily." localSheetId="16" hidden="1">{#N/A,#N/A,FALSE,"Major v. River";#N/A,#N/A,FALSE,"Large Operators";#N/A,#N/A,FALSE,"Smaller Operators";#N/A,#N/A,FALSE,"Equip. Supply";#N/A,#N/A,FALSE,"EBITDA"}</definedName>
    <definedName name="wrn.daily." localSheetId="19" hidden="1">{#N/A,#N/A,FALSE,"Major v. River";#N/A,#N/A,FALSE,"Large Operators";#N/A,#N/A,FALSE,"Smaller Operators";#N/A,#N/A,FALSE,"Equip. Supply";#N/A,#N/A,FALSE,"EBITDA"}</definedName>
    <definedName name="wrn.daily." localSheetId="18" hidden="1">{#N/A,#N/A,FALSE,"Major v. River";#N/A,#N/A,FALSE,"Large Operators";#N/A,#N/A,FALSE,"Smaller Operators";#N/A,#N/A,FALSE,"Equip. Supply";#N/A,#N/A,FALSE,"EBITDA"}</definedName>
    <definedName name="wrn.daily." hidden="1">{#N/A,#N/A,FALSE,"Major v. River";#N/A,#N/A,FALSE,"Large Operators";#N/A,#N/A,FALSE,"Smaller Operators";#N/A,#N/A,FALSE,"Equip. Supply";#N/A,#N/A,FALSE,"EBITDA"}</definedName>
    <definedName name="wrn.dcf." localSheetId="5"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16"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19"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localSheetId="18"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dcf." hidden="1">{"dcf_is_annual",#N/A,FALSE,"depr and amort";"dcf_is_annual_cs",#N/A,FALSE,"depr and amort";"dcf_is_annual_growth",#N/A,FALSE,"depr and amort";"dcf_is_quarter",#N/A,FALSE,"depr and amort";"dcf_is_quarter_cs",#N/A,FALSE,"depr and amort";"dcf_is_quarter_growth",#N/A,FALSE,"depr and amort";"dcf_bs_annual",#N/A,FALSE,"depr and amort";"dcf_bs_annual_cs",#N/A,FALSE,"depr and amort";"dcf_bs_annual_growth",#N/A,FALSE,"depr and amort";"dcf_cf_annual",#N/A,FALSE,"depr and amort";"dcf_ratios_1",#N/A,FALSE,"depr and amort";"dcf_ratios_2",#N/A,FALSE,"depr and amort";"dcf_ratios_3",#N/A,FALSE,"depr and amort";"dcf_discountedCF",#N/A,FALSE,"depr and amort";"dcf_terminalCF",#N/A,FALSE,"depr and amort";"dcf_terminal_value",#N/A,FALSE,"depr and amort";"dcf_summary_value",#N/A,FALSE,"depr and amort";"dcf_implied_multiples",#N/A,FALSE,"depr and amort";"dcf_workingcap",#N/A,FALSE,"depr and amort";"dcf_D&amp;A",#N/A,FALSE,"depr and amort"}</definedName>
    <definedName name="wrn.Earnings._.Model."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xist." localSheetId="6" hidden="1">{"Exist1",#N/A,FALSE,"Exist";"exist2",#N/A,FALSE,"Exist"}</definedName>
    <definedName name="wrn.Exist." localSheetId="3" hidden="1">{"Exist1",#N/A,FALSE,"Exist";"exist2",#N/A,FALSE,"Exist"}</definedName>
    <definedName name="wrn.Exist." localSheetId="5" hidden="1">{"Exist1",#N/A,FALSE,"Exist";"exist2",#N/A,FALSE,"Exist"}</definedName>
    <definedName name="wrn.Exist." localSheetId="10" hidden="1">{"Exist1",#N/A,FALSE,"Exist";"exist2",#N/A,FALSE,"Exist"}</definedName>
    <definedName name="wrn.Exist." localSheetId="16" hidden="1">{"Exist1",#N/A,FALSE,"Exist";"exist2",#N/A,FALSE,"Exist"}</definedName>
    <definedName name="wrn.Exist." localSheetId="19" hidden="1">{"Exist1",#N/A,FALSE,"Exist";"exist2",#N/A,FALSE,"Exist"}</definedName>
    <definedName name="wrn.Exist." localSheetId="18" hidden="1">{"Exist1",#N/A,FALSE,"Exist";"exist2",#N/A,FALSE,"Exist"}</definedName>
    <definedName name="wrn.Exist." hidden="1">{"Exist1",#N/A,FALSE,"Exist";"exist2",#N/A,FALSE,"Exist"}</definedName>
    <definedName name="wrn.fixed._.assets." localSheetId="5"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16"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19"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localSheetId="18"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ixed._.assets." hidden="1">{"b",#N/A,FALSE,"Total";"b",#N/A,FALSE,"Grocery Chill";"b",#N/A,FALSE,"Grocery Ambient";"b",#N/A,FALSE,"Grocery Frozen";"b",#N/A,FALSE,"Tankfreight";"b",#N/A,FALSE,"App &amp; Var";"b",#N/A,FALSE,"Ireland";"b",#N/A,FALSE,"Auto &amp; Elec";"b",#N/A,FALSE,"HUD";"b",#N/A,FALSE,"NDP";"b",#N/A,FALSE,"VMS";"b",#N/A,FALSE,"Soln &amp; Hire";"b",#N/A,FALSE,"Taskforce";"b",#N/A,FALSE,"Intl Dev";"b",#N/A,FALSE,"Engineering";"b",#N/A,FALSE,"Central Items";"b",#N/A,FALSE,"Solutions";"b",#N/A,FALSE,"Hire"}</definedName>
    <definedName name="wrn.Forecast._.Q1." localSheetId="6"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3"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5"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0"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6"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9"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8"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6"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5"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0"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6"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9"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8"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6"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5"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0"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6"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9"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8"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6"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3"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5"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0"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6"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9"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8"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6"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5"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0"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6"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9"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8"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6"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5"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0"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6"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9"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8"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ull._.Report." localSheetId="6" hidden="1">{#N/A,#N/A,FALSE,"COVER";#N/A,#N/A,FALSE,"VALUATION";#N/A,#N/A,FALSE,"FORECAST";#N/A,#N/A,FALSE,"FY ANALYSIS ";#N/A,#N/A,FALSE," HY ANALYSIS"}</definedName>
    <definedName name="wrn.Full._.Report." localSheetId="3" hidden="1">{#N/A,#N/A,FALSE,"COVER";#N/A,#N/A,FALSE,"VALUATION";#N/A,#N/A,FALSE,"FORECAST";#N/A,#N/A,FALSE,"FY ANALYSIS ";#N/A,#N/A,FALSE," HY ANALYSIS"}</definedName>
    <definedName name="wrn.Full._.Report." localSheetId="5" hidden="1">{#N/A,#N/A,FALSE,"COVER";#N/A,#N/A,FALSE,"VALUATION";#N/A,#N/A,FALSE,"FORECAST";#N/A,#N/A,FALSE,"FY ANALYSIS ";#N/A,#N/A,FALSE," HY ANALYSIS"}</definedName>
    <definedName name="wrn.Full._.Report." localSheetId="10" hidden="1">{#N/A,#N/A,FALSE,"COVER";#N/A,#N/A,FALSE,"VALUATION";#N/A,#N/A,FALSE,"FORECAST";#N/A,#N/A,FALSE,"FY ANALYSIS ";#N/A,#N/A,FALSE," HY ANALYSIS"}</definedName>
    <definedName name="wrn.Full._.Report." localSheetId="16" hidden="1">{#N/A,#N/A,FALSE,"COVER";#N/A,#N/A,FALSE,"VALUATION";#N/A,#N/A,FALSE,"FORECAST";#N/A,#N/A,FALSE,"FY ANALYSIS ";#N/A,#N/A,FALSE," HY ANALYSIS"}</definedName>
    <definedName name="wrn.Full._.Report." localSheetId="19" hidden="1">{#N/A,#N/A,FALSE,"COVER";#N/A,#N/A,FALSE,"VALUATION";#N/A,#N/A,FALSE,"FORECAST";#N/A,#N/A,FALSE,"FY ANALYSIS ";#N/A,#N/A,FALSE," HY ANALYSIS"}</definedName>
    <definedName name="wrn.Full._.Report." localSheetId="18" hidden="1">{#N/A,#N/A,FALSE,"COVER";#N/A,#N/A,FALSE,"VALUATION";#N/A,#N/A,FALSE,"FORECAST";#N/A,#N/A,FALSE,"FY ANALYSIS ";#N/A,#N/A,FALSE," HY ANALYSIS"}</definedName>
    <definedName name="wrn.Full._.Report." hidden="1">{#N/A,#N/A,FALSE,"COVER";#N/A,#N/A,FALSE,"VALUATION";#N/A,#N/A,FALSE,"FORECAST";#N/A,#N/A,FALSE,"FY ANALYSIS ";#N/A,#N/A,FALSE," HY ANALYSIS"}</definedName>
    <definedName name="wrn.FY97SBP." localSheetId="6" hidden="1">{#N/A,#N/A,FALSE,"FY97";#N/A,#N/A,FALSE,"FY98";#N/A,#N/A,FALSE,"FY99";#N/A,#N/A,FALSE,"FY00";#N/A,#N/A,FALSE,"FY01"}</definedName>
    <definedName name="wrn.FY97SBP." localSheetId="3" hidden="1">{#N/A,#N/A,FALSE,"FY97";#N/A,#N/A,FALSE,"FY98";#N/A,#N/A,FALSE,"FY99";#N/A,#N/A,FALSE,"FY00";#N/A,#N/A,FALSE,"FY01"}</definedName>
    <definedName name="wrn.FY97SBP." localSheetId="5" hidden="1">{#N/A,#N/A,FALSE,"FY97";#N/A,#N/A,FALSE,"FY98";#N/A,#N/A,FALSE,"FY99";#N/A,#N/A,FALSE,"FY00";#N/A,#N/A,FALSE,"FY01"}</definedName>
    <definedName name="wrn.FY97SBP." localSheetId="10" hidden="1">{#N/A,#N/A,FALSE,"FY97";#N/A,#N/A,FALSE,"FY98";#N/A,#N/A,FALSE,"FY99";#N/A,#N/A,FALSE,"FY00";#N/A,#N/A,FALSE,"FY01"}</definedName>
    <definedName name="wrn.FY97SBP." localSheetId="16" hidden="1">{#N/A,#N/A,FALSE,"FY97";#N/A,#N/A,FALSE,"FY98";#N/A,#N/A,FALSE,"FY99";#N/A,#N/A,FALSE,"FY00";#N/A,#N/A,FALSE,"FY01"}</definedName>
    <definedName name="wrn.FY97SBP." localSheetId="19" hidden="1">{#N/A,#N/A,FALSE,"FY97";#N/A,#N/A,FALSE,"FY98";#N/A,#N/A,FALSE,"FY99";#N/A,#N/A,FALSE,"FY00";#N/A,#N/A,FALSE,"FY01"}</definedName>
    <definedName name="wrn.FY97SBP." localSheetId="18" hidden="1">{#N/A,#N/A,FALSE,"FY97";#N/A,#N/A,FALSE,"FY98";#N/A,#N/A,FALSE,"FY99";#N/A,#N/A,FALSE,"FY00";#N/A,#N/A,FALSE,"FY01"}</definedName>
    <definedName name="wrn.FY97SBP." hidden="1">{#N/A,#N/A,FALSE,"FY97";#N/A,#N/A,FALSE,"FY98";#N/A,#N/A,FALSE,"FY99";#N/A,#N/A,FALSE,"FY00";#N/A,#N/A,FALSE,"FY01"}</definedName>
    <definedName name="wrn.historical." localSheetId="5"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16"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19"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localSheetId="18"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 hidden="1">{"historical_is_annual",#N/A,FALSE,"historical is";"historical_is_annual_cs",#N/A,FALSE,"historical is";"historical_is_annual_growth",#N/A,FALSE,"historical is";"historical_is_quarter",#N/A,FALSE,"historical is";"historical_is_quarter_cs",#N/A,FALSE,"historical is";"historical_is_quarter_growth",#N/A,FALSE,"historical is";"historical_bs_annual",#N/A,FALSE,"historical is";"historical_bs_annaul_cs",#N/A,FALSE,"historical is";"historical_bs_annaul_growth",#N/A,FALSE,"historical is";"historical_bs_quarter",#N/A,FALSE,"historical is";"historical_bs_quarter_cs",#N/A,FALSE,"historical is";"historical_bs_quarter_growth",#N/A,FALSE,"historical is";"historical_cf",#N/A,FALSE,"historical is";"historical_workcap",#N/A,FALSE,"historical is";"historical_ratios_1",#N/A,FALSE,"historical is";"historical_ratios_2",#N/A,FALSE,"historical is";"historical_ratios_3",#N/A,FALSE,"historical is"}</definedName>
    <definedName name="wrn.historical._.rev._.backup." localSheetId="5" hidden="1">{"rev_history_revenueDetail",#N/A,FALSE,"historical rev us";"rev_history_minutesDetail",#N/A,FALSE,"historical rev us"}</definedName>
    <definedName name="wrn.historical._.rev._.backup." localSheetId="16" hidden="1">{"rev_history_revenueDetail",#N/A,FALSE,"historical rev us";"rev_history_minutesDetail",#N/A,FALSE,"historical rev us"}</definedName>
    <definedName name="wrn.historical._.rev._.backup." localSheetId="19" hidden="1">{"rev_history_revenueDetail",#N/A,FALSE,"historical rev us";"rev_history_minutesDetail",#N/A,FALSE,"historical rev us"}</definedName>
    <definedName name="wrn.historical._.rev._.backup." localSheetId="18" hidden="1">{"rev_history_revenueDetail",#N/A,FALSE,"historical rev us";"rev_history_minutesDetail",#N/A,FALSE,"historical rev us"}</definedName>
    <definedName name="wrn.historical._.rev._.backup." hidden="1">{"rev_history_revenueDetail",#N/A,FALSE,"historical rev us";"rev_history_minutesDetail",#N/A,FALSE,"historical rev us"}</definedName>
    <definedName name="wrn.IGT._.Model." localSheetId="6" hidden="1">{#N/A,#N/A,TRUE,"IGT";#N/A,#N/A,TRUE,"IGTSLOT"}</definedName>
    <definedName name="wrn.IGT._.Model." localSheetId="3" hidden="1">{#N/A,#N/A,TRUE,"IGT";#N/A,#N/A,TRUE,"IGTSLOT"}</definedName>
    <definedName name="wrn.IGT._.Model." localSheetId="5" hidden="1">{#N/A,#N/A,TRUE,"IGT";#N/A,#N/A,TRUE,"IGTSLOT"}</definedName>
    <definedName name="wrn.IGT._.Model." localSheetId="10" hidden="1">{#N/A,#N/A,TRUE,"IGT";#N/A,#N/A,TRUE,"IGTSLOT"}</definedName>
    <definedName name="wrn.IGT._.Model." localSheetId="16" hidden="1">{#N/A,#N/A,TRUE,"IGT";#N/A,#N/A,TRUE,"IGTSLOT"}</definedName>
    <definedName name="wrn.IGT._.Model." localSheetId="19" hidden="1">{#N/A,#N/A,TRUE,"IGT";#N/A,#N/A,TRUE,"IGTSLOT"}</definedName>
    <definedName name="wrn.IGT._.Model." localSheetId="18" hidden="1">{#N/A,#N/A,TRUE,"IGT";#N/A,#N/A,TRUE,"IGTSLOT"}</definedName>
    <definedName name="wrn.IGT._.Model." hidden="1">{#N/A,#N/A,TRUE,"IGT";#N/A,#N/A,TRUE,"IGTSLOT"}</definedName>
    <definedName name="wrn.Income._.Q96." localSheetId="6" hidden="1">{#N/A,#N/A,FALSE,"Income Statement"}</definedName>
    <definedName name="wrn.Income._.Q96." localSheetId="3" hidden="1">{#N/A,#N/A,FALSE,"Income Statement"}</definedName>
    <definedName name="wrn.Income._.Q96." localSheetId="5" hidden="1">{#N/A,#N/A,FALSE,"Income Statement"}</definedName>
    <definedName name="wrn.Income._.Q96." localSheetId="10" hidden="1">{#N/A,#N/A,FALSE,"Income Statement"}</definedName>
    <definedName name="wrn.Income._.Q96." localSheetId="16" hidden="1">{#N/A,#N/A,FALSE,"Income Statement"}</definedName>
    <definedName name="wrn.Income._.Q96." localSheetId="19" hidden="1">{#N/A,#N/A,FALSE,"Income Statement"}</definedName>
    <definedName name="wrn.Income._.Q96." localSheetId="18" hidden="1">{#N/A,#N/A,FALSE,"Income Statement"}</definedName>
    <definedName name="wrn.Income._.Q96." hidden="1">{#N/A,#N/A,FALSE,"Income Statement"}</definedName>
    <definedName name="wrn.Income._.Q97." localSheetId="6" hidden="1">{#N/A,#N/A,FALSE,"Income Statement"}</definedName>
    <definedName name="wrn.Income._.Q97." localSheetId="3" hidden="1">{#N/A,#N/A,FALSE,"Income Statement"}</definedName>
    <definedName name="wrn.Income._.Q97." localSheetId="5" hidden="1">{#N/A,#N/A,FALSE,"Income Statement"}</definedName>
    <definedName name="wrn.Income._.Q97." localSheetId="10" hidden="1">{#N/A,#N/A,FALSE,"Income Statement"}</definedName>
    <definedName name="wrn.Income._.Q97." localSheetId="16" hidden="1">{#N/A,#N/A,FALSE,"Income Statement"}</definedName>
    <definedName name="wrn.Income._.Q97." localSheetId="19" hidden="1">{#N/A,#N/A,FALSE,"Income Statement"}</definedName>
    <definedName name="wrn.Income._.Q97." localSheetId="18" hidden="1">{#N/A,#N/A,FALSE,"Income Statement"}</definedName>
    <definedName name="wrn.Income._.Q97." hidden="1">{#N/A,#N/A,FALSE,"Income Statement"}</definedName>
    <definedName name="wrn.Income._.Statement." localSheetId="6" hidden="1">{"income statement",#N/A,FALSE,"ATLAS-A"}</definedName>
    <definedName name="wrn.Income._.Statement." localSheetId="3" hidden="1">{"income statement",#N/A,FALSE,"ATLAS-A"}</definedName>
    <definedName name="wrn.Income._.Statement." localSheetId="5" hidden="1">{"income statement",#N/A,FALSE,"ATLAS-A"}</definedName>
    <definedName name="wrn.Income._.Statement." localSheetId="10" hidden="1">{"income statement",#N/A,FALSE,"ATLAS-A"}</definedName>
    <definedName name="wrn.Income._.Statement." localSheetId="16" hidden="1">{"income statement",#N/A,FALSE,"ATLAS-A"}</definedName>
    <definedName name="wrn.Income._.Statement." localSheetId="19" hidden="1">{"income statement",#N/A,FALSE,"ATLAS-A"}</definedName>
    <definedName name="wrn.Income._.Statement." localSheetId="18" hidden="1">{"income statement",#N/A,FALSE,"ATLAS-A"}</definedName>
    <definedName name="wrn.Income._.Statement." hidden="1">{"income statement",#N/A,FALSE,"ATLAS-A"}</definedName>
    <definedName name="wrn.Income._.Stmt." localSheetId="6" hidden="1">{"Income Stmt",#N/A,FALSE,"Model"}</definedName>
    <definedName name="wrn.Income._.Stmt." localSheetId="3" hidden="1">{"Income Stmt",#N/A,FALSE,"Model"}</definedName>
    <definedName name="wrn.Income._.Stmt." localSheetId="5" hidden="1">{"Income Stmt",#N/A,FALSE,"Model"}</definedName>
    <definedName name="wrn.Income._.Stmt." localSheetId="10" hidden="1">{"Income Stmt",#N/A,FALSE,"Model"}</definedName>
    <definedName name="wrn.Income._.Stmt." localSheetId="16" hidden="1">{"Income Stmt",#N/A,FALSE,"Model"}</definedName>
    <definedName name="wrn.Income._.Stmt." localSheetId="19" hidden="1">{"Income Stmt",#N/A,FALSE,"Model"}</definedName>
    <definedName name="wrn.Income._.Stmt." localSheetId="18" hidden="1">{"Income Stmt",#N/A,FALSE,"Model"}</definedName>
    <definedName name="wrn.Income._.Stmt." hidden="1">{"Income Stmt",#N/A,FALSE,"Model"}</definedName>
    <definedName name="wrn.Income._.Years." localSheetId="6" hidden="1">{#N/A,#N/A,FALSE,"Income Statement"}</definedName>
    <definedName name="wrn.Income._.Years." localSheetId="3" hidden="1">{#N/A,#N/A,FALSE,"Income Statement"}</definedName>
    <definedName name="wrn.Income._.Years." localSheetId="5" hidden="1">{#N/A,#N/A,FALSE,"Income Statement"}</definedName>
    <definedName name="wrn.Income._.Years." localSheetId="10" hidden="1">{#N/A,#N/A,FALSE,"Income Statement"}</definedName>
    <definedName name="wrn.Income._.Years." localSheetId="16" hidden="1">{#N/A,#N/A,FALSE,"Income Statement"}</definedName>
    <definedName name="wrn.Income._.Years." localSheetId="19" hidden="1">{#N/A,#N/A,FALSE,"Income Statement"}</definedName>
    <definedName name="wrn.Income._.Years." localSheetId="18" hidden="1">{#N/A,#N/A,FALSE,"Income Statement"}</definedName>
    <definedName name="wrn.Income._.Years." hidden="1">{#N/A,#N/A,FALSE,"Income Statement"}</definedName>
    <definedName name="wrn.India." localSheetId="6" hidden="1">{"India",#N/A,FALSE,"India"}</definedName>
    <definedName name="wrn.India." localSheetId="3" hidden="1">{"India",#N/A,FALSE,"India"}</definedName>
    <definedName name="wrn.India." localSheetId="5" hidden="1">{"India",#N/A,FALSE,"India"}</definedName>
    <definedName name="wrn.India." localSheetId="10" hidden="1">{"India",#N/A,FALSE,"India"}</definedName>
    <definedName name="wrn.India." localSheetId="16" hidden="1">{"India",#N/A,FALSE,"India"}</definedName>
    <definedName name="wrn.India." localSheetId="19" hidden="1">{"India",#N/A,FALSE,"India"}</definedName>
    <definedName name="wrn.India." localSheetId="18" hidden="1">{"India",#N/A,FALSE,"India"}</definedName>
    <definedName name="wrn.India." hidden="1">{"India",#N/A,FALSE,"India"}</definedName>
    <definedName name="wrn.Industry.xls." localSheetId="6" hidden="1">{#N/A,#N/A,FALSE,"Earnings";#N/A,#N/A,FALSE,"Overview";#N/A,#N/A,FALSE,"Summary";#N/A,#N/A,FALSE,"Summary II";#N/A,#N/A,FALSE,"R&amp;D";#N/A,#N/A,FALSE,"R&amp;D Forecast";#N/A,#N/A,FALSE,"Tax Adj";#N/A,#N/A,FALSE,"Goodwill";#N/A,#N/A,FALSE,"FX ";#N/A,#N/A,FALSE,"Consolidation";#N/A,#N/A,FALSE,"Provisions"}</definedName>
    <definedName name="wrn.Industry.xls." localSheetId="3" hidden="1">{#N/A,#N/A,FALSE,"Earnings";#N/A,#N/A,FALSE,"Overview";#N/A,#N/A,FALSE,"Summary";#N/A,#N/A,FALSE,"Summary II";#N/A,#N/A,FALSE,"R&amp;D";#N/A,#N/A,FALSE,"R&amp;D Forecast";#N/A,#N/A,FALSE,"Tax Adj";#N/A,#N/A,FALSE,"Goodwill";#N/A,#N/A,FALSE,"FX ";#N/A,#N/A,FALSE,"Consolidation";#N/A,#N/A,FALSE,"Provisions"}</definedName>
    <definedName name="wrn.Industry.xls." localSheetId="5" hidden="1">{#N/A,#N/A,FALSE,"Earnings";#N/A,#N/A,FALSE,"Overview";#N/A,#N/A,FALSE,"Summary";#N/A,#N/A,FALSE,"Summary II";#N/A,#N/A,FALSE,"R&amp;D";#N/A,#N/A,FALSE,"R&amp;D Forecast";#N/A,#N/A,FALSE,"Tax Adj";#N/A,#N/A,FALSE,"Goodwill";#N/A,#N/A,FALSE,"FX ";#N/A,#N/A,FALSE,"Consolidation";#N/A,#N/A,FALSE,"Provisions"}</definedName>
    <definedName name="wrn.Industry.xls." localSheetId="10" hidden="1">{#N/A,#N/A,FALSE,"Earnings";#N/A,#N/A,FALSE,"Overview";#N/A,#N/A,FALSE,"Summary";#N/A,#N/A,FALSE,"Summary II";#N/A,#N/A,FALSE,"R&amp;D";#N/A,#N/A,FALSE,"R&amp;D Forecast";#N/A,#N/A,FALSE,"Tax Adj";#N/A,#N/A,FALSE,"Goodwill";#N/A,#N/A,FALSE,"FX ";#N/A,#N/A,FALSE,"Consolidation";#N/A,#N/A,FALSE,"Provisions"}</definedName>
    <definedName name="wrn.Industry.xls." localSheetId="16" hidden="1">{#N/A,#N/A,FALSE,"Earnings";#N/A,#N/A,FALSE,"Overview";#N/A,#N/A,FALSE,"Summary";#N/A,#N/A,FALSE,"Summary II";#N/A,#N/A,FALSE,"R&amp;D";#N/A,#N/A,FALSE,"R&amp;D Forecast";#N/A,#N/A,FALSE,"Tax Adj";#N/A,#N/A,FALSE,"Goodwill";#N/A,#N/A,FALSE,"FX ";#N/A,#N/A,FALSE,"Consolidation";#N/A,#N/A,FALSE,"Provisions"}</definedName>
    <definedName name="wrn.Industry.xls." localSheetId="19" hidden="1">{#N/A,#N/A,FALSE,"Earnings";#N/A,#N/A,FALSE,"Overview";#N/A,#N/A,FALSE,"Summary";#N/A,#N/A,FALSE,"Summary II";#N/A,#N/A,FALSE,"R&amp;D";#N/A,#N/A,FALSE,"R&amp;D Forecast";#N/A,#N/A,FALSE,"Tax Adj";#N/A,#N/A,FALSE,"Goodwill";#N/A,#N/A,FALSE,"FX ";#N/A,#N/A,FALSE,"Consolidation";#N/A,#N/A,FALSE,"Provisions"}</definedName>
    <definedName name="wrn.Industry.xls." localSheetId="18" hidden="1">{#N/A,#N/A,FALSE,"Earnings";#N/A,#N/A,FALSE,"Overview";#N/A,#N/A,FALSE,"Summary";#N/A,#N/A,FALSE,"Summary II";#N/A,#N/A,FALSE,"R&amp;D";#N/A,#N/A,FALSE,"R&amp;D Forecast";#N/A,#N/A,FALSE,"Tax Adj";#N/A,#N/A,FALSE,"Goodwill";#N/A,#N/A,FALSE,"FX ";#N/A,#N/A,FALSE,"Consolidation";#N/A,#N/A,FALSE,"Provisions"}</definedName>
    <definedName name="wrn.Industry.xls." hidden="1">{#N/A,#N/A,FALSE,"Earnings";#N/A,#N/A,FALSE,"Overview";#N/A,#N/A,FALSE,"Summary";#N/A,#N/A,FALSE,"Summary II";#N/A,#N/A,FALSE,"R&amp;D";#N/A,#N/A,FALSE,"R&amp;D Forecast";#N/A,#N/A,FALSE,"Tax Adj";#N/A,#N/A,FALSE,"Goodwill";#N/A,#N/A,FALSE,"FX ";#N/A,#N/A,FALSE,"Consolidation";#N/A,#N/A,FALSE,"Provisions"}</definedName>
    <definedName name="wrn.Internal._.is." localSheetId="6" hidden="1">{"Internal is",#N/A,FALSE,"Model"}</definedName>
    <definedName name="wrn.Internal._.is." localSheetId="3" hidden="1">{"Internal is",#N/A,FALSE,"Model"}</definedName>
    <definedName name="wrn.Internal._.is." localSheetId="5" hidden="1">{"Internal is",#N/A,FALSE,"Model"}</definedName>
    <definedName name="wrn.Internal._.is." localSheetId="10" hidden="1">{"Internal is",#N/A,FALSE,"Model"}</definedName>
    <definedName name="wrn.Internal._.is." localSheetId="16" hidden="1">{"Internal is",#N/A,FALSE,"Model"}</definedName>
    <definedName name="wrn.Internal._.is." localSheetId="19" hidden="1">{"Internal is",#N/A,FALSE,"Model"}</definedName>
    <definedName name="wrn.Internal._.is." localSheetId="18" hidden="1">{"Internal is",#N/A,FALSE,"Model"}</definedName>
    <definedName name="wrn.Internal._.is." hidden="1">{"Internal is",#N/A,FALSE,"Model"}</definedName>
    <definedName name="wrn.IS._.All." localSheetId="6" hidden="1">{"IS Q95",#N/A,FALSE,"C";"IS Q96",#N/A,FALSE,"C";"IS Years",#N/A,FALSE,"C"}</definedName>
    <definedName name="wrn.IS._.All." localSheetId="3" hidden="1">{"IS Q95",#N/A,FALSE,"C";"IS Q96",#N/A,FALSE,"C";"IS Years",#N/A,FALSE,"C"}</definedName>
    <definedName name="wrn.IS._.All." localSheetId="5" hidden="1">{"IS Q95",#N/A,FALSE,"C";"IS Q96",#N/A,FALSE,"C";"IS Years",#N/A,FALSE,"C"}</definedName>
    <definedName name="wrn.IS._.All." localSheetId="10" hidden="1">{"IS Q95",#N/A,FALSE,"C";"IS Q96",#N/A,FALSE,"C";"IS Years",#N/A,FALSE,"C"}</definedName>
    <definedName name="wrn.IS._.All." localSheetId="16" hidden="1">{"IS Q95",#N/A,FALSE,"C";"IS Q96",#N/A,FALSE,"C";"IS Years",#N/A,FALSE,"C"}</definedName>
    <definedName name="wrn.IS._.All." localSheetId="19" hidden="1">{"IS Q95",#N/A,FALSE,"C";"IS Q96",#N/A,FALSE,"C";"IS Years",#N/A,FALSE,"C"}</definedName>
    <definedName name="wrn.IS._.All." localSheetId="18" hidden="1">{"IS Q95",#N/A,FALSE,"C";"IS Q96",#N/A,FALSE,"C";"IS Years",#N/A,FALSE,"C"}</definedName>
    <definedName name="wrn.IS._.All." hidden="1">{"IS Q95",#N/A,FALSE,"C";"IS Q96",#N/A,FALSE,"C";"IS Years",#N/A,FALSE,"C"}</definedName>
    <definedName name="wrn.IS._.Annual." localSheetId="6" hidden="1">{"IS Annual",#N/A,FALSE,"Income Statement"}</definedName>
    <definedName name="wrn.IS._.Annual." localSheetId="3" hidden="1">{"IS Annual",#N/A,FALSE,"Income Statement"}</definedName>
    <definedName name="wrn.IS._.Annual." localSheetId="5" hidden="1">{"IS Annual",#N/A,FALSE,"Income Statement"}</definedName>
    <definedName name="wrn.IS._.Annual." localSheetId="10" hidden="1">{"IS Annual",#N/A,FALSE,"Income Statement"}</definedName>
    <definedName name="wrn.IS._.Annual." localSheetId="16" hidden="1">{"IS Annual",#N/A,FALSE,"Income Statement"}</definedName>
    <definedName name="wrn.IS._.Annual." localSheetId="19" hidden="1">{"IS Annual",#N/A,FALSE,"Income Statement"}</definedName>
    <definedName name="wrn.IS._.Annual." localSheetId="18" hidden="1">{"IS Annual",#N/A,FALSE,"Income Statement"}</definedName>
    <definedName name="wrn.IS._.Annual." hidden="1">{"IS Annual",#N/A,FALSE,"Income Statement"}</definedName>
    <definedName name="wrn.IS._.Q._.96." localSheetId="6" hidden="1">{"IS Q 96",#N/A,FALSE,"C"}</definedName>
    <definedName name="wrn.IS._.Q._.96." localSheetId="3" hidden="1">{"IS Q 96",#N/A,FALSE,"C"}</definedName>
    <definedName name="wrn.IS._.Q._.96." localSheetId="5" hidden="1">{"IS Q 96",#N/A,FALSE,"C"}</definedName>
    <definedName name="wrn.IS._.Q._.96." localSheetId="10" hidden="1">{"IS Q 96",#N/A,FALSE,"C"}</definedName>
    <definedName name="wrn.IS._.Q._.96." localSheetId="16" hidden="1">{"IS Q 96",#N/A,FALSE,"C"}</definedName>
    <definedName name="wrn.IS._.Q._.96." localSheetId="19" hidden="1">{"IS Q 96",#N/A,FALSE,"C"}</definedName>
    <definedName name="wrn.IS._.Q._.96." localSheetId="18" hidden="1">{"IS Q 96",#N/A,FALSE,"C"}</definedName>
    <definedName name="wrn.IS._.Q._.96." hidden="1">{"IS Q 96",#N/A,FALSE,"C"}</definedName>
    <definedName name="wrn.IS._.Q95." localSheetId="6" hidden="1">{"IS Q95",#N/A,FALSE,"C"}</definedName>
    <definedName name="wrn.IS._.Q95." localSheetId="3" hidden="1">{"IS Q95",#N/A,FALSE,"C"}</definedName>
    <definedName name="wrn.IS._.Q95." localSheetId="5" hidden="1">{"IS Q95",#N/A,FALSE,"C"}</definedName>
    <definedName name="wrn.IS._.Q95." localSheetId="10" hidden="1">{"IS Q95",#N/A,FALSE,"C"}</definedName>
    <definedName name="wrn.IS._.Q95." localSheetId="16" hidden="1">{"IS Q95",#N/A,FALSE,"C"}</definedName>
    <definedName name="wrn.IS._.Q95." localSheetId="19" hidden="1">{"IS Q95",#N/A,FALSE,"C"}</definedName>
    <definedName name="wrn.IS._.Q95." localSheetId="18" hidden="1">{"IS Q95",#N/A,FALSE,"C"}</definedName>
    <definedName name="wrn.IS._.Q95." hidden="1">{"IS Q95",#N/A,FALSE,"C"}</definedName>
    <definedName name="wrn.IS._.Q96." localSheetId="6" hidden="1">{"IS Q96",#N/A,FALSE,"C"}</definedName>
    <definedName name="wrn.IS._.Q96." localSheetId="3" hidden="1">{"IS Q96",#N/A,FALSE,"C"}</definedName>
    <definedName name="wrn.IS._.Q96." localSheetId="5" hidden="1">{"IS Q96",#N/A,FALSE,"C"}</definedName>
    <definedName name="wrn.IS._.Q96." localSheetId="10" hidden="1">{"IS Q96",#N/A,FALSE,"C"}</definedName>
    <definedName name="wrn.IS._.Q96." localSheetId="16" hidden="1">{"IS Q96",#N/A,FALSE,"C"}</definedName>
    <definedName name="wrn.IS._.Q96." localSheetId="19" hidden="1">{"IS Q96",#N/A,FALSE,"C"}</definedName>
    <definedName name="wrn.IS._.Q96." localSheetId="18" hidden="1">{"IS Q96",#N/A,FALSE,"C"}</definedName>
    <definedName name="wrn.IS._.Q96." hidden="1">{"IS Q96",#N/A,FALSE,"C"}</definedName>
    <definedName name="wrn.IS._.Q97." localSheetId="6" hidden="1">{"IS Q97",#N/A,FALSE,"C"}</definedName>
    <definedName name="wrn.IS._.Q97." localSheetId="3" hidden="1">{"IS Q97",#N/A,FALSE,"C"}</definedName>
    <definedName name="wrn.IS._.Q97." localSheetId="5" hidden="1">{"IS Q97",#N/A,FALSE,"C"}</definedName>
    <definedName name="wrn.IS._.Q97." localSheetId="10" hidden="1">{"IS Q97",#N/A,FALSE,"C"}</definedName>
    <definedName name="wrn.IS._.Q97." localSheetId="16" hidden="1">{"IS Q97",#N/A,FALSE,"C"}</definedName>
    <definedName name="wrn.IS._.Q97." localSheetId="19" hidden="1">{"IS Q97",#N/A,FALSE,"C"}</definedName>
    <definedName name="wrn.IS._.Q97." localSheetId="18" hidden="1">{"IS Q97",#N/A,FALSE,"C"}</definedName>
    <definedName name="wrn.IS._.Q97." hidden="1">{"IS Q97",#N/A,FALSE,"C"}</definedName>
    <definedName name="wrn.IS._.Qtr.." localSheetId="6" hidden="1">{"IS Qtr.",#N/A,FALSE,"Income Statement"}</definedName>
    <definedName name="wrn.IS._.Qtr.." localSheetId="3" hidden="1">{"IS Qtr.",#N/A,FALSE,"Income Statement"}</definedName>
    <definedName name="wrn.IS._.Qtr.." localSheetId="5" hidden="1">{"IS Qtr.",#N/A,FALSE,"Income Statement"}</definedName>
    <definedName name="wrn.IS._.Qtr.." localSheetId="10" hidden="1">{"IS Qtr.",#N/A,FALSE,"Income Statement"}</definedName>
    <definedName name="wrn.IS._.Qtr.." localSheetId="16" hidden="1">{"IS Qtr.",#N/A,FALSE,"Income Statement"}</definedName>
    <definedName name="wrn.IS._.Qtr.." localSheetId="19" hidden="1">{"IS Qtr.",#N/A,FALSE,"Income Statement"}</definedName>
    <definedName name="wrn.IS._.Qtr.." localSheetId="18" hidden="1">{"IS Qtr.",#N/A,FALSE,"Income Statement"}</definedName>
    <definedName name="wrn.IS._.Qtr.." hidden="1">{"IS Qtr.",#N/A,FALSE,"Income Statement"}</definedName>
    <definedName name="wrn.IS._.Quarterly." localSheetId="6" hidden="1">{"IS 96Q",#N/A,FALSE,"Income Statement";"IS 97Q",#N/A,FALSE,"Income Statement"}</definedName>
    <definedName name="wrn.IS._.Quarterly." localSheetId="3" hidden="1">{"IS 96Q",#N/A,FALSE,"Income Statement";"IS 97Q",#N/A,FALSE,"Income Statement"}</definedName>
    <definedName name="wrn.IS._.Quarterly." localSheetId="5" hidden="1">{"IS 96Q",#N/A,FALSE,"Income Statement";"IS 97Q",#N/A,FALSE,"Income Statement"}</definedName>
    <definedName name="wrn.IS._.Quarterly." localSheetId="10" hidden="1">{"IS 96Q",#N/A,FALSE,"Income Statement";"IS 97Q",#N/A,FALSE,"Income Statement"}</definedName>
    <definedName name="wrn.IS._.Quarterly." localSheetId="16" hidden="1">{"IS 96Q",#N/A,FALSE,"Income Statement";"IS 97Q",#N/A,FALSE,"Income Statement"}</definedName>
    <definedName name="wrn.IS._.Quarterly." localSheetId="19" hidden="1">{"IS 96Q",#N/A,FALSE,"Income Statement";"IS 97Q",#N/A,FALSE,"Income Statement"}</definedName>
    <definedName name="wrn.IS._.Quarterly." localSheetId="18" hidden="1">{"IS 96Q",#N/A,FALSE,"Income Statement";"IS 97Q",#N/A,FALSE,"Income Statement"}</definedName>
    <definedName name="wrn.IS._.Quarterly." hidden="1">{"IS 96Q",#N/A,FALSE,"Income Statement";"IS 97Q",#N/A,FALSE,"Income Statement"}</definedName>
    <definedName name="wrn.IS._.Yearly." localSheetId="6" hidden="1">{"IS Years",#N/A,FALSE,"Income Statement"}</definedName>
    <definedName name="wrn.IS._.Yearly." localSheetId="3" hidden="1">{"IS Years",#N/A,FALSE,"Income Statement"}</definedName>
    <definedName name="wrn.IS._.Yearly." localSheetId="5" hidden="1">{"IS Years",#N/A,FALSE,"Income Statement"}</definedName>
    <definedName name="wrn.IS._.Yearly." localSheetId="10" hidden="1">{"IS Years",#N/A,FALSE,"Income Statement"}</definedName>
    <definedName name="wrn.IS._.Yearly." localSheetId="16" hidden="1">{"IS Years",#N/A,FALSE,"Income Statement"}</definedName>
    <definedName name="wrn.IS._.Yearly." localSheetId="19" hidden="1">{"IS Years",#N/A,FALSE,"Income Statement"}</definedName>
    <definedName name="wrn.IS._.Yearly." localSheetId="18" hidden="1">{"IS Years",#N/A,FALSE,"Income Statement"}</definedName>
    <definedName name="wrn.IS._.Yearly." hidden="1">{"IS Years",#N/A,FALSE,"Income Statement"}</definedName>
    <definedName name="wrn.IS._.Years." localSheetId="6" hidden="1">{"IS Years",#N/A,FALSE,"C"}</definedName>
    <definedName name="wrn.IS._.Years." localSheetId="3" hidden="1">{"IS Years",#N/A,FALSE,"C"}</definedName>
    <definedName name="wrn.IS._.Years." localSheetId="5" hidden="1">{"IS Years",#N/A,FALSE,"C"}</definedName>
    <definedName name="wrn.IS._.Years." localSheetId="10" hidden="1">{"IS Years",#N/A,FALSE,"C"}</definedName>
    <definedName name="wrn.IS._.Years." localSheetId="16" hidden="1">{"IS Years",#N/A,FALSE,"C"}</definedName>
    <definedName name="wrn.IS._.Years." localSheetId="19" hidden="1">{"IS Years",#N/A,FALSE,"C"}</definedName>
    <definedName name="wrn.IS._.Years." localSheetId="18" hidden="1">{"IS Years",#N/A,FALSE,"C"}</definedName>
    <definedName name="wrn.IS._.Years." hidden="1">{"IS Years",#N/A,FALSE,"C"}</definedName>
    <definedName name="wrn.JODM._.Graphs." localSheetId="6" hidden="1">{"graph",#N/A,FALSE,"WWJU";"graph",#N/A,FALSE,"WWSEM";"graph",#N/A,FALSE,"GOMJU";"graph",#N/A,FALSE,"GOMSEM";"graph",#N/A,FALSE,"NSJU";"graph",#N/A,FALSE,"NSSEM";"graph",#N/A,FALSE,"WAJU";"graph",#N/A,FALSE,"STOCKPRI";"graph",#N/A,FALSE,"CFTEV";"graph",#N/A,FALSE,"NAV-RCV";"graph",#N/A,FALSE,"CRUDEWW"}</definedName>
    <definedName name="wrn.JODM._.Graphs." localSheetId="3" hidden="1">{"graph",#N/A,FALSE,"WWJU";"graph",#N/A,FALSE,"WWSEM";"graph",#N/A,FALSE,"GOMJU";"graph",#N/A,FALSE,"GOMSEM";"graph",#N/A,FALSE,"NSJU";"graph",#N/A,FALSE,"NSSEM";"graph",#N/A,FALSE,"WAJU";"graph",#N/A,FALSE,"STOCKPRI";"graph",#N/A,FALSE,"CFTEV";"graph",#N/A,FALSE,"NAV-RCV";"graph",#N/A,FALSE,"CRUDEWW"}</definedName>
    <definedName name="wrn.JODM._.Graphs." localSheetId="5" hidden="1">{"graph",#N/A,FALSE,"WWJU";"graph",#N/A,FALSE,"WWSEM";"graph",#N/A,FALSE,"GOMJU";"graph",#N/A,FALSE,"GOMSEM";"graph",#N/A,FALSE,"NSJU";"graph",#N/A,FALSE,"NSSEM";"graph",#N/A,FALSE,"WAJU";"graph",#N/A,FALSE,"STOCKPRI";"graph",#N/A,FALSE,"CFTEV";"graph",#N/A,FALSE,"NAV-RCV";"graph",#N/A,FALSE,"CRUDEWW"}</definedName>
    <definedName name="wrn.JODM._.Graphs." localSheetId="10" hidden="1">{"graph",#N/A,FALSE,"WWJU";"graph",#N/A,FALSE,"WWSEM";"graph",#N/A,FALSE,"GOMJU";"graph",#N/A,FALSE,"GOMSEM";"graph",#N/A,FALSE,"NSJU";"graph",#N/A,FALSE,"NSSEM";"graph",#N/A,FALSE,"WAJU";"graph",#N/A,FALSE,"STOCKPRI";"graph",#N/A,FALSE,"CFTEV";"graph",#N/A,FALSE,"NAV-RCV";"graph",#N/A,FALSE,"CRUDEWW"}</definedName>
    <definedName name="wrn.JODM._.Graphs." localSheetId="16" hidden="1">{"graph",#N/A,FALSE,"WWJU";"graph",#N/A,FALSE,"WWSEM";"graph",#N/A,FALSE,"GOMJU";"graph",#N/A,FALSE,"GOMSEM";"graph",#N/A,FALSE,"NSJU";"graph",#N/A,FALSE,"NSSEM";"graph",#N/A,FALSE,"WAJU";"graph",#N/A,FALSE,"STOCKPRI";"graph",#N/A,FALSE,"CFTEV";"graph",#N/A,FALSE,"NAV-RCV";"graph",#N/A,FALSE,"CRUDEWW"}</definedName>
    <definedName name="wrn.JODM._.Graphs." localSheetId="19" hidden="1">{"graph",#N/A,FALSE,"WWJU";"graph",#N/A,FALSE,"WWSEM";"graph",#N/A,FALSE,"GOMJU";"graph",#N/A,FALSE,"GOMSEM";"graph",#N/A,FALSE,"NSJU";"graph",#N/A,FALSE,"NSSEM";"graph",#N/A,FALSE,"WAJU";"graph",#N/A,FALSE,"STOCKPRI";"graph",#N/A,FALSE,"CFTEV";"graph",#N/A,FALSE,"NAV-RCV";"graph",#N/A,FALSE,"CRUDEWW"}</definedName>
    <definedName name="wrn.JODM._.Graphs." localSheetId="18"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Leases.xls." localSheetId="6" hidden="1">{#N/A,#N/A,FALSE,"Initial Year";#N/A,#N/A,FALSE,"Historical";#N/A,#N/A,FALSE,"balsheet";#N/A,#N/A,FALSE,"incstate";#N/A,#N/A,FALSE,"Fleet"}</definedName>
    <definedName name="wrn.Leases.xls." localSheetId="3" hidden="1">{#N/A,#N/A,FALSE,"Initial Year";#N/A,#N/A,FALSE,"Historical";#N/A,#N/A,FALSE,"balsheet";#N/A,#N/A,FALSE,"incstate";#N/A,#N/A,FALSE,"Fleet"}</definedName>
    <definedName name="wrn.Leases.xls." localSheetId="5" hidden="1">{#N/A,#N/A,FALSE,"Initial Year";#N/A,#N/A,FALSE,"Historical";#N/A,#N/A,FALSE,"balsheet";#N/A,#N/A,FALSE,"incstate";#N/A,#N/A,FALSE,"Fleet"}</definedName>
    <definedName name="wrn.Leases.xls." localSheetId="10" hidden="1">{#N/A,#N/A,FALSE,"Initial Year";#N/A,#N/A,FALSE,"Historical";#N/A,#N/A,FALSE,"balsheet";#N/A,#N/A,FALSE,"incstate";#N/A,#N/A,FALSE,"Fleet"}</definedName>
    <definedName name="wrn.Leases.xls." localSheetId="16" hidden="1">{#N/A,#N/A,FALSE,"Initial Year";#N/A,#N/A,FALSE,"Historical";#N/A,#N/A,FALSE,"balsheet";#N/A,#N/A,FALSE,"incstate";#N/A,#N/A,FALSE,"Fleet"}</definedName>
    <definedName name="wrn.Leases.xls." localSheetId="19" hidden="1">{#N/A,#N/A,FALSE,"Initial Year";#N/A,#N/A,FALSE,"Historical";#N/A,#N/A,FALSE,"balsheet";#N/A,#N/A,FALSE,"incstate";#N/A,#N/A,FALSE,"Fleet"}</definedName>
    <definedName name="wrn.Leases.xls." localSheetId="18" hidden="1">{#N/A,#N/A,FALSE,"Initial Year";#N/A,#N/A,FALSE,"Historical";#N/A,#N/A,FALSE,"balsheet";#N/A,#N/A,FALSE,"incstate";#N/A,#N/A,FALSE,"Fleet"}</definedName>
    <definedName name="wrn.Leases.xls." hidden="1">{#N/A,#N/A,FALSE,"Initial Year";#N/A,#N/A,FALSE,"Historical";#N/A,#N/A,FALSE,"balsheet";#N/A,#N/A,FALSE,"incstate";#N/A,#N/A,FALSE,"Fleet"}</definedName>
    <definedName name="wrn.Lodging." localSheetId="6" hidden="1">{#N/A,#N/A,FALSE,"EPS";#N/A,#N/A,FALSE,"EBITDA"}</definedName>
    <definedName name="wrn.Lodging." localSheetId="3" hidden="1">{#N/A,#N/A,FALSE,"EPS";#N/A,#N/A,FALSE,"EBITDA"}</definedName>
    <definedName name="wrn.Lodging." localSheetId="5" hidden="1">{#N/A,#N/A,FALSE,"EPS";#N/A,#N/A,FALSE,"EBITDA"}</definedName>
    <definedName name="wrn.Lodging." localSheetId="10" hidden="1">{#N/A,#N/A,FALSE,"EPS";#N/A,#N/A,FALSE,"EBITDA"}</definedName>
    <definedName name="wrn.Lodging." localSheetId="16" hidden="1">{#N/A,#N/A,FALSE,"EPS";#N/A,#N/A,FALSE,"EBITDA"}</definedName>
    <definedName name="wrn.Lodging." localSheetId="19" hidden="1">{#N/A,#N/A,FALSE,"EPS";#N/A,#N/A,FALSE,"EBITDA"}</definedName>
    <definedName name="wrn.Lodging." localSheetId="18" hidden="1">{#N/A,#N/A,FALSE,"EPS";#N/A,#N/A,FALSE,"EBITDA"}</definedName>
    <definedName name="wrn.Lodging." hidden="1">{#N/A,#N/A,FALSE,"EPS";#N/A,#N/A,FALSE,"EBITDA"}</definedName>
    <definedName name="wrn.Main._.Fields." localSheetId="6"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5"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0"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6"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9"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1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rketing._.Programs." localSheetId="6" hidden="1">{"Marketing",#N/A,FALSE,"Marketing Programs"}</definedName>
    <definedName name="wrn.Marketing._.Programs." localSheetId="3" hidden="1">{"Marketing",#N/A,FALSE,"Marketing Programs"}</definedName>
    <definedName name="wrn.Marketing._.Programs." localSheetId="5" hidden="1">{"Marketing",#N/A,FALSE,"Marketing Programs"}</definedName>
    <definedName name="wrn.Marketing._.Programs." localSheetId="10" hidden="1">{"Marketing",#N/A,FALSE,"Marketing Programs"}</definedName>
    <definedName name="wrn.Marketing._.Programs." localSheetId="16" hidden="1">{"Marketing",#N/A,FALSE,"Marketing Programs"}</definedName>
    <definedName name="wrn.Marketing._.Programs." localSheetId="19" hidden="1">{"Marketing",#N/A,FALSE,"Marketing Programs"}</definedName>
    <definedName name="wrn.Marketing._.Programs." localSheetId="18" hidden="1">{"Marketing",#N/A,FALSE,"Marketing Programs"}</definedName>
    <definedName name="wrn.Marketing._.Programs." hidden="1">{"Marketing",#N/A,FALSE,"Marketing Programs"}</definedName>
    <definedName name="wrn.mirBellagio." localSheetId="6" hidden="1">{#N/A,#N/A,FALSE,"MIR";#N/A,#N/A,FALSE,"NYNY"}</definedName>
    <definedName name="wrn.mirBellagio." localSheetId="3" hidden="1">{#N/A,#N/A,FALSE,"MIR";#N/A,#N/A,FALSE,"NYNY"}</definedName>
    <definedName name="wrn.mirBellagio." localSheetId="5" hidden="1">{#N/A,#N/A,FALSE,"MIR";#N/A,#N/A,FALSE,"NYNY"}</definedName>
    <definedName name="wrn.mirBellagio." localSheetId="10" hidden="1">{#N/A,#N/A,FALSE,"MIR";#N/A,#N/A,FALSE,"NYNY"}</definedName>
    <definedName name="wrn.mirBellagio." localSheetId="16" hidden="1">{#N/A,#N/A,FALSE,"MIR";#N/A,#N/A,FALSE,"NYNY"}</definedName>
    <definedName name="wrn.mirBellagio." localSheetId="19" hidden="1">{#N/A,#N/A,FALSE,"MIR";#N/A,#N/A,FALSE,"NYNY"}</definedName>
    <definedName name="wrn.mirBellagio." localSheetId="18" hidden="1">{#N/A,#N/A,FALSE,"MIR";#N/A,#N/A,FALSE,"NYNY"}</definedName>
    <definedName name="wrn.mirBellagio." hidden="1">{#N/A,#N/A,FALSE,"MIR";#N/A,#N/A,FALSE,"NYNY"}</definedName>
    <definedName name="wrn.MOBIL." localSheetId="6" hidden="1">{"quarter",#N/A,FALSE,"MOB"}</definedName>
    <definedName name="wrn.MOBIL." localSheetId="3" hidden="1">{"quarter",#N/A,FALSE,"MOB"}</definedName>
    <definedName name="wrn.MOBIL." localSheetId="5" hidden="1">{"quarter",#N/A,FALSE,"MOB"}</definedName>
    <definedName name="wrn.MOBIL." localSheetId="10" hidden="1">{"quarter",#N/A,FALSE,"MOB"}</definedName>
    <definedName name="wrn.MOBIL." localSheetId="16" hidden="1">{"quarter",#N/A,FALSE,"MOB"}</definedName>
    <definedName name="wrn.MOBIL." localSheetId="19" hidden="1">{"quarter",#N/A,FALSE,"MOB"}</definedName>
    <definedName name="wrn.MOBIL." localSheetId="18" hidden="1">{"quarter",#N/A,FALSE,"MOB"}</definedName>
    <definedName name="wrn.MOBIL." hidden="1">{"quarter",#N/A,FALSE,"MOB"}</definedName>
    <definedName name="wrn.Model." localSheetId="6" hidden="1">{#N/A,#N/A,FALSE,"PRH";#N/A,#N/A,FALSE,"Units"}</definedName>
    <definedName name="wrn.Model." localSheetId="3" hidden="1">{#N/A,#N/A,FALSE,"PRH";#N/A,#N/A,FALSE,"Units"}</definedName>
    <definedName name="wrn.Model." localSheetId="5" hidden="1">{#N/A,#N/A,FALSE,"PRH";#N/A,#N/A,FALSE,"Units"}</definedName>
    <definedName name="wrn.Model." localSheetId="10" hidden="1">{#N/A,#N/A,FALSE,"PRH";#N/A,#N/A,FALSE,"Units"}</definedName>
    <definedName name="wrn.Model." localSheetId="16" hidden="1">{#N/A,#N/A,FALSE,"PRH";#N/A,#N/A,FALSE,"Units"}</definedName>
    <definedName name="wrn.Model." localSheetId="19" hidden="1">{#N/A,#N/A,FALSE,"PRH";#N/A,#N/A,FALSE,"Units"}</definedName>
    <definedName name="wrn.Model." localSheetId="18" hidden="1">{#N/A,#N/A,FALSE,"PRH";#N/A,#N/A,FALSE,"Units"}</definedName>
    <definedName name="wrn.Model." hidden="1">{#N/A,#N/A,FALSE,"PRH";#N/A,#N/A,FALSE,"Units"}</definedName>
    <definedName name="wrn.MODELS." localSheetId="6"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3"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5"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0"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6"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9"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localSheetId="18"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nthly." localSheetId="6" hidden="1">{#N/A,#N/A,FALSE,"Running Total";#N/A,#N/A,FALSE,"Oct 96";#N/A,#N/A,FALSE,"Nov 96";#N/A,#N/A,FALSE,"Dec 96";#N/A,#N/A,FALSE,"Jan 97";#N/A,#N/A,FALSE,"Feb 97";#N/A,#N/A,FALSE,"Mar 97";#N/A,#N/A,FALSE,"Apr 97";#N/A,#N/A,FALSE,"May 97";#N/A,#N/A,FALSE,"June 97";#N/A,#N/A,FALSE,"July 97"}</definedName>
    <definedName name="wrn.monthly." localSheetId="3" hidden="1">{#N/A,#N/A,FALSE,"Running Total";#N/A,#N/A,FALSE,"Oct 96";#N/A,#N/A,FALSE,"Nov 96";#N/A,#N/A,FALSE,"Dec 96";#N/A,#N/A,FALSE,"Jan 97";#N/A,#N/A,FALSE,"Feb 97";#N/A,#N/A,FALSE,"Mar 97";#N/A,#N/A,FALSE,"Apr 97";#N/A,#N/A,FALSE,"May 97";#N/A,#N/A,FALSE,"June 97";#N/A,#N/A,FALSE,"July 97"}</definedName>
    <definedName name="wrn.monthly." localSheetId="5" hidden="1">{#N/A,#N/A,FALSE,"Running Total";#N/A,#N/A,FALSE,"Oct 96";#N/A,#N/A,FALSE,"Nov 96";#N/A,#N/A,FALSE,"Dec 96";#N/A,#N/A,FALSE,"Jan 97";#N/A,#N/A,FALSE,"Feb 97";#N/A,#N/A,FALSE,"Mar 97";#N/A,#N/A,FALSE,"Apr 97";#N/A,#N/A,FALSE,"May 97";#N/A,#N/A,FALSE,"June 97";#N/A,#N/A,FALSE,"July 97"}</definedName>
    <definedName name="wrn.monthly." localSheetId="10" hidden="1">{#N/A,#N/A,FALSE,"Running Total";#N/A,#N/A,FALSE,"Oct 96";#N/A,#N/A,FALSE,"Nov 96";#N/A,#N/A,FALSE,"Dec 96";#N/A,#N/A,FALSE,"Jan 97";#N/A,#N/A,FALSE,"Feb 97";#N/A,#N/A,FALSE,"Mar 97";#N/A,#N/A,FALSE,"Apr 97";#N/A,#N/A,FALSE,"May 97";#N/A,#N/A,FALSE,"June 97";#N/A,#N/A,FALSE,"July 97"}</definedName>
    <definedName name="wrn.monthly." localSheetId="16" hidden="1">{#N/A,#N/A,FALSE,"Running Total";#N/A,#N/A,FALSE,"Oct 96";#N/A,#N/A,FALSE,"Nov 96";#N/A,#N/A,FALSE,"Dec 96";#N/A,#N/A,FALSE,"Jan 97";#N/A,#N/A,FALSE,"Feb 97";#N/A,#N/A,FALSE,"Mar 97";#N/A,#N/A,FALSE,"Apr 97";#N/A,#N/A,FALSE,"May 97";#N/A,#N/A,FALSE,"June 97";#N/A,#N/A,FALSE,"July 97"}</definedName>
    <definedName name="wrn.monthly." localSheetId="19" hidden="1">{#N/A,#N/A,FALSE,"Running Total";#N/A,#N/A,FALSE,"Oct 96";#N/A,#N/A,FALSE,"Nov 96";#N/A,#N/A,FALSE,"Dec 96";#N/A,#N/A,FALSE,"Jan 97";#N/A,#N/A,FALSE,"Feb 97";#N/A,#N/A,FALSE,"Mar 97";#N/A,#N/A,FALSE,"Apr 97";#N/A,#N/A,FALSE,"May 97";#N/A,#N/A,FALSE,"June 97";#N/A,#N/A,FALSE,"July 97"}</definedName>
    <definedName name="wrn.monthly." localSheetId="18" hidden="1">{#N/A,#N/A,FALSE,"Running Total";#N/A,#N/A,FALSE,"Oct 96";#N/A,#N/A,FALSE,"Nov 96";#N/A,#N/A,FALSE,"Dec 96";#N/A,#N/A,FALSE,"Jan 97";#N/A,#N/A,FALSE,"Feb 97";#N/A,#N/A,FALSE,"Mar 97";#N/A,#N/A,FALSE,"Apr 97";#N/A,#N/A,FALSE,"May 97";#N/A,#N/A,FALSE,"June 97";#N/A,#N/A,FALSE,"July 97"}</definedName>
    <definedName name="wrn.monthly." hidden="1">{#N/A,#N/A,FALSE,"Running Total";#N/A,#N/A,FALSE,"Oct 96";#N/A,#N/A,FALSE,"Nov 96";#N/A,#N/A,FALSE,"Dec 96";#N/A,#N/A,FALSE,"Jan 97";#N/A,#N/A,FALSE,"Feb 97";#N/A,#N/A,FALSE,"Mar 97";#N/A,#N/A,FALSE,"Apr 97";#N/A,#N/A,FALSE,"May 97";#N/A,#N/A,FALSE,"June 97";#N/A,#N/A,FALSE,"July 97"}</definedName>
    <definedName name="wrn.Net._.Backs." localSheetId="6" hidden="1">{"Net Backs",#N/A,FALSE,"Net Backs"}</definedName>
    <definedName name="wrn.Net._.Backs." localSheetId="3" hidden="1">{"Net Backs",#N/A,FALSE,"Net Backs"}</definedName>
    <definedName name="wrn.Net._.Backs." localSheetId="5" hidden="1">{"Net Backs",#N/A,FALSE,"Net Backs"}</definedName>
    <definedName name="wrn.Net._.Backs." localSheetId="10" hidden="1">{"Net Backs",#N/A,FALSE,"Net Backs"}</definedName>
    <definedName name="wrn.Net._.Backs." localSheetId="16" hidden="1">{"Net Backs",#N/A,FALSE,"Net Backs"}</definedName>
    <definedName name="wrn.Net._.Backs." localSheetId="19" hidden="1">{"Net Backs",#N/A,FALSE,"Net Backs"}</definedName>
    <definedName name="wrn.Net._.Backs." localSheetId="18" hidden="1">{"Net Backs",#N/A,FALSE,"Net Backs"}</definedName>
    <definedName name="wrn.Net._.Backs." hidden="1">{"Net Backs",#N/A,FALSE,"Net Backs"}</definedName>
    <definedName name="wrn.Netbacks." localSheetId="6" hidden="1">{"Netbacks",#N/A,FALSE,"B"}</definedName>
    <definedName name="wrn.Netbacks." localSheetId="3" hidden="1">{"Netbacks",#N/A,FALSE,"B"}</definedName>
    <definedName name="wrn.Netbacks." localSheetId="5" hidden="1">{"Netbacks",#N/A,FALSE,"B"}</definedName>
    <definedName name="wrn.Netbacks." localSheetId="10" hidden="1">{"Netbacks",#N/A,FALSE,"B"}</definedName>
    <definedName name="wrn.Netbacks." localSheetId="16" hidden="1">{"Netbacks",#N/A,FALSE,"B"}</definedName>
    <definedName name="wrn.Netbacks." localSheetId="19" hidden="1">{"Netbacks",#N/A,FALSE,"B"}</definedName>
    <definedName name="wrn.Netbacks." localSheetId="18" hidden="1">{"Netbacks",#N/A,FALSE,"B"}</definedName>
    <definedName name="wrn.Netbacks." hidden="1">{"Netbacks",#N/A,FALSE,"B"}</definedName>
    <definedName name="wrn.Operating._.Statistics." localSheetId="6" hidden="1">{"Operating Statictics",#N/A,FALSE,"Operating Statistics"}</definedName>
    <definedName name="wrn.Operating._.Statistics." localSheetId="3" hidden="1">{"Operating Statictics",#N/A,FALSE,"Operating Statistics"}</definedName>
    <definedName name="wrn.Operating._.Statistics." localSheetId="5" hidden="1">{"Operating Statictics",#N/A,FALSE,"Operating Statistics"}</definedName>
    <definedName name="wrn.Operating._.Statistics." localSheetId="10" hidden="1">{"Operating Statictics",#N/A,FALSE,"Operating Statistics"}</definedName>
    <definedName name="wrn.Operating._.Statistics." localSheetId="16" hidden="1">{"Operating Statictics",#N/A,FALSE,"Operating Statistics"}</definedName>
    <definedName name="wrn.Operating._.Statistics." localSheetId="19" hidden="1">{"Operating Statictics",#N/A,FALSE,"Operating Statistics"}</definedName>
    <definedName name="wrn.Operating._.Statistics." localSheetId="18" hidden="1">{"Operating Statictics",#N/A,FALSE,"Operating Statistics"}</definedName>
    <definedName name="wrn.Operating._.Statistics." hidden="1">{"Operating Statictics",#N/A,FALSE,"Operating Statistics"}</definedName>
    <definedName name="wrn.Other._.Foreign." localSheetId="6" hidden="1">{"Other Foreign",#N/A,FALSE,"Other For."}</definedName>
    <definedName name="wrn.Other._.Foreign." localSheetId="3" hidden="1">{"Other Foreign",#N/A,FALSE,"Other For."}</definedName>
    <definedName name="wrn.Other._.Foreign." localSheetId="5" hidden="1">{"Other Foreign",#N/A,FALSE,"Other For."}</definedName>
    <definedName name="wrn.Other._.Foreign." localSheetId="10" hidden="1">{"Other Foreign",#N/A,FALSE,"Other For."}</definedName>
    <definedName name="wrn.Other._.Foreign." localSheetId="16" hidden="1">{"Other Foreign",#N/A,FALSE,"Other For."}</definedName>
    <definedName name="wrn.Other._.Foreign." localSheetId="19" hidden="1">{"Other Foreign",#N/A,FALSE,"Other For."}</definedName>
    <definedName name="wrn.Other._.Foreign." localSheetId="18" hidden="1">{"Other Foreign",#N/A,FALSE,"Other For."}</definedName>
    <definedName name="wrn.Other._.Foreign." hidden="1">{"Other Foreign",#N/A,FALSE,"Other For."}</definedName>
    <definedName name="wrn.Portrait._.IS." localSheetId="6" hidden="1">{"Portrait letter is",#N/A,FALSE,"Model"}</definedName>
    <definedName name="wrn.Portrait._.IS." localSheetId="3" hidden="1">{"Portrait letter is",#N/A,FALSE,"Model"}</definedName>
    <definedName name="wrn.Portrait._.IS." localSheetId="5" hidden="1">{"Portrait letter is",#N/A,FALSE,"Model"}</definedName>
    <definedName name="wrn.Portrait._.IS." localSheetId="10" hidden="1">{"Portrait letter is",#N/A,FALSE,"Model"}</definedName>
    <definedName name="wrn.Portrait._.IS." localSheetId="16" hidden="1">{"Portrait letter is",#N/A,FALSE,"Model"}</definedName>
    <definedName name="wrn.Portrait._.IS." localSheetId="19" hidden="1">{"Portrait letter is",#N/A,FALSE,"Model"}</definedName>
    <definedName name="wrn.Portrait._.IS." localSheetId="18" hidden="1">{"Portrait letter is",#N/A,FALSE,"Model"}</definedName>
    <definedName name="wrn.Portrait._.IS." hidden="1">{"Portrait letter is",#N/A,FALSE,"Model"}</definedName>
    <definedName name="wrn.Portrait._.letter._.is." localSheetId="6" hidden="1">{"Portrait letter is",#N/A,FALSE,"Model"}</definedName>
    <definedName name="wrn.Portrait._.letter._.is." localSheetId="3" hidden="1">{"Portrait letter is",#N/A,FALSE,"Model"}</definedName>
    <definedName name="wrn.Portrait._.letter._.is." localSheetId="5" hidden="1">{"Portrait letter is",#N/A,FALSE,"Model"}</definedName>
    <definedName name="wrn.Portrait._.letter._.is." localSheetId="10" hidden="1">{"Portrait letter is",#N/A,FALSE,"Model"}</definedName>
    <definedName name="wrn.Portrait._.letter._.is." localSheetId="16" hidden="1">{"Portrait letter is",#N/A,FALSE,"Model"}</definedName>
    <definedName name="wrn.Portrait._.letter._.is." localSheetId="19" hidden="1">{"Portrait letter is",#N/A,FALSE,"Model"}</definedName>
    <definedName name="wrn.Portrait._.letter._.is." localSheetId="18" hidden="1">{"Portrait letter is",#N/A,FALSE,"Model"}</definedName>
    <definedName name="wrn.Portrait._.letter._.is." hidden="1">{"Portrait letter is",#N/A,FALSE,"Model"}</definedName>
    <definedName name="wrn.pres." localSheetId="6" hidden="1">{#N/A,#N/A,FALSE,"Major v. River";#N/A,#N/A,FALSE,"Industry";#N/A,#N/A,FALSE,"Large Operators";#N/A,#N/A,FALSE,"Smaller Operators";#N/A,#N/A,FALSE,"Equip. Supply";#N/A,#N/A,FALSE,"EBITDA";#N/A,#N/A,FALSE,"States";#N/A,#N/A,FALSE,"LV Detail"}</definedName>
    <definedName name="wrn.pres." localSheetId="3" hidden="1">{#N/A,#N/A,FALSE,"Major v. River";#N/A,#N/A,FALSE,"Industry";#N/A,#N/A,FALSE,"Large Operators";#N/A,#N/A,FALSE,"Smaller Operators";#N/A,#N/A,FALSE,"Equip. Supply";#N/A,#N/A,FALSE,"EBITDA";#N/A,#N/A,FALSE,"States";#N/A,#N/A,FALSE,"LV Detail"}</definedName>
    <definedName name="wrn.pres." localSheetId="5" hidden="1">{#N/A,#N/A,FALSE,"Major v. River";#N/A,#N/A,FALSE,"Industry";#N/A,#N/A,FALSE,"Large Operators";#N/A,#N/A,FALSE,"Smaller Operators";#N/A,#N/A,FALSE,"Equip. Supply";#N/A,#N/A,FALSE,"EBITDA";#N/A,#N/A,FALSE,"States";#N/A,#N/A,FALSE,"LV Detail"}</definedName>
    <definedName name="wrn.pres." localSheetId="10" hidden="1">{#N/A,#N/A,FALSE,"Major v. River";#N/A,#N/A,FALSE,"Industry";#N/A,#N/A,FALSE,"Large Operators";#N/A,#N/A,FALSE,"Smaller Operators";#N/A,#N/A,FALSE,"Equip. Supply";#N/A,#N/A,FALSE,"EBITDA";#N/A,#N/A,FALSE,"States";#N/A,#N/A,FALSE,"LV Detail"}</definedName>
    <definedName name="wrn.pres." localSheetId="16" hidden="1">{#N/A,#N/A,FALSE,"Major v. River";#N/A,#N/A,FALSE,"Industry";#N/A,#N/A,FALSE,"Large Operators";#N/A,#N/A,FALSE,"Smaller Operators";#N/A,#N/A,FALSE,"Equip. Supply";#N/A,#N/A,FALSE,"EBITDA";#N/A,#N/A,FALSE,"States";#N/A,#N/A,FALSE,"LV Detail"}</definedName>
    <definedName name="wrn.pres." localSheetId="19" hidden="1">{#N/A,#N/A,FALSE,"Major v. River";#N/A,#N/A,FALSE,"Industry";#N/A,#N/A,FALSE,"Large Operators";#N/A,#N/A,FALSE,"Smaller Operators";#N/A,#N/A,FALSE,"Equip. Supply";#N/A,#N/A,FALSE,"EBITDA";#N/A,#N/A,FALSE,"States";#N/A,#N/A,FALSE,"LV Detail"}</definedName>
    <definedName name="wrn.pres." localSheetId="18" hidden="1">{#N/A,#N/A,FALSE,"Major v. River";#N/A,#N/A,FALSE,"Industry";#N/A,#N/A,FALSE,"Large Operators";#N/A,#N/A,FALSE,"Smaller Operators";#N/A,#N/A,FALSE,"Equip. Supply";#N/A,#N/A,FALSE,"EBITDA";#N/A,#N/A,FALSE,"States";#N/A,#N/A,FALSE,"LV Detail"}</definedName>
    <definedName name="wrn.pres." hidden="1">{#N/A,#N/A,FALSE,"Major v. River";#N/A,#N/A,FALSE,"Industry";#N/A,#N/A,FALSE,"Large Operators";#N/A,#N/A,FALSE,"Smaller Operators";#N/A,#N/A,FALSE,"Equip. Supply";#N/A,#N/A,FALSE,"EBITDA";#N/A,#N/A,FALSE,"States";#N/A,#N/A,FALSE,"LV Detail"}</definedName>
    <definedName name="wrn.pres97." localSheetId="6"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3"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5"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0"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6"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9"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localSheetId="18"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imary._.Reports." localSheetId="6" hidden="1">{#N/A,#N/A,FALSE,"Plan Summary";#N/A,#N/A,FALSE,"Monthly Goals";#N/A,#N/A,FALSE,"Profit Detail";#N/A,#N/A,FALSE,"Output Comparison";#N/A,#N/A,FALSE,"Production Goals"}</definedName>
    <definedName name="wrn.Primary._.Reports." localSheetId="3" hidden="1">{#N/A,#N/A,FALSE,"Plan Summary";#N/A,#N/A,FALSE,"Monthly Goals";#N/A,#N/A,FALSE,"Profit Detail";#N/A,#N/A,FALSE,"Output Comparison";#N/A,#N/A,FALSE,"Production Goals"}</definedName>
    <definedName name="wrn.Primary._.Reports." localSheetId="5" hidden="1">{#N/A,#N/A,FALSE,"Plan Summary";#N/A,#N/A,FALSE,"Monthly Goals";#N/A,#N/A,FALSE,"Profit Detail";#N/A,#N/A,FALSE,"Output Comparison";#N/A,#N/A,FALSE,"Production Goals"}</definedName>
    <definedName name="wrn.Primary._.Reports." localSheetId="10" hidden="1">{#N/A,#N/A,FALSE,"Plan Summary";#N/A,#N/A,FALSE,"Monthly Goals";#N/A,#N/A,FALSE,"Profit Detail";#N/A,#N/A,FALSE,"Output Comparison";#N/A,#N/A,FALSE,"Production Goals"}</definedName>
    <definedName name="wrn.Primary._.Reports." localSheetId="16" hidden="1">{#N/A,#N/A,FALSE,"Plan Summary";#N/A,#N/A,FALSE,"Monthly Goals";#N/A,#N/A,FALSE,"Profit Detail";#N/A,#N/A,FALSE,"Output Comparison";#N/A,#N/A,FALSE,"Production Goals"}</definedName>
    <definedName name="wrn.Primary._.Reports." localSheetId="19" hidden="1">{#N/A,#N/A,FALSE,"Plan Summary";#N/A,#N/A,FALSE,"Monthly Goals";#N/A,#N/A,FALSE,"Profit Detail";#N/A,#N/A,FALSE,"Output Comparison";#N/A,#N/A,FALSE,"Production Goals"}</definedName>
    <definedName name="wrn.Primary._.Reports." localSheetId="18" hidden="1">{#N/A,#N/A,FALSE,"Plan Summary";#N/A,#N/A,FALSE,"Monthly Goals";#N/A,#N/A,FALSE,"Profit Detail";#N/A,#N/A,FALSE,"Output Comparison";#N/A,#N/A,FALSE,"Production Goals"}</definedName>
    <definedName name="wrn.Primary._.Reports." hidden="1">{#N/A,#N/A,FALSE,"Plan Summary";#N/A,#N/A,FALSE,"Monthly Goals";#N/A,#N/A,FALSE,"Profit Detail";#N/A,#N/A,FALSE,"Output Comparison";#N/A,#N/A,FALSE,"Production Goals"}</definedName>
    <definedName name="wrn.PRIME." localSheetId="6" hidden="1">{#N/A,#N/A,FALSE,"PRIME ACTIVITY CRST"}</definedName>
    <definedName name="wrn.PRIME." localSheetId="3" hidden="1">{#N/A,#N/A,FALSE,"PRIME ACTIVITY CRST"}</definedName>
    <definedName name="wrn.PRIME." localSheetId="5" hidden="1">{#N/A,#N/A,FALSE,"PRIME ACTIVITY CRST"}</definedName>
    <definedName name="wrn.PRIME." localSheetId="10" hidden="1">{#N/A,#N/A,FALSE,"PRIME ACTIVITY CRST"}</definedName>
    <definedName name="wrn.PRIME." localSheetId="16" hidden="1">{#N/A,#N/A,FALSE,"PRIME ACTIVITY CRST"}</definedName>
    <definedName name="wrn.PRIME." localSheetId="19" hidden="1">{#N/A,#N/A,FALSE,"PRIME ACTIVITY CRST"}</definedName>
    <definedName name="wrn.PRIME." localSheetId="18" hidden="1">{#N/A,#N/A,FALSE,"PRIME ACTIVITY CRST"}</definedName>
    <definedName name="wrn.PRIME." hidden="1">{#N/A,#N/A,FALSE,"PRIME ACTIVITY CRST"}</definedName>
    <definedName name="wrn.print." localSheetId="6" hidden="1">{"page1",#N/A,FALSE,"PROFORMA";"page2",#N/A,FALSE,"PROFORMA";"page3",#N/A,FALSE,"PROFORMA";"page4",#N/A,FALSE,"PROFORMA";"page5",#N/A,FALSE,"PROFORMA";"page6",#N/A,FALSE,"PROFORMA";"page7",#N/A,FALSE,"PROFORMA";"page8",#N/A,FALSE,"PROFORMA"}</definedName>
    <definedName name="wrn.print." localSheetId="3" hidden="1">{"page1",#N/A,FALSE,"PROFORMA";"page2",#N/A,FALSE,"PROFORMA";"page3",#N/A,FALSE,"PROFORMA";"page4",#N/A,FALSE,"PROFORMA";"page5",#N/A,FALSE,"PROFORMA";"page6",#N/A,FALSE,"PROFORMA";"page7",#N/A,FALSE,"PROFORMA";"page8",#N/A,FALSE,"PROFORMA"}</definedName>
    <definedName name="wrn.print." localSheetId="5"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6" hidden="1">{"page1",#N/A,FALSE,"PROFORMA";"page2",#N/A,FALSE,"PROFORMA";"page3",#N/A,FALSE,"PROFORMA";"page4",#N/A,FALSE,"PROFORMA";"page5",#N/A,FALSE,"PROFORMA";"page6",#N/A,FALSE,"PROFORMA";"page7",#N/A,FALSE,"PROFORMA";"page8",#N/A,FALSE,"PROFORMA"}</definedName>
    <definedName name="wrn.print." localSheetId="19" hidden="1">{"page1",#N/A,FALSE,"PROFORMA";"page2",#N/A,FALSE,"PROFORMA";"page3",#N/A,FALSE,"PROFORMA";"page4",#N/A,FALSE,"PROFORMA";"page5",#N/A,FALSE,"PROFORMA";"page6",#N/A,FALSE,"PROFORMA";"page7",#N/A,FALSE,"PROFORMA";"page8",#N/A,FALSE,"PROFORMA"}</definedName>
    <definedName name="wrn.print." localSheetId="18"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 localSheetId="6" hidden="1">{"Production Profile",#N/A,FALSE,"Production";"Cadispa SA",#N/A,FALSE,"Cadispa SA";"Corporate Profile",#N/A,FALSE,"D";"IS Q96",#N/A,FALSE,"C";"IS Q97",#N/A,FALSE,"C";"IS Years",#N/A,FALSE,"C";"Netbacks",#N/A,FALSE,"B"}</definedName>
    <definedName name="wrn.Print._.All." localSheetId="3" hidden="1">{"Production Profile",#N/A,FALSE,"Production";"Cadispa SA",#N/A,FALSE,"Cadispa SA";"Corporate Profile",#N/A,FALSE,"D";"IS Q96",#N/A,FALSE,"C";"IS Q97",#N/A,FALSE,"C";"IS Years",#N/A,FALSE,"C";"Netbacks",#N/A,FALSE,"B"}</definedName>
    <definedName name="wrn.Print._.All." localSheetId="5" hidden="1">{"Production Profile",#N/A,FALSE,"Production";"Cadispa SA",#N/A,FALSE,"Cadispa SA";"Corporate Profile",#N/A,FALSE,"D";"IS Q96",#N/A,FALSE,"C";"IS Q97",#N/A,FALSE,"C";"IS Years",#N/A,FALSE,"C";"Netbacks",#N/A,FALSE,"B"}</definedName>
    <definedName name="wrn.Print._.All." localSheetId="10" hidden="1">{"Production Profile",#N/A,FALSE,"Production";"Cadispa SA",#N/A,FALSE,"Cadispa SA";"Corporate Profile",#N/A,FALSE,"D";"IS Q96",#N/A,FALSE,"C";"IS Q97",#N/A,FALSE,"C";"IS Years",#N/A,FALSE,"C";"Netbacks",#N/A,FALSE,"B"}</definedName>
    <definedName name="wrn.Print._.All." localSheetId="16" hidden="1">{"Production Profile",#N/A,FALSE,"Production";"Cadispa SA",#N/A,FALSE,"Cadispa SA";"Corporate Profile",#N/A,FALSE,"D";"IS Q96",#N/A,FALSE,"C";"IS Q97",#N/A,FALSE,"C";"IS Years",#N/A,FALSE,"C";"Netbacks",#N/A,FALSE,"B"}</definedName>
    <definedName name="wrn.Print._.All." localSheetId="19" hidden="1">{"Production Profile",#N/A,FALSE,"Production";"Cadispa SA",#N/A,FALSE,"Cadispa SA";"Corporate Profile",#N/A,FALSE,"D";"IS Q96",#N/A,FALSE,"C";"IS Q97",#N/A,FALSE,"C";"IS Years",#N/A,FALSE,"C";"Netbacks",#N/A,FALSE,"B"}</definedName>
    <definedName name="wrn.Print._.All." localSheetId="18" hidden="1">{"Production Profile",#N/A,FALSE,"Production";"Cadispa SA",#N/A,FALSE,"Cadispa SA";"Corporate Profile",#N/A,FALSE,"D";"IS Q96",#N/A,FALSE,"C";"IS Q97",#N/A,FALSE,"C";"IS Years",#N/A,FALSE,"C";"Netbacks",#N/A,FALSE,"B"}</definedName>
    <definedName name="wrn.Print._.All." hidden="1">{"Production Profile",#N/A,FALSE,"Production";"Cadispa SA",#N/A,FALSE,"Cadispa SA";"Corporate Profile",#N/A,FALSE,"D";"IS Q96",#N/A,FALSE,"C";"IS Q97",#N/A,FALSE,"C";"IS Years",#N/A,FALSE,"C";"Netbacks",#N/A,FALSE,"B"}</definedName>
    <definedName name="wrn.printall." localSheetId="6" hidden="1">{"printall",#N/A,FALSE,"BAIRNUMB"}</definedName>
    <definedName name="wrn.printall." localSheetId="3" hidden="1">{"printall",#N/A,FALSE,"BAIRNUMB"}</definedName>
    <definedName name="wrn.printall." localSheetId="5" hidden="1">{"printall",#N/A,FALSE,"BAIRNUMB"}</definedName>
    <definedName name="wrn.printall." localSheetId="10" hidden="1">{"printall",#N/A,FALSE,"BAIRNUMB"}</definedName>
    <definedName name="wrn.printall." localSheetId="16" hidden="1">{"printall",#N/A,FALSE,"BAIRNUMB"}</definedName>
    <definedName name="wrn.printall." localSheetId="19" hidden="1">{"printall",#N/A,FALSE,"BAIRNUMB"}</definedName>
    <definedName name="wrn.printall." localSheetId="18" hidden="1">{"printall",#N/A,FALSE,"BAIRNUMB"}</definedName>
    <definedName name="wrn.printall." hidden="1">{"printall",#N/A,FALSE,"BAIRNUMB"}</definedName>
    <definedName name="wrn.Prod.._.Profile." localSheetId="6" hidden="1">{"Prod Pro",#N/A,FALSE,"E"}</definedName>
    <definedName name="wrn.Prod.._.Profile." localSheetId="3" hidden="1">{"Prod Pro",#N/A,FALSE,"E"}</definedName>
    <definedName name="wrn.Prod.._.Profile." localSheetId="5" hidden="1">{"Prod Pro",#N/A,FALSE,"E"}</definedName>
    <definedName name="wrn.Prod.._.Profile." localSheetId="10" hidden="1">{"Prod Pro",#N/A,FALSE,"E"}</definedName>
    <definedName name="wrn.Prod.._.Profile." localSheetId="16" hidden="1">{"Prod Pro",#N/A,FALSE,"E"}</definedName>
    <definedName name="wrn.Prod.._.Profile." localSheetId="19" hidden="1">{"Prod Pro",#N/A,FALSE,"E"}</definedName>
    <definedName name="wrn.Prod.._.Profile." localSheetId="18" hidden="1">{"Prod Pro",#N/A,FALSE,"E"}</definedName>
    <definedName name="wrn.Prod.._.Profile." hidden="1">{"Prod Pro",#N/A,FALSE,"E"}</definedName>
    <definedName name="wrn.Produciton._.Profile." localSheetId="6" hidden="1">{"Production Profile",#N/A,FALSE,"Production Profile"}</definedName>
    <definedName name="wrn.Produciton._.Profile." localSheetId="3" hidden="1">{"Production Profile",#N/A,FALSE,"Production Profile"}</definedName>
    <definedName name="wrn.Produciton._.Profile." localSheetId="5" hidden="1">{"Production Profile",#N/A,FALSE,"Production Profile"}</definedName>
    <definedName name="wrn.Produciton._.Profile." localSheetId="10" hidden="1">{"Production Profile",#N/A,FALSE,"Production Profile"}</definedName>
    <definedName name="wrn.Produciton._.Profile." localSheetId="16" hidden="1">{"Production Profile",#N/A,FALSE,"Production Profile"}</definedName>
    <definedName name="wrn.Produciton._.Profile." localSheetId="19" hidden="1">{"Production Profile",#N/A,FALSE,"Production Profile"}</definedName>
    <definedName name="wrn.Produciton._.Profile." localSheetId="18" hidden="1">{"Production Profile",#N/A,FALSE,"Production Profile"}</definedName>
    <definedName name="wrn.Produciton._.Profile." hidden="1">{"Production Profile",#N/A,FALSE,"Production Profile"}</definedName>
    <definedName name="wrn.Production._.Profile." localSheetId="6" hidden="1">{"Production Profile",#N/A,FALSE,"Production"}</definedName>
    <definedName name="wrn.Production._.Profile." localSheetId="3" hidden="1">{"Production Profile",#N/A,FALSE,"Production"}</definedName>
    <definedName name="wrn.Production._.Profile." localSheetId="5" hidden="1">{"Production Profile",#N/A,FALSE,"Production"}</definedName>
    <definedName name="wrn.Production._.Profile." localSheetId="10" hidden="1">{"Production Profile",#N/A,FALSE,"Production"}</definedName>
    <definedName name="wrn.Production._.Profile." localSheetId="16" hidden="1">{"Production Profile",#N/A,FALSE,"Production"}</definedName>
    <definedName name="wrn.Production._.Profile." localSheetId="19" hidden="1">{"Production Profile",#N/A,FALSE,"Production"}</definedName>
    <definedName name="wrn.Production._.Profile." localSheetId="18" hidden="1">{"Production Profile",#N/A,FALSE,"Production"}</definedName>
    <definedName name="wrn.Production._.Profile." hidden="1">{"Production Profile",#N/A,FALSE,"Production"}</definedName>
    <definedName name="wrn.Production._.Schedule." localSheetId="6" hidden="1">{"Production Schedule",#N/A,FALSE,"Production Schedule"}</definedName>
    <definedName name="wrn.Production._.Schedule." localSheetId="3" hidden="1">{"Production Schedule",#N/A,FALSE,"Production Schedule"}</definedName>
    <definedName name="wrn.Production._.Schedule." localSheetId="5" hidden="1">{"Production Schedule",#N/A,FALSE,"Production Schedule"}</definedName>
    <definedName name="wrn.Production._.Schedule." localSheetId="10" hidden="1">{"Production Schedule",#N/A,FALSE,"Production Schedule"}</definedName>
    <definedName name="wrn.Production._.Schedule." localSheetId="16" hidden="1">{"Production Schedule",#N/A,FALSE,"Production Schedule"}</definedName>
    <definedName name="wrn.Production._.Schedule." localSheetId="19" hidden="1">{"Production Schedule",#N/A,FALSE,"Production Schedule"}</definedName>
    <definedName name="wrn.Production._.Schedule." localSheetId="18" hidden="1">{"Production Schedule",#N/A,FALSE,"Production Schedule"}</definedName>
    <definedName name="wrn.Production._.Schedule." hidden="1">{"Production Schedule",#N/A,FALSE,"Production Schedule"}</definedName>
    <definedName name="wrn.Profit._.V._.LY." localSheetId="5" hidden="1">{"profit",#N/A,FALSE,"Aerospace";"profit",#N/A,FALSE,"Engines";"profit",#N/A,FALSE,"AES";"profit",#N/A,FALSE,"ES";"profit",#N/A,FALSE,"CAS";"profit",#N/A,FALSE,"ATSC";"profit",#N/A,FALSE,"FMT";"profit",#N/A,FALSE,"Aero Other";"profit",#N/A,FALSE,"Judgement"}</definedName>
    <definedName name="wrn.Profit._.V._.LY." localSheetId="16" hidden="1">{"profit",#N/A,FALSE,"Aerospace";"profit",#N/A,FALSE,"Engines";"profit",#N/A,FALSE,"AES";"profit",#N/A,FALSE,"ES";"profit",#N/A,FALSE,"CAS";"profit",#N/A,FALSE,"ATSC";"profit",#N/A,FALSE,"FMT";"profit",#N/A,FALSE,"Aero Other";"profit",#N/A,FALSE,"Judgement"}</definedName>
    <definedName name="wrn.Profit._.V._.LY." localSheetId="19" hidden="1">{"profit",#N/A,FALSE,"Aerospace";"profit",#N/A,FALSE,"Engines";"profit",#N/A,FALSE,"AES";"profit",#N/A,FALSE,"ES";"profit",#N/A,FALSE,"CAS";"profit",#N/A,FALSE,"ATSC";"profit",#N/A,FALSE,"FMT";"profit",#N/A,FALSE,"Aero Other";"profit",#N/A,FALSE,"Judgement"}</definedName>
    <definedName name="wrn.Profit._.V._.LY." localSheetId="18" hidden="1">{"profit",#N/A,FALSE,"Aerospace";"profit",#N/A,FALSE,"Engines";"profit",#N/A,FALSE,"AES";"profit",#N/A,FALSE,"ES";"profit",#N/A,FALSE,"CAS";"profit",#N/A,FALSE,"ATSC";"profit",#N/A,FALSE,"FMT";"profit",#N/A,FALSE,"Aero Other";"profit",#N/A,FALSE,"Judgement"}</definedName>
    <definedName name="wrn.Profit._.V._.LY." hidden="1">{"profit",#N/A,FALSE,"Aerospace";"profit",#N/A,FALSE,"Engines";"profit",#N/A,FALSE,"AES";"profit",#N/A,FALSE,"ES";"profit",#N/A,FALSE,"CAS";"profit",#N/A,FALSE,"ATSC";"profit",#N/A,FALSE,"FMT";"profit",#N/A,FALSE,"Aero Other";"profit",#N/A,FALSE,"Judgement"}</definedName>
    <definedName name="wrn.Profit._.V._.Prior._.Fcst.." localSheetId="5"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16"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19"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18"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hidden="1">{"profit",#N/A,FALSE,"Aero V prior";"profit",#N/A,FALSE,"Eng V Prior";"profit",#N/A,FALSE,"AES V Prior";"profit",#N/A,FALSE,"ES V Prior";"profit",#N/A,FALSE,"CAS V Prior";"profit",#N/A,FALSE,"ATSC V Prior";"profit",#N/A,FALSE,"FMT V Prior";"profit",#N/A,FALSE,"Aero Other V Prior";"profit",#N/A,FALSE,"Judge V Prior"}</definedName>
    <definedName name="wrn.Pulp." localSheetId="6" hidden="1">{"Pulp Production",#N/A,FALSE,"Pulp";"Pulp Earnings",#N/A,FALSE,"Pulp"}</definedName>
    <definedName name="wrn.Pulp." localSheetId="3" hidden="1">{"Pulp Production",#N/A,FALSE,"Pulp";"Pulp Earnings",#N/A,FALSE,"Pulp"}</definedName>
    <definedName name="wrn.Pulp." localSheetId="5" hidden="1">{"Pulp Production",#N/A,FALSE,"Pulp";"Pulp Earnings",#N/A,FALSE,"Pulp"}</definedName>
    <definedName name="wrn.Pulp." localSheetId="10" hidden="1">{"Pulp Production",#N/A,FALSE,"Pulp";"Pulp Earnings",#N/A,FALSE,"Pulp"}</definedName>
    <definedName name="wrn.Pulp." localSheetId="16" hidden="1">{"Pulp Production",#N/A,FALSE,"Pulp";"Pulp Earnings",#N/A,FALSE,"Pulp"}</definedName>
    <definedName name="wrn.Pulp." localSheetId="19" hidden="1">{"Pulp Production",#N/A,FALSE,"Pulp";"Pulp Earnings",#N/A,FALSE,"Pulp"}</definedName>
    <definedName name="wrn.Pulp." localSheetId="18" hidden="1">{"Pulp Production",#N/A,FALSE,"Pulp";"Pulp Earnings",#N/A,FALSE,"Pulp"}</definedName>
    <definedName name="wrn.Pulp." hidden="1">{"Pulp Production",#N/A,FALSE,"Pulp";"Pulp Earnings",#N/A,FALSE,"Pulp"}</definedName>
    <definedName name="wrn.qrt95." localSheetId="6" hidden="1">{"qrt95",#N/A,FALSE,"BAIRNUMB"}</definedName>
    <definedName name="wrn.qrt95." localSheetId="3" hidden="1">{"qrt95",#N/A,FALSE,"BAIRNUMB"}</definedName>
    <definedName name="wrn.qrt95." localSheetId="5" hidden="1">{"qrt95",#N/A,FALSE,"BAIRNUMB"}</definedName>
    <definedName name="wrn.qrt95." localSheetId="10" hidden="1">{"qrt95",#N/A,FALSE,"BAIRNUMB"}</definedName>
    <definedName name="wrn.qrt95." localSheetId="16" hidden="1">{"qrt95",#N/A,FALSE,"BAIRNUMB"}</definedName>
    <definedName name="wrn.qrt95." localSheetId="19" hidden="1">{"qrt95",#N/A,FALSE,"BAIRNUMB"}</definedName>
    <definedName name="wrn.qrt95." localSheetId="18" hidden="1">{"qrt95",#N/A,FALSE,"BAIRNUMB"}</definedName>
    <definedName name="wrn.qrt95." hidden="1">{"qrt95",#N/A,FALSE,"BAIRNUMB"}</definedName>
    <definedName name="wrn.Qtr._.Op._.Q1." localSheetId="6" hidden="1">{"Qtr Op Mgd Q1",#N/A,FALSE,"Qtr-Op (Mng)";"Qtr Op Rpt Q1",#N/A,FALSE,"Qtr-Op (Rpt)";"Operating Vs Reported",#N/A,FALSE,"Rpt-Op Inc"}</definedName>
    <definedName name="wrn.Qtr._.Op._.Q1." localSheetId="3" hidden="1">{"Qtr Op Mgd Q1",#N/A,FALSE,"Qtr-Op (Mng)";"Qtr Op Rpt Q1",#N/A,FALSE,"Qtr-Op (Rpt)";"Operating Vs Reported",#N/A,FALSE,"Rpt-Op Inc"}</definedName>
    <definedName name="wrn.Qtr._.Op._.Q1." localSheetId="5" hidden="1">{"Qtr Op Mgd Q1",#N/A,FALSE,"Qtr-Op (Mng)";"Qtr Op Rpt Q1",#N/A,FALSE,"Qtr-Op (Rpt)";"Operating Vs Reported",#N/A,FALSE,"Rpt-Op Inc"}</definedName>
    <definedName name="wrn.Qtr._.Op._.Q1." localSheetId="10" hidden="1">{"Qtr Op Mgd Q1",#N/A,FALSE,"Qtr-Op (Mng)";"Qtr Op Rpt Q1",#N/A,FALSE,"Qtr-Op (Rpt)";"Operating Vs Reported",#N/A,FALSE,"Rpt-Op Inc"}</definedName>
    <definedName name="wrn.Qtr._.Op._.Q1." localSheetId="16" hidden="1">{"Qtr Op Mgd Q1",#N/A,FALSE,"Qtr-Op (Mng)";"Qtr Op Rpt Q1",#N/A,FALSE,"Qtr-Op (Rpt)";"Operating Vs Reported",#N/A,FALSE,"Rpt-Op Inc"}</definedName>
    <definedName name="wrn.Qtr._.Op._.Q1." localSheetId="19" hidden="1">{"Qtr Op Mgd Q1",#N/A,FALSE,"Qtr-Op (Mng)";"Qtr Op Rpt Q1",#N/A,FALSE,"Qtr-Op (Rpt)";"Operating Vs Reported",#N/A,FALSE,"Rpt-Op Inc"}</definedName>
    <definedName name="wrn.Qtr._.Op._.Q1." localSheetId="18"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2." localSheetId="6" hidden="1">{"Qtr Op Mgd Q2",#N/A,FALSE,"Qtr-Op (Mng)";"Qtr Op Rpt Q2",#N/A,FALSE,"Qtr-Op (Rpt)";"Operating Vs Reported",#N/A,FALSE,"Rpt-Op Inc"}</definedName>
    <definedName name="wrn.Qtr._.Op._.Q2." localSheetId="3" hidden="1">{"Qtr Op Mgd Q2",#N/A,FALSE,"Qtr-Op (Mng)";"Qtr Op Rpt Q2",#N/A,FALSE,"Qtr-Op (Rpt)";"Operating Vs Reported",#N/A,FALSE,"Rpt-Op Inc"}</definedName>
    <definedName name="wrn.Qtr._.Op._.Q2." localSheetId="5" hidden="1">{"Qtr Op Mgd Q2",#N/A,FALSE,"Qtr-Op (Mng)";"Qtr Op Rpt Q2",#N/A,FALSE,"Qtr-Op (Rpt)";"Operating Vs Reported",#N/A,FALSE,"Rpt-Op Inc"}</definedName>
    <definedName name="wrn.Qtr._.Op._.Q2." localSheetId="10" hidden="1">{"Qtr Op Mgd Q2",#N/A,FALSE,"Qtr-Op (Mng)";"Qtr Op Rpt Q2",#N/A,FALSE,"Qtr-Op (Rpt)";"Operating Vs Reported",#N/A,FALSE,"Rpt-Op Inc"}</definedName>
    <definedName name="wrn.Qtr._.Op._.Q2." localSheetId="16" hidden="1">{"Qtr Op Mgd Q2",#N/A,FALSE,"Qtr-Op (Mng)";"Qtr Op Rpt Q2",#N/A,FALSE,"Qtr-Op (Rpt)";"Operating Vs Reported",#N/A,FALSE,"Rpt-Op Inc"}</definedName>
    <definedName name="wrn.Qtr._.Op._.Q2." localSheetId="19" hidden="1">{"Qtr Op Mgd Q2",#N/A,FALSE,"Qtr-Op (Mng)";"Qtr Op Rpt Q2",#N/A,FALSE,"Qtr-Op (Rpt)";"Operating Vs Reported",#N/A,FALSE,"Rpt-Op Inc"}</definedName>
    <definedName name="wrn.Qtr._.Op._.Q2." localSheetId="18"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3." localSheetId="6" hidden="1">{"Qtr Op Mgd Q3",#N/A,FALSE,"Qtr-Op (Mng)";"Qtr Op Rpt Q3",#N/A,FALSE,"Qtr-Op (Rpt)";"Operating Vs Reported",#N/A,FALSE,"Rpt-Op Inc"}</definedName>
    <definedName name="wrn.Qtr._.Op._.Q3." localSheetId="3" hidden="1">{"Qtr Op Mgd Q3",#N/A,FALSE,"Qtr-Op (Mng)";"Qtr Op Rpt Q3",#N/A,FALSE,"Qtr-Op (Rpt)";"Operating Vs Reported",#N/A,FALSE,"Rpt-Op Inc"}</definedName>
    <definedName name="wrn.Qtr._.Op._.Q3." localSheetId="5" hidden="1">{"Qtr Op Mgd Q3",#N/A,FALSE,"Qtr-Op (Mng)";"Qtr Op Rpt Q3",#N/A,FALSE,"Qtr-Op (Rpt)";"Operating Vs Reported",#N/A,FALSE,"Rpt-Op Inc"}</definedName>
    <definedName name="wrn.Qtr._.Op._.Q3." localSheetId="10" hidden="1">{"Qtr Op Mgd Q3",#N/A,FALSE,"Qtr-Op (Mng)";"Qtr Op Rpt Q3",#N/A,FALSE,"Qtr-Op (Rpt)";"Operating Vs Reported",#N/A,FALSE,"Rpt-Op Inc"}</definedName>
    <definedName name="wrn.Qtr._.Op._.Q3." localSheetId="16" hidden="1">{"Qtr Op Mgd Q3",#N/A,FALSE,"Qtr-Op (Mng)";"Qtr Op Rpt Q3",#N/A,FALSE,"Qtr-Op (Rpt)";"Operating Vs Reported",#N/A,FALSE,"Rpt-Op Inc"}</definedName>
    <definedName name="wrn.Qtr._.Op._.Q3." localSheetId="19" hidden="1">{"Qtr Op Mgd Q3",#N/A,FALSE,"Qtr-Op (Mng)";"Qtr Op Rpt Q3",#N/A,FALSE,"Qtr-Op (Rpt)";"Operating Vs Reported",#N/A,FALSE,"Rpt-Op Inc"}</definedName>
    <definedName name="wrn.Qtr._.Op._.Q3." localSheetId="18"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4." localSheetId="6" hidden="1">{"Qtr Op Mgd Q3",#N/A,FALSE,"Qtr-Op (Mng)";"Qtr Op Rpt Q4",#N/A,FALSE,"Qtr-Op (Rpt)";"Operating Vs Reported",#N/A,FALSE,"Rpt-Op Inc"}</definedName>
    <definedName name="wrn.Qtr._.Op._.Q4." localSheetId="3" hidden="1">{"Qtr Op Mgd Q3",#N/A,FALSE,"Qtr-Op (Mng)";"Qtr Op Rpt Q4",#N/A,FALSE,"Qtr-Op (Rpt)";"Operating Vs Reported",#N/A,FALSE,"Rpt-Op Inc"}</definedName>
    <definedName name="wrn.Qtr._.Op._.Q4." localSheetId="5" hidden="1">{"Qtr Op Mgd Q3",#N/A,FALSE,"Qtr-Op (Mng)";"Qtr Op Rpt Q4",#N/A,FALSE,"Qtr-Op (Rpt)";"Operating Vs Reported",#N/A,FALSE,"Rpt-Op Inc"}</definedName>
    <definedName name="wrn.Qtr._.Op._.Q4." localSheetId="10" hidden="1">{"Qtr Op Mgd Q3",#N/A,FALSE,"Qtr-Op (Mng)";"Qtr Op Rpt Q4",#N/A,FALSE,"Qtr-Op (Rpt)";"Operating Vs Reported",#N/A,FALSE,"Rpt-Op Inc"}</definedName>
    <definedName name="wrn.Qtr._.Op._.Q4." localSheetId="16" hidden="1">{"Qtr Op Mgd Q3",#N/A,FALSE,"Qtr-Op (Mng)";"Qtr Op Rpt Q4",#N/A,FALSE,"Qtr-Op (Rpt)";"Operating Vs Reported",#N/A,FALSE,"Rpt-Op Inc"}</definedName>
    <definedName name="wrn.Qtr._.Op._.Q4." localSheetId="19" hidden="1">{"Qtr Op Mgd Q3",#N/A,FALSE,"Qtr-Op (Mng)";"Qtr Op Rpt Q4",#N/A,FALSE,"Qtr-Op (Rpt)";"Operating Vs Reported",#N/A,FALSE,"Rpt-Op Inc"}</definedName>
    <definedName name="wrn.Qtr._.Op._.Q4." localSheetId="18"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2a." localSheetId="6" hidden="1">{"Qtr Op Mgd Q2",#N/A,FALSE,"Qtr-Op (Mng)";"Qtr Op Rpt Q2",#N/A,FALSE,"Qtr-Op (Rpt)";"Operating Vs Reported",#N/A,FALSE,"Rpt-Op Inc"}</definedName>
    <definedName name="wrn.Qtr._.Op._Q2a." localSheetId="3" hidden="1">{"Qtr Op Mgd Q2",#N/A,FALSE,"Qtr-Op (Mng)";"Qtr Op Rpt Q2",#N/A,FALSE,"Qtr-Op (Rpt)";"Operating Vs Reported",#N/A,FALSE,"Rpt-Op Inc"}</definedName>
    <definedName name="wrn.Qtr._.Op._Q2a." localSheetId="5" hidden="1">{"Qtr Op Mgd Q2",#N/A,FALSE,"Qtr-Op (Mng)";"Qtr Op Rpt Q2",#N/A,FALSE,"Qtr-Op (Rpt)";"Operating Vs Reported",#N/A,FALSE,"Rpt-Op Inc"}</definedName>
    <definedName name="wrn.Qtr._.Op._Q2a." localSheetId="10" hidden="1">{"Qtr Op Mgd Q2",#N/A,FALSE,"Qtr-Op (Mng)";"Qtr Op Rpt Q2",#N/A,FALSE,"Qtr-Op (Rpt)";"Operating Vs Reported",#N/A,FALSE,"Rpt-Op Inc"}</definedName>
    <definedName name="wrn.Qtr._.Op._Q2a." localSheetId="16" hidden="1">{"Qtr Op Mgd Q2",#N/A,FALSE,"Qtr-Op (Mng)";"Qtr Op Rpt Q2",#N/A,FALSE,"Qtr-Op (Rpt)";"Operating Vs Reported",#N/A,FALSE,"Rpt-Op Inc"}</definedName>
    <definedName name="wrn.Qtr._.Op._Q2a." localSheetId="19" hidden="1">{"Qtr Op Mgd Q2",#N/A,FALSE,"Qtr-Op (Mng)";"Qtr Op Rpt Q2",#N/A,FALSE,"Qtr-Op (Rpt)";"Operating Vs Reported",#N/A,FALSE,"Rpt-Op Inc"}</definedName>
    <definedName name="wrn.Qtr._.Op._Q2a." localSheetId="18" hidden="1">{"Qtr Op Mgd Q2",#N/A,FALSE,"Qtr-Op (Mng)";"Qtr Op Rpt Q2",#N/A,FALSE,"Qtr-Op (Rpt)";"Operating Vs Reported",#N/A,FALSE,"Rpt-Op Inc"}</definedName>
    <definedName name="wrn.Qtr._.Op._Q2a." hidden="1">{"Qtr Op Mgd Q2",#N/A,FALSE,"Qtr-Op (Mng)";"Qtr Op Rpt Q2",#N/A,FALSE,"Qtr-Op (Rpt)";"Operating Vs Reported",#N/A,FALSE,"Rpt-Op Inc"}</definedName>
    <definedName name="wrn.Qtr_.Op._.Q4." localSheetId="6" hidden="1">{"Qtr Op Mgd Q3",#N/A,FALSE,"Qtr-Op (Mng)";"Qtr Op Rpt Q4",#N/A,FALSE,"Qtr-Op (Rpt)";"Operating Vs Reported",#N/A,FALSE,"Rpt-Op Inc"}</definedName>
    <definedName name="wrn.Qtr_.Op._.Q4." localSheetId="3" hidden="1">{"Qtr Op Mgd Q3",#N/A,FALSE,"Qtr-Op (Mng)";"Qtr Op Rpt Q4",#N/A,FALSE,"Qtr-Op (Rpt)";"Operating Vs Reported",#N/A,FALSE,"Rpt-Op Inc"}</definedName>
    <definedName name="wrn.Qtr_.Op._.Q4." localSheetId="5" hidden="1">{"Qtr Op Mgd Q3",#N/A,FALSE,"Qtr-Op (Mng)";"Qtr Op Rpt Q4",#N/A,FALSE,"Qtr-Op (Rpt)";"Operating Vs Reported",#N/A,FALSE,"Rpt-Op Inc"}</definedName>
    <definedName name="wrn.Qtr_.Op._.Q4." localSheetId="10" hidden="1">{"Qtr Op Mgd Q3",#N/A,FALSE,"Qtr-Op (Mng)";"Qtr Op Rpt Q4",#N/A,FALSE,"Qtr-Op (Rpt)";"Operating Vs Reported",#N/A,FALSE,"Rpt-Op Inc"}</definedName>
    <definedName name="wrn.Qtr_.Op._.Q4." localSheetId="16" hidden="1">{"Qtr Op Mgd Q3",#N/A,FALSE,"Qtr-Op (Mng)";"Qtr Op Rpt Q4",#N/A,FALSE,"Qtr-Op (Rpt)";"Operating Vs Reported",#N/A,FALSE,"Rpt-Op Inc"}</definedName>
    <definedName name="wrn.Qtr_.Op._.Q4." localSheetId="19" hidden="1">{"Qtr Op Mgd Q3",#N/A,FALSE,"Qtr-Op (Mng)";"Qtr Op Rpt Q4",#N/A,FALSE,"Qtr-Op (Rpt)";"Operating Vs Reported",#N/A,FALSE,"Rpt-Op Inc"}</definedName>
    <definedName name="wrn.Qtr_.Op._.Q4." localSheetId="18" hidden="1">{"Qtr Op Mgd Q3",#N/A,FALSE,"Qtr-Op (Mng)";"Qtr Op Rpt Q4",#N/A,FALSE,"Qtr-Op (Rpt)";"Operating Vs Reported",#N/A,FALSE,"Rpt-Op Inc"}</definedName>
    <definedName name="wrn.Qtr_.Op._.Q4." hidden="1">{"Qtr Op Mgd Q3",#N/A,FALSE,"Qtr-Op (Mng)";"Qtr Op Rpt Q4",#N/A,FALSE,"Qtr-Op (Rpt)";"Operating Vs Reported",#N/A,FALSE,"Rpt-Op Inc"}</definedName>
    <definedName name="wrn.quarterly." localSheetId="6" hidden="1">{"quarterly",#N/A,FALSE,"BAIRNUMB"}</definedName>
    <definedName name="wrn.quarterly." localSheetId="3" hidden="1">{"quarterly",#N/A,FALSE,"BAIRNUMB"}</definedName>
    <definedName name="wrn.quarterly." localSheetId="5" hidden="1">{"quarterly",#N/A,FALSE,"BAIRNUMB"}</definedName>
    <definedName name="wrn.quarterly." localSheetId="10" hidden="1">{"quarterly",#N/A,FALSE,"BAIRNUMB"}</definedName>
    <definedName name="wrn.quarterly." localSheetId="16" hidden="1">{"quarterly",#N/A,FALSE,"BAIRNUMB"}</definedName>
    <definedName name="wrn.quarterly." localSheetId="19" hidden="1">{"quarterly",#N/A,FALSE,"BAIRNUMB"}</definedName>
    <definedName name="wrn.quarterly." localSheetId="18" hidden="1">{"quarterly",#N/A,FALSE,"BAIRNUMB"}</definedName>
    <definedName name="wrn.quarterly." hidden="1">{"quarterly",#N/A,FALSE,"BAIRNUMB"}</definedName>
    <definedName name="wrn.Refining." localSheetId="6" hidden="1">{"Refining",#N/A,FALSE,"Refining"}</definedName>
    <definedName name="wrn.Refining." localSheetId="3" hidden="1">{"Refining",#N/A,FALSE,"Refining"}</definedName>
    <definedName name="wrn.Refining." localSheetId="5" hidden="1">{"Refining",#N/A,FALSE,"Refining"}</definedName>
    <definedName name="wrn.Refining." localSheetId="10" hidden="1">{"Refining",#N/A,FALSE,"Refining"}</definedName>
    <definedName name="wrn.Refining." localSheetId="16" hidden="1">{"Refining",#N/A,FALSE,"Refining"}</definedName>
    <definedName name="wrn.Refining." localSheetId="19" hidden="1">{"Refining",#N/A,FALSE,"Refining"}</definedName>
    <definedName name="wrn.Refining." localSheetId="18" hidden="1">{"Refining",#N/A,FALSE,"Refining"}</definedName>
    <definedName name="wrn.Refining." hidden="1">{"Refining",#N/A,FALSE,"Refining"}</definedName>
    <definedName name="wrn.Report." localSheetId="6" hidden="1">{#N/A,#N/A,FALSE,"COVER";#N/A,#N/A,FALSE,"FORECAST";#N/A,#N/A,FALSE,"VALUATION";#N/A,#N/A,FALSE,"FY ANALYSIS ";#N/A,#N/A,FALSE," HY ANALYSIS"}</definedName>
    <definedName name="wrn.Report." localSheetId="3" hidden="1">{#N/A,#N/A,FALSE,"COVER";#N/A,#N/A,FALSE,"FORECAST";#N/A,#N/A,FALSE,"VALUATION";#N/A,#N/A,FALSE,"FY ANALYSIS ";#N/A,#N/A,FALSE," HY ANALYSIS"}</definedName>
    <definedName name="wrn.Report." localSheetId="5" hidden="1">{#N/A,#N/A,FALSE,"COVER";#N/A,#N/A,FALSE,"FORECAST";#N/A,#N/A,FALSE,"VALUATION";#N/A,#N/A,FALSE,"FY ANALYSIS ";#N/A,#N/A,FALSE," HY ANALYSIS"}</definedName>
    <definedName name="wrn.Report." localSheetId="10" hidden="1">{#N/A,#N/A,FALSE,"COVER";#N/A,#N/A,FALSE,"FORECAST";#N/A,#N/A,FALSE,"VALUATION";#N/A,#N/A,FALSE,"FY ANALYSIS ";#N/A,#N/A,FALSE," HY ANALYSIS"}</definedName>
    <definedName name="wrn.Report." localSheetId="16" hidden="1">{#N/A,#N/A,FALSE,"COVER";#N/A,#N/A,FALSE,"FORECAST";#N/A,#N/A,FALSE,"VALUATION";#N/A,#N/A,FALSE,"FY ANALYSIS ";#N/A,#N/A,FALSE," HY ANALYSIS"}</definedName>
    <definedName name="wrn.Report." localSheetId="19" hidden="1">{#N/A,#N/A,FALSE,"COVER";#N/A,#N/A,FALSE,"FORECAST";#N/A,#N/A,FALSE,"VALUATION";#N/A,#N/A,FALSE,"FY ANALYSIS ";#N/A,#N/A,FALSE," HY ANALYSIS"}</definedName>
    <definedName name="wrn.Report." localSheetId="18" hidden="1">{#N/A,#N/A,FALSE,"COVER";#N/A,#N/A,FALSE,"FORECAST";#N/A,#N/A,FALSE,"VALUATION";#N/A,#N/A,FALSE,"FY ANALYSIS ";#N/A,#N/A,FALSE," HY ANALYSIS"}</definedName>
    <definedName name="wrn.Report." hidden="1">{#N/A,#N/A,FALSE,"COVER";#N/A,#N/A,FALSE,"FORECAST";#N/A,#N/A,FALSE,"VALUATION";#N/A,#N/A,FALSE,"FY ANALYSIS ";#N/A,#N/A,FALSE," HY ANALYSIS"}</definedName>
    <definedName name="wrn.revenue._.historical." localSheetId="5"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16"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19"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localSheetId="18"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evenue._.historical." hidden="1">{"rev_summary2",#N/A,FALSE,"historical min us";"rev_summary1",#N/A,FALSE,"historical min us";"rev_perMinuteSummary",#N/A,FALSE,"hist rev per minute summary";"rev_worldwide_rev",#N/A,FALSE,"historical min us";"rev_worldwide_minutes",#N/A,FALSE,"historical min us";"rev_rev_ROW",#N/A,FALSE,"historical min us";"rev_other",#N/A,FALSE,"historical min us"}</definedName>
    <definedName name="wrn.Robert." localSheetId="6" hidden="1">{"ROR",#N/A,FALSE,"CF";"Total",#N/A,FALSE,"Reserve Report";"HPDP",#N/A,FALSE,"Reserve Report";"PPDP",#N/A,FALSE,"Reserve Report";"PDNP",#N/A,FALSE,"Reserve Report";"PUD",#N/A,FALSE,"Reserve Report";"Price",#N/A,FALSE,"Reserve Report"}</definedName>
    <definedName name="wrn.Robert." localSheetId="3" hidden="1">{"ROR",#N/A,FALSE,"CF";"Total",#N/A,FALSE,"Reserve Report";"HPDP",#N/A,FALSE,"Reserve Report";"PPDP",#N/A,FALSE,"Reserve Report";"PDNP",#N/A,FALSE,"Reserve Report";"PUD",#N/A,FALSE,"Reserve Report";"Price",#N/A,FALSE,"Reserve Report"}</definedName>
    <definedName name="wrn.Robert." localSheetId="5" hidden="1">{"ROR",#N/A,FALSE,"CF";"Total",#N/A,FALSE,"Reserve Report";"HPDP",#N/A,FALSE,"Reserve Report";"PPDP",#N/A,FALSE,"Reserve Report";"PDNP",#N/A,FALSE,"Reserve Report";"PUD",#N/A,FALSE,"Reserve Report";"Price",#N/A,FALSE,"Reserve Report"}</definedName>
    <definedName name="wrn.Robert." localSheetId="10" hidden="1">{"ROR",#N/A,FALSE,"CF";"Total",#N/A,FALSE,"Reserve Report";"HPDP",#N/A,FALSE,"Reserve Report";"PPDP",#N/A,FALSE,"Reserve Report";"PDNP",#N/A,FALSE,"Reserve Report";"PUD",#N/A,FALSE,"Reserve Report";"Price",#N/A,FALSE,"Reserve Report"}</definedName>
    <definedName name="wrn.Robert." localSheetId="16" hidden="1">{"ROR",#N/A,FALSE,"CF";"Total",#N/A,FALSE,"Reserve Report";"HPDP",#N/A,FALSE,"Reserve Report";"PPDP",#N/A,FALSE,"Reserve Report";"PDNP",#N/A,FALSE,"Reserve Report";"PUD",#N/A,FALSE,"Reserve Report";"Price",#N/A,FALSE,"Reserve Report"}</definedName>
    <definedName name="wrn.Robert." localSheetId="19" hidden="1">{"ROR",#N/A,FALSE,"CF";"Total",#N/A,FALSE,"Reserve Report";"HPDP",#N/A,FALSE,"Reserve Report";"PPDP",#N/A,FALSE,"Reserve Report";"PDNP",#N/A,FALSE,"Reserve Report";"PUD",#N/A,FALSE,"Reserve Report";"Price",#N/A,FALSE,"Reserve Report"}</definedName>
    <definedName name="wrn.Robert." localSheetId="18" hidden="1">{"ROR",#N/A,FALSE,"CF";"Total",#N/A,FALSE,"Reserve Report";"HPDP",#N/A,FALSE,"Reserve Report";"PPDP",#N/A,FALSE,"Reserve Report";"PDNP",#N/A,FALSE,"Reserve Report";"PUD",#N/A,FALSE,"Reserve Report";"Price",#N/A,FALSE,"Reserve Report"}</definedName>
    <definedName name="wrn.Robert." hidden="1">{"ROR",#N/A,FALSE,"CF";"Total",#N/A,FALSE,"Reserve Report";"HPDP",#N/A,FALSE,"Reserve Report";"PPDP",#N/A,FALSE,"Reserve Report";"PDNP",#N/A,FALSE,"Reserve Report";"PUD",#N/A,FALSE,"Reserve Report";"Price",#N/A,FALSE,"Reserve Report"}</definedName>
    <definedName name="wrn.Roll._.Up._.Fields." localSheetId="6" hidden="1">{"Total",#N/A,FALSE,"Six Fields";"PDP",#N/A,FALSE,"Six Fields";"PNP",#N/A,FALSE,"Six Fields";"PUD",#N/A,FALSE,"Six Fields";"Prob",#N/A,FALSE,"Six Fields"}</definedName>
    <definedName name="wrn.Roll._.Up._.Fields." localSheetId="3" hidden="1">{"Total",#N/A,FALSE,"Six Fields";"PDP",#N/A,FALSE,"Six Fields";"PNP",#N/A,FALSE,"Six Fields";"PUD",#N/A,FALSE,"Six Fields";"Prob",#N/A,FALSE,"Six Fields"}</definedName>
    <definedName name="wrn.Roll._.Up._.Fields." localSheetId="5" hidden="1">{"Total",#N/A,FALSE,"Six Fields";"PDP",#N/A,FALSE,"Six Fields";"PNP",#N/A,FALSE,"Six Fields";"PUD",#N/A,FALSE,"Six Fields";"Prob",#N/A,FALSE,"Six Fields"}</definedName>
    <definedName name="wrn.Roll._.Up._.Fields." localSheetId="10" hidden="1">{"Total",#N/A,FALSE,"Six Fields";"PDP",#N/A,FALSE,"Six Fields";"PNP",#N/A,FALSE,"Six Fields";"PUD",#N/A,FALSE,"Six Fields";"Prob",#N/A,FALSE,"Six Fields"}</definedName>
    <definedName name="wrn.Roll._.Up._.Fields." localSheetId="16" hidden="1">{"Total",#N/A,FALSE,"Six Fields";"PDP",#N/A,FALSE,"Six Fields";"PNP",#N/A,FALSE,"Six Fields";"PUD",#N/A,FALSE,"Six Fields";"Prob",#N/A,FALSE,"Six Fields"}</definedName>
    <definedName name="wrn.Roll._.Up._.Fields." localSheetId="19" hidden="1">{"Total",#N/A,FALSE,"Six Fields";"PDP",#N/A,FALSE,"Six Fields";"PNP",#N/A,FALSE,"Six Fields";"PUD",#N/A,FALSE,"Six Fields";"Prob",#N/A,FALSE,"Six Fields"}</definedName>
    <definedName name="wrn.Roll._.Up._.Fields." localSheetId="18" hidden="1">{"Total",#N/A,FALSE,"Six Fields";"PDP",#N/A,FALSE,"Six Fields";"PNP",#N/A,FALSE,"Six Fields";"PUD",#N/A,FALSE,"Six Fields";"Prob",#N/A,FALSE,"Six Fields"}</definedName>
    <definedName name="wrn.Roll._.Up._.Fields." hidden="1">{"Total",#N/A,FALSE,"Six Fields";"PDP",#N/A,FALSE,"Six Fields";"PNP",#N/A,FALSE,"Six Fields";"PUD",#N/A,FALSE,"Six Fields";"Prob",#N/A,FALSE,"Six Fields"}</definedName>
    <definedName name="wrn.segment._.EPS." localSheetId="5" hidden="1">{"segment_EPS",#N/A,FALSE,"TXTCOMPS"}</definedName>
    <definedName name="wrn.segment._.EPS." localSheetId="16" hidden="1">{"segment_EPS",#N/A,FALSE,"TXTCOMPS"}</definedName>
    <definedName name="wrn.segment._.EPS." localSheetId="19" hidden="1">{"segment_EPS",#N/A,FALSE,"TXTCOMPS"}</definedName>
    <definedName name="wrn.segment._.EPS." localSheetId="18" hidden="1">{"segment_EPS",#N/A,FALSE,"TXTCOMPS"}</definedName>
    <definedName name="wrn.segment._.EPS." hidden="1">{"segment_EPS",#N/A,FALSE,"TXTCOMPS"}</definedName>
    <definedName name="wrn.SGPMODELS." localSheetId="6" hidden="1">{"QTRINC1",#N/A,FALSE,"SGPNEW";"QTRINC2",#N/A,FALSE,"SGPNEW";"USSALES1",#N/A,FALSE,"SGPNEW";"USSALES2",#N/A,FALSE,"SGPNEW";"INTLSALES1",#N/A,FALSE,"SGPNEW";"INTLSALES2",#N/A,FALSE,"SGPNEW";"WWSALES1",#N/A,FALSE,"SGPNEW";"WWSALES2",#N/A,FALSE,"SGPNEW";"NEWPRODS",#N/A,FALSE,"SGPNEW";"CASHFLOW",#N/A,FALSE,"SGPNEW"}</definedName>
    <definedName name="wrn.SGPMODELS." localSheetId="3" hidden="1">{"QTRINC1",#N/A,FALSE,"SGPNEW";"QTRINC2",#N/A,FALSE,"SGPNEW";"USSALES1",#N/A,FALSE,"SGPNEW";"USSALES2",#N/A,FALSE,"SGPNEW";"INTLSALES1",#N/A,FALSE,"SGPNEW";"INTLSALES2",#N/A,FALSE,"SGPNEW";"WWSALES1",#N/A,FALSE,"SGPNEW";"WWSALES2",#N/A,FALSE,"SGPNEW";"NEWPRODS",#N/A,FALSE,"SGPNEW";"CASHFLOW",#N/A,FALSE,"SGPNEW"}</definedName>
    <definedName name="wrn.SGPMODELS." localSheetId="5" hidden="1">{"QTRINC1",#N/A,FALSE,"SGPNEW";"QTRINC2",#N/A,FALSE,"SGPNEW";"USSALES1",#N/A,FALSE,"SGPNEW";"USSALES2",#N/A,FALSE,"SGPNEW";"INTLSALES1",#N/A,FALSE,"SGPNEW";"INTLSALES2",#N/A,FALSE,"SGPNEW";"WWSALES1",#N/A,FALSE,"SGPNEW";"WWSALES2",#N/A,FALSE,"SGPNEW";"NEWPRODS",#N/A,FALSE,"SGPNEW";"CASHFLOW",#N/A,FALSE,"SGPNEW"}</definedName>
    <definedName name="wrn.SGPMODELS." localSheetId="10" hidden="1">{"QTRINC1",#N/A,FALSE,"SGPNEW";"QTRINC2",#N/A,FALSE,"SGPNEW";"USSALES1",#N/A,FALSE,"SGPNEW";"USSALES2",#N/A,FALSE,"SGPNEW";"INTLSALES1",#N/A,FALSE,"SGPNEW";"INTLSALES2",#N/A,FALSE,"SGPNEW";"WWSALES1",#N/A,FALSE,"SGPNEW";"WWSALES2",#N/A,FALSE,"SGPNEW";"NEWPRODS",#N/A,FALSE,"SGPNEW";"CASHFLOW",#N/A,FALSE,"SGPNEW"}</definedName>
    <definedName name="wrn.SGPMODELS." localSheetId="16" hidden="1">{"QTRINC1",#N/A,FALSE,"SGPNEW";"QTRINC2",#N/A,FALSE,"SGPNEW";"USSALES1",#N/A,FALSE,"SGPNEW";"USSALES2",#N/A,FALSE,"SGPNEW";"INTLSALES1",#N/A,FALSE,"SGPNEW";"INTLSALES2",#N/A,FALSE,"SGPNEW";"WWSALES1",#N/A,FALSE,"SGPNEW";"WWSALES2",#N/A,FALSE,"SGPNEW";"NEWPRODS",#N/A,FALSE,"SGPNEW";"CASHFLOW",#N/A,FALSE,"SGPNEW"}</definedName>
    <definedName name="wrn.SGPMODELS." localSheetId="19" hidden="1">{"QTRINC1",#N/A,FALSE,"SGPNEW";"QTRINC2",#N/A,FALSE,"SGPNEW";"USSALES1",#N/A,FALSE,"SGPNEW";"USSALES2",#N/A,FALSE,"SGPNEW";"INTLSALES1",#N/A,FALSE,"SGPNEW";"INTLSALES2",#N/A,FALSE,"SGPNEW";"WWSALES1",#N/A,FALSE,"SGPNEW";"WWSALES2",#N/A,FALSE,"SGPNEW";"NEWPRODS",#N/A,FALSE,"SGPNEW";"CASHFLOW",#N/A,FALSE,"SGPNEW"}</definedName>
    <definedName name="wrn.SGPMODELS." localSheetId="18" hidden="1">{"QTRINC1",#N/A,FALSE,"SGPNEW";"QTRINC2",#N/A,FALSE,"SGPNEW";"USSALES1",#N/A,FALSE,"SGPNEW";"USSALES2",#N/A,FALSE,"SGPNEW";"INTLSALES1",#N/A,FALSE,"SGPNEW";"INTLSALES2",#N/A,FALSE,"SGPNEW";"WWSALES1",#N/A,FALSE,"SGPNEW";"WWSALES2",#N/A,FALSE,"SGPNEW";"NEWPRODS",#N/A,FALSE,"SGPNEW";"CASHFLOW",#N/A,FALSE,"SGPNEW"}</definedName>
    <definedName name="wrn.SGPMODELS." hidden="1">{"QTRINC1",#N/A,FALSE,"SGPNEW";"QTRINC2",#N/A,FALSE,"SGPNEW";"USSALES1",#N/A,FALSE,"SGPNEW";"USSALES2",#N/A,FALSE,"SGPNEW";"INTLSALES1",#N/A,FALSE,"SGPNEW";"INTLSALES2",#N/A,FALSE,"SGPNEW";"WWSALES1",#N/A,FALSE,"SGPNEW";"WWSALES2",#N/A,FALSE,"SGPNEW";"NEWPRODS",#N/A,FALSE,"SGPNEW";"CASHFLOW",#N/A,FALSE,"SGPNEW"}</definedName>
    <definedName name="wrn.Shareholders._.and._.Employees." localSheetId="6" hidden="1">{#N/A,#N/A,FALSE,"Share the Wealth";#N/A,#N/A,FALSE,"Shareholders vs Employees";#N/A,#N/A,FALSE,"Share vs Emp Summary"}</definedName>
    <definedName name="wrn.Shareholders._.and._.Employees." localSheetId="3" hidden="1">{#N/A,#N/A,FALSE,"Share the Wealth";#N/A,#N/A,FALSE,"Shareholders vs Employees";#N/A,#N/A,FALSE,"Share vs Emp Summary"}</definedName>
    <definedName name="wrn.Shareholders._.and._.Employees." localSheetId="5" hidden="1">{#N/A,#N/A,FALSE,"Share the Wealth";#N/A,#N/A,FALSE,"Shareholders vs Employees";#N/A,#N/A,FALSE,"Share vs Emp Summary"}</definedName>
    <definedName name="wrn.Shareholders._.and._.Employees." localSheetId="10" hidden="1">{#N/A,#N/A,FALSE,"Share the Wealth";#N/A,#N/A,FALSE,"Shareholders vs Employees";#N/A,#N/A,FALSE,"Share vs Emp Summary"}</definedName>
    <definedName name="wrn.Shareholders._.and._.Employees." localSheetId="16" hidden="1">{#N/A,#N/A,FALSE,"Share the Wealth";#N/A,#N/A,FALSE,"Shareholders vs Employees";#N/A,#N/A,FALSE,"Share vs Emp Summary"}</definedName>
    <definedName name="wrn.Shareholders._.and._.Employees." localSheetId="19" hidden="1">{#N/A,#N/A,FALSE,"Share the Wealth";#N/A,#N/A,FALSE,"Shareholders vs Employees";#N/A,#N/A,FALSE,"Share vs Emp Summary"}</definedName>
    <definedName name="wrn.Shareholders._.and._.Employees." localSheetId="18" hidden="1">{#N/A,#N/A,FALSE,"Share the Wealth";#N/A,#N/A,FALSE,"Shareholders vs Employees";#N/A,#N/A,FALSE,"Share vs Emp Summary"}</definedName>
    <definedName name="wrn.Shareholders._.and._.Employees." hidden="1">{#N/A,#N/A,FALSE,"Share the Wealth";#N/A,#N/A,FALSE,"Shareholders vs Employees";#N/A,#N/A,FALSE,"Share vs Emp Summary"}</definedName>
    <definedName name="wrn.SunModel." localSheetId="6" hidden="1">{#N/A,#N/A,FALSE,"summary";#N/A,#N/A,FALSE,"SIH";#N/A,#N/A,FALSE,"SIH Value";#N/A,#N/A,FALSE,"tax est.";#N/A,#N/A,FALSE,"Mohegan";#N/A,#N/A,FALSE,"Resorts";#N/A,#N/A,FALSE,"Win Per Day";#N/A,#N/A,FALSE,"CapStr"}</definedName>
    <definedName name="wrn.SunModel." localSheetId="3" hidden="1">{#N/A,#N/A,FALSE,"summary";#N/A,#N/A,FALSE,"SIH";#N/A,#N/A,FALSE,"SIH Value";#N/A,#N/A,FALSE,"tax est.";#N/A,#N/A,FALSE,"Mohegan";#N/A,#N/A,FALSE,"Resorts";#N/A,#N/A,FALSE,"Win Per Day";#N/A,#N/A,FALSE,"CapStr"}</definedName>
    <definedName name="wrn.SunModel." localSheetId="5" hidden="1">{#N/A,#N/A,FALSE,"summary";#N/A,#N/A,FALSE,"SIH";#N/A,#N/A,FALSE,"SIH Value";#N/A,#N/A,FALSE,"tax est.";#N/A,#N/A,FALSE,"Mohegan";#N/A,#N/A,FALSE,"Resorts";#N/A,#N/A,FALSE,"Win Per Day";#N/A,#N/A,FALSE,"CapStr"}</definedName>
    <definedName name="wrn.SunModel." localSheetId="10" hidden="1">{#N/A,#N/A,FALSE,"summary";#N/A,#N/A,FALSE,"SIH";#N/A,#N/A,FALSE,"SIH Value";#N/A,#N/A,FALSE,"tax est.";#N/A,#N/A,FALSE,"Mohegan";#N/A,#N/A,FALSE,"Resorts";#N/A,#N/A,FALSE,"Win Per Day";#N/A,#N/A,FALSE,"CapStr"}</definedName>
    <definedName name="wrn.SunModel." localSheetId="16" hidden="1">{#N/A,#N/A,FALSE,"summary";#N/A,#N/A,FALSE,"SIH";#N/A,#N/A,FALSE,"SIH Value";#N/A,#N/A,FALSE,"tax est.";#N/A,#N/A,FALSE,"Mohegan";#N/A,#N/A,FALSE,"Resorts";#N/A,#N/A,FALSE,"Win Per Day";#N/A,#N/A,FALSE,"CapStr"}</definedName>
    <definedName name="wrn.SunModel." localSheetId="19" hidden="1">{#N/A,#N/A,FALSE,"summary";#N/A,#N/A,FALSE,"SIH";#N/A,#N/A,FALSE,"SIH Value";#N/A,#N/A,FALSE,"tax est.";#N/A,#N/A,FALSE,"Mohegan";#N/A,#N/A,FALSE,"Resorts";#N/A,#N/A,FALSE,"Win Per Day";#N/A,#N/A,FALSE,"CapStr"}</definedName>
    <definedName name="wrn.SunModel." localSheetId="18" hidden="1">{#N/A,#N/A,FALSE,"summary";#N/A,#N/A,FALSE,"SIH";#N/A,#N/A,FALSE,"SIH Value";#N/A,#N/A,FALSE,"tax est.";#N/A,#N/A,FALSE,"Mohegan";#N/A,#N/A,FALSE,"Resorts";#N/A,#N/A,FALSE,"Win Per Day";#N/A,#N/A,FALSE,"CapStr"}</definedName>
    <definedName name="wrn.SunModel." hidden="1">{#N/A,#N/A,FALSE,"summary";#N/A,#N/A,FALSE,"SIH";#N/A,#N/A,FALSE,"SIH Value";#N/A,#N/A,FALSE,"tax est.";#N/A,#N/A,FALSE,"Mohegan";#N/A,#N/A,FALSE,"Resorts";#N/A,#N/A,FALSE,"Win Per Day";#N/A,#N/A,FALSE,"CapStr"}</definedName>
    <definedName name="wrn.Tables." localSheetId="6" hidden="1">{"view1",#N/A,FALSE,"Tables";"view2",#N/A,FALSE,"Tables";"view3",#N/A,FALSE,"Tables"}</definedName>
    <definedName name="wrn.Tables." localSheetId="3" hidden="1">{"view1",#N/A,FALSE,"Tables";"view2",#N/A,FALSE,"Tables";"view3",#N/A,FALSE,"Tables"}</definedName>
    <definedName name="wrn.Tables." localSheetId="5" hidden="1">{"view1",#N/A,FALSE,"Tables";"view2",#N/A,FALSE,"Tables";"view3",#N/A,FALSE,"Tables"}</definedName>
    <definedName name="wrn.Tables." localSheetId="10" hidden="1">{"view1",#N/A,FALSE,"Tables";"view2",#N/A,FALSE,"Tables";"view3",#N/A,FALSE,"Tables"}</definedName>
    <definedName name="wrn.Tables." localSheetId="16" hidden="1">{"view1",#N/A,FALSE,"Tables";"view2",#N/A,FALSE,"Tables";"view3",#N/A,FALSE,"Tables"}</definedName>
    <definedName name="wrn.Tables." localSheetId="19" hidden="1">{"view1",#N/A,FALSE,"Tables";"view2",#N/A,FALSE,"Tables";"view3",#N/A,FALSE,"Tables"}</definedName>
    <definedName name="wrn.Tables." localSheetId="18" hidden="1">{"view1",#N/A,FALSE,"Tables";"view2",#N/A,FALSE,"Tables";"view3",#N/A,FALSE,"Tables"}</definedName>
    <definedName name="wrn.Tables." hidden="1">{"view1",#N/A,FALSE,"Tables";"view2",#N/A,FALSE,"Tables";"view3",#N/A,FALSE,"Tables"}</definedName>
    <definedName name="wrn.Textron." localSheetId="5" hidden="1">{#N/A,#N/A,FALSE,"IS";#N/A,#N/A,FALSE,"SG";#N/A,#N/A,FALSE,"FF";#N/A,#N/A,FALSE,"BS";#N/A,#N/A,FALSE,"DCF";#N/A,#N/A,FALSE,"EVA";#N/A,#N/A,FALSE,"Air";#N/A,#N/A,FALSE,"Car";#N/A,#N/A,FALSE,"Ind";#N/A,#N/A,FALSE,"Sys";#N/A,#N/A,FALSE,"Fin";#N/A,#N/A,FALSE,"Ces";#N/A,#N/A,FALSE,"Bell"}</definedName>
    <definedName name="wrn.Textron." localSheetId="16" hidden="1">{#N/A,#N/A,FALSE,"IS";#N/A,#N/A,FALSE,"SG";#N/A,#N/A,FALSE,"FF";#N/A,#N/A,FALSE,"BS";#N/A,#N/A,FALSE,"DCF";#N/A,#N/A,FALSE,"EVA";#N/A,#N/A,FALSE,"Air";#N/A,#N/A,FALSE,"Car";#N/A,#N/A,FALSE,"Ind";#N/A,#N/A,FALSE,"Sys";#N/A,#N/A,FALSE,"Fin";#N/A,#N/A,FALSE,"Ces";#N/A,#N/A,FALSE,"Bell"}</definedName>
    <definedName name="wrn.Textron." localSheetId="19" hidden="1">{#N/A,#N/A,FALSE,"IS";#N/A,#N/A,FALSE,"SG";#N/A,#N/A,FALSE,"FF";#N/A,#N/A,FALSE,"BS";#N/A,#N/A,FALSE,"DCF";#N/A,#N/A,FALSE,"EVA";#N/A,#N/A,FALSE,"Air";#N/A,#N/A,FALSE,"Car";#N/A,#N/A,FALSE,"Ind";#N/A,#N/A,FALSE,"Sys";#N/A,#N/A,FALSE,"Fin";#N/A,#N/A,FALSE,"Ces";#N/A,#N/A,FALSE,"Bell"}</definedName>
    <definedName name="wrn.Textron." localSheetId="18" hidden="1">{#N/A,#N/A,FALSE,"IS";#N/A,#N/A,FALSE,"SG";#N/A,#N/A,FALSE,"FF";#N/A,#N/A,FALSE,"BS";#N/A,#N/A,FALSE,"DCF";#N/A,#N/A,FALSE,"EVA";#N/A,#N/A,FALSE,"Air";#N/A,#N/A,FALSE,"Car";#N/A,#N/A,FALSE,"Ind";#N/A,#N/A,FALSE,"Sys";#N/A,#N/A,FALSE,"Fin";#N/A,#N/A,FALSE,"Ces";#N/A,#N/A,FALSE,"Bell"}</definedName>
    <definedName name="wrn.Textron." hidden="1">{#N/A,#N/A,FALSE,"IS";#N/A,#N/A,FALSE,"SG";#N/A,#N/A,FALSE,"FF";#N/A,#N/A,FALSE,"BS";#N/A,#N/A,FALSE,"DCF";#N/A,#N/A,FALSE,"EVA";#N/A,#N/A,FALSE,"Air";#N/A,#N/A,FALSE,"Car";#N/A,#N/A,FALSE,"Ind";#N/A,#N/A,FALSE,"Sys";#N/A,#N/A,FALSE,"Fin";#N/A,#N/A,FALSE,"Ces";#N/A,#N/A,FALSE,"Bell"}</definedName>
    <definedName name="wrn.TheWholeEnchilada." localSheetId="6" hidden="1">{"CSheet",#N/A,FALSE,"C";"SmCap",#N/A,FALSE,"VAL1";"GulfCoast",#N/A,FALSE,"VAL1";"nav",#N/A,FALSE,"NAV";"Summary",#N/A,FALSE,"NAV"}</definedName>
    <definedName name="wrn.TheWholeEnchilada." localSheetId="3" hidden="1">{"CSheet",#N/A,FALSE,"C";"SmCap",#N/A,FALSE,"VAL1";"GulfCoast",#N/A,FALSE,"VAL1";"nav",#N/A,FALSE,"NAV";"Summary",#N/A,FALSE,"NAV"}</definedName>
    <definedName name="wrn.TheWholeEnchilada." localSheetId="5" hidden="1">{"CSheet",#N/A,FALSE,"C";"SmCap",#N/A,FALSE,"VAL1";"GulfCoast",#N/A,FALSE,"VAL1";"nav",#N/A,FALSE,"NAV";"Summary",#N/A,FALSE,"NAV"}</definedName>
    <definedName name="wrn.TheWholeEnchilada." localSheetId="10" hidden="1">{"CSheet",#N/A,FALSE,"C";"SmCap",#N/A,FALSE,"VAL1";"GulfCoast",#N/A,FALSE,"VAL1";"nav",#N/A,FALSE,"NAV";"Summary",#N/A,FALSE,"NAV"}</definedName>
    <definedName name="wrn.TheWholeEnchilada." localSheetId="16" hidden="1">{"CSheet",#N/A,FALSE,"C";"SmCap",#N/A,FALSE,"VAL1";"GulfCoast",#N/A,FALSE,"VAL1";"nav",#N/A,FALSE,"NAV";"Summary",#N/A,FALSE,"NAV"}</definedName>
    <definedName name="wrn.TheWholeEnchilada." localSheetId="19" hidden="1">{"CSheet",#N/A,FALSE,"C";"SmCap",#N/A,FALSE,"VAL1";"GulfCoast",#N/A,FALSE,"VAL1";"nav",#N/A,FALSE,"NAV";"Summary",#N/A,FALSE,"NAV"}</definedName>
    <definedName name="wrn.TheWholeEnchilada." localSheetId="18" hidden="1">{"CSheet",#N/A,FALSE,"C";"SmCap",#N/A,FALSE,"VAL1";"GulfCoast",#N/A,FALSE,"VAL1";"nav",#N/A,FALSE,"NAV";"Summary",#N/A,FALSE,"NAV"}</definedName>
    <definedName name="wrn.TheWholeEnchilada." hidden="1">{"CSheet",#N/A,FALSE,"C";"SmCap",#N/A,FALSE,"VAL1";"GulfCoast",#N/A,FALSE,"VAL1";"nav",#N/A,FALSE,"NAV";"Summary",#N/A,FALSE,"NAV"}</definedName>
    <definedName name="wrn.Total._.Proved." localSheetId="6" hidden="1">{"Total",#N/A,FALSE,"Reserve Report";"HPDP",#N/A,FALSE,"Reserve Report";"PPDP",#N/A,FALSE,"Reserve Report";"PDNP",#N/A,FALSE,"Reserve Report";"PUD",#N/A,FALSE,"Reserve Report"}</definedName>
    <definedName name="wrn.Total._.Proved." localSheetId="3" hidden="1">{"Total",#N/A,FALSE,"Reserve Report";"HPDP",#N/A,FALSE,"Reserve Report";"PPDP",#N/A,FALSE,"Reserve Report";"PDNP",#N/A,FALSE,"Reserve Report";"PUD",#N/A,FALSE,"Reserve Report"}</definedName>
    <definedName name="wrn.Total._.Proved." localSheetId="5" hidden="1">{"Total",#N/A,FALSE,"Reserve Report";"HPDP",#N/A,FALSE,"Reserve Report";"PPDP",#N/A,FALSE,"Reserve Report";"PDNP",#N/A,FALSE,"Reserve Report";"PUD",#N/A,FALSE,"Reserve Report"}</definedName>
    <definedName name="wrn.Total._.Proved." localSheetId="10" hidden="1">{"Total",#N/A,FALSE,"Reserve Report";"HPDP",#N/A,FALSE,"Reserve Report";"PPDP",#N/A,FALSE,"Reserve Report";"PDNP",#N/A,FALSE,"Reserve Report";"PUD",#N/A,FALSE,"Reserve Report"}</definedName>
    <definedName name="wrn.Total._.Proved." localSheetId="16" hidden="1">{"Total",#N/A,FALSE,"Reserve Report";"HPDP",#N/A,FALSE,"Reserve Report";"PPDP",#N/A,FALSE,"Reserve Report";"PDNP",#N/A,FALSE,"Reserve Report";"PUD",#N/A,FALSE,"Reserve Report"}</definedName>
    <definedName name="wrn.Total._.Proved." localSheetId="19" hidden="1">{"Total",#N/A,FALSE,"Reserve Report";"HPDP",#N/A,FALSE,"Reserve Report";"PPDP",#N/A,FALSE,"Reserve Report";"PDNP",#N/A,FALSE,"Reserve Report";"PUD",#N/A,FALSE,"Reserve Report"}</definedName>
    <definedName name="wrn.Total._.Proved." localSheetId="18" hidden="1">{"Total",#N/A,FALSE,"Reserve Report";"HPDP",#N/A,FALSE,"Reserve Report";"PPDP",#N/A,FALSE,"Reserve Report";"PDNP",#N/A,FALSE,"Reserve Report";"PUD",#N/A,FALSE,"Reserve Report"}</definedName>
    <definedName name="wrn.Total._.Proved." hidden="1">{"Total",#N/A,FALSE,"Reserve Report";"HPDP",#N/A,FALSE,"Reserve Report";"PPDP",#N/A,FALSE,"Reserve Report";"PDNP",#N/A,FALSE,"Reserve Report";"PUD",#N/A,FALSE,"Reserve Report"}</definedName>
    <definedName name="wrn.Total._.Proved._.plus._.Probable." localSheetId="6" hidden="1">{"Total",#N/A,FALSE,"Total Proved + Probable";"PDP",#N/A,FALSE,"Total Proved + Probable";"PNP",#N/A,FALSE,"Total Proved + Probable";"PUD",#N/A,FALSE,"Total Proved + Probable";"Prob",#N/A,FALSE,"Total Proved + Probable"}</definedName>
    <definedName name="wrn.Total._.Proved._.plus._.Probable." localSheetId="3" hidden="1">{"Total",#N/A,FALSE,"Total Proved + Probable";"PDP",#N/A,FALSE,"Total Proved + Probable";"PNP",#N/A,FALSE,"Total Proved + Probable";"PUD",#N/A,FALSE,"Total Proved + Probable";"Prob",#N/A,FALSE,"Total Proved + Probable"}</definedName>
    <definedName name="wrn.Total._.Proved._.plus._.Probable." localSheetId="5" hidden="1">{"Total",#N/A,FALSE,"Total Proved + Probable";"PDP",#N/A,FALSE,"Total Proved + Probable";"PNP",#N/A,FALSE,"Total Proved + Probable";"PUD",#N/A,FALSE,"Total Proved + Probable";"Prob",#N/A,FALSE,"Total Proved + Probable"}</definedName>
    <definedName name="wrn.Total._.Proved._.plus._.Probable." localSheetId="10" hidden="1">{"Total",#N/A,FALSE,"Total Proved + Probable";"PDP",#N/A,FALSE,"Total Proved + Probable";"PNP",#N/A,FALSE,"Total Proved + Probable";"PUD",#N/A,FALSE,"Total Proved + Probable";"Prob",#N/A,FALSE,"Total Proved + Probable"}</definedName>
    <definedName name="wrn.Total._.Proved._.plus._.Probable." localSheetId="16" hidden="1">{"Total",#N/A,FALSE,"Total Proved + Probable";"PDP",#N/A,FALSE,"Total Proved + Probable";"PNP",#N/A,FALSE,"Total Proved + Probable";"PUD",#N/A,FALSE,"Total Proved + Probable";"Prob",#N/A,FALSE,"Total Proved + Probable"}</definedName>
    <definedName name="wrn.Total._.Proved._.plus._.Probable." localSheetId="19" hidden="1">{"Total",#N/A,FALSE,"Total Proved + Probable";"PDP",#N/A,FALSE,"Total Proved + Probable";"PNP",#N/A,FALSE,"Total Proved + Probable";"PUD",#N/A,FALSE,"Total Proved + Probable";"Prob",#N/A,FALSE,"Total Proved + Probable"}</definedName>
    <definedName name="wrn.Total._.Proved._.plus._.Probable." localSheetId="18" hidden="1">{"Total",#N/A,FALSE,"Total Proved + Probable";"PDP",#N/A,FALSE,"Total Proved + Probable";"PNP",#N/A,FALSE,"Total Proved + Probable";"PUD",#N/A,FALSE,"Total Proved + Probable";"Prob",#N/A,FALSE,"Total Proved + Probable"}</definedName>
    <definedName name="wrn.Total._.Proved._.plus._.Probable." hidden="1">{"Total",#N/A,FALSE,"Total Proved + Probable";"PDP",#N/A,FALSE,"Total Proved + Probable";"PNP",#N/A,FALSE,"Total Proved + Probable";"PUD",#N/A,FALSE,"Total Proved + Probable";"Prob",#N/A,FALSE,"Total Proved + Probable"}</definedName>
    <definedName name="wrn.Trinidad." localSheetId="6" hidden="1">{"Trinidad",#N/A,FALSE,"Trinidad"}</definedName>
    <definedName name="wrn.Trinidad." localSheetId="3" hidden="1">{"Trinidad",#N/A,FALSE,"Trinidad"}</definedName>
    <definedName name="wrn.Trinidad." localSheetId="5" hidden="1">{"Trinidad",#N/A,FALSE,"Trinidad"}</definedName>
    <definedName name="wrn.Trinidad." localSheetId="10" hidden="1">{"Trinidad",#N/A,FALSE,"Trinidad"}</definedName>
    <definedName name="wrn.Trinidad." localSheetId="16" hidden="1">{"Trinidad",#N/A,FALSE,"Trinidad"}</definedName>
    <definedName name="wrn.Trinidad." localSheetId="19" hidden="1">{"Trinidad",#N/A,FALSE,"Trinidad"}</definedName>
    <definedName name="wrn.Trinidad." localSheetId="18" hidden="1">{"Trinidad",#N/A,FALSE,"Trinidad"}</definedName>
    <definedName name="wrn.Trinidad." hidden="1">{"Trinidad",#N/A,FALSE,"Trinidad"}</definedName>
    <definedName name="wrn.U.S.._.Industries._.Inc.." localSheetId="5" hidden="1">{#N/A,#N/A,TRUE,"3QRpt";#N/A,#N/A,TRUE,"EST";#N/A,#N/A,TRUE,"HOUSE";#N/A,#N/A,TRUE,"REC";#N/A,#N/A,TRUE,"SHOE";#N/A,#N/A,TRUE,"BLD";#N/A,#N/A,TRUE,"IND";#N/A,#N/A,TRUE,"COMP";#N/A,#N/A,TRUE,"COMP2";#N/A,#N/A,TRUE,"KEEP";#N/A,#N/A,TRUE,"IntExp";#N/A,#N/A,TRUE,"Proceeds"}</definedName>
    <definedName name="wrn.U.S.._.Industries._.Inc.." localSheetId="16" hidden="1">{#N/A,#N/A,TRUE,"3QRpt";#N/A,#N/A,TRUE,"EST";#N/A,#N/A,TRUE,"HOUSE";#N/A,#N/A,TRUE,"REC";#N/A,#N/A,TRUE,"SHOE";#N/A,#N/A,TRUE,"BLD";#N/A,#N/A,TRUE,"IND";#N/A,#N/A,TRUE,"COMP";#N/A,#N/A,TRUE,"COMP2";#N/A,#N/A,TRUE,"KEEP";#N/A,#N/A,TRUE,"IntExp";#N/A,#N/A,TRUE,"Proceeds"}</definedName>
    <definedName name="wrn.U.S.._.Industries._.Inc.." localSheetId="19" hidden="1">{#N/A,#N/A,TRUE,"3QRpt";#N/A,#N/A,TRUE,"EST";#N/A,#N/A,TRUE,"HOUSE";#N/A,#N/A,TRUE,"REC";#N/A,#N/A,TRUE,"SHOE";#N/A,#N/A,TRUE,"BLD";#N/A,#N/A,TRUE,"IND";#N/A,#N/A,TRUE,"COMP";#N/A,#N/A,TRUE,"COMP2";#N/A,#N/A,TRUE,"KEEP";#N/A,#N/A,TRUE,"IntExp";#N/A,#N/A,TRUE,"Proceeds"}</definedName>
    <definedName name="wrn.U.S.._.Industries._.Inc.." localSheetId="18" hidden="1">{#N/A,#N/A,TRUE,"3QRpt";#N/A,#N/A,TRUE,"EST";#N/A,#N/A,TRUE,"HOUSE";#N/A,#N/A,TRUE,"REC";#N/A,#N/A,TRUE,"SHOE";#N/A,#N/A,TRUE,"BLD";#N/A,#N/A,TRUE,"IND";#N/A,#N/A,TRUE,"COMP";#N/A,#N/A,TRUE,"COMP2";#N/A,#N/A,TRUE,"KEEP";#N/A,#N/A,TRUE,"IntExp";#N/A,#N/A,TRUE,"Proceeds"}</definedName>
    <definedName name="wrn.U.S.._.Industries._.Inc.." hidden="1">{#N/A,#N/A,TRUE,"3QRpt";#N/A,#N/A,TRUE,"EST";#N/A,#N/A,TRUE,"HOUSE";#N/A,#N/A,TRUE,"REC";#N/A,#N/A,TRUE,"SHOE";#N/A,#N/A,TRUE,"BLD";#N/A,#N/A,TRUE,"IND";#N/A,#N/A,TRUE,"COMP";#N/A,#N/A,TRUE,"COMP2";#N/A,#N/A,TRUE,"KEEP";#N/A,#N/A,TRUE,"IntExp";#N/A,#N/A,TRUE,"Proceeds"}</definedName>
    <definedName name="wrn.UK." localSheetId="6" hidden="1">{"UK",#N/A,FALSE,"U.K."}</definedName>
    <definedName name="wrn.UK." localSheetId="3" hidden="1">{"UK",#N/A,FALSE,"U.K."}</definedName>
    <definedName name="wrn.UK." localSheetId="5" hidden="1">{"UK",#N/A,FALSE,"U.K."}</definedName>
    <definedName name="wrn.UK." localSheetId="10" hidden="1">{"UK",#N/A,FALSE,"U.K."}</definedName>
    <definedName name="wrn.UK." localSheetId="16" hidden="1">{"UK",#N/A,FALSE,"U.K."}</definedName>
    <definedName name="wrn.UK." localSheetId="19" hidden="1">{"UK",#N/A,FALSE,"U.K."}</definedName>
    <definedName name="wrn.UK." localSheetId="18" hidden="1">{"UK",#N/A,FALSE,"U.K."}</definedName>
    <definedName name="wrn.UK." hidden="1">{"UK",#N/A,FALSE,"U.K."}</definedName>
    <definedName name="wrn.United._.States." localSheetId="6" hidden="1">{"US",#N/A,FALSE,"United States"}</definedName>
    <definedName name="wrn.United._.States." localSheetId="3" hidden="1">{"US",#N/A,FALSE,"United States"}</definedName>
    <definedName name="wrn.United._.States." localSheetId="5" hidden="1">{"US",#N/A,FALSE,"United States"}</definedName>
    <definedName name="wrn.United._.States." localSheetId="10" hidden="1">{"US",#N/A,FALSE,"United States"}</definedName>
    <definedName name="wrn.United._.States." localSheetId="16" hidden="1">{"US",#N/A,FALSE,"United States"}</definedName>
    <definedName name="wrn.United._.States." localSheetId="19" hidden="1">{"US",#N/A,FALSE,"United States"}</definedName>
    <definedName name="wrn.United._.States." localSheetId="18" hidden="1">{"US",#N/A,FALSE,"United States"}</definedName>
    <definedName name="wrn.United._.States." hidden="1">{"US",#N/A,FALSE,"United States"}</definedName>
    <definedName name="wrn.Universe." localSheetId="5" hidden="1">{"View_6",#N/A,FALSE,"Mix-Int-R&amp;D";"View_4",#N/A,FALSE,"Margins";"View_5",#N/A,FALSE,"Ratios";"View_3",#N/A,FALSE,"Mix";"View_2",#N/A,FALSE,"FV-EBITDA";"View_1",#N/A,FALSE,"EPS"}</definedName>
    <definedName name="wrn.Universe." localSheetId="16" hidden="1">{"View_6",#N/A,FALSE,"Mix-Int-R&amp;D";"View_4",#N/A,FALSE,"Margins";"View_5",#N/A,FALSE,"Ratios";"View_3",#N/A,FALSE,"Mix";"View_2",#N/A,FALSE,"FV-EBITDA";"View_1",#N/A,FALSE,"EPS"}</definedName>
    <definedName name="wrn.Universe." localSheetId="19" hidden="1">{"View_6",#N/A,FALSE,"Mix-Int-R&amp;D";"View_4",#N/A,FALSE,"Margins";"View_5",#N/A,FALSE,"Ratios";"View_3",#N/A,FALSE,"Mix";"View_2",#N/A,FALSE,"FV-EBITDA";"View_1",#N/A,FALSE,"EPS"}</definedName>
    <definedName name="wrn.Universe." localSheetId="18" hidden="1">{"View_6",#N/A,FALSE,"Mix-Int-R&amp;D";"View_4",#N/A,FALSE,"Margins";"View_5",#N/A,FALSE,"Ratios";"View_3",#N/A,FALSE,"Mix";"View_2",#N/A,FALSE,"FV-EBITDA";"View_1",#N/A,FALSE,"EPS"}</definedName>
    <definedName name="wrn.Universe." hidden="1">{"View_6",#N/A,FALSE,"Mix-Int-R&amp;D";"View_4",#N/A,FALSE,"Margins";"View_5",#N/A,FALSE,"Ratios";"View_3",#N/A,FALSE,"Mix";"View_2",#N/A,FALSE,"FV-EBITDA";"View_1",#N/A,FALSE,"EPS"}</definedName>
    <definedName name="wrn.USA." localSheetId="6" hidden="1">{"USA",#N/A,FALSE,"U.S.A."}</definedName>
    <definedName name="wrn.USA." localSheetId="3" hidden="1">{"USA",#N/A,FALSE,"U.S.A."}</definedName>
    <definedName name="wrn.USA." localSheetId="5" hidden="1">{"USA",#N/A,FALSE,"U.S.A."}</definedName>
    <definedName name="wrn.USA." localSheetId="10" hidden="1">{"USA",#N/A,FALSE,"U.S.A."}</definedName>
    <definedName name="wrn.USA." localSheetId="16" hidden="1">{"USA",#N/A,FALSE,"U.S.A."}</definedName>
    <definedName name="wrn.USA." localSheetId="19" hidden="1">{"USA",#N/A,FALSE,"U.S.A."}</definedName>
    <definedName name="wrn.USA." localSheetId="18" hidden="1">{"USA",#N/A,FALSE,"U.S.A."}</definedName>
    <definedName name="wrn.USA." hidden="1">{"USA",#N/A,FALSE,"U.S.A."}</definedName>
    <definedName name="wrn.valuation." localSheetId="5" hidden="1">{"valuation",#N/A,FALSE,"TXTCOMPS"}</definedName>
    <definedName name="wrn.valuation." localSheetId="16" hidden="1">{"valuation",#N/A,FALSE,"TXTCOMPS"}</definedName>
    <definedName name="wrn.valuation." localSheetId="19" hidden="1">{"valuation",#N/A,FALSE,"TXTCOMPS"}</definedName>
    <definedName name="wrn.valuation." localSheetId="18" hidden="1">{"valuation",#N/A,FALSE,"TXTCOMPS"}</definedName>
    <definedName name="wrn.valuation." hidden="1">{"valuation",#N/A,FALSE,"TXTCOMPS"}</definedName>
    <definedName name="wrn.VALUENAV." localSheetId="6" hidden="1">{#N/A,#N/A,FALSE,"Value";#N/A,#N/A,FALSE,"NAV"}</definedName>
    <definedName name="wrn.VALUENAV." localSheetId="3" hidden="1">{#N/A,#N/A,FALSE,"Value";#N/A,#N/A,FALSE,"NAV"}</definedName>
    <definedName name="wrn.VALUENAV." localSheetId="5" hidden="1">{#N/A,#N/A,FALSE,"Value";#N/A,#N/A,FALSE,"NAV"}</definedName>
    <definedName name="wrn.VALUENAV." localSheetId="10" hidden="1">{#N/A,#N/A,FALSE,"Value";#N/A,#N/A,FALSE,"NAV"}</definedName>
    <definedName name="wrn.VALUENAV." localSheetId="16" hidden="1">{#N/A,#N/A,FALSE,"Value";#N/A,#N/A,FALSE,"NAV"}</definedName>
    <definedName name="wrn.VALUENAV." localSheetId="19" hidden="1">{#N/A,#N/A,FALSE,"Value";#N/A,#N/A,FALSE,"NAV"}</definedName>
    <definedName name="wrn.VALUENAV." localSheetId="18" hidden="1">{#N/A,#N/A,FALSE,"Value";#N/A,#N/A,FALSE,"NAV"}</definedName>
    <definedName name="wrn.VALUENAV." hidden="1">{#N/A,#N/A,FALSE,"Value";#N/A,#N/A,FALSE,"NAV"}</definedName>
    <definedName name="wrn.Variance._.3." localSheetId="6" hidden="1">{"Variance Q3",#N/A,FALSE,"Var"}</definedName>
    <definedName name="wrn.Variance._.3." localSheetId="3" hidden="1">{"Variance Q3",#N/A,FALSE,"Var"}</definedName>
    <definedName name="wrn.Variance._.3." localSheetId="5" hidden="1">{"Variance Q3",#N/A,FALSE,"Var"}</definedName>
    <definedName name="wrn.Variance._.3." localSheetId="10" hidden="1">{"Variance Q3",#N/A,FALSE,"Var"}</definedName>
    <definedName name="wrn.Variance._.3." localSheetId="16" hidden="1">{"Variance Q3",#N/A,FALSE,"Var"}</definedName>
    <definedName name="wrn.Variance._.3." localSheetId="19" hidden="1">{"Variance Q3",#N/A,FALSE,"Var"}</definedName>
    <definedName name="wrn.Variance._.3." localSheetId="18" hidden="1">{"Variance Q3",#N/A,FALSE,"Var"}</definedName>
    <definedName name="wrn.Variance._.3." hidden="1">{"Variance Q3",#N/A,FALSE,"Var"}</definedName>
    <definedName name="wrn.Variance._.Q1." localSheetId="6" hidden="1">{"Variance Q1",#N/A,FALSE,"Var"}</definedName>
    <definedName name="wrn.Variance._.Q1." localSheetId="3" hidden="1">{"Variance Q1",#N/A,FALSE,"Var"}</definedName>
    <definedName name="wrn.Variance._.Q1." localSheetId="5" hidden="1">{"Variance Q1",#N/A,FALSE,"Var"}</definedName>
    <definedName name="wrn.Variance._.Q1." localSheetId="10" hidden="1">{"Variance Q1",#N/A,FALSE,"Var"}</definedName>
    <definedName name="wrn.Variance._.Q1." localSheetId="16" hidden="1">{"Variance Q1",#N/A,FALSE,"Var"}</definedName>
    <definedName name="wrn.Variance._.Q1." localSheetId="19" hidden="1">{"Variance Q1",#N/A,FALSE,"Var"}</definedName>
    <definedName name="wrn.Variance._.Q1." localSheetId="18" hidden="1">{"Variance Q1",#N/A,FALSE,"Var"}</definedName>
    <definedName name="wrn.Variance._.Q1." hidden="1">{"Variance Q1",#N/A,FALSE,"Var"}</definedName>
    <definedName name="wrn.Variance._.Q2." localSheetId="6" hidden="1">{"Variance Q2",#N/A,FALSE,"Var"}</definedName>
    <definedName name="wrn.Variance._.Q2." localSheetId="3" hidden="1">{"Variance Q2",#N/A,FALSE,"Var"}</definedName>
    <definedName name="wrn.Variance._.Q2." localSheetId="5" hidden="1">{"Variance Q2",#N/A,FALSE,"Var"}</definedName>
    <definedName name="wrn.Variance._.Q2." localSheetId="10" hidden="1">{"Variance Q2",#N/A,FALSE,"Var"}</definedName>
    <definedName name="wrn.Variance._.Q2." localSheetId="16" hidden="1">{"Variance Q2",#N/A,FALSE,"Var"}</definedName>
    <definedName name="wrn.Variance._.Q2." localSheetId="19" hidden="1">{"Variance Q2",#N/A,FALSE,"Var"}</definedName>
    <definedName name="wrn.Variance._.Q2." localSheetId="18" hidden="1">{"Variance Q2",#N/A,FALSE,"Var"}</definedName>
    <definedName name="wrn.Variance._.Q2." hidden="1">{"Variance Q2",#N/A,FALSE,"Var"}</definedName>
    <definedName name="wrn.Variance._.Q3." localSheetId="6" hidden="1">{"Variance Q3",#N/A,FALSE,"Var"}</definedName>
    <definedName name="wrn.Variance._.Q3." localSheetId="3" hidden="1">{"Variance Q3",#N/A,FALSE,"Var"}</definedName>
    <definedName name="wrn.Variance._.Q3." localSheetId="5" hidden="1">{"Variance Q3",#N/A,FALSE,"Var"}</definedName>
    <definedName name="wrn.Variance._.Q3." localSheetId="10" hidden="1">{"Variance Q3",#N/A,FALSE,"Var"}</definedName>
    <definedName name="wrn.Variance._.Q3." localSheetId="16" hidden="1">{"Variance Q3",#N/A,FALSE,"Var"}</definedName>
    <definedName name="wrn.Variance._.Q3." localSheetId="19" hidden="1">{"Variance Q3",#N/A,FALSE,"Var"}</definedName>
    <definedName name="wrn.Variance._.Q3." localSheetId="18" hidden="1">{"Variance Q3",#N/A,FALSE,"Var"}</definedName>
    <definedName name="wrn.Variance._.Q3." hidden="1">{"Variance Q3",#N/A,FALSE,"Var"}</definedName>
    <definedName name="wrn.Variance._.Q4" localSheetId="6" hidden="1">{"Variance Q4",#N/A,FALSE,"Var"}</definedName>
    <definedName name="wrn.Variance._.Q4" localSheetId="3" hidden="1">{"Variance Q4",#N/A,FALSE,"Var"}</definedName>
    <definedName name="wrn.Variance._.Q4" localSheetId="5" hidden="1">{"Variance Q4",#N/A,FALSE,"Var"}</definedName>
    <definedName name="wrn.Variance._.Q4" localSheetId="10" hidden="1">{"Variance Q4",#N/A,FALSE,"Var"}</definedName>
    <definedName name="wrn.Variance._.Q4" localSheetId="16" hidden="1">{"Variance Q4",#N/A,FALSE,"Var"}</definedName>
    <definedName name="wrn.Variance._.Q4" localSheetId="19" hidden="1">{"Variance Q4",#N/A,FALSE,"Var"}</definedName>
    <definedName name="wrn.Variance._.Q4" localSheetId="18" hidden="1">{"Variance Q4",#N/A,FALSE,"Var"}</definedName>
    <definedName name="wrn.Variance._.Q4" hidden="1">{"Variance Q4",#N/A,FALSE,"Var"}</definedName>
    <definedName name="wrn.Variance._.Q4." localSheetId="6" hidden="1">{"Variance Q4",#N/A,FALSE,"Var"}</definedName>
    <definedName name="wrn.Variance._.Q4." localSheetId="3" hidden="1">{"Variance Q4",#N/A,FALSE,"Var"}</definedName>
    <definedName name="wrn.Variance._.Q4." localSheetId="5" hidden="1">{"Variance Q4",#N/A,FALSE,"Var"}</definedName>
    <definedName name="wrn.Variance._.Q4." localSheetId="10" hidden="1">{"Variance Q4",#N/A,FALSE,"Var"}</definedName>
    <definedName name="wrn.Variance._.Q4." localSheetId="16" hidden="1">{"Variance Q4",#N/A,FALSE,"Var"}</definedName>
    <definedName name="wrn.Variance._.Q4." localSheetId="19" hidden="1">{"Variance Q4",#N/A,FALSE,"Var"}</definedName>
    <definedName name="wrn.Variance._.Q4." localSheetId="18" hidden="1">{"Variance Q4",#N/A,FALSE,"Var"}</definedName>
    <definedName name="wrn.Variance._.Q4." hidden="1">{"Variance Q4",#N/A,FALSE,"Var"}</definedName>
    <definedName name="wrn.weekly." localSheetId="6" hidden="1">{#N/A,#N/A,FALSE,"Large Operators";#N/A,#N/A,FALSE,"Smaller Operators";#N/A,#N/A,FALSE,"Equip. Supply";#N/A,#N/A,FALSE,"EBITDA";#N/A,#N/A,FALSE,"perform"}</definedName>
    <definedName name="wrn.weekly." localSheetId="3" hidden="1">{#N/A,#N/A,FALSE,"Large Operators";#N/A,#N/A,FALSE,"Smaller Operators";#N/A,#N/A,FALSE,"Equip. Supply";#N/A,#N/A,FALSE,"EBITDA";#N/A,#N/A,FALSE,"perform"}</definedName>
    <definedName name="wrn.weekly." localSheetId="5" hidden="1">{#N/A,#N/A,FALSE,"Large Operators";#N/A,#N/A,FALSE,"Smaller Operators";#N/A,#N/A,FALSE,"Equip. Supply";#N/A,#N/A,FALSE,"EBITDA";#N/A,#N/A,FALSE,"perform"}</definedName>
    <definedName name="wrn.weekly." localSheetId="10" hidden="1">{#N/A,#N/A,FALSE,"Large Operators";#N/A,#N/A,FALSE,"Smaller Operators";#N/A,#N/A,FALSE,"Equip. Supply";#N/A,#N/A,FALSE,"EBITDA";#N/A,#N/A,FALSE,"perform"}</definedName>
    <definedName name="wrn.weekly." localSheetId="16" hidden="1">{#N/A,#N/A,FALSE,"Large Operators";#N/A,#N/A,FALSE,"Smaller Operators";#N/A,#N/A,FALSE,"Equip. Supply";#N/A,#N/A,FALSE,"EBITDA";#N/A,#N/A,FALSE,"perform"}</definedName>
    <definedName name="wrn.weekly." localSheetId="19" hidden="1">{#N/A,#N/A,FALSE,"Large Operators";#N/A,#N/A,FALSE,"Smaller Operators";#N/A,#N/A,FALSE,"Equip. Supply";#N/A,#N/A,FALSE,"EBITDA";#N/A,#N/A,FALSE,"perform"}</definedName>
    <definedName name="wrn.weekly." localSheetId="18" hidden="1">{#N/A,#N/A,FALSE,"Large Operators";#N/A,#N/A,FALSE,"Smaller Operators";#N/A,#N/A,FALSE,"Equip. Supply";#N/A,#N/A,FALSE,"EBITDA";#N/A,#N/A,FALSE,"perform"}</definedName>
    <definedName name="wrn.weekly." hidden="1">{#N/A,#N/A,FALSE,"Large Operators";#N/A,#N/A,FALSE,"Smaller Operators";#N/A,#N/A,FALSE,"Equip. Supply";#N/A,#N/A,FALSE,"EBITDA";#N/A,#N/A,FALSE,"perform"}</definedName>
    <definedName name="wrn.wells." localSheetId="6"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3"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5"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0"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6"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9"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localSheetId="18"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LAVARIANCEANALYSIS." localSheetId="6" hidden="1">{"INCOME STATEMENT",#N/A,FALSE,"IS";"WWSALES",#N/A,FALSE,"WWSALES";"USSALES",#N/A,FALSE,"USSALES";"INTLSALES",#N/A,FALSE,"INTLSALES"}</definedName>
    <definedName name="wrn.WLAVARIANCEANALYSIS." localSheetId="3" hidden="1">{"INCOME STATEMENT",#N/A,FALSE,"IS";"WWSALES",#N/A,FALSE,"WWSALES";"USSALES",#N/A,FALSE,"USSALES";"INTLSALES",#N/A,FALSE,"INTLSALES"}</definedName>
    <definedName name="wrn.WLAVARIANCEANALYSIS." localSheetId="5" hidden="1">{"INCOME STATEMENT",#N/A,FALSE,"IS";"WWSALES",#N/A,FALSE,"WWSALES";"USSALES",#N/A,FALSE,"USSALES";"INTLSALES",#N/A,FALSE,"INTLSALES"}</definedName>
    <definedName name="wrn.WLAVARIANCEANALYSIS." localSheetId="10" hidden="1">{"INCOME STATEMENT",#N/A,FALSE,"IS";"WWSALES",#N/A,FALSE,"WWSALES";"USSALES",#N/A,FALSE,"USSALES";"INTLSALES",#N/A,FALSE,"INTLSALES"}</definedName>
    <definedName name="wrn.WLAVARIANCEANALYSIS." localSheetId="16" hidden="1">{"INCOME STATEMENT",#N/A,FALSE,"IS";"WWSALES",#N/A,FALSE,"WWSALES";"USSALES",#N/A,FALSE,"USSALES";"INTLSALES",#N/A,FALSE,"INTLSALES"}</definedName>
    <definedName name="wrn.WLAVARIANCEANALYSIS." localSheetId="19" hidden="1">{"INCOME STATEMENT",#N/A,FALSE,"IS";"WWSALES",#N/A,FALSE,"WWSALES";"USSALES",#N/A,FALSE,"USSALES";"INTLSALES",#N/A,FALSE,"INTLSALES"}</definedName>
    <definedName name="wrn.WLAVARIANCEANALYSIS." localSheetId="18" hidden="1">{"INCOME STATEMENT",#N/A,FALSE,"IS";"WWSALES",#N/A,FALSE,"WWSALES";"USSALES",#N/A,FALSE,"USSALES";"INTLSALES",#N/A,FALSE,"INTLSALES"}</definedName>
    <definedName name="wrn.WLAVARIANCEANALYSIS." hidden="1">{"INCOME STATEMENT",#N/A,FALSE,"IS";"WWSALES",#N/A,FALSE,"WWSALES";"USSALES",#N/A,FALSE,"USSALES";"INTLSALES",#N/A,FALSE,"INTLSALES"}</definedName>
    <definedName name="wrn1.corporate._Profile" localSheetId="6" hidden="1">{"Corporate Profile",#N/A,FALSE,"D"}</definedName>
    <definedName name="wrn1.corporate._Profile" localSheetId="3" hidden="1">{"Corporate Profile",#N/A,FALSE,"D"}</definedName>
    <definedName name="wrn1.corporate._Profile" localSheetId="5" hidden="1">{"Corporate Profile",#N/A,FALSE,"D"}</definedName>
    <definedName name="wrn1.corporate._Profile" localSheetId="10" hidden="1">{"Corporate Profile",#N/A,FALSE,"D"}</definedName>
    <definedName name="wrn1.corporate._Profile" localSheetId="16" hidden="1">{"Corporate Profile",#N/A,FALSE,"D"}</definedName>
    <definedName name="wrn1.corporate._Profile" localSheetId="19" hidden="1">{"Corporate Profile",#N/A,FALSE,"D"}</definedName>
    <definedName name="wrn1.corporate._Profile" localSheetId="18" hidden="1">{"Corporate Profile",#N/A,FALSE,"D"}</definedName>
    <definedName name="wrn1.corporate._Profile" hidden="1">{"Corporate Profile",#N/A,FALSE,"D"}</definedName>
    <definedName name="ws" localSheetId="5" hidden="1">{"'보고양식'!$A$58:$K$111"}</definedName>
    <definedName name="ws" localSheetId="16" hidden="1">{"'보고양식'!$A$58:$K$111"}</definedName>
    <definedName name="ws" localSheetId="19" hidden="1">{"'보고양식'!$A$58:$K$111"}</definedName>
    <definedName name="ws" localSheetId="18" hidden="1">{"'보고양식'!$A$58:$K$111"}</definedName>
    <definedName name="ws" hidden="1">{"'보고양식'!$A$58:$K$111"}</definedName>
    <definedName name="wvu.cash." localSheetId="6" hidden="1">{TRUE,TRUE,-1.25,-15.5,456.75,279.75,FALSE,FALSE,TRUE,TRUE,0,1,18,1,199,6,3,4,TRUE,TRUE,3,TRUE,1,TRUE,100,"Swvu.cash.","ACwvu.cash.",1,FALSE,FALSE,0.511811023622047,0.511811023622047,0.511811023622047,0.511811023622047,1,"","",FALSE,FALSE,FALSE,FALSE,1,#N/A,1,1,#DIV/0!,FALSE,"Rwvu.cash.",#N/A,FALSE,FALSE}</definedName>
    <definedName name="wvu.cash." localSheetId="3" hidden="1">{TRUE,TRUE,-1.25,-15.5,456.75,279.75,FALSE,FALSE,TRUE,TRUE,0,1,18,1,199,6,3,4,TRUE,TRUE,3,TRUE,1,TRUE,100,"Swvu.cash.","ACwvu.cash.",1,FALSE,FALSE,0.511811023622047,0.511811023622047,0.511811023622047,0.511811023622047,1,"","",FALSE,FALSE,FALSE,FALSE,1,#N/A,1,1,#DIV/0!,FALSE,"Rwvu.cash.",#N/A,FALSE,FALSE}</definedName>
    <definedName name="wvu.cash." localSheetId="5" hidden="1">{TRUE,TRUE,-1.25,-15.5,456.75,279.75,FALSE,FALSE,TRUE,TRUE,0,1,18,1,199,6,3,4,TRUE,TRUE,3,TRUE,1,TRUE,100,"Swvu.cash.","ACwvu.cash.",1,FALSE,FALSE,0.511811023622047,0.511811023622047,0.511811023622047,0.511811023622047,1,"","",FALSE,FALSE,FALSE,FALSE,1,#N/A,1,1,#DIV/0!,FALSE,"Rwvu.cash.",#N/A,FALSE,FALSE}</definedName>
    <definedName name="wvu.cash." localSheetId="10" hidden="1">{TRUE,TRUE,-1.25,-15.5,456.75,279.75,FALSE,FALSE,TRUE,TRUE,0,1,18,1,199,6,3,4,TRUE,TRUE,3,TRUE,1,TRUE,100,"Swvu.cash.","ACwvu.cash.",1,FALSE,FALSE,0.511811023622047,0.511811023622047,0.511811023622047,0.511811023622047,1,"","",FALSE,FALSE,FALSE,FALSE,1,#N/A,1,1,#DIV/0!,FALSE,"Rwvu.cash.",#N/A,FALSE,FALSE}</definedName>
    <definedName name="wvu.cash." localSheetId="16" hidden="1">{TRUE,TRUE,-1.25,-15.5,456.75,279.75,FALSE,FALSE,TRUE,TRUE,0,1,18,1,199,6,3,4,TRUE,TRUE,3,TRUE,1,TRUE,100,"Swvu.cash.","ACwvu.cash.",1,FALSE,FALSE,0.511811023622047,0.511811023622047,0.511811023622047,0.511811023622047,1,"","",FALSE,FALSE,FALSE,FALSE,1,#N/A,1,1,#DIV/0!,FALSE,"Rwvu.cash.",#N/A,FALSE,FALSE}</definedName>
    <definedName name="wvu.cash." localSheetId="19" hidden="1">{TRUE,TRUE,-1.25,-15.5,456.75,279.75,FALSE,FALSE,TRUE,TRUE,0,1,18,1,199,6,3,4,TRUE,TRUE,3,TRUE,1,TRUE,100,"Swvu.cash.","ACwvu.cash.",1,FALSE,FALSE,0.511811023622047,0.511811023622047,0.511811023622047,0.511811023622047,1,"","",FALSE,FALSE,FALSE,FALSE,1,#N/A,1,1,#DIV/0!,FALSE,"Rwvu.cash.",#N/A,FALSE,FALSE}</definedName>
    <definedName name="wvu.cash." localSheetId="18"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profits." localSheetId="6"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3"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5"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0"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6"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9"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18"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turnover." localSheetId="6"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3"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5"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0"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6"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9"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18"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x" localSheetId="6" hidden="1">"c2205"</definedName>
    <definedName name="x" localSheetId="3" hidden="1">"c2205"</definedName>
    <definedName name="x" localSheetId="5" hidden="1">{"cover a","1q",FALSE,"Cover";"Op Earn Mgd Q1",#N/A,FALSE,"Op-Earn (Mng)";"Op Earn Rpt Q1",#N/A,FALSE,"Op-Earn (Rpt)";"Loans",#N/A,FALSE,"Loans";"Credit Costs",#N/A,FALSE,"CCosts";"Net Interest Margin",#N/A,FALSE,"Margin";"Nonint Income",#N/A,FALSE,"NonII";"Nonint Exp",#N/A,FALSE,"NonIE";"Valuation",#N/A,FALSE,"Valuation"}</definedName>
    <definedName name="x" localSheetId="10" hidden="1">"c2205"</definedName>
    <definedName name="x" hidden="1">{"cover a","1q",FALSE,"Cover";"Op Earn Mgd Q1",#N/A,FALSE,"Op-Earn (Mng)";"Op Earn Rpt Q1",#N/A,FALSE,"Op-Earn (Rpt)";"Loans",#N/A,FALSE,"Loans";"Credit Costs",#N/A,FALSE,"CCosts";"Net Interest Margin",#N/A,FALSE,"Margin";"Nonint Income",#N/A,FALSE,"NonII";"Nonint Exp",#N/A,FALSE,"NonIE";"Valuation",#N/A,FALSE,"Valuation"}</definedName>
    <definedName name="xxxx" localSheetId="5" hidden="1">#REF!</definedName>
    <definedName name="xxxx" localSheetId="19" hidden="1">#REF!</definedName>
    <definedName name="xxxx" localSheetId="18" hidden="1">#REF!</definedName>
    <definedName name="xxxx" hidden="1">#REF!</definedName>
    <definedName name="y" localSheetId="5" hidden="1">{"segment_EPS",#N/A,FALSE,"TXTCOMPS"}</definedName>
    <definedName name="y" localSheetId="16" hidden="1">{"segment_EPS",#N/A,FALSE,"TXTCOMPS"}</definedName>
    <definedName name="y" localSheetId="19" hidden="1">{"segment_EPS",#N/A,FALSE,"TXTCOMPS"}</definedName>
    <definedName name="y" localSheetId="18" hidden="1">{"segment_EPS",#N/A,FALSE,"TXTCOMPS"}</definedName>
    <definedName name="y" hidden="1">{"segment_EPS",#N/A,FALSE,"TXTCOMPS"}</definedName>
    <definedName name="z" localSheetId="6" hidden="1">#REF!</definedName>
    <definedName name="z" localSheetId="3" hidden="1">#REF!</definedName>
    <definedName name="z" localSheetId="5" hidden="1">{#N/A,#N/A,FALSE,"Aging Summary";#N/A,#N/A,FALSE,"Ratio Analysis";#N/A,#N/A,FALSE,"Test 120 Day Accts";#N/A,#N/A,FALSE,"Tickmarks"}</definedName>
    <definedName name="z" localSheetId="10" hidden="1">#REF!</definedName>
    <definedName name="z" localSheetId="16" hidden="1">#REF!</definedName>
    <definedName name="z" localSheetId="19" hidden="1">#REF!</definedName>
    <definedName name="z" localSheetId="18" hidden="1">#REF!</definedName>
    <definedName name="z" hidden="1">{#N/A,#N/A,FALSE,"Aging Summary";#N/A,#N/A,FALSE,"Ratio Analysis";#N/A,#N/A,FALSE,"Test 120 Day Accts";#N/A,#N/A,FALSE,"Tickmarks"}</definedName>
    <definedName name="ㄴㄴ" localSheetId="5" hidden="1">{#N/A,#N/A,FALSE,"Aging Summary";#N/A,#N/A,FALSE,"Ratio Analysis";#N/A,#N/A,FALSE,"Test 120 Day Accts";#N/A,#N/A,FALSE,"Tickmarks"}</definedName>
    <definedName name="ㄴㄴ" localSheetId="16" hidden="1">{#N/A,#N/A,FALSE,"Aging Summary";#N/A,#N/A,FALSE,"Ratio Analysis";#N/A,#N/A,FALSE,"Test 120 Day Accts";#N/A,#N/A,FALSE,"Tickmarks"}</definedName>
    <definedName name="ㄴㄴ" localSheetId="19" hidden="1">{#N/A,#N/A,FALSE,"Aging Summary";#N/A,#N/A,FALSE,"Ratio Analysis";#N/A,#N/A,FALSE,"Test 120 Day Accts";#N/A,#N/A,FALSE,"Tickmarks"}</definedName>
    <definedName name="ㄴㄴ" localSheetId="18" hidden="1">{#N/A,#N/A,FALSE,"Aging Summary";#N/A,#N/A,FALSE,"Ratio Analysis";#N/A,#N/A,FALSE,"Test 120 Day Accts";#N/A,#N/A,FALSE,"Tickmarks"}</definedName>
    <definedName name="ㄴㄴ" hidden="1">{#N/A,#N/A,FALSE,"Aging Summary";#N/A,#N/A,FALSE,"Ratio Analysis";#N/A,#N/A,FALSE,"Test 120 Day Accts";#N/A,#N/A,FALSE,"Tickmarks"}</definedName>
    <definedName name="매출원가" localSheetId="5" hidden="1">{#N/A,#N/A,FALSE,"Aging Summary";#N/A,#N/A,FALSE,"Ratio Analysis";#N/A,#N/A,FALSE,"Test 120 Day Accts";#N/A,#N/A,FALSE,"Tickmarks"}</definedName>
    <definedName name="매출원가" localSheetId="16" hidden="1">{#N/A,#N/A,FALSE,"Aging Summary";#N/A,#N/A,FALSE,"Ratio Analysis";#N/A,#N/A,FALSE,"Test 120 Day Accts";#N/A,#N/A,FALSE,"Tickmarks"}</definedName>
    <definedName name="매출원가" localSheetId="19" hidden="1">{#N/A,#N/A,FALSE,"Aging Summary";#N/A,#N/A,FALSE,"Ratio Analysis";#N/A,#N/A,FALSE,"Test 120 Day Accts";#N/A,#N/A,FALSE,"Tickmarks"}</definedName>
    <definedName name="매출원가" localSheetId="18" hidden="1">{#N/A,#N/A,FALSE,"Aging Summary";#N/A,#N/A,FALSE,"Ratio Analysis";#N/A,#N/A,FALSE,"Test 120 Day Accts";#N/A,#N/A,FALSE,"Tickmarks"}</definedName>
    <definedName name="매출원가" hidden="1">{#N/A,#N/A,FALSE,"Aging Summary";#N/A,#N/A,FALSE,"Ratio Analysis";#N/A,#N/A,FALSE,"Test 120 Day Accts";#N/A,#N/A,FALSE,"Tickmarks"}</definedName>
    <definedName name="매출원가1" localSheetId="5" hidden="1">{#N/A,#N/A,FALSE,"Aging Summary";#N/A,#N/A,FALSE,"Ratio Analysis";#N/A,#N/A,FALSE,"Test 120 Day Accts";#N/A,#N/A,FALSE,"Tickmarks"}</definedName>
    <definedName name="매출원가1" localSheetId="16" hidden="1">{#N/A,#N/A,FALSE,"Aging Summary";#N/A,#N/A,FALSE,"Ratio Analysis";#N/A,#N/A,FALSE,"Test 120 Day Accts";#N/A,#N/A,FALSE,"Tickmarks"}</definedName>
    <definedName name="매출원가1" localSheetId="19" hidden="1">{#N/A,#N/A,FALSE,"Aging Summary";#N/A,#N/A,FALSE,"Ratio Analysis";#N/A,#N/A,FALSE,"Test 120 Day Accts";#N/A,#N/A,FALSE,"Tickmarks"}</definedName>
    <definedName name="매출원가1" localSheetId="18" hidden="1">{#N/A,#N/A,FALSE,"Aging Summary";#N/A,#N/A,FALSE,"Ratio Analysis";#N/A,#N/A,FALSE,"Test 120 Day Accts";#N/A,#N/A,FALSE,"Tickmarks"}</definedName>
    <definedName name="매출원가1" hidden="1">{#N/A,#N/A,FALSE,"Aging Summary";#N/A,#N/A,FALSE,"Ratio Analysis";#N/A,#N/A,FALSE,"Test 120 Day Accts";#N/A,#N/A,FALSE,"Tickmarks"}</definedName>
    <definedName name="ㅏㅏ" localSheetId="5" hidden="1">{#N/A,#N/A,FALSE,"Aging Summary";#N/A,#N/A,FALSE,"Ratio Analysis";#N/A,#N/A,FALSE,"Test 120 Day Accts";#N/A,#N/A,FALSE,"Tickmarks"}</definedName>
    <definedName name="ㅏㅏ" localSheetId="16" hidden="1">{#N/A,#N/A,FALSE,"Aging Summary";#N/A,#N/A,FALSE,"Ratio Analysis";#N/A,#N/A,FALSE,"Test 120 Day Accts";#N/A,#N/A,FALSE,"Tickmarks"}</definedName>
    <definedName name="ㅏㅏ" localSheetId="19" hidden="1">{#N/A,#N/A,FALSE,"Aging Summary";#N/A,#N/A,FALSE,"Ratio Analysis";#N/A,#N/A,FALSE,"Test 120 Day Accts";#N/A,#N/A,FALSE,"Tickmarks"}</definedName>
    <definedName name="ㅏㅏ" localSheetId="18" hidden="1">{#N/A,#N/A,FALSE,"Aging Summary";#N/A,#N/A,FALSE,"Ratio Analysis";#N/A,#N/A,FALSE,"Test 120 Day Accts";#N/A,#N/A,FALSE,"Tickmarks"}</definedName>
    <definedName name="ㅏㅏ" hidden="1">{#N/A,#N/A,FALSE,"Aging Summary";#N/A,#N/A,FALSE,"Ratio Analysis";#N/A,#N/A,FALSE,"Test 120 Day Accts";#N/A,#N/A,FALSE,"Tickmarks"}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50" i="80" l="1"/>
  <c r="AG150" i="80"/>
  <c r="AF150" i="80"/>
  <c r="AH149" i="80"/>
  <c r="AG149" i="80"/>
  <c r="AF149" i="80"/>
  <c r="AH148" i="80"/>
  <c r="AG148" i="80"/>
  <c r="AF148" i="80"/>
  <c r="AH147" i="80"/>
  <c r="AG147" i="80"/>
  <c r="AF147" i="80"/>
  <c r="AH146" i="80"/>
  <c r="AG146" i="80"/>
  <c r="AF146" i="80"/>
  <c r="AH145" i="80"/>
  <c r="AG145" i="80"/>
  <c r="AF145" i="80"/>
  <c r="AH144" i="80"/>
  <c r="AG144" i="80"/>
  <c r="AF144" i="80"/>
  <c r="AH143" i="80"/>
  <c r="AG143" i="80"/>
  <c r="AF143" i="80"/>
  <c r="AH142" i="80"/>
  <c r="AG142" i="80"/>
  <c r="AF142" i="80"/>
  <c r="AH141" i="80"/>
  <c r="AG141" i="80"/>
  <c r="AF141" i="80"/>
  <c r="AH140" i="80"/>
  <c r="AG140" i="80"/>
  <c r="AF140" i="80"/>
  <c r="AH139" i="80"/>
  <c r="AG139" i="80"/>
  <c r="AF139" i="80"/>
  <c r="AH138" i="80"/>
  <c r="AG138" i="80"/>
  <c r="AF138" i="80"/>
  <c r="AH137" i="80"/>
  <c r="AG137" i="80"/>
  <c r="AF137" i="80"/>
  <c r="AH136" i="80"/>
  <c r="AG136" i="80"/>
  <c r="AF136" i="80"/>
  <c r="AH135" i="80"/>
  <c r="AG135" i="80"/>
  <c r="AF135" i="80"/>
  <c r="AH134" i="80"/>
  <c r="AG134" i="80"/>
  <c r="AF134" i="80"/>
  <c r="AH133" i="80"/>
  <c r="AG133" i="80"/>
  <c r="AF133" i="80"/>
  <c r="AH132" i="80"/>
  <c r="AG132" i="80"/>
  <c r="AF132" i="80"/>
  <c r="AH131" i="80"/>
  <c r="AG131" i="80"/>
  <c r="AF131" i="80"/>
  <c r="AH130" i="80"/>
  <c r="AG130" i="80"/>
  <c r="AF130" i="80"/>
  <c r="AH129" i="80"/>
  <c r="AG129" i="80"/>
  <c r="AF129" i="80"/>
  <c r="AH128" i="80"/>
  <c r="AG128" i="80"/>
  <c r="AF128" i="80"/>
  <c r="AH127" i="80"/>
  <c r="AG127" i="80"/>
  <c r="AF127" i="80"/>
  <c r="AH126" i="80"/>
  <c r="AG126" i="80"/>
  <c r="AF126" i="80"/>
  <c r="AH125" i="80"/>
  <c r="AG125" i="80"/>
  <c r="AF125" i="80"/>
  <c r="AH124" i="80"/>
  <c r="AG124" i="80"/>
  <c r="AF124" i="80"/>
  <c r="AH123" i="80"/>
  <c r="AG123" i="80"/>
  <c r="AF123" i="80"/>
  <c r="AH122" i="80"/>
  <c r="AG122" i="80"/>
  <c r="AF122" i="80"/>
  <c r="AH121" i="80"/>
  <c r="AG121" i="80"/>
  <c r="AF121" i="80"/>
  <c r="AH120" i="80"/>
  <c r="AG120" i="80"/>
  <c r="AF120" i="80"/>
  <c r="AH119" i="80"/>
  <c r="AG119" i="80"/>
  <c r="AF119" i="80"/>
  <c r="AH118" i="80"/>
  <c r="AG118" i="80"/>
  <c r="AF118" i="80"/>
  <c r="AH117" i="80"/>
  <c r="AG117" i="80"/>
  <c r="AF117" i="80"/>
  <c r="AH116" i="80"/>
  <c r="AG116" i="80"/>
  <c r="AF116" i="80"/>
  <c r="AH115" i="80"/>
  <c r="AG115" i="80"/>
  <c r="AF115" i="80"/>
  <c r="AH114" i="80"/>
  <c r="AG114" i="80"/>
  <c r="AF114" i="80"/>
  <c r="AH113" i="80"/>
  <c r="AG113" i="80"/>
  <c r="AF113" i="80"/>
  <c r="AH112" i="80"/>
  <c r="AG112" i="80"/>
  <c r="AF112" i="80"/>
  <c r="AH111" i="80"/>
  <c r="AG111" i="80"/>
  <c r="AF111" i="80"/>
  <c r="AH110" i="80"/>
  <c r="AG110" i="80"/>
  <c r="AF110" i="80"/>
  <c r="AH109" i="80"/>
  <c r="AG109" i="80"/>
  <c r="AF109" i="80"/>
  <c r="AH108" i="80"/>
  <c r="AG108" i="80"/>
  <c r="AF108" i="80"/>
  <c r="AH107" i="80"/>
  <c r="AG107" i="80"/>
  <c r="AF107" i="80"/>
  <c r="AH106" i="80"/>
  <c r="AG106" i="80"/>
  <c r="AF106" i="80"/>
  <c r="AH105" i="80"/>
  <c r="AG105" i="80"/>
  <c r="AF105" i="80"/>
  <c r="AH104" i="80"/>
  <c r="AG104" i="80"/>
  <c r="AF104" i="80"/>
  <c r="AH103" i="80"/>
  <c r="AG103" i="80"/>
  <c r="AF103" i="80"/>
  <c r="AH102" i="80"/>
  <c r="AG102" i="80"/>
  <c r="AF102" i="80"/>
  <c r="AH101" i="80"/>
  <c r="AG101" i="80"/>
  <c r="AH100" i="80"/>
  <c r="AG100" i="80"/>
  <c r="AH99" i="80"/>
  <c r="AG99" i="80"/>
  <c r="AH98" i="80"/>
  <c r="AG98" i="80"/>
  <c r="AH97" i="80"/>
  <c r="AG97" i="80"/>
  <c r="AH96" i="80"/>
  <c r="AG96" i="80"/>
  <c r="AH95" i="80"/>
  <c r="AG95" i="80"/>
  <c r="AH94" i="80"/>
  <c r="AG94" i="80"/>
  <c r="AH93" i="80"/>
  <c r="AG93" i="80"/>
  <c r="AH92" i="80"/>
  <c r="AG92" i="80"/>
  <c r="AH91" i="80"/>
  <c r="AG91" i="80"/>
  <c r="AH90" i="80"/>
  <c r="AG90" i="80"/>
  <c r="AH89" i="80"/>
  <c r="AG89" i="80"/>
  <c r="AH88" i="80"/>
  <c r="AG88" i="80"/>
  <c r="AH87" i="80"/>
  <c r="AG87" i="80"/>
  <c r="AH86" i="80"/>
  <c r="AG86" i="80"/>
  <c r="AH85" i="80"/>
  <c r="AG85" i="80"/>
  <c r="AH84" i="80"/>
  <c r="AG84" i="80"/>
  <c r="AH83" i="80"/>
  <c r="AG83" i="80"/>
  <c r="AH82" i="80"/>
  <c r="AG82" i="80"/>
  <c r="AH81" i="80"/>
  <c r="AG81" i="80"/>
  <c r="AH80" i="80"/>
  <c r="AG80" i="80"/>
  <c r="AH79" i="80"/>
  <c r="AG79" i="80"/>
  <c r="AH78" i="80"/>
  <c r="AG78" i="80"/>
  <c r="AH77" i="80"/>
  <c r="AG77" i="80"/>
  <c r="AH76" i="80"/>
  <c r="AG76" i="80"/>
  <c r="AH75" i="80"/>
  <c r="AG75" i="80"/>
  <c r="AH74" i="80"/>
  <c r="AG74" i="80"/>
  <c r="AH73" i="80"/>
  <c r="AG73" i="80"/>
  <c r="AH72" i="80"/>
  <c r="AG72" i="80"/>
  <c r="AH71" i="80"/>
  <c r="AG71" i="80"/>
  <c r="AH70" i="80"/>
  <c r="AG70" i="80"/>
  <c r="AH69" i="80"/>
  <c r="AG69" i="80"/>
  <c r="AH68" i="80"/>
  <c r="AG68" i="80"/>
  <c r="AH67" i="80"/>
  <c r="AG67" i="80"/>
  <c r="AH66" i="80"/>
  <c r="AG66" i="80"/>
  <c r="AH65" i="80"/>
  <c r="AG65" i="80"/>
  <c r="AH64" i="80"/>
  <c r="AG64" i="80"/>
  <c r="AH63" i="80"/>
  <c r="AG63" i="80"/>
  <c r="AH62" i="80"/>
  <c r="AG62" i="80"/>
  <c r="AE61" i="80"/>
  <c r="Z61" i="80"/>
  <c r="AA59" i="80"/>
  <c r="AC44" i="80"/>
  <c r="AC42" i="80"/>
  <c r="AC41" i="80"/>
  <c r="AA41" i="80"/>
  <c r="M41" i="80"/>
  <c r="M27" i="80"/>
  <c r="E25" i="80"/>
  <c r="E14" i="80" s="1"/>
  <c r="K3" i="80"/>
  <c r="Z59" i="80" s="1"/>
  <c r="H13" i="79"/>
  <c r="G13" i="79"/>
  <c r="F13" i="79"/>
  <c r="E13" i="79"/>
  <c r="D13" i="79"/>
  <c r="C13" i="79"/>
  <c r="I11" i="79"/>
  <c r="I10" i="79"/>
  <c r="I9" i="79"/>
  <c r="I8" i="79"/>
  <c r="I7" i="79"/>
  <c r="I6" i="79"/>
  <c r="I5" i="79"/>
  <c r="J1830" i="78"/>
  <c r="I1830" i="78"/>
  <c r="H1830" i="78"/>
  <c r="G1830" i="78"/>
  <c r="F1830" i="78"/>
  <c r="E1830" i="78"/>
  <c r="D1830" i="78"/>
  <c r="C1830" i="78"/>
  <c r="J1829" i="78"/>
  <c r="I1829" i="78"/>
  <c r="H1829" i="78"/>
  <c r="G1829" i="78"/>
  <c r="F1829" i="78"/>
  <c r="E1829" i="78"/>
  <c r="D1829" i="78"/>
  <c r="C1829" i="78"/>
  <c r="J1828" i="78"/>
  <c r="I1828" i="78"/>
  <c r="H1828" i="78"/>
  <c r="G1828" i="78"/>
  <c r="F1828" i="78"/>
  <c r="E1828" i="78"/>
  <c r="D1828" i="78"/>
  <c r="C1828" i="78"/>
  <c r="J1827" i="78"/>
  <c r="I1827" i="78"/>
  <c r="H1827" i="78"/>
  <c r="G1827" i="78"/>
  <c r="F1827" i="78"/>
  <c r="E1827" i="78"/>
  <c r="D1827" i="78"/>
  <c r="C1827" i="78"/>
  <c r="J1826" i="78"/>
  <c r="I1826" i="78"/>
  <c r="H1826" i="78"/>
  <c r="G1826" i="78"/>
  <c r="F1826" i="78"/>
  <c r="E1826" i="78"/>
  <c r="D1826" i="78"/>
  <c r="C1826" i="78"/>
  <c r="J1825" i="78"/>
  <c r="I1825" i="78"/>
  <c r="H1825" i="78"/>
  <c r="G1825" i="78"/>
  <c r="F1825" i="78"/>
  <c r="E1825" i="78"/>
  <c r="D1825" i="78"/>
  <c r="C1825" i="78"/>
  <c r="J1824" i="78"/>
  <c r="I1824" i="78"/>
  <c r="H1824" i="78"/>
  <c r="G1824" i="78"/>
  <c r="F1824" i="78"/>
  <c r="E1824" i="78"/>
  <c r="D1824" i="78"/>
  <c r="C1824" i="78"/>
  <c r="J1823" i="78"/>
  <c r="I1823" i="78"/>
  <c r="H1823" i="78"/>
  <c r="G1823" i="78"/>
  <c r="F1823" i="78"/>
  <c r="E1823" i="78"/>
  <c r="D1823" i="78"/>
  <c r="C1823" i="78"/>
  <c r="J1822" i="78"/>
  <c r="I1822" i="78"/>
  <c r="H1822" i="78"/>
  <c r="G1822" i="78"/>
  <c r="F1822" i="78"/>
  <c r="E1822" i="78"/>
  <c r="D1822" i="78"/>
  <c r="C1822" i="78"/>
  <c r="J1821" i="78"/>
  <c r="I1821" i="78"/>
  <c r="H1821" i="78"/>
  <c r="G1821" i="78"/>
  <c r="F1821" i="78"/>
  <c r="E1821" i="78"/>
  <c r="D1821" i="78"/>
  <c r="C1821" i="78"/>
  <c r="J1820" i="78"/>
  <c r="I1820" i="78"/>
  <c r="H1820" i="78"/>
  <c r="G1820" i="78"/>
  <c r="F1820" i="78"/>
  <c r="E1820" i="78"/>
  <c r="D1820" i="78"/>
  <c r="C1820" i="78"/>
  <c r="J1819" i="78"/>
  <c r="I1819" i="78"/>
  <c r="H1819" i="78"/>
  <c r="G1819" i="78"/>
  <c r="F1819" i="78"/>
  <c r="E1819" i="78"/>
  <c r="D1819" i="78"/>
  <c r="C1819" i="78"/>
  <c r="J1818" i="78"/>
  <c r="I1818" i="78"/>
  <c r="H1818" i="78"/>
  <c r="G1818" i="78"/>
  <c r="F1818" i="78"/>
  <c r="E1818" i="78"/>
  <c r="D1818" i="78"/>
  <c r="C1818" i="78"/>
  <c r="J1817" i="78"/>
  <c r="I1817" i="78"/>
  <c r="H1817" i="78"/>
  <c r="G1817" i="78"/>
  <c r="F1817" i="78"/>
  <c r="E1817" i="78"/>
  <c r="D1817" i="78"/>
  <c r="C1817" i="78"/>
  <c r="J1816" i="78"/>
  <c r="I1816" i="78"/>
  <c r="H1816" i="78"/>
  <c r="G1816" i="78"/>
  <c r="F1816" i="78"/>
  <c r="E1816" i="78"/>
  <c r="D1816" i="78"/>
  <c r="C1816" i="78"/>
  <c r="J1815" i="78"/>
  <c r="I1815" i="78"/>
  <c r="H1815" i="78"/>
  <c r="G1815" i="78"/>
  <c r="F1815" i="78"/>
  <c r="E1815" i="78"/>
  <c r="D1815" i="78"/>
  <c r="C1815" i="78"/>
  <c r="J1814" i="78"/>
  <c r="I1814" i="78"/>
  <c r="H1814" i="78"/>
  <c r="G1814" i="78"/>
  <c r="F1814" i="78"/>
  <c r="E1814" i="78"/>
  <c r="D1814" i="78"/>
  <c r="C1814" i="78"/>
  <c r="J1813" i="78"/>
  <c r="I1813" i="78"/>
  <c r="H1813" i="78"/>
  <c r="G1813" i="78"/>
  <c r="F1813" i="78"/>
  <c r="E1813" i="78"/>
  <c r="D1813" i="78"/>
  <c r="C1813" i="78"/>
  <c r="J1812" i="78"/>
  <c r="I1812" i="78"/>
  <c r="H1812" i="78"/>
  <c r="G1812" i="78"/>
  <c r="F1812" i="78"/>
  <c r="E1812" i="78"/>
  <c r="D1812" i="78"/>
  <c r="C1812" i="78"/>
  <c r="J1811" i="78"/>
  <c r="I1811" i="78"/>
  <c r="H1811" i="78"/>
  <c r="G1811" i="78"/>
  <c r="F1811" i="78"/>
  <c r="E1811" i="78"/>
  <c r="D1811" i="78"/>
  <c r="C1811" i="78"/>
  <c r="J1810" i="78"/>
  <c r="I1810" i="78"/>
  <c r="H1810" i="78"/>
  <c r="G1810" i="78"/>
  <c r="F1810" i="78"/>
  <c r="E1810" i="78"/>
  <c r="D1810" i="78"/>
  <c r="C1810" i="78"/>
  <c r="J1809" i="78"/>
  <c r="I1809" i="78"/>
  <c r="H1809" i="78"/>
  <c r="G1809" i="78"/>
  <c r="F1809" i="78"/>
  <c r="E1809" i="78"/>
  <c r="D1809" i="78"/>
  <c r="C1809" i="78"/>
  <c r="J1808" i="78"/>
  <c r="I1808" i="78"/>
  <c r="H1808" i="78"/>
  <c r="G1808" i="78"/>
  <c r="F1808" i="78"/>
  <c r="E1808" i="78"/>
  <c r="D1808" i="78"/>
  <c r="C1808" i="78"/>
  <c r="J1807" i="78"/>
  <c r="I1807" i="78"/>
  <c r="H1807" i="78"/>
  <c r="G1807" i="78"/>
  <c r="F1807" i="78"/>
  <c r="E1807" i="78"/>
  <c r="D1807" i="78"/>
  <c r="C1807" i="78"/>
  <c r="J1806" i="78"/>
  <c r="I1806" i="78"/>
  <c r="H1806" i="78"/>
  <c r="G1806" i="78"/>
  <c r="F1806" i="78"/>
  <c r="E1806" i="78"/>
  <c r="D1806" i="78"/>
  <c r="C1806" i="78"/>
  <c r="J1805" i="78"/>
  <c r="I1805" i="78"/>
  <c r="H1805" i="78"/>
  <c r="G1805" i="78"/>
  <c r="F1805" i="78"/>
  <c r="E1805" i="78"/>
  <c r="D1805" i="78"/>
  <c r="C1805" i="78"/>
  <c r="J1804" i="78"/>
  <c r="I1804" i="78"/>
  <c r="H1804" i="78"/>
  <c r="G1804" i="78"/>
  <c r="F1804" i="78"/>
  <c r="E1804" i="78"/>
  <c r="D1804" i="78"/>
  <c r="C1804" i="78"/>
  <c r="J1803" i="78"/>
  <c r="I1803" i="78"/>
  <c r="H1803" i="78"/>
  <c r="G1803" i="78"/>
  <c r="F1803" i="78"/>
  <c r="E1803" i="78"/>
  <c r="D1803" i="78"/>
  <c r="C1803" i="78"/>
  <c r="J1802" i="78"/>
  <c r="I1802" i="78"/>
  <c r="H1802" i="78"/>
  <c r="G1802" i="78"/>
  <c r="F1802" i="78"/>
  <c r="E1802" i="78"/>
  <c r="D1802" i="78"/>
  <c r="C1802" i="78"/>
  <c r="J1801" i="78"/>
  <c r="I1801" i="78"/>
  <c r="H1801" i="78"/>
  <c r="G1801" i="78"/>
  <c r="F1801" i="78"/>
  <c r="E1801" i="78"/>
  <c r="D1801" i="78"/>
  <c r="C1801" i="78"/>
  <c r="J1800" i="78"/>
  <c r="I1800" i="78"/>
  <c r="H1800" i="78"/>
  <c r="G1800" i="78"/>
  <c r="F1800" i="78"/>
  <c r="E1800" i="78"/>
  <c r="D1800" i="78"/>
  <c r="C1800" i="78"/>
  <c r="J1799" i="78"/>
  <c r="I1799" i="78"/>
  <c r="H1799" i="78"/>
  <c r="G1799" i="78"/>
  <c r="F1799" i="78"/>
  <c r="E1799" i="78"/>
  <c r="D1799" i="78"/>
  <c r="C1799" i="78"/>
  <c r="J1798" i="78"/>
  <c r="I1798" i="78"/>
  <c r="H1798" i="78"/>
  <c r="G1798" i="78"/>
  <c r="F1798" i="78"/>
  <c r="E1798" i="78"/>
  <c r="D1798" i="78"/>
  <c r="C1798" i="78"/>
  <c r="J1797" i="78"/>
  <c r="I1797" i="78"/>
  <c r="H1797" i="78"/>
  <c r="G1797" i="78"/>
  <c r="F1797" i="78"/>
  <c r="E1797" i="78"/>
  <c r="D1797" i="78"/>
  <c r="C1797" i="78"/>
  <c r="J1796" i="78"/>
  <c r="I1796" i="78"/>
  <c r="H1796" i="78"/>
  <c r="G1796" i="78"/>
  <c r="F1796" i="78"/>
  <c r="E1796" i="78"/>
  <c r="D1796" i="78"/>
  <c r="C1796" i="78"/>
  <c r="J1795" i="78"/>
  <c r="I1795" i="78"/>
  <c r="H1795" i="78"/>
  <c r="G1795" i="78"/>
  <c r="F1795" i="78"/>
  <c r="E1795" i="78"/>
  <c r="D1795" i="78"/>
  <c r="C1795" i="78"/>
  <c r="J1794" i="78"/>
  <c r="I1794" i="78"/>
  <c r="H1794" i="78"/>
  <c r="G1794" i="78"/>
  <c r="F1794" i="78"/>
  <c r="E1794" i="78"/>
  <c r="D1794" i="78"/>
  <c r="C1794" i="78"/>
  <c r="J1793" i="78"/>
  <c r="I1793" i="78"/>
  <c r="H1793" i="78"/>
  <c r="G1793" i="78"/>
  <c r="F1793" i="78"/>
  <c r="E1793" i="78"/>
  <c r="D1793" i="78"/>
  <c r="C1793" i="78"/>
  <c r="J1792" i="78"/>
  <c r="I1792" i="78"/>
  <c r="H1792" i="78"/>
  <c r="G1792" i="78"/>
  <c r="F1792" i="78"/>
  <c r="E1792" i="78"/>
  <c r="D1792" i="78"/>
  <c r="C1792" i="78"/>
  <c r="J1791" i="78"/>
  <c r="I1791" i="78"/>
  <c r="H1791" i="78"/>
  <c r="G1791" i="78"/>
  <c r="F1791" i="78"/>
  <c r="E1791" i="78"/>
  <c r="D1791" i="78"/>
  <c r="C1791" i="78"/>
  <c r="J1790" i="78"/>
  <c r="I1790" i="78"/>
  <c r="H1790" i="78"/>
  <c r="G1790" i="78"/>
  <c r="F1790" i="78"/>
  <c r="E1790" i="78"/>
  <c r="D1790" i="78"/>
  <c r="C1790" i="78"/>
  <c r="J1789" i="78"/>
  <c r="I1789" i="78"/>
  <c r="H1789" i="78"/>
  <c r="G1789" i="78"/>
  <c r="F1789" i="78"/>
  <c r="E1789" i="78"/>
  <c r="D1789" i="78"/>
  <c r="C1789" i="78"/>
  <c r="J1788" i="78"/>
  <c r="I1788" i="78"/>
  <c r="H1788" i="78"/>
  <c r="G1788" i="78"/>
  <c r="F1788" i="78"/>
  <c r="E1788" i="78"/>
  <c r="D1788" i="78"/>
  <c r="C1788" i="78"/>
  <c r="J1787" i="78"/>
  <c r="I1787" i="78"/>
  <c r="H1787" i="78"/>
  <c r="G1787" i="78"/>
  <c r="F1787" i="78"/>
  <c r="E1787" i="78"/>
  <c r="D1787" i="78"/>
  <c r="C1787" i="78"/>
  <c r="J1786" i="78"/>
  <c r="I1786" i="78"/>
  <c r="H1786" i="78"/>
  <c r="G1786" i="78"/>
  <c r="F1786" i="78"/>
  <c r="E1786" i="78"/>
  <c r="D1786" i="78"/>
  <c r="C1786" i="78"/>
  <c r="J1785" i="78"/>
  <c r="I1785" i="78"/>
  <c r="H1785" i="78"/>
  <c r="G1785" i="78"/>
  <c r="F1785" i="78"/>
  <c r="E1785" i="78"/>
  <c r="D1785" i="78"/>
  <c r="C1785" i="78"/>
  <c r="J1784" i="78"/>
  <c r="I1784" i="78"/>
  <c r="H1784" i="78"/>
  <c r="G1784" i="78"/>
  <c r="F1784" i="78"/>
  <c r="E1784" i="78"/>
  <c r="D1784" i="78"/>
  <c r="C1784" i="78"/>
  <c r="J1783" i="78"/>
  <c r="I1783" i="78"/>
  <c r="H1783" i="78"/>
  <c r="G1783" i="78"/>
  <c r="F1783" i="78"/>
  <c r="E1783" i="78"/>
  <c r="D1783" i="78"/>
  <c r="C1783" i="78"/>
  <c r="J1782" i="78"/>
  <c r="I1782" i="78"/>
  <c r="H1782" i="78"/>
  <c r="G1782" i="78"/>
  <c r="F1782" i="78"/>
  <c r="E1782" i="78"/>
  <c r="D1782" i="78"/>
  <c r="C1782" i="78"/>
  <c r="J1781" i="78"/>
  <c r="I1781" i="78"/>
  <c r="H1781" i="78"/>
  <c r="G1781" i="78"/>
  <c r="F1781" i="78"/>
  <c r="E1781" i="78"/>
  <c r="D1781" i="78"/>
  <c r="C1781" i="78"/>
  <c r="J1780" i="78"/>
  <c r="I1780" i="78"/>
  <c r="H1780" i="78"/>
  <c r="G1780" i="78"/>
  <c r="F1780" i="78"/>
  <c r="E1780" i="78"/>
  <c r="D1780" i="78"/>
  <c r="C1780" i="78"/>
  <c r="J1779" i="78"/>
  <c r="I1779" i="78"/>
  <c r="H1779" i="78"/>
  <c r="G1779" i="78"/>
  <c r="F1779" i="78"/>
  <c r="E1779" i="78"/>
  <c r="D1779" i="78"/>
  <c r="C1779" i="78"/>
  <c r="J1778" i="78"/>
  <c r="I1778" i="78"/>
  <c r="H1778" i="78"/>
  <c r="G1778" i="78"/>
  <c r="F1778" i="78"/>
  <c r="E1778" i="78"/>
  <c r="D1778" i="78"/>
  <c r="C1778" i="78"/>
  <c r="J1777" i="78"/>
  <c r="I1777" i="78"/>
  <c r="H1777" i="78"/>
  <c r="G1777" i="78"/>
  <c r="F1777" i="78"/>
  <c r="E1777" i="78"/>
  <c r="D1777" i="78"/>
  <c r="C1777" i="78"/>
  <c r="J1776" i="78"/>
  <c r="I1776" i="78"/>
  <c r="H1776" i="78"/>
  <c r="G1776" i="78"/>
  <c r="F1776" i="78"/>
  <c r="E1776" i="78"/>
  <c r="D1776" i="78"/>
  <c r="C1776" i="78"/>
  <c r="J1775" i="78"/>
  <c r="I1775" i="78"/>
  <c r="H1775" i="78"/>
  <c r="G1775" i="78"/>
  <c r="F1775" i="78"/>
  <c r="E1775" i="78"/>
  <c r="D1775" i="78"/>
  <c r="C1775" i="78"/>
  <c r="J1774" i="78"/>
  <c r="I1774" i="78"/>
  <c r="H1774" i="78"/>
  <c r="G1774" i="78"/>
  <c r="F1774" i="78"/>
  <c r="E1774" i="78"/>
  <c r="D1774" i="78"/>
  <c r="C1774" i="78"/>
  <c r="J1773" i="78"/>
  <c r="I1773" i="78"/>
  <c r="H1773" i="78"/>
  <c r="G1773" i="78"/>
  <c r="F1773" i="78"/>
  <c r="E1773" i="78"/>
  <c r="D1773" i="78"/>
  <c r="C1773" i="78"/>
  <c r="J1772" i="78"/>
  <c r="I1772" i="78"/>
  <c r="H1772" i="78"/>
  <c r="G1772" i="78"/>
  <c r="F1772" i="78"/>
  <c r="E1772" i="78"/>
  <c r="D1772" i="78"/>
  <c r="C1772" i="78"/>
  <c r="J1771" i="78"/>
  <c r="I1771" i="78"/>
  <c r="H1771" i="78"/>
  <c r="G1771" i="78"/>
  <c r="F1771" i="78"/>
  <c r="E1771" i="78"/>
  <c r="D1771" i="78"/>
  <c r="C1771" i="78"/>
  <c r="J1770" i="78"/>
  <c r="I1770" i="78"/>
  <c r="H1770" i="78"/>
  <c r="G1770" i="78"/>
  <c r="F1770" i="78"/>
  <c r="E1770" i="78"/>
  <c r="D1770" i="78"/>
  <c r="C1770" i="78"/>
  <c r="J1769" i="78"/>
  <c r="I1769" i="78"/>
  <c r="H1769" i="78"/>
  <c r="G1769" i="78"/>
  <c r="F1769" i="78"/>
  <c r="E1769" i="78"/>
  <c r="D1769" i="78"/>
  <c r="C1769" i="78"/>
  <c r="J1768" i="78"/>
  <c r="I1768" i="78"/>
  <c r="H1768" i="78"/>
  <c r="G1768" i="78"/>
  <c r="F1768" i="78"/>
  <c r="E1768" i="78"/>
  <c r="D1768" i="78"/>
  <c r="C1768" i="78"/>
  <c r="J1767" i="78"/>
  <c r="I1767" i="78"/>
  <c r="H1767" i="78"/>
  <c r="G1767" i="78"/>
  <c r="F1767" i="78"/>
  <c r="E1767" i="78"/>
  <c r="D1767" i="78"/>
  <c r="C1767" i="78"/>
  <c r="J1766" i="78"/>
  <c r="I1766" i="78"/>
  <c r="H1766" i="78"/>
  <c r="G1766" i="78"/>
  <c r="F1766" i="78"/>
  <c r="E1766" i="78"/>
  <c r="D1766" i="78"/>
  <c r="C1766" i="78"/>
  <c r="J1765" i="78"/>
  <c r="I1765" i="78"/>
  <c r="H1765" i="78"/>
  <c r="G1765" i="78"/>
  <c r="F1765" i="78"/>
  <c r="E1765" i="78"/>
  <c r="D1765" i="78"/>
  <c r="C1765" i="78"/>
  <c r="J1764" i="78"/>
  <c r="I1764" i="78"/>
  <c r="H1764" i="78"/>
  <c r="G1764" i="78"/>
  <c r="F1764" i="78"/>
  <c r="E1764" i="78"/>
  <c r="D1764" i="78"/>
  <c r="C1764" i="78"/>
  <c r="J1763" i="78"/>
  <c r="I1763" i="78"/>
  <c r="H1763" i="78"/>
  <c r="G1763" i="78"/>
  <c r="F1763" i="78"/>
  <c r="E1763" i="78"/>
  <c r="D1763" i="78"/>
  <c r="C1763" i="78"/>
  <c r="J1762" i="78"/>
  <c r="I1762" i="78"/>
  <c r="H1762" i="78"/>
  <c r="G1762" i="78"/>
  <c r="F1762" i="78"/>
  <c r="E1762" i="78"/>
  <c r="D1762" i="78"/>
  <c r="C1762" i="78"/>
  <c r="J1761" i="78"/>
  <c r="I1761" i="78"/>
  <c r="H1761" i="78"/>
  <c r="G1761" i="78"/>
  <c r="F1761" i="78"/>
  <c r="E1761" i="78"/>
  <c r="D1761" i="78"/>
  <c r="C1761" i="78"/>
  <c r="J1760" i="78"/>
  <c r="I1760" i="78"/>
  <c r="H1760" i="78"/>
  <c r="G1760" i="78"/>
  <c r="F1760" i="78"/>
  <c r="E1760" i="78"/>
  <c r="D1760" i="78"/>
  <c r="C1760" i="78"/>
  <c r="J1759" i="78"/>
  <c r="I1759" i="78"/>
  <c r="H1759" i="78"/>
  <c r="G1759" i="78"/>
  <c r="F1759" i="78"/>
  <c r="E1759" i="78"/>
  <c r="D1759" i="78"/>
  <c r="C1759" i="78"/>
  <c r="J1758" i="78"/>
  <c r="I1758" i="78"/>
  <c r="H1758" i="78"/>
  <c r="G1758" i="78"/>
  <c r="F1758" i="78"/>
  <c r="E1758" i="78"/>
  <c r="D1758" i="78"/>
  <c r="C1758" i="78"/>
  <c r="J1757" i="78"/>
  <c r="I1757" i="78"/>
  <c r="H1757" i="78"/>
  <c r="G1757" i="78"/>
  <c r="F1757" i="78"/>
  <c r="E1757" i="78"/>
  <c r="D1757" i="78"/>
  <c r="C1757" i="78"/>
  <c r="J1756" i="78"/>
  <c r="I1756" i="78"/>
  <c r="H1756" i="78"/>
  <c r="G1756" i="78"/>
  <c r="F1756" i="78"/>
  <c r="E1756" i="78"/>
  <c r="D1756" i="78"/>
  <c r="C1756" i="78"/>
  <c r="J1755" i="78"/>
  <c r="I1755" i="78"/>
  <c r="H1755" i="78"/>
  <c r="G1755" i="78"/>
  <c r="F1755" i="78"/>
  <c r="E1755" i="78"/>
  <c r="D1755" i="78"/>
  <c r="C1755" i="78"/>
  <c r="J1754" i="78"/>
  <c r="I1754" i="78"/>
  <c r="H1754" i="78"/>
  <c r="G1754" i="78"/>
  <c r="F1754" i="78"/>
  <c r="E1754" i="78"/>
  <c r="D1754" i="78"/>
  <c r="C1754" i="78"/>
  <c r="J1753" i="78"/>
  <c r="I1753" i="78"/>
  <c r="H1753" i="78"/>
  <c r="G1753" i="78"/>
  <c r="F1753" i="78"/>
  <c r="E1753" i="78"/>
  <c r="D1753" i="78"/>
  <c r="C1753" i="78"/>
  <c r="J1752" i="78"/>
  <c r="I1752" i="78"/>
  <c r="H1752" i="78"/>
  <c r="G1752" i="78"/>
  <c r="F1752" i="78"/>
  <c r="E1752" i="78"/>
  <c r="D1752" i="78"/>
  <c r="C1752" i="78"/>
  <c r="J1751" i="78"/>
  <c r="I1751" i="78"/>
  <c r="H1751" i="78"/>
  <c r="G1751" i="78"/>
  <c r="F1751" i="78"/>
  <c r="E1751" i="78"/>
  <c r="D1751" i="78"/>
  <c r="C1751" i="78"/>
  <c r="J1750" i="78"/>
  <c r="I1750" i="78"/>
  <c r="H1750" i="78"/>
  <c r="G1750" i="78"/>
  <c r="F1750" i="78"/>
  <c r="E1750" i="78"/>
  <c r="D1750" i="78"/>
  <c r="C1750" i="78"/>
  <c r="J1749" i="78"/>
  <c r="I1749" i="78"/>
  <c r="H1749" i="78"/>
  <c r="G1749" i="78"/>
  <c r="F1749" i="78"/>
  <c r="E1749" i="78"/>
  <c r="D1749" i="78"/>
  <c r="C1749" i="78"/>
  <c r="J1748" i="78"/>
  <c r="I1748" i="78"/>
  <c r="H1748" i="78"/>
  <c r="G1748" i="78"/>
  <c r="F1748" i="78"/>
  <c r="E1748" i="78"/>
  <c r="D1748" i="78"/>
  <c r="C1748" i="78"/>
  <c r="J1747" i="78"/>
  <c r="I1747" i="78"/>
  <c r="H1747" i="78"/>
  <c r="G1747" i="78"/>
  <c r="F1747" i="78"/>
  <c r="E1747" i="78"/>
  <c r="D1747" i="78"/>
  <c r="C1747" i="78"/>
  <c r="J1746" i="78"/>
  <c r="I1746" i="78"/>
  <c r="H1746" i="78"/>
  <c r="G1746" i="78"/>
  <c r="F1746" i="78"/>
  <c r="E1746" i="78"/>
  <c r="D1746" i="78"/>
  <c r="C1746" i="78"/>
  <c r="J1745" i="78"/>
  <c r="I1745" i="78"/>
  <c r="H1745" i="78"/>
  <c r="G1745" i="78"/>
  <c r="F1745" i="78"/>
  <c r="E1745" i="78"/>
  <c r="D1745" i="78"/>
  <c r="C1745" i="78"/>
  <c r="J1744" i="78"/>
  <c r="I1744" i="78"/>
  <c r="H1744" i="78"/>
  <c r="G1744" i="78"/>
  <c r="F1744" i="78"/>
  <c r="E1744" i="78"/>
  <c r="D1744" i="78"/>
  <c r="C1744" i="78"/>
  <c r="J1743" i="78"/>
  <c r="I1743" i="78"/>
  <c r="H1743" i="78"/>
  <c r="G1743" i="78"/>
  <c r="F1743" i="78"/>
  <c r="E1743" i="78"/>
  <c r="D1743" i="78"/>
  <c r="C1743" i="78"/>
  <c r="J1742" i="78"/>
  <c r="I1742" i="78"/>
  <c r="H1742" i="78"/>
  <c r="G1742" i="78"/>
  <c r="F1742" i="78"/>
  <c r="E1742" i="78"/>
  <c r="D1742" i="78"/>
  <c r="C1742" i="78"/>
  <c r="J1741" i="78"/>
  <c r="I1741" i="78"/>
  <c r="H1741" i="78"/>
  <c r="G1741" i="78"/>
  <c r="F1741" i="78"/>
  <c r="E1741" i="78"/>
  <c r="D1741" i="78"/>
  <c r="C1741" i="78"/>
  <c r="J1740" i="78"/>
  <c r="I1740" i="78"/>
  <c r="H1740" i="78"/>
  <c r="G1740" i="78"/>
  <c r="F1740" i="78"/>
  <c r="E1740" i="78"/>
  <c r="D1740" i="78"/>
  <c r="C1740" i="78"/>
  <c r="J1739" i="78"/>
  <c r="I1739" i="78"/>
  <c r="H1739" i="78"/>
  <c r="G1739" i="78"/>
  <c r="F1739" i="78"/>
  <c r="E1739" i="78"/>
  <c r="D1739" i="78"/>
  <c r="C1739" i="78"/>
  <c r="J1738" i="78"/>
  <c r="I1738" i="78"/>
  <c r="H1738" i="78"/>
  <c r="G1738" i="78"/>
  <c r="F1738" i="78"/>
  <c r="E1738" i="78"/>
  <c r="D1738" i="78"/>
  <c r="C1738" i="78"/>
  <c r="J1737" i="78"/>
  <c r="I1737" i="78"/>
  <c r="H1737" i="78"/>
  <c r="G1737" i="78"/>
  <c r="F1737" i="78"/>
  <c r="E1737" i="78"/>
  <c r="D1737" i="78"/>
  <c r="C1737" i="78"/>
  <c r="J1736" i="78"/>
  <c r="I1736" i="78"/>
  <c r="H1736" i="78"/>
  <c r="G1736" i="78"/>
  <c r="F1736" i="78"/>
  <c r="E1736" i="78"/>
  <c r="D1736" i="78"/>
  <c r="C1736" i="78"/>
  <c r="J1735" i="78"/>
  <c r="I1735" i="78"/>
  <c r="H1735" i="78"/>
  <c r="G1735" i="78"/>
  <c r="F1735" i="78"/>
  <c r="E1735" i="78"/>
  <c r="D1735" i="78"/>
  <c r="C1735" i="78"/>
  <c r="J1734" i="78"/>
  <c r="I1734" i="78"/>
  <c r="H1734" i="78"/>
  <c r="G1734" i="78"/>
  <c r="F1734" i="78"/>
  <c r="E1734" i="78"/>
  <c r="D1734" i="78"/>
  <c r="C1734" i="78"/>
  <c r="J1733" i="78"/>
  <c r="I1733" i="78"/>
  <c r="H1733" i="78"/>
  <c r="G1733" i="78"/>
  <c r="F1733" i="78"/>
  <c r="E1733" i="78"/>
  <c r="D1733" i="78"/>
  <c r="C1733" i="78"/>
  <c r="J1732" i="78"/>
  <c r="I1732" i="78"/>
  <c r="H1732" i="78"/>
  <c r="G1732" i="78"/>
  <c r="F1732" i="78"/>
  <c r="E1732" i="78"/>
  <c r="D1732" i="78"/>
  <c r="C1732" i="78"/>
  <c r="J1731" i="78"/>
  <c r="I1731" i="78"/>
  <c r="H1731" i="78"/>
  <c r="G1731" i="78"/>
  <c r="F1731" i="78"/>
  <c r="E1731" i="78"/>
  <c r="D1731" i="78"/>
  <c r="C1731" i="78"/>
  <c r="J1730" i="78"/>
  <c r="I1730" i="78"/>
  <c r="H1730" i="78"/>
  <c r="G1730" i="78"/>
  <c r="F1730" i="78"/>
  <c r="E1730" i="78"/>
  <c r="D1730" i="78"/>
  <c r="C1730" i="78"/>
  <c r="J1729" i="78"/>
  <c r="I1729" i="78"/>
  <c r="H1729" i="78"/>
  <c r="G1729" i="78"/>
  <c r="F1729" i="78"/>
  <c r="E1729" i="78"/>
  <c r="D1729" i="78"/>
  <c r="C1729" i="78"/>
  <c r="J1728" i="78"/>
  <c r="I1728" i="78"/>
  <c r="H1728" i="78"/>
  <c r="G1728" i="78"/>
  <c r="F1728" i="78"/>
  <c r="E1728" i="78"/>
  <c r="D1728" i="78"/>
  <c r="C1728" i="78"/>
  <c r="J1727" i="78"/>
  <c r="I1727" i="78"/>
  <c r="H1727" i="78"/>
  <c r="G1727" i="78"/>
  <c r="F1727" i="78"/>
  <c r="E1727" i="78"/>
  <c r="D1727" i="78"/>
  <c r="C1727" i="78"/>
  <c r="J1726" i="78"/>
  <c r="I1726" i="78"/>
  <c r="H1726" i="78"/>
  <c r="G1726" i="78"/>
  <c r="F1726" i="78"/>
  <c r="E1726" i="78"/>
  <c r="D1726" i="78"/>
  <c r="C1726" i="78"/>
  <c r="J1725" i="78"/>
  <c r="I1725" i="78"/>
  <c r="H1725" i="78"/>
  <c r="G1725" i="78"/>
  <c r="F1725" i="78"/>
  <c r="E1725" i="78"/>
  <c r="D1725" i="78"/>
  <c r="C1725" i="78"/>
  <c r="J1724" i="78"/>
  <c r="I1724" i="78"/>
  <c r="H1724" i="78"/>
  <c r="G1724" i="78"/>
  <c r="F1724" i="78"/>
  <c r="E1724" i="78"/>
  <c r="D1724" i="78"/>
  <c r="C1724" i="78"/>
  <c r="J1723" i="78"/>
  <c r="I1723" i="78"/>
  <c r="H1723" i="78"/>
  <c r="G1723" i="78"/>
  <c r="F1723" i="78"/>
  <c r="E1723" i="78"/>
  <c r="D1723" i="78"/>
  <c r="C1723" i="78"/>
  <c r="J1722" i="78"/>
  <c r="I1722" i="78"/>
  <c r="H1722" i="78"/>
  <c r="G1722" i="78"/>
  <c r="F1722" i="78"/>
  <c r="E1722" i="78"/>
  <c r="D1722" i="78"/>
  <c r="C1722" i="78"/>
  <c r="J1721" i="78"/>
  <c r="I1721" i="78"/>
  <c r="H1721" i="78"/>
  <c r="G1721" i="78"/>
  <c r="F1721" i="78"/>
  <c r="E1721" i="78"/>
  <c r="D1721" i="78"/>
  <c r="C1721" i="78"/>
  <c r="J1720" i="78"/>
  <c r="I1720" i="78"/>
  <c r="H1720" i="78"/>
  <c r="G1720" i="78"/>
  <c r="F1720" i="78"/>
  <c r="E1720" i="78"/>
  <c r="D1720" i="78"/>
  <c r="C1720" i="78"/>
  <c r="J1719" i="78"/>
  <c r="I1719" i="78"/>
  <c r="H1719" i="78"/>
  <c r="G1719" i="78"/>
  <c r="F1719" i="78"/>
  <c r="E1719" i="78"/>
  <c r="D1719" i="78"/>
  <c r="C1719" i="78"/>
  <c r="J1718" i="78"/>
  <c r="I1718" i="78"/>
  <c r="H1718" i="78"/>
  <c r="G1718" i="78"/>
  <c r="F1718" i="78"/>
  <c r="E1718" i="78"/>
  <c r="D1718" i="78"/>
  <c r="C1718" i="78"/>
  <c r="J1717" i="78"/>
  <c r="I1717" i="78"/>
  <c r="H1717" i="78"/>
  <c r="G1717" i="78"/>
  <c r="F1717" i="78"/>
  <c r="E1717" i="78"/>
  <c r="D1717" i="78"/>
  <c r="C1717" i="78"/>
  <c r="J1716" i="78"/>
  <c r="I1716" i="78"/>
  <c r="H1716" i="78"/>
  <c r="G1716" i="78"/>
  <c r="F1716" i="78"/>
  <c r="E1716" i="78"/>
  <c r="D1716" i="78"/>
  <c r="C1716" i="78"/>
  <c r="J1715" i="78"/>
  <c r="I1715" i="78"/>
  <c r="H1715" i="78"/>
  <c r="G1715" i="78"/>
  <c r="F1715" i="78"/>
  <c r="E1715" i="78"/>
  <c r="D1715" i="78"/>
  <c r="C1715" i="78"/>
  <c r="J1714" i="78"/>
  <c r="I1714" i="78"/>
  <c r="H1714" i="78"/>
  <c r="G1714" i="78"/>
  <c r="F1714" i="78"/>
  <c r="E1714" i="78"/>
  <c r="D1714" i="78"/>
  <c r="C1714" i="78"/>
  <c r="J1713" i="78"/>
  <c r="I1713" i="78"/>
  <c r="H1713" i="78"/>
  <c r="G1713" i="78"/>
  <c r="F1713" i="78"/>
  <c r="E1713" i="78"/>
  <c r="D1713" i="78"/>
  <c r="C1713" i="78"/>
  <c r="J1712" i="78"/>
  <c r="I1712" i="78"/>
  <c r="H1712" i="78"/>
  <c r="G1712" i="78"/>
  <c r="F1712" i="78"/>
  <c r="E1712" i="78"/>
  <c r="D1712" i="78"/>
  <c r="C1712" i="78"/>
  <c r="J1711" i="78"/>
  <c r="I1711" i="78"/>
  <c r="H1711" i="78"/>
  <c r="G1711" i="78"/>
  <c r="F1711" i="78"/>
  <c r="E1711" i="78"/>
  <c r="D1711" i="78"/>
  <c r="C1711" i="78"/>
  <c r="J1710" i="78"/>
  <c r="I1710" i="78"/>
  <c r="H1710" i="78"/>
  <c r="G1710" i="78"/>
  <c r="F1710" i="78"/>
  <c r="E1710" i="78"/>
  <c r="D1710" i="78"/>
  <c r="C1710" i="78"/>
  <c r="J1709" i="78"/>
  <c r="I1709" i="78"/>
  <c r="H1709" i="78"/>
  <c r="G1709" i="78"/>
  <c r="F1709" i="78"/>
  <c r="E1709" i="78"/>
  <c r="D1709" i="78"/>
  <c r="C1709" i="78"/>
  <c r="J1708" i="78"/>
  <c r="I1708" i="78"/>
  <c r="H1708" i="78"/>
  <c r="G1708" i="78"/>
  <c r="F1708" i="78"/>
  <c r="E1708" i="78"/>
  <c r="D1708" i="78"/>
  <c r="C1708" i="78"/>
  <c r="J1707" i="78"/>
  <c r="I1707" i="78"/>
  <c r="H1707" i="78"/>
  <c r="G1707" i="78"/>
  <c r="F1707" i="78"/>
  <c r="E1707" i="78"/>
  <c r="D1707" i="78"/>
  <c r="C1707" i="78"/>
  <c r="J1706" i="78"/>
  <c r="I1706" i="78"/>
  <c r="H1706" i="78"/>
  <c r="G1706" i="78"/>
  <c r="F1706" i="78"/>
  <c r="E1706" i="78"/>
  <c r="D1706" i="78"/>
  <c r="C1706" i="78"/>
  <c r="J1705" i="78"/>
  <c r="I1705" i="78"/>
  <c r="H1705" i="78"/>
  <c r="G1705" i="78"/>
  <c r="F1705" i="78"/>
  <c r="E1705" i="78"/>
  <c r="D1705" i="78"/>
  <c r="C1705" i="78"/>
  <c r="J1704" i="78"/>
  <c r="I1704" i="78"/>
  <c r="H1704" i="78"/>
  <c r="G1704" i="78"/>
  <c r="F1704" i="78"/>
  <c r="E1704" i="78"/>
  <c r="D1704" i="78"/>
  <c r="C1704" i="78"/>
  <c r="J1703" i="78"/>
  <c r="I1703" i="78"/>
  <c r="H1703" i="78"/>
  <c r="G1703" i="78"/>
  <c r="F1703" i="78"/>
  <c r="E1703" i="78"/>
  <c r="D1703" i="78"/>
  <c r="C1703" i="78"/>
  <c r="J1702" i="78"/>
  <c r="I1702" i="78"/>
  <c r="H1702" i="78"/>
  <c r="G1702" i="78"/>
  <c r="F1702" i="78"/>
  <c r="E1702" i="78"/>
  <c r="D1702" i="78"/>
  <c r="C1702" i="78"/>
  <c r="J1701" i="78"/>
  <c r="I1701" i="78"/>
  <c r="H1701" i="78"/>
  <c r="G1701" i="78"/>
  <c r="F1701" i="78"/>
  <c r="E1701" i="78"/>
  <c r="D1701" i="78"/>
  <c r="C1701" i="78"/>
  <c r="J1700" i="78"/>
  <c r="I1700" i="78"/>
  <c r="H1700" i="78"/>
  <c r="G1700" i="78"/>
  <c r="F1700" i="78"/>
  <c r="E1700" i="78"/>
  <c r="D1700" i="78"/>
  <c r="C1700" i="78"/>
  <c r="J1699" i="78"/>
  <c r="I1699" i="78"/>
  <c r="H1699" i="78"/>
  <c r="G1699" i="78"/>
  <c r="F1699" i="78"/>
  <c r="E1699" i="78"/>
  <c r="D1699" i="78"/>
  <c r="C1699" i="78"/>
  <c r="J1698" i="78"/>
  <c r="I1698" i="78"/>
  <c r="H1698" i="78"/>
  <c r="G1698" i="78"/>
  <c r="F1698" i="78"/>
  <c r="E1698" i="78"/>
  <c r="D1698" i="78"/>
  <c r="C1698" i="78"/>
  <c r="J1697" i="78"/>
  <c r="I1697" i="78"/>
  <c r="H1697" i="78"/>
  <c r="G1697" i="78"/>
  <c r="F1697" i="78"/>
  <c r="E1697" i="78"/>
  <c r="D1697" i="78"/>
  <c r="C1697" i="78"/>
  <c r="J1696" i="78"/>
  <c r="I1696" i="78"/>
  <c r="H1696" i="78"/>
  <c r="G1696" i="78"/>
  <c r="F1696" i="78"/>
  <c r="E1696" i="78"/>
  <c r="D1696" i="78"/>
  <c r="C1696" i="78"/>
  <c r="J1695" i="78"/>
  <c r="I1695" i="78"/>
  <c r="H1695" i="78"/>
  <c r="G1695" i="78"/>
  <c r="F1695" i="78"/>
  <c r="E1695" i="78"/>
  <c r="D1695" i="78"/>
  <c r="C1695" i="78"/>
  <c r="J1694" i="78"/>
  <c r="I1694" i="78"/>
  <c r="H1694" i="78"/>
  <c r="G1694" i="78"/>
  <c r="F1694" i="78"/>
  <c r="E1694" i="78"/>
  <c r="D1694" i="78"/>
  <c r="C1694" i="78"/>
  <c r="J1693" i="78"/>
  <c r="I1693" i="78"/>
  <c r="H1693" i="78"/>
  <c r="G1693" i="78"/>
  <c r="F1693" i="78"/>
  <c r="E1693" i="78"/>
  <c r="D1693" i="78"/>
  <c r="C1693" i="78"/>
  <c r="J1692" i="78"/>
  <c r="I1692" i="78"/>
  <c r="H1692" i="78"/>
  <c r="G1692" i="78"/>
  <c r="F1692" i="78"/>
  <c r="E1692" i="78"/>
  <c r="D1692" i="78"/>
  <c r="C1692" i="78"/>
  <c r="J1691" i="78"/>
  <c r="I1691" i="78"/>
  <c r="H1691" i="78"/>
  <c r="G1691" i="78"/>
  <c r="F1691" i="78"/>
  <c r="E1691" i="78"/>
  <c r="D1691" i="78"/>
  <c r="C1691" i="78"/>
  <c r="J1690" i="78"/>
  <c r="I1690" i="78"/>
  <c r="H1690" i="78"/>
  <c r="G1690" i="78"/>
  <c r="F1690" i="78"/>
  <c r="E1690" i="78"/>
  <c r="D1690" i="78"/>
  <c r="C1690" i="78"/>
  <c r="J1689" i="78"/>
  <c r="I1689" i="78"/>
  <c r="H1689" i="78"/>
  <c r="G1689" i="78"/>
  <c r="F1689" i="78"/>
  <c r="E1689" i="78"/>
  <c r="D1689" i="78"/>
  <c r="C1689" i="78"/>
  <c r="J1688" i="78"/>
  <c r="I1688" i="78"/>
  <c r="H1688" i="78"/>
  <c r="G1688" i="78"/>
  <c r="F1688" i="78"/>
  <c r="E1688" i="78"/>
  <c r="D1688" i="78"/>
  <c r="C1688" i="78"/>
  <c r="J1687" i="78"/>
  <c r="I1687" i="78"/>
  <c r="H1687" i="78"/>
  <c r="G1687" i="78"/>
  <c r="F1687" i="78"/>
  <c r="E1687" i="78"/>
  <c r="D1687" i="78"/>
  <c r="C1687" i="78"/>
  <c r="J1686" i="78"/>
  <c r="I1686" i="78"/>
  <c r="H1686" i="78"/>
  <c r="G1686" i="78"/>
  <c r="F1686" i="78"/>
  <c r="E1686" i="78"/>
  <c r="D1686" i="78"/>
  <c r="C1686" i="78"/>
  <c r="J1685" i="78"/>
  <c r="I1685" i="78"/>
  <c r="H1685" i="78"/>
  <c r="G1685" i="78"/>
  <c r="F1685" i="78"/>
  <c r="E1685" i="78"/>
  <c r="D1685" i="78"/>
  <c r="C1685" i="78"/>
  <c r="J1684" i="78"/>
  <c r="I1684" i="78"/>
  <c r="H1684" i="78"/>
  <c r="G1684" i="78"/>
  <c r="F1684" i="78"/>
  <c r="E1684" i="78"/>
  <c r="D1684" i="78"/>
  <c r="C1684" i="78"/>
  <c r="J1683" i="78"/>
  <c r="I1683" i="78"/>
  <c r="H1683" i="78"/>
  <c r="G1683" i="78"/>
  <c r="F1683" i="78"/>
  <c r="E1683" i="78"/>
  <c r="D1683" i="78"/>
  <c r="C1683" i="78"/>
  <c r="J1682" i="78"/>
  <c r="I1682" i="78"/>
  <c r="H1682" i="78"/>
  <c r="G1682" i="78"/>
  <c r="F1682" i="78"/>
  <c r="E1682" i="78"/>
  <c r="D1682" i="78"/>
  <c r="C1682" i="78"/>
  <c r="J1681" i="78"/>
  <c r="I1681" i="78"/>
  <c r="H1681" i="78"/>
  <c r="G1681" i="78"/>
  <c r="F1681" i="78"/>
  <c r="E1681" i="78"/>
  <c r="D1681" i="78"/>
  <c r="C1681" i="78"/>
  <c r="J1680" i="78"/>
  <c r="I1680" i="78"/>
  <c r="H1680" i="78"/>
  <c r="G1680" i="78"/>
  <c r="F1680" i="78"/>
  <c r="E1680" i="78"/>
  <c r="D1680" i="78"/>
  <c r="C1680" i="78"/>
  <c r="J1679" i="78"/>
  <c r="I1679" i="78"/>
  <c r="H1679" i="78"/>
  <c r="G1679" i="78"/>
  <c r="F1679" i="78"/>
  <c r="E1679" i="78"/>
  <c r="D1679" i="78"/>
  <c r="C1679" i="78"/>
  <c r="J1678" i="78"/>
  <c r="I1678" i="78"/>
  <c r="H1678" i="78"/>
  <c r="G1678" i="78"/>
  <c r="F1678" i="78"/>
  <c r="E1678" i="78"/>
  <c r="D1678" i="78"/>
  <c r="C1678" i="78"/>
  <c r="J1677" i="78"/>
  <c r="I1677" i="78"/>
  <c r="H1677" i="78"/>
  <c r="G1677" i="78"/>
  <c r="F1677" i="78"/>
  <c r="E1677" i="78"/>
  <c r="D1677" i="78"/>
  <c r="C1677" i="78"/>
  <c r="J1676" i="78"/>
  <c r="I1676" i="78"/>
  <c r="H1676" i="78"/>
  <c r="G1676" i="78"/>
  <c r="F1676" i="78"/>
  <c r="E1676" i="78"/>
  <c r="D1676" i="78"/>
  <c r="C1676" i="78"/>
  <c r="J1675" i="78"/>
  <c r="I1675" i="78"/>
  <c r="H1675" i="78"/>
  <c r="G1675" i="78"/>
  <c r="F1675" i="78"/>
  <c r="E1675" i="78"/>
  <c r="D1675" i="78"/>
  <c r="C1675" i="78"/>
  <c r="J1674" i="78"/>
  <c r="I1674" i="78"/>
  <c r="H1674" i="78"/>
  <c r="G1674" i="78"/>
  <c r="F1674" i="78"/>
  <c r="E1674" i="78"/>
  <c r="D1674" i="78"/>
  <c r="C1674" i="78"/>
  <c r="J1673" i="78"/>
  <c r="I1673" i="78"/>
  <c r="H1673" i="78"/>
  <c r="G1673" i="78"/>
  <c r="F1673" i="78"/>
  <c r="E1673" i="78"/>
  <c r="D1673" i="78"/>
  <c r="C1673" i="78"/>
  <c r="J1672" i="78"/>
  <c r="I1672" i="78"/>
  <c r="H1672" i="78"/>
  <c r="G1672" i="78"/>
  <c r="F1672" i="78"/>
  <c r="E1672" i="78"/>
  <c r="D1672" i="78"/>
  <c r="C1672" i="78"/>
  <c r="J1671" i="78"/>
  <c r="I1671" i="78"/>
  <c r="H1671" i="78"/>
  <c r="G1671" i="78"/>
  <c r="F1671" i="78"/>
  <c r="E1671" i="78"/>
  <c r="D1671" i="78"/>
  <c r="C1671" i="78"/>
  <c r="J1670" i="78"/>
  <c r="I1670" i="78"/>
  <c r="H1670" i="78"/>
  <c r="G1670" i="78"/>
  <c r="F1670" i="78"/>
  <c r="E1670" i="78"/>
  <c r="D1670" i="78"/>
  <c r="C1670" i="78"/>
  <c r="J1669" i="78"/>
  <c r="I1669" i="78"/>
  <c r="H1669" i="78"/>
  <c r="G1669" i="78"/>
  <c r="F1669" i="78"/>
  <c r="E1669" i="78"/>
  <c r="D1669" i="78"/>
  <c r="C1669" i="78"/>
  <c r="J1668" i="78"/>
  <c r="I1668" i="78"/>
  <c r="H1668" i="78"/>
  <c r="G1668" i="78"/>
  <c r="F1668" i="78"/>
  <c r="E1668" i="78"/>
  <c r="D1668" i="78"/>
  <c r="C1668" i="78"/>
  <c r="J1667" i="78"/>
  <c r="I1667" i="78"/>
  <c r="H1667" i="78"/>
  <c r="G1667" i="78"/>
  <c r="F1667" i="78"/>
  <c r="E1667" i="78"/>
  <c r="D1667" i="78"/>
  <c r="C1667" i="78"/>
  <c r="J1666" i="78"/>
  <c r="I1666" i="78"/>
  <c r="H1666" i="78"/>
  <c r="G1666" i="78"/>
  <c r="F1666" i="78"/>
  <c r="E1666" i="78"/>
  <c r="D1666" i="78"/>
  <c r="C1666" i="78"/>
  <c r="J1665" i="78"/>
  <c r="I1665" i="78"/>
  <c r="H1665" i="78"/>
  <c r="G1665" i="78"/>
  <c r="F1665" i="78"/>
  <c r="E1665" i="78"/>
  <c r="D1665" i="78"/>
  <c r="C1665" i="78"/>
  <c r="J1664" i="78"/>
  <c r="I1664" i="78"/>
  <c r="H1664" i="78"/>
  <c r="G1664" i="78"/>
  <c r="F1664" i="78"/>
  <c r="E1664" i="78"/>
  <c r="D1664" i="78"/>
  <c r="C1664" i="78"/>
  <c r="J1663" i="78"/>
  <c r="I1663" i="78"/>
  <c r="H1663" i="78"/>
  <c r="G1663" i="78"/>
  <c r="F1663" i="78"/>
  <c r="E1663" i="78"/>
  <c r="D1663" i="78"/>
  <c r="C1663" i="78"/>
  <c r="J1662" i="78"/>
  <c r="I1662" i="78"/>
  <c r="H1662" i="78"/>
  <c r="G1662" i="78"/>
  <c r="F1662" i="78"/>
  <c r="E1662" i="78"/>
  <c r="D1662" i="78"/>
  <c r="C1662" i="78"/>
  <c r="J1661" i="78"/>
  <c r="I1661" i="78"/>
  <c r="H1661" i="78"/>
  <c r="G1661" i="78"/>
  <c r="F1661" i="78"/>
  <c r="E1661" i="78"/>
  <c r="D1661" i="78"/>
  <c r="C1661" i="78"/>
  <c r="J1660" i="78"/>
  <c r="I1660" i="78"/>
  <c r="H1660" i="78"/>
  <c r="G1660" i="78"/>
  <c r="F1660" i="78"/>
  <c r="E1660" i="78"/>
  <c r="D1660" i="78"/>
  <c r="C1660" i="78"/>
  <c r="J1659" i="78"/>
  <c r="I1659" i="78"/>
  <c r="H1659" i="78"/>
  <c r="G1659" i="78"/>
  <c r="F1659" i="78"/>
  <c r="E1659" i="78"/>
  <c r="D1659" i="78"/>
  <c r="C1659" i="78"/>
  <c r="J1658" i="78"/>
  <c r="I1658" i="78"/>
  <c r="H1658" i="78"/>
  <c r="G1658" i="78"/>
  <c r="F1658" i="78"/>
  <c r="E1658" i="78"/>
  <c r="D1658" i="78"/>
  <c r="C1658" i="78"/>
  <c r="J1657" i="78"/>
  <c r="I1657" i="78"/>
  <c r="H1657" i="78"/>
  <c r="G1657" i="78"/>
  <c r="F1657" i="78"/>
  <c r="E1657" i="78"/>
  <c r="D1657" i="78"/>
  <c r="C1657" i="78"/>
  <c r="J1656" i="78"/>
  <c r="I1656" i="78"/>
  <c r="H1656" i="78"/>
  <c r="G1656" i="78"/>
  <c r="F1656" i="78"/>
  <c r="E1656" i="78"/>
  <c r="D1656" i="78"/>
  <c r="C1656" i="78"/>
  <c r="J1655" i="78"/>
  <c r="I1655" i="78"/>
  <c r="H1655" i="78"/>
  <c r="G1655" i="78"/>
  <c r="F1655" i="78"/>
  <c r="E1655" i="78"/>
  <c r="D1655" i="78"/>
  <c r="C1655" i="78"/>
  <c r="J1654" i="78"/>
  <c r="I1654" i="78"/>
  <c r="H1654" i="78"/>
  <c r="G1654" i="78"/>
  <c r="F1654" i="78"/>
  <c r="E1654" i="78"/>
  <c r="D1654" i="78"/>
  <c r="C1654" i="78"/>
  <c r="J1653" i="78"/>
  <c r="I1653" i="78"/>
  <c r="H1653" i="78"/>
  <c r="G1653" i="78"/>
  <c r="F1653" i="78"/>
  <c r="E1653" i="78"/>
  <c r="D1653" i="78"/>
  <c r="C1653" i="78"/>
  <c r="J1652" i="78"/>
  <c r="I1652" i="78"/>
  <c r="H1652" i="78"/>
  <c r="G1652" i="78"/>
  <c r="F1652" i="78"/>
  <c r="E1652" i="78"/>
  <c r="D1652" i="78"/>
  <c r="C1652" i="78"/>
  <c r="J1651" i="78"/>
  <c r="I1651" i="78"/>
  <c r="H1651" i="78"/>
  <c r="G1651" i="78"/>
  <c r="F1651" i="78"/>
  <c r="E1651" i="78"/>
  <c r="D1651" i="78"/>
  <c r="C1651" i="78"/>
  <c r="J1650" i="78"/>
  <c r="I1650" i="78"/>
  <c r="H1650" i="78"/>
  <c r="G1650" i="78"/>
  <c r="F1650" i="78"/>
  <c r="E1650" i="78"/>
  <c r="D1650" i="78"/>
  <c r="C1650" i="78"/>
  <c r="J1649" i="78"/>
  <c r="I1649" i="78"/>
  <c r="H1649" i="78"/>
  <c r="G1649" i="78"/>
  <c r="F1649" i="78"/>
  <c r="E1649" i="78"/>
  <c r="D1649" i="78"/>
  <c r="C1649" i="78"/>
  <c r="J1648" i="78"/>
  <c r="I1648" i="78"/>
  <c r="H1648" i="78"/>
  <c r="G1648" i="78"/>
  <c r="F1648" i="78"/>
  <c r="E1648" i="78"/>
  <c r="D1648" i="78"/>
  <c r="C1648" i="78"/>
  <c r="J1647" i="78"/>
  <c r="I1647" i="78"/>
  <c r="H1647" i="78"/>
  <c r="G1647" i="78"/>
  <c r="F1647" i="78"/>
  <c r="E1647" i="78"/>
  <c r="D1647" i="78"/>
  <c r="C1647" i="78"/>
  <c r="J1646" i="78"/>
  <c r="I1646" i="78"/>
  <c r="H1646" i="78"/>
  <c r="G1646" i="78"/>
  <c r="F1646" i="78"/>
  <c r="E1646" i="78"/>
  <c r="D1646" i="78"/>
  <c r="C1646" i="78"/>
  <c r="J1645" i="78"/>
  <c r="I1645" i="78"/>
  <c r="H1645" i="78"/>
  <c r="G1645" i="78"/>
  <c r="F1645" i="78"/>
  <c r="E1645" i="78"/>
  <c r="D1645" i="78"/>
  <c r="C1645" i="78"/>
  <c r="J1644" i="78"/>
  <c r="I1644" i="78"/>
  <c r="H1644" i="78"/>
  <c r="G1644" i="78"/>
  <c r="F1644" i="78"/>
  <c r="E1644" i="78"/>
  <c r="D1644" i="78"/>
  <c r="C1644" i="78"/>
  <c r="J1643" i="78"/>
  <c r="I1643" i="78"/>
  <c r="H1643" i="78"/>
  <c r="G1643" i="78"/>
  <c r="F1643" i="78"/>
  <c r="E1643" i="78"/>
  <c r="D1643" i="78"/>
  <c r="C1643" i="78"/>
  <c r="J1642" i="78"/>
  <c r="I1642" i="78"/>
  <c r="H1642" i="78"/>
  <c r="G1642" i="78"/>
  <c r="F1642" i="78"/>
  <c r="E1642" i="78"/>
  <c r="D1642" i="78"/>
  <c r="C1642" i="78"/>
  <c r="J1641" i="78"/>
  <c r="I1641" i="78"/>
  <c r="H1641" i="78"/>
  <c r="G1641" i="78"/>
  <c r="F1641" i="78"/>
  <c r="E1641" i="78"/>
  <c r="D1641" i="78"/>
  <c r="C1641" i="78"/>
  <c r="J1640" i="78"/>
  <c r="I1640" i="78"/>
  <c r="H1640" i="78"/>
  <c r="G1640" i="78"/>
  <c r="F1640" i="78"/>
  <c r="E1640" i="78"/>
  <c r="D1640" i="78"/>
  <c r="C1640" i="78"/>
  <c r="J1639" i="78"/>
  <c r="I1639" i="78"/>
  <c r="H1639" i="78"/>
  <c r="G1639" i="78"/>
  <c r="F1639" i="78"/>
  <c r="E1639" i="78"/>
  <c r="D1639" i="78"/>
  <c r="C1639" i="78"/>
  <c r="J1638" i="78"/>
  <c r="I1638" i="78"/>
  <c r="H1638" i="78"/>
  <c r="G1638" i="78"/>
  <c r="F1638" i="78"/>
  <c r="E1638" i="78"/>
  <c r="D1638" i="78"/>
  <c r="C1638" i="78"/>
  <c r="J1637" i="78"/>
  <c r="I1637" i="78"/>
  <c r="H1637" i="78"/>
  <c r="G1637" i="78"/>
  <c r="F1637" i="78"/>
  <c r="E1637" i="78"/>
  <c r="D1637" i="78"/>
  <c r="C1637" i="78"/>
  <c r="J1636" i="78"/>
  <c r="I1636" i="78"/>
  <c r="H1636" i="78"/>
  <c r="G1636" i="78"/>
  <c r="F1636" i="78"/>
  <c r="E1636" i="78"/>
  <c r="D1636" i="78"/>
  <c r="C1636" i="78"/>
  <c r="J1635" i="78"/>
  <c r="I1635" i="78"/>
  <c r="H1635" i="78"/>
  <c r="G1635" i="78"/>
  <c r="F1635" i="78"/>
  <c r="E1635" i="78"/>
  <c r="D1635" i="78"/>
  <c r="C1635" i="78"/>
  <c r="J1634" i="78"/>
  <c r="I1634" i="78"/>
  <c r="H1634" i="78"/>
  <c r="G1634" i="78"/>
  <c r="F1634" i="78"/>
  <c r="E1634" i="78"/>
  <c r="D1634" i="78"/>
  <c r="C1634" i="78"/>
  <c r="J1633" i="78"/>
  <c r="I1633" i="78"/>
  <c r="H1633" i="78"/>
  <c r="G1633" i="78"/>
  <c r="F1633" i="78"/>
  <c r="E1633" i="78"/>
  <c r="D1633" i="78"/>
  <c r="C1633" i="78"/>
  <c r="J1632" i="78"/>
  <c r="I1632" i="78"/>
  <c r="H1632" i="78"/>
  <c r="G1632" i="78"/>
  <c r="F1632" i="78"/>
  <c r="E1632" i="78"/>
  <c r="D1632" i="78"/>
  <c r="C1632" i="78"/>
  <c r="J1631" i="78"/>
  <c r="I1631" i="78"/>
  <c r="H1631" i="78"/>
  <c r="G1631" i="78"/>
  <c r="F1631" i="78"/>
  <c r="E1631" i="78"/>
  <c r="D1631" i="78"/>
  <c r="C1631" i="78"/>
  <c r="J1630" i="78"/>
  <c r="I1630" i="78"/>
  <c r="H1630" i="78"/>
  <c r="G1630" i="78"/>
  <c r="F1630" i="78"/>
  <c r="E1630" i="78"/>
  <c r="D1630" i="78"/>
  <c r="C1630" i="78"/>
  <c r="J1629" i="78"/>
  <c r="I1629" i="78"/>
  <c r="H1629" i="78"/>
  <c r="G1629" i="78"/>
  <c r="F1629" i="78"/>
  <c r="E1629" i="78"/>
  <c r="D1629" i="78"/>
  <c r="C1629" i="78"/>
  <c r="J1628" i="78"/>
  <c r="I1628" i="78"/>
  <c r="H1628" i="78"/>
  <c r="G1628" i="78"/>
  <c r="F1628" i="78"/>
  <c r="E1628" i="78"/>
  <c r="D1628" i="78"/>
  <c r="C1628" i="78"/>
  <c r="J1627" i="78"/>
  <c r="I1627" i="78"/>
  <c r="H1627" i="78"/>
  <c r="G1627" i="78"/>
  <c r="F1627" i="78"/>
  <c r="E1627" i="78"/>
  <c r="D1627" i="78"/>
  <c r="C1627" i="78"/>
  <c r="J1626" i="78"/>
  <c r="I1626" i="78"/>
  <c r="H1626" i="78"/>
  <c r="G1626" i="78"/>
  <c r="F1626" i="78"/>
  <c r="E1626" i="78"/>
  <c r="D1626" i="78"/>
  <c r="C1626" i="78"/>
  <c r="J1625" i="78"/>
  <c r="I1625" i="78"/>
  <c r="H1625" i="78"/>
  <c r="G1625" i="78"/>
  <c r="F1625" i="78"/>
  <c r="E1625" i="78"/>
  <c r="D1625" i="78"/>
  <c r="C1625" i="78"/>
  <c r="J1624" i="78"/>
  <c r="I1624" i="78"/>
  <c r="H1624" i="78"/>
  <c r="G1624" i="78"/>
  <c r="F1624" i="78"/>
  <c r="E1624" i="78"/>
  <c r="D1624" i="78"/>
  <c r="C1624" i="78"/>
  <c r="J1623" i="78"/>
  <c r="I1623" i="78"/>
  <c r="H1623" i="78"/>
  <c r="G1623" i="78"/>
  <c r="F1623" i="78"/>
  <c r="E1623" i="78"/>
  <c r="D1623" i="78"/>
  <c r="C1623" i="78"/>
  <c r="J1622" i="78"/>
  <c r="I1622" i="78"/>
  <c r="H1622" i="78"/>
  <c r="G1622" i="78"/>
  <c r="F1622" i="78"/>
  <c r="E1622" i="78"/>
  <c r="D1622" i="78"/>
  <c r="C1622" i="78"/>
  <c r="J1621" i="78"/>
  <c r="I1621" i="78"/>
  <c r="H1621" i="78"/>
  <c r="G1621" i="78"/>
  <c r="F1621" i="78"/>
  <c r="E1621" i="78"/>
  <c r="D1621" i="78"/>
  <c r="C1621" i="78"/>
  <c r="J1620" i="78"/>
  <c r="I1620" i="78"/>
  <c r="H1620" i="78"/>
  <c r="G1620" i="78"/>
  <c r="F1620" i="78"/>
  <c r="E1620" i="78"/>
  <c r="D1620" i="78"/>
  <c r="C1620" i="78"/>
  <c r="J1619" i="78"/>
  <c r="I1619" i="78"/>
  <c r="H1619" i="78"/>
  <c r="G1619" i="78"/>
  <c r="F1619" i="78"/>
  <c r="E1619" i="78"/>
  <c r="D1619" i="78"/>
  <c r="C1619" i="78"/>
  <c r="J1618" i="78"/>
  <c r="I1618" i="78"/>
  <c r="H1618" i="78"/>
  <c r="G1618" i="78"/>
  <c r="F1618" i="78"/>
  <c r="E1618" i="78"/>
  <c r="D1618" i="78"/>
  <c r="C1618" i="78"/>
  <c r="J1617" i="78"/>
  <c r="I1617" i="78"/>
  <c r="H1617" i="78"/>
  <c r="G1617" i="78"/>
  <c r="F1617" i="78"/>
  <c r="E1617" i="78"/>
  <c r="D1617" i="78"/>
  <c r="C1617" i="78"/>
  <c r="J1616" i="78"/>
  <c r="I1616" i="78"/>
  <c r="H1616" i="78"/>
  <c r="G1616" i="78"/>
  <c r="F1616" i="78"/>
  <c r="E1616" i="78"/>
  <c r="D1616" i="78"/>
  <c r="C1616" i="78"/>
  <c r="J1615" i="78"/>
  <c r="I1615" i="78"/>
  <c r="H1615" i="78"/>
  <c r="G1615" i="78"/>
  <c r="F1615" i="78"/>
  <c r="E1615" i="78"/>
  <c r="D1615" i="78"/>
  <c r="C1615" i="78"/>
  <c r="J1614" i="78"/>
  <c r="I1614" i="78"/>
  <c r="H1614" i="78"/>
  <c r="G1614" i="78"/>
  <c r="F1614" i="78"/>
  <c r="E1614" i="78"/>
  <c r="D1614" i="78"/>
  <c r="C1614" i="78"/>
  <c r="J1613" i="78"/>
  <c r="I1613" i="78"/>
  <c r="H1613" i="78"/>
  <c r="G1613" i="78"/>
  <c r="F1613" i="78"/>
  <c r="E1613" i="78"/>
  <c r="D1613" i="78"/>
  <c r="C1613" i="78"/>
  <c r="J1612" i="78"/>
  <c r="I1612" i="78"/>
  <c r="H1612" i="78"/>
  <c r="G1612" i="78"/>
  <c r="F1612" i="78"/>
  <c r="E1612" i="78"/>
  <c r="D1612" i="78"/>
  <c r="C1612" i="78"/>
  <c r="J1611" i="78"/>
  <c r="I1611" i="78"/>
  <c r="H1611" i="78"/>
  <c r="G1611" i="78"/>
  <c r="F1611" i="78"/>
  <c r="E1611" i="78"/>
  <c r="D1611" i="78"/>
  <c r="C1611" i="78"/>
  <c r="J1610" i="78"/>
  <c r="I1610" i="78"/>
  <c r="H1610" i="78"/>
  <c r="G1610" i="78"/>
  <c r="F1610" i="78"/>
  <c r="E1610" i="78"/>
  <c r="D1610" i="78"/>
  <c r="C1610" i="78"/>
  <c r="J1609" i="78"/>
  <c r="I1609" i="78"/>
  <c r="H1609" i="78"/>
  <c r="G1609" i="78"/>
  <c r="F1609" i="78"/>
  <c r="E1609" i="78"/>
  <c r="D1609" i="78"/>
  <c r="C1609" i="78"/>
  <c r="J1608" i="78"/>
  <c r="I1608" i="78"/>
  <c r="H1608" i="78"/>
  <c r="G1608" i="78"/>
  <c r="F1608" i="78"/>
  <c r="E1608" i="78"/>
  <c r="D1608" i="78"/>
  <c r="C1608" i="78"/>
  <c r="J1607" i="78"/>
  <c r="I1607" i="78"/>
  <c r="H1607" i="78"/>
  <c r="G1607" i="78"/>
  <c r="F1607" i="78"/>
  <c r="E1607" i="78"/>
  <c r="D1607" i="78"/>
  <c r="C1607" i="78"/>
  <c r="J1606" i="78"/>
  <c r="I1606" i="78"/>
  <c r="H1606" i="78"/>
  <c r="G1606" i="78"/>
  <c r="F1606" i="78"/>
  <c r="E1606" i="78"/>
  <c r="D1606" i="78"/>
  <c r="C1606" i="78"/>
  <c r="J1605" i="78"/>
  <c r="I1605" i="78"/>
  <c r="H1605" i="78"/>
  <c r="G1605" i="78"/>
  <c r="F1605" i="78"/>
  <c r="E1605" i="78"/>
  <c r="D1605" i="78"/>
  <c r="C1605" i="78"/>
  <c r="J1604" i="78"/>
  <c r="I1604" i="78"/>
  <c r="H1604" i="78"/>
  <c r="G1604" i="78"/>
  <c r="F1604" i="78"/>
  <c r="E1604" i="78"/>
  <c r="D1604" i="78"/>
  <c r="C1604" i="78"/>
  <c r="J1603" i="78"/>
  <c r="I1603" i="78"/>
  <c r="H1603" i="78"/>
  <c r="G1603" i="78"/>
  <c r="F1603" i="78"/>
  <c r="E1603" i="78"/>
  <c r="D1603" i="78"/>
  <c r="C1603" i="78"/>
  <c r="J1602" i="78"/>
  <c r="I1602" i="78"/>
  <c r="H1602" i="78"/>
  <c r="G1602" i="78"/>
  <c r="F1602" i="78"/>
  <c r="E1602" i="78"/>
  <c r="D1602" i="78"/>
  <c r="C1602" i="78"/>
  <c r="J1601" i="78"/>
  <c r="I1601" i="78"/>
  <c r="H1601" i="78"/>
  <c r="G1601" i="78"/>
  <c r="F1601" i="78"/>
  <c r="E1601" i="78"/>
  <c r="D1601" i="78"/>
  <c r="C1601" i="78"/>
  <c r="J1600" i="78"/>
  <c r="I1600" i="78"/>
  <c r="H1600" i="78"/>
  <c r="G1600" i="78"/>
  <c r="F1600" i="78"/>
  <c r="E1600" i="78"/>
  <c r="D1600" i="78"/>
  <c r="C1600" i="78"/>
  <c r="J1599" i="78"/>
  <c r="I1599" i="78"/>
  <c r="H1599" i="78"/>
  <c r="G1599" i="78"/>
  <c r="F1599" i="78"/>
  <c r="E1599" i="78"/>
  <c r="D1599" i="78"/>
  <c r="C1599" i="78"/>
  <c r="J1598" i="78"/>
  <c r="I1598" i="78"/>
  <c r="H1598" i="78"/>
  <c r="G1598" i="78"/>
  <c r="F1598" i="78"/>
  <c r="E1598" i="78"/>
  <c r="D1598" i="78"/>
  <c r="C1598" i="78"/>
  <c r="J1597" i="78"/>
  <c r="I1597" i="78"/>
  <c r="H1597" i="78"/>
  <c r="G1597" i="78"/>
  <c r="F1597" i="78"/>
  <c r="E1597" i="78"/>
  <c r="D1597" i="78"/>
  <c r="C1597" i="78"/>
  <c r="J1596" i="78"/>
  <c r="I1596" i="78"/>
  <c r="H1596" i="78"/>
  <c r="G1596" i="78"/>
  <c r="F1596" i="78"/>
  <c r="E1596" i="78"/>
  <c r="D1596" i="78"/>
  <c r="C1596" i="78"/>
  <c r="J1595" i="78"/>
  <c r="I1595" i="78"/>
  <c r="H1595" i="78"/>
  <c r="G1595" i="78"/>
  <c r="F1595" i="78"/>
  <c r="E1595" i="78"/>
  <c r="D1595" i="78"/>
  <c r="C1595" i="78"/>
  <c r="J1594" i="78"/>
  <c r="I1594" i="78"/>
  <c r="H1594" i="78"/>
  <c r="G1594" i="78"/>
  <c r="F1594" i="78"/>
  <c r="E1594" i="78"/>
  <c r="D1594" i="78"/>
  <c r="C1594" i="78"/>
  <c r="J1593" i="78"/>
  <c r="I1593" i="78"/>
  <c r="H1593" i="78"/>
  <c r="G1593" i="78"/>
  <c r="F1593" i="78"/>
  <c r="E1593" i="78"/>
  <c r="D1593" i="78"/>
  <c r="C1593" i="78"/>
  <c r="J1592" i="78"/>
  <c r="I1592" i="78"/>
  <c r="H1592" i="78"/>
  <c r="G1592" i="78"/>
  <c r="F1592" i="78"/>
  <c r="E1592" i="78"/>
  <c r="D1592" i="78"/>
  <c r="C1592" i="78"/>
  <c r="J1591" i="78"/>
  <c r="I1591" i="78"/>
  <c r="H1591" i="78"/>
  <c r="G1591" i="78"/>
  <c r="F1591" i="78"/>
  <c r="E1591" i="78"/>
  <c r="D1591" i="78"/>
  <c r="C1591" i="78"/>
  <c r="J1590" i="78"/>
  <c r="I1590" i="78"/>
  <c r="H1590" i="78"/>
  <c r="G1590" i="78"/>
  <c r="F1590" i="78"/>
  <c r="E1590" i="78"/>
  <c r="D1590" i="78"/>
  <c r="C1590" i="78"/>
  <c r="J1589" i="78"/>
  <c r="I1589" i="78"/>
  <c r="H1589" i="78"/>
  <c r="G1589" i="78"/>
  <c r="F1589" i="78"/>
  <c r="E1589" i="78"/>
  <c r="D1589" i="78"/>
  <c r="C1589" i="78"/>
  <c r="J1588" i="78"/>
  <c r="I1588" i="78"/>
  <c r="H1588" i="78"/>
  <c r="G1588" i="78"/>
  <c r="F1588" i="78"/>
  <c r="E1588" i="78"/>
  <c r="D1588" i="78"/>
  <c r="C1588" i="78"/>
  <c r="J1587" i="78"/>
  <c r="I1587" i="78"/>
  <c r="H1587" i="78"/>
  <c r="G1587" i="78"/>
  <c r="F1587" i="78"/>
  <c r="E1587" i="78"/>
  <c r="D1587" i="78"/>
  <c r="C1587" i="78"/>
  <c r="J1586" i="78"/>
  <c r="I1586" i="78"/>
  <c r="H1586" i="78"/>
  <c r="G1586" i="78"/>
  <c r="F1586" i="78"/>
  <c r="E1586" i="78"/>
  <c r="D1586" i="78"/>
  <c r="C1586" i="78"/>
  <c r="J1585" i="78"/>
  <c r="I1585" i="78"/>
  <c r="H1585" i="78"/>
  <c r="G1585" i="78"/>
  <c r="F1585" i="78"/>
  <c r="E1585" i="78"/>
  <c r="D1585" i="78"/>
  <c r="C1585" i="78"/>
  <c r="J1584" i="78"/>
  <c r="I1584" i="78"/>
  <c r="H1584" i="78"/>
  <c r="G1584" i="78"/>
  <c r="F1584" i="78"/>
  <c r="E1584" i="78"/>
  <c r="D1584" i="78"/>
  <c r="C1584" i="78"/>
  <c r="J1583" i="78"/>
  <c r="I1583" i="78"/>
  <c r="H1583" i="78"/>
  <c r="G1583" i="78"/>
  <c r="F1583" i="78"/>
  <c r="E1583" i="78"/>
  <c r="D1583" i="78"/>
  <c r="C1583" i="78"/>
  <c r="J1582" i="78"/>
  <c r="I1582" i="78"/>
  <c r="H1582" i="78"/>
  <c r="G1582" i="78"/>
  <c r="F1582" i="78"/>
  <c r="E1582" i="78"/>
  <c r="D1582" i="78"/>
  <c r="C1582" i="78"/>
  <c r="J1581" i="78"/>
  <c r="I1581" i="78"/>
  <c r="H1581" i="78"/>
  <c r="G1581" i="78"/>
  <c r="F1581" i="78"/>
  <c r="E1581" i="78"/>
  <c r="D1581" i="78"/>
  <c r="C1581" i="78"/>
  <c r="J1580" i="78"/>
  <c r="I1580" i="78"/>
  <c r="H1580" i="78"/>
  <c r="G1580" i="78"/>
  <c r="F1580" i="78"/>
  <c r="E1580" i="78"/>
  <c r="D1580" i="78"/>
  <c r="C1580" i="78"/>
  <c r="J1579" i="78"/>
  <c r="I1579" i="78"/>
  <c r="H1579" i="78"/>
  <c r="G1579" i="78"/>
  <c r="F1579" i="78"/>
  <c r="E1579" i="78"/>
  <c r="D1579" i="78"/>
  <c r="C1579" i="78"/>
  <c r="J1578" i="78"/>
  <c r="I1578" i="78"/>
  <c r="H1578" i="78"/>
  <c r="G1578" i="78"/>
  <c r="F1578" i="78"/>
  <c r="E1578" i="78"/>
  <c r="D1578" i="78"/>
  <c r="C1578" i="78"/>
  <c r="J1577" i="78"/>
  <c r="I1577" i="78"/>
  <c r="H1577" i="78"/>
  <c r="G1577" i="78"/>
  <c r="F1577" i="78"/>
  <c r="E1577" i="78"/>
  <c r="D1577" i="78"/>
  <c r="C1577" i="78"/>
  <c r="J1576" i="78"/>
  <c r="I1576" i="78"/>
  <c r="H1576" i="78"/>
  <c r="G1576" i="78"/>
  <c r="F1576" i="78"/>
  <c r="E1576" i="78"/>
  <c r="D1576" i="78"/>
  <c r="C1576" i="78"/>
  <c r="J1575" i="78"/>
  <c r="I1575" i="78"/>
  <c r="H1575" i="78"/>
  <c r="G1575" i="78"/>
  <c r="F1575" i="78"/>
  <c r="E1575" i="78"/>
  <c r="D1575" i="78"/>
  <c r="C1575" i="78"/>
  <c r="J1574" i="78"/>
  <c r="I1574" i="78"/>
  <c r="H1574" i="78"/>
  <c r="G1574" i="78"/>
  <c r="F1574" i="78"/>
  <c r="E1574" i="78"/>
  <c r="D1574" i="78"/>
  <c r="C1574" i="78"/>
  <c r="J1573" i="78"/>
  <c r="I1573" i="78"/>
  <c r="H1573" i="78"/>
  <c r="G1573" i="78"/>
  <c r="F1573" i="78"/>
  <c r="E1573" i="78"/>
  <c r="D1573" i="78"/>
  <c r="C1573" i="78"/>
  <c r="J1572" i="78"/>
  <c r="I1572" i="78"/>
  <c r="H1572" i="78"/>
  <c r="G1572" i="78"/>
  <c r="F1572" i="78"/>
  <c r="E1572" i="78"/>
  <c r="D1572" i="78"/>
  <c r="C1572" i="78"/>
  <c r="J1571" i="78"/>
  <c r="I1571" i="78"/>
  <c r="H1571" i="78"/>
  <c r="G1571" i="78"/>
  <c r="F1571" i="78"/>
  <c r="E1571" i="78"/>
  <c r="D1571" i="78"/>
  <c r="C1571" i="78"/>
  <c r="J1570" i="78"/>
  <c r="I1570" i="78"/>
  <c r="H1570" i="78"/>
  <c r="G1570" i="78"/>
  <c r="F1570" i="78"/>
  <c r="E1570" i="78"/>
  <c r="D1570" i="78"/>
  <c r="C1570" i="78"/>
  <c r="J1569" i="78"/>
  <c r="I1569" i="78"/>
  <c r="H1569" i="78"/>
  <c r="G1569" i="78"/>
  <c r="F1569" i="78"/>
  <c r="E1569" i="78"/>
  <c r="D1569" i="78"/>
  <c r="C1569" i="78"/>
  <c r="J1568" i="78"/>
  <c r="I1568" i="78"/>
  <c r="H1568" i="78"/>
  <c r="G1568" i="78"/>
  <c r="F1568" i="78"/>
  <c r="E1568" i="78"/>
  <c r="D1568" i="78"/>
  <c r="C1568" i="78"/>
  <c r="J1567" i="78"/>
  <c r="I1567" i="78"/>
  <c r="H1567" i="78"/>
  <c r="G1567" i="78"/>
  <c r="F1567" i="78"/>
  <c r="E1567" i="78"/>
  <c r="D1567" i="78"/>
  <c r="C1567" i="78"/>
  <c r="J1566" i="78"/>
  <c r="I1566" i="78"/>
  <c r="H1566" i="78"/>
  <c r="G1566" i="78"/>
  <c r="F1566" i="78"/>
  <c r="E1566" i="78"/>
  <c r="D1566" i="78"/>
  <c r="C1566" i="78"/>
  <c r="J1565" i="78"/>
  <c r="I1565" i="78"/>
  <c r="H1565" i="78"/>
  <c r="G1565" i="78"/>
  <c r="F1565" i="78"/>
  <c r="E1565" i="78"/>
  <c r="D1565" i="78"/>
  <c r="C1565" i="78"/>
  <c r="J1564" i="78"/>
  <c r="I1564" i="78"/>
  <c r="H1564" i="78"/>
  <c r="G1564" i="78"/>
  <c r="F1564" i="78"/>
  <c r="E1564" i="78"/>
  <c r="D1564" i="78"/>
  <c r="C1564" i="78"/>
  <c r="J1563" i="78"/>
  <c r="I1563" i="78"/>
  <c r="H1563" i="78"/>
  <c r="G1563" i="78"/>
  <c r="F1563" i="78"/>
  <c r="E1563" i="78"/>
  <c r="D1563" i="78"/>
  <c r="C1563" i="78"/>
  <c r="J1562" i="78"/>
  <c r="I1562" i="78"/>
  <c r="H1562" i="78"/>
  <c r="G1562" i="78"/>
  <c r="F1562" i="78"/>
  <c r="E1562" i="78"/>
  <c r="D1562" i="78"/>
  <c r="C1562" i="78"/>
  <c r="J1561" i="78"/>
  <c r="I1561" i="78"/>
  <c r="H1561" i="78"/>
  <c r="G1561" i="78"/>
  <c r="F1561" i="78"/>
  <c r="E1561" i="78"/>
  <c r="D1561" i="78"/>
  <c r="C1561" i="78"/>
  <c r="J1560" i="78"/>
  <c r="I1560" i="78"/>
  <c r="H1560" i="78"/>
  <c r="G1560" i="78"/>
  <c r="F1560" i="78"/>
  <c r="E1560" i="78"/>
  <c r="D1560" i="78"/>
  <c r="C1560" i="78"/>
  <c r="J1559" i="78"/>
  <c r="I1559" i="78"/>
  <c r="H1559" i="78"/>
  <c r="G1559" i="78"/>
  <c r="F1559" i="78"/>
  <c r="E1559" i="78"/>
  <c r="D1559" i="78"/>
  <c r="C1559" i="78"/>
  <c r="J1558" i="78"/>
  <c r="I1558" i="78"/>
  <c r="H1558" i="78"/>
  <c r="G1558" i="78"/>
  <c r="F1558" i="78"/>
  <c r="E1558" i="78"/>
  <c r="D1558" i="78"/>
  <c r="C1558" i="78"/>
  <c r="J1557" i="78"/>
  <c r="I1557" i="78"/>
  <c r="H1557" i="78"/>
  <c r="G1557" i="78"/>
  <c r="F1557" i="78"/>
  <c r="E1557" i="78"/>
  <c r="D1557" i="78"/>
  <c r="C1557" i="78"/>
  <c r="J1556" i="78"/>
  <c r="I1556" i="78"/>
  <c r="H1556" i="78"/>
  <c r="G1556" i="78"/>
  <c r="F1556" i="78"/>
  <c r="E1556" i="78"/>
  <c r="D1556" i="78"/>
  <c r="C1556" i="78"/>
  <c r="J1555" i="78"/>
  <c r="I1555" i="78"/>
  <c r="H1555" i="78"/>
  <c r="G1555" i="78"/>
  <c r="F1555" i="78"/>
  <c r="E1555" i="78"/>
  <c r="D1555" i="78"/>
  <c r="C1555" i="78"/>
  <c r="J1554" i="78"/>
  <c r="I1554" i="78"/>
  <c r="H1554" i="78"/>
  <c r="G1554" i="78"/>
  <c r="F1554" i="78"/>
  <c r="E1554" i="78"/>
  <c r="D1554" i="78"/>
  <c r="C1554" i="78"/>
  <c r="J1553" i="78"/>
  <c r="I1553" i="78"/>
  <c r="H1553" i="78"/>
  <c r="G1553" i="78"/>
  <c r="F1553" i="78"/>
  <c r="E1553" i="78"/>
  <c r="D1553" i="78"/>
  <c r="C1553" i="78"/>
  <c r="J1552" i="78"/>
  <c r="I1552" i="78"/>
  <c r="H1552" i="78"/>
  <c r="G1552" i="78"/>
  <c r="F1552" i="78"/>
  <c r="E1552" i="78"/>
  <c r="D1552" i="78"/>
  <c r="C1552" i="78"/>
  <c r="J1551" i="78"/>
  <c r="I1551" i="78"/>
  <c r="H1551" i="78"/>
  <c r="G1551" i="78"/>
  <c r="F1551" i="78"/>
  <c r="E1551" i="78"/>
  <c r="D1551" i="78"/>
  <c r="C1551" i="78"/>
  <c r="J1550" i="78"/>
  <c r="I1550" i="78"/>
  <c r="H1550" i="78"/>
  <c r="G1550" i="78"/>
  <c r="F1550" i="78"/>
  <c r="E1550" i="78"/>
  <c r="D1550" i="78"/>
  <c r="C1550" i="78"/>
  <c r="J1549" i="78"/>
  <c r="I1549" i="78"/>
  <c r="H1549" i="78"/>
  <c r="G1549" i="78"/>
  <c r="F1549" i="78"/>
  <c r="E1549" i="78"/>
  <c r="D1549" i="78"/>
  <c r="C1549" i="78"/>
  <c r="J1548" i="78"/>
  <c r="I1548" i="78"/>
  <c r="H1548" i="78"/>
  <c r="G1548" i="78"/>
  <c r="F1548" i="78"/>
  <c r="E1548" i="78"/>
  <c r="D1548" i="78"/>
  <c r="C1548" i="78"/>
  <c r="J1547" i="78"/>
  <c r="I1547" i="78"/>
  <c r="H1547" i="78"/>
  <c r="G1547" i="78"/>
  <c r="F1547" i="78"/>
  <c r="E1547" i="78"/>
  <c r="D1547" i="78"/>
  <c r="C1547" i="78"/>
  <c r="J1546" i="78"/>
  <c r="I1546" i="78"/>
  <c r="H1546" i="78"/>
  <c r="G1546" i="78"/>
  <c r="F1546" i="78"/>
  <c r="E1546" i="78"/>
  <c r="D1546" i="78"/>
  <c r="C1546" i="78"/>
  <c r="J1545" i="78"/>
  <c r="I1545" i="78"/>
  <c r="H1545" i="78"/>
  <c r="G1545" i="78"/>
  <c r="F1545" i="78"/>
  <c r="E1545" i="78"/>
  <c r="D1545" i="78"/>
  <c r="C1545" i="78"/>
  <c r="J1544" i="78"/>
  <c r="I1544" i="78"/>
  <c r="H1544" i="78"/>
  <c r="G1544" i="78"/>
  <c r="F1544" i="78"/>
  <c r="E1544" i="78"/>
  <c r="D1544" i="78"/>
  <c r="C1544" i="78"/>
  <c r="J1543" i="78"/>
  <c r="I1543" i="78"/>
  <c r="H1543" i="78"/>
  <c r="G1543" i="78"/>
  <c r="F1543" i="78"/>
  <c r="E1543" i="78"/>
  <c r="D1543" i="78"/>
  <c r="C1543" i="78"/>
  <c r="J1542" i="78"/>
  <c r="I1542" i="78"/>
  <c r="H1542" i="78"/>
  <c r="G1542" i="78"/>
  <c r="F1542" i="78"/>
  <c r="E1542" i="78"/>
  <c r="D1542" i="78"/>
  <c r="C1542" i="78"/>
  <c r="J1541" i="78"/>
  <c r="I1541" i="78"/>
  <c r="H1541" i="78"/>
  <c r="G1541" i="78"/>
  <c r="F1541" i="78"/>
  <c r="E1541" i="78"/>
  <c r="D1541" i="78"/>
  <c r="C1541" i="78"/>
  <c r="J1540" i="78"/>
  <c r="I1540" i="78"/>
  <c r="H1540" i="78"/>
  <c r="G1540" i="78"/>
  <c r="F1540" i="78"/>
  <c r="E1540" i="78"/>
  <c r="D1540" i="78"/>
  <c r="C1540" i="78"/>
  <c r="J1539" i="78"/>
  <c r="I1539" i="78"/>
  <c r="H1539" i="78"/>
  <c r="G1539" i="78"/>
  <c r="F1539" i="78"/>
  <c r="E1539" i="78"/>
  <c r="D1539" i="78"/>
  <c r="C1539" i="78"/>
  <c r="J1538" i="78"/>
  <c r="I1538" i="78"/>
  <c r="H1538" i="78"/>
  <c r="G1538" i="78"/>
  <c r="F1538" i="78"/>
  <c r="E1538" i="78"/>
  <c r="D1538" i="78"/>
  <c r="C1538" i="78"/>
  <c r="J1537" i="78"/>
  <c r="I1537" i="78"/>
  <c r="H1537" i="78"/>
  <c r="G1537" i="78"/>
  <c r="F1537" i="78"/>
  <c r="E1537" i="78"/>
  <c r="D1537" i="78"/>
  <c r="C1537" i="78"/>
  <c r="J1536" i="78"/>
  <c r="I1536" i="78"/>
  <c r="H1536" i="78"/>
  <c r="G1536" i="78"/>
  <c r="F1536" i="78"/>
  <c r="E1536" i="78"/>
  <c r="D1536" i="78"/>
  <c r="C1536" i="78"/>
  <c r="J1535" i="78"/>
  <c r="I1535" i="78"/>
  <c r="H1535" i="78"/>
  <c r="G1535" i="78"/>
  <c r="F1535" i="78"/>
  <c r="E1535" i="78"/>
  <c r="D1535" i="78"/>
  <c r="C1535" i="78"/>
  <c r="J1534" i="78"/>
  <c r="I1534" i="78"/>
  <c r="H1534" i="78"/>
  <c r="G1534" i="78"/>
  <c r="F1534" i="78"/>
  <c r="E1534" i="78"/>
  <c r="D1534" i="78"/>
  <c r="C1534" i="78"/>
  <c r="J1533" i="78"/>
  <c r="I1533" i="78"/>
  <c r="H1533" i="78"/>
  <c r="G1533" i="78"/>
  <c r="F1533" i="78"/>
  <c r="E1533" i="78"/>
  <c r="D1533" i="78"/>
  <c r="C1533" i="78"/>
  <c r="J1532" i="78"/>
  <c r="I1532" i="78"/>
  <c r="H1532" i="78"/>
  <c r="G1532" i="78"/>
  <c r="F1532" i="78"/>
  <c r="E1532" i="78"/>
  <c r="D1532" i="78"/>
  <c r="C1532" i="78"/>
  <c r="J1531" i="78"/>
  <c r="I1531" i="78"/>
  <c r="H1531" i="78"/>
  <c r="G1531" i="78"/>
  <c r="F1531" i="78"/>
  <c r="E1531" i="78"/>
  <c r="D1531" i="78"/>
  <c r="C1531" i="78"/>
  <c r="J1530" i="78"/>
  <c r="I1530" i="78"/>
  <c r="H1530" i="78"/>
  <c r="G1530" i="78"/>
  <c r="F1530" i="78"/>
  <c r="E1530" i="78"/>
  <c r="D1530" i="78"/>
  <c r="C1530" i="78"/>
  <c r="J1529" i="78"/>
  <c r="I1529" i="78"/>
  <c r="H1529" i="78"/>
  <c r="G1529" i="78"/>
  <c r="F1529" i="78"/>
  <c r="E1529" i="78"/>
  <c r="D1529" i="78"/>
  <c r="C1529" i="78"/>
  <c r="J1528" i="78"/>
  <c r="I1528" i="78"/>
  <c r="H1528" i="78"/>
  <c r="G1528" i="78"/>
  <c r="F1528" i="78"/>
  <c r="E1528" i="78"/>
  <c r="D1528" i="78"/>
  <c r="C1528" i="78"/>
  <c r="J1527" i="78"/>
  <c r="I1527" i="78"/>
  <c r="H1527" i="78"/>
  <c r="G1527" i="78"/>
  <c r="F1527" i="78"/>
  <c r="E1527" i="78"/>
  <c r="D1527" i="78"/>
  <c r="C1527" i="78"/>
  <c r="J1526" i="78"/>
  <c r="I1526" i="78"/>
  <c r="H1526" i="78"/>
  <c r="G1526" i="78"/>
  <c r="F1526" i="78"/>
  <c r="E1526" i="78"/>
  <c r="D1526" i="78"/>
  <c r="C1526" i="78"/>
  <c r="J1525" i="78"/>
  <c r="I1525" i="78"/>
  <c r="H1525" i="78"/>
  <c r="G1525" i="78"/>
  <c r="F1525" i="78"/>
  <c r="E1525" i="78"/>
  <c r="D1525" i="78"/>
  <c r="C1525" i="78"/>
  <c r="J1524" i="78"/>
  <c r="I1524" i="78"/>
  <c r="H1524" i="78"/>
  <c r="G1524" i="78"/>
  <c r="F1524" i="78"/>
  <c r="E1524" i="78"/>
  <c r="D1524" i="78"/>
  <c r="C1524" i="78"/>
  <c r="J1523" i="78"/>
  <c r="I1523" i="78"/>
  <c r="H1523" i="78"/>
  <c r="G1523" i="78"/>
  <c r="F1523" i="78"/>
  <c r="E1523" i="78"/>
  <c r="D1523" i="78"/>
  <c r="C1523" i="78"/>
  <c r="J1522" i="78"/>
  <c r="I1522" i="78"/>
  <c r="H1522" i="78"/>
  <c r="G1522" i="78"/>
  <c r="F1522" i="78"/>
  <c r="E1522" i="78"/>
  <c r="D1522" i="78"/>
  <c r="C1522" i="78"/>
  <c r="J1521" i="78"/>
  <c r="I1521" i="78"/>
  <c r="H1521" i="78"/>
  <c r="G1521" i="78"/>
  <c r="F1521" i="78"/>
  <c r="E1521" i="78"/>
  <c r="D1521" i="78"/>
  <c r="C1521" i="78"/>
  <c r="J1520" i="78"/>
  <c r="I1520" i="78"/>
  <c r="H1520" i="78"/>
  <c r="G1520" i="78"/>
  <c r="F1520" i="78"/>
  <c r="E1520" i="78"/>
  <c r="D1520" i="78"/>
  <c r="C1520" i="78"/>
  <c r="J1519" i="78"/>
  <c r="I1519" i="78"/>
  <c r="H1519" i="78"/>
  <c r="G1519" i="78"/>
  <c r="F1519" i="78"/>
  <c r="E1519" i="78"/>
  <c r="D1519" i="78"/>
  <c r="C1519" i="78"/>
  <c r="J1518" i="78"/>
  <c r="I1518" i="78"/>
  <c r="H1518" i="78"/>
  <c r="G1518" i="78"/>
  <c r="F1518" i="78"/>
  <c r="E1518" i="78"/>
  <c r="D1518" i="78"/>
  <c r="C1518" i="78"/>
  <c r="J1517" i="78"/>
  <c r="I1517" i="78"/>
  <c r="H1517" i="78"/>
  <c r="G1517" i="78"/>
  <c r="F1517" i="78"/>
  <c r="E1517" i="78"/>
  <c r="D1517" i="78"/>
  <c r="C1517" i="78"/>
  <c r="J1516" i="78"/>
  <c r="I1516" i="78"/>
  <c r="H1516" i="78"/>
  <c r="G1516" i="78"/>
  <c r="F1516" i="78"/>
  <c r="E1516" i="78"/>
  <c r="D1516" i="78"/>
  <c r="C1516" i="78"/>
  <c r="J1515" i="78"/>
  <c r="I1515" i="78"/>
  <c r="H1515" i="78"/>
  <c r="G1515" i="78"/>
  <c r="F1515" i="78"/>
  <c r="E1515" i="78"/>
  <c r="D1515" i="78"/>
  <c r="C1515" i="78"/>
  <c r="J1514" i="78"/>
  <c r="I1514" i="78"/>
  <c r="H1514" i="78"/>
  <c r="G1514" i="78"/>
  <c r="F1514" i="78"/>
  <c r="E1514" i="78"/>
  <c r="D1514" i="78"/>
  <c r="C1514" i="78"/>
  <c r="J1513" i="78"/>
  <c r="I1513" i="78"/>
  <c r="H1513" i="78"/>
  <c r="G1513" i="78"/>
  <c r="F1513" i="78"/>
  <c r="E1513" i="78"/>
  <c r="D1513" i="78"/>
  <c r="C1513" i="78"/>
  <c r="J1512" i="78"/>
  <c r="I1512" i="78"/>
  <c r="H1512" i="78"/>
  <c r="G1512" i="78"/>
  <c r="F1512" i="78"/>
  <c r="E1512" i="78"/>
  <c r="D1512" i="78"/>
  <c r="C1512" i="78"/>
  <c r="J1511" i="78"/>
  <c r="I1511" i="78"/>
  <c r="H1511" i="78"/>
  <c r="G1511" i="78"/>
  <c r="F1511" i="78"/>
  <c r="E1511" i="78"/>
  <c r="D1511" i="78"/>
  <c r="C1511" i="78"/>
  <c r="J1510" i="78"/>
  <c r="I1510" i="78"/>
  <c r="H1510" i="78"/>
  <c r="G1510" i="78"/>
  <c r="F1510" i="78"/>
  <c r="E1510" i="78"/>
  <c r="D1510" i="78"/>
  <c r="C1510" i="78"/>
  <c r="J1509" i="78"/>
  <c r="I1509" i="78"/>
  <c r="H1509" i="78"/>
  <c r="G1509" i="78"/>
  <c r="F1509" i="78"/>
  <c r="E1509" i="78"/>
  <c r="D1509" i="78"/>
  <c r="C1509" i="78"/>
  <c r="J1508" i="78"/>
  <c r="I1508" i="78"/>
  <c r="H1508" i="78"/>
  <c r="G1508" i="78"/>
  <c r="F1508" i="78"/>
  <c r="E1508" i="78"/>
  <c r="D1508" i="78"/>
  <c r="C1508" i="78"/>
  <c r="J1507" i="78"/>
  <c r="I1507" i="78"/>
  <c r="H1507" i="78"/>
  <c r="G1507" i="78"/>
  <c r="F1507" i="78"/>
  <c r="E1507" i="78"/>
  <c r="D1507" i="78"/>
  <c r="C1507" i="78"/>
  <c r="J1506" i="78"/>
  <c r="I1506" i="78"/>
  <c r="H1506" i="78"/>
  <c r="G1506" i="78"/>
  <c r="F1506" i="78"/>
  <c r="E1506" i="78"/>
  <c r="D1506" i="78"/>
  <c r="C1506" i="78"/>
  <c r="J1505" i="78"/>
  <c r="I1505" i="78"/>
  <c r="H1505" i="78"/>
  <c r="G1505" i="78"/>
  <c r="F1505" i="78"/>
  <c r="E1505" i="78"/>
  <c r="D1505" i="78"/>
  <c r="C1505" i="78"/>
  <c r="J1504" i="78"/>
  <c r="I1504" i="78"/>
  <c r="H1504" i="78"/>
  <c r="G1504" i="78"/>
  <c r="F1504" i="78"/>
  <c r="E1504" i="78"/>
  <c r="D1504" i="78"/>
  <c r="C1504" i="78"/>
  <c r="J1503" i="78"/>
  <c r="I1503" i="78"/>
  <c r="H1503" i="78"/>
  <c r="G1503" i="78"/>
  <c r="F1503" i="78"/>
  <c r="E1503" i="78"/>
  <c r="D1503" i="78"/>
  <c r="C1503" i="78"/>
  <c r="J1502" i="78"/>
  <c r="I1502" i="78"/>
  <c r="H1502" i="78"/>
  <c r="G1502" i="78"/>
  <c r="F1502" i="78"/>
  <c r="E1502" i="78"/>
  <c r="D1502" i="78"/>
  <c r="C1502" i="78"/>
  <c r="J1501" i="78"/>
  <c r="I1501" i="78"/>
  <c r="H1501" i="78"/>
  <c r="G1501" i="78"/>
  <c r="F1501" i="78"/>
  <c r="E1501" i="78"/>
  <c r="D1501" i="78"/>
  <c r="C1501" i="78"/>
  <c r="J1500" i="78"/>
  <c r="I1500" i="78"/>
  <c r="H1500" i="78"/>
  <c r="G1500" i="78"/>
  <c r="F1500" i="78"/>
  <c r="E1500" i="78"/>
  <c r="D1500" i="78"/>
  <c r="C1500" i="78"/>
  <c r="J1499" i="78"/>
  <c r="I1499" i="78"/>
  <c r="H1499" i="78"/>
  <c r="G1499" i="78"/>
  <c r="F1499" i="78"/>
  <c r="E1499" i="78"/>
  <c r="D1499" i="78"/>
  <c r="C1499" i="78"/>
  <c r="J1498" i="78"/>
  <c r="I1498" i="78"/>
  <c r="H1498" i="78"/>
  <c r="G1498" i="78"/>
  <c r="F1498" i="78"/>
  <c r="E1498" i="78"/>
  <c r="D1498" i="78"/>
  <c r="C1498" i="78"/>
  <c r="J1497" i="78"/>
  <c r="I1497" i="78"/>
  <c r="H1497" i="78"/>
  <c r="G1497" i="78"/>
  <c r="F1497" i="78"/>
  <c r="E1497" i="78"/>
  <c r="D1497" i="78"/>
  <c r="C1497" i="78"/>
  <c r="J1496" i="78"/>
  <c r="I1496" i="78"/>
  <c r="H1496" i="78"/>
  <c r="G1496" i="78"/>
  <c r="F1496" i="78"/>
  <c r="E1496" i="78"/>
  <c r="D1496" i="78"/>
  <c r="C1496" i="78"/>
  <c r="J1495" i="78"/>
  <c r="I1495" i="78"/>
  <c r="H1495" i="78"/>
  <c r="G1495" i="78"/>
  <c r="F1495" i="78"/>
  <c r="E1495" i="78"/>
  <c r="D1495" i="78"/>
  <c r="C1495" i="78"/>
  <c r="J1494" i="78"/>
  <c r="I1494" i="78"/>
  <c r="H1494" i="78"/>
  <c r="G1494" i="78"/>
  <c r="F1494" i="78"/>
  <c r="E1494" i="78"/>
  <c r="D1494" i="78"/>
  <c r="C1494" i="78"/>
  <c r="J1493" i="78"/>
  <c r="I1493" i="78"/>
  <c r="H1493" i="78"/>
  <c r="G1493" i="78"/>
  <c r="F1493" i="78"/>
  <c r="E1493" i="78"/>
  <c r="D1493" i="78"/>
  <c r="C1493" i="78"/>
  <c r="J1492" i="78"/>
  <c r="I1492" i="78"/>
  <c r="H1492" i="78"/>
  <c r="G1492" i="78"/>
  <c r="F1492" i="78"/>
  <c r="E1492" i="78"/>
  <c r="D1492" i="78"/>
  <c r="C1492" i="78"/>
  <c r="J1491" i="78"/>
  <c r="I1491" i="78"/>
  <c r="H1491" i="78"/>
  <c r="G1491" i="78"/>
  <c r="F1491" i="78"/>
  <c r="E1491" i="78"/>
  <c r="D1491" i="78"/>
  <c r="C1491" i="78"/>
  <c r="J1490" i="78"/>
  <c r="I1490" i="78"/>
  <c r="H1490" i="78"/>
  <c r="G1490" i="78"/>
  <c r="F1490" i="78"/>
  <c r="E1490" i="78"/>
  <c r="D1490" i="78"/>
  <c r="C1490" i="78"/>
  <c r="J1489" i="78"/>
  <c r="I1489" i="78"/>
  <c r="H1489" i="78"/>
  <c r="G1489" i="78"/>
  <c r="F1489" i="78"/>
  <c r="E1489" i="78"/>
  <c r="D1489" i="78"/>
  <c r="C1489" i="78"/>
  <c r="J1488" i="78"/>
  <c r="I1488" i="78"/>
  <c r="H1488" i="78"/>
  <c r="G1488" i="78"/>
  <c r="F1488" i="78"/>
  <c r="E1488" i="78"/>
  <c r="D1488" i="78"/>
  <c r="C1488" i="78"/>
  <c r="J1487" i="78"/>
  <c r="I1487" i="78"/>
  <c r="H1487" i="78"/>
  <c r="G1487" i="78"/>
  <c r="F1487" i="78"/>
  <c r="E1487" i="78"/>
  <c r="D1487" i="78"/>
  <c r="C1487" i="78"/>
  <c r="J1486" i="78"/>
  <c r="I1486" i="78"/>
  <c r="H1486" i="78"/>
  <c r="G1486" i="78"/>
  <c r="F1486" i="78"/>
  <c r="E1486" i="78"/>
  <c r="D1486" i="78"/>
  <c r="C1486" i="78"/>
  <c r="J1485" i="78"/>
  <c r="I1485" i="78"/>
  <c r="H1485" i="78"/>
  <c r="G1485" i="78"/>
  <c r="F1485" i="78"/>
  <c r="E1485" i="78"/>
  <c r="D1485" i="78"/>
  <c r="C1485" i="78"/>
  <c r="J1484" i="78"/>
  <c r="I1484" i="78"/>
  <c r="H1484" i="78"/>
  <c r="G1484" i="78"/>
  <c r="F1484" i="78"/>
  <c r="E1484" i="78"/>
  <c r="D1484" i="78"/>
  <c r="C1484" i="78"/>
  <c r="J1483" i="78"/>
  <c r="I1483" i="78"/>
  <c r="H1483" i="78"/>
  <c r="G1483" i="78"/>
  <c r="F1483" i="78"/>
  <c r="E1483" i="78"/>
  <c r="D1483" i="78"/>
  <c r="C1483" i="78"/>
  <c r="J1482" i="78"/>
  <c r="I1482" i="78"/>
  <c r="H1482" i="78"/>
  <c r="G1482" i="78"/>
  <c r="F1482" i="78"/>
  <c r="E1482" i="78"/>
  <c r="D1482" i="78"/>
  <c r="C1482" i="78"/>
  <c r="J1481" i="78"/>
  <c r="I1481" i="78"/>
  <c r="H1481" i="78"/>
  <c r="G1481" i="78"/>
  <c r="F1481" i="78"/>
  <c r="E1481" i="78"/>
  <c r="D1481" i="78"/>
  <c r="C1481" i="78"/>
  <c r="J1480" i="78"/>
  <c r="I1480" i="78"/>
  <c r="H1480" i="78"/>
  <c r="G1480" i="78"/>
  <c r="F1480" i="78"/>
  <c r="E1480" i="78"/>
  <c r="D1480" i="78"/>
  <c r="C1480" i="78"/>
  <c r="J1479" i="78"/>
  <c r="I1479" i="78"/>
  <c r="H1479" i="78"/>
  <c r="G1479" i="78"/>
  <c r="F1479" i="78"/>
  <c r="E1479" i="78"/>
  <c r="D1479" i="78"/>
  <c r="C1479" i="78"/>
  <c r="J1478" i="78"/>
  <c r="I1478" i="78"/>
  <c r="H1478" i="78"/>
  <c r="G1478" i="78"/>
  <c r="F1478" i="78"/>
  <c r="E1478" i="78"/>
  <c r="D1478" i="78"/>
  <c r="C1478" i="78"/>
  <c r="J1477" i="78"/>
  <c r="I1477" i="78"/>
  <c r="H1477" i="78"/>
  <c r="G1477" i="78"/>
  <c r="F1477" i="78"/>
  <c r="E1477" i="78"/>
  <c r="D1477" i="78"/>
  <c r="C1477" i="78"/>
  <c r="J1476" i="78"/>
  <c r="I1476" i="78"/>
  <c r="H1476" i="78"/>
  <c r="G1476" i="78"/>
  <c r="F1476" i="78"/>
  <c r="E1476" i="78"/>
  <c r="D1476" i="78"/>
  <c r="C1476" i="78"/>
  <c r="J1475" i="78"/>
  <c r="I1475" i="78"/>
  <c r="H1475" i="78"/>
  <c r="G1475" i="78"/>
  <c r="F1475" i="78"/>
  <c r="E1475" i="78"/>
  <c r="D1475" i="78"/>
  <c r="C1475" i="78"/>
  <c r="J1474" i="78"/>
  <c r="I1474" i="78"/>
  <c r="H1474" i="78"/>
  <c r="G1474" i="78"/>
  <c r="F1474" i="78"/>
  <c r="E1474" i="78"/>
  <c r="D1474" i="78"/>
  <c r="C1474" i="78"/>
  <c r="J1473" i="78"/>
  <c r="I1473" i="78"/>
  <c r="H1473" i="78"/>
  <c r="G1473" i="78"/>
  <c r="F1473" i="78"/>
  <c r="E1473" i="78"/>
  <c r="D1473" i="78"/>
  <c r="C1473" i="78"/>
  <c r="J1472" i="78"/>
  <c r="I1472" i="78"/>
  <c r="H1472" i="78"/>
  <c r="G1472" i="78"/>
  <c r="F1472" i="78"/>
  <c r="E1472" i="78"/>
  <c r="D1472" i="78"/>
  <c r="C1472" i="78"/>
  <c r="J1471" i="78"/>
  <c r="I1471" i="78"/>
  <c r="H1471" i="78"/>
  <c r="G1471" i="78"/>
  <c r="F1471" i="78"/>
  <c r="E1471" i="78"/>
  <c r="D1471" i="78"/>
  <c r="C1471" i="78"/>
  <c r="J1470" i="78"/>
  <c r="I1470" i="78"/>
  <c r="H1470" i="78"/>
  <c r="G1470" i="78"/>
  <c r="F1470" i="78"/>
  <c r="E1470" i="78"/>
  <c r="D1470" i="78"/>
  <c r="C1470" i="78"/>
  <c r="J1469" i="78"/>
  <c r="I1469" i="78"/>
  <c r="H1469" i="78"/>
  <c r="G1469" i="78"/>
  <c r="F1469" i="78"/>
  <c r="E1469" i="78"/>
  <c r="D1469" i="78"/>
  <c r="C1469" i="78"/>
  <c r="J1468" i="78"/>
  <c r="I1468" i="78"/>
  <c r="H1468" i="78"/>
  <c r="G1468" i="78"/>
  <c r="F1468" i="78"/>
  <c r="E1468" i="78"/>
  <c r="D1468" i="78"/>
  <c r="C1468" i="78"/>
  <c r="J1467" i="78"/>
  <c r="I1467" i="78"/>
  <c r="H1467" i="78"/>
  <c r="G1467" i="78"/>
  <c r="F1467" i="78"/>
  <c r="E1467" i="78"/>
  <c r="D1467" i="78"/>
  <c r="C1467" i="78"/>
  <c r="J1466" i="78"/>
  <c r="I1466" i="78"/>
  <c r="H1466" i="78"/>
  <c r="G1466" i="78"/>
  <c r="F1466" i="78"/>
  <c r="E1466" i="78"/>
  <c r="D1466" i="78"/>
  <c r="C1466" i="78"/>
  <c r="J1465" i="78"/>
  <c r="I1465" i="78"/>
  <c r="H1465" i="78"/>
  <c r="G1465" i="78"/>
  <c r="F1465" i="78"/>
  <c r="E1465" i="78"/>
  <c r="D1465" i="78"/>
  <c r="C1465" i="78"/>
  <c r="J1464" i="78"/>
  <c r="I1464" i="78"/>
  <c r="H1464" i="78"/>
  <c r="G1464" i="78"/>
  <c r="F1464" i="78"/>
  <c r="E1464" i="78"/>
  <c r="D1464" i="78"/>
  <c r="C1464" i="78"/>
  <c r="J1463" i="78"/>
  <c r="I1463" i="78"/>
  <c r="H1463" i="78"/>
  <c r="G1463" i="78"/>
  <c r="F1463" i="78"/>
  <c r="E1463" i="78"/>
  <c r="D1463" i="78"/>
  <c r="C1463" i="78"/>
  <c r="J1462" i="78"/>
  <c r="I1462" i="78"/>
  <c r="H1462" i="78"/>
  <c r="G1462" i="78"/>
  <c r="F1462" i="78"/>
  <c r="E1462" i="78"/>
  <c r="D1462" i="78"/>
  <c r="C1462" i="78"/>
  <c r="J1461" i="78"/>
  <c r="I1461" i="78"/>
  <c r="H1461" i="78"/>
  <c r="G1461" i="78"/>
  <c r="F1461" i="78"/>
  <c r="E1461" i="78"/>
  <c r="D1461" i="78"/>
  <c r="C1461" i="78"/>
  <c r="J1460" i="78"/>
  <c r="I1460" i="78"/>
  <c r="H1460" i="78"/>
  <c r="G1460" i="78"/>
  <c r="F1460" i="78"/>
  <c r="E1460" i="78"/>
  <c r="D1460" i="78"/>
  <c r="C1460" i="78"/>
  <c r="J1459" i="78"/>
  <c r="I1459" i="78"/>
  <c r="H1459" i="78"/>
  <c r="G1459" i="78"/>
  <c r="F1459" i="78"/>
  <c r="E1459" i="78"/>
  <c r="D1459" i="78"/>
  <c r="C1459" i="78"/>
  <c r="J1458" i="78"/>
  <c r="I1458" i="78"/>
  <c r="H1458" i="78"/>
  <c r="G1458" i="78"/>
  <c r="F1458" i="78"/>
  <c r="E1458" i="78"/>
  <c r="D1458" i="78"/>
  <c r="C1458" i="78"/>
  <c r="J1457" i="78"/>
  <c r="I1457" i="78"/>
  <c r="H1457" i="78"/>
  <c r="G1457" i="78"/>
  <c r="F1457" i="78"/>
  <c r="E1457" i="78"/>
  <c r="D1457" i="78"/>
  <c r="C1457" i="78"/>
  <c r="J1456" i="78"/>
  <c r="I1456" i="78"/>
  <c r="H1456" i="78"/>
  <c r="G1456" i="78"/>
  <c r="F1456" i="78"/>
  <c r="E1456" i="78"/>
  <c r="D1456" i="78"/>
  <c r="C1456" i="78"/>
  <c r="J1455" i="78"/>
  <c r="I1455" i="78"/>
  <c r="H1455" i="78"/>
  <c r="G1455" i="78"/>
  <c r="F1455" i="78"/>
  <c r="E1455" i="78"/>
  <c r="D1455" i="78"/>
  <c r="C1455" i="78"/>
  <c r="J1454" i="78"/>
  <c r="I1454" i="78"/>
  <c r="H1454" i="78"/>
  <c r="G1454" i="78"/>
  <c r="F1454" i="78"/>
  <c r="E1454" i="78"/>
  <c r="D1454" i="78"/>
  <c r="C1454" i="78"/>
  <c r="J1453" i="78"/>
  <c r="I1453" i="78"/>
  <c r="H1453" i="78"/>
  <c r="G1453" i="78"/>
  <c r="F1453" i="78"/>
  <c r="E1453" i="78"/>
  <c r="D1453" i="78"/>
  <c r="C1453" i="78"/>
  <c r="J1452" i="78"/>
  <c r="I1452" i="78"/>
  <c r="H1452" i="78"/>
  <c r="G1452" i="78"/>
  <c r="F1452" i="78"/>
  <c r="E1452" i="78"/>
  <c r="D1452" i="78"/>
  <c r="C1452" i="78"/>
  <c r="J1451" i="78"/>
  <c r="I1451" i="78"/>
  <c r="H1451" i="78"/>
  <c r="G1451" i="78"/>
  <c r="F1451" i="78"/>
  <c r="E1451" i="78"/>
  <c r="D1451" i="78"/>
  <c r="C1451" i="78"/>
  <c r="J1450" i="78"/>
  <c r="I1450" i="78"/>
  <c r="H1450" i="78"/>
  <c r="G1450" i="78"/>
  <c r="F1450" i="78"/>
  <c r="E1450" i="78"/>
  <c r="D1450" i="78"/>
  <c r="C1450" i="78"/>
  <c r="J1449" i="78"/>
  <c r="I1449" i="78"/>
  <c r="H1449" i="78"/>
  <c r="G1449" i="78"/>
  <c r="F1449" i="78"/>
  <c r="E1449" i="78"/>
  <c r="D1449" i="78"/>
  <c r="C1449" i="78"/>
  <c r="J1448" i="78"/>
  <c r="I1448" i="78"/>
  <c r="H1448" i="78"/>
  <c r="G1448" i="78"/>
  <c r="F1448" i="78"/>
  <c r="E1448" i="78"/>
  <c r="D1448" i="78"/>
  <c r="C1448" i="78"/>
  <c r="J1447" i="78"/>
  <c r="I1447" i="78"/>
  <c r="H1447" i="78"/>
  <c r="G1447" i="78"/>
  <c r="F1447" i="78"/>
  <c r="E1447" i="78"/>
  <c r="D1447" i="78"/>
  <c r="C1447" i="78"/>
  <c r="J1446" i="78"/>
  <c r="I1446" i="78"/>
  <c r="H1446" i="78"/>
  <c r="G1446" i="78"/>
  <c r="F1446" i="78"/>
  <c r="E1446" i="78"/>
  <c r="D1446" i="78"/>
  <c r="C1446" i="78"/>
  <c r="J1445" i="78"/>
  <c r="I1445" i="78"/>
  <c r="H1445" i="78"/>
  <c r="G1445" i="78"/>
  <c r="F1445" i="78"/>
  <c r="E1445" i="78"/>
  <c r="D1445" i="78"/>
  <c r="C1445" i="78"/>
  <c r="J1444" i="78"/>
  <c r="I1444" i="78"/>
  <c r="H1444" i="78"/>
  <c r="G1444" i="78"/>
  <c r="F1444" i="78"/>
  <c r="E1444" i="78"/>
  <c r="D1444" i="78"/>
  <c r="C1444" i="78"/>
  <c r="J1443" i="78"/>
  <c r="I1443" i="78"/>
  <c r="H1443" i="78"/>
  <c r="G1443" i="78"/>
  <c r="F1443" i="78"/>
  <c r="E1443" i="78"/>
  <c r="D1443" i="78"/>
  <c r="C1443" i="78"/>
  <c r="J1442" i="78"/>
  <c r="I1442" i="78"/>
  <c r="H1442" i="78"/>
  <c r="G1442" i="78"/>
  <c r="F1442" i="78"/>
  <c r="E1442" i="78"/>
  <c r="D1442" i="78"/>
  <c r="C1442" i="78"/>
  <c r="J1441" i="78"/>
  <c r="I1441" i="78"/>
  <c r="H1441" i="78"/>
  <c r="G1441" i="78"/>
  <c r="F1441" i="78"/>
  <c r="E1441" i="78"/>
  <c r="D1441" i="78"/>
  <c r="C1441" i="78"/>
  <c r="J1440" i="78"/>
  <c r="I1440" i="78"/>
  <c r="H1440" i="78"/>
  <c r="G1440" i="78"/>
  <c r="F1440" i="78"/>
  <c r="E1440" i="78"/>
  <c r="D1440" i="78"/>
  <c r="C1440" i="78"/>
  <c r="J1439" i="78"/>
  <c r="I1439" i="78"/>
  <c r="H1439" i="78"/>
  <c r="G1439" i="78"/>
  <c r="F1439" i="78"/>
  <c r="E1439" i="78"/>
  <c r="D1439" i="78"/>
  <c r="C1439" i="78"/>
  <c r="J1438" i="78"/>
  <c r="I1438" i="78"/>
  <c r="H1438" i="78"/>
  <c r="G1438" i="78"/>
  <c r="F1438" i="78"/>
  <c r="E1438" i="78"/>
  <c r="D1438" i="78"/>
  <c r="C1438" i="78"/>
  <c r="J1437" i="78"/>
  <c r="I1437" i="78"/>
  <c r="H1437" i="78"/>
  <c r="G1437" i="78"/>
  <c r="F1437" i="78"/>
  <c r="E1437" i="78"/>
  <c r="D1437" i="78"/>
  <c r="C1437" i="78"/>
  <c r="J1436" i="78"/>
  <c r="I1436" i="78"/>
  <c r="H1436" i="78"/>
  <c r="G1436" i="78"/>
  <c r="F1436" i="78"/>
  <c r="E1436" i="78"/>
  <c r="D1436" i="78"/>
  <c r="C1436" i="78"/>
  <c r="J1435" i="78"/>
  <c r="I1435" i="78"/>
  <c r="H1435" i="78"/>
  <c r="G1435" i="78"/>
  <c r="F1435" i="78"/>
  <c r="E1435" i="78"/>
  <c r="D1435" i="78"/>
  <c r="C1435" i="78"/>
  <c r="J1434" i="78"/>
  <c r="I1434" i="78"/>
  <c r="H1434" i="78"/>
  <c r="G1434" i="78"/>
  <c r="F1434" i="78"/>
  <c r="E1434" i="78"/>
  <c r="D1434" i="78"/>
  <c r="C1434" i="78"/>
  <c r="J1433" i="78"/>
  <c r="I1433" i="78"/>
  <c r="H1433" i="78"/>
  <c r="G1433" i="78"/>
  <c r="F1433" i="78"/>
  <c r="E1433" i="78"/>
  <c r="D1433" i="78"/>
  <c r="C1433" i="78"/>
  <c r="J1432" i="78"/>
  <c r="I1432" i="78"/>
  <c r="H1432" i="78"/>
  <c r="G1432" i="78"/>
  <c r="F1432" i="78"/>
  <c r="E1432" i="78"/>
  <c r="D1432" i="78"/>
  <c r="C1432" i="78"/>
  <c r="J1431" i="78"/>
  <c r="I1431" i="78"/>
  <c r="H1431" i="78"/>
  <c r="G1431" i="78"/>
  <c r="F1431" i="78"/>
  <c r="E1431" i="78"/>
  <c r="D1431" i="78"/>
  <c r="C1431" i="78"/>
  <c r="J1430" i="78"/>
  <c r="I1430" i="78"/>
  <c r="H1430" i="78"/>
  <c r="G1430" i="78"/>
  <c r="F1430" i="78"/>
  <c r="E1430" i="78"/>
  <c r="D1430" i="78"/>
  <c r="C1430" i="78"/>
  <c r="J1429" i="78"/>
  <c r="I1429" i="78"/>
  <c r="H1429" i="78"/>
  <c r="G1429" i="78"/>
  <c r="F1429" i="78"/>
  <c r="E1429" i="78"/>
  <c r="D1429" i="78"/>
  <c r="C1429" i="78"/>
  <c r="J1428" i="78"/>
  <c r="I1428" i="78"/>
  <c r="H1428" i="78"/>
  <c r="G1428" i="78"/>
  <c r="F1428" i="78"/>
  <c r="E1428" i="78"/>
  <c r="D1428" i="78"/>
  <c r="C1428" i="78"/>
  <c r="J1427" i="78"/>
  <c r="I1427" i="78"/>
  <c r="H1427" i="78"/>
  <c r="G1427" i="78"/>
  <c r="F1427" i="78"/>
  <c r="E1427" i="78"/>
  <c r="D1427" i="78"/>
  <c r="C1427" i="78"/>
  <c r="J1426" i="78"/>
  <c r="I1426" i="78"/>
  <c r="H1426" i="78"/>
  <c r="G1426" i="78"/>
  <c r="F1426" i="78"/>
  <c r="E1426" i="78"/>
  <c r="D1426" i="78"/>
  <c r="C1426" i="78"/>
  <c r="J1425" i="78"/>
  <c r="I1425" i="78"/>
  <c r="H1425" i="78"/>
  <c r="G1425" i="78"/>
  <c r="F1425" i="78"/>
  <c r="E1425" i="78"/>
  <c r="D1425" i="78"/>
  <c r="C1425" i="78"/>
  <c r="J1424" i="78"/>
  <c r="I1424" i="78"/>
  <c r="H1424" i="78"/>
  <c r="G1424" i="78"/>
  <c r="F1424" i="78"/>
  <c r="E1424" i="78"/>
  <c r="D1424" i="78"/>
  <c r="C1424" i="78"/>
  <c r="J1423" i="78"/>
  <c r="I1423" i="78"/>
  <c r="H1423" i="78"/>
  <c r="G1423" i="78"/>
  <c r="F1423" i="78"/>
  <c r="E1423" i="78"/>
  <c r="D1423" i="78"/>
  <c r="C1423" i="78"/>
  <c r="J1422" i="78"/>
  <c r="I1422" i="78"/>
  <c r="H1422" i="78"/>
  <c r="G1422" i="78"/>
  <c r="F1422" i="78"/>
  <c r="E1422" i="78"/>
  <c r="D1422" i="78"/>
  <c r="C1422" i="78"/>
  <c r="J1421" i="78"/>
  <c r="I1421" i="78"/>
  <c r="H1421" i="78"/>
  <c r="G1421" i="78"/>
  <c r="F1421" i="78"/>
  <c r="E1421" i="78"/>
  <c r="D1421" i="78"/>
  <c r="C1421" i="78"/>
  <c r="J1420" i="78"/>
  <c r="I1420" i="78"/>
  <c r="H1420" i="78"/>
  <c r="G1420" i="78"/>
  <c r="F1420" i="78"/>
  <c r="E1420" i="78"/>
  <c r="D1420" i="78"/>
  <c r="C1420" i="78"/>
  <c r="J1419" i="78"/>
  <c r="I1419" i="78"/>
  <c r="H1419" i="78"/>
  <c r="G1419" i="78"/>
  <c r="F1419" i="78"/>
  <c r="E1419" i="78"/>
  <c r="D1419" i="78"/>
  <c r="C1419" i="78"/>
  <c r="J1418" i="78"/>
  <c r="I1418" i="78"/>
  <c r="H1418" i="78"/>
  <c r="G1418" i="78"/>
  <c r="F1418" i="78"/>
  <c r="E1418" i="78"/>
  <c r="D1418" i="78"/>
  <c r="C1418" i="78"/>
  <c r="J1417" i="78"/>
  <c r="I1417" i="78"/>
  <c r="H1417" i="78"/>
  <c r="G1417" i="78"/>
  <c r="F1417" i="78"/>
  <c r="E1417" i="78"/>
  <c r="D1417" i="78"/>
  <c r="C1417" i="78"/>
  <c r="J1416" i="78"/>
  <c r="I1416" i="78"/>
  <c r="H1416" i="78"/>
  <c r="G1416" i="78"/>
  <c r="F1416" i="78"/>
  <c r="E1416" i="78"/>
  <c r="D1416" i="78"/>
  <c r="C1416" i="78"/>
  <c r="J1415" i="78"/>
  <c r="I1415" i="78"/>
  <c r="H1415" i="78"/>
  <c r="G1415" i="78"/>
  <c r="F1415" i="78"/>
  <c r="E1415" i="78"/>
  <c r="D1415" i="78"/>
  <c r="C1415" i="78"/>
  <c r="J1414" i="78"/>
  <c r="I1414" i="78"/>
  <c r="H1414" i="78"/>
  <c r="G1414" i="78"/>
  <c r="F1414" i="78"/>
  <c r="E1414" i="78"/>
  <c r="D1414" i="78"/>
  <c r="C1414" i="78"/>
  <c r="J1413" i="78"/>
  <c r="I1413" i="78"/>
  <c r="H1413" i="78"/>
  <c r="G1413" i="78"/>
  <c r="F1413" i="78"/>
  <c r="E1413" i="78"/>
  <c r="D1413" i="78"/>
  <c r="C1413" i="78"/>
  <c r="J1412" i="78"/>
  <c r="I1412" i="78"/>
  <c r="H1412" i="78"/>
  <c r="G1412" i="78"/>
  <c r="F1412" i="78"/>
  <c r="E1412" i="78"/>
  <c r="D1412" i="78"/>
  <c r="C1412" i="78"/>
  <c r="J1411" i="78"/>
  <c r="I1411" i="78"/>
  <c r="H1411" i="78"/>
  <c r="G1411" i="78"/>
  <c r="F1411" i="78"/>
  <c r="E1411" i="78"/>
  <c r="D1411" i="78"/>
  <c r="C1411" i="78"/>
  <c r="J1410" i="78"/>
  <c r="I1410" i="78"/>
  <c r="H1410" i="78"/>
  <c r="G1410" i="78"/>
  <c r="F1410" i="78"/>
  <c r="E1410" i="78"/>
  <c r="D1410" i="78"/>
  <c r="C1410" i="78"/>
  <c r="J1409" i="78"/>
  <c r="I1409" i="78"/>
  <c r="H1409" i="78"/>
  <c r="G1409" i="78"/>
  <c r="F1409" i="78"/>
  <c r="E1409" i="78"/>
  <c r="D1409" i="78"/>
  <c r="C1409" i="78"/>
  <c r="J1408" i="78"/>
  <c r="I1408" i="78"/>
  <c r="H1408" i="78"/>
  <c r="G1408" i="78"/>
  <c r="F1408" i="78"/>
  <c r="E1408" i="78"/>
  <c r="D1408" i="78"/>
  <c r="C1408" i="78"/>
  <c r="J1407" i="78"/>
  <c r="I1407" i="78"/>
  <c r="H1407" i="78"/>
  <c r="G1407" i="78"/>
  <c r="F1407" i="78"/>
  <c r="E1407" i="78"/>
  <c r="D1407" i="78"/>
  <c r="C1407" i="78"/>
  <c r="J1406" i="78"/>
  <c r="I1406" i="78"/>
  <c r="H1406" i="78"/>
  <c r="G1406" i="78"/>
  <c r="F1406" i="78"/>
  <c r="E1406" i="78"/>
  <c r="D1406" i="78"/>
  <c r="C1406" i="78"/>
  <c r="J1405" i="78"/>
  <c r="I1405" i="78"/>
  <c r="H1405" i="78"/>
  <c r="G1405" i="78"/>
  <c r="F1405" i="78"/>
  <c r="E1405" i="78"/>
  <c r="D1405" i="78"/>
  <c r="C1405" i="78"/>
  <c r="J1404" i="78"/>
  <c r="I1404" i="78"/>
  <c r="H1404" i="78"/>
  <c r="G1404" i="78"/>
  <c r="F1404" i="78"/>
  <c r="E1404" i="78"/>
  <c r="D1404" i="78"/>
  <c r="C1404" i="78"/>
  <c r="J1403" i="78"/>
  <c r="I1403" i="78"/>
  <c r="H1403" i="78"/>
  <c r="G1403" i="78"/>
  <c r="F1403" i="78"/>
  <c r="E1403" i="78"/>
  <c r="D1403" i="78"/>
  <c r="C1403" i="78"/>
  <c r="J1402" i="78"/>
  <c r="I1402" i="78"/>
  <c r="H1402" i="78"/>
  <c r="G1402" i="78"/>
  <c r="F1402" i="78"/>
  <c r="E1402" i="78"/>
  <c r="D1402" i="78"/>
  <c r="C1402" i="78"/>
  <c r="J1401" i="78"/>
  <c r="I1401" i="78"/>
  <c r="H1401" i="78"/>
  <c r="G1401" i="78"/>
  <c r="F1401" i="78"/>
  <c r="E1401" i="78"/>
  <c r="D1401" i="78"/>
  <c r="C1401" i="78"/>
  <c r="J1400" i="78"/>
  <c r="I1400" i="78"/>
  <c r="H1400" i="78"/>
  <c r="G1400" i="78"/>
  <c r="F1400" i="78"/>
  <c r="E1400" i="78"/>
  <c r="D1400" i="78"/>
  <c r="C1400" i="78"/>
  <c r="J1399" i="78"/>
  <c r="I1399" i="78"/>
  <c r="H1399" i="78"/>
  <c r="G1399" i="78"/>
  <c r="F1399" i="78"/>
  <c r="E1399" i="78"/>
  <c r="D1399" i="78"/>
  <c r="C1399" i="78"/>
  <c r="J1398" i="78"/>
  <c r="I1398" i="78"/>
  <c r="H1398" i="78"/>
  <c r="G1398" i="78"/>
  <c r="F1398" i="78"/>
  <c r="E1398" i="78"/>
  <c r="D1398" i="78"/>
  <c r="C1398" i="78"/>
  <c r="J1397" i="78"/>
  <c r="I1397" i="78"/>
  <c r="H1397" i="78"/>
  <c r="G1397" i="78"/>
  <c r="F1397" i="78"/>
  <c r="E1397" i="78"/>
  <c r="D1397" i="78"/>
  <c r="C1397" i="78"/>
  <c r="J1396" i="78"/>
  <c r="I1396" i="78"/>
  <c r="H1396" i="78"/>
  <c r="G1396" i="78"/>
  <c r="F1396" i="78"/>
  <c r="E1396" i="78"/>
  <c r="D1396" i="78"/>
  <c r="C1396" i="78"/>
  <c r="J1395" i="78"/>
  <c r="I1395" i="78"/>
  <c r="H1395" i="78"/>
  <c r="G1395" i="78"/>
  <c r="F1395" i="78"/>
  <c r="E1395" i="78"/>
  <c r="D1395" i="78"/>
  <c r="C1395" i="78"/>
  <c r="J1394" i="78"/>
  <c r="I1394" i="78"/>
  <c r="H1394" i="78"/>
  <c r="G1394" i="78"/>
  <c r="F1394" i="78"/>
  <c r="E1394" i="78"/>
  <c r="D1394" i="78"/>
  <c r="C1394" i="78"/>
  <c r="J1393" i="78"/>
  <c r="I1393" i="78"/>
  <c r="H1393" i="78"/>
  <c r="G1393" i="78"/>
  <c r="F1393" i="78"/>
  <c r="E1393" i="78"/>
  <c r="D1393" i="78"/>
  <c r="C1393" i="78"/>
  <c r="J1392" i="78"/>
  <c r="I1392" i="78"/>
  <c r="H1392" i="78"/>
  <c r="G1392" i="78"/>
  <c r="F1392" i="78"/>
  <c r="E1392" i="78"/>
  <c r="D1392" i="78"/>
  <c r="C1392" i="78"/>
  <c r="J1391" i="78"/>
  <c r="I1391" i="78"/>
  <c r="H1391" i="78"/>
  <c r="G1391" i="78"/>
  <c r="F1391" i="78"/>
  <c r="E1391" i="78"/>
  <c r="D1391" i="78"/>
  <c r="C1391" i="78"/>
  <c r="J1390" i="78"/>
  <c r="I1390" i="78"/>
  <c r="H1390" i="78"/>
  <c r="G1390" i="78"/>
  <c r="F1390" i="78"/>
  <c r="E1390" i="78"/>
  <c r="D1390" i="78"/>
  <c r="C1390" i="78"/>
  <c r="J1389" i="78"/>
  <c r="I1389" i="78"/>
  <c r="H1389" i="78"/>
  <c r="G1389" i="78"/>
  <c r="F1389" i="78"/>
  <c r="E1389" i="78"/>
  <c r="D1389" i="78"/>
  <c r="C1389" i="78"/>
  <c r="J1388" i="78"/>
  <c r="I1388" i="78"/>
  <c r="H1388" i="78"/>
  <c r="G1388" i="78"/>
  <c r="F1388" i="78"/>
  <c r="E1388" i="78"/>
  <c r="D1388" i="78"/>
  <c r="C1388" i="78"/>
  <c r="J1387" i="78"/>
  <c r="I1387" i="78"/>
  <c r="H1387" i="78"/>
  <c r="G1387" i="78"/>
  <c r="F1387" i="78"/>
  <c r="E1387" i="78"/>
  <c r="D1387" i="78"/>
  <c r="C1387" i="78"/>
  <c r="J1386" i="78"/>
  <c r="I1386" i="78"/>
  <c r="H1386" i="78"/>
  <c r="G1386" i="78"/>
  <c r="F1386" i="78"/>
  <c r="E1386" i="78"/>
  <c r="D1386" i="78"/>
  <c r="C1386" i="78"/>
  <c r="J1385" i="78"/>
  <c r="I1385" i="78"/>
  <c r="H1385" i="78"/>
  <c r="G1385" i="78"/>
  <c r="F1385" i="78"/>
  <c r="E1385" i="78"/>
  <c r="D1385" i="78"/>
  <c r="C1385" i="78"/>
  <c r="J1384" i="78"/>
  <c r="I1384" i="78"/>
  <c r="H1384" i="78"/>
  <c r="G1384" i="78"/>
  <c r="F1384" i="78"/>
  <c r="E1384" i="78"/>
  <c r="D1384" i="78"/>
  <c r="C1384" i="78"/>
  <c r="J1383" i="78"/>
  <c r="I1383" i="78"/>
  <c r="H1383" i="78"/>
  <c r="G1383" i="78"/>
  <c r="F1383" i="78"/>
  <c r="E1383" i="78"/>
  <c r="D1383" i="78"/>
  <c r="C1383" i="78"/>
  <c r="J1382" i="78"/>
  <c r="I1382" i="78"/>
  <c r="H1382" i="78"/>
  <c r="G1382" i="78"/>
  <c r="F1382" i="78"/>
  <c r="E1382" i="78"/>
  <c r="D1382" i="78"/>
  <c r="C1382" i="78"/>
  <c r="J1381" i="78"/>
  <c r="I1381" i="78"/>
  <c r="H1381" i="78"/>
  <c r="G1381" i="78"/>
  <c r="F1381" i="78"/>
  <c r="E1381" i="78"/>
  <c r="D1381" i="78"/>
  <c r="C1381" i="78"/>
  <c r="J1380" i="78"/>
  <c r="I1380" i="78"/>
  <c r="H1380" i="78"/>
  <c r="G1380" i="78"/>
  <c r="F1380" i="78"/>
  <c r="E1380" i="78"/>
  <c r="D1380" i="78"/>
  <c r="C1380" i="78"/>
  <c r="J1379" i="78"/>
  <c r="I1379" i="78"/>
  <c r="H1379" i="78"/>
  <c r="G1379" i="78"/>
  <c r="F1379" i="78"/>
  <c r="E1379" i="78"/>
  <c r="D1379" i="78"/>
  <c r="C1379" i="78"/>
  <c r="J1378" i="78"/>
  <c r="I1378" i="78"/>
  <c r="H1378" i="78"/>
  <c r="G1378" i="78"/>
  <c r="F1378" i="78"/>
  <c r="E1378" i="78"/>
  <c r="D1378" i="78"/>
  <c r="C1378" i="78"/>
  <c r="J1377" i="78"/>
  <c r="I1377" i="78"/>
  <c r="H1377" i="78"/>
  <c r="G1377" i="78"/>
  <c r="F1377" i="78"/>
  <c r="E1377" i="78"/>
  <c r="D1377" i="78"/>
  <c r="C1377" i="78"/>
  <c r="J1376" i="78"/>
  <c r="I1376" i="78"/>
  <c r="H1376" i="78"/>
  <c r="G1376" i="78"/>
  <c r="F1376" i="78"/>
  <c r="E1376" i="78"/>
  <c r="D1376" i="78"/>
  <c r="C1376" i="78"/>
  <c r="J1375" i="78"/>
  <c r="I1375" i="78"/>
  <c r="H1375" i="78"/>
  <c r="G1375" i="78"/>
  <c r="F1375" i="78"/>
  <c r="E1375" i="78"/>
  <c r="D1375" i="78"/>
  <c r="C1375" i="78"/>
  <c r="J1374" i="78"/>
  <c r="I1374" i="78"/>
  <c r="H1374" i="78"/>
  <c r="G1374" i="78"/>
  <c r="F1374" i="78"/>
  <c r="E1374" i="78"/>
  <c r="D1374" i="78"/>
  <c r="C1374" i="78"/>
  <c r="J1373" i="78"/>
  <c r="I1373" i="78"/>
  <c r="H1373" i="78"/>
  <c r="G1373" i="78"/>
  <c r="F1373" i="78"/>
  <c r="E1373" i="78"/>
  <c r="D1373" i="78"/>
  <c r="C1373" i="78"/>
  <c r="J1372" i="78"/>
  <c r="I1372" i="78"/>
  <c r="H1372" i="78"/>
  <c r="G1372" i="78"/>
  <c r="F1372" i="78"/>
  <c r="E1372" i="78"/>
  <c r="D1372" i="78"/>
  <c r="C1372" i="78"/>
  <c r="J1371" i="78"/>
  <c r="I1371" i="78"/>
  <c r="H1371" i="78"/>
  <c r="G1371" i="78"/>
  <c r="F1371" i="78"/>
  <c r="E1371" i="78"/>
  <c r="D1371" i="78"/>
  <c r="C1371" i="78"/>
  <c r="J1370" i="78"/>
  <c r="I1370" i="78"/>
  <c r="H1370" i="78"/>
  <c r="G1370" i="78"/>
  <c r="F1370" i="78"/>
  <c r="E1370" i="78"/>
  <c r="D1370" i="78"/>
  <c r="C1370" i="78"/>
  <c r="J1369" i="78"/>
  <c r="I1369" i="78"/>
  <c r="H1369" i="78"/>
  <c r="G1369" i="78"/>
  <c r="F1369" i="78"/>
  <c r="E1369" i="78"/>
  <c r="D1369" i="78"/>
  <c r="C1369" i="78"/>
  <c r="J1368" i="78"/>
  <c r="I1368" i="78"/>
  <c r="H1368" i="78"/>
  <c r="G1368" i="78"/>
  <c r="F1368" i="78"/>
  <c r="E1368" i="78"/>
  <c r="D1368" i="78"/>
  <c r="C1368" i="78"/>
  <c r="J1367" i="78"/>
  <c r="I1367" i="78"/>
  <c r="H1367" i="78"/>
  <c r="G1367" i="78"/>
  <c r="F1367" i="78"/>
  <c r="E1367" i="78"/>
  <c r="D1367" i="78"/>
  <c r="C1367" i="78"/>
  <c r="J1366" i="78"/>
  <c r="I1366" i="78"/>
  <c r="H1366" i="78"/>
  <c r="G1366" i="78"/>
  <c r="F1366" i="78"/>
  <c r="E1366" i="78"/>
  <c r="D1366" i="78"/>
  <c r="C1366" i="78"/>
  <c r="J1365" i="78"/>
  <c r="I1365" i="78"/>
  <c r="H1365" i="78"/>
  <c r="G1365" i="78"/>
  <c r="F1365" i="78"/>
  <c r="E1365" i="78"/>
  <c r="D1365" i="78"/>
  <c r="C1365" i="78"/>
  <c r="J1364" i="78"/>
  <c r="I1364" i="78"/>
  <c r="H1364" i="78"/>
  <c r="G1364" i="78"/>
  <c r="F1364" i="78"/>
  <c r="E1364" i="78"/>
  <c r="D1364" i="78"/>
  <c r="C1364" i="78"/>
  <c r="J1363" i="78"/>
  <c r="I1363" i="78"/>
  <c r="H1363" i="78"/>
  <c r="G1363" i="78"/>
  <c r="F1363" i="78"/>
  <c r="E1363" i="78"/>
  <c r="D1363" i="78"/>
  <c r="C1363" i="78"/>
  <c r="J1362" i="78"/>
  <c r="I1362" i="78"/>
  <c r="H1362" i="78"/>
  <c r="G1362" i="78"/>
  <c r="F1362" i="78"/>
  <c r="E1362" i="78"/>
  <c r="D1362" i="78"/>
  <c r="C1362" i="78"/>
  <c r="J1361" i="78"/>
  <c r="I1361" i="78"/>
  <c r="H1361" i="78"/>
  <c r="G1361" i="78"/>
  <c r="F1361" i="78"/>
  <c r="E1361" i="78"/>
  <c r="D1361" i="78"/>
  <c r="C1361" i="78"/>
  <c r="J1360" i="78"/>
  <c r="I1360" i="78"/>
  <c r="H1360" i="78"/>
  <c r="G1360" i="78"/>
  <c r="F1360" i="78"/>
  <c r="E1360" i="78"/>
  <c r="D1360" i="78"/>
  <c r="C1360" i="78"/>
  <c r="J1359" i="78"/>
  <c r="I1359" i="78"/>
  <c r="H1359" i="78"/>
  <c r="G1359" i="78"/>
  <c r="F1359" i="78"/>
  <c r="E1359" i="78"/>
  <c r="D1359" i="78"/>
  <c r="C1359" i="78"/>
  <c r="J1358" i="78"/>
  <c r="I1358" i="78"/>
  <c r="H1358" i="78"/>
  <c r="G1358" i="78"/>
  <c r="F1358" i="78"/>
  <c r="E1358" i="78"/>
  <c r="D1358" i="78"/>
  <c r="C1358" i="78"/>
  <c r="J1357" i="78"/>
  <c r="I1357" i="78"/>
  <c r="H1357" i="78"/>
  <c r="G1357" i="78"/>
  <c r="F1357" i="78"/>
  <c r="E1357" i="78"/>
  <c r="D1357" i="78"/>
  <c r="C1357" i="78"/>
  <c r="J1356" i="78"/>
  <c r="I1356" i="78"/>
  <c r="H1356" i="78"/>
  <c r="G1356" i="78"/>
  <c r="F1356" i="78"/>
  <c r="E1356" i="78"/>
  <c r="D1356" i="78"/>
  <c r="C1356" i="78"/>
  <c r="J1355" i="78"/>
  <c r="I1355" i="78"/>
  <c r="H1355" i="78"/>
  <c r="G1355" i="78"/>
  <c r="F1355" i="78"/>
  <c r="E1355" i="78"/>
  <c r="D1355" i="78"/>
  <c r="C1355" i="78"/>
  <c r="J1354" i="78"/>
  <c r="I1354" i="78"/>
  <c r="H1354" i="78"/>
  <c r="G1354" i="78"/>
  <c r="F1354" i="78"/>
  <c r="E1354" i="78"/>
  <c r="D1354" i="78"/>
  <c r="C1354" i="78"/>
  <c r="J1353" i="78"/>
  <c r="I1353" i="78"/>
  <c r="H1353" i="78"/>
  <c r="G1353" i="78"/>
  <c r="F1353" i="78"/>
  <c r="E1353" i="78"/>
  <c r="D1353" i="78"/>
  <c r="C1353" i="78"/>
  <c r="J1352" i="78"/>
  <c r="I1352" i="78"/>
  <c r="H1352" i="78"/>
  <c r="G1352" i="78"/>
  <c r="F1352" i="78"/>
  <c r="E1352" i="78"/>
  <c r="D1352" i="78"/>
  <c r="C1352" i="78"/>
  <c r="J1351" i="78"/>
  <c r="I1351" i="78"/>
  <c r="H1351" i="78"/>
  <c r="G1351" i="78"/>
  <c r="F1351" i="78"/>
  <c r="E1351" i="78"/>
  <c r="D1351" i="78"/>
  <c r="C1351" i="78"/>
  <c r="J1350" i="78"/>
  <c r="I1350" i="78"/>
  <c r="H1350" i="78"/>
  <c r="G1350" i="78"/>
  <c r="F1350" i="78"/>
  <c r="E1350" i="78"/>
  <c r="D1350" i="78"/>
  <c r="C1350" i="78"/>
  <c r="J1349" i="78"/>
  <c r="I1349" i="78"/>
  <c r="H1349" i="78"/>
  <c r="G1349" i="78"/>
  <c r="F1349" i="78"/>
  <c r="E1349" i="78"/>
  <c r="D1349" i="78"/>
  <c r="C1349" i="78"/>
  <c r="J1348" i="78"/>
  <c r="I1348" i="78"/>
  <c r="H1348" i="78"/>
  <c r="G1348" i="78"/>
  <c r="F1348" i="78"/>
  <c r="E1348" i="78"/>
  <c r="D1348" i="78"/>
  <c r="C1348" i="78"/>
  <c r="J1347" i="78"/>
  <c r="I1347" i="78"/>
  <c r="H1347" i="78"/>
  <c r="G1347" i="78"/>
  <c r="F1347" i="78"/>
  <c r="E1347" i="78"/>
  <c r="D1347" i="78"/>
  <c r="C1347" i="78"/>
  <c r="J1346" i="78"/>
  <c r="I1346" i="78"/>
  <c r="H1346" i="78"/>
  <c r="G1346" i="78"/>
  <c r="F1346" i="78"/>
  <c r="E1346" i="78"/>
  <c r="D1346" i="78"/>
  <c r="C1346" i="78"/>
  <c r="J1345" i="78"/>
  <c r="I1345" i="78"/>
  <c r="H1345" i="78"/>
  <c r="G1345" i="78"/>
  <c r="F1345" i="78"/>
  <c r="E1345" i="78"/>
  <c r="D1345" i="78"/>
  <c r="C1345" i="78"/>
  <c r="J1344" i="78"/>
  <c r="I1344" i="78"/>
  <c r="H1344" i="78"/>
  <c r="G1344" i="78"/>
  <c r="F1344" i="78"/>
  <c r="E1344" i="78"/>
  <c r="D1344" i="78"/>
  <c r="C1344" i="78"/>
  <c r="J1343" i="78"/>
  <c r="I1343" i="78"/>
  <c r="H1343" i="78"/>
  <c r="G1343" i="78"/>
  <c r="F1343" i="78"/>
  <c r="E1343" i="78"/>
  <c r="D1343" i="78"/>
  <c r="C1343" i="78"/>
  <c r="J1342" i="78"/>
  <c r="I1342" i="78"/>
  <c r="H1342" i="78"/>
  <c r="G1342" i="78"/>
  <c r="F1342" i="78"/>
  <c r="E1342" i="78"/>
  <c r="D1342" i="78"/>
  <c r="C1342" i="78"/>
  <c r="J1341" i="78"/>
  <c r="I1341" i="78"/>
  <c r="H1341" i="78"/>
  <c r="G1341" i="78"/>
  <c r="F1341" i="78"/>
  <c r="E1341" i="78"/>
  <c r="D1341" i="78"/>
  <c r="C1341" i="78"/>
  <c r="J1340" i="78"/>
  <c r="I1340" i="78"/>
  <c r="H1340" i="78"/>
  <c r="G1340" i="78"/>
  <c r="F1340" i="78"/>
  <c r="E1340" i="78"/>
  <c r="D1340" i="78"/>
  <c r="C1340" i="78"/>
  <c r="J1339" i="78"/>
  <c r="I1339" i="78"/>
  <c r="H1339" i="78"/>
  <c r="G1339" i="78"/>
  <c r="F1339" i="78"/>
  <c r="E1339" i="78"/>
  <c r="D1339" i="78"/>
  <c r="C1339" i="78"/>
  <c r="J1338" i="78"/>
  <c r="I1338" i="78"/>
  <c r="H1338" i="78"/>
  <c r="G1338" i="78"/>
  <c r="F1338" i="78"/>
  <c r="E1338" i="78"/>
  <c r="D1338" i="78"/>
  <c r="C1338" i="78"/>
  <c r="J1337" i="78"/>
  <c r="I1337" i="78"/>
  <c r="H1337" i="78"/>
  <c r="G1337" i="78"/>
  <c r="F1337" i="78"/>
  <c r="E1337" i="78"/>
  <c r="D1337" i="78"/>
  <c r="C1337" i="78"/>
  <c r="J1336" i="78"/>
  <c r="I1336" i="78"/>
  <c r="H1336" i="78"/>
  <c r="G1336" i="78"/>
  <c r="F1336" i="78"/>
  <c r="E1336" i="78"/>
  <c r="D1336" i="78"/>
  <c r="C1336" i="78"/>
  <c r="J1335" i="78"/>
  <c r="I1335" i="78"/>
  <c r="H1335" i="78"/>
  <c r="G1335" i="78"/>
  <c r="F1335" i="78"/>
  <c r="E1335" i="78"/>
  <c r="D1335" i="78"/>
  <c r="C1335" i="78"/>
  <c r="J1334" i="78"/>
  <c r="I1334" i="78"/>
  <c r="H1334" i="78"/>
  <c r="G1334" i="78"/>
  <c r="F1334" i="78"/>
  <c r="E1334" i="78"/>
  <c r="D1334" i="78"/>
  <c r="C1334" i="78"/>
  <c r="J1333" i="78"/>
  <c r="I1333" i="78"/>
  <c r="H1333" i="78"/>
  <c r="G1333" i="78"/>
  <c r="F1333" i="78"/>
  <c r="E1333" i="78"/>
  <c r="D1333" i="78"/>
  <c r="C1333" i="78"/>
  <c r="J1332" i="78"/>
  <c r="I1332" i="78"/>
  <c r="H1332" i="78"/>
  <c r="G1332" i="78"/>
  <c r="F1332" i="78"/>
  <c r="E1332" i="78"/>
  <c r="D1332" i="78"/>
  <c r="C1332" i="78"/>
  <c r="J1331" i="78"/>
  <c r="I1331" i="78"/>
  <c r="H1331" i="78"/>
  <c r="G1331" i="78"/>
  <c r="F1331" i="78"/>
  <c r="E1331" i="78"/>
  <c r="D1331" i="78"/>
  <c r="C1331" i="78"/>
  <c r="J1330" i="78"/>
  <c r="I1330" i="78"/>
  <c r="H1330" i="78"/>
  <c r="G1330" i="78"/>
  <c r="F1330" i="78"/>
  <c r="E1330" i="78"/>
  <c r="D1330" i="78"/>
  <c r="C1330" i="78"/>
  <c r="J1329" i="78"/>
  <c r="I1329" i="78"/>
  <c r="H1329" i="78"/>
  <c r="G1329" i="78"/>
  <c r="F1329" i="78"/>
  <c r="E1329" i="78"/>
  <c r="D1329" i="78"/>
  <c r="C1329" i="78"/>
  <c r="J1328" i="78"/>
  <c r="I1328" i="78"/>
  <c r="H1328" i="78"/>
  <c r="G1328" i="78"/>
  <c r="F1328" i="78"/>
  <c r="E1328" i="78"/>
  <c r="D1328" i="78"/>
  <c r="C1328" i="78"/>
  <c r="J1327" i="78"/>
  <c r="I1327" i="78"/>
  <c r="H1327" i="78"/>
  <c r="G1327" i="78"/>
  <c r="F1327" i="78"/>
  <c r="E1327" i="78"/>
  <c r="D1327" i="78"/>
  <c r="C1327" i="78"/>
  <c r="J1326" i="78"/>
  <c r="I1326" i="78"/>
  <c r="H1326" i="78"/>
  <c r="G1326" i="78"/>
  <c r="F1326" i="78"/>
  <c r="E1326" i="78"/>
  <c r="D1326" i="78"/>
  <c r="C1326" i="78"/>
  <c r="J1325" i="78"/>
  <c r="I1325" i="78"/>
  <c r="H1325" i="78"/>
  <c r="G1325" i="78"/>
  <c r="F1325" i="78"/>
  <c r="E1325" i="78"/>
  <c r="D1325" i="78"/>
  <c r="C1325" i="78"/>
  <c r="J1324" i="78"/>
  <c r="I1324" i="78"/>
  <c r="H1324" i="78"/>
  <c r="G1324" i="78"/>
  <c r="F1324" i="78"/>
  <c r="E1324" i="78"/>
  <c r="D1324" i="78"/>
  <c r="C1324" i="78"/>
  <c r="J1323" i="78"/>
  <c r="I1323" i="78"/>
  <c r="H1323" i="78"/>
  <c r="G1323" i="78"/>
  <c r="F1323" i="78"/>
  <c r="E1323" i="78"/>
  <c r="D1323" i="78"/>
  <c r="C1323" i="78"/>
  <c r="J1322" i="78"/>
  <c r="I1322" i="78"/>
  <c r="H1322" i="78"/>
  <c r="G1322" i="78"/>
  <c r="F1322" i="78"/>
  <c r="E1322" i="78"/>
  <c r="D1322" i="78"/>
  <c r="C1322" i="78"/>
  <c r="J1321" i="78"/>
  <c r="I1321" i="78"/>
  <c r="H1321" i="78"/>
  <c r="G1321" i="78"/>
  <c r="F1321" i="78"/>
  <c r="E1321" i="78"/>
  <c r="D1321" i="78"/>
  <c r="C1321" i="78"/>
  <c r="J1320" i="78"/>
  <c r="I1320" i="78"/>
  <c r="H1320" i="78"/>
  <c r="G1320" i="78"/>
  <c r="F1320" i="78"/>
  <c r="E1320" i="78"/>
  <c r="D1320" i="78"/>
  <c r="C1320" i="78"/>
  <c r="J1319" i="78"/>
  <c r="I1319" i="78"/>
  <c r="H1319" i="78"/>
  <c r="G1319" i="78"/>
  <c r="F1319" i="78"/>
  <c r="E1319" i="78"/>
  <c r="D1319" i="78"/>
  <c r="C1319" i="78"/>
  <c r="J1318" i="78"/>
  <c r="I1318" i="78"/>
  <c r="H1318" i="78"/>
  <c r="G1318" i="78"/>
  <c r="F1318" i="78"/>
  <c r="E1318" i="78"/>
  <c r="D1318" i="78"/>
  <c r="C1318" i="78"/>
  <c r="J1317" i="78"/>
  <c r="I1317" i="78"/>
  <c r="H1317" i="78"/>
  <c r="G1317" i="78"/>
  <c r="F1317" i="78"/>
  <c r="E1317" i="78"/>
  <c r="D1317" i="78"/>
  <c r="C1317" i="78"/>
  <c r="J1316" i="78"/>
  <c r="I1316" i="78"/>
  <c r="H1316" i="78"/>
  <c r="G1316" i="78"/>
  <c r="F1316" i="78"/>
  <c r="E1316" i="78"/>
  <c r="D1316" i="78"/>
  <c r="C1316" i="78"/>
  <c r="J1315" i="78"/>
  <c r="I1315" i="78"/>
  <c r="H1315" i="78"/>
  <c r="G1315" i="78"/>
  <c r="F1315" i="78"/>
  <c r="E1315" i="78"/>
  <c r="D1315" i="78"/>
  <c r="C1315" i="78"/>
  <c r="J1314" i="78"/>
  <c r="I1314" i="78"/>
  <c r="H1314" i="78"/>
  <c r="G1314" i="78"/>
  <c r="F1314" i="78"/>
  <c r="E1314" i="78"/>
  <c r="D1314" i="78"/>
  <c r="C1314" i="78"/>
  <c r="J1313" i="78"/>
  <c r="I1313" i="78"/>
  <c r="H1313" i="78"/>
  <c r="G1313" i="78"/>
  <c r="F1313" i="78"/>
  <c r="E1313" i="78"/>
  <c r="D1313" i="78"/>
  <c r="C1313" i="78"/>
  <c r="J1312" i="78"/>
  <c r="I1312" i="78"/>
  <c r="H1312" i="78"/>
  <c r="G1312" i="78"/>
  <c r="F1312" i="78"/>
  <c r="E1312" i="78"/>
  <c r="D1312" i="78"/>
  <c r="C1312" i="78"/>
  <c r="J1311" i="78"/>
  <c r="I1311" i="78"/>
  <c r="H1311" i="78"/>
  <c r="G1311" i="78"/>
  <c r="F1311" i="78"/>
  <c r="E1311" i="78"/>
  <c r="D1311" i="78"/>
  <c r="C1311" i="78"/>
  <c r="J1310" i="78"/>
  <c r="I1310" i="78"/>
  <c r="H1310" i="78"/>
  <c r="G1310" i="78"/>
  <c r="F1310" i="78"/>
  <c r="E1310" i="78"/>
  <c r="D1310" i="78"/>
  <c r="C1310" i="78"/>
  <c r="J1309" i="78"/>
  <c r="I1309" i="78"/>
  <c r="H1309" i="78"/>
  <c r="G1309" i="78"/>
  <c r="F1309" i="78"/>
  <c r="E1309" i="78"/>
  <c r="D1309" i="78"/>
  <c r="C1309" i="78"/>
  <c r="J1308" i="78"/>
  <c r="I1308" i="78"/>
  <c r="H1308" i="78"/>
  <c r="G1308" i="78"/>
  <c r="F1308" i="78"/>
  <c r="E1308" i="78"/>
  <c r="D1308" i="78"/>
  <c r="C1308" i="78"/>
  <c r="J1307" i="78"/>
  <c r="I1307" i="78"/>
  <c r="H1307" i="78"/>
  <c r="G1307" i="78"/>
  <c r="F1307" i="78"/>
  <c r="E1307" i="78"/>
  <c r="D1307" i="78"/>
  <c r="C1307" i="78"/>
  <c r="J1306" i="78"/>
  <c r="I1306" i="78"/>
  <c r="H1306" i="78"/>
  <c r="G1306" i="78"/>
  <c r="F1306" i="78"/>
  <c r="E1306" i="78"/>
  <c r="D1306" i="78"/>
  <c r="C1306" i="78"/>
  <c r="J1305" i="78"/>
  <c r="I1305" i="78"/>
  <c r="H1305" i="78"/>
  <c r="G1305" i="78"/>
  <c r="F1305" i="78"/>
  <c r="E1305" i="78"/>
  <c r="D1305" i="78"/>
  <c r="C1305" i="78"/>
  <c r="J1304" i="78"/>
  <c r="I1304" i="78"/>
  <c r="H1304" i="78"/>
  <c r="G1304" i="78"/>
  <c r="F1304" i="78"/>
  <c r="E1304" i="78"/>
  <c r="D1304" i="78"/>
  <c r="C1304" i="78"/>
  <c r="J1303" i="78"/>
  <c r="I1303" i="78"/>
  <c r="H1303" i="78"/>
  <c r="G1303" i="78"/>
  <c r="F1303" i="78"/>
  <c r="E1303" i="78"/>
  <c r="D1303" i="78"/>
  <c r="C1303" i="78"/>
  <c r="J1302" i="78"/>
  <c r="I1302" i="78"/>
  <c r="H1302" i="78"/>
  <c r="G1302" i="78"/>
  <c r="F1302" i="78"/>
  <c r="E1302" i="78"/>
  <c r="D1302" i="78"/>
  <c r="C1302" i="78"/>
  <c r="J1301" i="78"/>
  <c r="I1301" i="78"/>
  <c r="H1301" i="78"/>
  <c r="G1301" i="78"/>
  <c r="F1301" i="78"/>
  <c r="E1301" i="78"/>
  <c r="D1301" i="78"/>
  <c r="C1301" i="78"/>
  <c r="J1300" i="78"/>
  <c r="I1300" i="78"/>
  <c r="H1300" i="78"/>
  <c r="G1300" i="78"/>
  <c r="F1300" i="78"/>
  <c r="E1300" i="78"/>
  <c r="D1300" i="78"/>
  <c r="C1300" i="78"/>
  <c r="J1299" i="78"/>
  <c r="I1299" i="78"/>
  <c r="H1299" i="78"/>
  <c r="G1299" i="78"/>
  <c r="F1299" i="78"/>
  <c r="E1299" i="78"/>
  <c r="D1299" i="78"/>
  <c r="C1299" i="78"/>
  <c r="J1298" i="78"/>
  <c r="I1298" i="78"/>
  <c r="H1298" i="78"/>
  <c r="G1298" i="78"/>
  <c r="F1298" i="78"/>
  <c r="E1298" i="78"/>
  <c r="D1298" i="78"/>
  <c r="C1298" i="78"/>
  <c r="J1297" i="78"/>
  <c r="I1297" i="78"/>
  <c r="H1297" i="78"/>
  <c r="G1297" i="78"/>
  <c r="F1297" i="78"/>
  <c r="E1297" i="78"/>
  <c r="D1297" i="78"/>
  <c r="C1297" i="78"/>
  <c r="J1296" i="78"/>
  <c r="I1296" i="78"/>
  <c r="H1296" i="78"/>
  <c r="G1296" i="78"/>
  <c r="F1296" i="78"/>
  <c r="E1296" i="78"/>
  <c r="D1296" i="78"/>
  <c r="C1296" i="78"/>
  <c r="J1295" i="78"/>
  <c r="I1295" i="78"/>
  <c r="H1295" i="78"/>
  <c r="G1295" i="78"/>
  <c r="F1295" i="78"/>
  <c r="E1295" i="78"/>
  <c r="D1295" i="78"/>
  <c r="C1295" i="78"/>
  <c r="J1294" i="78"/>
  <c r="I1294" i="78"/>
  <c r="H1294" i="78"/>
  <c r="G1294" i="78"/>
  <c r="F1294" i="78"/>
  <c r="E1294" i="78"/>
  <c r="D1294" i="78"/>
  <c r="C1294" i="78"/>
  <c r="J1293" i="78"/>
  <c r="I1293" i="78"/>
  <c r="H1293" i="78"/>
  <c r="G1293" i="78"/>
  <c r="F1293" i="78"/>
  <c r="E1293" i="78"/>
  <c r="D1293" i="78"/>
  <c r="C1293" i="78"/>
  <c r="J1292" i="78"/>
  <c r="I1292" i="78"/>
  <c r="H1292" i="78"/>
  <c r="G1292" i="78"/>
  <c r="F1292" i="78"/>
  <c r="E1292" i="78"/>
  <c r="D1292" i="78"/>
  <c r="C1292" i="78"/>
  <c r="J1291" i="78"/>
  <c r="I1291" i="78"/>
  <c r="H1291" i="78"/>
  <c r="G1291" i="78"/>
  <c r="F1291" i="78"/>
  <c r="E1291" i="78"/>
  <c r="D1291" i="78"/>
  <c r="C1291" i="78"/>
  <c r="J1290" i="78"/>
  <c r="I1290" i="78"/>
  <c r="H1290" i="78"/>
  <c r="G1290" i="78"/>
  <c r="F1290" i="78"/>
  <c r="E1290" i="78"/>
  <c r="D1290" i="78"/>
  <c r="C1290" i="78"/>
  <c r="J1289" i="78"/>
  <c r="I1289" i="78"/>
  <c r="H1289" i="78"/>
  <c r="G1289" i="78"/>
  <c r="F1289" i="78"/>
  <c r="E1289" i="78"/>
  <c r="D1289" i="78"/>
  <c r="C1289" i="78"/>
  <c r="J1288" i="78"/>
  <c r="I1288" i="78"/>
  <c r="H1288" i="78"/>
  <c r="G1288" i="78"/>
  <c r="F1288" i="78"/>
  <c r="E1288" i="78"/>
  <c r="D1288" i="78"/>
  <c r="C1288" i="78"/>
  <c r="J1287" i="78"/>
  <c r="I1287" i="78"/>
  <c r="H1287" i="78"/>
  <c r="G1287" i="78"/>
  <c r="F1287" i="78"/>
  <c r="E1287" i="78"/>
  <c r="D1287" i="78"/>
  <c r="C1287" i="78"/>
  <c r="J1286" i="78"/>
  <c r="I1286" i="78"/>
  <c r="H1286" i="78"/>
  <c r="G1286" i="78"/>
  <c r="F1286" i="78"/>
  <c r="E1286" i="78"/>
  <c r="D1286" i="78"/>
  <c r="C1286" i="78"/>
  <c r="J1285" i="78"/>
  <c r="I1285" i="78"/>
  <c r="H1285" i="78"/>
  <c r="G1285" i="78"/>
  <c r="F1285" i="78"/>
  <c r="E1285" i="78"/>
  <c r="D1285" i="78"/>
  <c r="C1285" i="78"/>
  <c r="J1284" i="78"/>
  <c r="I1284" i="78"/>
  <c r="H1284" i="78"/>
  <c r="G1284" i="78"/>
  <c r="F1284" i="78"/>
  <c r="E1284" i="78"/>
  <c r="D1284" i="78"/>
  <c r="C1284" i="78"/>
  <c r="J1283" i="78"/>
  <c r="I1283" i="78"/>
  <c r="H1283" i="78"/>
  <c r="G1283" i="78"/>
  <c r="F1283" i="78"/>
  <c r="E1283" i="78"/>
  <c r="D1283" i="78"/>
  <c r="C1283" i="78"/>
  <c r="J1282" i="78"/>
  <c r="I1282" i="78"/>
  <c r="H1282" i="78"/>
  <c r="G1282" i="78"/>
  <c r="F1282" i="78"/>
  <c r="E1282" i="78"/>
  <c r="D1282" i="78"/>
  <c r="C1282" i="78"/>
  <c r="J1281" i="78"/>
  <c r="I1281" i="78"/>
  <c r="H1281" i="78"/>
  <c r="G1281" i="78"/>
  <c r="F1281" i="78"/>
  <c r="E1281" i="78"/>
  <c r="D1281" i="78"/>
  <c r="C1281" i="78"/>
  <c r="J1280" i="78"/>
  <c r="I1280" i="78"/>
  <c r="H1280" i="78"/>
  <c r="G1280" i="78"/>
  <c r="F1280" i="78"/>
  <c r="E1280" i="78"/>
  <c r="D1280" i="78"/>
  <c r="C1280" i="78"/>
  <c r="J1279" i="78"/>
  <c r="I1279" i="78"/>
  <c r="H1279" i="78"/>
  <c r="G1279" i="78"/>
  <c r="F1279" i="78"/>
  <c r="E1279" i="78"/>
  <c r="D1279" i="78"/>
  <c r="C1279" i="78"/>
  <c r="J1278" i="78"/>
  <c r="I1278" i="78"/>
  <c r="H1278" i="78"/>
  <c r="G1278" i="78"/>
  <c r="F1278" i="78"/>
  <c r="E1278" i="78"/>
  <c r="D1278" i="78"/>
  <c r="C1278" i="78"/>
  <c r="J1277" i="78"/>
  <c r="I1277" i="78"/>
  <c r="H1277" i="78"/>
  <c r="G1277" i="78"/>
  <c r="F1277" i="78"/>
  <c r="E1277" i="78"/>
  <c r="D1277" i="78"/>
  <c r="C1277" i="78"/>
  <c r="J1276" i="78"/>
  <c r="I1276" i="78"/>
  <c r="H1276" i="78"/>
  <c r="G1276" i="78"/>
  <c r="F1276" i="78"/>
  <c r="E1276" i="78"/>
  <c r="D1276" i="78"/>
  <c r="C1276" i="78"/>
  <c r="J1275" i="78"/>
  <c r="I1275" i="78"/>
  <c r="H1275" i="78"/>
  <c r="G1275" i="78"/>
  <c r="F1275" i="78"/>
  <c r="E1275" i="78"/>
  <c r="D1275" i="78"/>
  <c r="C1275" i="78"/>
  <c r="J1274" i="78"/>
  <c r="I1274" i="78"/>
  <c r="H1274" i="78"/>
  <c r="G1274" i="78"/>
  <c r="F1274" i="78"/>
  <c r="E1274" i="78"/>
  <c r="D1274" i="78"/>
  <c r="C1274" i="78"/>
  <c r="J1273" i="78"/>
  <c r="I1273" i="78"/>
  <c r="H1273" i="78"/>
  <c r="G1273" i="78"/>
  <c r="F1273" i="78"/>
  <c r="E1273" i="78"/>
  <c r="D1273" i="78"/>
  <c r="C1273" i="78"/>
  <c r="J1272" i="78"/>
  <c r="I1272" i="78"/>
  <c r="H1272" i="78"/>
  <c r="G1272" i="78"/>
  <c r="F1272" i="78"/>
  <c r="E1272" i="78"/>
  <c r="D1272" i="78"/>
  <c r="C1272" i="78"/>
  <c r="J1271" i="78"/>
  <c r="I1271" i="78"/>
  <c r="H1271" i="78"/>
  <c r="G1271" i="78"/>
  <c r="F1271" i="78"/>
  <c r="E1271" i="78"/>
  <c r="D1271" i="78"/>
  <c r="C1271" i="78"/>
  <c r="J1270" i="78"/>
  <c r="I1270" i="78"/>
  <c r="H1270" i="78"/>
  <c r="G1270" i="78"/>
  <c r="F1270" i="78"/>
  <c r="E1270" i="78"/>
  <c r="D1270" i="78"/>
  <c r="C1270" i="78"/>
  <c r="J1269" i="78"/>
  <c r="I1269" i="78"/>
  <c r="H1269" i="78"/>
  <c r="G1269" i="78"/>
  <c r="F1269" i="78"/>
  <c r="E1269" i="78"/>
  <c r="D1269" i="78"/>
  <c r="C1269" i="78"/>
  <c r="J1268" i="78"/>
  <c r="I1268" i="78"/>
  <c r="H1268" i="78"/>
  <c r="G1268" i="78"/>
  <c r="F1268" i="78"/>
  <c r="E1268" i="78"/>
  <c r="D1268" i="78"/>
  <c r="C1268" i="78"/>
  <c r="J1267" i="78"/>
  <c r="I1267" i="78"/>
  <c r="H1267" i="78"/>
  <c r="G1267" i="78"/>
  <c r="F1267" i="78"/>
  <c r="E1267" i="78"/>
  <c r="D1267" i="78"/>
  <c r="C1267" i="78"/>
  <c r="J1266" i="78"/>
  <c r="I1266" i="78"/>
  <c r="H1266" i="78"/>
  <c r="G1266" i="78"/>
  <c r="F1266" i="78"/>
  <c r="E1266" i="78"/>
  <c r="D1266" i="78"/>
  <c r="C1266" i="78"/>
  <c r="J1265" i="78"/>
  <c r="I1265" i="78"/>
  <c r="H1265" i="78"/>
  <c r="G1265" i="78"/>
  <c r="F1265" i="78"/>
  <c r="E1265" i="78"/>
  <c r="D1265" i="78"/>
  <c r="C1265" i="78"/>
  <c r="J1264" i="78"/>
  <c r="I1264" i="78"/>
  <c r="H1264" i="78"/>
  <c r="G1264" i="78"/>
  <c r="F1264" i="78"/>
  <c r="E1264" i="78"/>
  <c r="D1264" i="78"/>
  <c r="C1264" i="78"/>
  <c r="J1263" i="78"/>
  <c r="I1263" i="78"/>
  <c r="H1263" i="78"/>
  <c r="G1263" i="78"/>
  <c r="F1263" i="78"/>
  <c r="E1263" i="78"/>
  <c r="D1263" i="78"/>
  <c r="C1263" i="78"/>
  <c r="J1262" i="78"/>
  <c r="I1262" i="78"/>
  <c r="H1262" i="78"/>
  <c r="G1262" i="78"/>
  <c r="F1262" i="78"/>
  <c r="E1262" i="78"/>
  <c r="D1262" i="78"/>
  <c r="C1262" i="78"/>
  <c r="J1261" i="78"/>
  <c r="I1261" i="78"/>
  <c r="H1261" i="78"/>
  <c r="G1261" i="78"/>
  <c r="F1261" i="78"/>
  <c r="E1261" i="78"/>
  <c r="D1261" i="78"/>
  <c r="C1261" i="78"/>
  <c r="J1260" i="78"/>
  <c r="I1260" i="78"/>
  <c r="H1260" i="78"/>
  <c r="G1260" i="78"/>
  <c r="F1260" i="78"/>
  <c r="E1260" i="78"/>
  <c r="D1260" i="78"/>
  <c r="C1260" i="78"/>
  <c r="J1259" i="78"/>
  <c r="I1259" i="78"/>
  <c r="H1259" i="78"/>
  <c r="G1259" i="78"/>
  <c r="F1259" i="78"/>
  <c r="E1259" i="78"/>
  <c r="D1259" i="78"/>
  <c r="C1259" i="78"/>
  <c r="J1258" i="78"/>
  <c r="I1258" i="78"/>
  <c r="H1258" i="78"/>
  <c r="G1258" i="78"/>
  <c r="F1258" i="78"/>
  <c r="E1258" i="78"/>
  <c r="D1258" i="78"/>
  <c r="C1258" i="78"/>
  <c r="J1257" i="78"/>
  <c r="I1257" i="78"/>
  <c r="H1257" i="78"/>
  <c r="G1257" i="78"/>
  <c r="F1257" i="78"/>
  <c r="E1257" i="78"/>
  <c r="D1257" i="78"/>
  <c r="C1257" i="78"/>
  <c r="J1256" i="78"/>
  <c r="I1256" i="78"/>
  <c r="H1256" i="78"/>
  <c r="G1256" i="78"/>
  <c r="F1256" i="78"/>
  <c r="E1256" i="78"/>
  <c r="D1256" i="78"/>
  <c r="C1256" i="78"/>
  <c r="J1255" i="78"/>
  <c r="I1255" i="78"/>
  <c r="H1255" i="78"/>
  <c r="G1255" i="78"/>
  <c r="F1255" i="78"/>
  <c r="E1255" i="78"/>
  <c r="D1255" i="78"/>
  <c r="C1255" i="78"/>
  <c r="J1254" i="78"/>
  <c r="I1254" i="78"/>
  <c r="H1254" i="78"/>
  <c r="G1254" i="78"/>
  <c r="F1254" i="78"/>
  <c r="E1254" i="78"/>
  <c r="D1254" i="78"/>
  <c r="C1254" i="78"/>
  <c r="J1253" i="78"/>
  <c r="I1253" i="78"/>
  <c r="H1253" i="78"/>
  <c r="G1253" i="78"/>
  <c r="F1253" i="78"/>
  <c r="E1253" i="78"/>
  <c r="D1253" i="78"/>
  <c r="C1253" i="78"/>
  <c r="J1252" i="78"/>
  <c r="I1252" i="78"/>
  <c r="H1252" i="78"/>
  <c r="G1252" i="78"/>
  <c r="F1252" i="78"/>
  <c r="E1252" i="78"/>
  <c r="D1252" i="78"/>
  <c r="C1252" i="78"/>
  <c r="J1251" i="78"/>
  <c r="I1251" i="78"/>
  <c r="H1251" i="78"/>
  <c r="G1251" i="78"/>
  <c r="F1251" i="78"/>
  <c r="E1251" i="78"/>
  <c r="D1251" i="78"/>
  <c r="C1251" i="78"/>
  <c r="J1250" i="78"/>
  <c r="I1250" i="78"/>
  <c r="H1250" i="78"/>
  <c r="G1250" i="78"/>
  <c r="F1250" i="78"/>
  <c r="E1250" i="78"/>
  <c r="D1250" i="78"/>
  <c r="C1250" i="78"/>
  <c r="J1249" i="78"/>
  <c r="I1249" i="78"/>
  <c r="H1249" i="78"/>
  <c r="G1249" i="78"/>
  <c r="F1249" i="78"/>
  <c r="E1249" i="78"/>
  <c r="D1249" i="78"/>
  <c r="C1249" i="78"/>
  <c r="J1248" i="78"/>
  <c r="I1248" i="78"/>
  <c r="H1248" i="78"/>
  <c r="G1248" i="78"/>
  <c r="F1248" i="78"/>
  <c r="E1248" i="78"/>
  <c r="D1248" i="78"/>
  <c r="C1248" i="78"/>
  <c r="J1247" i="78"/>
  <c r="I1247" i="78"/>
  <c r="H1247" i="78"/>
  <c r="G1247" i="78"/>
  <c r="F1247" i="78"/>
  <c r="E1247" i="78"/>
  <c r="D1247" i="78"/>
  <c r="C1247" i="78"/>
  <c r="J1246" i="78"/>
  <c r="I1246" i="78"/>
  <c r="H1246" i="78"/>
  <c r="G1246" i="78"/>
  <c r="F1246" i="78"/>
  <c r="E1246" i="78"/>
  <c r="D1246" i="78"/>
  <c r="C1246" i="78"/>
  <c r="J1245" i="78"/>
  <c r="I1245" i="78"/>
  <c r="H1245" i="78"/>
  <c r="G1245" i="78"/>
  <c r="F1245" i="78"/>
  <c r="E1245" i="78"/>
  <c r="D1245" i="78"/>
  <c r="C1245" i="78"/>
  <c r="J1244" i="78"/>
  <c r="I1244" i="78"/>
  <c r="H1244" i="78"/>
  <c r="G1244" i="78"/>
  <c r="F1244" i="78"/>
  <c r="E1244" i="78"/>
  <c r="D1244" i="78"/>
  <c r="C1244" i="78"/>
  <c r="J1243" i="78"/>
  <c r="I1243" i="78"/>
  <c r="H1243" i="78"/>
  <c r="G1243" i="78"/>
  <c r="F1243" i="78"/>
  <c r="E1243" i="78"/>
  <c r="D1243" i="78"/>
  <c r="C1243" i="78"/>
  <c r="J1242" i="78"/>
  <c r="I1242" i="78"/>
  <c r="H1242" i="78"/>
  <c r="G1242" i="78"/>
  <c r="F1242" i="78"/>
  <c r="E1242" i="78"/>
  <c r="D1242" i="78"/>
  <c r="C1242" i="78"/>
  <c r="J1241" i="78"/>
  <c r="I1241" i="78"/>
  <c r="H1241" i="78"/>
  <c r="G1241" i="78"/>
  <c r="F1241" i="78"/>
  <c r="E1241" i="78"/>
  <c r="D1241" i="78"/>
  <c r="C1241" i="78"/>
  <c r="J1240" i="78"/>
  <c r="I1240" i="78"/>
  <c r="H1240" i="78"/>
  <c r="G1240" i="78"/>
  <c r="F1240" i="78"/>
  <c r="E1240" i="78"/>
  <c r="D1240" i="78"/>
  <c r="C1240" i="78"/>
  <c r="J1239" i="78"/>
  <c r="I1239" i="78"/>
  <c r="H1239" i="78"/>
  <c r="G1239" i="78"/>
  <c r="F1239" i="78"/>
  <c r="E1239" i="78"/>
  <c r="D1239" i="78"/>
  <c r="C1239" i="78"/>
  <c r="J1238" i="78"/>
  <c r="I1238" i="78"/>
  <c r="H1238" i="78"/>
  <c r="G1238" i="78"/>
  <c r="F1238" i="78"/>
  <c r="E1238" i="78"/>
  <c r="D1238" i="78"/>
  <c r="C1238" i="78"/>
  <c r="J1237" i="78"/>
  <c r="I1237" i="78"/>
  <c r="H1237" i="78"/>
  <c r="G1237" i="78"/>
  <c r="F1237" i="78"/>
  <c r="E1237" i="78"/>
  <c r="D1237" i="78"/>
  <c r="C1237" i="78"/>
  <c r="J1236" i="78"/>
  <c r="I1236" i="78"/>
  <c r="H1236" i="78"/>
  <c r="G1236" i="78"/>
  <c r="F1236" i="78"/>
  <c r="E1236" i="78"/>
  <c r="D1236" i="78"/>
  <c r="C1236" i="78"/>
  <c r="J1235" i="78"/>
  <c r="I1235" i="78"/>
  <c r="H1235" i="78"/>
  <c r="G1235" i="78"/>
  <c r="F1235" i="78"/>
  <c r="E1235" i="78"/>
  <c r="D1235" i="78"/>
  <c r="C1235" i="78"/>
  <c r="J1234" i="78"/>
  <c r="I1234" i="78"/>
  <c r="H1234" i="78"/>
  <c r="G1234" i="78"/>
  <c r="F1234" i="78"/>
  <c r="E1234" i="78"/>
  <c r="D1234" i="78"/>
  <c r="C1234" i="78"/>
  <c r="J1233" i="78"/>
  <c r="I1233" i="78"/>
  <c r="H1233" i="78"/>
  <c r="G1233" i="78"/>
  <c r="F1233" i="78"/>
  <c r="E1233" i="78"/>
  <c r="D1233" i="78"/>
  <c r="C1233" i="78"/>
  <c r="J1232" i="78"/>
  <c r="I1232" i="78"/>
  <c r="H1232" i="78"/>
  <c r="G1232" i="78"/>
  <c r="F1232" i="78"/>
  <c r="E1232" i="78"/>
  <c r="D1232" i="78"/>
  <c r="C1232" i="78"/>
  <c r="J1231" i="78"/>
  <c r="I1231" i="78"/>
  <c r="H1231" i="78"/>
  <c r="G1231" i="78"/>
  <c r="F1231" i="78"/>
  <c r="E1231" i="78"/>
  <c r="D1231" i="78"/>
  <c r="C1231" i="78"/>
  <c r="J1230" i="78"/>
  <c r="I1230" i="78"/>
  <c r="H1230" i="78"/>
  <c r="G1230" i="78"/>
  <c r="F1230" i="78"/>
  <c r="E1230" i="78"/>
  <c r="D1230" i="78"/>
  <c r="C1230" i="78"/>
  <c r="J1229" i="78"/>
  <c r="I1229" i="78"/>
  <c r="H1229" i="78"/>
  <c r="G1229" i="78"/>
  <c r="F1229" i="78"/>
  <c r="E1229" i="78"/>
  <c r="D1229" i="78"/>
  <c r="C1229" i="78"/>
  <c r="J1228" i="78"/>
  <c r="I1228" i="78"/>
  <c r="H1228" i="78"/>
  <c r="G1228" i="78"/>
  <c r="F1228" i="78"/>
  <c r="E1228" i="78"/>
  <c r="D1228" i="78"/>
  <c r="C1228" i="78"/>
  <c r="J1227" i="78"/>
  <c r="I1227" i="78"/>
  <c r="H1227" i="78"/>
  <c r="G1227" i="78"/>
  <c r="F1227" i="78"/>
  <c r="E1227" i="78"/>
  <c r="D1227" i="78"/>
  <c r="C1227" i="78"/>
  <c r="J1226" i="78"/>
  <c r="I1226" i="78"/>
  <c r="H1226" i="78"/>
  <c r="G1226" i="78"/>
  <c r="F1226" i="78"/>
  <c r="E1226" i="78"/>
  <c r="D1226" i="78"/>
  <c r="C1226" i="78"/>
  <c r="J1225" i="78"/>
  <c r="I1225" i="78"/>
  <c r="H1225" i="78"/>
  <c r="G1225" i="78"/>
  <c r="F1225" i="78"/>
  <c r="E1225" i="78"/>
  <c r="D1225" i="78"/>
  <c r="C1225" i="78"/>
  <c r="J1224" i="78"/>
  <c r="I1224" i="78"/>
  <c r="H1224" i="78"/>
  <c r="G1224" i="78"/>
  <c r="F1224" i="78"/>
  <c r="E1224" i="78"/>
  <c r="D1224" i="78"/>
  <c r="C1224" i="78"/>
  <c r="J1223" i="78"/>
  <c r="I1223" i="78"/>
  <c r="H1223" i="78"/>
  <c r="G1223" i="78"/>
  <c r="F1223" i="78"/>
  <c r="E1223" i="78"/>
  <c r="D1223" i="78"/>
  <c r="C1223" i="78"/>
  <c r="J1222" i="78"/>
  <c r="I1222" i="78"/>
  <c r="H1222" i="78"/>
  <c r="G1222" i="78"/>
  <c r="F1222" i="78"/>
  <c r="E1222" i="78"/>
  <c r="D1222" i="78"/>
  <c r="C1222" i="78"/>
  <c r="J1221" i="78"/>
  <c r="I1221" i="78"/>
  <c r="H1221" i="78"/>
  <c r="G1221" i="78"/>
  <c r="F1221" i="78"/>
  <c r="E1221" i="78"/>
  <c r="D1221" i="78"/>
  <c r="C1221" i="78"/>
  <c r="J1220" i="78"/>
  <c r="I1220" i="78"/>
  <c r="H1220" i="78"/>
  <c r="G1220" i="78"/>
  <c r="F1220" i="78"/>
  <c r="E1220" i="78"/>
  <c r="D1220" i="78"/>
  <c r="C1220" i="78"/>
  <c r="J1219" i="78"/>
  <c r="I1219" i="78"/>
  <c r="H1219" i="78"/>
  <c r="G1219" i="78"/>
  <c r="F1219" i="78"/>
  <c r="E1219" i="78"/>
  <c r="D1219" i="78"/>
  <c r="C1219" i="78"/>
  <c r="J1218" i="78"/>
  <c r="I1218" i="78"/>
  <c r="H1218" i="78"/>
  <c r="G1218" i="78"/>
  <c r="F1218" i="78"/>
  <c r="E1218" i="78"/>
  <c r="D1218" i="78"/>
  <c r="C1218" i="78"/>
  <c r="J1217" i="78"/>
  <c r="I1217" i="78"/>
  <c r="H1217" i="78"/>
  <c r="G1217" i="78"/>
  <c r="F1217" i="78"/>
  <c r="E1217" i="78"/>
  <c r="D1217" i="78"/>
  <c r="C1217" i="78"/>
  <c r="J1216" i="78"/>
  <c r="I1216" i="78"/>
  <c r="H1216" i="78"/>
  <c r="G1216" i="78"/>
  <c r="F1216" i="78"/>
  <c r="E1216" i="78"/>
  <c r="D1216" i="78"/>
  <c r="C1216" i="78"/>
  <c r="J1215" i="78"/>
  <c r="I1215" i="78"/>
  <c r="H1215" i="78"/>
  <c r="G1215" i="78"/>
  <c r="F1215" i="78"/>
  <c r="E1215" i="78"/>
  <c r="D1215" i="78"/>
  <c r="C1215" i="78"/>
  <c r="J1214" i="78"/>
  <c r="I1214" i="78"/>
  <c r="H1214" i="78"/>
  <c r="G1214" i="78"/>
  <c r="F1214" i="78"/>
  <c r="E1214" i="78"/>
  <c r="D1214" i="78"/>
  <c r="C1214" i="78"/>
  <c r="J1213" i="78"/>
  <c r="I1213" i="78"/>
  <c r="H1213" i="78"/>
  <c r="G1213" i="78"/>
  <c r="F1213" i="78"/>
  <c r="E1213" i="78"/>
  <c r="D1213" i="78"/>
  <c r="C1213" i="78"/>
  <c r="J1212" i="78"/>
  <c r="I1212" i="78"/>
  <c r="H1212" i="78"/>
  <c r="G1212" i="78"/>
  <c r="F1212" i="78"/>
  <c r="E1212" i="78"/>
  <c r="D1212" i="78"/>
  <c r="C1212" i="78"/>
  <c r="J1211" i="78"/>
  <c r="I1211" i="78"/>
  <c r="H1211" i="78"/>
  <c r="G1211" i="78"/>
  <c r="F1211" i="78"/>
  <c r="E1211" i="78"/>
  <c r="D1211" i="78"/>
  <c r="C1211" i="78"/>
  <c r="J1210" i="78"/>
  <c r="I1210" i="78"/>
  <c r="H1210" i="78"/>
  <c r="G1210" i="78"/>
  <c r="F1210" i="78"/>
  <c r="E1210" i="78"/>
  <c r="D1210" i="78"/>
  <c r="C1210" i="78"/>
  <c r="J1209" i="78"/>
  <c r="I1209" i="78"/>
  <c r="H1209" i="78"/>
  <c r="G1209" i="78"/>
  <c r="F1209" i="78"/>
  <c r="E1209" i="78"/>
  <c r="D1209" i="78"/>
  <c r="C1209" i="78"/>
  <c r="J1208" i="78"/>
  <c r="I1208" i="78"/>
  <c r="H1208" i="78"/>
  <c r="G1208" i="78"/>
  <c r="F1208" i="78"/>
  <c r="E1208" i="78"/>
  <c r="D1208" i="78"/>
  <c r="C1208" i="78"/>
  <c r="J1207" i="78"/>
  <c r="I1207" i="78"/>
  <c r="H1207" i="78"/>
  <c r="G1207" i="78"/>
  <c r="F1207" i="78"/>
  <c r="E1207" i="78"/>
  <c r="D1207" i="78"/>
  <c r="C1207" i="78"/>
  <c r="J1206" i="78"/>
  <c r="I1206" i="78"/>
  <c r="H1206" i="78"/>
  <c r="G1206" i="78"/>
  <c r="F1206" i="78"/>
  <c r="E1206" i="78"/>
  <c r="D1206" i="78"/>
  <c r="C1206" i="78"/>
  <c r="J1205" i="78"/>
  <c r="I1205" i="78"/>
  <c r="H1205" i="78"/>
  <c r="G1205" i="78"/>
  <c r="F1205" i="78"/>
  <c r="E1205" i="78"/>
  <c r="D1205" i="78"/>
  <c r="C1205" i="78"/>
  <c r="J1204" i="78"/>
  <c r="I1204" i="78"/>
  <c r="H1204" i="78"/>
  <c r="G1204" i="78"/>
  <c r="F1204" i="78"/>
  <c r="E1204" i="78"/>
  <c r="D1204" i="78"/>
  <c r="C1204" i="78"/>
  <c r="J1203" i="78"/>
  <c r="I1203" i="78"/>
  <c r="H1203" i="78"/>
  <c r="G1203" i="78"/>
  <c r="F1203" i="78"/>
  <c r="E1203" i="78"/>
  <c r="D1203" i="78"/>
  <c r="C1203" i="78"/>
  <c r="J1202" i="78"/>
  <c r="I1202" i="78"/>
  <c r="H1202" i="78"/>
  <c r="G1202" i="78"/>
  <c r="F1202" i="78"/>
  <c r="E1202" i="78"/>
  <c r="D1202" i="78"/>
  <c r="C1202" i="78"/>
  <c r="J1201" i="78"/>
  <c r="I1201" i="78"/>
  <c r="H1201" i="78"/>
  <c r="G1201" i="78"/>
  <c r="F1201" i="78"/>
  <c r="E1201" i="78"/>
  <c r="D1201" i="78"/>
  <c r="C1201" i="78"/>
  <c r="J1200" i="78"/>
  <c r="I1200" i="78"/>
  <c r="H1200" i="78"/>
  <c r="G1200" i="78"/>
  <c r="F1200" i="78"/>
  <c r="E1200" i="78"/>
  <c r="D1200" i="78"/>
  <c r="C1200" i="78"/>
  <c r="J1199" i="78"/>
  <c r="I1199" i="78"/>
  <c r="H1199" i="78"/>
  <c r="G1199" i="78"/>
  <c r="F1199" i="78"/>
  <c r="E1199" i="78"/>
  <c r="D1199" i="78"/>
  <c r="C1199" i="78"/>
  <c r="J1198" i="78"/>
  <c r="I1198" i="78"/>
  <c r="H1198" i="78"/>
  <c r="G1198" i="78"/>
  <c r="F1198" i="78"/>
  <c r="E1198" i="78"/>
  <c r="D1198" i="78"/>
  <c r="C1198" i="78"/>
  <c r="J1197" i="78"/>
  <c r="I1197" i="78"/>
  <c r="H1197" i="78"/>
  <c r="G1197" i="78"/>
  <c r="F1197" i="78"/>
  <c r="E1197" i="78"/>
  <c r="D1197" i="78"/>
  <c r="C1197" i="78"/>
  <c r="J1196" i="78"/>
  <c r="I1196" i="78"/>
  <c r="H1196" i="78"/>
  <c r="G1196" i="78"/>
  <c r="F1196" i="78"/>
  <c r="E1196" i="78"/>
  <c r="D1196" i="78"/>
  <c r="C1196" i="78"/>
  <c r="J1195" i="78"/>
  <c r="I1195" i="78"/>
  <c r="H1195" i="78"/>
  <c r="G1195" i="78"/>
  <c r="F1195" i="78"/>
  <c r="E1195" i="78"/>
  <c r="D1195" i="78"/>
  <c r="C1195" i="78"/>
  <c r="J1194" i="78"/>
  <c r="I1194" i="78"/>
  <c r="H1194" i="78"/>
  <c r="G1194" i="78"/>
  <c r="F1194" i="78"/>
  <c r="E1194" i="78"/>
  <c r="D1194" i="78"/>
  <c r="C1194" i="78"/>
  <c r="J1193" i="78"/>
  <c r="I1193" i="78"/>
  <c r="H1193" i="78"/>
  <c r="G1193" i="78"/>
  <c r="F1193" i="78"/>
  <c r="E1193" i="78"/>
  <c r="D1193" i="78"/>
  <c r="C1193" i="78"/>
  <c r="J1192" i="78"/>
  <c r="I1192" i="78"/>
  <c r="H1192" i="78"/>
  <c r="G1192" i="78"/>
  <c r="F1192" i="78"/>
  <c r="E1192" i="78"/>
  <c r="D1192" i="78"/>
  <c r="C1192" i="78"/>
  <c r="J1191" i="78"/>
  <c r="I1191" i="78"/>
  <c r="H1191" i="78"/>
  <c r="G1191" i="78"/>
  <c r="F1191" i="78"/>
  <c r="E1191" i="78"/>
  <c r="D1191" i="78"/>
  <c r="C1191" i="78"/>
  <c r="J1190" i="78"/>
  <c r="I1190" i="78"/>
  <c r="H1190" i="78"/>
  <c r="G1190" i="78"/>
  <c r="F1190" i="78"/>
  <c r="E1190" i="78"/>
  <c r="D1190" i="78"/>
  <c r="C1190" i="78"/>
  <c r="J1189" i="78"/>
  <c r="I1189" i="78"/>
  <c r="H1189" i="78"/>
  <c r="G1189" i="78"/>
  <c r="F1189" i="78"/>
  <c r="E1189" i="78"/>
  <c r="D1189" i="78"/>
  <c r="C1189" i="78"/>
  <c r="J1188" i="78"/>
  <c r="I1188" i="78"/>
  <c r="H1188" i="78"/>
  <c r="G1188" i="78"/>
  <c r="F1188" i="78"/>
  <c r="E1188" i="78"/>
  <c r="D1188" i="78"/>
  <c r="C1188" i="78"/>
  <c r="J1187" i="78"/>
  <c r="I1187" i="78"/>
  <c r="H1187" i="78"/>
  <c r="G1187" i="78"/>
  <c r="F1187" i="78"/>
  <c r="E1187" i="78"/>
  <c r="D1187" i="78"/>
  <c r="C1187" i="78"/>
  <c r="J1186" i="78"/>
  <c r="I1186" i="78"/>
  <c r="H1186" i="78"/>
  <c r="G1186" i="78"/>
  <c r="F1186" i="78"/>
  <c r="E1186" i="78"/>
  <c r="D1186" i="78"/>
  <c r="C1186" i="78"/>
  <c r="J1185" i="78"/>
  <c r="I1185" i="78"/>
  <c r="H1185" i="78"/>
  <c r="G1185" i="78"/>
  <c r="F1185" i="78"/>
  <c r="E1185" i="78"/>
  <c r="D1185" i="78"/>
  <c r="C1185" i="78"/>
  <c r="J1184" i="78"/>
  <c r="I1184" i="78"/>
  <c r="H1184" i="78"/>
  <c r="G1184" i="78"/>
  <c r="F1184" i="78"/>
  <c r="E1184" i="78"/>
  <c r="D1184" i="78"/>
  <c r="C1184" i="78"/>
  <c r="J1183" i="78"/>
  <c r="I1183" i="78"/>
  <c r="H1183" i="78"/>
  <c r="G1183" i="78"/>
  <c r="F1183" i="78"/>
  <c r="E1183" i="78"/>
  <c r="D1183" i="78"/>
  <c r="C1183" i="78"/>
  <c r="J1182" i="78"/>
  <c r="I1182" i="78"/>
  <c r="H1182" i="78"/>
  <c r="G1182" i="78"/>
  <c r="F1182" i="78"/>
  <c r="E1182" i="78"/>
  <c r="D1182" i="78"/>
  <c r="C1182" i="78"/>
  <c r="J1181" i="78"/>
  <c r="I1181" i="78"/>
  <c r="H1181" i="78"/>
  <c r="G1181" i="78"/>
  <c r="F1181" i="78"/>
  <c r="E1181" i="78"/>
  <c r="D1181" i="78"/>
  <c r="C1181" i="78"/>
  <c r="J1180" i="78"/>
  <c r="I1180" i="78"/>
  <c r="H1180" i="78"/>
  <c r="G1180" i="78"/>
  <c r="F1180" i="78"/>
  <c r="E1180" i="78"/>
  <c r="D1180" i="78"/>
  <c r="C1180" i="78"/>
  <c r="J1179" i="78"/>
  <c r="I1179" i="78"/>
  <c r="H1179" i="78"/>
  <c r="G1179" i="78"/>
  <c r="F1179" i="78"/>
  <c r="E1179" i="78"/>
  <c r="D1179" i="78"/>
  <c r="C1179" i="78"/>
  <c r="J1178" i="78"/>
  <c r="I1178" i="78"/>
  <c r="H1178" i="78"/>
  <c r="G1178" i="78"/>
  <c r="F1178" i="78"/>
  <c r="E1178" i="78"/>
  <c r="D1178" i="78"/>
  <c r="C1178" i="78"/>
  <c r="J1177" i="78"/>
  <c r="I1177" i="78"/>
  <c r="H1177" i="78"/>
  <c r="G1177" i="78"/>
  <c r="F1177" i="78"/>
  <c r="E1177" i="78"/>
  <c r="D1177" i="78"/>
  <c r="C1177" i="78"/>
  <c r="J1176" i="78"/>
  <c r="I1176" i="78"/>
  <c r="H1176" i="78"/>
  <c r="G1176" i="78"/>
  <c r="F1176" i="78"/>
  <c r="E1176" i="78"/>
  <c r="D1176" i="78"/>
  <c r="C1176" i="78"/>
  <c r="J1175" i="78"/>
  <c r="I1175" i="78"/>
  <c r="H1175" i="78"/>
  <c r="G1175" i="78"/>
  <c r="F1175" i="78"/>
  <c r="E1175" i="78"/>
  <c r="D1175" i="78"/>
  <c r="C1175" i="78"/>
  <c r="J1174" i="78"/>
  <c r="I1174" i="78"/>
  <c r="H1174" i="78"/>
  <c r="G1174" i="78"/>
  <c r="F1174" i="78"/>
  <c r="E1174" i="78"/>
  <c r="D1174" i="78"/>
  <c r="C1174" i="78"/>
  <c r="J1173" i="78"/>
  <c r="I1173" i="78"/>
  <c r="H1173" i="78"/>
  <c r="G1173" i="78"/>
  <c r="F1173" i="78"/>
  <c r="E1173" i="78"/>
  <c r="D1173" i="78"/>
  <c r="C1173" i="78"/>
  <c r="J1172" i="78"/>
  <c r="I1172" i="78"/>
  <c r="H1172" i="78"/>
  <c r="G1172" i="78"/>
  <c r="F1172" i="78"/>
  <c r="E1172" i="78"/>
  <c r="D1172" i="78"/>
  <c r="C1172" i="78"/>
  <c r="J1171" i="78"/>
  <c r="I1171" i="78"/>
  <c r="H1171" i="78"/>
  <c r="G1171" i="78"/>
  <c r="F1171" i="78"/>
  <c r="E1171" i="78"/>
  <c r="D1171" i="78"/>
  <c r="C1171" i="78"/>
  <c r="J1170" i="78"/>
  <c r="I1170" i="78"/>
  <c r="H1170" i="78"/>
  <c r="G1170" i="78"/>
  <c r="F1170" i="78"/>
  <c r="E1170" i="78"/>
  <c r="D1170" i="78"/>
  <c r="C1170" i="78"/>
  <c r="J1169" i="78"/>
  <c r="I1169" i="78"/>
  <c r="H1169" i="78"/>
  <c r="G1169" i="78"/>
  <c r="F1169" i="78"/>
  <c r="E1169" i="78"/>
  <c r="D1169" i="78"/>
  <c r="C1169" i="78"/>
  <c r="J1168" i="78"/>
  <c r="I1168" i="78"/>
  <c r="H1168" i="78"/>
  <c r="G1168" i="78"/>
  <c r="F1168" i="78"/>
  <c r="E1168" i="78"/>
  <c r="D1168" i="78"/>
  <c r="C1168" i="78"/>
  <c r="J1167" i="78"/>
  <c r="I1167" i="78"/>
  <c r="H1167" i="78"/>
  <c r="G1167" i="78"/>
  <c r="F1167" i="78"/>
  <c r="E1167" i="78"/>
  <c r="D1167" i="78"/>
  <c r="C1167" i="78"/>
  <c r="J1166" i="78"/>
  <c r="I1166" i="78"/>
  <c r="H1166" i="78"/>
  <c r="G1166" i="78"/>
  <c r="F1166" i="78"/>
  <c r="E1166" i="78"/>
  <c r="D1166" i="78"/>
  <c r="C1166" i="78"/>
  <c r="J1165" i="78"/>
  <c r="I1165" i="78"/>
  <c r="H1165" i="78"/>
  <c r="G1165" i="78"/>
  <c r="F1165" i="78"/>
  <c r="E1165" i="78"/>
  <c r="D1165" i="78"/>
  <c r="C1165" i="78"/>
  <c r="J1164" i="78"/>
  <c r="I1164" i="78"/>
  <c r="H1164" i="78"/>
  <c r="G1164" i="78"/>
  <c r="F1164" i="78"/>
  <c r="E1164" i="78"/>
  <c r="D1164" i="78"/>
  <c r="C1164" i="78"/>
  <c r="J1163" i="78"/>
  <c r="I1163" i="78"/>
  <c r="H1163" i="78"/>
  <c r="G1163" i="78"/>
  <c r="F1163" i="78"/>
  <c r="E1163" i="78"/>
  <c r="D1163" i="78"/>
  <c r="C1163" i="78"/>
  <c r="J1162" i="78"/>
  <c r="I1162" i="78"/>
  <c r="H1162" i="78"/>
  <c r="G1162" i="78"/>
  <c r="F1162" i="78"/>
  <c r="E1162" i="78"/>
  <c r="D1162" i="78"/>
  <c r="C1162" i="78"/>
  <c r="J1161" i="78"/>
  <c r="I1161" i="78"/>
  <c r="H1161" i="78"/>
  <c r="G1161" i="78"/>
  <c r="F1161" i="78"/>
  <c r="E1161" i="78"/>
  <c r="D1161" i="78"/>
  <c r="C1161" i="78"/>
  <c r="J1160" i="78"/>
  <c r="I1160" i="78"/>
  <c r="H1160" i="78"/>
  <c r="G1160" i="78"/>
  <c r="F1160" i="78"/>
  <c r="E1160" i="78"/>
  <c r="D1160" i="78"/>
  <c r="C1160" i="78"/>
  <c r="J1159" i="78"/>
  <c r="I1159" i="78"/>
  <c r="H1159" i="78"/>
  <c r="G1159" i="78"/>
  <c r="F1159" i="78"/>
  <c r="E1159" i="78"/>
  <c r="D1159" i="78"/>
  <c r="C1159" i="78"/>
  <c r="J1158" i="78"/>
  <c r="I1158" i="78"/>
  <c r="H1158" i="78"/>
  <c r="G1158" i="78"/>
  <c r="F1158" i="78"/>
  <c r="E1158" i="78"/>
  <c r="D1158" i="78"/>
  <c r="C1158" i="78"/>
  <c r="J1157" i="78"/>
  <c r="I1157" i="78"/>
  <c r="H1157" i="78"/>
  <c r="G1157" i="78"/>
  <c r="F1157" i="78"/>
  <c r="E1157" i="78"/>
  <c r="D1157" i="78"/>
  <c r="C1157" i="78"/>
  <c r="J1156" i="78"/>
  <c r="I1156" i="78"/>
  <c r="H1156" i="78"/>
  <c r="G1156" i="78"/>
  <c r="F1156" i="78"/>
  <c r="E1156" i="78"/>
  <c r="D1156" i="78"/>
  <c r="C1156" i="78"/>
  <c r="J1155" i="78"/>
  <c r="I1155" i="78"/>
  <c r="H1155" i="78"/>
  <c r="G1155" i="78"/>
  <c r="F1155" i="78"/>
  <c r="E1155" i="78"/>
  <c r="D1155" i="78"/>
  <c r="C1155" i="78"/>
  <c r="J1154" i="78"/>
  <c r="I1154" i="78"/>
  <c r="H1154" i="78"/>
  <c r="G1154" i="78"/>
  <c r="F1154" i="78"/>
  <c r="E1154" i="78"/>
  <c r="D1154" i="78"/>
  <c r="C1154" i="78"/>
  <c r="J1153" i="78"/>
  <c r="I1153" i="78"/>
  <c r="H1153" i="78"/>
  <c r="G1153" i="78"/>
  <c r="F1153" i="78"/>
  <c r="E1153" i="78"/>
  <c r="D1153" i="78"/>
  <c r="C1153" i="78"/>
  <c r="J1152" i="78"/>
  <c r="I1152" i="78"/>
  <c r="H1152" i="78"/>
  <c r="G1152" i="78"/>
  <c r="F1152" i="78"/>
  <c r="E1152" i="78"/>
  <c r="D1152" i="78"/>
  <c r="C1152" i="78"/>
  <c r="J1151" i="78"/>
  <c r="I1151" i="78"/>
  <c r="H1151" i="78"/>
  <c r="G1151" i="78"/>
  <c r="F1151" i="78"/>
  <c r="E1151" i="78"/>
  <c r="D1151" i="78"/>
  <c r="C1151" i="78"/>
  <c r="J1150" i="78"/>
  <c r="I1150" i="78"/>
  <c r="H1150" i="78"/>
  <c r="G1150" i="78"/>
  <c r="F1150" i="78"/>
  <c r="E1150" i="78"/>
  <c r="D1150" i="78"/>
  <c r="C1150" i="78"/>
  <c r="J1149" i="78"/>
  <c r="I1149" i="78"/>
  <c r="H1149" i="78"/>
  <c r="G1149" i="78"/>
  <c r="F1149" i="78"/>
  <c r="E1149" i="78"/>
  <c r="D1149" i="78"/>
  <c r="C1149" i="78"/>
  <c r="J1148" i="78"/>
  <c r="I1148" i="78"/>
  <c r="H1148" i="78"/>
  <c r="G1148" i="78"/>
  <c r="F1148" i="78"/>
  <c r="E1148" i="78"/>
  <c r="D1148" i="78"/>
  <c r="C1148" i="78"/>
  <c r="J1147" i="78"/>
  <c r="I1147" i="78"/>
  <c r="H1147" i="78"/>
  <c r="G1147" i="78"/>
  <c r="F1147" i="78"/>
  <c r="E1147" i="78"/>
  <c r="D1147" i="78"/>
  <c r="C1147" i="78"/>
  <c r="J1146" i="78"/>
  <c r="I1146" i="78"/>
  <c r="H1146" i="78"/>
  <c r="G1146" i="78"/>
  <c r="F1146" i="78"/>
  <c r="E1146" i="78"/>
  <c r="D1146" i="78"/>
  <c r="C1146" i="78"/>
  <c r="J1145" i="78"/>
  <c r="I1145" i="78"/>
  <c r="H1145" i="78"/>
  <c r="G1145" i="78"/>
  <c r="F1145" i="78"/>
  <c r="E1145" i="78"/>
  <c r="D1145" i="78"/>
  <c r="C1145" i="78"/>
  <c r="J1144" i="78"/>
  <c r="I1144" i="78"/>
  <c r="H1144" i="78"/>
  <c r="G1144" i="78"/>
  <c r="F1144" i="78"/>
  <c r="E1144" i="78"/>
  <c r="D1144" i="78"/>
  <c r="C1144" i="78"/>
  <c r="J1143" i="78"/>
  <c r="I1143" i="78"/>
  <c r="H1143" i="78"/>
  <c r="G1143" i="78"/>
  <c r="F1143" i="78"/>
  <c r="E1143" i="78"/>
  <c r="D1143" i="78"/>
  <c r="C1143" i="78"/>
  <c r="J1142" i="78"/>
  <c r="I1142" i="78"/>
  <c r="H1142" i="78"/>
  <c r="G1142" i="78"/>
  <c r="F1142" i="78"/>
  <c r="E1142" i="78"/>
  <c r="D1142" i="78"/>
  <c r="C1142" i="78"/>
  <c r="J1141" i="78"/>
  <c r="I1141" i="78"/>
  <c r="H1141" i="78"/>
  <c r="G1141" i="78"/>
  <c r="F1141" i="78"/>
  <c r="E1141" i="78"/>
  <c r="D1141" i="78"/>
  <c r="C1141" i="78"/>
  <c r="J1140" i="78"/>
  <c r="I1140" i="78"/>
  <c r="H1140" i="78"/>
  <c r="G1140" i="78"/>
  <c r="F1140" i="78"/>
  <c r="E1140" i="78"/>
  <c r="D1140" i="78"/>
  <c r="C1140" i="78"/>
  <c r="J1139" i="78"/>
  <c r="I1139" i="78"/>
  <c r="H1139" i="78"/>
  <c r="G1139" i="78"/>
  <c r="F1139" i="78"/>
  <c r="E1139" i="78"/>
  <c r="D1139" i="78"/>
  <c r="C1139" i="78"/>
  <c r="J1138" i="78"/>
  <c r="I1138" i="78"/>
  <c r="H1138" i="78"/>
  <c r="G1138" i="78"/>
  <c r="F1138" i="78"/>
  <c r="E1138" i="78"/>
  <c r="D1138" i="78"/>
  <c r="C1138" i="78"/>
  <c r="J1137" i="78"/>
  <c r="I1137" i="78"/>
  <c r="H1137" i="78"/>
  <c r="G1137" i="78"/>
  <c r="F1137" i="78"/>
  <c r="E1137" i="78"/>
  <c r="D1137" i="78"/>
  <c r="C1137" i="78"/>
  <c r="J1136" i="78"/>
  <c r="I1136" i="78"/>
  <c r="H1136" i="78"/>
  <c r="G1136" i="78"/>
  <c r="F1136" i="78"/>
  <c r="E1136" i="78"/>
  <c r="D1136" i="78"/>
  <c r="C1136" i="78"/>
  <c r="J1135" i="78"/>
  <c r="I1135" i="78"/>
  <c r="H1135" i="78"/>
  <c r="G1135" i="78"/>
  <c r="F1135" i="78"/>
  <c r="E1135" i="78"/>
  <c r="D1135" i="78"/>
  <c r="C1135" i="78"/>
  <c r="J1134" i="78"/>
  <c r="I1134" i="78"/>
  <c r="H1134" i="78"/>
  <c r="G1134" i="78"/>
  <c r="F1134" i="78"/>
  <c r="E1134" i="78"/>
  <c r="D1134" i="78"/>
  <c r="C1134" i="78"/>
  <c r="J1133" i="78"/>
  <c r="I1133" i="78"/>
  <c r="H1133" i="78"/>
  <c r="G1133" i="78"/>
  <c r="F1133" i="78"/>
  <c r="E1133" i="78"/>
  <c r="D1133" i="78"/>
  <c r="C1133" i="78"/>
  <c r="J1132" i="78"/>
  <c r="I1132" i="78"/>
  <c r="H1132" i="78"/>
  <c r="G1132" i="78"/>
  <c r="F1132" i="78"/>
  <c r="E1132" i="78"/>
  <c r="D1132" i="78"/>
  <c r="C1132" i="78"/>
  <c r="J1131" i="78"/>
  <c r="I1131" i="78"/>
  <c r="H1131" i="78"/>
  <c r="G1131" i="78"/>
  <c r="F1131" i="78"/>
  <c r="E1131" i="78"/>
  <c r="D1131" i="78"/>
  <c r="C1131" i="78"/>
  <c r="J1130" i="78"/>
  <c r="I1130" i="78"/>
  <c r="H1130" i="78"/>
  <c r="G1130" i="78"/>
  <c r="F1130" i="78"/>
  <c r="E1130" i="78"/>
  <c r="D1130" i="78"/>
  <c r="C1130" i="78"/>
  <c r="J1129" i="78"/>
  <c r="I1129" i="78"/>
  <c r="H1129" i="78"/>
  <c r="G1129" i="78"/>
  <c r="F1129" i="78"/>
  <c r="E1129" i="78"/>
  <c r="D1129" i="78"/>
  <c r="C1129" i="78"/>
  <c r="J1128" i="78"/>
  <c r="I1128" i="78"/>
  <c r="H1128" i="78"/>
  <c r="G1128" i="78"/>
  <c r="F1128" i="78"/>
  <c r="E1128" i="78"/>
  <c r="D1128" i="78"/>
  <c r="C1128" i="78"/>
  <c r="J1127" i="78"/>
  <c r="I1127" i="78"/>
  <c r="H1127" i="78"/>
  <c r="G1127" i="78"/>
  <c r="F1127" i="78"/>
  <c r="E1127" i="78"/>
  <c r="D1127" i="78"/>
  <c r="C1127" i="78"/>
  <c r="J1126" i="78"/>
  <c r="I1126" i="78"/>
  <c r="H1126" i="78"/>
  <c r="G1126" i="78"/>
  <c r="F1126" i="78"/>
  <c r="E1126" i="78"/>
  <c r="D1126" i="78"/>
  <c r="C1126" i="78"/>
  <c r="J1125" i="78"/>
  <c r="I1125" i="78"/>
  <c r="H1125" i="78"/>
  <c r="G1125" i="78"/>
  <c r="F1125" i="78"/>
  <c r="E1125" i="78"/>
  <c r="D1125" i="78"/>
  <c r="C1125" i="78"/>
  <c r="J1124" i="78"/>
  <c r="I1124" i="78"/>
  <c r="H1124" i="78"/>
  <c r="G1124" i="78"/>
  <c r="F1124" i="78"/>
  <c r="E1124" i="78"/>
  <c r="D1124" i="78"/>
  <c r="C1124" i="78"/>
  <c r="J1123" i="78"/>
  <c r="I1123" i="78"/>
  <c r="H1123" i="78"/>
  <c r="G1123" i="78"/>
  <c r="F1123" i="78"/>
  <c r="E1123" i="78"/>
  <c r="D1123" i="78"/>
  <c r="C1123" i="78"/>
  <c r="J1122" i="78"/>
  <c r="I1122" i="78"/>
  <c r="H1122" i="78"/>
  <c r="G1122" i="78"/>
  <c r="F1122" i="78"/>
  <c r="E1122" i="78"/>
  <c r="D1122" i="78"/>
  <c r="C1122" i="78"/>
  <c r="J1121" i="78"/>
  <c r="I1121" i="78"/>
  <c r="H1121" i="78"/>
  <c r="G1121" i="78"/>
  <c r="F1121" i="78"/>
  <c r="E1121" i="78"/>
  <c r="D1121" i="78"/>
  <c r="C1121" i="78"/>
  <c r="J1120" i="78"/>
  <c r="I1120" i="78"/>
  <c r="H1120" i="78"/>
  <c r="G1120" i="78"/>
  <c r="F1120" i="78"/>
  <c r="E1120" i="78"/>
  <c r="D1120" i="78"/>
  <c r="C1120" i="78"/>
  <c r="J1119" i="78"/>
  <c r="I1119" i="78"/>
  <c r="H1119" i="78"/>
  <c r="G1119" i="78"/>
  <c r="F1119" i="78"/>
  <c r="E1119" i="78"/>
  <c r="D1119" i="78"/>
  <c r="C1119" i="78"/>
  <c r="J1118" i="78"/>
  <c r="I1118" i="78"/>
  <c r="H1118" i="78"/>
  <c r="G1118" i="78"/>
  <c r="F1118" i="78"/>
  <c r="E1118" i="78"/>
  <c r="D1118" i="78"/>
  <c r="C1118" i="78"/>
  <c r="J1117" i="78"/>
  <c r="I1117" i="78"/>
  <c r="H1117" i="78"/>
  <c r="G1117" i="78"/>
  <c r="F1117" i="78"/>
  <c r="E1117" i="78"/>
  <c r="D1117" i="78"/>
  <c r="C1117" i="78"/>
  <c r="J1116" i="78"/>
  <c r="I1116" i="78"/>
  <c r="H1116" i="78"/>
  <c r="G1116" i="78"/>
  <c r="F1116" i="78"/>
  <c r="E1116" i="78"/>
  <c r="D1116" i="78"/>
  <c r="C1116" i="78"/>
  <c r="J1115" i="78"/>
  <c r="I1115" i="78"/>
  <c r="H1115" i="78"/>
  <c r="G1115" i="78"/>
  <c r="F1115" i="78"/>
  <c r="E1115" i="78"/>
  <c r="D1115" i="78"/>
  <c r="C1115" i="78"/>
  <c r="J1114" i="78"/>
  <c r="I1114" i="78"/>
  <c r="H1114" i="78"/>
  <c r="G1114" i="78"/>
  <c r="F1114" i="78"/>
  <c r="E1114" i="78"/>
  <c r="D1114" i="78"/>
  <c r="C1114" i="78"/>
  <c r="J1113" i="78"/>
  <c r="I1113" i="78"/>
  <c r="H1113" i="78"/>
  <c r="G1113" i="78"/>
  <c r="F1113" i="78"/>
  <c r="E1113" i="78"/>
  <c r="D1113" i="78"/>
  <c r="C1113" i="78"/>
  <c r="J1112" i="78"/>
  <c r="I1112" i="78"/>
  <c r="H1112" i="78"/>
  <c r="G1112" i="78"/>
  <c r="F1112" i="78"/>
  <c r="E1112" i="78"/>
  <c r="D1112" i="78"/>
  <c r="C1112" i="78"/>
  <c r="J1111" i="78"/>
  <c r="I1111" i="78"/>
  <c r="H1111" i="78"/>
  <c r="G1111" i="78"/>
  <c r="F1111" i="78"/>
  <c r="E1111" i="78"/>
  <c r="D1111" i="78"/>
  <c r="C1111" i="78"/>
  <c r="J1110" i="78"/>
  <c r="I1110" i="78"/>
  <c r="H1110" i="78"/>
  <c r="G1110" i="78"/>
  <c r="F1110" i="78"/>
  <c r="E1110" i="78"/>
  <c r="D1110" i="78"/>
  <c r="C1110" i="78"/>
  <c r="J1109" i="78"/>
  <c r="I1109" i="78"/>
  <c r="H1109" i="78"/>
  <c r="G1109" i="78"/>
  <c r="F1109" i="78"/>
  <c r="E1109" i="78"/>
  <c r="D1109" i="78"/>
  <c r="C1109" i="78"/>
  <c r="J1108" i="78"/>
  <c r="I1108" i="78"/>
  <c r="H1108" i="78"/>
  <c r="G1108" i="78"/>
  <c r="F1108" i="78"/>
  <c r="E1108" i="78"/>
  <c r="D1108" i="78"/>
  <c r="C1108" i="78"/>
  <c r="J1107" i="78"/>
  <c r="I1107" i="78"/>
  <c r="H1107" i="78"/>
  <c r="G1107" i="78"/>
  <c r="F1107" i="78"/>
  <c r="E1107" i="78"/>
  <c r="D1107" i="78"/>
  <c r="C1107" i="78"/>
  <c r="J1106" i="78"/>
  <c r="I1106" i="78"/>
  <c r="H1106" i="78"/>
  <c r="G1106" i="78"/>
  <c r="F1106" i="78"/>
  <c r="E1106" i="78"/>
  <c r="D1106" i="78"/>
  <c r="C1106" i="78"/>
  <c r="J1105" i="78"/>
  <c r="I1105" i="78"/>
  <c r="H1105" i="78"/>
  <c r="G1105" i="78"/>
  <c r="F1105" i="78"/>
  <c r="E1105" i="78"/>
  <c r="D1105" i="78"/>
  <c r="C1105" i="78"/>
  <c r="J1104" i="78"/>
  <c r="I1104" i="78"/>
  <c r="H1104" i="78"/>
  <c r="G1104" i="78"/>
  <c r="F1104" i="78"/>
  <c r="E1104" i="78"/>
  <c r="D1104" i="78"/>
  <c r="C1104" i="78"/>
  <c r="J1103" i="78"/>
  <c r="I1103" i="78"/>
  <c r="H1103" i="78"/>
  <c r="G1103" i="78"/>
  <c r="F1103" i="78"/>
  <c r="E1103" i="78"/>
  <c r="D1103" i="78"/>
  <c r="C1103" i="78"/>
  <c r="J1102" i="78"/>
  <c r="I1102" i="78"/>
  <c r="H1102" i="78"/>
  <c r="G1102" i="78"/>
  <c r="F1102" i="78"/>
  <c r="E1102" i="78"/>
  <c r="D1102" i="78"/>
  <c r="C1102" i="78"/>
  <c r="J1101" i="78"/>
  <c r="I1101" i="78"/>
  <c r="H1101" i="78"/>
  <c r="G1101" i="78"/>
  <c r="F1101" i="78"/>
  <c r="E1101" i="78"/>
  <c r="D1101" i="78"/>
  <c r="C1101" i="78"/>
  <c r="J1100" i="78"/>
  <c r="I1100" i="78"/>
  <c r="H1100" i="78"/>
  <c r="G1100" i="78"/>
  <c r="F1100" i="78"/>
  <c r="E1100" i="78"/>
  <c r="D1100" i="78"/>
  <c r="C1100" i="78"/>
  <c r="J1099" i="78"/>
  <c r="I1099" i="78"/>
  <c r="H1099" i="78"/>
  <c r="G1099" i="78"/>
  <c r="F1099" i="78"/>
  <c r="E1099" i="78"/>
  <c r="D1099" i="78"/>
  <c r="C1099" i="78"/>
  <c r="J1098" i="78"/>
  <c r="I1098" i="78"/>
  <c r="H1098" i="78"/>
  <c r="G1098" i="78"/>
  <c r="F1098" i="78"/>
  <c r="E1098" i="78"/>
  <c r="D1098" i="78"/>
  <c r="C1098" i="78"/>
  <c r="J1097" i="78"/>
  <c r="I1097" i="78"/>
  <c r="H1097" i="78"/>
  <c r="G1097" i="78"/>
  <c r="F1097" i="78"/>
  <c r="E1097" i="78"/>
  <c r="D1097" i="78"/>
  <c r="C1097" i="78"/>
  <c r="J1096" i="78"/>
  <c r="I1096" i="78"/>
  <c r="H1096" i="78"/>
  <c r="G1096" i="78"/>
  <c r="F1096" i="78"/>
  <c r="E1096" i="78"/>
  <c r="D1096" i="78"/>
  <c r="C1096" i="78"/>
  <c r="J1095" i="78"/>
  <c r="I1095" i="78"/>
  <c r="H1095" i="78"/>
  <c r="G1095" i="78"/>
  <c r="F1095" i="78"/>
  <c r="E1095" i="78"/>
  <c r="D1095" i="78"/>
  <c r="C1095" i="78"/>
  <c r="J1094" i="78"/>
  <c r="I1094" i="78"/>
  <c r="H1094" i="78"/>
  <c r="G1094" i="78"/>
  <c r="F1094" i="78"/>
  <c r="E1094" i="78"/>
  <c r="D1094" i="78"/>
  <c r="C1094" i="78"/>
  <c r="J1093" i="78"/>
  <c r="I1093" i="78"/>
  <c r="H1093" i="78"/>
  <c r="G1093" i="78"/>
  <c r="F1093" i="78"/>
  <c r="E1093" i="78"/>
  <c r="D1093" i="78"/>
  <c r="C1093" i="78"/>
  <c r="J1092" i="78"/>
  <c r="I1092" i="78"/>
  <c r="H1092" i="78"/>
  <c r="G1092" i="78"/>
  <c r="F1092" i="78"/>
  <c r="E1092" i="78"/>
  <c r="D1092" i="78"/>
  <c r="C1092" i="78"/>
  <c r="J1091" i="78"/>
  <c r="I1091" i="78"/>
  <c r="H1091" i="78"/>
  <c r="G1091" i="78"/>
  <c r="F1091" i="78"/>
  <c r="E1091" i="78"/>
  <c r="D1091" i="78"/>
  <c r="C1091" i="78"/>
  <c r="J1090" i="78"/>
  <c r="I1090" i="78"/>
  <c r="H1090" i="78"/>
  <c r="G1090" i="78"/>
  <c r="F1090" i="78"/>
  <c r="E1090" i="78"/>
  <c r="D1090" i="78"/>
  <c r="C1090" i="78"/>
  <c r="J1089" i="78"/>
  <c r="I1089" i="78"/>
  <c r="H1089" i="78"/>
  <c r="G1089" i="78"/>
  <c r="F1089" i="78"/>
  <c r="E1089" i="78"/>
  <c r="D1089" i="78"/>
  <c r="C1089" i="78"/>
  <c r="J1088" i="78"/>
  <c r="I1088" i="78"/>
  <c r="H1088" i="78"/>
  <c r="G1088" i="78"/>
  <c r="F1088" i="78"/>
  <c r="E1088" i="78"/>
  <c r="D1088" i="78"/>
  <c r="C1088" i="78"/>
  <c r="J1087" i="78"/>
  <c r="I1087" i="78"/>
  <c r="H1087" i="78"/>
  <c r="G1087" i="78"/>
  <c r="F1087" i="78"/>
  <c r="E1087" i="78"/>
  <c r="D1087" i="78"/>
  <c r="C1087" i="78"/>
  <c r="J1086" i="78"/>
  <c r="I1086" i="78"/>
  <c r="H1086" i="78"/>
  <c r="G1086" i="78"/>
  <c r="F1086" i="78"/>
  <c r="E1086" i="78"/>
  <c r="D1086" i="78"/>
  <c r="C1086" i="78"/>
  <c r="J1085" i="78"/>
  <c r="I1085" i="78"/>
  <c r="H1085" i="78"/>
  <c r="G1085" i="78"/>
  <c r="F1085" i="78"/>
  <c r="E1085" i="78"/>
  <c r="D1085" i="78"/>
  <c r="C1085" i="78"/>
  <c r="J1084" i="78"/>
  <c r="I1084" i="78"/>
  <c r="H1084" i="78"/>
  <c r="G1084" i="78"/>
  <c r="F1084" i="78"/>
  <c r="E1084" i="78"/>
  <c r="D1084" i="78"/>
  <c r="C1084" i="78"/>
  <c r="J1083" i="78"/>
  <c r="I1083" i="78"/>
  <c r="H1083" i="78"/>
  <c r="G1083" i="78"/>
  <c r="F1083" i="78"/>
  <c r="E1083" i="78"/>
  <c r="D1083" i="78"/>
  <c r="C1083" i="78"/>
  <c r="J1082" i="78"/>
  <c r="I1082" i="78"/>
  <c r="H1082" i="78"/>
  <c r="G1082" i="78"/>
  <c r="F1082" i="78"/>
  <c r="E1082" i="78"/>
  <c r="D1082" i="78"/>
  <c r="C1082" i="78"/>
  <c r="J1081" i="78"/>
  <c r="I1081" i="78"/>
  <c r="H1081" i="78"/>
  <c r="G1081" i="78"/>
  <c r="F1081" i="78"/>
  <c r="E1081" i="78"/>
  <c r="D1081" i="78"/>
  <c r="C1081" i="78"/>
  <c r="J1080" i="78"/>
  <c r="I1080" i="78"/>
  <c r="H1080" i="78"/>
  <c r="G1080" i="78"/>
  <c r="F1080" i="78"/>
  <c r="E1080" i="78"/>
  <c r="D1080" i="78"/>
  <c r="C1080" i="78"/>
  <c r="J1079" i="78"/>
  <c r="I1079" i="78"/>
  <c r="H1079" i="78"/>
  <c r="G1079" i="78"/>
  <c r="F1079" i="78"/>
  <c r="E1079" i="78"/>
  <c r="D1079" i="78"/>
  <c r="C1079" i="78"/>
  <c r="J1078" i="78"/>
  <c r="I1078" i="78"/>
  <c r="H1078" i="78"/>
  <c r="G1078" i="78"/>
  <c r="F1078" i="78"/>
  <c r="E1078" i="78"/>
  <c r="D1078" i="78"/>
  <c r="C1078" i="78"/>
  <c r="J1077" i="78"/>
  <c r="I1077" i="78"/>
  <c r="H1077" i="78"/>
  <c r="G1077" i="78"/>
  <c r="F1077" i="78"/>
  <c r="E1077" i="78"/>
  <c r="D1077" i="78"/>
  <c r="C1077" i="78"/>
  <c r="J1076" i="78"/>
  <c r="I1076" i="78"/>
  <c r="H1076" i="78"/>
  <c r="G1076" i="78"/>
  <c r="F1076" i="78"/>
  <c r="E1076" i="78"/>
  <c r="D1076" i="78"/>
  <c r="C1076" i="78"/>
  <c r="J1075" i="78"/>
  <c r="I1075" i="78"/>
  <c r="H1075" i="78"/>
  <c r="G1075" i="78"/>
  <c r="F1075" i="78"/>
  <c r="E1075" i="78"/>
  <c r="D1075" i="78"/>
  <c r="C1075" i="78"/>
  <c r="J1074" i="78"/>
  <c r="I1074" i="78"/>
  <c r="H1074" i="78"/>
  <c r="G1074" i="78"/>
  <c r="F1074" i="78"/>
  <c r="E1074" i="78"/>
  <c r="D1074" i="78"/>
  <c r="C1074" i="78"/>
  <c r="J1073" i="78"/>
  <c r="I1073" i="78"/>
  <c r="H1073" i="78"/>
  <c r="G1073" i="78"/>
  <c r="F1073" i="78"/>
  <c r="E1073" i="78"/>
  <c r="D1073" i="78"/>
  <c r="C1073" i="78"/>
  <c r="J1072" i="78"/>
  <c r="I1072" i="78"/>
  <c r="H1072" i="78"/>
  <c r="G1072" i="78"/>
  <c r="F1072" i="78"/>
  <c r="E1072" i="78"/>
  <c r="D1072" i="78"/>
  <c r="C1072" i="78"/>
  <c r="J1071" i="78"/>
  <c r="I1071" i="78"/>
  <c r="H1071" i="78"/>
  <c r="G1071" i="78"/>
  <c r="F1071" i="78"/>
  <c r="E1071" i="78"/>
  <c r="D1071" i="78"/>
  <c r="C1071" i="78"/>
  <c r="J1070" i="78"/>
  <c r="I1070" i="78"/>
  <c r="H1070" i="78"/>
  <c r="G1070" i="78"/>
  <c r="F1070" i="78"/>
  <c r="E1070" i="78"/>
  <c r="D1070" i="78"/>
  <c r="C1070" i="78"/>
  <c r="J1069" i="78"/>
  <c r="I1069" i="78"/>
  <c r="H1069" i="78"/>
  <c r="G1069" i="78"/>
  <c r="F1069" i="78"/>
  <c r="E1069" i="78"/>
  <c r="D1069" i="78"/>
  <c r="C1069" i="78"/>
  <c r="J1068" i="78"/>
  <c r="I1068" i="78"/>
  <c r="H1068" i="78"/>
  <c r="G1068" i="78"/>
  <c r="F1068" i="78"/>
  <c r="E1068" i="78"/>
  <c r="D1068" i="78"/>
  <c r="C1068" i="78"/>
  <c r="J1067" i="78"/>
  <c r="I1067" i="78"/>
  <c r="H1067" i="78"/>
  <c r="G1067" i="78"/>
  <c r="F1067" i="78"/>
  <c r="E1067" i="78"/>
  <c r="D1067" i="78"/>
  <c r="C1067" i="78"/>
  <c r="J1066" i="78"/>
  <c r="I1066" i="78"/>
  <c r="H1066" i="78"/>
  <c r="G1066" i="78"/>
  <c r="F1066" i="78"/>
  <c r="E1066" i="78"/>
  <c r="D1066" i="78"/>
  <c r="C1066" i="78"/>
  <c r="J1065" i="78"/>
  <c r="I1065" i="78"/>
  <c r="H1065" i="78"/>
  <c r="G1065" i="78"/>
  <c r="F1065" i="78"/>
  <c r="E1065" i="78"/>
  <c r="D1065" i="78"/>
  <c r="C1065" i="78"/>
  <c r="J1064" i="78"/>
  <c r="I1064" i="78"/>
  <c r="H1064" i="78"/>
  <c r="G1064" i="78"/>
  <c r="F1064" i="78"/>
  <c r="E1064" i="78"/>
  <c r="D1064" i="78"/>
  <c r="C1064" i="78"/>
  <c r="J1063" i="78"/>
  <c r="I1063" i="78"/>
  <c r="H1063" i="78"/>
  <c r="G1063" i="78"/>
  <c r="F1063" i="78"/>
  <c r="E1063" i="78"/>
  <c r="D1063" i="78"/>
  <c r="C1063" i="78"/>
  <c r="J1062" i="78"/>
  <c r="I1062" i="78"/>
  <c r="H1062" i="78"/>
  <c r="G1062" i="78"/>
  <c r="F1062" i="78"/>
  <c r="E1062" i="78"/>
  <c r="D1062" i="78"/>
  <c r="C1062" i="78"/>
  <c r="J1061" i="78"/>
  <c r="I1061" i="78"/>
  <c r="H1061" i="78"/>
  <c r="G1061" i="78"/>
  <c r="F1061" i="78"/>
  <c r="E1061" i="78"/>
  <c r="D1061" i="78"/>
  <c r="C1061" i="78"/>
  <c r="J1060" i="78"/>
  <c r="I1060" i="78"/>
  <c r="H1060" i="78"/>
  <c r="G1060" i="78"/>
  <c r="F1060" i="78"/>
  <c r="E1060" i="78"/>
  <c r="D1060" i="78"/>
  <c r="C1060" i="78"/>
  <c r="J1059" i="78"/>
  <c r="I1059" i="78"/>
  <c r="H1059" i="78"/>
  <c r="G1059" i="78"/>
  <c r="F1059" i="78"/>
  <c r="E1059" i="78"/>
  <c r="D1059" i="78"/>
  <c r="C1059" i="78"/>
  <c r="J1058" i="78"/>
  <c r="I1058" i="78"/>
  <c r="H1058" i="78"/>
  <c r="G1058" i="78"/>
  <c r="F1058" i="78"/>
  <c r="E1058" i="78"/>
  <c r="D1058" i="78"/>
  <c r="C1058" i="78"/>
  <c r="J1057" i="78"/>
  <c r="I1057" i="78"/>
  <c r="H1057" i="78"/>
  <c r="G1057" i="78"/>
  <c r="F1057" i="78"/>
  <c r="E1057" i="78"/>
  <c r="D1057" i="78"/>
  <c r="C1057" i="78"/>
  <c r="J1056" i="78"/>
  <c r="I1056" i="78"/>
  <c r="H1056" i="78"/>
  <c r="G1056" i="78"/>
  <c r="F1056" i="78"/>
  <c r="E1056" i="78"/>
  <c r="D1056" i="78"/>
  <c r="C1056" i="78"/>
  <c r="J1055" i="78"/>
  <c r="I1055" i="78"/>
  <c r="H1055" i="78"/>
  <c r="G1055" i="78"/>
  <c r="F1055" i="78"/>
  <c r="E1055" i="78"/>
  <c r="D1055" i="78"/>
  <c r="C1055" i="78"/>
  <c r="J1054" i="78"/>
  <c r="I1054" i="78"/>
  <c r="H1054" i="78"/>
  <c r="G1054" i="78"/>
  <c r="F1054" i="78"/>
  <c r="E1054" i="78"/>
  <c r="D1054" i="78"/>
  <c r="C1054" i="78"/>
  <c r="J1053" i="78"/>
  <c r="I1053" i="78"/>
  <c r="H1053" i="78"/>
  <c r="G1053" i="78"/>
  <c r="F1053" i="78"/>
  <c r="E1053" i="78"/>
  <c r="D1053" i="78"/>
  <c r="C1053" i="78"/>
  <c r="J1052" i="78"/>
  <c r="I1052" i="78"/>
  <c r="H1052" i="78"/>
  <c r="G1052" i="78"/>
  <c r="F1052" i="78"/>
  <c r="E1052" i="78"/>
  <c r="D1052" i="78"/>
  <c r="C1052" i="78"/>
  <c r="J1051" i="78"/>
  <c r="I1051" i="78"/>
  <c r="H1051" i="78"/>
  <c r="G1051" i="78"/>
  <c r="F1051" i="78"/>
  <c r="E1051" i="78"/>
  <c r="D1051" i="78"/>
  <c r="C1051" i="78"/>
  <c r="J1050" i="78"/>
  <c r="I1050" i="78"/>
  <c r="H1050" i="78"/>
  <c r="G1050" i="78"/>
  <c r="F1050" i="78"/>
  <c r="E1050" i="78"/>
  <c r="D1050" i="78"/>
  <c r="C1050" i="78"/>
  <c r="J1049" i="78"/>
  <c r="I1049" i="78"/>
  <c r="H1049" i="78"/>
  <c r="G1049" i="78"/>
  <c r="F1049" i="78"/>
  <c r="E1049" i="78"/>
  <c r="D1049" i="78"/>
  <c r="C1049" i="78"/>
  <c r="J1048" i="78"/>
  <c r="I1048" i="78"/>
  <c r="H1048" i="78"/>
  <c r="G1048" i="78"/>
  <c r="F1048" i="78"/>
  <c r="E1048" i="78"/>
  <c r="D1048" i="78"/>
  <c r="C1048" i="78"/>
  <c r="J1047" i="78"/>
  <c r="I1047" i="78"/>
  <c r="H1047" i="78"/>
  <c r="G1047" i="78"/>
  <c r="F1047" i="78"/>
  <c r="E1047" i="78"/>
  <c r="D1047" i="78"/>
  <c r="C1047" i="78"/>
  <c r="J1046" i="78"/>
  <c r="I1046" i="78"/>
  <c r="H1046" i="78"/>
  <c r="G1046" i="78"/>
  <c r="F1046" i="78"/>
  <c r="E1046" i="78"/>
  <c r="D1046" i="78"/>
  <c r="C1046" i="78"/>
  <c r="J1045" i="78"/>
  <c r="I1045" i="78"/>
  <c r="H1045" i="78"/>
  <c r="G1045" i="78"/>
  <c r="F1045" i="78"/>
  <c r="E1045" i="78"/>
  <c r="D1045" i="78"/>
  <c r="C1045" i="78"/>
  <c r="J1044" i="78"/>
  <c r="I1044" i="78"/>
  <c r="H1044" i="78"/>
  <c r="G1044" i="78"/>
  <c r="F1044" i="78"/>
  <c r="E1044" i="78"/>
  <c r="D1044" i="78"/>
  <c r="C1044" i="78"/>
  <c r="J1043" i="78"/>
  <c r="I1043" i="78"/>
  <c r="H1043" i="78"/>
  <c r="G1043" i="78"/>
  <c r="F1043" i="78"/>
  <c r="E1043" i="78"/>
  <c r="D1043" i="78"/>
  <c r="C1043" i="78"/>
  <c r="J1042" i="78"/>
  <c r="I1042" i="78"/>
  <c r="H1042" i="78"/>
  <c r="G1042" i="78"/>
  <c r="F1042" i="78"/>
  <c r="E1042" i="78"/>
  <c r="D1042" i="78"/>
  <c r="C1042" i="78"/>
  <c r="J1041" i="78"/>
  <c r="I1041" i="78"/>
  <c r="H1041" i="78"/>
  <c r="G1041" i="78"/>
  <c r="F1041" i="78"/>
  <c r="E1041" i="78"/>
  <c r="D1041" i="78"/>
  <c r="C1041" i="78"/>
  <c r="J1040" i="78"/>
  <c r="I1040" i="78"/>
  <c r="H1040" i="78"/>
  <c r="G1040" i="78"/>
  <c r="F1040" i="78"/>
  <c r="E1040" i="78"/>
  <c r="D1040" i="78"/>
  <c r="C1040" i="78"/>
  <c r="J1039" i="78"/>
  <c r="I1039" i="78"/>
  <c r="H1039" i="78"/>
  <c r="G1039" i="78"/>
  <c r="F1039" i="78"/>
  <c r="E1039" i="78"/>
  <c r="D1039" i="78"/>
  <c r="C1039" i="78"/>
  <c r="J1038" i="78"/>
  <c r="I1038" i="78"/>
  <c r="H1038" i="78"/>
  <c r="G1038" i="78"/>
  <c r="F1038" i="78"/>
  <c r="E1038" i="78"/>
  <c r="D1038" i="78"/>
  <c r="C1038" i="78"/>
  <c r="J1037" i="78"/>
  <c r="I1037" i="78"/>
  <c r="H1037" i="78"/>
  <c r="G1037" i="78"/>
  <c r="F1037" i="78"/>
  <c r="E1037" i="78"/>
  <c r="D1037" i="78"/>
  <c r="C1037" i="78"/>
  <c r="J1036" i="78"/>
  <c r="I1036" i="78"/>
  <c r="H1036" i="78"/>
  <c r="G1036" i="78"/>
  <c r="F1036" i="78"/>
  <c r="E1036" i="78"/>
  <c r="D1036" i="78"/>
  <c r="C1036" i="78"/>
  <c r="J1035" i="78"/>
  <c r="I1035" i="78"/>
  <c r="H1035" i="78"/>
  <c r="G1035" i="78"/>
  <c r="F1035" i="78"/>
  <c r="E1035" i="78"/>
  <c r="D1035" i="78"/>
  <c r="C1035" i="78"/>
  <c r="J1034" i="78"/>
  <c r="I1034" i="78"/>
  <c r="H1034" i="78"/>
  <c r="G1034" i="78"/>
  <c r="F1034" i="78"/>
  <c r="E1034" i="78"/>
  <c r="D1034" i="78"/>
  <c r="C1034" i="78"/>
  <c r="J1033" i="78"/>
  <c r="I1033" i="78"/>
  <c r="H1033" i="78"/>
  <c r="G1033" i="78"/>
  <c r="F1033" i="78"/>
  <c r="E1033" i="78"/>
  <c r="D1033" i="78"/>
  <c r="C1033" i="78"/>
  <c r="J1032" i="78"/>
  <c r="I1032" i="78"/>
  <c r="H1032" i="78"/>
  <c r="G1032" i="78"/>
  <c r="F1032" i="78"/>
  <c r="E1032" i="78"/>
  <c r="D1032" i="78"/>
  <c r="C1032" i="78"/>
  <c r="J1031" i="78"/>
  <c r="I1031" i="78"/>
  <c r="H1031" i="78"/>
  <c r="G1031" i="78"/>
  <c r="F1031" i="78"/>
  <c r="E1031" i="78"/>
  <c r="D1031" i="78"/>
  <c r="C1031" i="78"/>
  <c r="J1030" i="78"/>
  <c r="I1030" i="78"/>
  <c r="H1030" i="78"/>
  <c r="G1030" i="78"/>
  <c r="F1030" i="78"/>
  <c r="E1030" i="78"/>
  <c r="D1030" i="78"/>
  <c r="C1030" i="78"/>
  <c r="J1029" i="78"/>
  <c r="I1029" i="78"/>
  <c r="H1029" i="78"/>
  <c r="G1029" i="78"/>
  <c r="F1029" i="78"/>
  <c r="E1029" i="78"/>
  <c r="D1029" i="78"/>
  <c r="C1029" i="78"/>
  <c r="J1028" i="78"/>
  <c r="I1028" i="78"/>
  <c r="H1028" i="78"/>
  <c r="G1028" i="78"/>
  <c r="F1028" i="78"/>
  <c r="E1028" i="78"/>
  <c r="D1028" i="78"/>
  <c r="C1028" i="78"/>
  <c r="J1027" i="78"/>
  <c r="I1027" i="78"/>
  <c r="H1027" i="78"/>
  <c r="G1027" i="78"/>
  <c r="F1027" i="78"/>
  <c r="E1027" i="78"/>
  <c r="D1027" i="78"/>
  <c r="C1027" i="78"/>
  <c r="J1026" i="78"/>
  <c r="I1026" i="78"/>
  <c r="H1026" i="78"/>
  <c r="G1026" i="78"/>
  <c r="F1026" i="78"/>
  <c r="E1026" i="78"/>
  <c r="D1026" i="78"/>
  <c r="C1026" i="78"/>
  <c r="J1025" i="78"/>
  <c r="I1025" i="78"/>
  <c r="H1025" i="78"/>
  <c r="G1025" i="78"/>
  <c r="F1025" i="78"/>
  <c r="E1025" i="78"/>
  <c r="D1025" i="78"/>
  <c r="C1025" i="78"/>
  <c r="J1024" i="78"/>
  <c r="I1024" i="78"/>
  <c r="H1024" i="78"/>
  <c r="G1024" i="78"/>
  <c r="F1024" i="78"/>
  <c r="E1024" i="78"/>
  <c r="D1024" i="78"/>
  <c r="C1024" i="78"/>
  <c r="J1023" i="78"/>
  <c r="I1023" i="78"/>
  <c r="H1023" i="78"/>
  <c r="G1023" i="78"/>
  <c r="F1023" i="78"/>
  <c r="E1023" i="78"/>
  <c r="D1023" i="78"/>
  <c r="C1023" i="78"/>
  <c r="J1022" i="78"/>
  <c r="I1022" i="78"/>
  <c r="H1022" i="78"/>
  <c r="G1022" i="78"/>
  <c r="F1022" i="78"/>
  <c r="E1022" i="78"/>
  <c r="D1022" i="78"/>
  <c r="C1022" i="78"/>
  <c r="J1021" i="78"/>
  <c r="I1021" i="78"/>
  <c r="H1021" i="78"/>
  <c r="G1021" i="78"/>
  <c r="F1021" i="78"/>
  <c r="E1021" i="78"/>
  <c r="D1021" i="78"/>
  <c r="C1021" i="78"/>
  <c r="J1020" i="78"/>
  <c r="I1020" i="78"/>
  <c r="H1020" i="78"/>
  <c r="G1020" i="78"/>
  <c r="F1020" i="78"/>
  <c r="E1020" i="78"/>
  <c r="D1020" i="78"/>
  <c r="C1020" i="78"/>
  <c r="J1019" i="78"/>
  <c r="I1019" i="78"/>
  <c r="H1019" i="78"/>
  <c r="G1019" i="78"/>
  <c r="F1019" i="78"/>
  <c r="E1019" i="78"/>
  <c r="D1019" i="78"/>
  <c r="C1019" i="78"/>
  <c r="J1018" i="78"/>
  <c r="I1018" i="78"/>
  <c r="H1018" i="78"/>
  <c r="G1018" i="78"/>
  <c r="F1018" i="78"/>
  <c r="E1018" i="78"/>
  <c r="D1018" i="78"/>
  <c r="C1018" i="78"/>
  <c r="J1017" i="78"/>
  <c r="I1017" i="78"/>
  <c r="H1017" i="78"/>
  <c r="G1017" i="78"/>
  <c r="F1017" i="78"/>
  <c r="E1017" i="78"/>
  <c r="D1017" i="78"/>
  <c r="C1017" i="78"/>
  <c r="J1016" i="78"/>
  <c r="I1016" i="78"/>
  <c r="H1016" i="78"/>
  <c r="G1016" i="78"/>
  <c r="F1016" i="78"/>
  <c r="E1016" i="78"/>
  <c r="D1016" i="78"/>
  <c r="C1016" i="78"/>
  <c r="J1015" i="78"/>
  <c r="I1015" i="78"/>
  <c r="H1015" i="78"/>
  <c r="G1015" i="78"/>
  <c r="F1015" i="78"/>
  <c r="E1015" i="78"/>
  <c r="D1015" i="78"/>
  <c r="C1015" i="78"/>
  <c r="J1014" i="78"/>
  <c r="I1014" i="78"/>
  <c r="H1014" i="78"/>
  <c r="G1014" i="78"/>
  <c r="F1014" i="78"/>
  <c r="E1014" i="78"/>
  <c r="D1014" i="78"/>
  <c r="C1014" i="78"/>
  <c r="J1013" i="78"/>
  <c r="I1013" i="78"/>
  <c r="H1013" i="78"/>
  <c r="G1013" i="78"/>
  <c r="F1013" i="78"/>
  <c r="E1013" i="78"/>
  <c r="D1013" i="78"/>
  <c r="C1013" i="78"/>
  <c r="J1012" i="78"/>
  <c r="I1012" i="78"/>
  <c r="H1012" i="78"/>
  <c r="G1012" i="78"/>
  <c r="F1012" i="78"/>
  <c r="E1012" i="78"/>
  <c r="D1012" i="78"/>
  <c r="C1012" i="78"/>
  <c r="J1011" i="78"/>
  <c r="I1011" i="78"/>
  <c r="H1011" i="78"/>
  <c r="G1011" i="78"/>
  <c r="F1011" i="78"/>
  <c r="E1011" i="78"/>
  <c r="D1011" i="78"/>
  <c r="C1011" i="78"/>
  <c r="J1010" i="78"/>
  <c r="I1010" i="78"/>
  <c r="H1010" i="78"/>
  <c r="G1010" i="78"/>
  <c r="F1010" i="78"/>
  <c r="E1010" i="78"/>
  <c r="D1010" i="78"/>
  <c r="C1010" i="78"/>
  <c r="J1009" i="78"/>
  <c r="I1009" i="78"/>
  <c r="H1009" i="78"/>
  <c r="G1009" i="78"/>
  <c r="F1009" i="78"/>
  <c r="E1009" i="78"/>
  <c r="D1009" i="78"/>
  <c r="C1009" i="78"/>
  <c r="J1008" i="78"/>
  <c r="I1008" i="78"/>
  <c r="H1008" i="78"/>
  <c r="G1008" i="78"/>
  <c r="F1008" i="78"/>
  <c r="E1008" i="78"/>
  <c r="D1008" i="78"/>
  <c r="C1008" i="78"/>
  <c r="J1007" i="78"/>
  <c r="I1007" i="78"/>
  <c r="H1007" i="78"/>
  <c r="G1007" i="78"/>
  <c r="F1007" i="78"/>
  <c r="E1007" i="78"/>
  <c r="D1007" i="78"/>
  <c r="C1007" i="78"/>
  <c r="J1006" i="78"/>
  <c r="I1006" i="78"/>
  <c r="H1006" i="78"/>
  <c r="G1006" i="78"/>
  <c r="F1006" i="78"/>
  <c r="E1006" i="78"/>
  <c r="D1006" i="78"/>
  <c r="C1006" i="78"/>
  <c r="J1005" i="78"/>
  <c r="I1005" i="78"/>
  <c r="H1005" i="78"/>
  <c r="G1005" i="78"/>
  <c r="F1005" i="78"/>
  <c r="E1005" i="78"/>
  <c r="D1005" i="78"/>
  <c r="C1005" i="78"/>
  <c r="J1004" i="78"/>
  <c r="I1004" i="78"/>
  <c r="H1004" i="78"/>
  <c r="G1004" i="78"/>
  <c r="F1004" i="78"/>
  <c r="E1004" i="78"/>
  <c r="D1004" i="78"/>
  <c r="C1004" i="78"/>
  <c r="J1003" i="78"/>
  <c r="I1003" i="78"/>
  <c r="H1003" i="78"/>
  <c r="G1003" i="78"/>
  <c r="F1003" i="78"/>
  <c r="E1003" i="78"/>
  <c r="D1003" i="78"/>
  <c r="C1003" i="78"/>
  <c r="J1002" i="78"/>
  <c r="I1002" i="78"/>
  <c r="H1002" i="78"/>
  <c r="G1002" i="78"/>
  <c r="F1002" i="78"/>
  <c r="E1002" i="78"/>
  <c r="D1002" i="78"/>
  <c r="C1002" i="78"/>
  <c r="J1001" i="78"/>
  <c r="I1001" i="78"/>
  <c r="H1001" i="78"/>
  <c r="G1001" i="78"/>
  <c r="F1001" i="78"/>
  <c r="E1001" i="78"/>
  <c r="D1001" i="78"/>
  <c r="C1001" i="78"/>
  <c r="J1000" i="78"/>
  <c r="I1000" i="78"/>
  <c r="H1000" i="78"/>
  <c r="G1000" i="78"/>
  <c r="F1000" i="78"/>
  <c r="E1000" i="78"/>
  <c r="D1000" i="78"/>
  <c r="C1000" i="78"/>
  <c r="J999" i="78"/>
  <c r="I999" i="78"/>
  <c r="H999" i="78"/>
  <c r="G999" i="78"/>
  <c r="F999" i="78"/>
  <c r="E999" i="78"/>
  <c r="D999" i="78"/>
  <c r="C999" i="78"/>
  <c r="J998" i="78"/>
  <c r="I998" i="78"/>
  <c r="H998" i="78"/>
  <c r="G998" i="78"/>
  <c r="F998" i="78"/>
  <c r="E998" i="78"/>
  <c r="D998" i="78"/>
  <c r="C998" i="78"/>
  <c r="J997" i="78"/>
  <c r="I997" i="78"/>
  <c r="H997" i="78"/>
  <c r="G997" i="78"/>
  <c r="F997" i="78"/>
  <c r="E997" i="78"/>
  <c r="D997" i="78"/>
  <c r="C997" i="78"/>
  <c r="J996" i="78"/>
  <c r="I996" i="78"/>
  <c r="H996" i="78"/>
  <c r="G996" i="78"/>
  <c r="F996" i="78"/>
  <c r="E996" i="78"/>
  <c r="D996" i="78"/>
  <c r="C996" i="78"/>
  <c r="J995" i="78"/>
  <c r="I995" i="78"/>
  <c r="H995" i="78"/>
  <c r="G995" i="78"/>
  <c r="F995" i="78"/>
  <c r="E995" i="78"/>
  <c r="D995" i="78"/>
  <c r="C995" i="78"/>
  <c r="J994" i="78"/>
  <c r="I994" i="78"/>
  <c r="H994" i="78"/>
  <c r="G994" i="78"/>
  <c r="F994" i="78"/>
  <c r="E994" i="78"/>
  <c r="D994" i="78"/>
  <c r="C994" i="78"/>
  <c r="J993" i="78"/>
  <c r="I993" i="78"/>
  <c r="H993" i="78"/>
  <c r="G993" i="78"/>
  <c r="F993" i="78"/>
  <c r="E993" i="78"/>
  <c r="D993" i="78"/>
  <c r="C993" i="78"/>
  <c r="J992" i="78"/>
  <c r="I992" i="78"/>
  <c r="H992" i="78"/>
  <c r="G992" i="78"/>
  <c r="F992" i="78"/>
  <c r="E992" i="78"/>
  <c r="D992" i="78"/>
  <c r="C992" i="78"/>
  <c r="J991" i="78"/>
  <c r="I991" i="78"/>
  <c r="H991" i="78"/>
  <c r="G991" i="78"/>
  <c r="F991" i="78"/>
  <c r="E991" i="78"/>
  <c r="D991" i="78"/>
  <c r="C991" i="78"/>
  <c r="J990" i="78"/>
  <c r="I990" i="78"/>
  <c r="H990" i="78"/>
  <c r="G990" i="78"/>
  <c r="F990" i="78"/>
  <c r="E990" i="78"/>
  <c r="D990" i="78"/>
  <c r="C990" i="78"/>
  <c r="J989" i="78"/>
  <c r="I989" i="78"/>
  <c r="H989" i="78"/>
  <c r="G989" i="78"/>
  <c r="F989" i="78"/>
  <c r="E989" i="78"/>
  <c r="D989" i="78"/>
  <c r="C989" i="78"/>
  <c r="J988" i="78"/>
  <c r="I988" i="78"/>
  <c r="H988" i="78"/>
  <c r="G988" i="78"/>
  <c r="F988" i="78"/>
  <c r="E988" i="78"/>
  <c r="D988" i="78"/>
  <c r="C988" i="78"/>
  <c r="J987" i="78"/>
  <c r="I987" i="78"/>
  <c r="H987" i="78"/>
  <c r="G987" i="78"/>
  <c r="F987" i="78"/>
  <c r="E987" i="78"/>
  <c r="D987" i="78"/>
  <c r="C987" i="78"/>
  <c r="J986" i="78"/>
  <c r="I986" i="78"/>
  <c r="H986" i="78"/>
  <c r="G986" i="78"/>
  <c r="F986" i="78"/>
  <c r="E986" i="78"/>
  <c r="D986" i="78"/>
  <c r="C986" i="78"/>
  <c r="J985" i="78"/>
  <c r="I985" i="78"/>
  <c r="H985" i="78"/>
  <c r="G985" i="78"/>
  <c r="F985" i="78"/>
  <c r="E985" i="78"/>
  <c r="D985" i="78"/>
  <c r="C985" i="78"/>
  <c r="J984" i="78"/>
  <c r="I984" i="78"/>
  <c r="H984" i="78"/>
  <c r="G984" i="78"/>
  <c r="F984" i="78"/>
  <c r="E984" i="78"/>
  <c r="D984" i="78"/>
  <c r="C984" i="78"/>
  <c r="J983" i="78"/>
  <c r="I983" i="78"/>
  <c r="H983" i="78"/>
  <c r="G983" i="78"/>
  <c r="F983" i="78"/>
  <c r="E983" i="78"/>
  <c r="D983" i="78"/>
  <c r="C983" i="78"/>
  <c r="J982" i="78"/>
  <c r="I982" i="78"/>
  <c r="H982" i="78"/>
  <c r="G982" i="78"/>
  <c r="F982" i="78"/>
  <c r="E982" i="78"/>
  <c r="D982" i="78"/>
  <c r="C982" i="78"/>
  <c r="J981" i="78"/>
  <c r="I981" i="78"/>
  <c r="H981" i="78"/>
  <c r="G981" i="78"/>
  <c r="F981" i="78"/>
  <c r="E981" i="78"/>
  <c r="D981" i="78"/>
  <c r="C981" i="78"/>
  <c r="J980" i="78"/>
  <c r="I980" i="78"/>
  <c r="H980" i="78"/>
  <c r="G980" i="78"/>
  <c r="F980" i="78"/>
  <c r="E980" i="78"/>
  <c r="D980" i="78"/>
  <c r="C980" i="78"/>
  <c r="J979" i="78"/>
  <c r="I979" i="78"/>
  <c r="H979" i="78"/>
  <c r="G979" i="78"/>
  <c r="F979" i="78"/>
  <c r="E979" i="78"/>
  <c r="D979" i="78"/>
  <c r="C979" i="78"/>
  <c r="J978" i="78"/>
  <c r="I978" i="78"/>
  <c r="H978" i="78"/>
  <c r="G978" i="78"/>
  <c r="F978" i="78"/>
  <c r="E978" i="78"/>
  <c r="D978" i="78"/>
  <c r="C978" i="78"/>
  <c r="J977" i="78"/>
  <c r="I977" i="78"/>
  <c r="H977" i="78"/>
  <c r="G977" i="78"/>
  <c r="F977" i="78"/>
  <c r="E977" i="78"/>
  <c r="D977" i="78"/>
  <c r="C977" i="78"/>
  <c r="J976" i="78"/>
  <c r="I976" i="78"/>
  <c r="H976" i="78"/>
  <c r="G976" i="78"/>
  <c r="F976" i="78"/>
  <c r="E976" i="78"/>
  <c r="D976" i="78"/>
  <c r="C976" i="78"/>
  <c r="J975" i="78"/>
  <c r="I975" i="78"/>
  <c r="H975" i="78"/>
  <c r="G975" i="78"/>
  <c r="F975" i="78"/>
  <c r="E975" i="78"/>
  <c r="D975" i="78"/>
  <c r="C975" i="78"/>
  <c r="J974" i="78"/>
  <c r="I974" i="78"/>
  <c r="H974" i="78"/>
  <c r="G974" i="78"/>
  <c r="F974" i="78"/>
  <c r="E974" i="78"/>
  <c r="D974" i="78"/>
  <c r="C974" i="78"/>
  <c r="J973" i="78"/>
  <c r="I973" i="78"/>
  <c r="H973" i="78"/>
  <c r="G973" i="78"/>
  <c r="F973" i="78"/>
  <c r="E973" i="78"/>
  <c r="D973" i="78"/>
  <c r="C973" i="78"/>
  <c r="J972" i="78"/>
  <c r="I972" i="78"/>
  <c r="H972" i="78"/>
  <c r="G972" i="78"/>
  <c r="F972" i="78"/>
  <c r="E972" i="78"/>
  <c r="D972" i="78"/>
  <c r="C972" i="78"/>
  <c r="J971" i="78"/>
  <c r="I971" i="78"/>
  <c r="H971" i="78"/>
  <c r="G971" i="78"/>
  <c r="F971" i="78"/>
  <c r="E971" i="78"/>
  <c r="D971" i="78"/>
  <c r="C971" i="78"/>
  <c r="J970" i="78"/>
  <c r="I970" i="78"/>
  <c r="H970" i="78"/>
  <c r="G970" i="78"/>
  <c r="F970" i="78"/>
  <c r="E970" i="78"/>
  <c r="D970" i="78"/>
  <c r="C970" i="78"/>
  <c r="J969" i="78"/>
  <c r="I969" i="78"/>
  <c r="H969" i="78"/>
  <c r="G969" i="78"/>
  <c r="F969" i="78"/>
  <c r="E969" i="78"/>
  <c r="D969" i="78"/>
  <c r="C969" i="78"/>
  <c r="J968" i="78"/>
  <c r="I968" i="78"/>
  <c r="H968" i="78"/>
  <c r="G968" i="78"/>
  <c r="F968" i="78"/>
  <c r="E968" i="78"/>
  <c r="D968" i="78"/>
  <c r="C968" i="78"/>
  <c r="J967" i="78"/>
  <c r="I967" i="78"/>
  <c r="H967" i="78"/>
  <c r="G967" i="78"/>
  <c r="F967" i="78"/>
  <c r="E967" i="78"/>
  <c r="D967" i="78"/>
  <c r="C967" i="78"/>
  <c r="J966" i="78"/>
  <c r="I966" i="78"/>
  <c r="H966" i="78"/>
  <c r="G966" i="78"/>
  <c r="F966" i="78"/>
  <c r="E966" i="78"/>
  <c r="D966" i="78"/>
  <c r="C966" i="78"/>
  <c r="J965" i="78"/>
  <c r="I965" i="78"/>
  <c r="H965" i="78"/>
  <c r="G965" i="78"/>
  <c r="F965" i="78"/>
  <c r="E965" i="78"/>
  <c r="D965" i="78"/>
  <c r="C965" i="78"/>
  <c r="J964" i="78"/>
  <c r="I964" i="78"/>
  <c r="H964" i="78"/>
  <c r="G964" i="78"/>
  <c r="F964" i="78"/>
  <c r="E964" i="78"/>
  <c r="D964" i="78"/>
  <c r="C964" i="78"/>
  <c r="J963" i="78"/>
  <c r="I963" i="78"/>
  <c r="H963" i="78"/>
  <c r="G963" i="78"/>
  <c r="F963" i="78"/>
  <c r="E963" i="78"/>
  <c r="D963" i="78"/>
  <c r="C963" i="78"/>
  <c r="J962" i="78"/>
  <c r="I962" i="78"/>
  <c r="H962" i="78"/>
  <c r="G962" i="78"/>
  <c r="F962" i="78"/>
  <c r="E962" i="78"/>
  <c r="D962" i="78"/>
  <c r="C962" i="78"/>
  <c r="J961" i="78"/>
  <c r="I961" i="78"/>
  <c r="H961" i="78"/>
  <c r="G961" i="78"/>
  <c r="F961" i="78"/>
  <c r="E961" i="78"/>
  <c r="D961" i="78"/>
  <c r="C961" i="78"/>
  <c r="J960" i="78"/>
  <c r="I960" i="78"/>
  <c r="H960" i="78"/>
  <c r="G960" i="78"/>
  <c r="F960" i="78"/>
  <c r="E960" i="78"/>
  <c r="D960" i="78"/>
  <c r="C960" i="78"/>
  <c r="J959" i="78"/>
  <c r="I959" i="78"/>
  <c r="H959" i="78"/>
  <c r="G959" i="78"/>
  <c r="F959" i="78"/>
  <c r="E959" i="78"/>
  <c r="D959" i="78"/>
  <c r="C959" i="78"/>
  <c r="J958" i="78"/>
  <c r="I958" i="78"/>
  <c r="H958" i="78"/>
  <c r="G958" i="78"/>
  <c r="F958" i="78"/>
  <c r="E958" i="78"/>
  <c r="D958" i="78"/>
  <c r="C958" i="78"/>
  <c r="J957" i="78"/>
  <c r="I957" i="78"/>
  <c r="H957" i="78"/>
  <c r="G957" i="78"/>
  <c r="F957" i="78"/>
  <c r="E957" i="78"/>
  <c r="D957" i="78"/>
  <c r="C957" i="78"/>
  <c r="J956" i="78"/>
  <c r="I956" i="78"/>
  <c r="H956" i="78"/>
  <c r="G956" i="78"/>
  <c r="F956" i="78"/>
  <c r="E956" i="78"/>
  <c r="D956" i="78"/>
  <c r="C956" i="78"/>
  <c r="J955" i="78"/>
  <c r="I955" i="78"/>
  <c r="H955" i="78"/>
  <c r="G955" i="78"/>
  <c r="F955" i="78"/>
  <c r="E955" i="78"/>
  <c r="D955" i="78"/>
  <c r="C955" i="78"/>
  <c r="J954" i="78"/>
  <c r="I954" i="78"/>
  <c r="H954" i="78"/>
  <c r="G954" i="78"/>
  <c r="F954" i="78"/>
  <c r="E954" i="78"/>
  <c r="D954" i="78"/>
  <c r="C954" i="78"/>
  <c r="J953" i="78"/>
  <c r="I953" i="78"/>
  <c r="H953" i="78"/>
  <c r="G953" i="78"/>
  <c r="F953" i="78"/>
  <c r="E953" i="78"/>
  <c r="D953" i="78"/>
  <c r="C953" i="78"/>
  <c r="J952" i="78"/>
  <c r="I952" i="78"/>
  <c r="H952" i="78"/>
  <c r="G952" i="78"/>
  <c r="F952" i="78"/>
  <c r="E952" i="78"/>
  <c r="D952" i="78"/>
  <c r="C952" i="78"/>
  <c r="J951" i="78"/>
  <c r="I951" i="78"/>
  <c r="H951" i="78"/>
  <c r="G951" i="78"/>
  <c r="F951" i="78"/>
  <c r="E951" i="78"/>
  <c r="D951" i="78"/>
  <c r="C951" i="78"/>
  <c r="J950" i="78"/>
  <c r="I950" i="78"/>
  <c r="H950" i="78"/>
  <c r="G950" i="78"/>
  <c r="F950" i="78"/>
  <c r="E950" i="78"/>
  <c r="D950" i="78"/>
  <c r="C950" i="78"/>
  <c r="J949" i="78"/>
  <c r="I949" i="78"/>
  <c r="H949" i="78"/>
  <c r="G949" i="78"/>
  <c r="F949" i="78"/>
  <c r="E949" i="78"/>
  <c r="D949" i="78"/>
  <c r="C949" i="78"/>
  <c r="J948" i="78"/>
  <c r="I948" i="78"/>
  <c r="H948" i="78"/>
  <c r="G948" i="78"/>
  <c r="F948" i="78"/>
  <c r="E948" i="78"/>
  <c r="D948" i="78"/>
  <c r="C948" i="78"/>
  <c r="J947" i="78"/>
  <c r="I947" i="78"/>
  <c r="H947" i="78"/>
  <c r="G947" i="78"/>
  <c r="F947" i="78"/>
  <c r="E947" i="78"/>
  <c r="D947" i="78"/>
  <c r="C947" i="78"/>
  <c r="J946" i="78"/>
  <c r="I946" i="78"/>
  <c r="H946" i="78"/>
  <c r="G946" i="78"/>
  <c r="F946" i="78"/>
  <c r="E946" i="78"/>
  <c r="D946" i="78"/>
  <c r="C946" i="78"/>
  <c r="J945" i="78"/>
  <c r="I945" i="78"/>
  <c r="H945" i="78"/>
  <c r="G945" i="78"/>
  <c r="F945" i="78"/>
  <c r="E945" i="78"/>
  <c r="D945" i="78"/>
  <c r="C945" i="78"/>
  <c r="J944" i="78"/>
  <c r="I944" i="78"/>
  <c r="H944" i="78"/>
  <c r="G944" i="78"/>
  <c r="F944" i="78"/>
  <c r="E944" i="78"/>
  <c r="D944" i="78"/>
  <c r="C944" i="78"/>
  <c r="J943" i="78"/>
  <c r="I943" i="78"/>
  <c r="H943" i="78"/>
  <c r="G943" i="78"/>
  <c r="F943" i="78"/>
  <c r="E943" i="78"/>
  <c r="D943" i="78"/>
  <c r="C943" i="78"/>
  <c r="J942" i="78"/>
  <c r="I942" i="78"/>
  <c r="H942" i="78"/>
  <c r="G942" i="78"/>
  <c r="F942" i="78"/>
  <c r="E942" i="78"/>
  <c r="D942" i="78"/>
  <c r="C942" i="78"/>
  <c r="J941" i="78"/>
  <c r="I941" i="78"/>
  <c r="H941" i="78"/>
  <c r="G941" i="78"/>
  <c r="F941" i="78"/>
  <c r="E941" i="78"/>
  <c r="D941" i="78"/>
  <c r="C941" i="78"/>
  <c r="J940" i="78"/>
  <c r="I940" i="78"/>
  <c r="H940" i="78"/>
  <c r="G940" i="78"/>
  <c r="F940" i="78"/>
  <c r="E940" i="78"/>
  <c r="D940" i="78"/>
  <c r="C940" i="78"/>
  <c r="J939" i="78"/>
  <c r="I939" i="78"/>
  <c r="H939" i="78"/>
  <c r="G939" i="78"/>
  <c r="F939" i="78"/>
  <c r="E939" i="78"/>
  <c r="D939" i="78"/>
  <c r="C939" i="78"/>
  <c r="J938" i="78"/>
  <c r="I938" i="78"/>
  <c r="H938" i="78"/>
  <c r="G938" i="78"/>
  <c r="F938" i="78"/>
  <c r="E938" i="78"/>
  <c r="D938" i="78"/>
  <c r="C938" i="78"/>
  <c r="J937" i="78"/>
  <c r="I937" i="78"/>
  <c r="H937" i="78"/>
  <c r="G937" i="78"/>
  <c r="F937" i="78"/>
  <c r="E937" i="78"/>
  <c r="D937" i="78"/>
  <c r="C937" i="78"/>
  <c r="J936" i="78"/>
  <c r="I936" i="78"/>
  <c r="H936" i="78"/>
  <c r="G936" i="78"/>
  <c r="F936" i="78"/>
  <c r="E936" i="78"/>
  <c r="D936" i="78"/>
  <c r="C936" i="78"/>
  <c r="J935" i="78"/>
  <c r="I935" i="78"/>
  <c r="H935" i="78"/>
  <c r="G935" i="78"/>
  <c r="F935" i="78"/>
  <c r="E935" i="78"/>
  <c r="D935" i="78"/>
  <c r="C935" i="78"/>
  <c r="J934" i="78"/>
  <c r="I934" i="78"/>
  <c r="H934" i="78"/>
  <c r="G934" i="78"/>
  <c r="F934" i="78"/>
  <c r="E934" i="78"/>
  <c r="D934" i="78"/>
  <c r="C934" i="78"/>
  <c r="J933" i="78"/>
  <c r="I933" i="78"/>
  <c r="H933" i="78"/>
  <c r="G933" i="78"/>
  <c r="F933" i="78"/>
  <c r="E933" i="78"/>
  <c r="D933" i="78"/>
  <c r="C933" i="78"/>
  <c r="J932" i="78"/>
  <c r="I932" i="78"/>
  <c r="H932" i="78"/>
  <c r="G932" i="78"/>
  <c r="F932" i="78"/>
  <c r="E932" i="78"/>
  <c r="D932" i="78"/>
  <c r="C932" i="78"/>
  <c r="J931" i="78"/>
  <c r="I931" i="78"/>
  <c r="H931" i="78"/>
  <c r="G931" i="78"/>
  <c r="F931" i="78"/>
  <c r="E931" i="78"/>
  <c r="D931" i="78"/>
  <c r="C931" i="78"/>
  <c r="J930" i="78"/>
  <c r="I930" i="78"/>
  <c r="H930" i="78"/>
  <c r="G930" i="78"/>
  <c r="F930" i="78"/>
  <c r="E930" i="78"/>
  <c r="D930" i="78"/>
  <c r="C930" i="78"/>
  <c r="J929" i="78"/>
  <c r="I929" i="78"/>
  <c r="H929" i="78"/>
  <c r="G929" i="78"/>
  <c r="F929" i="78"/>
  <c r="E929" i="78"/>
  <c r="D929" i="78"/>
  <c r="C929" i="78"/>
  <c r="J928" i="78"/>
  <c r="I928" i="78"/>
  <c r="H928" i="78"/>
  <c r="G928" i="78"/>
  <c r="F928" i="78"/>
  <c r="E928" i="78"/>
  <c r="D928" i="78"/>
  <c r="C928" i="78"/>
  <c r="J927" i="78"/>
  <c r="I927" i="78"/>
  <c r="H927" i="78"/>
  <c r="G927" i="78"/>
  <c r="F927" i="78"/>
  <c r="E927" i="78"/>
  <c r="D927" i="78"/>
  <c r="C927" i="78"/>
  <c r="J926" i="78"/>
  <c r="I926" i="78"/>
  <c r="H926" i="78"/>
  <c r="G926" i="78"/>
  <c r="F926" i="78"/>
  <c r="E926" i="78"/>
  <c r="D926" i="78"/>
  <c r="C926" i="78"/>
  <c r="J925" i="78"/>
  <c r="I925" i="78"/>
  <c r="H925" i="78"/>
  <c r="G925" i="78"/>
  <c r="F925" i="78"/>
  <c r="E925" i="78"/>
  <c r="D925" i="78"/>
  <c r="C925" i="78"/>
  <c r="J924" i="78"/>
  <c r="I924" i="78"/>
  <c r="H924" i="78"/>
  <c r="G924" i="78"/>
  <c r="F924" i="78"/>
  <c r="E924" i="78"/>
  <c r="D924" i="78"/>
  <c r="C924" i="78"/>
  <c r="J923" i="78"/>
  <c r="I923" i="78"/>
  <c r="H923" i="78"/>
  <c r="G923" i="78"/>
  <c r="F923" i="78"/>
  <c r="E923" i="78"/>
  <c r="D923" i="78"/>
  <c r="C923" i="78"/>
  <c r="J922" i="78"/>
  <c r="I922" i="78"/>
  <c r="H922" i="78"/>
  <c r="G922" i="78"/>
  <c r="F922" i="78"/>
  <c r="E922" i="78"/>
  <c r="D922" i="78"/>
  <c r="C922" i="78"/>
  <c r="J921" i="78"/>
  <c r="I921" i="78"/>
  <c r="H921" i="78"/>
  <c r="G921" i="78"/>
  <c r="F921" i="78"/>
  <c r="E921" i="78"/>
  <c r="D921" i="78"/>
  <c r="C921" i="78"/>
  <c r="J920" i="78"/>
  <c r="I920" i="78"/>
  <c r="H920" i="78"/>
  <c r="G920" i="78"/>
  <c r="F920" i="78"/>
  <c r="E920" i="78"/>
  <c r="D920" i="78"/>
  <c r="C920" i="78"/>
  <c r="J919" i="78"/>
  <c r="I919" i="78"/>
  <c r="H919" i="78"/>
  <c r="G919" i="78"/>
  <c r="F919" i="78"/>
  <c r="E919" i="78"/>
  <c r="D919" i="78"/>
  <c r="C919" i="78"/>
  <c r="J918" i="78"/>
  <c r="I918" i="78"/>
  <c r="H918" i="78"/>
  <c r="G918" i="78"/>
  <c r="F918" i="78"/>
  <c r="E918" i="78"/>
  <c r="D918" i="78"/>
  <c r="C918" i="78"/>
  <c r="J917" i="78"/>
  <c r="I917" i="78"/>
  <c r="H917" i="78"/>
  <c r="G917" i="78"/>
  <c r="F917" i="78"/>
  <c r="E917" i="78"/>
  <c r="D917" i="78"/>
  <c r="C917" i="78"/>
  <c r="J916" i="78"/>
  <c r="I916" i="78"/>
  <c r="H916" i="78"/>
  <c r="G916" i="78"/>
  <c r="F916" i="78"/>
  <c r="E916" i="78"/>
  <c r="D916" i="78"/>
  <c r="C916" i="78"/>
  <c r="J915" i="78"/>
  <c r="I915" i="78"/>
  <c r="H915" i="78"/>
  <c r="G915" i="78"/>
  <c r="F915" i="78"/>
  <c r="E915" i="78"/>
  <c r="D915" i="78"/>
  <c r="C915" i="78"/>
  <c r="J914" i="78"/>
  <c r="I914" i="78"/>
  <c r="H914" i="78"/>
  <c r="G914" i="78"/>
  <c r="F914" i="78"/>
  <c r="E914" i="78"/>
  <c r="D914" i="78"/>
  <c r="C914" i="78"/>
  <c r="J913" i="78"/>
  <c r="I913" i="78"/>
  <c r="H913" i="78"/>
  <c r="G913" i="78"/>
  <c r="F913" i="78"/>
  <c r="E913" i="78"/>
  <c r="D913" i="78"/>
  <c r="C913" i="78"/>
  <c r="J912" i="78"/>
  <c r="I912" i="78"/>
  <c r="H912" i="78"/>
  <c r="G912" i="78"/>
  <c r="F912" i="78"/>
  <c r="E912" i="78"/>
  <c r="D912" i="78"/>
  <c r="C912" i="78"/>
  <c r="J911" i="78"/>
  <c r="I911" i="78"/>
  <c r="H911" i="78"/>
  <c r="G911" i="78"/>
  <c r="F911" i="78"/>
  <c r="E911" i="78"/>
  <c r="D911" i="78"/>
  <c r="C911" i="78"/>
  <c r="J910" i="78"/>
  <c r="I910" i="78"/>
  <c r="H910" i="78"/>
  <c r="G910" i="78"/>
  <c r="F910" i="78"/>
  <c r="E910" i="78"/>
  <c r="D910" i="78"/>
  <c r="C910" i="78"/>
  <c r="J909" i="78"/>
  <c r="I909" i="78"/>
  <c r="H909" i="78"/>
  <c r="G909" i="78"/>
  <c r="F909" i="78"/>
  <c r="E909" i="78"/>
  <c r="D909" i="78"/>
  <c r="C909" i="78"/>
  <c r="J908" i="78"/>
  <c r="I908" i="78"/>
  <c r="H908" i="78"/>
  <c r="G908" i="78"/>
  <c r="F908" i="78"/>
  <c r="E908" i="78"/>
  <c r="D908" i="78"/>
  <c r="C908" i="78"/>
  <c r="J907" i="78"/>
  <c r="I907" i="78"/>
  <c r="H907" i="78"/>
  <c r="G907" i="78"/>
  <c r="F907" i="78"/>
  <c r="E907" i="78"/>
  <c r="D907" i="78"/>
  <c r="C907" i="78"/>
  <c r="J906" i="78"/>
  <c r="I906" i="78"/>
  <c r="H906" i="78"/>
  <c r="G906" i="78"/>
  <c r="F906" i="78"/>
  <c r="E906" i="78"/>
  <c r="D906" i="78"/>
  <c r="C906" i="78"/>
  <c r="J905" i="78"/>
  <c r="I905" i="78"/>
  <c r="H905" i="78"/>
  <c r="G905" i="78"/>
  <c r="F905" i="78"/>
  <c r="E905" i="78"/>
  <c r="D905" i="78"/>
  <c r="C905" i="78"/>
  <c r="J904" i="78"/>
  <c r="I904" i="78"/>
  <c r="H904" i="78"/>
  <c r="G904" i="78"/>
  <c r="F904" i="78"/>
  <c r="E904" i="78"/>
  <c r="D904" i="78"/>
  <c r="C904" i="78"/>
  <c r="J903" i="78"/>
  <c r="I903" i="78"/>
  <c r="H903" i="78"/>
  <c r="G903" i="78"/>
  <c r="F903" i="78"/>
  <c r="E903" i="78"/>
  <c r="D903" i="78"/>
  <c r="C903" i="78"/>
  <c r="J902" i="78"/>
  <c r="I902" i="78"/>
  <c r="H902" i="78"/>
  <c r="G902" i="78"/>
  <c r="F902" i="78"/>
  <c r="E902" i="78"/>
  <c r="D902" i="78"/>
  <c r="C902" i="78"/>
  <c r="J901" i="78"/>
  <c r="I901" i="78"/>
  <c r="H901" i="78"/>
  <c r="G901" i="78"/>
  <c r="F901" i="78"/>
  <c r="E901" i="78"/>
  <c r="D901" i="78"/>
  <c r="C901" i="78"/>
  <c r="J900" i="78"/>
  <c r="I900" i="78"/>
  <c r="H900" i="78"/>
  <c r="G900" i="78"/>
  <c r="F900" i="78"/>
  <c r="E900" i="78"/>
  <c r="D900" i="78"/>
  <c r="C900" i="78"/>
  <c r="J899" i="78"/>
  <c r="I899" i="78"/>
  <c r="H899" i="78"/>
  <c r="G899" i="78"/>
  <c r="F899" i="78"/>
  <c r="E899" i="78"/>
  <c r="D899" i="78"/>
  <c r="C899" i="78"/>
  <c r="J898" i="78"/>
  <c r="I898" i="78"/>
  <c r="H898" i="78"/>
  <c r="G898" i="78"/>
  <c r="F898" i="78"/>
  <c r="E898" i="78"/>
  <c r="D898" i="78"/>
  <c r="C898" i="78"/>
  <c r="J897" i="78"/>
  <c r="I897" i="78"/>
  <c r="H897" i="78"/>
  <c r="G897" i="78"/>
  <c r="F897" i="78"/>
  <c r="E897" i="78"/>
  <c r="D897" i="78"/>
  <c r="C897" i="78"/>
  <c r="J896" i="78"/>
  <c r="I896" i="78"/>
  <c r="H896" i="78"/>
  <c r="G896" i="78"/>
  <c r="F896" i="78"/>
  <c r="E896" i="78"/>
  <c r="D896" i="78"/>
  <c r="C896" i="78"/>
  <c r="J895" i="78"/>
  <c r="I895" i="78"/>
  <c r="H895" i="78"/>
  <c r="G895" i="78"/>
  <c r="F895" i="78"/>
  <c r="E895" i="78"/>
  <c r="D895" i="78"/>
  <c r="C895" i="78"/>
  <c r="J894" i="78"/>
  <c r="I894" i="78"/>
  <c r="H894" i="78"/>
  <c r="G894" i="78"/>
  <c r="F894" i="78"/>
  <c r="E894" i="78"/>
  <c r="D894" i="78"/>
  <c r="C894" i="78"/>
  <c r="J893" i="78"/>
  <c r="I893" i="78"/>
  <c r="H893" i="78"/>
  <c r="G893" i="78"/>
  <c r="F893" i="78"/>
  <c r="E893" i="78"/>
  <c r="D893" i="78"/>
  <c r="C893" i="78"/>
  <c r="J892" i="78"/>
  <c r="I892" i="78"/>
  <c r="H892" i="78"/>
  <c r="G892" i="78"/>
  <c r="F892" i="78"/>
  <c r="E892" i="78"/>
  <c r="D892" i="78"/>
  <c r="C892" i="78"/>
  <c r="J891" i="78"/>
  <c r="I891" i="78"/>
  <c r="H891" i="78"/>
  <c r="G891" i="78"/>
  <c r="F891" i="78"/>
  <c r="E891" i="78"/>
  <c r="D891" i="78"/>
  <c r="C891" i="78"/>
  <c r="J890" i="78"/>
  <c r="I890" i="78"/>
  <c r="H890" i="78"/>
  <c r="G890" i="78"/>
  <c r="F890" i="78"/>
  <c r="E890" i="78"/>
  <c r="D890" i="78"/>
  <c r="C890" i="78"/>
  <c r="J889" i="78"/>
  <c r="I889" i="78"/>
  <c r="H889" i="78"/>
  <c r="G889" i="78"/>
  <c r="F889" i="78"/>
  <c r="E889" i="78"/>
  <c r="D889" i="78"/>
  <c r="C889" i="78"/>
  <c r="J888" i="78"/>
  <c r="I888" i="78"/>
  <c r="H888" i="78"/>
  <c r="G888" i="78"/>
  <c r="F888" i="78"/>
  <c r="E888" i="78"/>
  <c r="D888" i="78"/>
  <c r="C888" i="78"/>
  <c r="J887" i="78"/>
  <c r="I887" i="78"/>
  <c r="H887" i="78"/>
  <c r="G887" i="78"/>
  <c r="F887" i="78"/>
  <c r="E887" i="78"/>
  <c r="D887" i="78"/>
  <c r="C887" i="78"/>
  <c r="J886" i="78"/>
  <c r="I886" i="78"/>
  <c r="H886" i="78"/>
  <c r="G886" i="78"/>
  <c r="F886" i="78"/>
  <c r="E886" i="78"/>
  <c r="D886" i="78"/>
  <c r="C886" i="78"/>
  <c r="J885" i="78"/>
  <c r="I885" i="78"/>
  <c r="H885" i="78"/>
  <c r="G885" i="78"/>
  <c r="F885" i="78"/>
  <c r="E885" i="78"/>
  <c r="D885" i="78"/>
  <c r="C885" i="78"/>
  <c r="J884" i="78"/>
  <c r="I884" i="78"/>
  <c r="H884" i="78"/>
  <c r="G884" i="78"/>
  <c r="F884" i="78"/>
  <c r="E884" i="78"/>
  <c r="D884" i="78"/>
  <c r="C884" i="78"/>
  <c r="J883" i="78"/>
  <c r="I883" i="78"/>
  <c r="H883" i="78"/>
  <c r="G883" i="78"/>
  <c r="F883" i="78"/>
  <c r="E883" i="78"/>
  <c r="D883" i="78"/>
  <c r="C883" i="78"/>
  <c r="J882" i="78"/>
  <c r="I882" i="78"/>
  <c r="H882" i="78"/>
  <c r="G882" i="78"/>
  <c r="F882" i="78"/>
  <c r="E882" i="78"/>
  <c r="D882" i="78"/>
  <c r="C882" i="78"/>
  <c r="J881" i="78"/>
  <c r="I881" i="78"/>
  <c r="H881" i="78"/>
  <c r="G881" i="78"/>
  <c r="F881" i="78"/>
  <c r="E881" i="78"/>
  <c r="D881" i="78"/>
  <c r="C881" i="78"/>
  <c r="J880" i="78"/>
  <c r="I880" i="78"/>
  <c r="H880" i="78"/>
  <c r="G880" i="78"/>
  <c r="F880" i="78"/>
  <c r="E880" i="78"/>
  <c r="D880" i="78"/>
  <c r="C880" i="78"/>
  <c r="J879" i="78"/>
  <c r="I879" i="78"/>
  <c r="H879" i="78"/>
  <c r="G879" i="78"/>
  <c r="F879" i="78"/>
  <c r="E879" i="78"/>
  <c r="D879" i="78"/>
  <c r="C879" i="78"/>
  <c r="J878" i="78"/>
  <c r="I878" i="78"/>
  <c r="H878" i="78"/>
  <c r="G878" i="78"/>
  <c r="F878" i="78"/>
  <c r="E878" i="78"/>
  <c r="D878" i="78"/>
  <c r="C878" i="78"/>
  <c r="J877" i="78"/>
  <c r="I877" i="78"/>
  <c r="H877" i="78"/>
  <c r="G877" i="78"/>
  <c r="F877" i="78"/>
  <c r="E877" i="78"/>
  <c r="D877" i="78"/>
  <c r="C877" i="78"/>
  <c r="J876" i="78"/>
  <c r="I876" i="78"/>
  <c r="H876" i="78"/>
  <c r="G876" i="78"/>
  <c r="F876" i="78"/>
  <c r="E876" i="78"/>
  <c r="D876" i="78"/>
  <c r="C876" i="78"/>
  <c r="J875" i="78"/>
  <c r="I875" i="78"/>
  <c r="H875" i="78"/>
  <c r="G875" i="78"/>
  <c r="F875" i="78"/>
  <c r="E875" i="78"/>
  <c r="D875" i="78"/>
  <c r="C875" i="78"/>
  <c r="J874" i="78"/>
  <c r="I874" i="78"/>
  <c r="H874" i="78"/>
  <c r="G874" i="78"/>
  <c r="F874" i="78"/>
  <c r="E874" i="78"/>
  <c r="D874" i="78"/>
  <c r="C874" i="78"/>
  <c r="J873" i="78"/>
  <c r="I873" i="78"/>
  <c r="H873" i="78"/>
  <c r="G873" i="78"/>
  <c r="F873" i="78"/>
  <c r="E873" i="78"/>
  <c r="D873" i="78"/>
  <c r="C873" i="78"/>
  <c r="J872" i="78"/>
  <c r="I872" i="78"/>
  <c r="H872" i="78"/>
  <c r="G872" i="78"/>
  <c r="F872" i="78"/>
  <c r="E872" i="78"/>
  <c r="D872" i="78"/>
  <c r="C872" i="78"/>
  <c r="J871" i="78"/>
  <c r="I871" i="78"/>
  <c r="H871" i="78"/>
  <c r="G871" i="78"/>
  <c r="F871" i="78"/>
  <c r="E871" i="78"/>
  <c r="D871" i="78"/>
  <c r="C871" i="78"/>
  <c r="J870" i="78"/>
  <c r="I870" i="78"/>
  <c r="H870" i="78"/>
  <c r="G870" i="78"/>
  <c r="F870" i="78"/>
  <c r="E870" i="78"/>
  <c r="D870" i="78"/>
  <c r="C870" i="78"/>
  <c r="J869" i="78"/>
  <c r="I869" i="78"/>
  <c r="H869" i="78"/>
  <c r="G869" i="78"/>
  <c r="F869" i="78"/>
  <c r="E869" i="78"/>
  <c r="D869" i="78"/>
  <c r="C869" i="78"/>
  <c r="J868" i="78"/>
  <c r="I868" i="78"/>
  <c r="H868" i="78"/>
  <c r="G868" i="78"/>
  <c r="F868" i="78"/>
  <c r="E868" i="78"/>
  <c r="D868" i="78"/>
  <c r="C868" i="78"/>
  <c r="J867" i="78"/>
  <c r="I867" i="78"/>
  <c r="H867" i="78"/>
  <c r="G867" i="78"/>
  <c r="F867" i="78"/>
  <c r="E867" i="78"/>
  <c r="D867" i="78"/>
  <c r="C867" i="78"/>
  <c r="J866" i="78"/>
  <c r="I866" i="78"/>
  <c r="H866" i="78"/>
  <c r="G866" i="78"/>
  <c r="F866" i="78"/>
  <c r="E866" i="78"/>
  <c r="D866" i="78"/>
  <c r="C866" i="78"/>
  <c r="J865" i="78"/>
  <c r="I865" i="78"/>
  <c r="H865" i="78"/>
  <c r="G865" i="78"/>
  <c r="F865" i="78"/>
  <c r="E865" i="78"/>
  <c r="D865" i="78"/>
  <c r="C865" i="78"/>
  <c r="J864" i="78"/>
  <c r="I864" i="78"/>
  <c r="H864" i="78"/>
  <c r="G864" i="78"/>
  <c r="F864" i="78"/>
  <c r="E864" i="78"/>
  <c r="D864" i="78"/>
  <c r="C864" i="78"/>
  <c r="J863" i="78"/>
  <c r="I863" i="78"/>
  <c r="H863" i="78"/>
  <c r="G863" i="78"/>
  <c r="F863" i="78"/>
  <c r="E863" i="78"/>
  <c r="D863" i="78"/>
  <c r="C863" i="78"/>
  <c r="J862" i="78"/>
  <c r="I862" i="78"/>
  <c r="H862" i="78"/>
  <c r="G862" i="78"/>
  <c r="F862" i="78"/>
  <c r="E862" i="78"/>
  <c r="D862" i="78"/>
  <c r="C862" i="78"/>
  <c r="J861" i="78"/>
  <c r="I861" i="78"/>
  <c r="H861" i="78"/>
  <c r="G861" i="78"/>
  <c r="F861" i="78"/>
  <c r="E861" i="78"/>
  <c r="D861" i="78"/>
  <c r="C861" i="78"/>
  <c r="J860" i="78"/>
  <c r="I860" i="78"/>
  <c r="H860" i="78"/>
  <c r="G860" i="78"/>
  <c r="F860" i="78"/>
  <c r="E860" i="78"/>
  <c r="D860" i="78"/>
  <c r="C860" i="78"/>
  <c r="J859" i="78"/>
  <c r="I859" i="78"/>
  <c r="H859" i="78"/>
  <c r="G859" i="78"/>
  <c r="F859" i="78"/>
  <c r="E859" i="78"/>
  <c r="D859" i="78"/>
  <c r="C859" i="78"/>
  <c r="J858" i="78"/>
  <c r="I858" i="78"/>
  <c r="H858" i="78"/>
  <c r="G858" i="78"/>
  <c r="F858" i="78"/>
  <c r="E858" i="78"/>
  <c r="D858" i="78"/>
  <c r="C858" i="78"/>
  <c r="J857" i="78"/>
  <c r="I857" i="78"/>
  <c r="H857" i="78"/>
  <c r="G857" i="78"/>
  <c r="F857" i="78"/>
  <c r="E857" i="78"/>
  <c r="D857" i="78"/>
  <c r="C857" i="78"/>
  <c r="J856" i="78"/>
  <c r="I856" i="78"/>
  <c r="H856" i="78"/>
  <c r="G856" i="78"/>
  <c r="F856" i="78"/>
  <c r="E856" i="78"/>
  <c r="D856" i="78"/>
  <c r="C856" i="78"/>
  <c r="J855" i="78"/>
  <c r="I855" i="78"/>
  <c r="H855" i="78"/>
  <c r="G855" i="78"/>
  <c r="F855" i="78"/>
  <c r="E855" i="78"/>
  <c r="D855" i="78"/>
  <c r="C855" i="78"/>
  <c r="J854" i="78"/>
  <c r="I854" i="78"/>
  <c r="H854" i="78"/>
  <c r="G854" i="78"/>
  <c r="F854" i="78"/>
  <c r="E854" i="78"/>
  <c r="D854" i="78"/>
  <c r="C854" i="78"/>
  <c r="J853" i="78"/>
  <c r="I853" i="78"/>
  <c r="H853" i="78"/>
  <c r="G853" i="78"/>
  <c r="F853" i="78"/>
  <c r="E853" i="78"/>
  <c r="D853" i="78"/>
  <c r="C853" i="78"/>
  <c r="J852" i="78"/>
  <c r="I852" i="78"/>
  <c r="H852" i="78"/>
  <c r="G852" i="78"/>
  <c r="F852" i="78"/>
  <c r="E852" i="78"/>
  <c r="D852" i="78"/>
  <c r="C852" i="78"/>
  <c r="J851" i="78"/>
  <c r="I851" i="78"/>
  <c r="H851" i="78"/>
  <c r="G851" i="78"/>
  <c r="F851" i="78"/>
  <c r="E851" i="78"/>
  <c r="D851" i="78"/>
  <c r="C851" i="78"/>
  <c r="J850" i="78"/>
  <c r="I850" i="78"/>
  <c r="H850" i="78"/>
  <c r="G850" i="78"/>
  <c r="F850" i="78"/>
  <c r="E850" i="78"/>
  <c r="D850" i="78"/>
  <c r="C850" i="78"/>
  <c r="J849" i="78"/>
  <c r="I849" i="78"/>
  <c r="H849" i="78"/>
  <c r="G849" i="78"/>
  <c r="F849" i="78"/>
  <c r="E849" i="78"/>
  <c r="D849" i="78"/>
  <c r="C849" i="78"/>
  <c r="J848" i="78"/>
  <c r="I848" i="78"/>
  <c r="H848" i="78"/>
  <c r="G848" i="78"/>
  <c r="F848" i="78"/>
  <c r="E848" i="78"/>
  <c r="D848" i="78"/>
  <c r="C848" i="78"/>
  <c r="J847" i="78"/>
  <c r="I847" i="78"/>
  <c r="H847" i="78"/>
  <c r="G847" i="78"/>
  <c r="F847" i="78"/>
  <c r="E847" i="78"/>
  <c r="D847" i="78"/>
  <c r="C847" i="78"/>
  <c r="J846" i="78"/>
  <c r="I846" i="78"/>
  <c r="H846" i="78"/>
  <c r="G846" i="78"/>
  <c r="F846" i="78"/>
  <c r="E846" i="78"/>
  <c r="D846" i="78"/>
  <c r="C846" i="78"/>
  <c r="J845" i="78"/>
  <c r="I845" i="78"/>
  <c r="H845" i="78"/>
  <c r="G845" i="78"/>
  <c r="F845" i="78"/>
  <c r="E845" i="78"/>
  <c r="D845" i="78"/>
  <c r="C845" i="78"/>
  <c r="J844" i="78"/>
  <c r="I844" i="78"/>
  <c r="H844" i="78"/>
  <c r="G844" i="78"/>
  <c r="F844" i="78"/>
  <c r="E844" i="78"/>
  <c r="D844" i="78"/>
  <c r="C844" i="78"/>
  <c r="J843" i="78"/>
  <c r="I843" i="78"/>
  <c r="H843" i="78"/>
  <c r="G843" i="78"/>
  <c r="F843" i="78"/>
  <c r="E843" i="78"/>
  <c r="D843" i="78"/>
  <c r="C843" i="78"/>
  <c r="J842" i="78"/>
  <c r="I842" i="78"/>
  <c r="H842" i="78"/>
  <c r="G842" i="78"/>
  <c r="F842" i="78"/>
  <c r="E842" i="78"/>
  <c r="D842" i="78"/>
  <c r="C842" i="78"/>
  <c r="J841" i="78"/>
  <c r="I841" i="78"/>
  <c r="H841" i="78"/>
  <c r="G841" i="78"/>
  <c r="F841" i="78"/>
  <c r="E841" i="78"/>
  <c r="D841" i="78"/>
  <c r="C841" i="78"/>
  <c r="J840" i="78"/>
  <c r="I840" i="78"/>
  <c r="H840" i="78"/>
  <c r="G840" i="78"/>
  <c r="F840" i="78"/>
  <c r="E840" i="78"/>
  <c r="D840" i="78"/>
  <c r="C840" i="78"/>
  <c r="J839" i="78"/>
  <c r="I839" i="78"/>
  <c r="H839" i="78"/>
  <c r="G839" i="78"/>
  <c r="F839" i="78"/>
  <c r="E839" i="78"/>
  <c r="D839" i="78"/>
  <c r="C839" i="78"/>
  <c r="J838" i="78"/>
  <c r="I838" i="78"/>
  <c r="H838" i="78"/>
  <c r="G838" i="78"/>
  <c r="F838" i="78"/>
  <c r="E838" i="78"/>
  <c r="D838" i="78"/>
  <c r="C838" i="78"/>
  <c r="J837" i="78"/>
  <c r="I837" i="78"/>
  <c r="H837" i="78"/>
  <c r="G837" i="78"/>
  <c r="F837" i="78"/>
  <c r="E837" i="78"/>
  <c r="D837" i="78"/>
  <c r="C837" i="78"/>
  <c r="J836" i="78"/>
  <c r="I836" i="78"/>
  <c r="H836" i="78"/>
  <c r="G836" i="78"/>
  <c r="F836" i="78"/>
  <c r="E836" i="78"/>
  <c r="D836" i="78"/>
  <c r="C836" i="78"/>
  <c r="J835" i="78"/>
  <c r="I835" i="78"/>
  <c r="H835" i="78"/>
  <c r="G835" i="78"/>
  <c r="F835" i="78"/>
  <c r="E835" i="78"/>
  <c r="D835" i="78"/>
  <c r="C835" i="78"/>
  <c r="J834" i="78"/>
  <c r="I834" i="78"/>
  <c r="H834" i="78"/>
  <c r="G834" i="78"/>
  <c r="F834" i="78"/>
  <c r="E834" i="78"/>
  <c r="D834" i="78"/>
  <c r="C834" i="78"/>
  <c r="J833" i="78"/>
  <c r="I833" i="78"/>
  <c r="H833" i="78"/>
  <c r="G833" i="78"/>
  <c r="F833" i="78"/>
  <c r="E833" i="78"/>
  <c r="D833" i="78"/>
  <c r="C833" i="78"/>
  <c r="J832" i="78"/>
  <c r="I832" i="78"/>
  <c r="H832" i="78"/>
  <c r="G832" i="78"/>
  <c r="F832" i="78"/>
  <c r="E832" i="78"/>
  <c r="D832" i="78"/>
  <c r="C832" i="78"/>
  <c r="J831" i="78"/>
  <c r="I831" i="78"/>
  <c r="H831" i="78"/>
  <c r="G831" i="78"/>
  <c r="F831" i="78"/>
  <c r="E831" i="78"/>
  <c r="D831" i="78"/>
  <c r="C831" i="78"/>
  <c r="J830" i="78"/>
  <c r="I830" i="78"/>
  <c r="H830" i="78"/>
  <c r="G830" i="78"/>
  <c r="F830" i="78"/>
  <c r="E830" i="78"/>
  <c r="D830" i="78"/>
  <c r="C830" i="78"/>
  <c r="J829" i="78"/>
  <c r="I829" i="78"/>
  <c r="H829" i="78"/>
  <c r="G829" i="78"/>
  <c r="F829" i="78"/>
  <c r="E829" i="78"/>
  <c r="D829" i="78"/>
  <c r="C829" i="78"/>
  <c r="J828" i="78"/>
  <c r="I828" i="78"/>
  <c r="H828" i="78"/>
  <c r="G828" i="78"/>
  <c r="F828" i="78"/>
  <c r="E828" i="78"/>
  <c r="D828" i="78"/>
  <c r="C828" i="78"/>
  <c r="J827" i="78"/>
  <c r="I827" i="78"/>
  <c r="H827" i="78"/>
  <c r="G827" i="78"/>
  <c r="F827" i="78"/>
  <c r="E827" i="78"/>
  <c r="D827" i="78"/>
  <c r="C827" i="78"/>
  <c r="J826" i="78"/>
  <c r="I826" i="78"/>
  <c r="H826" i="78"/>
  <c r="G826" i="78"/>
  <c r="F826" i="78"/>
  <c r="E826" i="78"/>
  <c r="D826" i="78"/>
  <c r="C826" i="78"/>
  <c r="J825" i="78"/>
  <c r="I825" i="78"/>
  <c r="H825" i="78"/>
  <c r="G825" i="78"/>
  <c r="F825" i="78"/>
  <c r="E825" i="78"/>
  <c r="D825" i="78"/>
  <c r="C825" i="78"/>
  <c r="J824" i="78"/>
  <c r="I824" i="78"/>
  <c r="H824" i="78"/>
  <c r="G824" i="78"/>
  <c r="F824" i="78"/>
  <c r="E824" i="78"/>
  <c r="D824" i="78"/>
  <c r="C824" i="78"/>
  <c r="J823" i="78"/>
  <c r="I823" i="78"/>
  <c r="H823" i="78"/>
  <c r="G823" i="78"/>
  <c r="F823" i="78"/>
  <c r="E823" i="78"/>
  <c r="D823" i="78"/>
  <c r="C823" i="78"/>
  <c r="J822" i="78"/>
  <c r="I822" i="78"/>
  <c r="H822" i="78"/>
  <c r="G822" i="78"/>
  <c r="F822" i="78"/>
  <c r="E822" i="78"/>
  <c r="D822" i="78"/>
  <c r="C822" i="78"/>
  <c r="J821" i="78"/>
  <c r="I821" i="78"/>
  <c r="H821" i="78"/>
  <c r="G821" i="78"/>
  <c r="F821" i="78"/>
  <c r="E821" i="78"/>
  <c r="D821" i="78"/>
  <c r="C821" i="78"/>
  <c r="J820" i="78"/>
  <c r="I820" i="78"/>
  <c r="H820" i="78"/>
  <c r="G820" i="78"/>
  <c r="F820" i="78"/>
  <c r="E820" i="78"/>
  <c r="D820" i="78"/>
  <c r="C820" i="78"/>
  <c r="J819" i="78"/>
  <c r="I819" i="78"/>
  <c r="H819" i="78"/>
  <c r="G819" i="78"/>
  <c r="F819" i="78"/>
  <c r="E819" i="78"/>
  <c r="D819" i="78"/>
  <c r="C819" i="78"/>
  <c r="J818" i="78"/>
  <c r="I818" i="78"/>
  <c r="H818" i="78"/>
  <c r="G818" i="78"/>
  <c r="F818" i="78"/>
  <c r="E818" i="78"/>
  <c r="D818" i="78"/>
  <c r="C818" i="78"/>
  <c r="J817" i="78"/>
  <c r="I817" i="78"/>
  <c r="H817" i="78"/>
  <c r="G817" i="78"/>
  <c r="F817" i="78"/>
  <c r="E817" i="78"/>
  <c r="D817" i="78"/>
  <c r="C817" i="78"/>
  <c r="J816" i="78"/>
  <c r="I816" i="78"/>
  <c r="H816" i="78"/>
  <c r="G816" i="78"/>
  <c r="F816" i="78"/>
  <c r="E816" i="78"/>
  <c r="D816" i="78"/>
  <c r="C816" i="78"/>
  <c r="J815" i="78"/>
  <c r="I815" i="78"/>
  <c r="H815" i="78"/>
  <c r="G815" i="78"/>
  <c r="F815" i="78"/>
  <c r="E815" i="78"/>
  <c r="D815" i="78"/>
  <c r="C815" i="78"/>
  <c r="J814" i="78"/>
  <c r="I814" i="78"/>
  <c r="H814" i="78"/>
  <c r="G814" i="78"/>
  <c r="F814" i="78"/>
  <c r="E814" i="78"/>
  <c r="D814" i="78"/>
  <c r="C814" i="78"/>
  <c r="J813" i="78"/>
  <c r="I813" i="78"/>
  <c r="H813" i="78"/>
  <c r="G813" i="78"/>
  <c r="F813" i="78"/>
  <c r="E813" i="78"/>
  <c r="D813" i="78"/>
  <c r="C813" i="78"/>
  <c r="J812" i="78"/>
  <c r="I812" i="78"/>
  <c r="H812" i="78"/>
  <c r="G812" i="78"/>
  <c r="F812" i="78"/>
  <c r="E812" i="78"/>
  <c r="D812" i="78"/>
  <c r="C812" i="78"/>
  <c r="J811" i="78"/>
  <c r="I811" i="78"/>
  <c r="H811" i="78"/>
  <c r="G811" i="78"/>
  <c r="F811" i="78"/>
  <c r="E811" i="78"/>
  <c r="D811" i="78"/>
  <c r="C811" i="78"/>
  <c r="J810" i="78"/>
  <c r="I810" i="78"/>
  <c r="H810" i="78"/>
  <c r="G810" i="78"/>
  <c r="F810" i="78"/>
  <c r="E810" i="78"/>
  <c r="D810" i="78"/>
  <c r="C810" i="78"/>
  <c r="J809" i="78"/>
  <c r="I809" i="78"/>
  <c r="H809" i="78"/>
  <c r="G809" i="78"/>
  <c r="F809" i="78"/>
  <c r="E809" i="78"/>
  <c r="D809" i="78"/>
  <c r="C809" i="78"/>
  <c r="J808" i="78"/>
  <c r="I808" i="78"/>
  <c r="H808" i="78"/>
  <c r="G808" i="78"/>
  <c r="F808" i="78"/>
  <c r="E808" i="78"/>
  <c r="D808" i="78"/>
  <c r="C808" i="78"/>
  <c r="J807" i="78"/>
  <c r="I807" i="78"/>
  <c r="H807" i="78"/>
  <c r="G807" i="78"/>
  <c r="F807" i="78"/>
  <c r="E807" i="78"/>
  <c r="D807" i="78"/>
  <c r="C807" i="78"/>
  <c r="J806" i="78"/>
  <c r="I806" i="78"/>
  <c r="H806" i="78"/>
  <c r="G806" i="78"/>
  <c r="F806" i="78"/>
  <c r="E806" i="78"/>
  <c r="D806" i="78"/>
  <c r="C806" i="78"/>
  <c r="J805" i="78"/>
  <c r="I805" i="78"/>
  <c r="H805" i="78"/>
  <c r="G805" i="78"/>
  <c r="F805" i="78"/>
  <c r="E805" i="78"/>
  <c r="D805" i="78"/>
  <c r="C805" i="78"/>
  <c r="J804" i="78"/>
  <c r="I804" i="78"/>
  <c r="H804" i="78"/>
  <c r="G804" i="78"/>
  <c r="F804" i="78"/>
  <c r="E804" i="78"/>
  <c r="D804" i="78"/>
  <c r="C804" i="78"/>
  <c r="J803" i="78"/>
  <c r="I803" i="78"/>
  <c r="H803" i="78"/>
  <c r="G803" i="78"/>
  <c r="F803" i="78"/>
  <c r="E803" i="78"/>
  <c r="D803" i="78"/>
  <c r="C803" i="78"/>
  <c r="J802" i="78"/>
  <c r="I802" i="78"/>
  <c r="H802" i="78"/>
  <c r="G802" i="78"/>
  <c r="F802" i="78"/>
  <c r="E802" i="78"/>
  <c r="D802" i="78"/>
  <c r="C802" i="78"/>
  <c r="J801" i="78"/>
  <c r="I801" i="78"/>
  <c r="H801" i="78"/>
  <c r="G801" i="78"/>
  <c r="F801" i="78"/>
  <c r="E801" i="78"/>
  <c r="D801" i="78"/>
  <c r="C801" i="78"/>
  <c r="J800" i="78"/>
  <c r="I800" i="78"/>
  <c r="H800" i="78"/>
  <c r="G800" i="78"/>
  <c r="F800" i="78"/>
  <c r="E800" i="78"/>
  <c r="D800" i="78"/>
  <c r="C800" i="78"/>
  <c r="J799" i="78"/>
  <c r="I799" i="78"/>
  <c r="H799" i="78"/>
  <c r="G799" i="78"/>
  <c r="F799" i="78"/>
  <c r="E799" i="78"/>
  <c r="D799" i="78"/>
  <c r="C799" i="78"/>
  <c r="J798" i="78"/>
  <c r="I798" i="78"/>
  <c r="H798" i="78"/>
  <c r="G798" i="78"/>
  <c r="F798" i="78"/>
  <c r="E798" i="78"/>
  <c r="D798" i="78"/>
  <c r="C798" i="78"/>
  <c r="J797" i="78"/>
  <c r="I797" i="78"/>
  <c r="H797" i="78"/>
  <c r="G797" i="78"/>
  <c r="F797" i="78"/>
  <c r="E797" i="78"/>
  <c r="D797" i="78"/>
  <c r="C797" i="78"/>
  <c r="J796" i="78"/>
  <c r="I796" i="78"/>
  <c r="H796" i="78"/>
  <c r="G796" i="78"/>
  <c r="F796" i="78"/>
  <c r="E796" i="78"/>
  <c r="D796" i="78"/>
  <c r="C796" i="78"/>
  <c r="J795" i="78"/>
  <c r="I795" i="78"/>
  <c r="H795" i="78"/>
  <c r="G795" i="78"/>
  <c r="F795" i="78"/>
  <c r="E795" i="78"/>
  <c r="D795" i="78"/>
  <c r="C795" i="78"/>
  <c r="J794" i="78"/>
  <c r="I794" i="78"/>
  <c r="H794" i="78"/>
  <c r="G794" i="78"/>
  <c r="F794" i="78"/>
  <c r="E794" i="78"/>
  <c r="D794" i="78"/>
  <c r="C794" i="78"/>
  <c r="J793" i="78"/>
  <c r="I793" i="78"/>
  <c r="H793" i="78"/>
  <c r="G793" i="78"/>
  <c r="F793" i="78"/>
  <c r="E793" i="78"/>
  <c r="D793" i="78"/>
  <c r="C793" i="78"/>
  <c r="J792" i="78"/>
  <c r="I792" i="78"/>
  <c r="H792" i="78"/>
  <c r="G792" i="78"/>
  <c r="F792" i="78"/>
  <c r="E792" i="78"/>
  <c r="D792" i="78"/>
  <c r="C792" i="78"/>
  <c r="J791" i="78"/>
  <c r="I791" i="78"/>
  <c r="H791" i="78"/>
  <c r="G791" i="78"/>
  <c r="F791" i="78"/>
  <c r="E791" i="78"/>
  <c r="D791" i="78"/>
  <c r="C791" i="78"/>
  <c r="J790" i="78"/>
  <c r="I790" i="78"/>
  <c r="H790" i="78"/>
  <c r="G790" i="78"/>
  <c r="F790" i="78"/>
  <c r="E790" i="78"/>
  <c r="D790" i="78"/>
  <c r="C790" i="78"/>
  <c r="J789" i="78"/>
  <c r="I789" i="78"/>
  <c r="H789" i="78"/>
  <c r="G789" i="78"/>
  <c r="F789" i="78"/>
  <c r="E789" i="78"/>
  <c r="D789" i="78"/>
  <c r="C789" i="78"/>
  <c r="J788" i="78"/>
  <c r="I788" i="78"/>
  <c r="H788" i="78"/>
  <c r="G788" i="78"/>
  <c r="F788" i="78"/>
  <c r="E788" i="78"/>
  <c r="D788" i="78"/>
  <c r="C788" i="78"/>
  <c r="J787" i="78"/>
  <c r="I787" i="78"/>
  <c r="H787" i="78"/>
  <c r="G787" i="78"/>
  <c r="F787" i="78"/>
  <c r="E787" i="78"/>
  <c r="D787" i="78"/>
  <c r="C787" i="78"/>
  <c r="J786" i="78"/>
  <c r="I786" i="78"/>
  <c r="H786" i="78"/>
  <c r="G786" i="78"/>
  <c r="F786" i="78"/>
  <c r="E786" i="78"/>
  <c r="D786" i="78"/>
  <c r="C786" i="78"/>
  <c r="J785" i="78"/>
  <c r="I785" i="78"/>
  <c r="H785" i="78"/>
  <c r="G785" i="78"/>
  <c r="F785" i="78"/>
  <c r="E785" i="78"/>
  <c r="D785" i="78"/>
  <c r="C785" i="78"/>
  <c r="J784" i="78"/>
  <c r="I784" i="78"/>
  <c r="H784" i="78"/>
  <c r="G784" i="78"/>
  <c r="F784" i="78"/>
  <c r="E784" i="78"/>
  <c r="D784" i="78"/>
  <c r="C784" i="78"/>
  <c r="J783" i="78"/>
  <c r="I783" i="78"/>
  <c r="H783" i="78"/>
  <c r="G783" i="78"/>
  <c r="F783" i="78"/>
  <c r="E783" i="78"/>
  <c r="D783" i="78"/>
  <c r="C783" i="78"/>
  <c r="J782" i="78"/>
  <c r="I782" i="78"/>
  <c r="H782" i="78"/>
  <c r="G782" i="78"/>
  <c r="F782" i="78"/>
  <c r="E782" i="78"/>
  <c r="D782" i="78"/>
  <c r="C782" i="78"/>
  <c r="J781" i="78"/>
  <c r="I781" i="78"/>
  <c r="H781" i="78"/>
  <c r="G781" i="78"/>
  <c r="F781" i="78"/>
  <c r="E781" i="78"/>
  <c r="D781" i="78"/>
  <c r="C781" i="78"/>
  <c r="J780" i="78"/>
  <c r="I780" i="78"/>
  <c r="H780" i="78"/>
  <c r="G780" i="78"/>
  <c r="F780" i="78"/>
  <c r="E780" i="78"/>
  <c r="D780" i="78"/>
  <c r="C780" i="78"/>
  <c r="J779" i="78"/>
  <c r="I779" i="78"/>
  <c r="H779" i="78"/>
  <c r="G779" i="78"/>
  <c r="F779" i="78"/>
  <c r="E779" i="78"/>
  <c r="D779" i="78"/>
  <c r="C779" i="78"/>
  <c r="J778" i="78"/>
  <c r="I778" i="78"/>
  <c r="H778" i="78"/>
  <c r="G778" i="78"/>
  <c r="F778" i="78"/>
  <c r="E778" i="78"/>
  <c r="D778" i="78"/>
  <c r="C778" i="78"/>
  <c r="J777" i="78"/>
  <c r="I777" i="78"/>
  <c r="H777" i="78"/>
  <c r="G777" i="78"/>
  <c r="F777" i="78"/>
  <c r="E777" i="78"/>
  <c r="D777" i="78"/>
  <c r="C777" i="78"/>
  <c r="J776" i="78"/>
  <c r="I776" i="78"/>
  <c r="H776" i="78"/>
  <c r="G776" i="78"/>
  <c r="F776" i="78"/>
  <c r="E776" i="78"/>
  <c r="D776" i="78"/>
  <c r="C776" i="78"/>
  <c r="J775" i="78"/>
  <c r="I775" i="78"/>
  <c r="H775" i="78"/>
  <c r="G775" i="78"/>
  <c r="F775" i="78"/>
  <c r="E775" i="78"/>
  <c r="D775" i="78"/>
  <c r="C775" i="78"/>
  <c r="J774" i="78"/>
  <c r="I774" i="78"/>
  <c r="H774" i="78"/>
  <c r="G774" i="78"/>
  <c r="F774" i="78"/>
  <c r="E774" i="78"/>
  <c r="D774" i="78"/>
  <c r="C774" i="78"/>
  <c r="J773" i="78"/>
  <c r="I773" i="78"/>
  <c r="H773" i="78"/>
  <c r="G773" i="78"/>
  <c r="F773" i="78"/>
  <c r="E773" i="78"/>
  <c r="D773" i="78"/>
  <c r="C773" i="78"/>
  <c r="J772" i="78"/>
  <c r="I772" i="78"/>
  <c r="H772" i="78"/>
  <c r="G772" i="78"/>
  <c r="F772" i="78"/>
  <c r="E772" i="78"/>
  <c r="D772" i="78"/>
  <c r="C772" i="78"/>
  <c r="J771" i="78"/>
  <c r="I771" i="78"/>
  <c r="H771" i="78"/>
  <c r="G771" i="78"/>
  <c r="F771" i="78"/>
  <c r="E771" i="78"/>
  <c r="D771" i="78"/>
  <c r="C771" i="78"/>
  <c r="J770" i="78"/>
  <c r="I770" i="78"/>
  <c r="H770" i="78"/>
  <c r="G770" i="78"/>
  <c r="F770" i="78"/>
  <c r="E770" i="78"/>
  <c r="D770" i="78"/>
  <c r="C770" i="78"/>
  <c r="J769" i="78"/>
  <c r="I769" i="78"/>
  <c r="H769" i="78"/>
  <c r="G769" i="78"/>
  <c r="F769" i="78"/>
  <c r="E769" i="78"/>
  <c r="D769" i="78"/>
  <c r="C769" i="78"/>
  <c r="J768" i="78"/>
  <c r="I768" i="78"/>
  <c r="H768" i="78"/>
  <c r="G768" i="78"/>
  <c r="F768" i="78"/>
  <c r="E768" i="78"/>
  <c r="D768" i="78"/>
  <c r="C768" i="78"/>
  <c r="J767" i="78"/>
  <c r="I767" i="78"/>
  <c r="H767" i="78"/>
  <c r="G767" i="78"/>
  <c r="F767" i="78"/>
  <c r="E767" i="78"/>
  <c r="D767" i="78"/>
  <c r="C767" i="78"/>
  <c r="J766" i="78"/>
  <c r="I766" i="78"/>
  <c r="H766" i="78"/>
  <c r="G766" i="78"/>
  <c r="F766" i="78"/>
  <c r="E766" i="78"/>
  <c r="D766" i="78"/>
  <c r="C766" i="78"/>
  <c r="J765" i="78"/>
  <c r="I765" i="78"/>
  <c r="H765" i="78"/>
  <c r="G765" i="78"/>
  <c r="F765" i="78"/>
  <c r="E765" i="78"/>
  <c r="D765" i="78"/>
  <c r="C765" i="78"/>
  <c r="J764" i="78"/>
  <c r="I764" i="78"/>
  <c r="H764" i="78"/>
  <c r="G764" i="78"/>
  <c r="F764" i="78"/>
  <c r="E764" i="78"/>
  <c r="D764" i="78"/>
  <c r="C764" i="78"/>
  <c r="J763" i="78"/>
  <c r="I763" i="78"/>
  <c r="H763" i="78"/>
  <c r="G763" i="78"/>
  <c r="F763" i="78"/>
  <c r="E763" i="78"/>
  <c r="D763" i="78"/>
  <c r="C763" i="78"/>
  <c r="J762" i="78"/>
  <c r="I762" i="78"/>
  <c r="H762" i="78"/>
  <c r="G762" i="78"/>
  <c r="F762" i="78"/>
  <c r="E762" i="78"/>
  <c r="D762" i="78"/>
  <c r="C762" i="78"/>
  <c r="J761" i="78"/>
  <c r="I761" i="78"/>
  <c r="H761" i="78"/>
  <c r="G761" i="78"/>
  <c r="F761" i="78"/>
  <c r="E761" i="78"/>
  <c r="D761" i="78"/>
  <c r="C761" i="78"/>
  <c r="J760" i="78"/>
  <c r="I760" i="78"/>
  <c r="H760" i="78"/>
  <c r="G760" i="78"/>
  <c r="F760" i="78"/>
  <c r="E760" i="78"/>
  <c r="D760" i="78"/>
  <c r="C760" i="78"/>
  <c r="J759" i="78"/>
  <c r="I759" i="78"/>
  <c r="H759" i="78"/>
  <c r="G759" i="78"/>
  <c r="F759" i="78"/>
  <c r="E759" i="78"/>
  <c r="D759" i="78"/>
  <c r="C759" i="78"/>
  <c r="J758" i="78"/>
  <c r="I758" i="78"/>
  <c r="H758" i="78"/>
  <c r="G758" i="78"/>
  <c r="F758" i="78"/>
  <c r="E758" i="78"/>
  <c r="D758" i="78"/>
  <c r="C758" i="78"/>
  <c r="J757" i="78"/>
  <c r="I757" i="78"/>
  <c r="H757" i="78"/>
  <c r="G757" i="78"/>
  <c r="F757" i="78"/>
  <c r="E757" i="78"/>
  <c r="D757" i="78"/>
  <c r="C757" i="78"/>
  <c r="J756" i="78"/>
  <c r="I756" i="78"/>
  <c r="H756" i="78"/>
  <c r="G756" i="78"/>
  <c r="F756" i="78"/>
  <c r="E756" i="78"/>
  <c r="D756" i="78"/>
  <c r="C756" i="78"/>
  <c r="J755" i="78"/>
  <c r="I755" i="78"/>
  <c r="H755" i="78"/>
  <c r="G755" i="78"/>
  <c r="F755" i="78"/>
  <c r="E755" i="78"/>
  <c r="D755" i="78"/>
  <c r="C755" i="78"/>
  <c r="J754" i="78"/>
  <c r="I754" i="78"/>
  <c r="H754" i="78"/>
  <c r="G754" i="78"/>
  <c r="F754" i="78"/>
  <c r="E754" i="78"/>
  <c r="D754" i="78"/>
  <c r="C754" i="78"/>
  <c r="J753" i="78"/>
  <c r="I753" i="78"/>
  <c r="H753" i="78"/>
  <c r="G753" i="78"/>
  <c r="F753" i="78"/>
  <c r="E753" i="78"/>
  <c r="D753" i="78"/>
  <c r="C753" i="78"/>
  <c r="J752" i="78"/>
  <c r="I752" i="78"/>
  <c r="H752" i="78"/>
  <c r="G752" i="78"/>
  <c r="F752" i="78"/>
  <c r="E752" i="78"/>
  <c r="D752" i="78"/>
  <c r="C752" i="78"/>
  <c r="J751" i="78"/>
  <c r="I751" i="78"/>
  <c r="H751" i="78"/>
  <c r="G751" i="78"/>
  <c r="F751" i="78"/>
  <c r="E751" i="78"/>
  <c r="D751" i="78"/>
  <c r="C751" i="78"/>
  <c r="J750" i="78"/>
  <c r="I750" i="78"/>
  <c r="H750" i="78"/>
  <c r="G750" i="78"/>
  <c r="F750" i="78"/>
  <c r="E750" i="78"/>
  <c r="D750" i="78"/>
  <c r="C750" i="78"/>
  <c r="J749" i="78"/>
  <c r="I749" i="78"/>
  <c r="H749" i="78"/>
  <c r="G749" i="78"/>
  <c r="F749" i="78"/>
  <c r="E749" i="78"/>
  <c r="D749" i="78"/>
  <c r="C749" i="78"/>
  <c r="J748" i="78"/>
  <c r="I748" i="78"/>
  <c r="H748" i="78"/>
  <c r="G748" i="78"/>
  <c r="F748" i="78"/>
  <c r="E748" i="78"/>
  <c r="D748" i="78"/>
  <c r="C748" i="78"/>
  <c r="J747" i="78"/>
  <c r="I747" i="78"/>
  <c r="H747" i="78"/>
  <c r="G747" i="78"/>
  <c r="F747" i="78"/>
  <c r="E747" i="78"/>
  <c r="D747" i="78"/>
  <c r="C747" i="78"/>
  <c r="J746" i="78"/>
  <c r="I746" i="78"/>
  <c r="H746" i="78"/>
  <c r="G746" i="78"/>
  <c r="F746" i="78"/>
  <c r="E746" i="78"/>
  <c r="D746" i="78"/>
  <c r="C746" i="78"/>
  <c r="J745" i="78"/>
  <c r="I745" i="78"/>
  <c r="H745" i="78"/>
  <c r="G745" i="78"/>
  <c r="F745" i="78"/>
  <c r="E745" i="78"/>
  <c r="D745" i="78"/>
  <c r="C745" i="78"/>
  <c r="J744" i="78"/>
  <c r="I744" i="78"/>
  <c r="H744" i="78"/>
  <c r="G744" i="78"/>
  <c r="F744" i="78"/>
  <c r="E744" i="78"/>
  <c r="D744" i="78"/>
  <c r="C744" i="78"/>
  <c r="J743" i="78"/>
  <c r="I743" i="78"/>
  <c r="H743" i="78"/>
  <c r="G743" i="78"/>
  <c r="F743" i="78"/>
  <c r="E743" i="78"/>
  <c r="D743" i="78"/>
  <c r="C743" i="78"/>
  <c r="J742" i="78"/>
  <c r="I742" i="78"/>
  <c r="H742" i="78"/>
  <c r="G742" i="78"/>
  <c r="F742" i="78"/>
  <c r="E742" i="78"/>
  <c r="D742" i="78"/>
  <c r="C742" i="78"/>
  <c r="J741" i="78"/>
  <c r="I741" i="78"/>
  <c r="H741" i="78"/>
  <c r="G741" i="78"/>
  <c r="F741" i="78"/>
  <c r="E741" i="78"/>
  <c r="D741" i="78"/>
  <c r="C741" i="78"/>
  <c r="J740" i="78"/>
  <c r="I740" i="78"/>
  <c r="H740" i="78"/>
  <c r="G740" i="78"/>
  <c r="F740" i="78"/>
  <c r="E740" i="78"/>
  <c r="D740" i="78"/>
  <c r="C740" i="78"/>
  <c r="J739" i="78"/>
  <c r="I739" i="78"/>
  <c r="H739" i="78"/>
  <c r="G739" i="78"/>
  <c r="F739" i="78"/>
  <c r="E739" i="78"/>
  <c r="D739" i="78"/>
  <c r="C739" i="78"/>
  <c r="J738" i="78"/>
  <c r="I738" i="78"/>
  <c r="H738" i="78"/>
  <c r="G738" i="78"/>
  <c r="F738" i="78"/>
  <c r="E738" i="78"/>
  <c r="D738" i="78"/>
  <c r="C738" i="78"/>
  <c r="J737" i="78"/>
  <c r="I737" i="78"/>
  <c r="H737" i="78"/>
  <c r="G737" i="78"/>
  <c r="F737" i="78"/>
  <c r="E737" i="78"/>
  <c r="D737" i="78"/>
  <c r="C737" i="78"/>
  <c r="J736" i="78"/>
  <c r="I736" i="78"/>
  <c r="H736" i="78"/>
  <c r="G736" i="78"/>
  <c r="F736" i="78"/>
  <c r="E736" i="78"/>
  <c r="D736" i="78"/>
  <c r="C736" i="78"/>
  <c r="J735" i="78"/>
  <c r="I735" i="78"/>
  <c r="H735" i="78"/>
  <c r="G735" i="78"/>
  <c r="F735" i="78"/>
  <c r="E735" i="78"/>
  <c r="D735" i="78"/>
  <c r="C735" i="78"/>
  <c r="J734" i="78"/>
  <c r="I734" i="78"/>
  <c r="H734" i="78"/>
  <c r="G734" i="78"/>
  <c r="F734" i="78"/>
  <c r="E734" i="78"/>
  <c r="D734" i="78"/>
  <c r="C734" i="78"/>
  <c r="J733" i="78"/>
  <c r="I733" i="78"/>
  <c r="H733" i="78"/>
  <c r="G733" i="78"/>
  <c r="F733" i="78"/>
  <c r="E733" i="78"/>
  <c r="D733" i="78"/>
  <c r="C733" i="78"/>
  <c r="J732" i="78"/>
  <c r="I732" i="78"/>
  <c r="H732" i="78"/>
  <c r="G732" i="78"/>
  <c r="F732" i="78"/>
  <c r="E732" i="78"/>
  <c r="D732" i="78"/>
  <c r="C732" i="78"/>
  <c r="J731" i="78"/>
  <c r="I731" i="78"/>
  <c r="H731" i="78"/>
  <c r="G731" i="78"/>
  <c r="F731" i="78"/>
  <c r="E731" i="78"/>
  <c r="D731" i="78"/>
  <c r="C731" i="78"/>
  <c r="J730" i="78"/>
  <c r="I730" i="78"/>
  <c r="H730" i="78"/>
  <c r="G730" i="78"/>
  <c r="F730" i="78"/>
  <c r="E730" i="78"/>
  <c r="D730" i="78"/>
  <c r="C730" i="78"/>
  <c r="J729" i="78"/>
  <c r="I729" i="78"/>
  <c r="H729" i="78"/>
  <c r="G729" i="78"/>
  <c r="F729" i="78"/>
  <c r="E729" i="78"/>
  <c r="D729" i="78"/>
  <c r="C729" i="78"/>
  <c r="J728" i="78"/>
  <c r="I728" i="78"/>
  <c r="H728" i="78"/>
  <c r="G728" i="78"/>
  <c r="F728" i="78"/>
  <c r="E728" i="78"/>
  <c r="D728" i="78"/>
  <c r="C728" i="78"/>
  <c r="J727" i="78"/>
  <c r="I727" i="78"/>
  <c r="H727" i="78"/>
  <c r="G727" i="78"/>
  <c r="F727" i="78"/>
  <c r="E727" i="78"/>
  <c r="D727" i="78"/>
  <c r="C727" i="78"/>
  <c r="J726" i="78"/>
  <c r="I726" i="78"/>
  <c r="H726" i="78"/>
  <c r="G726" i="78"/>
  <c r="F726" i="78"/>
  <c r="E726" i="78"/>
  <c r="D726" i="78"/>
  <c r="C726" i="78"/>
  <c r="J725" i="78"/>
  <c r="I725" i="78"/>
  <c r="H725" i="78"/>
  <c r="G725" i="78"/>
  <c r="F725" i="78"/>
  <c r="E725" i="78"/>
  <c r="D725" i="78"/>
  <c r="C725" i="78"/>
  <c r="J724" i="78"/>
  <c r="I724" i="78"/>
  <c r="H724" i="78"/>
  <c r="G724" i="78"/>
  <c r="F724" i="78"/>
  <c r="E724" i="78"/>
  <c r="D724" i="78"/>
  <c r="C724" i="78"/>
  <c r="J723" i="78"/>
  <c r="I723" i="78"/>
  <c r="H723" i="78"/>
  <c r="G723" i="78"/>
  <c r="F723" i="78"/>
  <c r="E723" i="78"/>
  <c r="D723" i="78"/>
  <c r="C723" i="78"/>
  <c r="J722" i="78"/>
  <c r="I722" i="78"/>
  <c r="H722" i="78"/>
  <c r="G722" i="78"/>
  <c r="F722" i="78"/>
  <c r="E722" i="78"/>
  <c r="D722" i="78"/>
  <c r="C722" i="78"/>
  <c r="J721" i="78"/>
  <c r="I721" i="78"/>
  <c r="H721" i="78"/>
  <c r="G721" i="78"/>
  <c r="F721" i="78"/>
  <c r="E721" i="78"/>
  <c r="D721" i="78"/>
  <c r="C721" i="78"/>
  <c r="J720" i="78"/>
  <c r="I720" i="78"/>
  <c r="H720" i="78"/>
  <c r="G720" i="78"/>
  <c r="F720" i="78"/>
  <c r="E720" i="78"/>
  <c r="D720" i="78"/>
  <c r="C720" i="78"/>
  <c r="J719" i="78"/>
  <c r="I719" i="78"/>
  <c r="H719" i="78"/>
  <c r="G719" i="78"/>
  <c r="F719" i="78"/>
  <c r="E719" i="78"/>
  <c r="D719" i="78"/>
  <c r="C719" i="78"/>
  <c r="J718" i="78"/>
  <c r="I718" i="78"/>
  <c r="H718" i="78"/>
  <c r="G718" i="78"/>
  <c r="F718" i="78"/>
  <c r="E718" i="78"/>
  <c r="D718" i="78"/>
  <c r="C718" i="78"/>
  <c r="J717" i="78"/>
  <c r="I717" i="78"/>
  <c r="H717" i="78"/>
  <c r="G717" i="78"/>
  <c r="F717" i="78"/>
  <c r="E717" i="78"/>
  <c r="D717" i="78"/>
  <c r="C717" i="78"/>
  <c r="J716" i="78"/>
  <c r="I716" i="78"/>
  <c r="H716" i="78"/>
  <c r="G716" i="78"/>
  <c r="F716" i="78"/>
  <c r="E716" i="78"/>
  <c r="D716" i="78"/>
  <c r="C716" i="78"/>
  <c r="J715" i="78"/>
  <c r="I715" i="78"/>
  <c r="H715" i="78"/>
  <c r="G715" i="78"/>
  <c r="F715" i="78"/>
  <c r="E715" i="78"/>
  <c r="D715" i="78"/>
  <c r="C715" i="78"/>
  <c r="J714" i="78"/>
  <c r="I714" i="78"/>
  <c r="H714" i="78"/>
  <c r="G714" i="78"/>
  <c r="F714" i="78"/>
  <c r="E714" i="78"/>
  <c r="D714" i="78"/>
  <c r="C714" i="78"/>
  <c r="J713" i="78"/>
  <c r="I713" i="78"/>
  <c r="H713" i="78"/>
  <c r="G713" i="78"/>
  <c r="F713" i="78"/>
  <c r="E713" i="78"/>
  <c r="D713" i="78"/>
  <c r="C713" i="78"/>
  <c r="J712" i="78"/>
  <c r="I712" i="78"/>
  <c r="H712" i="78"/>
  <c r="G712" i="78"/>
  <c r="F712" i="78"/>
  <c r="E712" i="78"/>
  <c r="D712" i="78"/>
  <c r="C712" i="78"/>
  <c r="J711" i="78"/>
  <c r="I711" i="78"/>
  <c r="H711" i="78"/>
  <c r="G711" i="78"/>
  <c r="F711" i="78"/>
  <c r="E711" i="78"/>
  <c r="D711" i="78"/>
  <c r="C711" i="78"/>
  <c r="J710" i="78"/>
  <c r="I710" i="78"/>
  <c r="H710" i="78"/>
  <c r="G710" i="78"/>
  <c r="F710" i="78"/>
  <c r="E710" i="78"/>
  <c r="D710" i="78"/>
  <c r="C710" i="78"/>
  <c r="J709" i="78"/>
  <c r="I709" i="78"/>
  <c r="H709" i="78"/>
  <c r="G709" i="78"/>
  <c r="F709" i="78"/>
  <c r="E709" i="78"/>
  <c r="D709" i="78"/>
  <c r="C709" i="78"/>
  <c r="J708" i="78"/>
  <c r="I708" i="78"/>
  <c r="H708" i="78"/>
  <c r="G708" i="78"/>
  <c r="F708" i="78"/>
  <c r="E708" i="78"/>
  <c r="D708" i="78"/>
  <c r="C708" i="78"/>
  <c r="J707" i="78"/>
  <c r="I707" i="78"/>
  <c r="H707" i="78"/>
  <c r="G707" i="78"/>
  <c r="F707" i="78"/>
  <c r="E707" i="78"/>
  <c r="D707" i="78"/>
  <c r="C707" i="78"/>
  <c r="J706" i="78"/>
  <c r="I706" i="78"/>
  <c r="H706" i="78"/>
  <c r="G706" i="78"/>
  <c r="F706" i="78"/>
  <c r="E706" i="78"/>
  <c r="D706" i="78"/>
  <c r="C706" i="78"/>
  <c r="J705" i="78"/>
  <c r="I705" i="78"/>
  <c r="H705" i="78"/>
  <c r="G705" i="78"/>
  <c r="F705" i="78"/>
  <c r="E705" i="78"/>
  <c r="D705" i="78"/>
  <c r="C705" i="78"/>
  <c r="J704" i="78"/>
  <c r="I704" i="78"/>
  <c r="H704" i="78"/>
  <c r="G704" i="78"/>
  <c r="F704" i="78"/>
  <c r="E704" i="78"/>
  <c r="D704" i="78"/>
  <c r="C704" i="78"/>
  <c r="J703" i="78"/>
  <c r="I703" i="78"/>
  <c r="H703" i="78"/>
  <c r="G703" i="78"/>
  <c r="F703" i="78"/>
  <c r="E703" i="78"/>
  <c r="D703" i="78"/>
  <c r="C703" i="78"/>
  <c r="J702" i="78"/>
  <c r="I702" i="78"/>
  <c r="H702" i="78"/>
  <c r="G702" i="78"/>
  <c r="F702" i="78"/>
  <c r="E702" i="78"/>
  <c r="D702" i="78"/>
  <c r="C702" i="78"/>
  <c r="J701" i="78"/>
  <c r="I701" i="78"/>
  <c r="H701" i="78"/>
  <c r="G701" i="78"/>
  <c r="F701" i="78"/>
  <c r="E701" i="78"/>
  <c r="D701" i="78"/>
  <c r="C701" i="78"/>
  <c r="J700" i="78"/>
  <c r="I700" i="78"/>
  <c r="H700" i="78"/>
  <c r="G700" i="78"/>
  <c r="F700" i="78"/>
  <c r="E700" i="78"/>
  <c r="D700" i="78"/>
  <c r="C700" i="78"/>
  <c r="J699" i="78"/>
  <c r="I699" i="78"/>
  <c r="H699" i="78"/>
  <c r="G699" i="78"/>
  <c r="F699" i="78"/>
  <c r="E699" i="78"/>
  <c r="D699" i="78"/>
  <c r="C699" i="78"/>
  <c r="J698" i="78"/>
  <c r="I698" i="78"/>
  <c r="H698" i="78"/>
  <c r="G698" i="78"/>
  <c r="F698" i="78"/>
  <c r="E698" i="78"/>
  <c r="D698" i="78"/>
  <c r="C698" i="78"/>
  <c r="J697" i="78"/>
  <c r="I697" i="78"/>
  <c r="H697" i="78"/>
  <c r="G697" i="78"/>
  <c r="F697" i="78"/>
  <c r="E697" i="78"/>
  <c r="D697" i="78"/>
  <c r="C697" i="78"/>
  <c r="J696" i="78"/>
  <c r="I696" i="78"/>
  <c r="H696" i="78"/>
  <c r="G696" i="78"/>
  <c r="F696" i="78"/>
  <c r="E696" i="78"/>
  <c r="D696" i="78"/>
  <c r="C696" i="78"/>
  <c r="J695" i="78"/>
  <c r="I695" i="78"/>
  <c r="H695" i="78"/>
  <c r="G695" i="78"/>
  <c r="F695" i="78"/>
  <c r="E695" i="78"/>
  <c r="D695" i="78"/>
  <c r="C695" i="78"/>
  <c r="J694" i="78"/>
  <c r="I694" i="78"/>
  <c r="H694" i="78"/>
  <c r="G694" i="78"/>
  <c r="F694" i="78"/>
  <c r="E694" i="78"/>
  <c r="D694" i="78"/>
  <c r="C694" i="78"/>
  <c r="J693" i="78"/>
  <c r="I693" i="78"/>
  <c r="H693" i="78"/>
  <c r="G693" i="78"/>
  <c r="F693" i="78"/>
  <c r="E693" i="78"/>
  <c r="D693" i="78"/>
  <c r="C693" i="78"/>
  <c r="J692" i="78"/>
  <c r="I692" i="78"/>
  <c r="H692" i="78"/>
  <c r="G692" i="78"/>
  <c r="F692" i="78"/>
  <c r="E692" i="78"/>
  <c r="D692" i="78"/>
  <c r="C692" i="78"/>
  <c r="J691" i="78"/>
  <c r="I691" i="78"/>
  <c r="H691" i="78"/>
  <c r="G691" i="78"/>
  <c r="F691" i="78"/>
  <c r="E691" i="78"/>
  <c r="D691" i="78"/>
  <c r="C691" i="78"/>
  <c r="J690" i="78"/>
  <c r="I690" i="78"/>
  <c r="H690" i="78"/>
  <c r="G690" i="78"/>
  <c r="F690" i="78"/>
  <c r="E690" i="78"/>
  <c r="D690" i="78"/>
  <c r="C690" i="78"/>
  <c r="J689" i="78"/>
  <c r="I689" i="78"/>
  <c r="H689" i="78"/>
  <c r="G689" i="78"/>
  <c r="F689" i="78"/>
  <c r="E689" i="78"/>
  <c r="D689" i="78"/>
  <c r="C689" i="78"/>
  <c r="J688" i="78"/>
  <c r="I688" i="78"/>
  <c r="H688" i="78"/>
  <c r="G688" i="78"/>
  <c r="F688" i="78"/>
  <c r="E688" i="78"/>
  <c r="D688" i="78"/>
  <c r="C688" i="78"/>
  <c r="J687" i="78"/>
  <c r="I687" i="78"/>
  <c r="H687" i="78"/>
  <c r="G687" i="78"/>
  <c r="F687" i="78"/>
  <c r="E687" i="78"/>
  <c r="D687" i="78"/>
  <c r="C687" i="78"/>
  <c r="J686" i="78"/>
  <c r="I686" i="78"/>
  <c r="H686" i="78"/>
  <c r="G686" i="78"/>
  <c r="F686" i="78"/>
  <c r="E686" i="78"/>
  <c r="D686" i="78"/>
  <c r="C686" i="78"/>
  <c r="J685" i="78"/>
  <c r="I685" i="78"/>
  <c r="H685" i="78"/>
  <c r="G685" i="78"/>
  <c r="F685" i="78"/>
  <c r="E685" i="78"/>
  <c r="D685" i="78"/>
  <c r="C685" i="78"/>
  <c r="J684" i="78"/>
  <c r="I684" i="78"/>
  <c r="H684" i="78"/>
  <c r="G684" i="78"/>
  <c r="F684" i="78"/>
  <c r="E684" i="78"/>
  <c r="D684" i="78"/>
  <c r="C684" i="78"/>
  <c r="J683" i="78"/>
  <c r="I683" i="78"/>
  <c r="H683" i="78"/>
  <c r="G683" i="78"/>
  <c r="F683" i="78"/>
  <c r="E683" i="78"/>
  <c r="D683" i="78"/>
  <c r="C683" i="78"/>
  <c r="J682" i="78"/>
  <c r="I682" i="78"/>
  <c r="H682" i="78"/>
  <c r="G682" i="78"/>
  <c r="F682" i="78"/>
  <c r="E682" i="78"/>
  <c r="D682" i="78"/>
  <c r="C682" i="78"/>
  <c r="J681" i="78"/>
  <c r="I681" i="78"/>
  <c r="H681" i="78"/>
  <c r="G681" i="78"/>
  <c r="F681" i="78"/>
  <c r="E681" i="78"/>
  <c r="D681" i="78"/>
  <c r="C681" i="78"/>
  <c r="J680" i="78"/>
  <c r="I680" i="78"/>
  <c r="H680" i="78"/>
  <c r="G680" i="78"/>
  <c r="F680" i="78"/>
  <c r="E680" i="78"/>
  <c r="D680" i="78"/>
  <c r="C680" i="78"/>
  <c r="J679" i="78"/>
  <c r="I679" i="78"/>
  <c r="H679" i="78"/>
  <c r="G679" i="78"/>
  <c r="F679" i="78"/>
  <c r="E679" i="78"/>
  <c r="D679" i="78"/>
  <c r="C679" i="78"/>
  <c r="J678" i="78"/>
  <c r="I678" i="78"/>
  <c r="H678" i="78"/>
  <c r="G678" i="78"/>
  <c r="F678" i="78"/>
  <c r="E678" i="78"/>
  <c r="D678" i="78"/>
  <c r="C678" i="78"/>
  <c r="J677" i="78"/>
  <c r="I677" i="78"/>
  <c r="H677" i="78"/>
  <c r="G677" i="78"/>
  <c r="F677" i="78"/>
  <c r="E677" i="78"/>
  <c r="D677" i="78"/>
  <c r="C677" i="78"/>
  <c r="J676" i="78"/>
  <c r="I676" i="78"/>
  <c r="H676" i="78"/>
  <c r="G676" i="78"/>
  <c r="F676" i="78"/>
  <c r="E676" i="78"/>
  <c r="D676" i="78"/>
  <c r="C676" i="78"/>
  <c r="J675" i="78"/>
  <c r="I675" i="78"/>
  <c r="H675" i="78"/>
  <c r="G675" i="78"/>
  <c r="F675" i="78"/>
  <c r="E675" i="78"/>
  <c r="D675" i="78"/>
  <c r="C675" i="78"/>
  <c r="J674" i="78"/>
  <c r="I674" i="78"/>
  <c r="H674" i="78"/>
  <c r="G674" i="78"/>
  <c r="F674" i="78"/>
  <c r="E674" i="78"/>
  <c r="D674" i="78"/>
  <c r="C674" i="78"/>
  <c r="J673" i="78"/>
  <c r="I673" i="78"/>
  <c r="H673" i="78"/>
  <c r="G673" i="78"/>
  <c r="F673" i="78"/>
  <c r="E673" i="78"/>
  <c r="D673" i="78"/>
  <c r="C673" i="78"/>
  <c r="J672" i="78"/>
  <c r="I672" i="78"/>
  <c r="H672" i="78"/>
  <c r="G672" i="78"/>
  <c r="F672" i="78"/>
  <c r="E672" i="78"/>
  <c r="D672" i="78"/>
  <c r="C672" i="78"/>
  <c r="J671" i="78"/>
  <c r="I671" i="78"/>
  <c r="H671" i="78"/>
  <c r="G671" i="78"/>
  <c r="F671" i="78"/>
  <c r="E671" i="78"/>
  <c r="D671" i="78"/>
  <c r="C671" i="78"/>
  <c r="J670" i="78"/>
  <c r="I670" i="78"/>
  <c r="H670" i="78"/>
  <c r="G670" i="78"/>
  <c r="F670" i="78"/>
  <c r="E670" i="78"/>
  <c r="D670" i="78"/>
  <c r="C670" i="78"/>
  <c r="J669" i="78"/>
  <c r="I669" i="78"/>
  <c r="H669" i="78"/>
  <c r="G669" i="78"/>
  <c r="F669" i="78"/>
  <c r="E669" i="78"/>
  <c r="D669" i="78"/>
  <c r="C669" i="78"/>
  <c r="J668" i="78"/>
  <c r="I668" i="78"/>
  <c r="H668" i="78"/>
  <c r="G668" i="78"/>
  <c r="F668" i="78"/>
  <c r="E668" i="78"/>
  <c r="D668" i="78"/>
  <c r="C668" i="78"/>
  <c r="J667" i="78"/>
  <c r="I667" i="78"/>
  <c r="H667" i="78"/>
  <c r="G667" i="78"/>
  <c r="F667" i="78"/>
  <c r="E667" i="78"/>
  <c r="D667" i="78"/>
  <c r="C667" i="78"/>
  <c r="J666" i="78"/>
  <c r="I666" i="78"/>
  <c r="H666" i="78"/>
  <c r="G666" i="78"/>
  <c r="F666" i="78"/>
  <c r="E666" i="78"/>
  <c r="D666" i="78"/>
  <c r="C666" i="78"/>
  <c r="J665" i="78"/>
  <c r="I665" i="78"/>
  <c r="H665" i="78"/>
  <c r="G665" i="78"/>
  <c r="F665" i="78"/>
  <c r="E665" i="78"/>
  <c r="D665" i="78"/>
  <c r="C665" i="78"/>
  <c r="J664" i="78"/>
  <c r="I664" i="78"/>
  <c r="H664" i="78"/>
  <c r="G664" i="78"/>
  <c r="F664" i="78"/>
  <c r="E664" i="78"/>
  <c r="D664" i="78"/>
  <c r="C664" i="78"/>
  <c r="J663" i="78"/>
  <c r="I663" i="78"/>
  <c r="H663" i="78"/>
  <c r="G663" i="78"/>
  <c r="F663" i="78"/>
  <c r="E663" i="78"/>
  <c r="D663" i="78"/>
  <c r="C663" i="78"/>
  <c r="J662" i="78"/>
  <c r="I662" i="78"/>
  <c r="H662" i="78"/>
  <c r="G662" i="78"/>
  <c r="F662" i="78"/>
  <c r="E662" i="78"/>
  <c r="D662" i="78"/>
  <c r="C662" i="78"/>
  <c r="J661" i="78"/>
  <c r="I661" i="78"/>
  <c r="H661" i="78"/>
  <c r="G661" i="78"/>
  <c r="F661" i="78"/>
  <c r="E661" i="78"/>
  <c r="D661" i="78"/>
  <c r="C661" i="78"/>
  <c r="J660" i="78"/>
  <c r="I660" i="78"/>
  <c r="H660" i="78"/>
  <c r="G660" i="78"/>
  <c r="F660" i="78"/>
  <c r="E660" i="78"/>
  <c r="D660" i="78"/>
  <c r="C660" i="78"/>
  <c r="J659" i="78"/>
  <c r="I659" i="78"/>
  <c r="H659" i="78"/>
  <c r="G659" i="78"/>
  <c r="F659" i="78"/>
  <c r="E659" i="78"/>
  <c r="D659" i="78"/>
  <c r="C659" i="78"/>
  <c r="J658" i="78"/>
  <c r="I658" i="78"/>
  <c r="H658" i="78"/>
  <c r="G658" i="78"/>
  <c r="F658" i="78"/>
  <c r="E658" i="78"/>
  <c r="D658" i="78"/>
  <c r="C658" i="78"/>
  <c r="J657" i="78"/>
  <c r="I657" i="78"/>
  <c r="H657" i="78"/>
  <c r="G657" i="78"/>
  <c r="F657" i="78"/>
  <c r="E657" i="78"/>
  <c r="D657" i="78"/>
  <c r="C657" i="78"/>
  <c r="J656" i="78"/>
  <c r="I656" i="78"/>
  <c r="H656" i="78"/>
  <c r="G656" i="78"/>
  <c r="F656" i="78"/>
  <c r="E656" i="78"/>
  <c r="D656" i="78"/>
  <c r="C656" i="78"/>
  <c r="J655" i="78"/>
  <c r="I655" i="78"/>
  <c r="H655" i="78"/>
  <c r="G655" i="78"/>
  <c r="F655" i="78"/>
  <c r="E655" i="78"/>
  <c r="D655" i="78"/>
  <c r="C655" i="78"/>
  <c r="J654" i="78"/>
  <c r="I654" i="78"/>
  <c r="H654" i="78"/>
  <c r="G654" i="78"/>
  <c r="F654" i="78"/>
  <c r="E654" i="78"/>
  <c r="D654" i="78"/>
  <c r="C654" i="78"/>
  <c r="J653" i="78"/>
  <c r="I653" i="78"/>
  <c r="H653" i="78"/>
  <c r="G653" i="78"/>
  <c r="F653" i="78"/>
  <c r="E653" i="78"/>
  <c r="D653" i="78"/>
  <c r="C653" i="78"/>
  <c r="J652" i="78"/>
  <c r="I652" i="78"/>
  <c r="H652" i="78"/>
  <c r="G652" i="78"/>
  <c r="F652" i="78"/>
  <c r="E652" i="78"/>
  <c r="D652" i="78"/>
  <c r="C652" i="78"/>
  <c r="J651" i="78"/>
  <c r="I651" i="78"/>
  <c r="H651" i="78"/>
  <c r="G651" i="78"/>
  <c r="F651" i="78"/>
  <c r="E651" i="78"/>
  <c r="D651" i="78"/>
  <c r="C651" i="78"/>
  <c r="J650" i="78"/>
  <c r="I650" i="78"/>
  <c r="H650" i="78"/>
  <c r="G650" i="78"/>
  <c r="F650" i="78"/>
  <c r="E650" i="78"/>
  <c r="D650" i="78"/>
  <c r="C650" i="78"/>
  <c r="J649" i="78"/>
  <c r="I649" i="78"/>
  <c r="H649" i="78"/>
  <c r="G649" i="78"/>
  <c r="F649" i="78"/>
  <c r="E649" i="78"/>
  <c r="D649" i="78"/>
  <c r="C649" i="78"/>
  <c r="J648" i="78"/>
  <c r="I648" i="78"/>
  <c r="H648" i="78"/>
  <c r="G648" i="78"/>
  <c r="F648" i="78"/>
  <c r="E648" i="78"/>
  <c r="D648" i="78"/>
  <c r="C648" i="78"/>
  <c r="J647" i="78"/>
  <c r="I647" i="78"/>
  <c r="H647" i="78"/>
  <c r="G647" i="78"/>
  <c r="F647" i="78"/>
  <c r="E647" i="78"/>
  <c r="D647" i="78"/>
  <c r="C647" i="78"/>
  <c r="J646" i="78"/>
  <c r="I646" i="78"/>
  <c r="H646" i="78"/>
  <c r="G646" i="78"/>
  <c r="F646" i="78"/>
  <c r="E646" i="78"/>
  <c r="D646" i="78"/>
  <c r="C646" i="78"/>
  <c r="J645" i="78"/>
  <c r="I645" i="78"/>
  <c r="H645" i="78"/>
  <c r="G645" i="78"/>
  <c r="F645" i="78"/>
  <c r="E645" i="78"/>
  <c r="D645" i="78"/>
  <c r="C645" i="78"/>
  <c r="J644" i="78"/>
  <c r="I644" i="78"/>
  <c r="H644" i="78"/>
  <c r="G644" i="78"/>
  <c r="F644" i="78"/>
  <c r="E644" i="78"/>
  <c r="D644" i="78"/>
  <c r="C644" i="78"/>
  <c r="J643" i="78"/>
  <c r="I643" i="78"/>
  <c r="H643" i="78"/>
  <c r="G643" i="78"/>
  <c r="F643" i="78"/>
  <c r="E643" i="78"/>
  <c r="D643" i="78"/>
  <c r="C643" i="78"/>
  <c r="J642" i="78"/>
  <c r="I642" i="78"/>
  <c r="H642" i="78"/>
  <c r="G642" i="78"/>
  <c r="F642" i="78"/>
  <c r="E642" i="78"/>
  <c r="D642" i="78"/>
  <c r="C642" i="78"/>
  <c r="J641" i="78"/>
  <c r="I641" i="78"/>
  <c r="H641" i="78"/>
  <c r="G641" i="78"/>
  <c r="F641" i="78"/>
  <c r="E641" i="78"/>
  <c r="D641" i="78"/>
  <c r="C641" i="78"/>
  <c r="J640" i="78"/>
  <c r="I640" i="78"/>
  <c r="H640" i="78"/>
  <c r="G640" i="78"/>
  <c r="F640" i="78"/>
  <c r="E640" i="78"/>
  <c r="D640" i="78"/>
  <c r="C640" i="78"/>
  <c r="J639" i="78"/>
  <c r="I639" i="78"/>
  <c r="H639" i="78"/>
  <c r="G639" i="78"/>
  <c r="F639" i="78"/>
  <c r="E639" i="78"/>
  <c r="D639" i="78"/>
  <c r="C639" i="78"/>
  <c r="J638" i="78"/>
  <c r="I638" i="78"/>
  <c r="H638" i="78"/>
  <c r="G638" i="78"/>
  <c r="F638" i="78"/>
  <c r="E638" i="78"/>
  <c r="D638" i="78"/>
  <c r="C638" i="78"/>
  <c r="J637" i="78"/>
  <c r="I637" i="78"/>
  <c r="H637" i="78"/>
  <c r="G637" i="78"/>
  <c r="F637" i="78"/>
  <c r="E637" i="78"/>
  <c r="D637" i="78"/>
  <c r="C637" i="78"/>
  <c r="J636" i="78"/>
  <c r="I636" i="78"/>
  <c r="H636" i="78"/>
  <c r="G636" i="78"/>
  <c r="F636" i="78"/>
  <c r="E636" i="78"/>
  <c r="D636" i="78"/>
  <c r="C636" i="78"/>
  <c r="J635" i="78"/>
  <c r="I635" i="78"/>
  <c r="H635" i="78"/>
  <c r="G635" i="78"/>
  <c r="F635" i="78"/>
  <c r="E635" i="78"/>
  <c r="D635" i="78"/>
  <c r="C635" i="78"/>
  <c r="J634" i="78"/>
  <c r="I634" i="78"/>
  <c r="H634" i="78"/>
  <c r="G634" i="78"/>
  <c r="F634" i="78"/>
  <c r="E634" i="78"/>
  <c r="D634" i="78"/>
  <c r="C634" i="78"/>
  <c r="J633" i="78"/>
  <c r="I633" i="78"/>
  <c r="H633" i="78"/>
  <c r="G633" i="78"/>
  <c r="F633" i="78"/>
  <c r="E633" i="78"/>
  <c r="D633" i="78"/>
  <c r="C633" i="78"/>
  <c r="J632" i="78"/>
  <c r="I632" i="78"/>
  <c r="H632" i="78"/>
  <c r="G632" i="78"/>
  <c r="F632" i="78"/>
  <c r="E632" i="78"/>
  <c r="D632" i="78"/>
  <c r="C632" i="78"/>
  <c r="J631" i="78"/>
  <c r="I631" i="78"/>
  <c r="H631" i="78"/>
  <c r="G631" i="78"/>
  <c r="F631" i="78"/>
  <c r="E631" i="78"/>
  <c r="D631" i="78"/>
  <c r="C631" i="78"/>
  <c r="J630" i="78"/>
  <c r="I630" i="78"/>
  <c r="H630" i="78"/>
  <c r="G630" i="78"/>
  <c r="F630" i="78"/>
  <c r="E630" i="78"/>
  <c r="D630" i="78"/>
  <c r="C630" i="78"/>
  <c r="J629" i="78"/>
  <c r="I629" i="78"/>
  <c r="H629" i="78"/>
  <c r="G629" i="78"/>
  <c r="F629" i="78"/>
  <c r="E629" i="78"/>
  <c r="D629" i="78"/>
  <c r="C629" i="78"/>
  <c r="J628" i="78"/>
  <c r="I628" i="78"/>
  <c r="H628" i="78"/>
  <c r="G628" i="78"/>
  <c r="F628" i="78"/>
  <c r="E628" i="78"/>
  <c r="D628" i="78"/>
  <c r="C628" i="78"/>
  <c r="J627" i="78"/>
  <c r="I627" i="78"/>
  <c r="H627" i="78"/>
  <c r="G627" i="78"/>
  <c r="F627" i="78"/>
  <c r="E627" i="78"/>
  <c r="D627" i="78"/>
  <c r="C627" i="78"/>
  <c r="J626" i="78"/>
  <c r="I626" i="78"/>
  <c r="H626" i="78"/>
  <c r="G626" i="78"/>
  <c r="F626" i="78"/>
  <c r="E626" i="78"/>
  <c r="D626" i="78"/>
  <c r="C626" i="78"/>
  <c r="J625" i="78"/>
  <c r="I625" i="78"/>
  <c r="H625" i="78"/>
  <c r="G625" i="78"/>
  <c r="F625" i="78"/>
  <c r="E625" i="78"/>
  <c r="D625" i="78"/>
  <c r="C625" i="78"/>
  <c r="J624" i="78"/>
  <c r="I624" i="78"/>
  <c r="H624" i="78"/>
  <c r="G624" i="78"/>
  <c r="F624" i="78"/>
  <c r="E624" i="78"/>
  <c r="D624" i="78"/>
  <c r="C624" i="78"/>
  <c r="J623" i="78"/>
  <c r="I623" i="78"/>
  <c r="H623" i="78"/>
  <c r="G623" i="78"/>
  <c r="F623" i="78"/>
  <c r="E623" i="78"/>
  <c r="D623" i="78"/>
  <c r="C623" i="78"/>
  <c r="J622" i="78"/>
  <c r="I622" i="78"/>
  <c r="H622" i="78"/>
  <c r="G622" i="78"/>
  <c r="F622" i="78"/>
  <c r="E622" i="78"/>
  <c r="D622" i="78"/>
  <c r="C622" i="78"/>
  <c r="J621" i="78"/>
  <c r="I621" i="78"/>
  <c r="H621" i="78"/>
  <c r="G621" i="78"/>
  <c r="F621" i="78"/>
  <c r="E621" i="78"/>
  <c r="D621" i="78"/>
  <c r="C621" i="78"/>
  <c r="J620" i="78"/>
  <c r="I620" i="78"/>
  <c r="H620" i="78"/>
  <c r="G620" i="78"/>
  <c r="F620" i="78"/>
  <c r="E620" i="78"/>
  <c r="D620" i="78"/>
  <c r="C620" i="78"/>
  <c r="J619" i="78"/>
  <c r="I619" i="78"/>
  <c r="H619" i="78"/>
  <c r="G619" i="78"/>
  <c r="F619" i="78"/>
  <c r="E619" i="78"/>
  <c r="D619" i="78"/>
  <c r="C619" i="78"/>
  <c r="J618" i="78"/>
  <c r="I618" i="78"/>
  <c r="H618" i="78"/>
  <c r="G618" i="78"/>
  <c r="F618" i="78"/>
  <c r="E618" i="78"/>
  <c r="D618" i="78"/>
  <c r="C618" i="78"/>
  <c r="J617" i="78"/>
  <c r="I617" i="78"/>
  <c r="H617" i="78"/>
  <c r="G617" i="78"/>
  <c r="F617" i="78"/>
  <c r="E617" i="78"/>
  <c r="D617" i="78"/>
  <c r="C617" i="78"/>
  <c r="J616" i="78"/>
  <c r="I616" i="78"/>
  <c r="H616" i="78"/>
  <c r="G616" i="78"/>
  <c r="F616" i="78"/>
  <c r="E616" i="78"/>
  <c r="D616" i="78"/>
  <c r="C616" i="78"/>
  <c r="J615" i="78"/>
  <c r="I615" i="78"/>
  <c r="H615" i="78"/>
  <c r="G615" i="78"/>
  <c r="F615" i="78"/>
  <c r="E615" i="78"/>
  <c r="D615" i="78"/>
  <c r="C615" i="78"/>
  <c r="J614" i="78"/>
  <c r="I614" i="78"/>
  <c r="H614" i="78"/>
  <c r="G614" i="78"/>
  <c r="F614" i="78"/>
  <c r="E614" i="78"/>
  <c r="D614" i="78"/>
  <c r="C614" i="78"/>
  <c r="J613" i="78"/>
  <c r="I613" i="78"/>
  <c r="H613" i="78"/>
  <c r="G613" i="78"/>
  <c r="F613" i="78"/>
  <c r="E613" i="78"/>
  <c r="D613" i="78"/>
  <c r="C613" i="78"/>
  <c r="J612" i="78"/>
  <c r="I612" i="78"/>
  <c r="H612" i="78"/>
  <c r="G612" i="78"/>
  <c r="F612" i="78"/>
  <c r="E612" i="78"/>
  <c r="D612" i="78"/>
  <c r="C612" i="78"/>
  <c r="J611" i="78"/>
  <c r="I611" i="78"/>
  <c r="H611" i="78"/>
  <c r="G611" i="78"/>
  <c r="F611" i="78"/>
  <c r="E611" i="78"/>
  <c r="D611" i="78"/>
  <c r="C611" i="78"/>
  <c r="J610" i="78"/>
  <c r="I610" i="78"/>
  <c r="H610" i="78"/>
  <c r="G610" i="78"/>
  <c r="F610" i="78"/>
  <c r="E610" i="78"/>
  <c r="D610" i="78"/>
  <c r="C610" i="78"/>
  <c r="J609" i="78"/>
  <c r="I609" i="78"/>
  <c r="H609" i="78"/>
  <c r="G609" i="78"/>
  <c r="F609" i="78"/>
  <c r="E609" i="78"/>
  <c r="D609" i="78"/>
  <c r="C609" i="78"/>
  <c r="J608" i="78"/>
  <c r="I608" i="78"/>
  <c r="H608" i="78"/>
  <c r="G608" i="78"/>
  <c r="F608" i="78"/>
  <c r="E608" i="78"/>
  <c r="D608" i="78"/>
  <c r="C608" i="78"/>
  <c r="J607" i="78"/>
  <c r="I607" i="78"/>
  <c r="H607" i="78"/>
  <c r="G607" i="78"/>
  <c r="F607" i="78"/>
  <c r="E607" i="78"/>
  <c r="D607" i="78"/>
  <c r="C607" i="78"/>
  <c r="J606" i="78"/>
  <c r="I606" i="78"/>
  <c r="H606" i="78"/>
  <c r="G606" i="78"/>
  <c r="F606" i="78"/>
  <c r="E606" i="78"/>
  <c r="D606" i="78"/>
  <c r="C606" i="78"/>
  <c r="J605" i="78"/>
  <c r="I605" i="78"/>
  <c r="H605" i="78"/>
  <c r="G605" i="78"/>
  <c r="F605" i="78"/>
  <c r="E605" i="78"/>
  <c r="D605" i="78"/>
  <c r="C605" i="78"/>
  <c r="J604" i="78"/>
  <c r="I604" i="78"/>
  <c r="H604" i="78"/>
  <c r="G604" i="78"/>
  <c r="F604" i="78"/>
  <c r="E604" i="78"/>
  <c r="D604" i="78"/>
  <c r="C604" i="78"/>
  <c r="J603" i="78"/>
  <c r="I603" i="78"/>
  <c r="H603" i="78"/>
  <c r="G603" i="78"/>
  <c r="F603" i="78"/>
  <c r="E603" i="78"/>
  <c r="D603" i="78"/>
  <c r="C603" i="78"/>
  <c r="J602" i="78"/>
  <c r="I602" i="78"/>
  <c r="H602" i="78"/>
  <c r="G602" i="78"/>
  <c r="F602" i="78"/>
  <c r="E602" i="78"/>
  <c r="D602" i="78"/>
  <c r="C602" i="78"/>
  <c r="J601" i="78"/>
  <c r="I601" i="78"/>
  <c r="H601" i="78"/>
  <c r="G601" i="78"/>
  <c r="F601" i="78"/>
  <c r="E601" i="78"/>
  <c r="D601" i="78"/>
  <c r="C601" i="78"/>
  <c r="J600" i="78"/>
  <c r="I600" i="78"/>
  <c r="H600" i="78"/>
  <c r="G600" i="78"/>
  <c r="F600" i="78"/>
  <c r="E600" i="78"/>
  <c r="D600" i="78"/>
  <c r="C600" i="78"/>
  <c r="J599" i="78"/>
  <c r="I599" i="78"/>
  <c r="H599" i="78"/>
  <c r="G599" i="78"/>
  <c r="F599" i="78"/>
  <c r="E599" i="78"/>
  <c r="D599" i="78"/>
  <c r="C599" i="78"/>
  <c r="J598" i="78"/>
  <c r="I598" i="78"/>
  <c r="H598" i="78"/>
  <c r="G598" i="78"/>
  <c r="F598" i="78"/>
  <c r="E598" i="78"/>
  <c r="D598" i="78"/>
  <c r="C598" i="78"/>
  <c r="J597" i="78"/>
  <c r="I597" i="78"/>
  <c r="H597" i="78"/>
  <c r="G597" i="78"/>
  <c r="F597" i="78"/>
  <c r="E597" i="78"/>
  <c r="D597" i="78"/>
  <c r="C597" i="78"/>
  <c r="J596" i="78"/>
  <c r="I596" i="78"/>
  <c r="H596" i="78"/>
  <c r="G596" i="78"/>
  <c r="F596" i="78"/>
  <c r="E596" i="78"/>
  <c r="D596" i="78"/>
  <c r="C596" i="78"/>
  <c r="J595" i="78"/>
  <c r="I595" i="78"/>
  <c r="H595" i="78"/>
  <c r="G595" i="78"/>
  <c r="F595" i="78"/>
  <c r="E595" i="78"/>
  <c r="D595" i="78"/>
  <c r="C595" i="78"/>
  <c r="J594" i="78"/>
  <c r="I594" i="78"/>
  <c r="H594" i="78"/>
  <c r="G594" i="78"/>
  <c r="F594" i="78"/>
  <c r="E594" i="78"/>
  <c r="D594" i="78"/>
  <c r="C594" i="78"/>
  <c r="J593" i="78"/>
  <c r="I593" i="78"/>
  <c r="H593" i="78"/>
  <c r="G593" i="78"/>
  <c r="F593" i="78"/>
  <c r="E593" i="78"/>
  <c r="D593" i="78"/>
  <c r="C593" i="78"/>
  <c r="J592" i="78"/>
  <c r="I592" i="78"/>
  <c r="H592" i="78"/>
  <c r="G592" i="78"/>
  <c r="F592" i="78"/>
  <c r="E592" i="78"/>
  <c r="D592" i="78"/>
  <c r="C592" i="78"/>
  <c r="J591" i="78"/>
  <c r="I591" i="78"/>
  <c r="H591" i="78"/>
  <c r="G591" i="78"/>
  <c r="F591" i="78"/>
  <c r="E591" i="78"/>
  <c r="D591" i="78"/>
  <c r="C591" i="78"/>
  <c r="J590" i="78"/>
  <c r="I590" i="78"/>
  <c r="H590" i="78"/>
  <c r="G590" i="78"/>
  <c r="F590" i="78"/>
  <c r="E590" i="78"/>
  <c r="D590" i="78"/>
  <c r="C590" i="78"/>
  <c r="J589" i="78"/>
  <c r="I589" i="78"/>
  <c r="H589" i="78"/>
  <c r="G589" i="78"/>
  <c r="F589" i="78"/>
  <c r="E589" i="78"/>
  <c r="D589" i="78"/>
  <c r="C589" i="78"/>
  <c r="J588" i="78"/>
  <c r="I588" i="78"/>
  <c r="H588" i="78"/>
  <c r="G588" i="78"/>
  <c r="F588" i="78"/>
  <c r="E588" i="78"/>
  <c r="D588" i="78"/>
  <c r="C588" i="78"/>
  <c r="J587" i="78"/>
  <c r="I587" i="78"/>
  <c r="H587" i="78"/>
  <c r="G587" i="78"/>
  <c r="F587" i="78"/>
  <c r="E587" i="78"/>
  <c r="D587" i="78"/>
  <c r="C587" i="78"/>
  <c r="J586" i="78"/>
  <c r="I586" i="78"/>
  <c r="H586" i="78"/>
  <c r="G586" i="78"/>
  <c r="F586" i="78"/>
  <c r="E586" i="78"/>
  <c r="D586" i="78"/>
  <c r="C586" i="78"/>
  <c r="J585" i="78"/>
  <c r="I585" i="78"/>
  <c r="H585" i="78"/>
  <c r="G585" i="78"/>
  <c r="F585" i="78"/>
  <c r="E585" i="78"/>
  <c r="D585" i="78"/>
  <c r="C585" i="78"/>
  <c r="J584" i="78"/>
  <c r="I584" i="78"/>
  <c r="H584" i="78"/>
  <c r="G584" i="78"/>
  <c r="F584" i="78"/>
  <c r="E584" i="78"/>
  <c r="D584" i="78"/>
  <c r="C584" i="78"/>
  <c r="J583" i="78"/>
  <c r="I583" i="78"/>
  <c r="H583" i="78"/>
  <c r="G583" i="78"/>
  <c r="F583" i="78"/>
  <c r="E583" i="78"/>
  <c r="D583" i="78"/>
  <c r="C583" i="78"/>
  <c r="J582" i="78"/>
  <c r="I582" i="78"/>
  <c r="H582" i="78"/>
  <c r="G582" i="78"/>
  <c r="F582" i="78"/>
  <c r="E582" i="78"/>
  <c r="D582" i="78"/>
  <c r="C582" i="78"/>
  <c r="J581" i="78"/>
  <c r="I581" i="78"/>
  <c r="H581" i="78"/>
  <c r="G581" i="78"/>
  <c r="F581" i="78"/>
  <c r="E581" i="78"/>
  <c r="D581" i="78"/>
  <c r="C581" i="78"/>
  <c r="J580" i="78"/>
  <c r="I580" i="78"/>
  <c r="H580" i="78"/>
  <c r="G580" i="78"/>
  <c r="F580" i="78"/>
  <c r="E580" i="78"/>
  <c r="D580" i="78"/>
  <c r="C580" i="78"/>
  <c r="J579" i="78"/>
  <c r="I579" i="78"/>
  <c r="H579" i="78"/>
  <c r="G579" i="78"/>
  <c r="F579" i="78"/>
  <c r="E579" i="78"/>
  <c r="D579" i="78"/>
  <c r="C579" i="78"/>
  <c r="J578" i="78"/>
  <c r="I578" i="78"/>
  <c r="H578" i="78"/>
  <c r="G578" i="78"/>
  <c r="F578" i="78"/>
  <c r="E578" i="78"/>
  <c r="D578" i="78"/>
  <c r="C578" i="78"/>
  <c r="J577" i="78"/>
  <c r="I577" i="78"/>
  <c r="H577" i="78"/>
  <c r="G577" i="78"/>
  <c r="F577" i="78"/>
  <c r="E577" i="78"/>
  <c r="D577" i="78"/>
  <c r="C577" i="78"/>
  <c r="J576" i="78"/>
  <c r="I576" i="78"/>
  <c r="H576" i="78"/>
  <c r="G576" i="78"/>
  <c r="F576" i="78"/>
  <c r="E576" i="78"/>
  <c r="D576" i="78"/>
  <c r="C576" i="78"/>
  <c r="J575" i="78"/>
  <c r="I575" i="78"/>
  <c r="H575" i="78"/>
  <c r="G575" i="78"/>
  <c r="F575" i="78"/>
  <c r="E575" i="78"/>
  <c r="D575" i="78"/>
  <c r="C575" i="78"/>
  <c r="J574" i="78"/>
  <c r="I574" i="78"/>
  <c r="H574" i="78"/>
  <c r="G574" i="78"/>
  <c r="F574" i="78"/>
  <c r="E574" i="78"/>
  <c r="D574" i="78"/>
  <c r="C574" i="78"/>
  <c r="J573" i="78"/>
  <c r="I573" i="78"/>
  <c r="H573" i="78"/>
  <c r="G573" i="78"/>
  <c r="F573" i="78"/>
  <c r="E573" i="78"/>
  <c r="D573" i="78"/>
  <c r="C573" i="78"/>
  <c r="J572" i="78"/>
  <c r="I572" i="78"/>
  <c r="H572" i="78"/>
  <c r="G572" i="78"/>
  <c r="F572" i="78"/>
  <c r="E572" i="78"/>
  <c r="D572" i="78"/>
  <c r="C572" i="78"/>
  <c r="J571" i="78"/>
  <c r="I571" i="78"/>
  <c r="H571" i="78"/>
  <c r="G571" i="78"/>
  <c r="F571" i="78"/>
  <c r="E571" i="78"/>
  <c r="D571" i="78"/>
  <c r="C571" i="78"/>
  <c r="J570" i="78"/>
  <c r="I570" i="78"/>
  <c r="H570" i="78"/>
  <c r="G570" i="78"/>
  <c r="F570" i="78"/>
  <c r="E570" i="78"/>
  <c r="D570" i="78"/>
  <c r="C570" i="78"/>
  <c r="J569" i="78"/>
  <c r="I569" i="78"/>
  <c r="H569" i="78"/>
  <c r="G569" i="78"/>
  <c r="F569" i="78"/>
  <c r="E569" i="78"/>
  <c r="D569" i="78"/>
  <c r="C569" i="78"/>
  <c r="J568" i="78"/>
  <c r="I568" i="78"/>
  <c r="H568" i="78"/>
  <c r="G568" i="78"/>
  <c r="F568" i="78"/>
  <c r="E568" i="78"/>
  <c r="D568" i="78"/>
  <c r="C568" i="78"/>
  <c r="J567" i="78"/>
  <c r="I567" i="78"/>
  <c r="H567" i="78"/>
  <c r="G567" i="78"/>
  <c r="F567" i="78"/>
  <c r="E567" i="78"/>
  <c r="D567" i="78"/>
  <c r="C567" i="78"/>
  <c r="J566" i="78"/>
  <c r="I566" i="78"/>
  <c r="H566" i="78"/>
  <c r="G566" i="78"/>
  <c r="F566" i="78"/>
  <c r="E566" i="78"/>
  <c r="D566" i="78"/>
  <c r="C566" i="78"/>
  <c r="J565" i="78"/>
  <c r="I565" i="78"/>
  <c r="H565" i="78"/>
  <c r="G565" i="78"/>
  <c r="F565" i="78"/>
  <c r="E565" i="78"/>
  <c r="D565" i="78"/>
  <c r="C565" i="78"/>
  <c r="J564" i="78"/>
  <c r="I564" i="78"/>
  <c r="H564" i="78"/>
  <c r="G564" i="78"/>
  <c r="F564" i="78"/>
  <c r="E564" i="78"/>
  <c r="D564" i="78"/>
  <c r="C564" i="78"/>
  <c r="J563" i="78"/>
  <c r="I563" i="78"/>
  <c r="H563" i="78"/>
  <c r="G563" i="78"/>
  <c r="F563" i="78"/>
  <c r="E563" i="78"/>
  <c r="D563" i="78"/>
  <c r="C563" i="78"/>
  <c r="J562" i="78"/>
  <c r="I562" i="78"/>
  <c r="H562" i="78"/>
  <c r="G562" i="78"/>
  <c r="F562" i="78"/>
  <c r="E562" i="78"/>
  <c r="D562" i="78"/>
  <c r="C562" i="78"/>
  <c r="J561" i="78"/>
  <c r="I561" i="78"/>
  <c r="H561" i="78"/>
  <c r="G561" i="78"/>
  <c r="F561" i="78"/>
  <c r="E561" i="78"/>
  <c r="D561" i="78"/>
  <c r="C561" i="78"/>
  <c r="J560" i="78"/>
  <c r="I560" i="78"/>
  <c r="H560" i="78"/>
  <c r="G560" i="78"/>
  <c r="F560" i="78"/>
  <c r="E560" i="78"/>
  <c r="D560" i="78"/>
  <c r="C560" i="78"/>
  <c r="J559" i="78"/>
  <c r="I559" i="78"/>
  <c r="H559" i="78"/>
  <c r="G559" i="78"/>
  <c r="F559" i="78"/>
  <c r="E559" i="78"/>
  <c r="D559" i="78"/>
  <c r="C559" i="78"/>
  <c r="J558" i="78"/>
  <c r="I558" i="78"/>
  <c r="H558" i="78"/>
  <c r="G558" i="78"/>
  <c r="F558" i="78"/>
  <c r="E558" i="78"/>
  <c r="D558" i="78"/>
  <c r="C558" i="78"/>
  <c r="J557" i="78"/>
  <c r="I557" i="78"/>
  <c r="H557" i="78"/>
  <c r="G557" i="78"/>
  <c r="F557" i="78"/>
  <c r="E557" i="78"/>
  <c r="D557" i="78"/>
  <c r="C557" i="78"/>
  <c r="J556" i="78"/>
  <c r="I556" i="78"/>
  <c r="H556" i="78"/>
  <c r="G556" i="78"/>
  <c r="F556" i="78"/>
  <c r="E556" i="78"/>
  <c r="D556" i="78"/>
  <c r="C556" i="78"/>
  <c r="J555" i="78"/>
  <c r="I555" i="78"/>
  <c r="H555" i="78"/>
  <c r="G555" i="78"/>
  <c r="F555" i="78"/>
  <c r="E555" i="78"/>
  <c r="D555" i="78"/>
  <c r="C555" i="78"/>
  <c r="J554" i="78"/>
  <c r="I554" i="78"/>
  <c r="H554" i="78"/>
  <c r="G554" i="78"/>
  <c r="F554" i="78"/>
  <c r="E554" i="78"/>
  <c r="D554" i="78"/>
  <c r="C554" i="78"/>
  <c r="J553" i="78"/>
  <c r="I553" i="78"/>
  <c r="H553" i="78"/>
  <c r="G553" i="78"/>
  <c r="F553" i="78"/>
  <c r="E553" i="78"/>
  <c r="D553" i="78"/>
  <c r="C553" i="78"/>
  <c r="J552" i="78"/>
  <c r="I552" i="78"/>
  <c r="H552" i="78"/>
  <c r="G552" i="78"/>
  <c r="F552" i="78"/>
  <c r="E552" i="78"/>
  <c r="D552" i="78"/>
  <c r="C552" i="78"/>
  <c r="J551" i="78"/>
  <c r="I551" i="78"/>
  <c r="H551" i="78"/>
  <c r="G551" i="78"/>
  <c r="F551" i="78"/>
  <c r="E551" i="78"/>
  <c r="D551" i="78"/>
  <c r="C551" i="78"/>
  <c r="J550" i="78"/>
  <c r="I550" i="78"/>
  <c r="H550" i="78"/>
  <c r="G550" i="78"/>
  <c r="F550" i="78"/>
  <c r="E550" i="78"/>
  <c r="D550" i="78"/>
  <c r="C550" i="78"/>
  <c r="J549" i="78"/>
  <c r="I549" i="78"/>
  <c r="H549" i="78"/>
  <c r="G549" i="78"/>
  <c r="F549" i="78"/>
  <c r="E549" i="78"/>
  <c r="D549" i="78"/>
  <c r="C549" i="78"/>
  <c r="J548" i="78"/>
  <c r="I548" i="78"/>
  <c r="H548" i="78"/>
  <c r="G548" i="78"/>
  <c r="F548" i="78"/>
  <c r="E548" i="78"/>
  <c r="D548" i="78"/>
  <c r="C548" i="78"/>
  <c r="J547" i="78"/>
  <c r="I547" i="78"/>
  <c r="H547" i="78"/>
  <c r="G547" i="78"/>
  <c r="F547" i="78"/>
  <c r="E547" i="78"/>
  <c r="D547" i="78"/>
  <c r="C547" i="78"/>
  <c r="J546" i="78"/>
  <c r="I546" i="78"/>
  <c r="H546" i="78"/>
  <c r="G546" i="78"/>
  <c r="F546" i="78"/>
  <c r="E546" i="78"/>
  <c r="D546" i="78"/>
  <c r="C546" i="78"/>
  <c r="J545" i="78"/>
  <c r="I545" i="78"/>
  <c r="H545" i="78"/>
  <c r="G545" i="78"/>
  <c r="F545" i="78"/>
  <c r="E545" i="78"/>
  <c r="D545" i="78"/>
  <c r="C545" i="78"/>
  <c r="J544" i="78"/>
  <c r="I544" i="78"/>
  <c r="H544" i="78"/>
  <c r="G544" i="78"/>
  <c r="F544" i="78"/>
  <c r="E544" i="78"/>
  <c r="D544" i="78"/>
  <c r="C544" i="78"/>
  <c r="J543" i="78"/>
  <c r="I543" i="78"/>
  <c r="H543" i="78"/>
  <c r="G543" i="78"/>
  <c r="F543" i="78"/>
  <c r="E543" i="78"/>
  <c r="D543" i="78"/>
  <c r="C543" i="78"/>
  <c r="J542" i="78"/>
  <c r="I542" i="78"/>
  <c r="H542" i="78"/>
  <c r="G542" i="78"/>
  <c r="F542" i="78"/>
  <c r="E542" i="78"/>
  <c r="D542" i="78"/>
  <c r="C542" i="78"/>
  <c r="J541" i="78"/>
  <c r="I541" i="78"/>
  <c r="H541" i="78"/>
  <c r="G541" i="78"/>
  <c r="F541" i="78"/>
  <c r="E541" i="78"/>
  <c r="D541" i="78"/>
  <c r="C541" i="78"/>
  <c r="J540" i="78"/>
  <c r="I540" i="78"/>
  <c r="H540" i="78"/>
  <c r="G540" i="78"/>
  <c r="F540" i="78"/>
  <c r="E540" i="78"/>
  <c r="D540" i="78"/>
  <c r="C540" i="78"/>
  <c r="J539" i="78"/>
  <c r="I539" i="78"/>
  <c r="H539" i="78"/>
  <c r="G539" i="78"/>
  <c r="F539" i="78"/>
  <c r="E539" i="78"/>
  <c r="D539" i="78"/>
  <c r="C539" i="78"/>
  <c r="J538" i="78"/>
  <c r="I538" i="78"/>
  <c r="H538" i="78"/>
  <c r="G538" i="78"/>
  <c r="F538" i="78"/>
  <c r="E538" i="78"/>
  <c r="D538" i="78"/>
  <c r="C538" i="78"/>
  <c r="J537" i="78"/>
  <c r="I537" i="78"/>
  <c r="H537" i="78"/>
  <c r="G537" i="78"/>
  <c r="F537" i="78"/>
  <c r="E537" i="78"/>
  <c r="D537" i="78"/>
  <c r="C537" i="78"/>
  <c r="J536" i="78"/>
  <c r="I536" i="78"/>
  <c r="H536" i="78"/>
  <c r="G536" i="78"/>
  <c r="F536" i="78"/>
  <c r="E536" i="78"/>
  <c r="D536" i="78"/>
  <c r="C536" i="78"/>
  <c r="J535" i="78"/>
  <c r="I535" i="78"/>
  <c r="H535" i="78"/>
  <c r="G535" i="78"/>
  <c r="F535" i="78"/>
  <c r="E535" i="78"/>
  <c r="D535" i="78"/>
  <c r="C535" i="78"/>
  <c r="J534" i="78"/>
  <c r="I534" i="78"/>
  <c r="H534" i="78"/>
  <c r="G534" i="78"/>
  <c r="F534" i="78"/>
  <c r="E534" i="78"/>
  <c r="D534" i="78"/>
  <c r="C534" i="78"/>
  <c r="J533" i="78"/>
  <c r="I533" i="78"/>
  <c r="H533" i="78"/>
  <c r="G533" i="78"/>
  <c r="F533" i="78"/>
  <c r="E533" i="78"/>
  <c r="D533" i="78"/>
  <c r="C533" i="78"/>
  <c r="J532" i="78"/>
  <c r="I532" i="78"/>
  <c r="H532" i="78"/>
  <c r="G532" i="78"/>
  <c r="F532" i="78"/>
  <c r="E532" i="78"/>
  <c r="D532" i="78"/>
  <c r="C532" i="78"/>
  <c r="J531" i="78"/>
  <c r="I531" i="78"/>
  <c r="H531" i="78"/>
  <c r="G531" i="78"/>
  <c r="F531" i="78"/>
  <c r="E531" i="78"/>
  <c r="D531" i="78"/>
  <c r="C531" i="78"/>
  <c r="J530" i="78"/>
  <c r="I530" i="78"/>
  <c r="H530" i="78"/>
  <c r="G530" i="78"/>
  <c r="F530" i="78"/>
  <c r="E530" i="78"/>
  <c r="D530" i="78"/>
  <c r="C530" i="78"/>
  <c r="J529" i="78"/>
  <c r="I529" i="78"/>
  <c r="H529" i="78"/>
  <c r="G529" i="78"/>
  <c r="F529" i="78"/>
  <c r="E529" i="78"/>
  <c r="D529" i="78"/>
  <c r="C529" i="78"/>
  <c r="J528" i="78"/>
  <c r="I528" i="78"/>
  <c r="H528" i="78"/>
  <c r="G528" i="78"/>
  <c r="F528" i="78"/>
  <c r="E528" i="78"/>
  <c r="D528" i="78"/>
  <c r="C528" i="78"/>
  <c r="J527" i="78"/>
  <c r="I527" i="78"/>
  <c r="H527" i="78"/>
  <c r="G527" i="78"/>
  <c r="F527" i="78"/>
  <c r="E527" i="78"/>
  <c r="D527" i="78"/>
  <c r="C527" i="78"/>
  <c r="J526" i="78"/>
  <c r="I526" i="78"/>
  <c r="H526" i="78"/>
  <c r="G526" i="78"/>
  <c r="F526" i="78"/>
  <c r="E526" i="78"/>
  <c r="D526" i="78"/>
  <c r="C526" i="78"/>
  <c r="J525" i="78"/>
  <c r="I525" i="78"/>
  <c r="H525" i="78"/>
  <c r="G525" i="78"/>
  <c r="F525" i="78"/>
  <c r="E525" i="78"/>
  <c r="D525" i="78"/>
  <c r="C525" i="78"/>
  <c r="J524" i="78"/>
  <c r="I524" i="78"/>
  <c r="H524" i="78"/>
  <c r="G524" i="78"/>
  <c r="F524" i="78"/>
  <c r="E524" i="78"/>
  <c r="D524" i="78"/>
  <c r="C524" i="78"/>
  <c r="J523" i="78"/>
  <c r="I523" i="78"/>
  <c r="H523" i="78"/>
  <c r="G523" i="78"/>
  <c r="F523" i="78"/>
  <c r="E523" i="78"/>
  <c r="D523" i="78"/>
  <c r="C523" i="78"/>
  <c r="J522" i="78"/>
  <c r="I522" i="78"/>
  <c r="H522" i="78"/>
  <c r="G522" i="78"/>
  <c r="F522" i="78"/>
  <c r="E522" i="78"/>
  <c r="D522" i="78"/>
  <c r="C522" i="78"/>
  <c r="J521" i="78"/>
  <c r="I521" i="78"/>
  <c r="H521" i="78"/>
  <c r="G521" i="78"/>
  <c r="F521" i="78"/>
  <c r="E521" i="78"/>
  <c r="D521" i="78"/>
  <c r="C521" i="78"/>
  <c r="J520" i="78"/>
  <c r="I520" i="78"/>
  <c r="H520" i="78"/>
  <c r="G520" i="78"/>
  <c r="F520" i="78"/>
  <c r="E520" i="78"/>
  <c r="D520" i="78"/>
  <c r="C520" i="78"/>
  <c r="J519" i="78"/>
  <c r="I519" i="78"/>
  <c r="H519" i="78"/>
  <c r="G519" i="78"/>
  <c r="F519" i="78"/>
  <c r="E519" i="78"/>
  <c r="D519" i="78"/>
  <c r="C519" i="78"/>
  <c r="J518" i="78"/>
  <c r="I518" i="78"/>
  <c r="H518" i="78"/>
  <c r="G518" i="78"/>
  <c r="F518" i="78"/>
  <c r="E518" i="78"/>
  <c r="D518" i="78"/>
  <c r="C518" i="78"/>
  <c r="J517" i="78"/>
  <c r="I517" i="78"/>
  <c r="H517" i="78"/>
  <c r="G517" i="78"/>
  <c r="F517" i="78"/>
  <c r="E517" i="78"/>
  <c r="D517" i="78"/>
  <c r="C517" i="78"/>
  <c r="J516" i="78"/>
  <c r="I516" i="78"/>
  <c r="H516" i="78"/>
  <c r="G516" i="78"/>
  <c r="F516" i="78"/>
  <c r="E516" i="78"/>
  <c r="D516" i="78"/>
  <c r="C516" i="78"/>
  <c r="J515" i="78"/>
  <c r="I515" i="78"/>
  <c r="H515" i="78"/>
  <c r="G515" i="78"/>
  <c r="F515" i="78"/>
  <c r="E515" i="78"/>
  <c r="D515" i="78"/>
  <c r="C515" i="78"/>
  <c r="J514" i="78"/>
  <c r="I514" i="78"/>
  <c r="H514" i="78"/>
  <c r="G514" i="78"/>
  <c r="F514" i="78"/>
  <c r="E514" i="78"/>
  <c r="D514" i="78"/>
  <c r="C514" i="78"/>
  <c r="J513" i="78"/>
  <c r="I513" i="78"/>
  <c r="H513" i="78"/>
  <c r="G513" i="78"/>
  <c r="F513" i="78"/>
  <c r="E513" i="78"/>
  <c r="D513" i="78"/>
  <c r="C513" i="78"/>
  <c r="J512" i="78"/>
  <c r="I512" i="78"/>
  <c r="H512" i="78"/>
  <c r="G512" i="78"/>
  <c r="F512" i="78"/>
  <c r="E512" i="78"/>
  <c r="D512" i="78"/>
  <c r="C512" i="78"/>
  <c r="J511" i="78"/>
  <c r="I511" i="78"/>
  <c r="H511" i="78"/>
  <c r="G511" i="78"/>
  <c r="F511" i="78"/>
  <c r="E511" i="78"/>
  <c r="D511" i="78"/>
  <c r="C511" i="78"/>
  <c r="J510" i="78"/>
  <c r="I510" i="78"/>
  <c r="H510" i="78"/>
  <c r="G510" i="78"/>
  <c r="F510" i="78"/>
  <c r="E510" i="78"/>
  <c r="D510" i="78"/>
  <c r="C510" i="78"/>
  <c r="J509" i="78"/>
  <c r="I509" i="78"/>
  <c r="H509" i="78"/>
  <c r="G509" i="78"/>
  <c r="F509" i="78"/>
  <c r="E509" i="78"/>
  <c r="D509" i="78"/>
  <c r="C509" i="78"/>
  <c r="J508" i="78"/>
  <c r="I508" i="78"/>
  <c r="H508" i="78"/>
  <c r="G508" i="78"/>
  <c r="F508" i="78"/>
  <c r="E508" i="78"/>
  <c r="D508" i="78"/>
  <c r="C508" i="78"/>
  <c r="J507" i="78"/>
  <c r="I507" i="78"/>
  <c r="H507" i="78"/>
  <c r="G507" i="78"/>
  <c r="F507" i="78"/>
  <c r="E507" i="78"/>
  <c r="D507" i="78"/>
  <c r="C507" i="78"/>
  <c r="J506" i="78"/>
  <c r="I506" i="78"/>
  <c r="H506" i="78"/>
  <c r="G506" i="78"/>
  <c r="F506" i="78"/>
  <c r="E506" i="78"/>
  <c r="D506" i="78"/>
  <c r="C506" i="78"/>
  <c r="J505" i="78"/>
  <c r="I505" i="78"/>
  <c r="H505" i="78"/>
  <c r="G505" i="78"/>
  <c r="F505" i="78"/>
  <c r="E505" i="78"/>
  <c r="D505" i="78"/>
  <c r="C505" i="78"/>
  <c r="J504" i="78"/>
  <c r="I504" i="78"/>
  <c r="H504" i="78"/>
  <c r="G504" i="78"/>
  <c r="F504" i="78"/>
  <c r="E504" i="78"/>
  <c r="D504" i="78"/>
  <c r="C504" i="78"/>
  <c r="J503" i="78"/>
  <c r="I503" i="78"/>
  <c r="H503" i="78"/>
  <c r="G503" i="78"/>
  <c r="F503" i="78"/>
  <c r="E503" i="78"/>
  <c r="D503" i="78"/>
  <c r="C503" i="78"/>
  <c r="J502" i="78"/>
  <c r="I502" i="78"/>
  <c r="H502" i="78"/>
  <c r="G502" i="78"/>
  <c r="F502" i="78"/>
  <c r="E502" i="78"/>
  <c r="D502" i="78"/>
  <c r="C502" i="78"/>
  <c r="J501" i="78"/>
  <c r="I501" i="78"/>
  <c r="H501" i="78"/>
  <c r="G501" i="78"/>
  <c r="F501" i="78"/>
  <c r="E501" i="78"/>
  <c r="D501" i="78"/>
  <c r="C501" i="78"/>
  <c r="J500" i="78"/>
  <c r="I500" i="78"/>
  <c r="H500" i="78"/>
  <c r="G500" i="78"/>
  <c r="F500" i="78"/>
  <c r="E500" i="78"/>
  <c r="D500" i="78"/>
  <c r="C500" i="78"/>
  <c r="J499" i="78"/>
  <c r="I499" i="78"/>
  <c r="H499" i="78"/>
  <c r="G499" i="78"/>
  <c r="F499" i="78"/>
  <c r="E499" i="78"/>
  <c r="D499" i="78"/>
  <c r="C499" i="78"/>
  <c r="J498" i="78"/>
  <c r="I498" i="78"/>
  <c r="H498" i="78"/>
  <c r="G498" i="78"/>
  <c r="F498" i="78"/>
  <c r="E498" i="78"/>
  <c r="D498" i="78"/>
  <c r="C498" i="78"/>
  <c r="J497" i="78"/>
  <c r="I497" i="78"/>
  <c r="H497" i="78"/>
  <c r="G497" i="78"/>
  <c r="F497" i="78"/>
  <c r="E497" i="78"/>
  <c r="D497" i="78"/>
  <c r="C497" i="78"/>
  <c r="J496" i="78"/>
  <c r="I496" i="78"/>
  <c r="H496" i="78"/>
  <c r="G496" i="78"/>
  <c r="F496" i="78"/>
  <c r="E496" i="78"/>
  <c r="D496" i="78"/>
  <c r="C496" i="78"/>
  <c r="J495" i="78"/>
  <c r="I495" i="78"/>
  <c r="H495" i="78"/>
  <c r="G495" i="78"/>
  <c r="F495" i="78"/>
  <c r="E495" i="78"/>
  <c r="D495" i="78"/>
  <c r="C495" i="78"/>
  <c r="J494" i="78"/>
  <c r="I494" i="78"/>
  <c r="H494" i="78"/>
  <c r="G494" i="78"/>
  <c r="F494" i="78"/>
  <c r="E494" i="78"/>
  <c r="D494" i="78"/>
  <c r="C494" i="78"/>
  <c r="J493" i="78"/>
  <c r="I493" i="78"/>
  <c r="H493" i="78"/>
  <c r="G493" i="78"/>
  <c r="F493" i="78"/>
  <c r="E493" i="78"/>
  <c r="D493" i="78"/>
  <c r="C493" i="78"/>
  <c r="J492" i="78"/>
  <c r="I492" i="78"/>
  <c r="H492" i="78"/>
  <c r="G492" i="78"/>
  <c r="F492" i="78"/>
  <c r="E492" i="78"/>
  <c r="D492" i="78"/>
  <c r="C492" i="78"/>
  <c r="J491" i="78"/>
  <c r="I491" i="78"/>
  <c r="H491" i="78"/>
  <c r="G491" i="78"/>
  <c r="F491" i="78"/>
  <c r="E491" i="78"/>
  <c r="D491" i="78"/>
  <c r="C491" i="78"/>
  <c r="J490" i="78"/>
  <c r="I490" i="78"/>
  <c r="H490" i="78"/>
  <c r="G490" i="78"/>
  <c r="F490" i="78"/>
  <c r="E490" i="78"/>
  <c r="D490" i="78"/>
  <c r="C490" i="78"/>
  <c r="J489" i="78"/>
  <c r="I489" i="78"/>
  <c r="H489" i="78"/>
  <c r="G489" i="78"/>
  <c r="F489" i="78"/>
  <c r="E489" i="78"/>
  <c r="D489" i="78"/>
  <c r="C489" i="78"/>
  <c r="J488" i="78"/>
  <c r="I488" i="78"/>
  <c r="H488" i="78"/>
  <c r="G488" i="78"/>
  <c r="F488" i="78"/>
  <c r="E488" i="78"/>
  <c r="D488" i="78"/>
  <c r="C488" i="78"/>
  <c r="J487" i="78"/>
  <c r="I487" i="78"/>
  <c r="H487" i="78"/>
  <c r="G487" i="78"/>
  <c r="F487" i="78"/>
  <c r="E487" i="78"/>
  <c r="D487" i="78"/>
  <c r="C487" i="78"/>
  <c r="J486" i="78"/>
  <c r="I486" i="78"/>
  <c r="H486" i="78"/>
  <c r="G486" i="78"/>
  <c r="F486" i="78"/>
  <c r="E486" i="78"/>
  <c r="D486" i="78"/>
  <c r="C486" i="78"/>
  <c r="J485" i="78"/>
  <c r="I485" i="78"/>
  <c r="H485" i="78"/>
  <c r="G485" i="78"/>
  <c r="F485" i="78"/>
  <c r="E485" i="78"/>
  <c r="D485" i="78"/>
  <c r="C485" i="78"/>
  <c r="J484" i="78"/>
  <c r="I484" i="78"/>
  <c r="H484" i="78"/>
  <c r="G484" i="78"/>
  <c r="F484" i="78"/>
  <c r="E484" i="78"/>
  <c r="D484" i="78"/>
  <c r="C484" i="78"/>
  <c r="J483" i="78"/>
  <c r="I483" i="78"/>
  <c r="H483" i="78"/>
  <c r="G483" i="78"/>
  <c r="F483" i="78"/>
  <c r="E483" i="78"/>
  <c r="D483" i="78"/>
  <c r="C483" i="78"/>
  <c r="J482" i="78"/>
  <c r="I482" i="78"/>
  <c r="H482" i="78"/>
  <c r="G482" i="78"/>
  <c r="F482" i="78"/>
  <c r="E482" i="78"/>
  <c r="D482" i="78"/>
  <c r="C482" i="78"/>
  <c r="J481" i="78"/>
  <c r="I481" i="78"/>
  <c r="H481" i="78"/>
  <c r="G481" i="78"/>
  <c r="F481" i="78"/>
  <c r="E481" i="78"/>
  <c r="D481" i="78"/>
  <c r="C481" i="78"/>
  <c r="J480" i="78"/>
  <c r="I480" i="78"/>
  <c r="H480" i="78"/>
  <c r="G480" i="78"/>
  <c r="F480" i="78"/>
  <c r="E480" i="78"/>
  <c r="D480" i="78"/>
  <c r="C480" i="78"/>
  <c r="J479" i="78"/>
  <c r="I479" i="78"/>
  <c r="H479" i="78"/>
  <c r="G479" i="78"/>
  <c r="F479" i="78"/>
  <c r="E479" i="78"/>
  <c r="D479" i="78"/>
  <c r="C479" i="78"/>
  <c r="J478" i="78"/>
  <c r="I478" i="78"/>
  <c r="H478" i="78"/>
  <c r="G478" i="78"/>
  <c r="F478" i="78"/>
  <c r="E478" i="78"/>
  <c r="D478" i="78"/>
  <c r="C478" i="78"/>
  <c r="J477" i="78"/>
  <c r="I477" i="78"/>
  <c r="H477" i="78"/>
  <c r="G477" i="78"/>
  <c r="F477" i="78"/>
  <c r="E477" i="78"/>
  <c r="D477" i="78"/>
  <c r="C477" i="78"/>
  <c r="J476" i="78"/>
  <c r="I476" i="78"/>
  <c r="H476" i="78"/>
  <c r="G476" i="78"/>
  <c r="F476" i="78"/>
  <c r="E476" i="78"/>
  <c r="D476" i="78"/>
  <c r="C476" i="78"/>
  <c r="J475" i="78"/>
  <c r="I475" i="78"/>
  <c r="H475" i="78"/>
  <c r="G475" i="78"/>
  <c r="F475" i="78"/>
  <c r="E475" i="78"/>
  <c r="D475" i="78"/>
  <c r="C475" i="78"/>
  <c r="J474" i="78"/>
  <c r="I474" i="78"/>
  <c r="H474" i="78"/>
  <c r="G474" i="78"/>
  <c r="F474" i="78"/>
  <c r="E474" i="78"/>
  <c r="D474" i="78"/>
  <c r="C474" i="78"/>
  <c r="J473" i="78"/>
  <c r="I473" i="78"/>
  <c r="H473" i="78"/>
  <c r="G473" i="78"/>
  <c r="F473" i="78"/>
  <c r="E473" i="78"/>
  <c r="D473" i="78"/>
  <c r="C473" i="78"/>
  <c r="J472" i="78"/>
  <c r="I472" i="78"/>
  <c r="H472" i="78"/>
  <c r="G472" i="78"/>
  <c r="F472" i="78"/>
  <c r="E472" i="78"/>
  <c r="D472" i="78"/>
  <c r="C472" i="78"/>
  <c r="J471" i="78"/>
  <c r="I471" i="78"/>
  <c r="H471" i="78"/>
  <c r="G471" i="78"/>
  <c r="F471" i="78"/>
  <c r="E471" i="78"/>
  <c r="D471" i="78"/>
  <c r="C471" i="78"/>
  <c r="J470" i="78"/>
  <c r="I470" i="78"/>
  <c r="H470" i="78"/>
  <c r="G470" i="78"/>
  <c r="F470" i="78"/>
  <c r="E470" i="78"/>
  <c r="D470" i="78"/>
  <c r="C470" i="78"/>
  <c r="J469" i="78"/>
  <c r="I469" i="78"/>
  <c r="H469" i="78"/>
  <c r="G469" i="78"/>
  <c r="F469" i="78"/>
  <c r="E469" i="78"/>
  <c r="D469" i="78"/>
  <c r="C469" i="78"/>
  <c r="J468" i="78"/>
  <c r="I468" i="78"/>
  <c r="H468" i="78"/>
  <c r="G468" i="78"/>
  <c r="F468" i="78"/>
  <c r="E468" i="78"/>
  <c r="D468" i="78"/>
  <c r="C468" i="78"/>
  <c r="J467" i="78"/>
  <c r="I467" i="78"/>
  <c r="H467" i="78"/>
  <c r="G467" i="78"/>
  <c r="F467" i="78"/>
  <c r="E467" i="78"/>
  <c r="D467" i="78"/>
  <c r="C467" i="78"/>
  <c r="J466" i="78"/>
  <c r="I466" i="78"/>
  <c r="H466" i="78"/>
  <c r="G466" i="78"/>
  <c r="F466" i="78"/>
  <c r="E466" i="78"/>
  <c r="D466" i="78"/>
  <c r="C466" i="78"/>
  <c r="J465" i="78"/>
  <c r="I465" i="78"/>
  <c r="H465" i="78"/>
  <c r="G465" i="78"/>
  <c r="F465" i="78"/>
  <c r="E465" i="78"/>
  <c r="D465" i="78"/>
  <c r="C465" i="78"/>
  <c r="J464" i="78"/>
  <c r="I464" i="78"/>
  <c r="H464" i="78"/>
  <c r="G464" i="78"/>
  <c r="F464" i="78"/>
  <c r="E464" i="78"/>
  <c r="D464" i="78"/>
  <c r="C464" i="78"/>
  <c r="J463" i="78"/>
  <c r="I463" i="78"/>
  <c r="H463" i="78"/>
  <c r="G463" i="78"/>
  <c r="F463" i="78"/>
  <c r="E463" i="78"/>
  <c r="D463" i="78"/>
  <c r="C463" i="78"/>
  <c r="J462" i="78"/>
  <c r="I462" i="78"/>
  <c r="H462" i="78"/>
  <c r="G462" i="78"/>
  <c r="F462" i="78"/>
  <c r="E462" i="78"/>
  <c r="D462" i="78"/>
  <c r="C462" i="78"/>
  <c r="J461" i="78"/>
  <c r="I461" i="78"/>
  <c r="H461" i="78"/>
  <c r="G461" i="78"/>
  <c r="F461" i="78"/>
  <c r="E461" i="78"/>
  <c r="D461" i="78"/>
  <c r="C461" i="78"/>
  <c r="J460" i="78"/>
  <c r="I460" i="78"/>
  <c r="H460" i="78"/>
  <c r="G460" i="78"/>
  <c r="F460" i="78"/>
  <c r="E460" i="78"/>
  <c r="D460" i="78"/>
  <c r="C460" i="78"/>
  <c r="J459" i="78"/>
  <c r="I459" i="78"/>
  <c r="H459" i="78"/>
  <c r="G459" i="78"/>
  <c r="F459" i="78"/>
  <c r="E459" i="78"/>
  <c r="D459" i="78"/>
  <c r="C459" i="78"/>
  <c r="J458" i="78"/>
  <c r="I458" i="78"/>
  <c r="H458" i="78"/>
  <c r="G458" i="78"/>
  <c r="F458" i="78"/>
  <c r="E458" i="78"/>
  <c r="D458" i="78"/>
  <c r="C458" i="78"/>
  <c r="J457" i="78"/>
  <c r="I457" i="78"/>
  <c r="H457" i="78"/>
  <c r="G457" i="78"/>
  <c r="F457" i="78"/>
  <c r="E457" i="78"/>
  <c r="D457" i="78"/>
  <c r="C457" i="78"/>
  <c r="J456" i="78"/>
  <c r="I456" i="78"/>
  <c r="H456" i="78"/>
  <c r="G456" i="78"/>
  <c r="F456" i="78"/>
  <c r="E456" i="78"/>
  <c r="D456" i="78"/>
  <c r="C456" i="78"/>
  <c r="J455" i="78"/>
  <c r="I455" i="78"/>
  <c r="H455" i="78"/>
  <c r="G455" i="78"/>
  <c r="F455" i="78"/>
  <c r="E455" i="78"/>
  <c r="D455" i="78"/>
  <c r="C455" i="78"/>
  <c r="J454" i="78"/>
  <c r="I454" i="78"/>
  <c r="H454" i="78"/>
  <c r="G454" i="78"/>
  <c r="F454" i="78"/>
  <c r="E454" i="78"/>
  <c r="D454" i="78"/>
  <c r="C454" i="78"/>
  <c r="J453" i="78"/>
  <c r="I453" i="78"/>
  <c r="H453" i="78"/>
  <c r="G453" i="78"/>
  <c r="F453" i="78"/>
  <c r="E453" i="78"/>
  <c r="D453" i="78"/>
  <c r="C453" i="78"/>
  <c r="J452" i="78"/>
  <c r="I452" i="78"/>
  <c r="H452" i="78"/>
  <c r="G452" i="78"/>
  <c r="F452" i="78"/>
  <c r="E452" i="78"/>
  <c r="D452" i="78"/>
  <c r="C452" i="78"/>
  <c r="J451" i="78"/>
  <c r="I451" i="78"/>
  <c r="H451" i="78"/>
  <c r="G451" i="78"/>
  <c r="F451" i="78"/>
  <c r="E451" i="78"/>
  <c r="D451" i="78"/>
  <c r="C451" i="78"/>
  <c r="J450" i="78"/>
  <c r="I450" i="78"/>
  <c r="H450" i="78"/>
  <c r="G450" i="78"/>
  <c r="F450" i="78"/>
  <c r="E450" i="78"/>
  <c r="D450" i="78"/>
  <c r="C450" i="78"/>
  <c r="J449" i="78"/>
  <c r="I449" i="78"/>
  <c r="H449" i="78"/>
  <c r="G449" i="78"/>
  <c r="F449" i="78"/>
  <c r="E449" i="78"/>
  <c r="D449" i="78"/>
  <c r="C449" i="78"/>
  <c r="J448" i="78"/>
  <c r="I448" i="78"/>
  <c r="H448" i="78"/>
  <c r="G448" i="78"/>
  <c r="F448" i="78"/>
  <c r="E448" i="78"/>
  <c r="D448" i="78"/>
  <c r="C448" i="78"/>
  <c r="J447" i="78"/>
  <c r="I447" i="78"/>
  <c r="H447" i="78"/>
  <c r="G447" i="78"/>
  <c r="F447" i="78"/>
  <c r="E447" i="78"/>
  <c r="D447" i="78"/>
  <c r="C447" i="78"/>
  <c r="J446" i="78"/>
  <c r="I446" i="78"/>
  <c r="H446" i="78"/>
  <c r="G446" i="78"/>
  <c r="F446" i="78"/>
  <c r="E446" i="78"/>
  <c r="D446" i="78"/>
  <c r="C446" i="78"/>
  <c r="J445" i="78"/>
  <c r="I445" i="78"/>
  <c r="H445" i="78"/>
  <c r="G445" i="78"/>
  <c r="F445" i="78"/>
  <c r="E445" i="78"/>
  <c r="D445" i="78"/>
  <c r="C445" i="78"/>
  <c r="J444" i="78"/>
  <c r="I444" i="78"/>
  <c r="H444" i="78"/>
  <c r="G444" i="78"/>
  <c r="F444" i="78"/>
  <c r="E444" i="78"/>
  <c r="D444" i="78"/>
  <c r="C444" i="78"/>
  <c r="J443" i="78"/>
  <c r="I443" i="78"/>
  <c r="H443" i="78"/>
  <c r="G443" i="78"/>
  <c r="F443" i="78"/>
  <c r="E443" i="78"/>
  <c r="D443" i="78"/>
  <c r="C443" i="78"/>
  <c r="J442" i="78"/>
  <c r="I442" i="78"/>
  <c r="H442" i="78"/>
  <c r="G442" i="78"/>
  <c r="F442" i="78"/>
  <c r="E442" i="78"/>
  <c r="D442" i="78"/>
  <c r="C442" i="78"/>
  <c r="J441" i="78"/>
  <c r="I441" i="78"/>
  <c r="H441" i="78"/>
  <c r="G441" i="78"/>
  <c r="F441" i="78"/>
  <c r="E441" i="78"/>
  <c r="D441" i="78"/>
  <c r="C441" i="78"/>
  <c r="J440" i="78"/>
  <c r="I440" i="78"/>
  <c r="H440" i="78"/>
  <c r="G440" i="78"/>
  <c r="F440" i="78"/>
  <c r="E440" i="78"/>
  <c r="D440" i="78"/>
  <c r="C440" i="78"/>
  <c r="J439" i="78"/>
  <c r="I439" i="78"/>
  <c r="H439" i="78"/>
  <c r="G439" i="78"/>
  <c r="F439" i="78"/>
  <c r="E439" i="78"/>
  <c r="D439" i="78"/>
  <c r="C439" i="78"/>
  <c r="J438" i="78"/>
  <c r="I438" i="78"/>
  <c r="H438" i="78"/>
  <c r="G438" i="78"/>
  <c r="F438" i="78"/>
  <c r="E438" i="78"/>
  <c r="D438" i="78"/>
  <c r="C438" i="78"/>
  <c r="J437" i="78"/>
  <c r="I437" i="78"/>
  <c r="H437" i="78"/>
  <c r="G437" i="78"/>
  <c r="F437" i="78"/>
  <c r="E437" i="78"/>
  <c r="D437" i="78"/>
  <c r="C437" i="78"/>
  <c r="J436" i="78"/>
  <c r="I436" i="78"/>
  <c r="H436" i="78"/>
  <c r="G436" i="78"/>
  <c r="F436" i="78"/>
  <c r="E436" i="78"/>
  <c r="D436" i="78"/>
  <c r="C436" i="78"/>
  <c r="J435" i="78"/>
  <c r="I435" i="78"/>
  <c r="H435" i="78"/>
  <c r="G435" i="78"/>
  <c r="F435" i="78"/>
  <c r="E435" i="78"/>
  <c r="D435" i="78"/>
  <c r="C435" i="78"/>
  <c r="J434" i="78"/>
  <c r="I434" i="78"/>
  <c r="H434" i="78"/>
  <c r="G434" i="78"/>
  <c r="F434" i="78"/>
  <c r="E434" i="78"/>
  <c r="D434" i="78"/>
  <c r="C434" i="78"/>
  <c r="J433" i="78"/>
  <c r="I433" i="78"/>
  <c r="H433" i="78"/>
  <c r="G433" i="78"/>
  <c r="F433" i="78"/>
  <c r="E433" i="78"/>
  <c r="D433" i="78"/>
  <c r="C433" i="78"/>
  <c r="J432" i="78"/>
  <c r="I432" i="78"/>
  <c r="H432" i="78"/>
  <c r="G432" i="78"/>
  <c r="F432" i="78"/>
  <c r="E432" i="78"/>
  <c r="D432" i="78"/>
  <c r="C432" i="78"/>
  <c r="J431" i="78"/>
  <c r="I431" i="78"/>
  <c r="H431" i="78"/>
  <c r="G431" i="78"/>
  <c r="F431" i="78"/>
  <c r="E431" i="78"/>
  <c r="D431" i="78"/>
  <c r="C431" i="78"/>
  <c r="J430" i="78"/>
  <c r="I430" i="78"/>
  <c r="H430" i="78"/>
  <c r="G430" i="78"/>
  <c r="F430" i="78"/>
  <c r="E430" i="78"/>
  <c r="D430" i="78"/>
  <c r="C430" i="78"/>
  <c r="J429" i="78"/>
  <c r="I429" i="78"/>
  <c r="H429" i="78"/>
  <c r="G429" i="78"/>
  <c r="F429" i="78"/>
  <c r="E429" i="78"/>
  <c r="D429" i="78"/>
  <c r="C429" i="78"/>
  <c r="J428" i="78"/>
  <c r="I428" i="78"/>
  <c r="H428" i="78"/>
  <c r="G428" i="78"/>
  <c r="F428" i="78"/>
  <c r="E428" i="78"/>
  <c r="D428" i="78"/>
  <c r="C428" i="78"/>
  <c r="J427" i="78"/>
  <c r="I427" i="78"/>
  <c r="H427" i="78"/>
  <c r="G427" i="78"/>
  <c r="F427" i="78"/>
  <c r="E427" i="78"/>
  <c r="D427" i="78"/>
  <c r="C427" i="78"/>
  <c r="J426" i="78"/>
  <c r="I426" i="78"/>
  <c r="H426" i="78"/>
  <c r="G426" i="78"/>
  <c r="F426" i="78"/>
  <c r="E426" i="78"/>
  <c r="D426" i="78"/>
  <c r="C426" i="78"/>
  <c r="J425" i="78"/>
  <c r="I425" i="78"/>
  <c r="H425" i="78"/>
  <c r="G425" i="78"/>
  <c r="F425" i="78"/>
  <c r="E425" i="78"/>
  <c r="D425" i="78"/>
  <c r="C425" i="78"/>
  <c r="J424" i="78"/>
  <c r="I424" i="78"/>
  <c r="H424" i="78"/>
  <c r="G424" i="78"/>
  <c r="F424" i="78"/>
  <c r="E424" i="78"/>
  <c r="D424" i="78"/>
  <c r="C424" i="78"/>
  <c r="J423" i="78"/>
  <c r="I423" i="78"/>
  <c r="H423" i="78"/>
  <c r="G423" i="78"/>
  <c r="F423" i="78"/>
  <c r="E423" i="78"/>
  <c r="D423" i="78"/>
  <c r="C423" i="78"/>
  <c r="J422" i="78"/>
  <c r="I422" i="78"/>
  <c r="H422" i="78"/>
  <c r="G422" i="78"/>
  <c r="F422" i="78"/>
  <c r="E422" i="78"/>
  <c r="D422" i="78"/>
  <c r="C422" i="78"/>
  <c r="J421" i="78"/>
  <c r="I421" i="78"/>
  <c r="H421" i="78"/>
  <c r="G421" i="78"/>
  <c r="F421" i="78"/>
  <c r="E421" i="78"/>
  <c r="D421" i="78"/>
  <c r="C421" i="78"/>
  <c r="J420" i="78"/>
  <c r="I420" i="78"/>
  <c r="H420" i="78"/>
  <c r="G420" i="78"/>
  <c r="F420" i="78"/>
  <c r="E420" i="78"/>
  <c r="D420" i="78"/>
  <c r="C420" i="78"/>
  <c r="J419" i="78"/>
  <c r="I419" i="78"/>
  <c r="H419" i="78"/>
  <c r="G419" i="78"/>
  <c r="F419" i="78"/>
  <c r="E419" i="78"/>
  <c r="D419" i="78"/>
  <c r="C419" i="78"/>
  <c r="J418" i="78"/>
  <c r="I418" i="78"/>
  <c r="H418" i="78"/>
  <c r="G418" i="78"/>
  <c r="F418" i="78"/>
  <c r="E418" i="78"/>
  <c r="D418" i="78"/>
  <c r="C418" i="78"/>
  <c r="J417" i="78"/>
  <c r="I417" i="78"/>
  <c r="H417" i="78"/>
  <c r="G417" i="78"/>
  <c r="F417" i="78"/>
  <c r="E417" i="78"/>
  <c r="D417" i="78"/>
  <c r="C417" i="78"/>
  <c r="J416" i="78"/>
  <c r="I416" i="78"/>
  <c r="H416" i="78"/>
  <c r="G416" i="78"/>
  <c r="F416" i="78"/>
  <c r="E416" i="78"/>
  <c r="D416" i="78"/>
  <c r="C416" i="78"/>
  <c r="J415" i="78"/>
  <c r="I415" i="78"/>
  <c r="H415" i="78"/>
  <c r="G415" i="78"/>
  <c r="F415" i="78"/>
  <c r="E415" i="78"/>
  <c r="D415" i="78"/>
  <c r="C415" i="78"/>
  <c r="J414" i="78"/>
  <c r="I414" i="78"/>
  <c r="H414" i="78"/>
  <c r="G414" i="78"/>
  <c r="F414" i="78"/>
  <c r="E414" i="78"/>
  <c r="D414" i="78"/>
  <c r="C414" i="78"/>
  <c r="J413" i="78"/>
  <c r="I413" i="78"/>
  <c r="H413" i="78"/>
  <c r="G413" i="78"/>
  <c r="F413" i="78"/>
  <c r="E413" i="78"/>
  <c r="D413" i="78"/>
  <c r="C413" i="78"/>
  <c r="J412" i="78"/>
  <c r="I412" i="78"/>
  <c r="H412" i="78"/>
  <c r="G412" i="78"/>
  <c r="F412" i="78"/>
  <c r="E412" i="78"/>
  <c r="D412" i="78"/>
  <c r="C412" i="78"/>
  <c r="J411" i="78"/>
  <c r="I411" i="78"/>
  <c r="H411" i="78"/>
  <c r="G411" i="78"/>
  <c r="F411" i="78"/>
  <c r="E411" i="78"/>
  <c r="D411" i="78"/>
  <c r="C411" i="78"/>
  <c r="J410" i="78"/>
  <c r="I410" i="78"/>
  <c r="H410" i="78"/>
  <c r="G410" i="78"/>
  <c r="F410" i="78"/>
  <c r="E410" i="78"/>
  <c r="D410" i="78"/>
  <c r="C410" i="78"/>
  <c r="J409" i="78"/>
  <c r="I409" i="78"/>
  <c r="H409" i="78"/>
  <c r="G409" i="78"/>
  <c r="F409" i="78"/>
  <c r="E409" i="78"/>
  <c r="D409" i="78"/>
  <c r="C409" i="78"/>
  <c r="J408" i="78"/>
  <c r="I408" i="78"/>
  <c r="H408" i="78"/>
  <c r="G408" i="78"/>
  <c r="F408" i="78"/>
  <c r="E408" i="78"/>
  <c r="D408" i="78"/>
  <c r="C408" i="78"/>
  <c r="J407" i="78"/>
  <c r="I407" i="78"/>
  <c r="H407" i="78"/>
  <c r="G407" i="78"/>
  <c r="F407" i="78"/>
  <c r="E407" i="78"/>
  <c r="D407" i="78"/>
  <c r="C407" i="78"/>
  <c r="J406" i="78"/>
  <c r="I406" i="78"/>
  <c r="H406" i="78"/>
  <c r="G406" i="78"/>
  <c r="F406" i="78"/>
  <c r="E406" i="78"/>
  <c r="D406" i="78"/>
  <c r="C406" i="78"/>
  <c r="J405" i="78"/>
  <c r="I405" i="78"/>
  <c r="H405" i="78"/>
  <c r="G405" i="78"/>
  <c r="F405" i="78"/>
  <c r="E405" i="78"/>
  <c r="D405" i="78"/>
  <c r="C405" i="78"/>
  <c r="J404" i="78"/>
  <c r="I404" i="78"/>
  <c r="H404" i="78"/>
  <c r="G404" i="78"/>
  <c r="F404" i="78"/>
  <c r="E404" i="78"/>
  <c r="D404" i="78"/>
  <c r="C404" i="78"/>
  <c r="J403" i="78"/>
  <c r="I403" i="78"/>
  <c r="H403" i="78"/>
  <c r="G403" i="78"/>
  <c r="F403" i="78"/>
  <c r="E403" i="78"/>
  <c r="D403" i="78"/>
  <c r="C403" i="78"/>
  <c r="J402" i="78"/>
  <c r="I402" i="78"/>
  <c r="H402" i="78"/>
  <c r="G402" i="78"/>
  <c r="F402" i="78"/>
  <c r="E402" i="78"/>
  <c r="D402" i="78"/>
  <c r="C402" i="78"/>
  <c r="J401" i="78"/>
  <c r="I401" i="78"/>
  <c r="H401" i="78"/>
  <c r="G401" i="78"/>
  <c r="F401" i="78"/>
  <c r="E401" i="78"/>
  <c r="D401" i="78"/>
  <c r="C401" i="78"/>
  <c r="J400" i="78"/>
  <c r="I400" i="78"/>
  <c r="H400" i="78"/>
  <c r="G400" i="78"/>
  <c r="F400" i="78"/>
  <c r="E400" i="78"/>
  <c r="D400" i="78"/>
  <c r="C400" i="78"/>
  <c r="J399" i="78"/>
  <c r="I399" i="78"/>
  <c r="H399" i="78"/>
  <c r="G399" i="78"/>
  <c r="F399" i="78"/>
  <c r="E399" i="78"/>
  <c r="D399" i="78"/>
  <c r="C399" i="78"/>
  <c r="J398" i="78"/>
  <c r="I398" i="78"/>
  <c r="H398" i="78"/>
  <c r="G398" i="78"/>
  <c r="F398" i="78"/>
  <c r="E398" i="78"/>
  <c r="D398" i="78"/>
  <c r="C398" i="78"/>
  <c r="J397" i="78"/>
  <c r="I397" i="78"/>
  <c r="H397" i="78"/>
  <c r="G397" i="78"/>
  <c r="F397" i="78"/>
  <c r="E397" i="78"/>
  <c r="D397" i="78"/>
  <c r="C397" i="78"/>
  <c r="J396" i="78"/>
  <c r="I396" i="78"/>
  <c r="H396" i="78"/>
  <c r="G396" i="78"/>
  <c r="F396" i="78"/>
  <c r="E396" i="78"/>
  <c r="D396" i="78"/>
  <c r="C396" i="78"/>
  <c r="J395" i="78"/>
  <c r="I395" i="78"/>
  <c r="H395" i="78"/>
  <c r="G395" i="78"/>
  <c r="F395" i="78"/>
  <c r="E395" i="78"/>
  <c r="D395" i="78"/>
  <c r="C395" i="78"/>
  <c r="J394" i="78"/>
  <c r="I394" i="78"/>
  <c r="H394" i="78"/>
  <c r="G394" i="78"/>
  <c r="F394" i="78"/>
  <c r="E394" i="78"/>
  <c r="D394" i="78"/>
  <c r="C394" i="78"/>
  <c r="J393" i="78"/>
  <c r="I393" i="78"/>
  <c r="H393" i="78"/>
  <c r="G393" i="78"/>
  <c r="F393" i="78"/>
  <c r="E393" i="78"/>
  <c r="D393" i="78"/>
  <c r="C393" i="78"/>
  <c r="J392" i="78"/>
  <c r="I392" i="78"/>
  <c r="H392" i="78"/>
  <c r="G392" i="78"/>
  <c r="F392" i="78"/>
  <c r="E392" i="78"/>
  <c r="D392" i="78"/>
  <c r="C392" i="78"/>
  <c r="J391" i="78"/>
  <c r="I391" i="78"/>
  <c r="H391" i="78"/>
  <c r="G391" i="78"/>
  <c r="F391" i="78"/>
  <c r="E391" i="78"/>
  <c r="D391" i="78"/>
  <c r="C391" i="78"/>
  <c r="J390" i="78"/>
  <c r="I390" i="78"/>
  <c r="H390" i="78"/>
  <c r="G390" i="78"/>
  <c r="F390" i="78"/>
  <c r="E390" i="78"/>
  <c r="D390" i="78"/>
  <c r="C390" i="78"/>
  <c r="J389" i="78"/>
  <c r="I389" i="78"/>
  <c r="H389" i="78"/>
  <c r="G389" i="78"/>
  <c r="F389" i="78"/>
  <c r="E389" i="78"/>
  <c r="D389" i="78"/>
  <c r="C389" i="78"/>
  <c r="J388" i="78"/>
  <c r="I388" i="78"/>
  <c r="H388" i="78"/>
  <c r="G388" i="78"/>
  <c r="F388" i="78"/>
  <c r="E388" i="78"/>
  <c r="D388" i="78"/>
  <c r="C388" i="78"/>
  <c r="J387" i="78"/>
  <c r="I387" i="78"/>
  <c r="H387" i="78"/>
  <c r="G387" i="78"/>
  <c r="F387" i="78"/>
  <c r="E387" i="78"/>
  <c r="D387" i="78"/>
  <c r="C387" i="78"/>
  <c r="J386" i="78"/>
  <c r="I386" i="78"/>
  <c r="H386" i="78"/>
  <c r="G386" i="78"/>
  <c r="F386" i="78"/>
  <c r="E386" i="78"/>
  <c r="D386" i="78"/>
  <c r="C386" i="78"/>
  <c r="J385" i="78"/>
  <c r="I385" i="78"/>
  <c r="H385" i="78"/>
  <c r="G385" i="78"/>
  <c r="F385" i="78"/>
  <c r="E385" i="78"/>
  <c r="D385" i="78"/>
  <c r="C385" i="78"/>
  <c r="J384" i="78"/>
  <c r="I384" i="78"/>
  <c r="H384" i="78"/>
  <c r="G384" i="78"/>
  <c r="F384" i="78"/>
  <c r="E384" i="78"/>
  <c r="D384" i="78"/>
  <c r="C384" i="78"/>
  <c r="J383" i="78"/>
  <c r="I383" i="78"/>
  <c r="H383" i="78"/>
  <c r="G383" i="78"/>
  <c r="F383" i="78"/>
  <c r="E383" i="78"/>
  <c r="D383" i="78"/>
  <c r="C383" i="78"/>
  <c r="J382" i="78"/>
  <c r="I382" i="78"/>
  <c r="H382" i="78"/>
  <c r="G382" i="78"/>
  <c r="F382" i="78"/>
  <c r="E382" i="78"/>
  <c r="D382" i="78"/>
  <c r="C382" i="78"/>
  <c r="J381" i="78"/>
  <c r="I381" i="78"/>
  <c r="H381" i="78"/>
  <c r="G381" i="78"/>
  <c r="F381" i="78"/>
  <c r="E381" i="78"/>
  <c r="D381" i="78"/>
  <c r="C381" i="78"/>
  <c r="J380" i="78"/>
  <c r="I380" i="78"/>
  <c r="H380" i="78"/>
  <c r="G380" i="78"/>
  <c r="F380" i="78"/>
  <c r="E380" i="78"/>
  <c r="D380" i="78"/>
  <c r="C380" i="78"/>
  <c r="J379" i="78"/>
  <c r="I379" i="78"/>
  <c r="H379" i="78"/>
  <c r="G379" i="78"/>
  <c r="F379" i="78"/>
  <c r="E379" i="78"/>
  <c r="D379" i="78"/>
  <c r="C379" i="78"/>
  <c r="J378" i="78"/>
  <c r="I378" i="78"/>
  <c r="H378" i="78"/>
  <c r="G378" i="78"/>
  <c r="F378" i="78"/>
  <c r="E378" i="78"/>
  <c r="D378" i="78"/>
  <c r="C378" i="78"/>
  <c r="J377" i="78"/>
  <c r="I377" i="78"/>
  <c r="H377" i="78"/>
  <c r="G377" i="78"/>
  <c r="F377" i="78"/>
  <c r="E377" i="78"/>
  <c r="D377" i="78"/>
  <c r="C377" i="78"/>
  <c r="J376" i="78"/>
  <c r="I376" i="78"/>
  <c r="H376" i="78"/>
  <c r="G376" i="78"/>
  <c r="F376" i="78"/>
  <c r="E376" i="78"/>
  <c r="D376" i="78"/>
  <c r="C376" i="78"/>
  <c r="J375" i="78"/>
  <c r="I375" i="78"/>
  <c r="H375" i="78"/>
  <c r="G375" i="78"/>
  <c r="F375" i="78"/>
  <c r="E375" i="78"/>
  <c r="D375" i="78"/>
  <c r="C375" i="78"/>
  <c r="J374" i="78"/>
  <c r="I374" i="78"/>
  <c r="H374" i="78"/>
  <c r="G374" i="78"/>
  <c r="F374" i="78"/>
  <c r="E374" i="78"/>
  <c r="D374" i="78"/>
  <c r="C374" i="78"/>
  <c r="J373" i="78"/>
  <c r="I373" i="78"/>
  <c r="H373" i="78"/>
  <c r="G373" i="78"/>
  <c r="F373" i="78"/>
  <c r="E373" i="78"/>
  <c r="D373" i="78"/>
  <c r="C373" i="78"/>
  <c r="J372" i="78"/>
  <c r="I372" i="78"/>
  <c r="H372" i="78"/>
  <c r="G372" i="78"/>
  <c r="F372" i="78"/>
  <c r="E372" i="78"/>
  <c r="D372" i="78"/>
  <c r="C372" i="78"/>
  <c r="J371" i="78"/>
  <c r="I371" i="78"/>
  <c r="H371" i="78"/>
  <c r="G371" i="78"/>
  <c r="F371" i="78"/>
  <c r="E371" i="78"/>
  <c r="D371" i="78"/>
  <c r="C371" i="78"/>
  <c r="J370" i="78"/>
  <c r="I370" i="78"/>
  <c r="H370" i="78"/>
  <c r="G370" i="78"/>
  <c r="F370" i="78"/>
  <c r="E370" i="78"/>
  <c r="D370" i="78"/>
  <c r="C370" i="78"/>
  <c r="J369" i="78"/>
  <c r="I369" i="78"/>
  <c r="H369" i="78"/>
  <c r="G369" i="78"/>
  <c r="F369" i="78"/>
  <c r="E369" i="78"/>
  <c r="D369" i="78"/>
  <c r="C369" i="78"/>
  <c r="J368" i="78"/>
  <c r="I368" i="78"/>
  <c r="H368" i="78"/>
  <c r="G368" i="78"/>
  <c r="F368" i="78"/>
  <c r="E368" i="78"/>
  <c r="D368" i="78"/>
  <c r="C368" i="78"/>
  <c r="J367" i="78"/>
  <c r="I367" i="78"/>
  <c r="H367" i="78"/>
  <c r="G367" i="78"/>
  <c r="F367" i="78"/>
  <c r="E367" i="78"/>
  <c r="D367" i="78"/>
  <c r="C367" i="78"/>
  <c r="J366" i="78"/>
  <c r="I366" i="78"/>
  <c r="H366" i="78"/>
  <c r="G366" i="78"/>
  <c r="F366" i="78"/>
  <c r="E366" i="78"/>
  <c r="D366" i="78"/>
  <c r="C366" i="78"/>
  <c r="J365" i="78"/>
  <c r="I365" i="78"/>
  <c r="H365" i="78"/>
  <c r="G365" i="78"/>
  <c r="F365" i="78"/>
  <c r="E365" i="78"/>
  <c r="D365" i="78"/>
  <c r="C365" i="78"/>
  <c r="J364" i="78"/>
  <c r="I364" i="78"/>
  <c r="H364" i="78"/>
  <c r="G364" i="78"/>
  <c r="F364" i="78"/>
  <c r="E364" i="78"/>
  <c r="D364" i="78"/>
  <c r="C364" i="78"/>
  <c r="J363" i="78"/>
  <c r="I363" i="78"/>
  <c r="H363" i="78"/>
  <c r="G363" i="78"/>
  <c r="F363" i="78"/>
  <c r="E363" i="78"/>
  <c r="D363" i="78"/>
  <c r="C363" i="78"/>
  <c r="J362" i="78"/>
  <c r="I362" i="78"/>
  <c r="H362" i="78"/>
  <c r="G362" i="78"/>
  <c r="F362" i="78"/>
  <c r="E362" i="78"/>
  <c r="D362" i="78"/>
  <c r="C362" i="78"/>
  <c r="J361" i="78"/>
  <c r="I361" i="78"/>
  <c r="H361" i="78"/>
  <c r="G361" i="78"/>
  <c r="F361" i="78"/>
  <c r="E361" i="78"/>
  <c r="D361" i="78"/>
  <c r="C361" i="78"/>
  <c r="J360" i="78"/>
  <c r="I360" i="78"/>
  <c r="H360" i="78"/>
  <c r="G360" i="78"/>
  <c r="F360" i="78"/>
  <c r="E360" i="78"/>
  <c r="D360" i="78"/>
  <c r="C360" i="78"/>
  <c r="J359" i="78"/>
  <c r="I359" i="78"/>
  <c r="H359" i="78"/>
  <c r="G359" i="78"/>
  <c r="F359" i="78"/>
  <c r="E359" i="78"/>
  <c r="D359" i="78"/>
  <c r="C359" i="78"/>
  <c r="J358" i="78"/>
  <c r="I358" i="78"/>
  <c r="H358" i="78"/>
  <c r="G358" i="78"/>
  <c r="F358" i="78"/>
  <c r="E358" i="78"/>
  <c r="D358" i="78"/>
  <c r="C358" i="78"/>
  <c r="J357" i="78"/>
  <c r="I357" i="78"/>
  <c r="H357" i="78"/>
  <c r="G357" i="78"/>
  <c r="F357" i="78"/>
  <c r="E357" i="78"/>
  <c r="D357" i="78"/>
  <c r="C357" i="78"/>
  <c r="J356" i="78"/>
  <c r="I356" i="78"/>
  <c r="H356" i="78"/>
  <c r="G356" i="78"/>
  <c r="F356" i="78"/>
  <c r="E356" i="78"/>
  <c r="D356" i="78"/>
  <c r="C356" i="78"/>
  <c r="J355" i="78"/>
  <c r="I355" i="78"/>
  <c r="H355" i="78"/>
  <c r="G355" i="78"/>
  <c r="F355" i="78"/>
  <c r="E355" i="78"/>
  <c r="D355" i="78"/>
  <c r="C355" i="78"/>
  <c r="J354" i="78"/>
  <c r="I354" i="78"/>
  <c r="H354" i="78"/>
  <c r="G354" i="78"/>
  <c r="F354" i="78"/>
  <c r="E354" i="78"/>
  <c r="D354" i="78"/>
  <c r="C354" i="78"/>
  <c r="J353" i="78"/>
  <c r="I353" i="78"/>
  <c r="H353" i="78"/>
  <c r="G353" i="78"/>
  <c r="F353" i="78"/>
  <c r="E353" i="78"/>
  <c r="D353" i="78"/>
  <c r="C353" i="78"/>
  <c r="J352" i="78"/>
  <c r="I352" i="78"/>
  <c r="H352" i="78"/>
  <c r="G352" i="78"/>
  <c r="F352" i="78"/>
  <c r="E352" i="78"/>
  <c r="D352" i="78"/>
  <c r="C352" i="78"/>
  <c r="J351" i="78"/>
  <c r="I351" i="78"/>
  <c r="H351" i="78"/>
  <c r="G351" i="78"/>
  <c r="F351" i="78"/>
  <c r="E351" i="78"/>
  <c r="D351" i="78"/>
  <c r="C351" i="78"/>
  <c r="J350" i="78"/>
  <c r="I350" i="78"/>
  <c r="H350" i="78"/>
  <c r="G350" i="78"/>
  <c r="F350" i="78"/>
  <c r="E350" i="78"/>
  <c r="D350" i="78"/>
  <c r="C350" i="78"/>
  <c r="J349" i="78"/>
  <c r="I349" i="78"/>
  <c r="H349" i="78"/>
  <c r="G349" i="78"/>
  <c r="F349" i="78"/>
  <c r="E349" i="78"/>
  <c r="D349" i="78"/>
  <c r="C349" i="78"/>
  <c r="J348" i="78"/>
  <c r="I348" i="78"/>
  <c r="H348" i="78"/>
  <c r="G348" i="78"/>
  <c r="F348" i="78"/>
  <c r="E348" i="78"/>
  <c r="D348" i="78"/>
  <c r="C348" i="78"/>
  <c r="J347" i="78"/>
  <c r="I347" i="78"/>
  <c r="H347" i="78"/>
  <c r="G347" i="78"/>
  <c r="F347" i="78"/>
  <c r="E347" i="78"/>
  <c r="D347" i="78"/>
  <c r="C347" i="78"/>
  <c r="J346" i="78"/>
  <c r="I346" i="78"/>
  <c r="H346" i="78"/>
  <c r="G346" i="78"/>
  <c r="F346" i="78"/>
  <c r="E346" i="78"/>
  <c r="D346" i="78"/>
  <c r="C346" i="78"/>
  <c r="J345" i="78"/>
  <c r="I345" i="78"/>
  <c r="H345" i="78"/>
  <c r="G345" i="78"/>
  <c r="F345" i="78"/>
  <c r="E345" i="78"/>
  <c r="D345" i="78"/>
  <c r="C345" i="78"/>
  <c r="J344" i="78"/>
  <c r="I344" i="78"/>
  <c r="H344" i="78"/>
  <c r="G344" i="78"/>
  <c r="F344" i="78"/>
  <c r="E344" i="78"/>
  <c r="D344" i="78"/>
  <c r="C344" i="78"/>
  <c r="J343" i="78"/>
  <c r="I343" i="78"/>
  <c r="H343" i="78"/>
  <c r="G343" i="78"/>
  <c r="F343" i="78"/>
  <c r="E343" i="78"/>
  <c r="D343" i="78"/>
  <c r="C343" i="78"/>
  <c r="J342" i="78"/>
  <c r="I342" i="78"/>
  <c r="H342" i="78"/>
  <c r="G342" i="78"/>
  <c r="F342" i="78"/>
  <c r="E342" i="78"/>
  <c r="D342" i="78"/>
  <c r="C342" i="78"/>
  <c r="J341" i="78"/>
  <c r="I341" i="78"/>
  <c r="H341" i="78"/>
  <c r="G341" i="78"/>
  <c r="F341" i="78"/>
  <c r="E341" i="78"/>
  <c r="D341" i="78"/>
  <c r="C341" i="78"/>
  <c r="J340" i="78"/>
  <c r="I340" i="78"/>
  <c r="H340" i="78"/>
  <c r="G340" i="78"/>
  <c r="F340" i="78"/>
  <c r="E340" i="78"/>
  <c r="D340" i="78"/>
  <c r="C340" i="78"/>
  <c r="J339" i="78"/>
  <c r="I339" i="78"/>
  <c r="H339" i="78"/>
  <c r="G339" i="78"/>
  <c r="F339" i="78"/>
  <c r="E339" i="78"/>
  <c r="D339" i="78"/>
  <c r="C339" i="78"/>
  <c r="J338" i="78"/>
  <c r="I338" i="78"/>
  <c r="H338" i="78"/>
  <c r="G338" i="78"/>
  <c r="F338" i="78"/>
  <c r="E338" i="78"/>
  <c r="D338" i="78"/>
  <c r="C338" i="78"/>
  <c r="J337" i="78"/>
  <c r="I337" i="78"/>
  <c r="H337" i="78"/>
  <c r="G337" i="78"/>
  <c r="F337" i="78"/>
  <c r="E337" i="78"/>
  <c r="D337" i="78"/>
  <c r="C337" i="78"/>
  <c r="J336" i="78"/>
  <c r="I336" i="78"/>
  <c r="H336" i="78"/>
  <c r="G336" i="78"/>
  <c r="F336" i="78"/>
  <c r="E336" i="78"/>
  <c r="D336" i="78"/>
  <c r="C336" i="78"/>
  <c r="J335" i="78"/>
  <c r="I335" i="78"/>
  <c r="H335" i="78"/>
  <c r="G335" i="78"/>
  <c r="F335" i="78"/>
  <c r="E335" i="78"/>
  <c r="D335" i="78"/>
  <c r="C335" i="78"/>
  <c r="J334" i="78"/>
  <c r="I334" i="78"/>
  <c r="H334" i="78"/>
  <c r="G334" i="78"/>
  <c r="F334" i="78"/>
  <c r="E334" i="78"/>
  <c r="D334" i="78"/>
  <c r="C334" i="78"/>
  <c r="J333" i="78"/>
  <c r="I333" i="78"/>
  <c r="H333" i="78"/>
  <c r="G333" i="78"/>
  <c r="F333" i="78"/>
  <c r="E333" i="78"/>
  <c r="D333" i="78"/>
  <c r="C333" i="78"/>
  <c r="J332" i="78"/>
  <c r="I332" i="78"/>
  <c r="H332" i="78"/>
  <c r="G332" i="78"/>
  <c r="F332" i="78"/>
  <c r="E332" i="78"/>
  <c r="D332" i="78"/>
  <c r="C332" i="78"/>
  <c r="J331" i="78"/>
  <c r="I331" i="78"/>
  <c r="H331" i="78"/>
  <c r="G331" i="78"/>
  <c r="F331" i="78"/>
  <c r="E331" i="78"/>
  <c r="D331" i="78"/>
  <c r="C331" i="78"/>
  <c r="J330" i="78"/>
  <c r="I330" i="78"/>
  <c r="H330" i="78"/>
  <c r="G330" i="78"/>
  <c r="F330" i="78"/>
  <c r="E330" i="78"/>
  <c r="D330" i="78"/>
  <c r="C330" i="78"/>
  <c r="J329" i="78"/>
  <c r="I329" i="78"/>
  <c r="H329" i="78"/>
  <c r="G329" i="78"/>
  <c r="F329" i="78"/>
  <c r="E329" i="78"/>
  <c r="D329" i="78"/>
  <c r="C329" i="78"/>
  <c r="J328" i="78"/>
  <c r="I328" i="78"/>
  <c r="H328" i="78"/>
  <c r="G328" i="78"/>
  <c r="F328" i="78"/>
  <c r="E328" i="78"/>
  <c r="D328" i="78"/>
  <c r="C328" i="78"/>
  <c r="J327" i="78"/>
  <c r="I327" i="78"/>
  <c r="H327" i="78"/>
  <c r="G327" i="78"/>
  <c r="F327" i="78"/>
  <c r="E327" i="78"/>
  <c r="D327" i="78"/>
  <c r="C327" i="78"/>
  <c r="J326" i="78"/>
  <c r="I326" i="78"/>
  <c r="H326" i="78"/>
  <c r="G326" i="78"/>
  <c r="F326" i="78"/>
  <c r="E326" i="78"/>
  <c r="D326" i="78"/>
  <c r="C326" i="78"/>
  <c r="J325" i="78"/>
  <c r="I325" i="78"/>
  <c r="H325" i="78"/>
  <c r="G325" i="78"/>
  <c r="F325" i="78"/>
  <c r="E325" i="78"/>
  <c r="D325" i="78"/>
  <c r="C325" i="78"/>
  <c r="J324" i="78"/>
  <c r="I324" i="78"/>
  <c r="H324" i="78"/>
  <c r="G324" i="78"/>
  <c r="F324" i="78"/>
  <c r="E324" i="78"/>
  <c r="D324" i="78"/>
  <c r="C324" i="78"/>
  <c r="J323" i="78"/>
  <c r="I323" i="78"/>
  <c r="H323" i="78"/>
  <c r="G323" i="78"/>
  <c r="F323" i="78"/>
  <c r="E323" i="78"/>
  <c r="D323" i="78"/>
  <c r="C323" i="78"/>
  <c r="J322" i="78"/>
  <c r="I322" i="78"/>
  <c r="H322" i="78"/>
  <c r="G322" i="78"/>
  <c r="F322" i="78"/>
  <c r="E322" i="78"/>
  <c r="D322" i="78"/>
  <c r="C322" i="78"/>
  <c r="J321" i="78"/>
  <c r="I321" i="78"/>
  <c r="H321" i="78"/>
  <c r="G321" i="78"/>
  <c r="F321" i="78"/>
  <c r="E321" i="78"/>
  <c r="D321" i="78"/>
  <c r="C321" i="78"/>
  <c r="J320" i="78"/>
  <c r="I320" i="78"/>
  <c r="H320" i="78"/>
  <c r="G320" i="78"/>
  <c r="F320" i="78"/>
  <c r="E320" i="78"/>
  <c r="D320" i="78"/>
  <c r="C320" i="78"/>
  <c r="J319" i="78"/>
  <c r="I319" i="78"/>
  <c r="H319" i="78"/>
  <c r="G319" i="78"/>
  <c r="F319" i="78"/>
  <c r="E319" i="78"/>
  <c r="D319" i="78"/>
  <c r="C319" i="78"/>
  <c r="J318" i="78"/>
  <c r="I318" i="78"/>
  <c r="H318" i="78"/>
  <c r="G318" i="78"/>
  <c r="F318" i="78"/>
  <c r="E318" i="78"/>
  <c r="D318" i="78"/>
  <c r="C318" i="78"/>
  <c r="J317" i="78"/>
  <c r="I317" i="78"/>
  <c r="H317" i="78"/>
  <c r="G317" i="78"/>
  <c r="F317" i="78"/>
  <c r="E317" i="78"/>
  <c r="D317" i="78"/>
  <c r="C317" i="78"/>
  <c r="J316" i="78"/>
  <c r="I316" i="78"/>
  <c r="H316" i="78"/>
  <c r="G316" i="78"/>
  <c r="F316" i="78"/>
  <c r="E316" i="78"/>
  <c r="D316" i="78"/>
  <c r="C316" i="78"/>
  <c r="J315" i="78"/>
  <c r="I315" i="78"/>
  <c r="H315" i="78"/>
  <c r="G315" i="78"/>
  <c r="F315" i="78"/>
  <c r="E315" i="78"/>
  <c r="D315" i="78"/>
  <c r="C315" i="78"/>
  <c r="J314" i="78"/>
  <c r="I314" i="78"/>
  <c r="H314" i="78"/>
  <c r="G314" i="78"/>
  <c r="F314" i="78"/>
  <c r="E314" i="78"/>
  <c r="D314" i="78"/>
  <c r="C314" i="78"/>
  <c r="J313" i="78"/>
  <c r="I313" i="78"/>
  <c r="H313" i="78"/>
  <c r="G313" i="78"/>
  <c r="F313" i="78"/>
  <c r="E313" i="78"/>
  <c r="D313" i="78"/>
  <c r="C313" i="78"/>
  <c r="J312" i="78"/>
  <c r="I312" i="78"/>
  <c r="H312" i="78"/>
  <c r="G312" i="78"/>
  <c r="F312" i="78"/>
  <c r="E312" i="78"/>
  <c r="D312" i="78"/>
  <c r="C312" i="78"/>
  <c r="J311" i="78"/>
  <c r="I311" i="78"/>
  <c r="H311" i="78"/>
  <c r="G311" i="78"/>
  <c r="F311" i="78"/>
  <c r="E311" i="78"/>
  <c r="D311" i="78"/>
  <c r="C311" i="78"/>
  <c r="J310" i="78"/>
  <c r="I310" i="78"/>
  <c r="H310" i="78"/>
  <c r="G310" i="78"/>
  <c r="F310" i="78"/>
  <c r="E310" i="78"/>
  <c r="D310" i="78"/>
  <c r="C310" i="78"/>
  <c r="J309" i="78"/>
  <c r="I309" i="78"/>
  <c r="H309" i="78"/>
  <c r="G309" i="78"/>
  <c r="F309" i="78"/>
  <c r="E309" i="78"/>
  <c r="D309" i="78"/>
  <c r="C309" i="78"/>
  <c r="J308" i="78"/>
  <c r="I308" i="78"/>
  <c r="H308" i="78"/>
  <c r="G308" i="78"/>
  <c r="F308" i="78"/>
  <c r="E308" i="78"/>
  <c r="D308" i="78"/>
  <c r="C308" i="78"/>
  <c r="J307" i="78"/>
  <c r="I307" i="78"/>
  <c r="H307" i="78"/>
  <c r="G307" i="78"/>
  <c r="F307" i="78"/>
  <c r="E307" i="78"/>
  <c r="D307" i="78"/>
  <c r="C307" i="78"/>
  <c r="J306" i="78"/>
  <c r="I306" i="78"/>
  <c r="H306" i="78"/>
  <c r="G306" i="78"/>
  <c r="F306" i="78"/>
  <c r="E306" i="78"/>
  <c r="D306" i="78"/>
  <c r="C306" i="78"/>
  <c r="J305" i="78"/>
  <c r="I305" i="78"/>
  <c r="H305" i="78"/>
  <c r="G305" i="78"/>
  <c r="F305" i="78"/>
  <c r="E305" i="78"/>
  <c r="D305" i="78"/>
  <c r="C305" i="78"/>
  <c r="J304" i="78"/>
  <c r="I304" i="78"/>
  <c r="H304" i="78"/>
  <c r="G304" i="78"/>
  <c r="F304" i="78"/>
  <c r="E304" i="78"/>
  <c r="D304" i="78"/>
  <c r="C304" i="78"/>
  <c r="J303" i="78"/>
  <c r="I303" i="78"/>
  <c r="H303" i="78"/>
  <c r="G303" i="78"/>
  <c r="F303" i="78"/>
  <c r="E303" i="78"/>
  <c r="D303" i="78"/>
  <c r="C303" i="78"/>
  <c r="J302" i="78"/>
  <c r="I302" i="78"/>
  <c r="H302" i="78"/>
  <c r="G302" i="78"/>
  <c r="F302" i="78"/>
  <c r="E302" i="78"/>
  <c r="D302" i="78"/>
  <c r="C302" i="78"/>
  <c r="J301" i="78"/>
  <c r="I301" i="78"/>
  <c r="H301" i="78"/>
  <c r="G301" i="78"/>
  <c r="F301" i="78"/>
  <c r="E301" i="78"/>
  <c r="D301" i="78"/>
  <c r="C301" i="78"/>
  <c r="J300" i="78"/>
  <c r="I300" i="78"/>
  <c r="H300" i="78"/>
  <c r="G300" i="78"/>
  <c r="F300" i="78"/>
  <c r="E300" i="78"/>
  <c r="D300" i="78"/>
  <c r="C300" i="78"/>
  <c r="J299" i="78"/>
  <c r="I299" i="78"/>
  <c r="H299" i="78"/>
  <c r="G299" i="78"/>
  <c r="F299" i="78"/>
  <c r="E299" i="78"/>
  <c r="D299" i="78"/>
  <c r="C299" i="78"/>
  <c r="J298" i="78"/>
  <c r="I298" i="78"/>
  <c r="H298" i="78"/>
  <c r="G298" i="78"/>
  <c r="F298" i="78"/>
  <c r="E298" i="78"/>
  <c r="D298" i="78"/>
  <c r="C298" i="78"/>
  <c r="J297" i="78"/>
  <c r="I297" i="78"/>
  <c r="H297" i="78"/>
  <c r="G297" i="78"/>
  <c r="F297" i="78"/>
  <c r="E297" i="78"/>
  <c r="D297" i="78"/>
  <c r="C297" i="78"/>
  <c r="J296" i="78"/>
  <c r="I296" i="78"/>
  <c r="H296" i="78"/>
  <c r="G296" i="78"/>
  <c r="F296" i="78"/>
  <c r="E296" i="78"/>
  <c r="D296" i="78"/>
  <c r="C296" i="78"/>
  <c r="J295" i="78"/>
  <c r="I295" i="78"/>
  <c r="H295" i="78"/>
  <c r="G295" i="78"/>
  <c r="F295" i="78"/>
  <c r="E295" i="78"/>
  <c r="D295" i="78"/>
  <c r="C295" i="78"/>
  <c r="J294" i="78"/>
  <c r="I294" i="78"/>
  <c r="H294" i="78"/>
  <c r="G294" i="78"/>
  <c r="F294" i="78"/>
  <c r="E294" i="78"/>
  <c r="D294" i="78"/>
  <c r="C294" i="78"/>
  <c r="J293" i="78"/>
  <c r="I293" i="78"/>
  <c r="H293" i="78"/>
  <c r="G293" i="78"/>
  <c r="F293" i="78"/>
  <c r="E293" i="78"/>
  <c r="D293" i="78"/>
  <c r="C293" i="78"/>
  <c r="J292" i="78"/>
  <c r="I292" i="78"/>
  <c r="H292" i="78"/>
  <c r="G292" i="78"/>
  <c r="F292" i="78"/>
  <c r="E292" i="78"/>
  <c r="D292" i="78"/>
  <c r="C292" i="78"/>
  <c r="J291" i="78"/>
  <c r="I291" i="78"/>
  <c r="H291" i="78"/>
  <c r="G291" i="78"/>
  <c r="F291" i="78"/>
  <c r="E291" i="78"/>
  <c r="D291" i="78"/>
  <c r="C291" i="78"/>
  <c r="J290" i="78"/>
  <c r="I290" i="78"/>
  <c r="H290" i="78"/>
  <c r="G290" i="78"/>
  <c r="F290" i="78"/>
  <c r="E290" i="78"/>
  <c r="D290" i="78"/>
  <c r="C290" i="78"/>
  <c r="J289" i="78"/>
  <c r="I289" i="78"/>
  <c r="H289" i="78"/>
  <c r="G289" i="78"/>
  <c r="F289" i="78"/>
  <c r="E289" i="78"/>
  <c r="D289" i="78"/>
  <c r="C289" i="78"/>
  <c r="J288" i="78"/>
  <c r="I288" i="78"/>
  <c r="H288" i="78"/>
  <c r="G288" i="78"/>
  <c r="F288" i="78"/>
  <c r="E288" i="78"/>
  <c r="D288" i="78"/>
  <c r="C288" i="78"/>
  <c r="J287" i="78"/>
  <c r="I287" i="78"/>
  <c r="H287" i="78"/>
  <c r="G287" i="78"/>
  <c r="F287" i="78"/>
  <c r="E287" i="78"/>
  <c r="D287" i="78"/>
  <c r="C287" i="78"/>
  <c r="J286" i="78"/>
  <c r="I286" i="78"/>
  <c r="H286" i="78"/>
  <c r="G286" i="78"/>
  <c r="F286" i="78"/>
  <c r="E286" i="78"/>
  <c r="D286" i="78"/>
  <c r="C286" i="78"/>
  <c r="J285" i="78"/>
  <c r="I285" i="78"/>
  <c r="H285" i="78"/>
  <c r="G285" i="78"/>
  <c r="F285" i="78"/>
  <c r="E285" i="78"/>
  <c r="D285" i="78"/>
  <c r="C285" i="78"/>
  <c r="J284" i="78"/>
  <c r="I284" i="78"/>
  <c r="H284" i="78"/>
  <c r="G284" i="78"/>
  <c r="F284" i="78"/>
  <c r="E284" i="78"/>
  <c r="D284" i="78"/>
  <c r="C284" i="78"/>
  <c r="J283" i="78"/>
  <c r="I283" i="78"/>
  <c r="H283" i="78"/>
  <c r="G283" i="78"/>
  <c r="F283" i="78"/>
  <c r="E283" i="78"/>
  <c r="D283" i="78"/>
  <c r="C283" i="78"/>
  <c r="J282" i="78"/>
  <c r="I282" i="78"/>
  <c r="H282" i="78"/>
  <c r="G282" i="78"/>
  <c r="F282" i="78"/>
  <c r="E282" i="78"/>
  <c r="D282" i="78"/>
  <c r="C282" i="78"/>
  <c r="J281" i="78"/>
  <c r="I281" i="78"/>
  <c r="H281" i="78"/>
  <c r="G281" i="78"/>
  <c r="F281" i="78"/>
  <c r="E281" i="78"/>
  <c r="D281" i="78"/>
  <c r="C281" i="78"/>
  <c r="J280" i="78"/>
  <c r="I280" i="78"/>
  <c r="H280" i="78"/>
  <c r="G280" i="78"/>
  <c r="F280" i="78"/>
  <c r="E280" i="78"/>
  <c r="D280" i="78"/>
  <c r="C280" i="78"/>
  <c r="J279" i="78"/>
  <c r="I279" i="78"/>
  <c r="H279" i="78"/>
  <c r="G279" i="78"/>
  <c r="F279" i="78"/>
  <c r="E279" i="78"/>
  <c r="D279" i="78"/>
  <c r="C279" i="78"/>
  <c r="J278" i="78"/>
  <c r="I278" i="78"/>
  <c r="H278" i="78"/>
  <c r="G278" i="78"/>
  <c r="F278" i="78"/>
  <c r="E278" i="78"/>
  <c r="D278" i="78"/>
  <c r="C278" i="78"/>
  <c r="J277" i="78"/>
  <c r="I277" i="78"/>
  <c r="H277" i="78"/>
  <c r="G277" i="78"/>
  <c r="F277" i="78"/>
  <c r="E277" i="78"/>
  <c r="D277" i="78"/>
  <c r="C277" i="78"/>
  <c r="J276" i="78"/>
  <c r="I276" i="78"/>
  <c r="H276" i="78"/>
  <c r="G276" i="78"/>
  <c r="F276" i="78"/>
  <c r="E276" i="78"/>
  <c r="D276" i="78"/>
  <c r="C276" i="78"/>
  <c r="J275" i="78"/>
  <c r="I275" i="78"/>
  <c r="H275" i="78"/>
  <c r="G275" i="78"/>
  <c r="F275" i="78"/>
  <c r="E275" i="78"/>
  <c r="D275" i="78"/>
  <c r="C275" i="78"/>
  <c r="J274" i="78"/>
  <c r="I274" i="78"/>
  <c r="H274" i="78"/>
  <c r="G274" i="78"/>
  <c r="F274" i="78"/>
  <c r="E274" i="78"/>
  <c r="D274" i="78"/>
  <c r="C274" i="78"/>
  <c r="J273" i="78"/>
  <c r="I273" i="78"/>
  <c r="H273" i="78"/>
  <c r="G273" i="78"/>
  <c r="F273" i="78"/>
  <c r="E273" i="78"/>
  <c r="D273" i="78"/>
  <c r="C273" i="78"/>
  <c r="J272" i="78"/>
  <c r="I272" i="78"/>
  <c r="H272" i="78"/>
  <c r="G272" i="78"/>
  <c r="F272" i="78"/>
  <c r="E272" i="78"/>
  <c r="D272" i="78"/>
  <c r="C272" i="78"/>
  <c r="J271" i="78"/>
  <c r="I271" i="78"/>
  <c r="H271" i="78"/>
  <c r="G271" i="78"/>
  <c r="F271" i="78"/>
  <c r="E271" i="78"/>
  <c r="D271" i="78"/>
  <c r="C271" i="78"/>
  <c r="J270" i="78"/>
  <c r="I270" i="78"/>
  <c r="H270" i="78"/>
  <c r="G270" i="78"/>
  <c r="F270" i="78"/>
  <c r="E270" i="78"/>
  <c r="D270" i="78"/>
  <c r="C270" i="78"/>
  <c r="J269" i="78"/>
  <c r="I269" i="78"/>
  <c r="H269" i="78"/>
  <c r="G269" i="78"/>
  <c r="F269" i="78"/>
  <c r="E269" i="78"/>
  <c r="D269" i="78"/>
  <c r="C269" i="78"/>
  <c r="J268" i="78"/>
  <c r="I268" i="78"/>
  <c r="H268" i="78"/>
  <c r="G268" i="78"/>
  <c r="F268" i="78"/>
  <c r="E268" i="78"/>
  <c r="D268" i="78"/>
  <c r="C268" i="78"/>
  <c r="J267" i="78"/>
  <c r="I267" i="78"/>
  <c r="H267" i="78"/>
  <c r="G267" i="78"/>
  <c r="F267" i="78"/>
  <c r="E267" i="78"/>
  <c r="D267" i="78"/>
  <c r="C267" i="78"/>
  <c r="J266" i="78"/>
  <c r="I266" i="78"/>
  <c r="H266" i="78"/>
  <c r="G266" i="78"/>
  <c r="F266" i="78"/>
  <c r="E266" i="78"/>
  <c r="D266" i="78"/>
  <c r="C266" i="78"/>
  <c r="J265" i="78"/>
  <c r="I265" i="78"/>
  <c r="H265" i="78"/>
  <c r="G265" i="78"/>
  <c r="F265" i="78"/>
  <c r="E265" i="78"/>
  <c r="D265" i="78"/>
  <c r="C265" i="78"/>
  <c r="J264" i="78"/>
  <c r="I264" i="78"/>
  <c r="H264" i="78"/>
  <c r="G264" i="78"/>
  <c r="F264" i="78"/>
  <c r="E264" i="78"/>
  <c r="D264" i="78"/>
  <c r="C264" i="78"/>
  <c r="J263" i="78"/>
  <c r="I263" i="78"/>
  <c r="H263" i="78"/>
  <c r="G263" i="78"/>
  <c r="F263" i="78"/>
  <c r="E263" i="78"/>
  <c r="D263" i="78"/>
  <c r="C263" i="78"/>
  <c r="J262" i="78"/>
  <c r="I262" i="78"/>
  <c r="H262" i="78"/>
  <c r="G262" i="78"/>
  <c r="F262" i="78"/>
  <c r="E262" i="78"/>
  <c r="D262" i="78"/>
  <c r="C262" i="78"/>
  <c r="J261" i="78"/>
  <c r="I261" i="78"/>
  <c r="H261" i="78"/>
  <c r="G261" i="78"/>
  <c r="F261" i="78"/>
  <c r="E261" i="78"/>
  <c r="D261" i="78"/>
  <c r="C261" i="78"/>
  <c r="J260" i="78"/>
  <c r="I260" i="78"/>
  <c r="H260" i="78"/>
  <c r="G260" i="78"/>
  <c r="F260" i="78"/>
  <c r="E260" i="78"/>
  <c r="D260" i="78"/>
  <c r="C260" i="78"/>
  <c r="J259" i="78"/>
  <c r="I259" i="78"/>
  <c r="H259" i="78"/>
  <c r="G259" i="78"/>
  <c r="F259" i="78"/>
  <c r="E259" i="78"/>
  <c r="D259" i="78"/>
  <c r="C259" i="78"/>
  <c r="J258" i="78"/>
  <c r="I258" i="78"/>
  <c r="H258" i="78"/>
  <c r="G258" i="78"/>
  <c r="F258" i="78"/>
  <c r="E258" i="78"/>
  <c r="D258" i="78"/>
  <c r="C258" i="78"/>
  <c r="J257" i="78"/>
  <c r="I257" i="78"/>
  <c r="H257" i="78"/>
  <c r="G257" i="78"/>
  <c r="F257" i="78"/>
  <c r="E257" i="78"/>
  <c r="D257" i="78"/>
  <c r="C257" i="78"/>
  <c r="J256" i="78"/>
  <c r="I256" i="78"/>
  <c r="H256" i="78"/>
  <c r="G256" i="78"/>
  <c r="F256" i="78"/>
  <c r="E256" i="78"/>
  <c r="D256" i="78"/>
  <c r="C256" i="78"/>
  <c r="J255" i="78"/>
  <c r="I255" i="78"/>
  <c r="H255" i="78"/>
  <c r="G255" i="78"/>
  <c r="F255" i="78"/>
  <c r="E255" i="78"/>
  <c r="D255" i="78"/>
  <c r="C255" i="78"/>
  <c r="J254" i="78"/>
  <c r="I254" i="78"/>
  <c r="H254" i="78"/>
  <c r="G254" i="78"/>
  <c r="F254" i="78"/>
  <c r="E254" i="78"/>
  <c r="D254" i="78"/>
  <c r="C254" i="78"/>
  <c r="J253" i="78"/>
  <c r="I253" i="78"/>
  <c r="H253" i="78"/>
  <c r="G253" i="78"/>
  <c r="F253" i="78"/>
  <c r="E253" i="78"/>
  <c r="D253" i="78"/>
  <c r="C253" i="78"/>
  <c r="J252" i="78"/>
  <c r="I252" i="78"/>
  <c r="H252" i="78"/>
  <c r="G252" i="78"/>
  <c r="F252" i="78"/>
  <c r="E252" i="78"/>
  <c r="D252" i="78"/>
  <c r="C252" i="78"/>
  <c r="J251" i="78"/>
  <c r="I251" i="78"/>
  <c r="H251" i="78"/>
  <c r="G251" i="78"/>
  <c r="F251" i="78"/>
  <c r="E251" i="78"/>
  <c r="D251" i="78"/>
  <c r="C251" i="78"/>
  <c r="J250" i="78"/>
  <c r="I250" i="78"/>
  <c r="H250" i="78"/>
  <c r="G250" i="78"/>
  <c r="F250" i="78"/>
  <c r="E250" i="78"/>
  <c r="D250" i="78"/>
  <c r="C250" i="78"/>
  <c r="J249" i="78"/>
  <c r="I249" i="78"/>
  <c r="H249" i="78"/>
  <c r="G249" i="78"/>
  <c r="F249" i="78"/>
  <c r="E249" i="78"/>
  <c r="D249" i="78"/>
  <c r="C249" i="78"/>
  <c r="J248" i="78"/>
  <c r="I248" i="78"/>
  <c r="H248" i="78"/>
  <c r="G248" i="78"/>
  <c r="F248" i="78"/>
  <c r="E248" i="78"/>
  <c r="D248" i="78"/>
  <c r="C248" i="78"/>
  <c r="J247" i="78"/>
  <c r="I247" i="78"/>
  <c r="H247" i="78"/>
  <c r="G247" i="78"/>
  <c r="F247" i="78"/>
  <c r="E247" i="78"/>
  <c r="D247" i="78"/>
  <c r="C247" i="78"/>
  <c r="J246" i="78"/>
  <c r="I246" i="78"/>
  <c r="H246" i="78"/>
  <c r="G246" i="78"/>
  <c r="F246" i="78"/>
  <c r="E246" i="78"/>
  <c r="D246" i="78"/>
  <c r="C246" i="78"/>
  <c r="J245" i="78"/>
  <c r="I245" i="78"/>
  <c r="H245" i="78"/>
  <c r="G245" i="78"/>
  <c r="F245" i="78"/>
  <c r="E245" i="78"/>
  <c r="D245" i="78"/>
  <c r="C245" i="78"/>
  <c r="J244" i="78"/>
  <c r="I244" i="78"/>
  <c r="H244" i="78"/>
  <c r="G244" i="78"/>
  <c r="F244" i="78"/>
  <c r="E244" i="78"/>
  <c r="D244" i="78"/>
  <c r="C244" i="78"/>
  <c r="J243" i="78"/>
  <c r="I243" i="78"/>
  <c r="H243" i="78"/>
  <c r="G243" i="78"/>
  <c r="F243" i="78"/>
  <c r="E243" i="78"/>
  <c r="D243" i="78"/>
  <c r="C243" i="78"/>
  <c r="J242" i="78"/>
  <c r="I242" i="78"/>
  <c r="H242" i="78"/>
  <c r="G242" i="78"/>
  <c r="F242" i="78"/>
  <c r="E242" i="78"/>
  <c r="D242" i="78"/>
  <c r="C242" i="78"/>
  <c r="J241" i="78"/>
  <c r="I241" i="78"/>
  <c r="H241" i="78"/>
  <c r="G241" i="78"/>
  <c r="F241" i="78"/>
  <c r="E241" i="78"/>
  <c r="D241" i="78"/>
  <c r="C241" i="78"/>
  <c r="J240" i="78"/>
  <c r="I240" i="78"/>
  <c r="H240" i="78"/>
  <c r="G240" i="78"/>
  <c r="F240" i="78"/>
  <c r="E240" i="78"/>
  <c r="D240" i="78"/>
  <c r="C240" i="78"/>
  <c r="J239" i="78"/>
  <c r="I239" i="78"/>
  <c r="H239" i="78"/>
  <c r="G239" i="78"/>
  <c r="F239" i="78"/>
  <c r="E239" i="78"/>
  <c r="D239" i="78"/>
  <c r="C239" i="78"/>
  <c r="J238" i="78"/>
  <c r="I238" i="78"/>
  <c r="H238" i="78"/>
  <c r="G238" i="78"/>
  <c r="F238" i="78"/>
  <c r="E238" i="78"/>
  <c r="D238" i="78"/>
  <c r="C238" i="78"/>
  <c r="J237" i="78"/>
  <c r="I237" i="78"/>
  <c r="H237" i="78"/>
  <c r="G237" i="78"/>
  <c r="F237" i="78"/>
  <c r="E237" i="78"/>
  <c r="D237" i="78"/>
  <c r="C237" i="78"/>
  <c r="J236" i="78"/>
  <c r="I236" i="78"/>
  <c r="H236" i="78"/>
  <c r="G236" i="78"/>
  <c r="F236" i="78"/>
  <c r="E236" i="78"/>
  <c r="D236" i="78"/>
  <c r="C236" i="78"/>
  <c r="J235" i="78"/>
  <c r="I235" i="78"/>
  <c r="H235" i="78"/>
  <c r="G235" i="78"/>
  <c r="F235" i="78"/>
  <c r="E235" i="78"/>
  <c r="D235" i="78"/>
  <c r="C235" i="78"/>
  <c r="J234" i="78"/>
  <c r="I234" i="78"/>
  <c r="H234" i="78"/>
  <c r="G234" i="78"/>
  <c r="F234" i="78"/>
  <c r="E234" i="78"/>
  <c r="D234" i="78"/>
  <c r="C234" i="78"/>
  <c r="J233" i="78"/>
  <c r="I233" i="78"/>
  <c r="H233" i="78"/>
  <c r="G233" i="78"/>
  <c r="F233" i="78"/>
  <c r="E233" i="78"/>
  <c r="D233" i="78"/>
  <c r="C233" i="78"/>
  <c r="J232" i="78"/>
  <c r="I232" i="78"/>
  <c r="H232" i="78"/>
  <c r="G232" i="78"/>
  <c r="F232" i="78"/>
  <c r="E232" i="78"/>
  <c r="D232" i="78"/>
  <c r="C232" i="78"/>
  <c r="J231" i="78"/>
  <c r="I231" i="78"/>
  <c r="H231" i="78"/>
  <c r="G231" i="78"/>
  <c r="F231" i="78"/>
  <c r="E231" i="78"/>
  <c r="D231" i="78"/>
  <c r="C231" i="78"/>
  <c r="J230" i="78"/>
  <c r="I230" i="78"/>
  <c r="H230" i="78"/>
  <c r="G230" i="78"/>
  <c r="F230" i="78"/>
  <c r="E230" i="78"/>
  <c r="D230" i="78"/>
  <c r="C230" i="78"/>
  <c r="J229" i="78"/>
  <c r="I229" i="78"/>
  <c r="H229" i="78"/>
  <c r="G229" i="78"/>
  <c r="F229" i="78"/>
  <c r="E229" i="78"/>
  <c r="D229" i="78"/>
  <c r="C229" i="78"/>
  <c r="J228" i="78"/>
  <c r="I228" i="78"/>
  <c r="H228" i="78"/>
  <c r="G228" i="78"/>
  <c r="F228" i="78"/>
  <c r="E228" i="78"/>
  <c r="D228" i="78"/>
  <c r="C228" i="78"/>
  <c r="J227" i="78"/>
  <c r="I227" i="78"/>
  <c r="H227" i="78"/>
  <c r="G227" i="78"/>
  <c r="F227" i="78"/>
  <c r="E227" i="78"/>
  <c r="D227" i="78"/>
  <c r="C227" i="78"/>
  <c r="J226" i="78"/>
  <c r="I226" i="78"/>
  <c r="H226" i="78"/>
  <c r="G226" i="78"/>
  <c r="F226" i="78"/>
  <c r="E226" i="78"/>
  <c r="D226" i="78"/>
  <c r="C226" i="78"/>
  <c r="J225" i="78"/>
  <c r="I225" i="78"/>
  <c r="H225" i="78"/>
  <c r="G225" i="78"/>
  <c r="F225" i="78"/>
  <c r="E225" i="78"/>
  <c r="D225" i="78"/>
  <c r="C225" i="78"/>
  <c r="J224" i="78"/>
  <c r="I224" i="78"/>
  <c r="H224" i="78"/>
  <c r="G224" i="78"/>
  <c r="F224" i="78"/>
  <c r="E224" i="78"/>
  <c r="D224" i="78"/>
  <c r="C224" i="78"/>
  <c r="J223" i="78"/>
  <c r="I223" i="78"/>
  <c r="H223" i="78"/>
  <c r="G223" i="78"/>
  <c r="F223" i="78"/>
  <c r="E223" i="78"/>
  <c r="D223" i="78"/>
  <c r="C223" i="78"/>
  <c r="J222" i="78"/>
  <c r="I222" i="78"/>
  <c r="H222" i="78"/>
  <c r="G222" i="78"/>
  <c r="F222" i="78"/>
  <c r="E222" i="78"/>
  <c r="D222" i="78"/>
  <c r="C222" i="78"/>
  <c r="J221" i="78"/>
  <c r="I221" i="78"/>
  <c r="H221" i="78"/>
  <c r="G221" i="78"/>
  <c r="F221" i="78"/>
  <c r="E221" i="78"/>
  <c r="D221" i="78"/>
  <c r="C221" i="78"/>
  <c r="J220" i="78"/>
  <c r="I220" i="78"/>
  <c r="H220" i="78"/>
  <c r="G220" i="78"/>
  <c r="F220" i="78"/>
  <c r="E220" i="78"/>
  <c r="D220" i="78"/>
  <c r="C220" i="78"/>
  <c r="J219" i="78"/>
  <c r="I219" i="78"/>
  <c r="H219" i="78"/>
  <c r="G219" i="78"/>
  <c r="F219" i="78"/>
  <c r="E219" i="78"/>
  <c r="D219" i="78"/>
  <c r="C219" i="78"/>
  <c r="J218" i="78"/>
  <c r="I218" i="78"/>
  <c r="H218" i="78"/>
  <c r="G218" i="78"/>
  <c r="F218" i="78"/>
  <c r="E218" i="78"/>
  <c r="D218" i="78"/>
  <c r="C218" i="78"/>
  <c r="J217" i="78"/>
  <c r="I217" i="78"/>
  <c r="H217" i="78"/>
  <c r="G217" i="78"/>
  <c r="F217" i="78"/>
  <c r="E217" i="78"/>
  <c r="D217" i="78"/>
  <c r="C217" i="78"/>
  <c r="J216" i="78"/>
  <c r="I216" i="78"/>
  <c r="H216" i="78"/>
  <c r="G216" i="78"/>
  <c r="F216" i="78"/>
  <c r="E216" i="78"/>
  <c r="D216" i="78"/>
  <c r="C216" i="78"/>
  <c r="J215" i="78"/>
  <c r="I215" i="78"/>
  <c r="H215" i="78"/>
  <c r="G215" i="78"/>
  <c r="F215" i="78"/>
  <c r="E215" i="78"/>
  <c r="D215" i="78"/>
  <c r="C215" i="78"/>
  <c r="J214" i="78"/>
  <c r="I214" i="78"/>
  <c r="H214" i="78"/>
  <c r="G214" i="78"/>
  <c r="F214" i="78"/>
  <c r="E214" i="78"/>
  <c r="D214" i="78"/>
  <c r="C214" i="78"/>
  <c r="J213" i="78"/>
  <c r="I213" i="78"/>
  <c r="H213" i="78"/>
  <c r="G213" i="78"/>
  <c r="F213" i="78"/>
  <c r="E213" i="78"/>
  <c r="D213" i="78"/>
  <c r="C213" i="78"/>
  <c r="J212" i="78"/>
  <c r="I212" i="78"/>
  <c r="H212" i="78"/>
  <c r="G212" i="78"/>
  <c r="F212" i="78"/>
  <c r="E212" i="78"/>
  <c r="D212" i="78"/>
  <c r="C212" i="78"/>
  <c r="J211" i="78"/>
  <c r="I211" i="78"/>
  <c r="H211" i="78"/>
  <c r="G211" i="78"/>
  <c r="F211" i="78"/>
  <c r="E211" i="78"/>
  <c r="D211" i="78"/>
  <c r="C211" i="78"/>
  <c r="J210" i="78"/>
  <c r="I210" i="78"/>
  <c r="H210" i="78"/>
  <c r="G210" i="78"/>
  <c r="F210" i="78"/>
  <c r="E210" i="78"/>
  <c r="D210" i="78"/>
  <c r="C210" i="78"/>
  <c r="J209" i="78"/>
  <c r="I209" i="78"/>
  <c r="H209" i="78"/>
  <c r="G209" i="78"/>
  <c r="F209" i="78"/>
  <c r="E209" i="78"/>
  <c r="D209" i="78"/>
  <c r="C209" i="78"/>
  <c r="J208" i="78"/>
  <c r="I208" i="78"/>
  <c r="H208" i="78"/>
  <c r="G208" i="78"/>
  <c r="F208" i="78"/>
  <c r="E208" i="78"/>
  <c r="D208" i="78"/>
  <c r="C208" i="78"/>
  <c r="J207" i="78"/>
  <c r="I207" i="78"/>
  <c r="H207" i="78"/>
  <c r="G207" i="78"/>
  <c r="F207" i="78"/>
  <c r="E207" i="78"/>
  <c r="D207" i="78"/>
  <c r="C207" i="78"/>
  <c r="J206" i="78"/>
  <c r="I206" i="78"/>
  <c r="H206" i="78"/>
  <c r="G206" i="78"/>
  <c r="F206" i="78"/>
  <c r="E206" i="78"/>
  <c r="D206" i="78"/>
  <c r="C206" i="78"/>
  <c r="J205" i="78"/>
  <c r="I205" i="78"/>
  <c r="H205" i="78"/>
  <c r="G205" i="78"/>
  <c r="F205" i="78"/>
  <c r="E205" i="78"/>
  <c r="D205" i="78"/>
  <c r="C205" i="78"/>
  <c r="J204" i="78"/>
  <c r="I204" i="78"/>
  <c r="H204" i="78"/>
  <c r="G204" i="78"/>
  <c r="F204" i="78"/>
  <c r="E204" i="78"/>
  <c r="D204" i="78"/>
  <c r="C204" i="78"/>
  <c r="J203" i="78"/>
  <c r="I203" i="78"/>
  <c r="H203" i="78"/>
  <c r="G203" i="78"/>
  <c r="F203" i="78"/>
  <c r="E203" i="78"/>
  <c r="D203" i="78"/>
  <c r="C203" i="78"/>
  <c r="J202" i="78"/>
  <c r="I202" i="78"/>
  <c r="H202" i="78"/>
  <c r="G202" i="78"/>
  <c r="F202" i="78"/>
  <c r="E202" i="78"/>
  <c r="D202" i="78"/>
  <c r="C202" i="78"/>
  <c r="J201" i="78"/>
  <c r="I201" i="78"/>
  <c r="H201" i="78"/>
  <c r="G201" i="78"/>
  <c r="F201" i="78"/>
  <c r="E201" i="78"/>
  <c r="D201" i="78"/>
  <c r="C201" i="78"/>
  <c r="J200" i="78"/>
  <c r="I200" i="78"/>
  <c r="H200" i="78"/>
  <c r="G200" i="78"/>
  <c r="F200" i="78"/>
  <c r="E200" i="78"/>
  <c r="D200" i="78"/>
  <c r="C200" i="78"/>
  <c r="J199" i="78"/>
  <c r="I199" i="78"/>
  <c r="H199" i="78"/>
  <c r="G199" i="78"/>
  <c r="F199" i="78"/>
  <c r="E199" i="78"/>
  <c r="D199" i="78"/>
  <c r="C199" i="78"/>
  <c r="J198" i="78"/>
  <c r="I198" i="78"/>
  <c r="H198" i="78"/>
  <c r="G198" i="78"/>
  <c r="F198" i="78"/>
  <c r="E198" i="78"/>
  <c r="D198" i="78"/>
  <c r="C198" i="78"/>
  <c r="J197" i="78"/>
  <c r="I197" i="78"/>
  <c r="H197" i="78"/>
  <c r="G197" i="78"/>
  <c r="F197" i="78"/>
  <c r="E197" i="78"/>
  <c r="D197" i="78"/>
  <c r="C197" i="78"/>
  <c r="J196" i="78"/>
  <c r="I196" i="78"/>
  <c r="H196" i="78"/>
  <c r="G196" i="78"/>
  <c r="F196" i="78"/>
  <c r="E196" i="78"/>
  <c r="D196" i="78"/>
  <c r="C196" i="78"/>
  <c r="J195" i="78"/>
  <c r="I195" i="78"/>
  <c r="H195" i="78"/>
  <c r="G195" i="78"/>
  <c r="F195" i="78"/>
  <c r="E195" i="78"/>
  <c r="D195" i="78"/>
  <c r="C195" i="78"/>
  <c r="J194" i="78"/>
  <c r="I194" i="78"/>
  <c r="H194" i="78"/>
  <c r="G194" i="78"/>
  <c r="F194" i="78"/>
  <c r="E194" i="78"/>
  <c r="D194" i="78"/>
  <c r="C194" i="78"/>
  <c r="J193" i="78"/>
  <c r="I193" i="78"/>
  <c r="H193" i="78"/>
  <c r="G193" i="78"/>
  <c r="F193" i="78"/>
  <c r="E193" i="78"/>
  <c r="D193" i="78"/>
  <c r="C193" i="78"/>
  <c r="J192" i="78"/>
  <c r="I192" i="78"/>
  <c r="H192" i="78"/>
  <c r="G192" i="78"/>
  <c r="F192" i="78"/>
  <c r="E192" i="78"/>
  <c r="D192" i="78"/>
  <c r="C192" i="78"/>
  <c r="J191" i="78"/>
  <c r="I191" i="78"/>
  <c r="H191" i="78"/>
  <c r="G191" i="78"/>
  <c r="F191" i="78"/>
  <c r="E191" i="78"/>
  <c r="D191" i="78"/>
  <c r="C191" i="78"/>
  <c r="J190" i="78"/>
  <c r="I190" i="78"/>
  <c r="H190" i="78"/>
  <c r="G190" i="78"/>
  <c r="F190" i="78"/>
  <c r="E190" i="78"/>
  <c r="D190" i="78"/>
  <c r="C190" i="78"/>
  <c r="J189" i="78"/>
  <c r="I189" i="78"/>
  <c r="H189" i="78"/>
  <c r="G189" i="78"/>
  <c r="F189" i="78"/>
  <c r="E189" i="78"/>
  <c r="D189" i="78"/>
  <c r="C189" i="78"/>
  <c r="J188" i="78"/>
  <c r="I188" i="78"/>
  <c r="H188" i="78"/>
  <c r="G188" i="78"/>
  <c r="F188" i="78"/>
  <c r="E188" i="78"/>
  <c r="D188" i="78"/>
  <c r="C188" i="78"/>
  <c r="J187" i="78"/>
  <c r="I187" i="78"/>
  <c r="H187" i="78"/>
  <c r="G187" i="78"/>
  <c r="F187" i="78"/>
  <c r="E187" i="78"/>
  <c r="D187" i="78"/>
  <c r="C187" i="78"/>
  <c r="J186" i="78"/>
  <c r="I186" i="78"/>
  <c r="H186" i="78"/>
  <c r="G186" i="78"/>
  <c r="F186" i="78"/>
  <c r="E186" i="78"/>
  <c r="D186" i="78"/>
  <c r="C186" i="78"/>
  <c r="J185" i="78"/>
  <c r="I185" i="78"/>
  <c r="H185" i="78"/>
  <c r="G185" i="78"/>
  <c r="F185" i="78"/>
  <c r="E185" i="78"/>
  <c r="D185" i="78"/>
  <c r="C185" i="78"/>
  <c r="J184" i="78"/>
  <c r="I184" i="78"/>
  <c r="H184" i="78"/>
  <c r="G184" i="78"/>
  <c r="F184" i="78"/>
  <c r="E184" i="78"/>
  <c r="D184" i="78"/>
  <c r="C184" i="78"/>
  <c r="J183" i="78"/>
  <c r="I183" i="78"/>
  <c r="H183" i="78"/>
  <c r="G183" i="78"/>
  <c r="F183" i="78"/>
  <c r="E183" i="78"/>
  <c r="D183" i="78"/>
  <c r="C183" i="78"/>
  <c r="J182" i="78"/>
  <c r="I182" i="78"/>
  <c r="H182" i="78"/>
  <c r="G182" i="78"/>
  <c r="F182" i="78"/>
  <c r="E182" i="78"/>
  <c r="D182" i="78"/>
  <c r="C182" i="78"/>
  <c r="J181" i="78"/>
  <c r="I181" i="78"/>
  <c r="H181" i="78"/>
  <c r="G181" i="78"/>
  <c r="F181" i="78"/>
  <c r="E181" i="78"/>
  <c r="D181" i="78"/>
  <c r="C181" i="78"/>
  <c r="J180" i="78"/>
  <c r="I180" i="78"/>
  <c r="H180" i="78"/>
  <c r="G180" i="78"/>
  <c r="F180" i="78"/>
  <c r="E180" i="78"/>
  <c r="D180" i="78"/>
  <c r="C180" i="78"/>
  <c r="J179" i="78"/>
  <c r="I179" i="78"/>
  <c r="H179" i="78"/>
  <c r="G179" i="78"/>
  <c r="F179" i="78"/>
  <c r="E179" i="78"/>
  <c r="D179" i="78"/>
  <c r="C179" i="78"/>
  <c r="J178" i="78"/>
  <c r="I178" i="78"/>
  <c r="H178" i="78"/>
  <c r="G178" i="78"/>
  <c r="F178" i="78"/>
  <c r="E178" i="78"/>
  <c r="D178" i="78"/>
  <c r="C178" i="78"/>
  <c r="J177" i="78"/>
  <c r="I177" i="78"/>
  <c r="H177" i="78"/>
  <c r="G177" i="78"/>
  <c r="F177" i="78"/>
  <c r="E177" i="78"/>
  <c r="D177" i="78"/>
  <c r="C177" i="78"/>
  <c r="J176" i="78"/>
  <c r="I176" i="78"/>
  <c r="H176" i="78"/>
  <c r="G176" i="78"/>
  <c r="F176" i="78"/>
  <c r="E176" i="78"/>
  <c r="D176" i="78"/>
  <c r="C176" i="78"/>
  <c r="J175" i="78"/>
  <c r="I175" i="78"/>
  <c r="H175" i="78"/>
  <c r="G175" i="78"/>
  <c r="F175" i="78"/>
  <c r="E175" i="78"/>
  <c r="D175" i="78"/>
  <c r="C175" i="78"/>
  <c r="J174" i="78"/>
  <c r="I174" i="78"/>
  <c r="H174" i="78"/>
  <c r="G174" i="78"/>
  <c r="F174" i="78"/>
  <c r="E174" i="78"/>
  <c r="D174" i="78"/>
  <c r="C174" i="78"/>
  <c r="J173" i="78"/>
  <c r="I173" i="78"/>
  <c r="H173" i="78"/>
  <c r="G173" i="78"/>
  <c r="F173" i="78"/>
  <c r="E173" i="78"/>
  <c r="D173" i="78"/>
  <c r="C173" i="78"/>
  <c r="J172" i="78"/>
  <c r="I172" i="78"/>
  <c r="H172" i="78"/>
  <c r="G172" i="78"/>
  <c r="F172" i="78"/>
  <c r="E172" i="78"/>
  <c r="D172" i="78"/>
  <c r="C172" i="78"/>
  <c r="J171" i="78"/>
  <c r="I171" i="78"/>
  <c r="H171" i="78"/>
  <c r="G171" i="78"/>
  <c r="F171" i="78"/>
  <c r="E171" i="78"/>
  <c r="D171" i="78"/>
  <c r="C171" i="78"/>
  <c r="J170" i="78"/>
  <c r="I170" i="78"/>
  <c r="H170" i="78"/>
  <c r="G170" i="78"/>
  <c r="F170" i="78"/>
  <c r="E170" i="78"/>
  <c r="D170" i="78"/>
  <c r="C170" i="78"/>
  <c r="J169" i="78"/>
  <c r="I169" i="78"/>
  <c r="H169" i="78"/>
  <c r="G169" i="78"/>
  <c r="F169" i="78"/>
  <c r="E169" i="78"/>
  <c r="D169" i="78"/>
  <c r="C169" i="78"/>
  <c r="J168" i="78"/>
  <c r="I168" i="78"/>
  <c r="H168" i="78"/>
  <c r="G168" i="78"/>
  <c r="F168" i="78"/>
  <c r="E168" i="78"/>
  <c r="D168" i="78"/>
  <c r="C168" i="78"/>
  <c r="J167" i="78"/>
  <c r="I167" i="78"/>
  <c r="H167" i="78"/>
  <c r="G167" i="78"/>
  <c r="F167" i="78"/>
  <c r="E167" i="78"/>
  <c r="D167" i="78"/>
  <c r="C167" i="78"/>
  <c r="J166" i="78"/>
  <c r="I166" i="78"/>
  <c r="H166" i="78"/>
  <c r="G166" i="78"/>
  <c r="F166" i="78"/>
  <c r="E166" i="78"/>
  <c r="D166" i="78"/>
  <c r="C166" i="78"/>
  <c r="J165" i="78"/>
  <c r="I165" i="78"/>
  <c r="H165" i="78"/>
  <c r="G165" i="78"/>
  <c r="F165" i="78"/>
  <c r="E165" i="78"/>
  <c r="D165" i="78"/>
  <c r="C165" i="78"/>
  <c r="J164" i="78"/>
  <c r="I164" i="78"/>
  <c r="H164" i="78"/>
  <c r="G164" i="78"/>
  <c r="F164" i="78"/>
  <c r="E164" i="78"/>
  <c r="D164" i="78"/>
  <c r="C164" i="78"/>
  <c r="J163" i="78"/>
  <c r="I163" i="78"/>
  <c r="H163" i="78"/>
  <c r="G163" i="78"/>
  <c r="F163" i="78"/>
  <c r="E163" i="78"/>
  <c r="D163" i="78"/>
  <c r="C163" i="78"/>
  <c r="J162" i="78"/>
  <c r="I162" i="78"/>
  <c r="H162" i="78"/>
  <c r="G162" i="78"/>
  <c r="F162" i="78"/>
  <c r="E162" i="78"/>
  <c r="D162" i="78"/>
  <c r="C162" i="78"/>
  <c r="J161" i="78"/>
  <c r="I161" i="78"/>
  <c r="H161" i="78"/>
  <c r="G161" i="78"/>
  <c r="F161" i="78"/>
  <c r="E161" i="78"/>
  <c r="D161" i="78"/>
  <c r="C161" i="78"/>
  <c r="J160" i="78"/>
  <c r="I160" i="78"/>
  <c r="H160" i="78"/>
  <c r="G160" i="78"/>
  <c r="F160" i="78"/>
  <c r="E160" i="78"/>
  <c r="D160" i="78"/>
  <c r="C160" i="78"/>
  <c r="J159" i="78"/>
  <c r="I159" i="78"/>
  <c r="H159" i="78"/>
  <c r="G159" i="78"/>
  <c r="F159" i="78"/>
  <c r="E159" i="78"/>
  <c r="D159" i="78"/>
  <c r="C159" i="78"/>
  <c r="J158" i="78"/>
  <c r="I158" i="78"/>
  <c r="H158" i="78"/>
  <c r="G158" i="78"/>
  <c r="F158" i="78"/>
  <c r="E158" i="78"/>
  <c r="D158" i="78"/>
  <c r="C158" i="78"/>
  <c r="J157" i="78"/>
  <c r="I157" i="78"/>
  <c r="H157" i="78"/>
  <c r="G157" i="78"/>
  <c r="F157" i="78"/>
  <c r="E157" i="78"/>
  <c r="D157" i="78"/>
  <c r="C157" i="78"/>
  <c r="J156" i="78"/>
  <c r="I156" i="78"/>
  <c r="H156" i="78"/>
  <c r="G156" i="78"/>
  <c r="F156" i="78"/>
  <c r="E156" i="78"/>
  <c r="D156" i="78"/>
  <c r="C156" i="78"/>
  <c r="J155" i="78"/>
  <c r="I155" i="78"/>
  <c r="H155" i="78"/>
  <c r="G155" i="78"/>
  <c r="F155" i="78"/>
  <c r="E155" i="78"/>
  <c r="D155" i="78"/>
  <c r="C155" i="78"/>
  <c r="J154" i="78"/>
  <c r="I154" i="78"/>
  <c r="H154" i="78"/>
  <c r="G154" i="78"/>
  <c r="F154" i="78"/>
  <c r="E154" i="78"/>
  <c r="D154" i="78"/>
  <c r="C154" i="78"/>
  <c r="J153" i="78"/>
  <c r="I153" i="78"/>
  <c r="H153" i="78"/>
  <c r="G153" i="78"/>
  <c r="F153" i="78"/>
  <c r="E153" i="78"/>
  <c r="D153" i="78"/>
  <c r="C153" i="78"/>
  <c r="J152" i="78"/>
  <c r="I152" i="78"/>
  <c r="H152" i="78"/>
  <c r="G152" i="78"/>
  <c r="F152" i="78"/>
  <c r="E152" i="78"/>
  <c r="D152" i="78"/>
  <c r="C152" i="78"/>
  <c r="J151" i="78"/>
  <c r="I151" i="78"/>
  <c r="H151" i="78"/>
  <c r="G151" i="78"/>
  <c r="F151" i="78"/>
  <c r="E151" i="78"/>
  <c r="D151" i="78"/>
  <c r="C151" i="78"/>
  <c r="J150" i="78"/>
  <c r="I150" i="78"/>
  <c r="H150" i="78"/>
  <c r="G150" i="78"/>
  <c r="F150" i="78"/>
  <c r="E150" i="78"/>
  <c r="D150" i="78"/>
  <c r="C150" i="78"/>
  <c r="J149" i="78"/>
  <c r="I149" i="78"/>
  <c r="H149" i="78"/>
  <c r="G149" i="78"/>
  <c r="F149" i="78"/>
  <c r="E149" i="78"/>
  <c r="D149" i="78"/>
  <c r="C149" i="78"/>
  <c r="J148" i="78"/>
  <c r="I148" i="78"/>
  <c r="H148" i="78"/>
  <c r="G148" i="78"/>
  <c r="F148" i="78"/>
  <c r="E148" i="78"/>
  <c r="D148" i="78"/>
  <c r="C148" i="78"/>
  <c r="J147" i="78"/>
  <c r="I147" i="78"/>
  <c r="H147" i="78"/>
  <c r="G147" i="78"/>
  <c r="F147" i="78"/>
  <c r="E147" i="78"/>
  <c r="D147" i="78"/>
  <c r="C147" i="78"/>
  <c r="J146" i="78"/>
  <c r="I146" i="78"/>
  <c r="H146" i="78"/>
  <c r="G146" i="78"/>
  <c r="F146" i="78"/>
  <c r="E146" i="78"/>
  <c r="D146" i="78"/>
  <c r="C146" i="78"/>
  <c r="J145" i="78"/>
  <c r="I145" i="78"/>
  <c r="H145" i="78"/>
  <c r="G145" i="78"/>
  <c r="F145" i="78"/>
  <c r="E145" i="78"/>
  <c r="D145" i="78"/>
  <c r="C145" i="78"/>
  <c r="J144" i="78"/>
  <c r="I144" i="78"/>
  <c r="H144" i="78"/>
  <c r="G144" i="78"/>
  <c r="F144" i="78"/>
  <c r="E144" i="78"/>
  <c r="D144" i="78"/>
  <c r="C144" i="78"/>
  <c r="J143" i="78"/>
  <c r="I143" i="78"/>
  <c r="H143" i="78"/>
  <c r="G143" i="78"/>
  <c r="F143" i="78"/>
  <c r="E143" i="78"/>
  <c r="D143" i="78"/>
  <c r="C143" i="78"/>
  <c r="J142" i="78"/>
  <c r="I142" i="78"/>
  <c r="H142" i="78"/>
  <c r="G142" i="78"/>
  <c r="F142" i="78"/>
  <c r="E142" i="78"/>
  <c r="D142" i="78"/>
  <c r="C142" i="78"/>
  <c r="J141" i="78"/>
  <c r="I141" i="78"/>
  <c r="H141" i="78"/>
  <c r="G141" i="78"/>
  <c r="F141" i="78"/>
  <c r="E141" i="78"/>
  <c r="D141" i="78"/>
  <c r="C141" i="78"/>
  <c r="J140" i="78"/>
  <c r="I140" i="78"/>
  <c r="H140" i="78"/>
  <c r="G140" i="78"/>
  <c r="F140" i="78"/>
  <c r="E140" i="78"/>
  <c r="D140" i="78"/>
  <c r="C140" i="78"/>
  <c r="J139" i="78"/>
  <c r="I139" i="78"/>
  <c r="H139" i="78"/>
  <c r="G139" i="78"/>
  <c r="F139" i="78"/>
  <c r="E139" i="78"/>
  <c r="D139" i="78"/>
  <c r="C139" i="78"/>
  <c r="J138" i="78"/>
  <c r="I138" i="78"/>
  <c r="H138" i="78"/>
  <c r="G138" i="78"/>
  <c r="F138" i="78"/>
  <c r="E138" i="78"/>
  <c r="D138" i="78"/>
  <c r="C138" i="78"/>
  <c r="J137" i="78"/>
  <c r="I137" i="78"/>
  <c r="H137" i="78"/>
  <c r="G137" i="78"/>
  <c r="F137" i="78"/>
  <c r="E137" i="78"/>
  <c r="D137" i="78"/>
  <c r="C137" i="78"/>
  <c r="J136" i="78"/>
  <c r="I136" i="78"/>
  <c r="H136" i="78"/>
  <c r="G136" i="78"/>
  <c r="F136" i="78"/>
  <c r="E136" i="78"/>
  <c r="D136" i="78"/>
  <c r="C136" i="78"/>
  <c r="J135" i="78"/>
  <c r="I135" i="78"/>
  <c r="H135" i="78"/>
  <c r="G135" i="78"/>
  <c r="F135" i="78"/>
  <c r="E135" i="78"/>
  <c r="D135" i="78"/>
  <c r="C135" i="78"/>
  <c r="J134" i="78"/>
  <c r="I134" i="78"/>
  <c r="H134" i="78"/>
  <c r="G134" i="78"/>
  <c r="F134" i="78"/>
  <c r="E134" i="78"/>
  <c r="D134" i="78"/>
  <c r="C134" i="78"/>
  <c r="J133" i="78"/>
  <c r="I133" i="78"/>
  <c r="H133" i="78"/>
  <c r="G133" i="78"/>
  <c r="F133" i="78"/>
  <c r="E133" i="78"/>
  <c r="D133" i="78"/>
  <c r="C133" i="78"/>
  <c r="J132" i="78"/>
  <c r="I132" i="78"/>
  <c r="H132" i="78"/>
  <c r="G132" i="78"/>
  <c r="F132" i="78"/>
  <c r="E132" i="78"/>
  <c r="D132" i="78"/>
  <c r="C132" i="78"/>
  <c r="J131" i="78"/>
  <c r="I131" i="78"/>
  <c r="H131" i="78"/>
  <c r="G131" i="78"/>
  <c r="F131" i="78"/>
  <c r="E131" i="78"/>
  <c r="D131" i="78"/>
  <c r="C131" i="78"/>
  <c r="J130" i="78"/>
  <c r="I130" i="78"/>
  <c r="H130" i="78"/>
  <c r="G130" i="78"/>
  <c r="F130" i="78"/>
  <c r="E130" i="78"/>
  <c r="D130" i="78"/>
  <c r="C130" i="78"/>
  <c r="J129" i="78"/>
  <c r="I129" i="78"/>
  <c r="H129" i="78"/>
  <c r="G129" i="78"/>
  <c r="F129" i="78"/>
  <c r="E129" i="78"/>
  <c r="D129" i="78"/>
  <c r="C129" i="78"/>
  <c r="J128" i="78"/>
  <c r="I128" i="78"/>
  <c r="H128" i="78"/>
  <c r="G128" i="78"/>
  <c r="F128" i="78"/>
  <c r="E128" i="78"/>
  <c r="D128" i="78"/>
  <c r="C128" i="78"/>
  <c r="J127" i="78"/>
  <c r="I127" i="78"/>
  <c r="H127" i="78"/>
  <c r="G127" i="78"/>
  <c r="F127" i="78"/>
  <c r="E127" i="78"/>
  <c r="D127" i="78"/>
  <c r="C127" i="78"/>
  <c r="J126" i="78"/>
  <c r="I126" i="78"/>
  <c r="H126" i="78"/>
  <c r="G126" i="78"/>
  <c r="F126" i="78"/>
  <c r="E126" i="78"/>
  <c r="D126" i="78"/>
  <c r="C126" i="78"/>
  <c r="J125" i="78"/>
  <c r="I125" i="78"/>
  <c r="H125" i="78"/>
  <c r="G125" i="78"/>
  <c r="F125" i="78"/>
  <c r="E125" i="78"/>
  <c r="D125" i="78"/>
  <c r="C125" i="78"/>
  <c r="J124" i="78"/>
  <c r="I124" i="78"/>
  <c r="H124" i="78"/>
  <c r="G124" i="78"/>
  <c r="F124" i="78"/>
  <c r="E124" i="78"/>
  <c r="D124" i="78"/>
  <c r="C124" i="78"/>
  <c r="J123" i="78"/>
  <c r="I123" i="78"/>
  <c r="H123" i="78"/>
  <c r="G123" i="78"/>
  <c r="F123" i="78"/>
  <c r="E123" i="78"/>
  <c r="D123" i="78"/>
  <c r="C123" i="78"/>
  <c r="J122" i="78"/>
  <c r="I122" i="78"/>
  <c r="H122" i="78"/>
  <c r="G122" i="78"/>
  <c r="F122" i="78"/>
  <c r="E122" i="78"/>
  <c r="D122" i="78"/>
  <c r="C122" i="78"/>
  <c r="J121" i="78"/>
  <c r="I121" i="78"/>
  <c r="H121" i="78"/>
  <c r="G121" i="78"/>
  <c r="F121" i="78"/>
  <c r="E121" i="78"/>
  <c r="D121" i="78"/>
  <c r="C121" i="78"/>
  <c r="J120" i="78"/>
  <c r="I120" i="78"/>
  <c r="H120" i="78"/>
  <c r="G120" i="78"/>
  <c r="F120" i="78"/>
  <c r="E120" i="78"/>
  <c r="D120" i="78"/>
  <c r="C120" i="78"/>
  <c r="J119" i="78"/>
  <c r="I119" i="78"/>
  <c r="H119" i="78"/>
  <c r="G119" i="78"/>
  <c r="F119" i="78"/>
  <c r="E119" i="78"/>
  <c r="D119" i="78"/>
  <c r="C119" i="78"/>
  <c r="J118" i="78"/>
  <c r="I118" i="78"/>
  <c r="H118" i="78"/>
  <c r="G118" i="78"/>
  <c r="F118" i="78"/>
  <c r="E118" i="78"/>
  <c r="D118" i="78"/>
  <c r="C118" i="78"/>
  <c r="J117" i="78"/>
  <c r="I117" i="78"/>
  <c r="H117" i="78"/>
  <c r="G117" i="78"/>
  <c r="F117" i="78"/>
  <c r="E117" i="78"/>
  <c r="D117" i="78"/>
  <c r="C117" i="78"/>
  <c r="J116" i="78"/>
  <c r="I116" i="78"/>
  <c r="H116" i="78"/>
  <c r="G116" i="78"/>
  <c r="F116" i="78"/>
  <c r="E116" i="78"/>
  <c r="D116" i="78"/>
  <c r="C116" i="78"/>
  <c r="J115" i="78"/>
  <c r="I115" i="78"/>
  <c r="H115" i="78"/>
  <c r="G115" i="78"/>
  <c r="F115" i="78"/>
  <c r="E115" i="78"/>
  <c r="D115" i="78"/>
  <c r="C115" i="78"/>
  <c r="J114" i="78"/>
  <c r="I114" i="78"/>
  <c r="H114" i="78"/>
  <c r="G114" i="78"/>
  <c r="F114" i="78"/>
  <c r="E114" i="78"/>
  <c r="D114" i="78"/>
  <c r="C114" i="78"/>
  <c r="J113" i="78"/>
  <c r="I113" i="78"/>
  <c r="H113" i="78"/>
  <c r="G113" i="78"/>
  <c r="F113" i="78"/>
  <c r="E113" i="78"/>
  <c r="D113" i="78"/>
  <c r="C113" i="78"/>
  <c r="J112" i="78"/>
  <c r="I112" i="78"/>
  <c r="H112" i="78"/>
  <c r="G112" i="78"/>
  <c r="F112" i="78"/>
  <c r="E112" i="78"/>
  <c r="D112" i="78"/>
  <c r="C112" i="78"/>
  <c r="J111" i="78"/>
  <c r="I111" i="78"/>
  <c r="H111" i="78"/>
  <c r="G111" i="78"/>
  <c r="F111" i="78"/>
  <c r="E111" i="78"/>
  <c r="D111" i="78"/>
  <c r="C111" i="78"/>
  <c r="J110" i="78"/>
  <c r="I110" i="78"/>
  <c r="H110" i="78"/>
  <c r="G110" i="78"/>
  <c r="F110" i="78"/>
  <c r="E110" i="78"/>
  <c r="D110" i="78"/>
  <c r="C110" i="78"/>
  <c r="J109" i="78"/>
  <c r="I109" i="78"/>
  <c r="H109" i="78"/>
  <c r="G109" i="78"/>
  <c r="F109" i="78"/>
  <c r="E109" i="78"/>
  <c r="D109" i="78"/>
  <c r="C109" i="78"/>
  <c r="J108" i="78"/>
  <c r="I108" i="78"/>
  <c r="H108" i="78"/>
  <c r="G108" i="78"/>
  <c r="F108" i="78"/>
  <c r="E108" i="78"/>
  <c r="D108" i="78"/>
  <c r="C108" i="78"/>
  <c r="J107" i="78"/>
  <c r="I107" i="78"/>
  <c r="H107" i="78"/>
  <c r="G107" i="78"/>
  <c r="F107" i="78"/>
  <c r="E107" i="78"/>
  <c r="D107" i="78"/>
  <c r="C107" i="78"/>
  <c r="J106" i="78"/>
  <c r="I106" i="78"/>
  <c r="H106" i="78"/>
  <c r="G106" i="78"/>
  <c r="F106" i="78"/>
  <c r="E106" i="78"/>
  <c r="D106" i="78"/>
  <c r="C106" i="78"/>
  <c r="J105" i="78"/>
  <c r="I105" i="78"/>
  <c r="H105" i="78"/>
  <c r="G105" i="78"/>
  <c r="F105" i="78"/>
  <c r="E105" i="78"/>
  <c r="D105" i="78"/>
  <c r="C105" i="78"/>
  <c r="J104" i="78"/>
  <c r="I104" i="78"/>
  <c r="H104" i="78"/>
  <c r="G104" i="78"/>
  <c r="F104" i="78"/>
  <c r="E104" i="78"/>
  <c r="D104" i="78"/>
  <c r="C104" i="78"/>
  <c r="J103" i="78"/>
  <c r="I103" i="78"/>
  <c r="H103" i="78"/>
  <c r="G103" i="78"/>
  <c r="F103" i="78"/>
  <c r="E103" i="78"/>
  <c r="D103" i="78"/>
  <c r="C103" i="78"/>
  <c r="J102" i="78"/>
  <c r="I102" i="78"/>
  <c r="H102" i="78"/>
  <c r="G102" i="78"/>
  <c r="F102" i="78"/>
  <c r="E102" i="78"/>
  <c r="D102" i="78"/>
  <c r="C102" i="78"/>
  <c r="J101" i="78"/>
  <c r="I101" i="78"/>
  <c r="H101" i="78"/>
  <c r="G101" i="78"/>
  <c r="F101" i="78"/>
  <c r="E101" i="78"/>
  <c r="D101" i="78"/>
  <c r="C101" i="78"/>
  <c r="J100" i="78"/>
  <c r="I100" i="78"/>
  <c r="H100" i="78"/>
  <c r="G100" i="78"/>
  <c r="F100" i="78"/>
  <c r="E100" i="78"/>
  <c r="D100" i="78"/>
  <c r="C100" i="78"/>
  <c r="J99" i="78"/>
  <c r="I99" i="78"/>
  <c r="H99" i="78"/>
  <c r="G99" i="78"/>
  <c r="F99" i="78"/>
  <c r="E99" i="78"/>
  <c r="D99" i="78"/>
  <c r="C99" i="78"/>
  <c r="J98" i="78"/>
  <c r="I98" i="78"/>
  <c r="H98" i="78"/>
  <c r="G98" i="78"/>
  <c r="F98" i="78"/>
  <c r="E98" i="78"/>
  <c r="D98" i="78"/>
  <c r="C98" i="78"/>
  <c r="J97" i="78"/>
  <c r="I97" i="78"/>
  <c r="H97" i="78"/>
  <c r="G97" i="78"/>
  <c r="F97" i="78"/>
  <c r="E97" i="78"/>
  <c r="D97" i="78"/>
  <c r="C97" i="78"/>
  <c r="J96" i="78"/>
  <c r="I96" i="78"/>
  <c r="H96" i="78"/>
  <c r="G96" i="78"/>
  <c r="F96" i="78"/>
  <c r="E96" i="78"/>
  <c r="D96" i="78"/>
  <c r="C96" i="78"/>
  <c r="J95" i="78"/>
  <c r="I95" i="78"/>
  <c r="H95" i="78"/>
  <c r="G95" i="78"/>
  <c r="F95" i="78"/>
  <c r="E95" i="78"/>
  <c r="D95" i="78"/>
  <c r="C95" i="78"/>
  <c r="J94" i="78"/>
  <c r="I94" i="78"/>
  <c r="H94" i="78"/>
  <c r="G94" i="78"/>
  <c r="F94" i="78"/>
  <c r="E94" i="78"/>
  <c r="D94" i="78"/>
  <c r="C94" i="78"/>
  <c r="J93" i="78"/>
  <c r="I93" i="78"/>
  <c r="H93" i="78"/>
  <c r="G93" i="78"/>
  <c r="F93" i="78"/>
  <c r="E93" i="78"/>
  <c r="D93" i="78"/>
  <c r="C93" i="78"/>
  <c r="J92" i="78"/>
  <c r="I92" i="78"/>
  <c r="H92" i="78"/>
  <c r="G92" i="78"/>
  <c r="F92" i="78"/>
  <c r="E92" i="78"/>
  <c r="D92" i="78"/>
  <c r="C92" i="78"/>
  <c r="J91" i="78"/>
  <c r="I91" i="78"/>
  <c r="H91" i="78"/>
  <c r="G91" i="78"/>
  <c r="F91" i="78"/>
  <c r="E91" i="78"/>
  <c r="D91" i="78"/>
  <c r="C91" i="78"/>
  <c r="J90" i="78"/>
  <c r="I90" i="78"/>
  <c r="H90" i="78"/>
  <c r="G90" i="78"/>
  <c r="F90" i="78"/>
  <c r="E90" i="78"/>
  <c r="D90" i="78"/>
  <c r="C90" i="78"/>
  <c r="J89" i="78"/>
  <c r="I89" i="78"/>
  <c r="H89" i="78"/>
  <c r="G89" i="78"/>
  <c r="F89" i="78"/>
  <c r="E89" i="78"/>
  <c r="D89" i="78"/>
  <c r="C89" i="78"/>
  <c r="J88" i="78"/>
  <c r="I88" i="78"/>
  <c r="H88" i="78"/>
  <c r="G88" i="78"/>
  <c r="F88" i="78"/>
  <c r="E88" i="78"/>
  <c r="D88" i="78"/>
  <c r="C88" i="78"/>
  <c r="J87" i="78"/>
  <c r="I87" i="78"/>
  <c r="H87" i="78"/>
  <c r="G87" i="78"/>
  <c r="F87" i="78"/>
  <c r="E87" i="78"/>
  <c r="D87" i="78"/>
  <c r="C87" i="78"/>
  <c r="J86" i="78"/>
  <c r="I86" i="78"/>
  <c r="H86" i="78"/>
  <c r="G86" i="78"/>
  <c r="F86" i="78"/>
  <c r="E86" i="78"/>
  <c r="D86" i="78"/>
  <c r="C86" i="78"/>
  <c r="J85" i="78"/>
  <c r="I85" i="78"/>
  <c r="H85" i="78"/>
  <c r="G85" i="78"/>
  <c r="F85" i="78"/>
  <c r="E85" i="78"/>
  <c r="D85" i="78"/>
  <c r="C85" i="78"/>
  <c r="J84" i="78"/>
  <c r="I84" i="78"/>
  <c r="H84" i="78"/>
  <c r="G84" i="78"/>
  <c r="F84" i="78"/>
  <c r="E84" i="78"/>
  <c r="D84" i="78"/>
  <c r="C84" i="78"/>
  <c r="J83" i="78"/>
  <c r="I83" i="78"/>
  <c r="H83" i="78"/>
  <c r="G83" i="78"/>
  <c r="F83" i="78"/>
  <c r="E83" i="78"/>
  <c r="D83" i="78"/>
  <c r="C83" i="78"/>
  <c r="J82" i="78"/>
  <c r="I82" i="78"/>
  <c r="H82" i="78"/>
  <c r="G82" i="78"/>
  <c r="F82" i="78"/>
  <c r="E82" i="78"/>
  <c r="D82" i="78"/>
  <c r="C82" i="78"/>
  <c r="J81" i="78"/>
  <c r="I81" i="78"/>
  <c r="H81" i="78"/>
  <c r="G81" i="78"/>
  <c r="F81" i="78"/>
  <c r="E81" i="78"/>
  <c r="D81" i="78"/>
  <c r="C81" i="78"/>
  <c r="J80" i="78"/>
  <c r="I80" i="78"/>
  <c r="H80" i="78"/>
  <c r="G80" i="78"/>
  <c r="F80" i="78"/>
  <c r="E80" i="78"/>
  <c r="D80" i="78"/>
  <c r="C80" i="78"/>
  <c r="J79" i="78"/>
  <c r="I79" i="78"/>
  <c r="H79" i="78"/>
  <c r="G79" i="78"/>
  <c r="F79" i="78"/>
  <c r="E79" i="78"/>
  <c r="D79" i="78"/>
  <c r="C79" i="78"/>
  <c r="J78" i="78"/>
  <c r="I78" i="78"/>
  <c r="H78" i="78"/>
  <c r="G78" i="78"/>
  <c r="F78" i="78"/>
  <c r="E78" i="78"/>
  <c r="D78" i="78"/>
  <c r="C78" i="78"/>
  <c r="J77" i="78"/>
  <c r="I77" i="78"/>
  <c r="H77" i="78"/>
  <c r="G77" i="78"/>
  <c r="F77" i="78"/>
  <c r="E77" i="78"/>
  <c r="D77" i="78"/>
  <c r="C77" i="78"/>
  <c r="J76" i="78"/>
  <c r="I76" i="78"/>
  <c r="H76" i="78"/>
  <c r="G76" i="78"/>
  <c r="F76" i="78"/>
  <c r="E76" i="78"/>
  <c r="D76" i="78"/>
  <c r="C76" i="78"/>
  <c r="J75" i="78"/>
  <c r="I75" i="78"/>
  <c r="H75" i="78"/>
  <c r="G75" i="78"/>
  <c r="F75" i="78"/>
  <c r="E75" i="78"/>
  <c r="D75" i="78"/>
  <c r="C75" i="78"/>
  <c r="J74" i="78"/>
  <c r="I74" i="78"/>
  <c r="H74" i="78"/>
  <c r="G74" i="78"/>
  <c r="F74" i="78"/>
  <c r="E74" i="78"/>
  <c r="D74" i="78"/>
  <c r="C74" i="78"/>
  <c r="J73" i="78"/>
  <c r="I73" i="78"/>
  <c r="H73" i="78"/>
  <c r="G73" i="78"/>
  <c r="F73" i="78"/>
  <c r="E73" i="78"/>
  <c r="D73" i="78"/>
  <c r="C73" i="78"/>
  <c r="J72" i="78"/>
  <c r="I72" i="78"/>
  <c r="H72" i="78"/>
  <c r="G72" i="78"/>
  <c r="F72" i="78"/>
  <c r="E72" i="78"/>
  <c r="D72" i="78"/>
  <c r="C72" i="78"/>
  <c r="J71" i="78"/>
  <c r="I71" i="78"/>
  <c r="H71" i="78"/>
  <c r="G71" i="78"/>
  <c r="F71" i="78"/>
  <c r="E71" i="78"/>
  <c r="D71" i="78"/>
  <c r="C71" i="78"/>
  <c r="J70" i="78"/>
  <c r="I70" i="78"/>
  <c r="H70" i="78"/>
  <c r="G70" i="78"/>
  <c r="F70" i="78"/>
  <c r="E70" i="78"/>
  <c r="D70" i="78"/>
  <c r="C70" i="78"/>
  <c r="J69" i="78"/>
  <c r="I69" i="78"/>
  <c r="H69" i="78"/>
  <c r="G69" i="78"/>
  <c r="F69" i="78"/>
  <c r="E69" i="78"/>
  <c r="D69" i="78"/>
  <c r="C69" i="78"/>
  <c r="J68" i="78"/>
  <c r="I68" i="78"/>
  <c r="H68" i="78"/>
  <c r="G68" i="78"/>
  <c r="F68" i="78"/>
  <c r="E68" i="78"/>
  <c r="D68" i="78"/>
  <c r="C68" i="78"/>
  <c r="J67" i="78"/>
  <c r="I67" i="78"/>
  <c r="H67" i="78"/>
  <c r="G67" i="78"/>
  <c r="F67" i="78"/>
  <c r="E67" i="78"/>
  <c r="D67" i="78"/>
  <c r="C67" i="78"/>
  <c r="J66" i="78"/>
  <c r="I66" i="78"/>
  <c r="H66" i="78"/>
  <c r="G66" i="78"/>
  <c r="F66" i="78"/>
  <c r="E66" i="78"/>
  <c r="D66" i="78"/>
  <c r="C66" i="78"/>
  <c r="J65" i="78"/>
  <c r="I65" i="78"/>
  <c r="H65" i="78"/>
  <c r="G65" i="78"/>
  <c r="F65" i="78"/>
  <c r="E65" i="78"/>
  <c r="D65" i="78"/>
  <c r="C65" i="78"/>
  <c r="J64" i="78"/>
  <c r="I64" i="78"/>
  <c r="H64" i="78"/>
  <c r="G64" i="78"/>
  <c r="F64" i="78"/>
  <c r="E64" i="78"/>
  <c r="D64" i="78"/>
  <c r="C64" i="78"/>
  <c r="J63" i="78"/>
  <c r="I63" i="78"/>
  <c r="H63" i="78"/>
  <c r="G63" i="78"/>
  <c r="F63" i="78"/>
  <c r="E63" i="78"/>
  <c r="D63" i="78"/>
  <c r="C63" i="78"/>
  <c r="J62" i="78"/>
  <c r="I62" i="78"/>
  <c r="H62" i="78"/>
  <c r="G62" i="78"/>
  <c r="F62" i="78"/>
  <c r="E62" i="78"/>
  <c r="D62" i="78"/>
  <c r="C62" i="78"/>
  <c r="J61" i="78"/>
  <c r="I61" i="78"/>
  <c r="H61" i="78"/>
  <c r="G61" i="78"/>
  <c r="F61" i="78"/>
  <c r="E61" i="78"/>
  <c r="D61" i="78"/>
  <c r="C61" i="78"/>
  <c r="J60" i="78"/>
  <c r="I60" i="78"/>
  <c r="H60" i="78"/>
  <c r="G60" i="78"/>
  <c r="F60" i="78"/>
  <c r="E60" i="78"/>
  <c r="D60" i="78"/>
  <c r="C60" i="78"/>
  <c r="J59" i="78"/>
  <c r="I59" i="78"/>
  <c r="H59" i="78"/>
  <c r="G59" i="78"/>
  <c r="F59" i="78"/>
  <c r="E59" i="78"/>
  <c r="D59" i="78"/>
  <c r="C59" i="78"/>
  <c r="J58" i="78"/>
  <c r="I58" i="78"/>
  <c r="H58" i="78"/>
  <c r="G58" i="78"/>
  <c r="F58" i="78"/>
  <c r="E58" i="78"/>
  <c r="D58" i="78"/>
  <c r="C58" i="78"/>
  <c r="J57" i="78"/>
  <c r="I57" i="78"/>
  <c r="H57" i="78"/>
  <c r="G57" i="78"/>
  <c r="F57" i="78"/>
  <c r="E57" i="78"/>
  <c r="D57" i="78"/>
  <c r="C57" i="78"/>
  <c r="J56" i="78"/>
  <c r="I56" i="78"/>
  <c r="H56" i="78"/>
  <c r="G56" i="78"/>
  <c r="F56" i="78"/>
  <c r="E56" i="78"/>
  <c r="D56" i="78"/>
  <c r="C56" i="78"/>
  <c r="J55" i="78"/>
  <c r="I55" i="78"/>
  <c r="H55" i="78"/>
  <c r="G55" i="78"/>
  <c r="F55" i="78"/>
  <c r="E55" i="78"/>
  <c r="D55" i="78"/>
  <c r="C55" i="78"/>
  <c r="J54" i="78"/>
  <c r="I54" i="78"/>
  <c r="H54" i="78"/>
  <c r="G54" i="78"/>
  <c r="F54" i="78"/>
  <c r="E54" i="78"/>
  <c r="D54" i="78"/>
  <c r="C54" i="78"/>
  <c r="J53" i="78"/>
  <c r="I53" i="78"/>
  <c r="H53" i="78"/>
  <c r="G53" i="78"/>
  <c r="F53" i="78"/>
  <c r="E53" i="78"/>
  <c r="D53" i="78"/>
  <c r="C53" i="78"/>
  <c r="J52" i="78"/>
  <c r="I52" i="78"/>
  <c r="H52" i="78"/>
  <c r="G52" i="78"/>
  <c r="F52" i="78"/>
  <c r="E52" i="78"/>
  <c r="D52" i="78"/>
  <c r="C52" i="78"/>
  <c r="J51" i="78"/>
  <c r="I51" i="78"/>
  <c r="H51" i="78"/>
  <c r="G51" i="78"/>
  <c r="F51" i="78"/>
  <c r="E51" i="78"/>
  <c r="D51" i="78"/>
  <c r="C51" i="78"/>
  <c r="J50" i="78"/>
  <c r="I50" i="78"/>
  <c r="H50" i="78"/>
  <c r="G50" i="78"/>
  <c r="F50" i="78"/>
  <c r="E50" i="78"/>
  <c r="D50" i="78"/>
  <c r="C50" i="78"/>
  <c r="J49" i="78"/>
  <c r="I49" i="78"/>
  <c r="H49" i="78"/>
  <c r="G49" i="78"/>
  <c r="F49" i="78"/>
  <c r="E49" i="78"/>
  <c r="D49" i="78"/>
  <c r="C49" i="78"/>
  <c r="J48" i="78"/>
  <c r="I48" i="78"/>
  <c r="H48" i="78"/>
  <c r="G48" i="78"/>
  <c r="F48" i="78"/>
  <c r="E48" i="78"/>
  <c r="D48" i="78"/>
  <c r="C48" i="78"/>
  <c r="J47" i="78"/>
  <c r="I47" i="78"/>
  <c r="H47" i="78"/>
  <c r="G47" i="78"/>
  <c r="F47" i="78"/>
  <c r="E47" i="78"/>
  <c r="D47" i="78"/>
  <c r="C47" i="78"/>
  <c r="J46" i="78"/>
  <c r="I46" i="78"/>
  <c r="H46" i="78"/>
  <c r="G46" i="78"/>
  <c r="F46" i="78"/>
  <c r="E46" i="78"/>
  <c r="D46" i="78"/>
  <c r="C46" i="78"/>
  <c r="J45" i="78"/>
  <c r="I45" i="78"/>
  <c r="H45" i="78"/>
  <c r="G45" i="78"/>
  <c r="F45" i="78"/>
  <c r="E45" i="78"/>
  <c r="D45" i="78"/>
  <c r="C45" i="78"/>
  <c r="J44" i="78"/>
  <c r="I44" i="78"/>
  <c r="H44" i="78"/>
  <c r="G44" i="78"/>
  <c r="F44" i="78"/>
  <c r="E44" i="78"/>
  <c r="D44" i="78"/>
  <c r="C44" i="78"/>
  <c r="J43" i="78"/>
  <c r="I43" i="78"/>
  <c r="H43" i="78"/>
  <c r="G43" i="78"/>
  <c r="F43" i="78"/>
  <c r="E43" i="78"/>
  <c r="D43" i="78"/>
  <c r="C43" i="78"/>
  <c r="J42" i="78"/>
  <c r="I42" i="78"/>
  <c r="H42" i="78"/>
  <c r="G42" i="78"/>
  <c r="F42" i="78"/>
  <c r="E42" i="78"/>
  <c r="D42" i="78"/>
  <c r="C42" i="78"/>
  <c r="J41" i="78"/>
  <c r="I41" i="78"/>
  <c r="H41" i="78"/>
  <c r="G41" i="78"/>
  <c r="F41" i="78"/>
  <c r="E41" i="78"/>
  <c r="D41" i="78"/>
  <c r="C41" i="78"/>
  <c r="J40" i="78"/>
  <c r="I40" i="78"/>
  <c r="H40" i="78"/>
  <c r="G40" i="78"/>
  <c r="F40" i="78"/>
  <c r="E40" i="78"/>
  <c r="D40" i="78"/>
  <c r="C40" i="78"/>
  <c r="J39" i="78"/>
  <c r="I39" i="78"/>
  <c r="H39" i="78"/>
  <c r="G39" i="78"/>
  <c r="F39" i="78"/>
  <c r="E39" i="78"/>
  <c r="D39" i="78"/>
  <c r="C39" i="78"/>
  <c r="J38" i="78"/>
  <c r="I38" i="78"/>
  <c r="H38" i="78"/>
  <c r="G38" i="78"/>
  <c r="F38" i="78"/>
  <c r="E38" i="78"/>
  <c r="D38" i="78"/>
  <c r="C38" i="78"/>
  <c r="J37" i="78"/>
  <c r="I37" i="78"/>
  <c r="H37" i="78"/>
  <c r="G37" i="78"/>
  <c r="F37" i="78"/>
  <c r="E37" i="78"/>
  <c r="D37" i="78"/>
  <c r="C37" i="78"/>
  <c r="J36" i="78"/>
  <c r="I36" i="78"/>
  <c r="H36" i="78"/>
  <c r="G36" i="78"/>
  <c r="F36" i="78"/>
  <c r="E36" i="78"/>
  <c r="D36" i="78"/>
  <c r="C36" i="78"/>
  <c r="J35" i="78"/>
  <c r="I35" i="78"/>
  <c r="H35" i="78"/>
  <c r="G35" i="78"/>
  <c r="F35" i="78"/>
  <c r="E35" i="78"/>
  <c r="D35" i="78"/>
  <c r="C35" i="78"/>
  <c r="J34" i="78"/>
  <c r="I34" i="78"/>
  <c r="H34" i="78"/>
  <c r="G34" i="78"/>
  <c r="F34" i="78"/>
  <c r="E34" i="78"/>
  <c r="D34" i="78"/>
  <c r="C34" i="78"/>
  <c r="J33" i="78"/>
  <c r="I33" i="78"/>
  <c r="H33" i="78"/>
  <c r="G33" i="78"/>
  <c r="F33" i="78"/>
  <c r="E33" i="78"/>
  <c r="D33" i="78"/>
  <c r="C33" i="78"/>
  <c r="J32" i="78"/>
  <c r="I32" i="78"/>
  <c r="H32" i="78"/>
  <c r="G32" i="78"/>
  <c r="F32" i="78"/>
  <c r="E32" i="78"/>
  <c r="D32" i="78"/>
  <c r="C32" i="78"/>
  <c r="J31" i="78"/>
  <c r="I31" i="78"/>
  <c r="H31" i="78"/>
  <c r="G31" i="78"/>
  <c r="F31" i="78"/>
  <c r="E31" i="78"/>
  <c r="D31" i="78"/>
  <c r="C31" i="78"/>
  <c r="J30" i="78"/>
  <c r="I30" i="78"/>
  <c r="H30" i="78"/>
  <c r="G30" i="78"/>
  <c r="F30" i="78"/>
  <c r="E30" i="78"/>
  <c r="D30" i="78"/>
  <c r="C30" i="78"/>
  <c r="J29" i="78"/>
  <c r="I29" i="78"/>
  <c r="H29" i="78"/>
  <c r="G29" i="78"/>
  <c r="F29" i="78"/>
  <c r="E29" i="78"/>
  <c r="D29" i="78"/>
  <c r="C29" i="78"/>
  <c r="J28" i="78"/>
  <c r="I28" i="78"/>
  <c r="H28" i="78"/>
  <c r="G28" i="78"/>
  <c r="F28" i="78"/>
  <c r="E28" i="78"/>
  <c r="D28" i="78"/>
  <c r="C28" i="78"/>
  <c r="J27" i="78"/>
  <c r="I27" i="78"/>
  <c r="H27" i="78"/>
  <c r="G27" i="78"/>
  <c r="F27" i="78"/>
  <c r="E27" i="78"/>
  <c r="D27" i="78"/>
  <c r="C27" i="78"/>
  <c r="J26" i="78"/>
  <c r="I26" i="78"/>
  <c r="H26" i="78"/>
  <c r="G26" i="78"/>
  <c r="F26" i="78"/>
  <c r="E26" i="78"/>
  <c r="D26" i="78"/>
  <c r="C26" i="78"/>
  <c r="J25" i="78"/>
  <c r="I25" i="78"/>
  <c r="H25" i="78"/>
  <c r="G25" i="78"/>
  <c r="F25" i="78"/>
  <c r="E25" i="78"/>
  <c r="D25" i="78"/>
  <c r="C25" i="78"/>
  <c r="J24" i="78"/>
  <c r="I24" i="78"/>
  <c r="H24" i="78"/>
  <c r="G24" i="78"/>
  <c r="F24" i="78"/>
  <c r="E24" i="78"/>
  <c r="D24" i="78"/>
  <c r="C24" i="78"/>
  <c r="J23" i="78"/>
  <c r="I23" i="78"/>
  <c r="H23" i="78"/>
  <c r="G23" i="78"/>
  <c r="F23" i="78"/>
  <c r="E23" i="78"/>
  <c r="D23" i="78"/>
  <c r="C23" i="78"/>
  <c r="J22" i="78"/>
  <c r="I22" i="78"/>
  <c r="H22" i="78"/>
  <c r="G22" i="78"/>
  <c r="F22" i="78"/>
  <c r="E22" i="78"/>
  <c r="D22" i="78"/>
  <c r="C22" i="78"/>
  <c r="J21" i="78"/>
  <c r="I21" i="78"/>
  <c r="H21" i="78"/>
  <c r="G21" i="78"/>
  <c r="F21" i="78"/>
  <c r="E21" i="78"/>
  <c r="D21" i="78"/>
  <c r="C21" i="78"/>
  <c r="J20" i="78"/>
  <c r="I20" i="78"/>
  <c r="H20" i="78"/>
  <c r="G20" i="78"/>
  <c r="F20" i="78"/>
  <c r="E20" i="78"/>
  <c r="D20" i="78"/>
  <c r="C20" i="78"/>
  <c r="J19" i="78"/>
  <c r="I19" i="78"/>
  <c r="H19" i="78"/>
  <c r="G19" i="78"/>
  <c r="F19" i="78"/>
  <c r="E19" i="78"/>
  <c r="D19" i="78"/>
  <c r="C19" i="78"/>
  <c r="J18" i="78"/>
  <c r="I18" i="78"/>
  <c r="H18" i="78"/>
  <c r="G18" i="78"/>
  <c r="F18" i="78"/>
  <c r="E18" i="78"/>
  <c r="D18" i="78"/>
  <c r="C18" i="78"/>
  <c r="J17" i="78"/>
  <c r="I17" i="78"/>
  <c r="H17" i="78"/>
  <c r="G17" i="78"/>
  <c r="F17" i="78"/>
  <c r="E17" i="78"/>
  <c r="D17" i="78"/>
  <c r="C17" i="78"/>
  <c r="J16" i="78"/>
  <c r="I16" i="78"/>
  <c r="H16" i="78"/>
  <c r="G16" i="78"/>
  <c r="F16" i="78"/>
  <c r="E16" i="78"/>
  <c r="D16" i="78"/>
  <c r="C16" i="78"/>
  <c r="J15" i="78"/>
  <c r="I15" i="78"/>
  <c r="H15" i="78"/>
  <c r="G15" i="78"/>
  <c r="F15" i="78"/>
  <c r="E15" i="78"/>
  <c r="D15" i="78"/>
  <c r="C15" i="78"/>
  <c r="J14" i="78"/>
  <c r="I14" i="78"/>
  <c r="H14" i="78"/>
  <c r="G14" i="78"/>
  <c r="F14" i="78"/>
  <c r="E14" i="78"/>
  <c r="D14" i="78"/>
  <c r="C14" i="78"/>
  <c r="J13" i="78"/>
  <c r="I13" i="78"/>
  <c r="H13" i="78"/>
  <c r="G13" i="78"/>
  <c r="F13" i="78"/>
  <c r="E13" i="78"/>
  <c r="D13" i="78"/>
  <c r="C13" i="78"/>
  <c r="J12" i="78"/>
  <c r="I12" i="78"/>
  <c r="H12" i="78"/>
  <c r="G12" i="78"/>
  <c r="F12" i="78"/>
  <c r="E12" i="78"/>
  <c r="D12" i="78"/>
  <c r="C12" i="78"/>
  <c r="J11" i="78"/>
  <c r="I11" i="78"/>
  <c r="H11" i="78"/>
  <c r="G11" i="78"/>
  <c r="F11" i="78"/>
  <c r="E11" i="78"/>
  <c r="D11" i="78"/>
  <c r="C11" i="78"/>
  <c r="J10" i="78"/>
  <c r="I10" i="78"/>
  <c r="H10" i="78"/>
  <c r="G10" i="78"/>
  <c r="F10" i="78"/>
  <c r="E10" i="78"/>
  <c r="D10" i="78"/>
  <c r="C10" i="78"/>
  <c r="J9" i="78"/>
  <c r="I9" i="78"/>
  <c r="H9" i="78"/>
  <c r="G9" i="78"/>
  <c r="F9" i="78"/>
  <c r="E9" i="78"/>
  <c r="D9" i="78"/>
  <c r="C9" i="78"/>
  <c r="J8" i="78"/>
  <c r="I8" i="78"/>
  <c r="H8" i="78"/>
  <c r="G8" i="78"/>
  <c r="F8" i="78"/>
  <c r="E8" i="78"/>
  <c r="D8" i="78"/>
  <c r="C8" i="78"/>
  <c r="J7" i="78"/>
  <c r="I7" i="78"/>
  <c r="H7" i="78"/>
  <c r="G7" i="78"/>
  <c r="F7" i="78"/>
  <c r="E7" i="78"/>
  <c r="D7" i="78"/>
  <c r="C7" i="78"/>
  <c r="J6" i="78"/>
  <c r="I6" i="78"/>
  <c r="H6" i="78"/>
  <c r="G6" i="78"/>
  <c r="F6" i="78"/>
  <c r="E6" i="78"/>
  <c r="D6" i="78"/>
  <c r="C6" i="78"/>
  <c r="J5" i="78"/>
  <c r="I5" i="78"/>
  <c r="H5" i="78"/>
  <c r="G5" i="78"/>
  <c r="F5" i="78"/>
  <c r="E5" i="78"/>
  <c r="D5" i="78"/>
  <c r="C5" i="78"/>
  <c r="B1262" i="77"/>
  <c r="B1261" i="77"/>
  <c r="B1260" i="77"/>
  <c r="B1259" i="77"/>
  <c r="B1258" i="77"/>
  <c r="B1257" i="77"/>
  <c r="B1256" i="77"/>
  <c r="B1255" i="77"/>
  <c r="B1254" i="77"/>
  <c r="B1253" i="77"/>
  <c r="B1252" i="77"/>
  <c r="B1251" i="77"/>
  <c r="B1250" i="77"/>
  <c r="B1249" i="77"/>
  <c r="B1248" i="77"/>
  <c r="B1247" i="77"/>
  <c r="B1246" i="77"/>
  <c r="B1245" i="77"/>
  <c r="B1244" i="77"/>
  <c r="B1243" i="77"/>
  <c r="B1242" i="77"/>
  <c r="B1241" i="77"/>
  <c r="B1240" i="77"/>
  <c r="B1239" i="77"/>
  <c r="B1238" i="77"/>
  <c r="B1237" i="77"/>
  <c r="B1236" i="77"/>
  <c r="B1235" i="77"/>
  <c r="B1234" i="77"/>
  <c r="B1233" i="77"/>
  <c r="B1232" i="77"/>
  <c r="B1231" i="77"/>
  <c r="B1230" i="77"/>
  <c r="B1229" i="77"/>
  <c r="B1228" i="77"/>
  <c r="B1227" i="77"/>
  <c r="B1226" i="77"/>
  <c r="B1225" i="77"/>
  <c r="B1224" i="77"/>
  <c r="B1223" i="77"/>
  <c r="B1222" i="77"/>
  <c r="B1221" i="77"/>
  <c r="B1220" i="77"/>
  <c r="B1219" i="77"/>
  <c r="B1218" i="77"/>
  <c r="B1217" i="77"/>
  <c r="B1216" i="77"/>
  <c r="B1215" i="77"/>
  <c r="B1214" i="77"/>
  <c r="B1213" i="77"/>
  <c r="B1212" i="77"/>
  <c r="B1211" i="77"/>
  <c r="B1210" i="77"/>
  <c r="B1209" i="77"/>
  <c r="B1208" i="77"/>
  <c r="B1207" i="77"/>
  <c r="B1206" i="77"/>
  <c r="B1205" i="77"/>
  <c r="B1204" i="77"/>
  <c r="B1203" i="77"/>
  <c r="B1202" i="77"/>
  <c r="B1201" i="77"/>
  <c r="B1200" i="77"/>
  <c r="B1199" i="77"/>
  <c r="B1198" i="77"/>
  <c r="B1197" i="77"/>
  <c r="B1196" i="77"/>
  <c r="B1195" i="77"/>
  <c r="B1194" i="77"/>
  <c r="B1193" i="77"/>
  <c r="B1192" i="77"/>
  <c r="B1191" i="77"/>
  <c r="B1190" i="77"/>
  <c r="B1189" i="77"/>
  <c r="B1188" i="77"/>
  <c r="B1187" i="77"/>
  <c r="B1186" i="77"/>
  <c r="B1185" i="77"/>
  <c r="B1184" i="77"/>
  <c r="B1183" i="77"/>
  <c r="B1182" i="77"/>
  <c r="B1181" i="77"/>
  <c r="B1180" i="77"/>
  <c r="B1179" i="77"/>
  <c r="B1178" i="77"/>
  <c r="B1177" i="77"/>
  <c r="B1176" i="77"/>
  <c r="B1175" i="77"/>
  <c r="B1174" i="77"/>
  <c r="B1173" i="77"/>
  <c r="B1172" i="77"/>
  <c r="B1171" i="77"/>
  <c r="B1170" i="77"/>
  <c r="B1169" i="77"/>
  <c r="B1168" i="77"/>
  <c r="B1167" i="77"/>
  <c r="B1166" i="77"/>
  <c r="B1165" i="77"/>
  <c r="B1164" i="77"/>
  <c r="B1163" i="77"/>
  <c r="B1162" i="77"/>
  <c r="B1161" i="77"/>
  <c r="B1160" i="77"/>
  <c r="B1159" i="77"/>
  <c r="B1158" i="77"/>
  <c r="B1157" i="77"/>
  <c r="B1156" i="77"/>
  <c r="B1155" i="77"/>
  <c r="B1154" i="77"/>
  <c r="B1153" i="77"/>
  <c r="B1152" i="77"/>
  <c r="B1151" i="77"/>
  <c r="B1150" i="77"/>
  <c r="B1149" i="77"/>
  <c r="B1148" i="77"/>
  <c r="B1147" i="77"/>
  <c r="B1146" i="77"/>
  <c r="B1145" i="77"/>
  <c r="B1144" i="77"/>
  <c r="B1143" i="77"/>
  <c r="B1142" i="77"/>
  <c r="B1141" i="77"/>
  <c r="B1140" i="77"/>
  <c r="B1139" i="77"/>
  <c r="B1138" i="77"/>
  <c r="B1137" i="77"/>
  <c r="B1136" i="77"/>
  <c r="B1135" i="77"/>
  <c r="B1134" i="77"/>
  <c r="B1133" i="77"/>
  <c r="B1132" i="77"/>
  <c r="B1131" i="77"/>
  <c r="B1130" i="77"/>
  <c r="B1129" i="77"/>
  <c r="B1128" i="77"/>
  <c r="B1127" i="77"/>
  <c r="B1126" i="77"/>
  <c r="B1125" i="77"/>
  <c r="B1124" i="77"/>
  <c r="B1123" i="77"/>
  <c r="B1122" i="77"/>
  <c r="B1121" i="77"/>
  <c r="B1120" i="77"/>
  <c r="B1119" i="77"/>
  <c r="B1118" i="77"/>
  <c r="B1117" i="77"/>
  <c r="B1116" i="77"/>
  <c r="B1115" i="77"/>
  <c r="B1114" i="77"/>
  <c r="B1113" i="77"/>
  <c r="B1112" i="77"/>
  <c r="B1111" i="77"/>
  <c r="B1110" i="77"/>
  <c r="B1109" i="77"/>
  <c r="B1108" i="77"/>
  <c r="B1107" i="77"/>
  <c r="B1106" i="77"/>
  <c r="B1105" i="77"/>
  <c r="B1104" i="77"/>
  <c r="B1103" i="77"/>
  <c r="B1102" i="77"/>
  <c r="B1101" i="77"/>
  <c r="B1100" i="77"/>
  <c r="B1099" i="77"/>
  <c r="B1098" i="77"/>
  <c r="B1097" i="77"/>
  <c r="B1096" i="77"/>
  <c r="B1095" i="77"/>
  <c r="B1094" i="77"/>
  <c r="B1093" i="77"/>
  <c r="B1092" i="77"/>
  <c r="B1091" i="77"/>
  <c r="B1090" i="77"/>
  <c r="B1089" i="77"/>
  <c r="B1088" i="77"/>
  <c r="B1087" i="77"/>
  <c r="B1086" i="77"/>
  <c r="B1085" i="77"/>
  <c r="B1084" i="77"/>
  <c r="B1083" i="77"/>
  <c r="B1082" i="77"/>
  <c r="B1081" i="77"/>
  <c r="B1080" i="77"/>
  <c r="B1079" i="77"/>
  <c r="B1078" i="77"/>
  <c r="B1077" i="77"/>
  <c r="B1076" i="77"/>
  <c r="B1075" i="77"/>
  <c r="B1074" i="77"/>
  <c r="B1073" i="77"/>
  <c r="B1072" i="77"/>
  <c r="B1071" i="77"/>
  <c r="B1070" i="77"/>
  <c r="B1069" i="77"/>
  <c r="B1068" i="77"/>
  <c r="B1067" i="77"/>
  <c r="B1066" i="77"/>
  <c r="B1065" i="77"/>
  <c r="B1064" i="77"/>
  <c r="B1063" i="77"/>
  <c r="B1062" i="77"/>
  <c r="B1061" i="77"/>
  <c r="B1060" i="77"/>
  <c r="B1059" i="77"/>
  <c r="B1058" i="77"/>
  <c r="B1057" i="77"/>
  <c r="B1056" i="77"/>
  <c r="B1055" i="77"/>
  <c r="B1054" i="77"/>
  <c r="B1053" i="77"/>
  <c r="B1052" i="77"/>
  <c r="B1051" i="77"/>
  <c r="B1050" i="77"/>
  <c r="B1049" i="77"/>
  <c r="B1048" i="77"/>
  <c r="B1047" i="77"/>
  <c r="B1046" i="77"/>
  <c r="B1045" i="77"/>
  <c r="B1044" i="77"/>
  <c r="B1043" i="77"/>
  <c r="B1042" i="77"/>
  <c r="B1041" i="77"/>
  <c r="B1040" i="77"/>
  <c r="B1039" i="77"/>
  <c r="B1038" i="77"/>
  <c r="B1037" i="77"/>
  <c r="B1036" i="77"/>
  <c r="B1035" i="77"/>
  <c r="B1034" i="77"/>
  <c r="B1033" i="77"/>
  <c r="B1032" i="77"/>
  <c r="B1031" i="77"/>
  <c r="B1030" i="77"/>
  <c r="B1029" i="77"/>
  <c r="B1028" i="77"/>
  <c r="B1027" i="77"/>
  <c r="B1026" i="77"/>
  <c r="B1025" i="77"/>
  <c r="B1024" i="77"/>
  <c r="B1023" i="77"/>
  <c r="B1022" i="77"/>
  <c r="B1021" i="77"/>
  <c r="B1020" i="77"/>
  <c r="B1019" i="77"/>
  <c r="B1018" i="77"/>
  <c r="B1017" i="77"/>
  <c r="B1016" i="77"/>
  <c r="B1015" i="77"/>
  <c r="B1014" i="77"/>
  <c r="B1013" i="77"/>
  <c r="B1012" i="77"/>
  <c r="B1011" i="77"/>
  <c r="B1010" i="77"/>
  <c r="B1009" i="77"/>
  <c r="B1008" i="77"/>
  <c r="B1007" i="77"/>
  <c r="B1006" i="77"/>
  <c r="B1005" i="77"/>
  <c r="B1004" i="77"/>
  <c r="B1003" i="77"/>
  <c r="B1002" i="77"/>
  <c r="B1001" i="77"/>
  <c r="B1000" i="77"/>
  <c r="B999" i="77"/>
  <c r="B998" i="77"/>
  <c r="B997" i="77"/>
  <c r="B996" i="77"/>
  <c r="B995" i="77"/>
  <c r="B994" i="77"/>
  <c r="B993" i="77"/>
  <c r="B992" i="77"/>
  <c r="B991" i="77"/>
  <c r="B990" i="77"/>
  <c r="B989" i="77"/>
  <c r="B988" i="77"/>
  <c r="B987" i="77"/>
  <c r="B986" i="77"/>
  <c r="B985" i="77"/>
  <c r="B984" i="77"/>
  <c r="B983" i="77"/>
  <c r="B982" i="77"/>
  <c r="B981" i="77"/>
  <c r="B980" i="77"/>
  <c r="B979" i="77"/>
  <c r="B978" i="77"/>
  <c r="B977" i="77"/>
  <c r="B976" i="77"/>
  <c r="B975" i="77"/>
  <c r="B974" i="77"/>
  <c r="B973" i="77"/>
  <c r="B972" i="77"/>
  <c r="B971" i="77"/>
  <c r="B970" i="77"/>
  <c r="B969" i="77"/>
  <c r="B968" i="77"/>
  <c r="B967" i="77"/>
  <c r="B966" i="77"/>
  <c r="B965" i="77"/>
  <c r="B964" i="77"/>
  <c r="B963" i="77"/>
  <c r="B962" i="77"/>
  <c r="B961" i="77"/>
  <c r="B960" i="77"/>
  <c r="B959" i="77"/>
  <c r="B958" i="77"/>
  <c r="B957" i="77"/>
  <c r="B956" i="77"/>
  <c r="B955" i="77"/>
  <c r="B954" i="77"/>
  <c r="B953" i="77"/>
  <c r="B952" i="77"/>
  <c r="B951" i="77"/>
  <c r="B950" i="77"/>
  <c r="B949" i="77"/>
  <c r="B948" i="77"/>
  <c r="B947" i="77"/>
  <c r="B946" i="77"/>
  <c r="B945" i="77"/>
  <c r="B944" i="77"/>
  <c r="B943" i="77"/>
  <c r="B942" i="77"/>
  <c r="B941" i="77"/>
  <c r="B940" i="77"/>
  <c r="B939" i="77"/>
  <c r="B938" i="77"/>
  <c r="B937" i="77"/>
  <c r="B936" i="77"/>
  <c r="B935" i="77"/>
  <c r="B934" i="77"/>
  <c r="B933" i="77"/>
  <c r="B932" i="77"/>
  <c r="B931" i="77"/>
  <c r="B930" i="77"/>
  <c r="B929" i="77"/>
  <c r="B928" i="77"/>
  <c r="B927" i="77"/>
  <c r="B926" i="77"/>
  <c r="B925" i="77"/>
  <c r="B924" i="77"/>
  <c r="B923" i="77"/>
  <c r="B922" i="77"/>
  <c r="B921" i="77"/>
  <c r="B920" i="77"/>
  <c r="B919" i="77"/>
  <c r="B918" i="77"/>
  <c r="B917" i="77"/>
  <c r="B916" i="77"/>
  <c r="B915" i="77"/>
  <c r="B914" i="77"/>
  <c r="B913" i="77"/>
  <c r="B912" i="77"/>
  <c r="B911" i="77"/>
  <c r="B910" i="77"/>
  <c r="B909" i="77"/>
  <c r="B908" i="77"/>
  <c r="B907" i="77"/>
  <c r="B906" i="77"/>
  <c r="B905" i="77"/>
  <c r="B904" i="77"/>
  <c r="B903" i="77"/>
  <c r="B902" i="77"/>
  <c r="B901" i="77"/>
  <c r="B900" i="77"/>
  <c r="B899" i="77"/>
  <c r="B898" i="77"/>
  <c r="B897" i="77"/>
  <c r="B896" i="77"/>
  <c r="B895" i="77"/>
  <c r="B894" i="77"/>
  <c r="B893" i="77"/>
  <c r="B892" i="77"/>
  <c r="B891" i="77"/>
  <c r="B890" i="77"/>
  <c r="B889" i="77"/>
  <c r="B888" i="77"/>
  <c r="B887" i="77"/>
  <c r="B886" i="77"/>
  <c r="B885" i="77"/>
  <c r="B884" i="77"/>
  <c r="B883" i="77"/>
  <c r="B882" i="77"/>
  <c r="B881" i="77"/>
  <c r="B880" i="77"/>
  <c r="B879" i="77"/>
  <c r="B878" i="77"/>
  <c r="B877" i="77"/>
  <c r="B876" i="77"/>
  <c r="B875" i="77"/>
  <c r="B874" i="77"/>
  <c r="B873" i="77"/>
  <c r="B872" i="77"/>
  <c r="B871" i="77"/>
  <c r="B870" i="77"/>
  <c r="B869" i="77"/>
  <c r="B868" i="77"/>
  <c r="B867" i="77"/>
  <c r="B866" i="77"/>
  <c r="B865" i="77"/>
  <c r="B864" i="77"/>
  <c r="B863" i="77"/>
  <c r="B862" i="77"/>
  <c r="B861" i="77"/>
  <c r="B860" i="77"/>
  <c r="B859" i="77"/>
  <c r="B858" i="77"/>
  <c r="B857" i="77"/>
  <c r="B856" i="77"/>
  <c r="B855" i="77"/>
  <c r="B854" i="77"/>
  <c r="B853" i="77"/>
  <c r="B852" i="77"/>
  <c r="B851" i="77"/>
  <c r="B850" i="77"/>
  <c r="B849" i="77"/>
  <c r="B848" i="77"/>
  <c r="B847" i="77"/>
  <c r="B846" i="77"/>
  <c r="B845" i="77"/>
  <c r="B844" i="77"/>
  <c r="B843" i="77"/>
  <c r="B842" i="77"/>
  <c r="B841" i="77"/>
  <c r="B840" i="77"/>
  <c r="B839" i="77"/>
  <c r="B838" i="77"/>
  <c r="B837" i="77"/>
  <c r="B836" i="77"/>
  <c r="B835" i="77"/>
  <c r="B834" i="77"/>
  <c r="B833" i="77"/>
  <c r="B832" i="77"/>
  <c r="B831" i="77"/>
  <c r="B830" i="77"/>
  <c r="B829" i="77"/>
  <c r="B828" i="77"/>
  <c r="B827" i="77"/>
  <c r="B826" i="77"/>
  <c r="B825" i="77"/>
  <c r="B824" i="77"/>
  <c r="B823" i="77"/>
  <c r="B822" i="77"/>
  <c r="B821" i="77"/>
  <c r="B820" i="77"/>
  <c r="B819" i="77"/>
  <c r="B818" i="77"/>
  <c r="B817" i="77"/>
  <c r="B816" i="77"/>
  <c r="B815" i="77"/>
  <c r="B814" i="77"/>
  <c r="B813" i="77"/>
  <c r="B812" i="77"/>
  <c r="B811" i="77"/>
  <c r="B810" i="77"/>
  <c r="B809" i="77"/>
  <c r="B808" i="77"/>
  <c r="B807" i="77"/>
  <c r="B806" i="77"/>
  <c r="B805" i="77"/>
  <c r="B804" i="77"/>
  <c r="B803" i="77"/>
  <c r="B802" i="77"/>
  <c r="B801" i="77"/>
  <c r="B800" i="77"/>
  <c r="B799" i="77"/>
  <c r="B798" i="77"/>
  <c r="B797" i="77"/>
  <c r="B796" i="77"/>
  <c r="B795" i="77"/>
  <c r="B794" i="77"/>
  <c r="B793" i="77"/>
  <c r="B792" i="77"/>
  <c r="B791" i="77"/>
  <c r="B790" i="77"/>
  <c r="B789" i="77"/>
  <c r="B788" i="77"/>
  <c r="B787" i="77"/>
  <c r="B786" i="77"/>
  <c r="B785" i="77"/>
  <c r="B784" i="77"/>
  <c r="B783" i="77"/>
  <c r="B782" i="77"/>
  <c r="B781" i="77"/>
  <c r="B780" i="77"/>
  <c r="B779" i="77"/>
  <c r="B778" i="77"/>
  <c r="B777" i="77"/>
  <c r="B776" i="77"/>
  <c r="B775" i="77"/>
  <c r="B774" i="77"/>
  <c r="B773" i="77"/>
  <c r="B772" i="77"/>
  <c r="B771" i="77"/>
  <c r="B770" i="77"/>
  <c r="B769" i="77"/>
  <c r="B768" i="77"/>
  <c r="B767" i="77"/>
  <c r="B766" i="77"/>
  <c r="B765" i="77"/>
  <c r="B764" i="77"/>
  <c r="B763" i="77"/>
  <c r="B762" i="77"/>
  <c r="B761" i="77"/>
  <c r="B760" i="77"/>
  <c r="B759" i="77"/>
  <c r="B758" i="77"/>
  <c r="B757" i="77"/>
  <c r="B756" i="77"/>
  <c r="B755" i="77"/>
  <c r="B754" i="77"/>
  <c r="B753" i="77"/>
  <c r="B752" i="77"/>
  <c r="B751" i="77"/>
  <c r="B750" i="77"/>
  <c r="B749" i="77"/>
  <c r="B748" i="77"/>
  <c r="B747" i="77"/>
  <c r="B746" i="77"/>
  <c r="B745" i="77"/>
  <c r="B744" i="77"/>
  <c r="B743" i="77"/>
  <c r="B742" i="77"/>
  <c r="B741" i="77"/>
  <c r="B740" i="77"/>
  <c r="B739" i="77"/>
  <c r="B738" i="77"/>
  <c r="B737" i="77"/>
  <c r="B736" i="77"/>
  <c r="B735" i="77"/>
  <c r="B734" i="77"/>
  <c r="B733" i="77"/>
  <c r="B732" i="77"/>
  <c r="B731" i="77"/>
  <c r="B730" i="77"/>
  <c r="B729" i="77"/>
  <c r="B728" i="77"/>
  <c r="B727" i="77"/>
  <c r="B726" i="77"/>
  <c r="B725" i="77"/>
  <c r="B724" i="77"/>
  <c r="B723" i="77"/>
  <c r="B722" i="77"/>
  <c r="B721" i="77"/>
  <c r="B720" i="77"/>
  <c r="B719" i="77"/>
  <c r="B718" i="77"/>
  <c r="B717" i="77"/>
  <c r="B716" i="77"/>
  <c r="B715" i="77"/>
  <c r="B714" i="77"/>
  <c r="B713" i="77"/>
  <c r="B712" i="77"/>
  <c r="B711" i="77"/>
  <c r="B710" i="77"/>
  <c r="B709" i="77"/>
  <c r="B708" i="77"/>
  <c r="B707" i="77"/>
  <c r="B706" i="77"/>
  <c r="B705" i="77"/>
  <c r="B704" i="77"/>
  <c r="B703" i="77"/>
  <c r="B702" i="77"/>
  <c r="B701" i="77"/>
  <c r="B700" i="77"/>
  <c r="B699" i="77"/>
  <c r="B698" i="77"/>
  <c r="B697" i="77"/>
  <c r="B696" i="77"/>
  <c r="B695" i="77"/>
  <c r="B694" i="77"/>
  <c r="B693" i="77"/>
  <c r="B692" i="77"/>
  <c r="B691" i="77"/>
  <c r="B690" i="77"/>
  <c r="B689" i="77"/>
  <c r="B688" i="77"/>
  <c r="B687" i="77"/>
  <c r="B686" i="77"/>
  <c r="B685" i="77"/>
  <c r="B684" i="77"/>
  <c r="B683" i="77"/>
  <c r="B682" i="77"/>
  <c r="B681" i="77"/>
  <c r="B680" i="77"/>
  <c r="B679" i="77"/>
  <c r="B678" i="77"/>
  <c r="B677" i="77"/>
  <c r="B676" i="77"/>
  <c r="B675" i="77"/>
  <c r="B674" i="77"/>
  <c r="B673" i="77"/>
  <c r="B672" i="77"/>
  <c r="B671" i="77"/>
  <c r="B670" i="77"/>
  <c r="B669" i="77"/>
  <c r="B668" i="77"/>
  <c r="B667" i="77"/>
  <c r="B666" i="77"/>
  <c r="B665" i="77"/>
  <c r="B664" i="77"/>
  <c r="B663" i="77"/>
  <c r="B662" i="77"/>
  <c r="B661" i="77"/>
  <c r="B660" i="77"/>
  <c r="B659" i="77"/>
  <c r="B658" i="77"/>
  <c r="B657" i="77"/>
  <c r="B656" i="77"/>
  <c r="B655" i="77"/>
  <c r="B654" i="77"/>
  <c r="B653" i="77"/>
  <c r="B652" i="77"/>
  <c r="B651" i="77"/>
  <c r="B650" i="77"/>
  <c r="B649" i="77"/>
  <c r="B648" i="77"/>
  <c r="B647" i="77"/>
  <c r="B646" i="77"/>
  <c r="B645" i="77"/>
  <c r="B644" i="77"/>
  <c r="B643" i="77"/>
  <c r="B642" i="77"/>
  <c r="B641" i="77"/>
  <c r="B640" i="77"/>
  <c r="B639" i="77"/>
  <c r="B638" i="77"/>
  <c r="B637" i="77"/>
  <c r="B636" i="77"/>
  <c r="B635" i="77"/>
  <c r="B634" i="77"/>
  <c r="B633" i="77"/>
  <c r="B632" i="77"/>
  <c r="B631" i="77"/>
  <c r="B630" i="77"/>
  <c r="B629" i="77"/>
  <c r="B628" i="77"/>
  <c r="B627" i="77"/>
  <c r="B626" i="77"/>
  <c r="B625" i="77"/>
  <c r="B624" i="77"/>
  <c r="B623" i="77"/>
  <c r="B622" i="77"/>
  <c r="B621" i="77"/>
  <c r="B620" i="77"/>
  <c r="B619" i="77"/>
  <c r="B618" i="77"/>
  <c r="B617" i="77"/>
  <c r="B616" i="77"/>
  <c r="B615" i="77"/>
  <c r="B614" i="77"/>
  <c r="B613" i="77"/>
  <c r="B612" i="77"/>
  <c r="B611" i="77"/>
  <c r="B610" i="77"/>
  <c r="B609" i="77"/>
  <c r="B608" i="77"/>
  <c r="B607" i="77"/>
  <c r="B606" i="77"/>
  <c r="B605" i="77"/>
  <c r="B604" i="77"/>
  <c r="B603" i="77"/>
  <c r="B602" i="77"/>
  <c r="B601" i="77"/>
  <c r="B600" i="77"/>
  <c r="B599" i="77"/>
  <c r="B598" i="77"/>
  <c r="B597" i="77"/>
  <c r="B596" i="77"/>
  <c r="B595" i="77"/>
  <c r="B594" i="77"/>
  <c r="B593" i="77"/>
  <c r="B592" i="77"/>
  <c r="B591" i="77"/>
  <c r="B590" i="77"/>
  <c r="B589" i="77"/>
  <c r="B588" i="77"/>
  <c r="B587" i="77"/>
  <c r="B586" i="77"/>
  <c r="B585" i="77"/>
  <c r="B584" i="77"/>
  <c r="B583" i="77"/>
  <c r="B582" i="77"/>
  <c r="B581" i="77"/>
  <c r="B580" i="77"/>
  <c r="B579" i="77"/>
  <c r="B578" i="77"/>
  <c r="B577" i="77"/>
  <c r="B576" i="77"/>
  <c r="B575" i="77"/>
  <c r="B574" i="77"/>
  <c r="B573" i="77"/>
  <c r="B572" i="77"/>
  <c r="B571" i="77"/>
  <c r="B570" i="77"/>
  <c r="B569" i="77"/>
  <c r="B568" i="77"/>
  <c r="B567" i="77"/>
  <c r="B566" i="77"/>
  <c r="B565" i="77"/>
  <c r="B564" i="77"/>
  <c r="B563" i="77"/>
  <c r="B562" i="77"/>
  <c r="B561" i="77"/>
  <c r="B560" i="77"/>
  <c r="B559" i="77"/>
  <c r="B558" i="77"/>
  <c r="B557" i="77"/>
  <c r="B556" i="77"/>
  <c r="B555" i="77"/>
  <c r="B554" i="77"/>
  <c r="B553" i="77"/>
  <c r="B552" i="77"/>
  <c r="B551" i="77"/>
  <c r="B550" i="77"/>
  <c r="B549" i="77"/>
  <c r="B548" i="77"/>
  <c r="B547" i="77"/>
  <c r="B546" i="77"/>
  <c r="B545" i="77"/>
  <c r="B544" i="77"/>
  <c r="B543" i="77"/>
  <c r="B542" i="77"/>
  <c r="B541" i="77"/>
  <c r="B540" i="77"/>
  <c r="B539" i="77"/>
  <c r="B538" i="77"/>
  <c r="B537" i="77"/>
  <c r="B536" i="77"/>
  <c r="B535" i="77"/>
  <c r="B534" i="77"/>
  <c r="B533" i="77"/>
  <c r="B532" i="77"/>
  <c r="B531" i="77"/>
  <c r="B530" i="77"/>
  <c r="B529" i="77"/>
  <c r="B528" i="77"/>
  <c r="B527" i="77"/>
  <c r="B526" i="77"/>
  <c r="B525" i="77"/>
  <c r="B524" i="77"/>
  <c r="B523" i="77"/>
  <c r="B522" i="77"/>
  <c r="B521" i="77"/>
  <c r="B520" i="77"/>
  <c r="B519" i="77"/>
  <c r="B518" i="77"/>
  <c r="B517" i="77"/>
  <c r="B516" i="77"/>
  <c r="B515" i="77"/>
  <c r="B514" i="77"/>
  <c r="B513" i="77"/>
  <c r="B512" i="77"/>
  <c r="B511" i="77"/>
  <c r="B510" i="77"/>
  <c r="B509" i="77"/>
  <c r="B508" i="77"/>
  <c r="B507" i="77"/>
  <c r="B506" i="77"/>
  <c r="B505" i="77"/>
  <c r="B504" i="77"/>
  <c r="B503" i="77"/>
  <c r="B502" i="77"/>
  <c r="B501" i="77"/>
  <c r="B500" i="77"/>
  <c r="B499" i="77"/>
  <c r="B498" i="77"/>
  <c r="B497" i="77"/>
  <c r="B496" i="77"/>
  <c r="B495" i="77"/>
  <c r="B494" i="77"/>
  <c r="B493" i="77"/>
  <c r="B492" i="77"/>
  <c r="B491" i="77"/>
  <c r="B490" i="77"/>
  <c r="B489" i="77"/>
  <c r="B488" i="77"/>
  <c r="B487" i="77"/>
  <c r="B486" i="77"/>
  <c r="B485" i="77"/>
  <c r="B484" i="77"/>
  <c r="B483" i="77"/>
  <c r="B482" i="77"/>
  <c r="B481" i="77"/>
  <c r="B480" i="77"/>
  <c r="B479" i="77"/>
  <c r="B478" i="77"/>
  <c r="B477" i="77"/>
  <c r="B476" i="77"/>
  <c r="B475" i="77"/>
  <c r="B474" i="77"/>
  <c r="B473" i="77"/>
  <c r="B472" i="77"/>
  <c r="B471" i="77"/>
  <c r="B470" i="77"/>
  <c r="B469" i="77"/>
  <c r="B468" i="77"/>
  <c r="B467" i="77"/>
  <c r="B466" i="77"/>
  <c r="B465" i="77"/>
  <c r="B464" i="77"/>
  <c r="B463" i="77"/>
  <c r="B462" i="77"/>
  <c r="B461" i="77"/>
  <c r="B460" i="77"/>
  <c r="B459" i="77"/>
  <c r="B458" i="77"/>
  <c r="B457" i="77"/>
  <c r="B456" i="77"/>
  <c r="B455" i="77"/>
  <c r="B454" i="77"/>
  <c r="B453" i="77"/>
  <c r="B452" i="77"/>
  <c r="B451" i="77"/>
  <c r="B450" i="77"/>
  <c r="B449" i="77"/>
  <c r="B448" i="77"/>
  <c r="B447" i="77"/>
  <c r="B446" i="77"/>
  <c r="B445" i="77"/>
  <c r="B444" i="77"/>
  <c r="B443" i="77"/>
  <c r="B442" i="77"/>
  <c r="B441" i="77"/>
  <c r="B440" i="77"/>
  <c r="B439" i="77"/>
  <c r="B438" i="77"/>
  <c r="B437" i="77"/>
  <c r="B436" i="77"/>
  <c r="B435" i="77"/>
  <c r="B434" i="77"/>
  <c r="B433" i="77"/>
  <c r="B432" i="77"/>
  <c r="B431" i="77"/>
  <c r="B430" i="77"/>
  <c r="B429" i="77"/>
  <c r="B428" i="77"/>
  <c r="B427" i="77"/>
  <c r="B426" i="77"/>
  <c r="B425" i="77"/>
  <c r="B424" i="77"/>
  <c r="B423" i="77"/>
  <c r="B422" i="77"/>
  <c r="B421" i="77"/>
  <c r="B420" i="77"/>
  <c r="B419" i="77"/>
  <c r="B418" i="77"/>
  <c r="B417" i="77"/>
  <c r="B416" i="77"/>
  <c r="B415" i="77"/>
  <c r="B414" i="77"/>
  <c r="B413" i="77"/>
  <c r="B412" i="77"/>
  <c r="B411" i="77"/>
  <c r="B410" i="77"/>
  <c r="B409" i="77"/>
  <c r="B408" i="77"/>
  <c r="B407" i="77"/>
  <c r="B406" i="77"/>
  <c r="B405" i="77"/>
  <c r="B404" i="77"/>
  <c r="B403" i="77"/>
  <c r="B402" i="77"/>
  <c r="B401" i="77"/>
  <c r="B400" i="77"/>
  <c r="B399" i="77"/>
  <c r="B398" i="77"/>
  <c r="B397" i="77"/>
  <c r="B396" i="77"/>
  <c r="B395" i="77"/>
  <c r="B394" i="77"/>
  <c r="B393" i="77"/>
  <c r="B392" i="77"/>
  <c r="B391" i="77"/>
  <c r="B390" i="77"/>
  <c r="B389" i="77"/>
  <c r="B388" i="77"/>
  <c r="B387" i="77"/>
  <c r="B386" i="77"/>
  <c r="B385" i="77"/>
  <c r="B384" i="77"/>
  <c r="B383" i="77"/>
  <c r="B382" i="77"/>
  <c r="B381" i="77"/>
  <c r="B380" i="77"/>
  <c r="B379" i="77"/>
  <c r="B378" i="77"/>
  <c r="B377" i="77"/>
  <c r="B376" i="77"/>
  <c r="B375" i="77"/>
  <c r="B374" i="77"/>
  <c r="B373" i="77"/>
  <c r="B372" i="77"/>
  <c r="B371" i="77"/>
  <c r="B370" i="77"/>
  <c r="B369" i="77"/>
  <c r="B368" i="77"/>
  <c r="B367" i="77"/>
  <c r="B366" i="77"/>
  <c r="B365" i="77"/>
  <c r="B364" i="77"/>
  <c r="B363" i="77"/>
  <c r="B362" i="77"/>
  <c r="B361" i="77"/>
  <c r="B360" i="77"/>
  <c r="B359" i="77"/>
  <c r="B358" i="77"/>
  <c r="B357" i="77"/>
  <c r="B356" i="77"/>
  <c r="B355" i="77"/>
  <c r="B354" i="77"/>
  <c r="B353" i="77"/>
  <c r="B352" i="77"/>
  <c r="B351" i="77"/>
  <c r="B350" i="77"/>
  <c r="B349" i="77"/>
  <c r="B348" i="77"/>
  <c r="B347" i="77"/>
  <c r="B346" i="77"/>
  <c r="B345" i="77"/>
  <c r="B344" i="77"/>
  <c r="B343" i="77"/>
  <c r="B342" i="77"/>
  <c r="B341" i="77"/>
  <c r="B340" i="77"/>
  <c r="B339" i="77"/>
  <c r="B338" i="77"/>
  <c r="B337" i="77"/>
  <c r="B336" i="77"/>
  <c r="B335" i="77"/>
  <c r="B334" i="77"/>
  <c r="B333" i="77"/>
  <c r="B332" i="77"/>
  <c r="B331" i="77"/>
  <c r="B330" i="77"/>
  <c r="B329" i="77"/>
  <c r="B328" i="77"/>
  <c r="B327" i="77"/>
  <c r="B326" i="77"/>
  <c r="B325" i="77"/>
  <c r="B324" i="77"/>
  <c r="B323" i="77"/>
  <c r="B322" i="77"/>
  <c r="B321" i="77"/>
  <c r="B320" i="77"/>
  <c r="B319" i="77"/>
  <c r="B318" i="77"/>
  <c r="B317" i="77"/>
  <c r="B316" i="77"/>
  <c r="B315" i="77"/>
  <c r="B314" i="77"/>
  <c r="B313" i="77"/>
  <c r="B312" i="77"/>
  <c r="B311" i="77"/>
  <c r="B310" i="77"/>
  <c r="B309" i="77"/>
  <c r="B308" i="77"/>
  <c r="B307" i="77"/>
  <c r="B306" i="77"/>
  <c r="B305" i="77"/>
  <c r="B304" i="77"/>
  <c r="B303" i="77"/>
  <c r="B302" i="77"/>
  <c r="B301" i="77"/>
  <c r="B300" i="77"/>
  <c r="B299" i="77"/>
  <c r="B298" i="77"/>
  <c r="B297" i="77"/>
  <c r="B296" i="77"/>
  <c r="B295" i="77"/>
  <c r="B294" i="77"/>
  <c r="B293" i="77"/>
  <c r="B292" i="77"/>
  <c r="B291" i="77"/>
  <c r="B290" i="77"/>
  <c r="B289" i="77"/>
  <c r="B288" i="77"/>
  <c r="B287" i="77"/>
  <c r="B286" i="77"/>
  <c r="B285" i="77"/>
  <c r="B284" i="77"/>
  <c r="B283" i="77"/>
  <c r="B282" i="77"/>
  <c r="B281" i="77"/>
  <c r="B280" i="77"/>
  <c r="B279" i="77"/>
  <c r="B278" i="77"/>
  <c r="B277" i="77"/>
  <c r="B276" i="77"/>
  <c r="B275" i="77"/>
  <c r="B274" i="77"/>
  <c r="B273" i="77"/>
  <c r="B272" i="77"/>
  <c r="B271" i="77"/>
  <c r="B270" i="77"/>
  <c r="B269" i="77"/>
  <c r="B268" i="77"/>
  <c r="B267" i="77"/>
  <c r="B266" i="77"/>
  <c r="B265" i="77"/>
  <c r="B264" i="77"/>
  <c r="B263" i="77"/>
  <c r="B262" i="77"/>
  <c r="B261" i="77"/>
  <c r="B260" i="77"/>
  <c r="B259" i="77"/>
  <c r="B258" i="77"/>
  <c r="B257" i="77"/>
  <c r="B256" i="77"/>
  <c r="B255" i="77"/>
  <c r="B254" i="77"/>
  <c r="B253" i="77"/>
  <c r="B252" i="77"/>
  <c r="B251" i="77"/>
  <c r="B250" i="77"/>
  <c r="B249" i="77"/>
  <c r="B248" i="77"/>
  <c r="B247" i="77"/>
  <c r="B246" i="77"/>
  <c r="B245" i="77"/>
  <c r="B244" i="77"/>
  <c r="B243" i="77"/>
  <c r="B242" i="77"/>
  <c r="B241" i="77"/>
  <c r="B240" i="77"/>
  <c r="B239" i="77"/>
  <c r="B238" i="77"/>
  <c r="B237" i="77"/>
  <c r="B236" i="77"/>
  <c r="B235" i="77"/>
  <c r="B234" i="77"/>
  <c r="B233" i="77"/>
  <c r="B232" i="77"/>
  <c r="B231" i="77"/>
  <c r="B230" i="77"/>
  <c r="B229" i="77"/>
  <c r="B228" i="77"/>
  <c r="B227" i="77"/>
  <c r="B226" i="77"/>
  <c r="B225" i="77"/>
  <c r="B224" i="77"/>
  <c r="B223" i="77"/>
  <c r="B222" i="77"/>
  <c r="B221" i="77"/>
  <c r="B220" i="77"/>
  <c r="B219" i="77"/>
  <c r="B218" i="77"/>
  <c r="B217" i="77"/>
  <c r="B216" i="77"/>
  <c r="B215" i="77"/>
  <c r="B214" i="77"/>
  <c r="B213" i="77"/>
  <c r="B212" i="77"/>
  <c r="B211" i="77"/>
  <c r="B210" i="77"/>
  <c r="B209" i="77"/>
  <c r="B208" i="77"/>
  <c r="B207" i="77"/>
  <c r="B206" i="77"/>
  <c r="B205" i="77"/>
  <c r="B204" i="77"/>
  <c r="B203" i="77"/>
  <c r="B202" i="77"/>
  <c r="B201" i="77"/>
  <c r="B200" i="77"/>
  <c r="B199" i="77"/>
  <c r="B198" i="77"/>
  <c r="B197" i="77"/>
  <c r="B196" i="77"/>
  <c r="B195" i="77"/>
  <c r="B194" i="77"/>
  <c r="B193" i="77"/>
  <c r="B192" i="77"/>
  <c r="B191" i="77"/>
  <c r="B190" i="77"/>
  <c r="B189" i="77"/>
  <c r="B188" i="77"/>
  <c r="B187" i="77"/>
  <c r="B186" i="77"/>
  <c r="B185" i="77"/>
  <c r="B184" i="77"/>
  <c r="B183" i="77"/>
  <c r="B182" i="77"/>
  <c r="B181" i="77"/>
  <c r="B180" i="77"/>
  <c r="B179" i="77"/>
  <c r="B178" i="77"/>
  <c r="B177" i="77"/>
  <c r="B176" i="77"/>
  <c r="B175" i="77"/>
  <c r="B174" i="77"/>
  <c r="B173" i="77"/>
  <c r="B172" i="77"/>
  <c r="B171" i="77"/>
  <c r="B170" i="77"/>
  <c r="B169" i="77"/>
  <c r="B168" i="77"/>
  <c r="B167" i="77"/>
  <c r="B166" i="77"/>
  <c r="B165" i="77"/>
  <c r="B164" i="77"/>
  <c r="B163" i="77"/>
  <c r="B162" i="77"/>
  <c r="B161" i="77"/>
  <c r="B160" i="77"/>
  <c r="B159" i="77"/>
  <c r="B158" i="77"/>
  <c r="B157" i="77"/>
  <c r="B156" i="77"/>
  <c r="B155" i="77"/>
  <c r="B154" i="77"/>
  <c r="B153" i="77"/>
  <c r="B152" i="77"/>
  <c r="B151" i="77"/>
  <c r="B150" i="77"/>
  <c r="B149" i="77"/>
  <c r="B148" i="77"/>
  <c r="B147" i="77"/>
  <c r="B146" i="77"/>
  <c r="B145" i="77"/>
  <c r="B144" i="77"/>
  <c r="B143" i="77"/>
  <c r="B142" i="77"/>
  <c r="B141" i="77"/>
  <c r="B140" i="77"/>
  <c r="B139" i="77"/>
  <c r="B138" i="77"/>
  <c r="B137" i="77"/>
  <c r="B136" i="77"/>
  <c r="B135" i="77"/>
  <c r="B134" i="77"/>
  <c r="B133" i="77"/>
  <c r="B132" i="77"/>
  <c r="B131" i="77"/>
  <c r="B130" i="77"/>
  <c r="B129" i="77"/>
  <c r="B128" i="77"/>
  <c r="B127" i="77"/>
  <c r="B126" i="77"/>
  <c r="B125" i="77"/>
  <c r="B124" i="77"/>
  <c r="B123" i="77"/>
  <c r="B122" i="77"/>
  <c r="B121" i="77"/>
  <c r="B120" i="77"/>
  <c r="B119" i="77"/>
  <c r="B118" i="77"/>
  <c r="B117" i="77"/>
  <c r="B116" i="77"/>
  <c r="B115" i="77"/>
  <c r="B114" i="77"/>
  <c r="B113" i="77"/>
  <c r="B112" i="77"/>
  <c r="B111" i="77"/>
  <c r="B110" i="77"/>
  <c r="B109" i="77"/>
  <c r="B108" i="77"/>
  <c r="B107" i="77"/>
  <c r="B106" i="77"/>
  <c r="B105" i="77"/>
  <c r="B104" i="77"/>
  <c r="B103" i="77"/>
  <c r="B102" i="77"/>
  <c r="B101" i="77"/>
  <c r="B100" i="77"/>
  <c r="B99" i="77"/>
  <c r="B98" i="77"/>
  <c r="B97" i="77"/>
  <c r="B96" i="77"/>
  <c r="B95" i="77"/>
  <c r="B94" i="77"/>
  <c r="B93" i="77"/>
  <c r="B92" i="77"/>
  <c r="B91" i="77"/>
  <c r="B90" i="77"/>
  <c r="B89" i="77"/>
  <c r="B88" i="77"/>
  <c r="B87" i="77"/>
  <c r="B86" i="77"/>
  <c r="B85" i="77"/>
  <c r="B84" i="77"/>
  <c r="B83" i="77"/>
  <c r="B82" i="77"/>
  <c r="B81" i="77"/>
  <c r="B80" i="77"/>
  <c r="B79" i="77"/>
  <c r="B78" i="77"/>
  <c r="B77" i="77"/>
  <c r="B76" i="77"/>
  <c r="B75" i="77"/>
  <c r="B74" i="77"/>
  <c r="B73" i="77"/>
  <c r="B72" i="77"/>
  <c r="B71" i="77"/>
  <c r="B70" i="77"/>
  <c r="B69" i="77"/>
  <c r="B68" i="77"/>
  <c r="B67" i="77"/>
  <c r="B66" i="77"/>
  <c r="B65" i="77"/>
  <c r="B64" i="77"/>
  <c r="B63" i="77"/>
  <c r="B62" i="77"/>
  <c r="B61" i="77"/>
  <c r="B60" i="77"/>
  <c r="B59" i="77"/>
  <c r="B58" i="77"/>
  <c r="B57" i="77"/>
  <c r="B56" i="77"/>
  <c r="B55" i="77"/>
  <c r="B54" i="77"/>
  <c r="B53" i="77"/>
  <c r="B52" i="77"/>
  <c r="B51" i="77"/>
  <c r="B50" i="77"/>
  <c r="B49" i="77"/>
  <c r="B48" i="77"/>
  <c r="B47" i="77"/>
  <c r="B46" i="77"/>
  <c r="B45" i="77"/>
  <c r="B44" i="77"/>
  <c r="B43" i="77"/>
  <c r="B42" i="77"/>
  <c r="B41" i="77"/>
  <c r="B40" i="77"/>
  <c r="B39" i="77"/>
  <c r="B38" i="77"/>
  <c r="B37" i="77"/>
  <c r="B36" i="77"/>
  <c r="B35" i="77"/>
  <c r="B34" i="77"/>
  <c r="B33" i="77"/>
  <c r="B32" i="77"/>
  <c r="B31" i="77"/>
  <c r="B30" i="77"/>
  <c r="B29" i="77"/>
  <c r="B28" i="77"/>
  <c r="B27" i="77"/>
  <c r="B26" i="77"/>
  <c r="B25" i="77"/>
  <c r="B24" i="77"/>
  <c r="B23" i="77"/>
  <c r="B22" i="77"/>
  <c r="B21" i="77"/>
  <c r="B20" i="77"/>
  <c r="B19" i="77"/>
  <c r="B18" i="77"/>
  <c r="B17" i="77"/>
  <c r="U16" i="77"/>
  <c r="T16" i="77"/>
  <c r="S16" i="77"/>
  <c r="R16" i="77"/>
  <c r="Q16" i="77"/>
  <c r="P16" i="77"/>
  <c r="O16" i="77"/>
  <c r="N16" i="77"/>
  <c r="B16" i="77"/>
  <c r="B15" i="77"/>
  <c r="B14" i="77"/>
  <c r="B13" i="77"/>
  <c r="B12" i="77"/>
  <c r="B11" i="77"/>
  <c r="B10" i="77"/>
  <c r="B9" i="77"/>
  <c r="B8" i="77"/>
  <c r="D25" i="80" l="1"/>
  <c r="Z57" i="80"/>
  <c r="D14" i="80" l="1"/>
  <c r="J25" i="80"/>
  <c r="H25" i="80"/>
  <c r="F25" i="80"/>
  <c r="K40" i="18" l="1"/>
  <c r="AI28" i="33"/>
  <c r="P44" i="18"/>
  <c r="I58" i="18"/>
  <c r="J58" i="18" s="1"/>
  <c r="K58" i="18" s="1"/>
  <c r="L58" i="18" s="1"/>
  <c r="E33" i="18"/>
  <c r="AF104" i="70"/>
  <c r="AE104" i="70"/>
  <c r="AD104" i="70"/>
  <c r="AC104" i="70"/>
  <c r="AH352" i="70"/>
  <c r="AH104" i="70" s="1"/>
  <c r="AH258" i="70"/>
  <c r="BM346" i="70"/>
  <c r="AI93" i="70"/>
  <c r="AJ93" i="70"/>
  <c r="AK93" i="70"/>
  <c r="AL93" i="70"/>
  <c r="AM93" i="70"/>
  <c r="AN93" i="70"/>
  <c r="AO93" i="70"/>
  <c r="AI94" i="70"/>
  <c r="AJ94" i="70"/>
  <c r="AK94" i="70"/>
  <c r="AL94" i="70"/>
  <c r="AM94" i="70"/>
  <c r="AN94" i="70"/>
  <c r="AO94" i="70"/>
  <c r="AH93" i="70"/>
  <c r="AM104" i="70"/>
  <c r="AL104" i="70"/>
  <c r="AK104" i="70"/>
  <c r="AJ104" i="70"/>
  <c r="AI104" i="70"/>
  <c r="AM103" i="70"/>
  <c r="AL103" i="70"/>
  <c r="AK103" i="70"/>
  <c r="AJ103" i="70"/>
  <c r="AI103" i="70"/>
  <c r="AH103" i="70"/>
  <c r="AM102" i="70"/>
  <c r="AL102" i="70"/>
  <c r="AK102" i="70"/>
  <c r="AJ102" i="70"/>
  <c r="AI102" i="70"/>
  <c r="AH102" i="70"/>
  <c r="AM101" i="70"/>
  <c r="AL101" i="70"/>
  <c r="AK101" i="70"/>
  <c r="AJ101" i="70"/>
  <c r="AI101" i="70"/>
  <c r="AH101" i="70"/>
  <c r="AM98" i="70"/>
  <c r="AL98" i="70"/>
  <c r="AM97" i="70"/>
  <c r="AM99" i="70" s="1"/>
  <c r="AL97" i="70"/>
  <c r="AL99" i="70" s="1"/>
  <c r="AK97" i="70"/>
  <c r="AJ97" i="70"/>
  <c r="AI97" i="70"/>
  <c r="AH97" i="70"/>
  <c r="AH94" i="70"/>
  <c r="AM92" i="70"/>
  <c r="AL92" i="70"/>
  <c r="AK92" i="70"/>
  <c r="AJ92" i="70"/>
  <c r="AI92" i="70"/>
  <c r="AH92" i="70"/>
  <c r="AM91" i="70"/>
  <c r="AL91" i="70"/>
  <c r="AK91" i="70"/>
  <c r="AJ91" i="70"/>
  <c r="AI91" i="70"/>
  <c r="AH91" i="70"/>
  <c r="AF284" i="70"/>
  <c r="AE284" i="70"/>
  <c r="AD284" i="70"/>
  <c r="AC284" i="70"/>
  <c r="AB284" i="70"/>
  <c r="AA284" i="70"/>
  <c r="Z284" i="70"/>
  <c r="Y284" i="70"/>
  <c r="X284" i="70"/>
  <c r="W284" i="70"/>
  <c r="V284" i="70"/>
  <c r="U284" i="70"/>
  <c r="T284" i="70"/>
  <c r="S284" i="70"/>
  <c r="R284" i="70"/>
  <c r="Q284" i="70"/>
  <c r="P284" i="70"/>
  <c r="O284" i="70"/>
  <c r="N284" i="70"/>
  <c r="M284" i="70"/>
  <c r="L284" i="70"/>
  <c r="K284" i="70"/>
  <c r="J284" i="70"/>
  <c r="I284" i="70"/>
  <c r="H284" i="70"/>
  <c r="G284" i="70"/>
  <c r="F284" i="70"/>
  <c r="AB283" i="70"/>
  <c r="AA283" i="70"/>
  <c r="Z283" i="70"/>
  <c r="Y283" i="70"/>
  <c r="X283" i="70"/>
  <c r="W283" i="70"/>
  <c r="V283" i="70"/>
  <c r="U283" i="70"/>
  <c r="T283" i="70"/>
  <c r="S283" i="70"/>
  <c r="R283" i="70"/>
  <c r="Q283" i="70"/>
  <c r="P283" i="70"/>
  <c r="O283" i="70"/>
  <c r="N283" i="70"/>
  <c r="M283" i="70"/>
  <c r="L283" i="70"/>
  <c r="K283" i="70"/>
  <c r="J283" i="70"/>
  <c r="I283" i="70"/>
  <c r="H283" i="70"/>
  <c r="G283" i="70"/>
  <c r="F283" i="70"/>
  <c r="AB282" i="70"/>
  <c r="AA282" i="70"/>
  <c r="Z282" i="70"/>
  <c r="Y282" i="70"/>
  <c r="X282" i="70"/>
  <c r="W282" i="70"/>
  <c r="V282" i="70"/>
  <c r="U282" i="70"/>
  <c r="T282" i="70"/>
  <c r="S282" i="70"/>
  <c r="R282" i="70"/>
  <c r="Q282" i="70"/>
  <c r="P282" i="70"/>
  <c r="O282" i="70"/>
  <c r="N282" i="70"/>
  <c r="M282" i="70"/>
  <c r="L282" i="70"/>
  <c r="K282" i="70"/>
  <c r="J282" i="70"/>
  <c r="I282" i="70"/>
  <c r="H282" i="70"/>
  <c r="G282" i="70"/>
  <c r="F282" i="70"/>
  <c r="AB272" i="70"/>
  <c r="AA272" i="70"/>
  <c r="Z272" i="70"/>
  <c r="Y272" i="70"/>
  <c r="X272" i="70"/>
  <c r="W272" i="70"/>
  <c r="V272" i="70"/>
  <c r="U272" i="70"/>
  <c r="T272" i="70"/>
  <c r="S272" i="70"/>
  <c r="R272" i="70"/>
  <c r="Q272" i="70"/>
  <c r="P272" i="70"/>
  <c r="O272" i="70"/>
  <c r="N272" i="70"/>
  <c r="M272" i="70"/>
  <c r="L272" i="70"/>
  <c r="K272" i="70"/>
  <c r="J272" i="70"/>
  <c r="I272" i="70"/>
  <c r="H272" i="70"/>
  <c r="G272" i="70"/>
  <c r="F272" i="70"/>
  <c r="AF269" i="70"/>
  <c r="AE269" i="70"/>
  <c r="AD269" i="70"/>
  <c r="AC269" i="70"/>
  <c r="AB269" i="70"/>
  <c r="AA269" i="70"/>
  <c r="Z269" i="70"/>
  <c r="Y269" i="70"/>
  <c r="X269" i="70"/>
  <c r="W269" i="70"/>
  <c r="V269" i="70"/>
  <c r="U269" i="70"/>
  <c r="T269" i="70"/>
  <c r="S269" i="70"/>
  <c r="R269" i="70"/>
  <c r="Q269" i="70"/>
  <c r="P269" i="70"/>
  <c r="O269" i="70"/>
  <c r="N269" i="70"/>
  <c r="M269" i="70"/>
  <c r="L269" i="70"/>
  <c r="K269" i="70"/>
  <c r="J269" i="70"/>
  <c r="I269" i="70"/>
  <c r="H269" i="70"/>
  <c r="G269" i="70"/>
  <c r="F269" i="70"/>
  <c r="AB258" i="70"/>
  <c r="AA258" i="70"/>
  <c r="Z258" i="70"/>
  <c r="Y258" i="70"/>
  <c r="X258" i="70"/>
  <c r="W258" i="70"/>
  <c r="V258" i="70"/>
  <c r="U258" i="70"/>
  <c r="T258" i="70"/>
  <c r="S258" i="70"/>
  <c r="R258" i="70"/>
  <c r="Q258" i="70"/>
  <c r="P258" i="70"/>
  <c r="O258" i="70"/>
  <c r="N258" i="70"/>
  <c r="M258" i="70"/>
  <c r="L258" i="70"/>
  <c r="K258" i="70"/>
  <c r="J258" i="70"/>
  <c r="I258" i="70"/>
  <c r="H258" i="70"/>
  <c r="G258" i="70"/>
  <c r="F258" i="70"/>
  <c r="E258" i="70"/>
  <c r="AB257" i="70"/>
  <c r="AA257" i="70"/>
  <c r="Z257" i="70"/>
  <c r="Y257" i="70"/>
  <c r="X257" i="70"/>
  <c r="W257" i="70"/>
  <c r="V257" i="70"/>
  <c r="U257" i="70"/>
  <c r="T257" i="70"/>
  <c r="S257" i="70"/>
  <c r="R257" i="70"/>
  <c r="Q257" i="70"/>
  <c r="P257" i="70"/>
  <c r="O257" i="70"/>
  <c r="N257" i="70"/>
  <c r="M257" i="70"/>
  <c r="L257" i="70"/>
  <c r="K257" i="70"/>
  <c r="J257" i="70"/>
  <c r="I257" i="70"/>
  <c r="H257" i="70"/>
  <c r="G257" i="70"/>
  <c r="F257" i="70"/>
  <c r="E257" i="70"/>
  <c r="AB254" i="70"/>
  <c r="AB268" i="70" s="1"/>
  <c r="AA254" i="70"/>
  <c r="Z254" i="70"/>
  <c r="Y254" i="70"/>
  <c r="X254" i="70"/>
  <c r="W254" i="70"/>
  <c r="V254" i="70"/>
  <c r="U254" i="70"/>
  <c r="T254" i="70"/>
  <c r="S254" i="70"/>
  <c r="R254" i="70"/>
  <c r="Q254" i="70"/>
  <c r="P254" i="70"/>
  <c r="O254" i="70"/>
  <c r="N254" i="70"/>
  <c r="M254" i="70"/>
  <c r="L254" i="70"/>
  <c r="K254" i="70"/>
  <c r="J254" i="70"/>
  <c r="I254" i="70"/>
  <c r="H254" i="70"/>
  <c r="G254" i="70"/>
  <c r="F254" i="70"/>
  <c r="E254" i="70"/>
  <c r="AB249" i="70"/>
  <c r="AA249" i="70"/>
  <c r="Z249" i="70"/>
  <c r="Y249" i="70"/>
  <c r="X249" i="70"/>
  <c r="W249" i="70"/>
  <c r="V249" i="70"/>
  <c r="U249" i="70"/>
  <c r="T249" i="70"/>
  <c r="S249" i="70"/>
  <c r="R249" i="70"/>
  <c r="Q249" i="70"/>
  <c r="P249" i="70"/>
  <c r="O249" i="70"/>
  <c r="N249" i="70"/>
  <c r="M249" i="70"/>
  <c r="L249" i="70"/>
  <c r="K249" i="70"/>
  <c r="J249" i="70"/>
  <c r="I249" i="70"/>
  <c r="H249" i="70"/>
  <c r="G249" i="70"/>
  <c r="F249" i="70"/>
  <c r="E249" i="70"/>
  <c r="AB248" i="70"/>
  <c r="AA248" i="70"/>
  <c r="Z248" i="70"/>
  <c r="Y248" i="70"/>
  <c r="X248" i="70"/>
  <c r="W248" i="70"/>
  <c r="V248" i="70"/>
  <c r="U248" i="70"/>
  <c r="T248" i="70"/>
  <c r="S248" i="70"/>
  <c r="R248" i="70"/>
  <c r="Q248" i="70"/>
  <c r="P248" i="70"/>
  <c r="O248" i="70"/>
  <c r="N248" i="70"/>
  <c r="M248" i="70"/>
  <c r="L248" i="70"/>
  <c r="K248" i="70"/>
  <c r="J248" i="70"/>
  <c r="I248" i="70"/>
  <c r="H248" i="70"/>
  <c r="G248" i="70"/>
  <c r="F248" i="70"/>
  <c r="E248" i="70"/>
  <c r="AB245" i="70"/>
  <c r="AA245" i="70"/>
  <c r="Z245" i="70"/>
  <c r="Y245" i="70"/>
  <c r="X245" i="70"/>
  <c r="W245" i="70"/>
  <c r="V245" i="70"/>
  <c r="U245" i="70"/>
  <c r="T245" i="70"/>
  <c r="S245" i="70"/>
  <c r="R245" i="70"/>
  <c r="Q245" i="70"/>
  <c r="P245" i="70"/>
  <c r="O245" i="70"/>
  <c r="N245" i="70"/>
  <c r="M245" i="70"/>
  <c r="L245" i="70"/>
  <c r="H245" i="70"/>
  <c r="AB244" i="70"/>
  <c r="AA244" i="70"/>
  <c r="Z244" i="70"/>
  <c r="Y244" i="70"/>
  <c r="X244" i="70"/>
  <c r="W244" i="70"/>
  <c r="V244" i="70"/>
  <c r="U244" i="70"/>
  <c r="T244" i="70"/>
  <c r="S244" i="70"/>
  <c r="R244" i="70"/>
  <c r="Q244" i="70"/>
  <c r="P244" i="70"/>
  <c r="O244" i="70"/>
  <c r="N244" i="70"/>
  <c r="M244" i="70"/>
  <c r="L244" i="70"/>
  <c r="K244" i="70"/>
  <c r="J244" i="70"/>
  <c r="I244" i="70"/>
  <c r="H244" i="70"/>
  <c r="G244" i="70"/>
  <c r="F244" i="70"/>
  <c r="E244" i="70"/>
  <c r="AB243" i="70"/>
  <c r="AA243" i="70"/>
  <c r="AA246" i="70" s="1"/>
  <c r="AA250" i="70" s="1"/>
  <c r="Z243" i="70"/>
  <c r="Z246" i="70" s="1"/>
  <c r="Z250" i="70" s="1"/>
  <c r="Y243" i="70"/>
  <c r="X243" i="70"/>
  <c r="W243" i="70"/>
  <c r="V243" i="70"/>
  <c r="U243" i="70"/>
  <c r="T243" i="70"/>
  <c r="S243" i="70"/>
  <c r="S246" i="70" s="1"/>
  <c r="S250" i="70" s="1"/>
  <c r="R243" i="70"/>
  <c r="R246" i="70" s="1"/>
  <c r="R250" i="70" s="1"/>
  <c r="Q243" i="70"/>
  <c r="P243" i="70"/>
  <c r="O243" i="70"/>
  <c r="N243" i="70"/>
  <c r="M243" i="70"/>
  <c r="L243" i="70"/>
  <c r="K243" i="70"/>
  <c r="J243" i="70"/>
  <c r="I243" i="70"/>
  <c r="H243" i="70"/>
  <c r="G243" i="70"/>
  <c r="F243" i="70"/>
  <c r="E243" i="70"/>
  <c r="AH257" i="70"/>
  <c r="AH254" i="70"/>
  <c r="AI278" i="70" s="1"/>
  <c r="AH249" i="70"/>
  <c r="AH248" i="70"/>
  <c r="AH244" i="70"/>
  <c r="AH243" i="70"/>
  <c r="AI258" i="70"/>
  <c r="AI254" i="70"/>
  <c r="AI284" i="70"/>
  <c r="AI283" i="70"/>
  <c r="AI282" i="70"/>
  <c r="AI272" i="70"/>
  <c r="AI269" i="70"/>
  <c r="AI257" i="70"/>
  <c r="AI249" i="70"/>
  <c r="AI248" i="70"/>
  <c r="AI244" i="70"/>
  <c r="AI243" i="70"/>
  <c r="AF170" i="70"/>
  <c r="AE170" i="70"/>
  <c r="AD170" i="70"/>
  <c r="AC170" i="70"/>
  <c r="AB63" i="70"/>
  <c r="AA63" i="70"/>
  <c r="Z63" i="70"/>
  <c r="Y63" i="70"/>
  <c r="X63" i="70"/>
  <c r="W63" i="70"/>
  <c r="V63" i="70"/>
  <c r="U63" i="70"/>
  <c r="T63" i="70"/>
  <c r="S63" i="70"/>
  <c r="R63" i="70"/>
  <c r="Q63" i="70"/>
  <c r="P63" i="70"/>
  <c r="O63" i="70"/>
  <c r="N63" i="70"/>
  <c r="M63" i="70"/>
  <c r="L63" i="70"/>
  <c r="K63" i="70"/>
  <c r="J63" i="70"/>
  <c r="I63" i="70"/>
  <c r="H63" i="70"/>
  <c r="G63" i="70"/>
  <c r="F63" i="70"/>
  <c r="E63" i="70"/>
  <c r="AM63" i="70"/>
  <c r="AL63" i="70"/>
  <c r="AK63" i="70"/>
  <c r="AJ63" i="70"/>
  <c r="AI63" i="70"/>
  <c r="AH63" i="70"/>
  <c r="P28" i="18"/>
  <c r="P29" i="18"/>
  <c r="P32" i="18"/>
  <c r="I278" i="70" l="1"/>
  <c r="Q278" i="70"/>
  <c r="X246" i="70"/>
  <c r="O278" i="70"/>
  <c r="H268" i="70"/>
  <c r="AK105" i="70"/>
  <c r="W268" i="70"/>
  <c r="N246" i="70"/>
  <c r="N250" i="70" s="1"/>
  <c r="V246" i="70"/>
  <c r="V250" i="70" s="1"/>
  <c r="K268" i="70"/>
  <c r="S268" i="70"/>
  <c r="AA268" i="70"/>
  <c r="O246" i="70"/>
  <c r="O250" i="70" s="1"/>
  <c r="W246" i="70"/>
  <c r="W250" i="70" s="1"/>
  <c r="F278" i="70"/>
  <c r="M278" i="70"/>
  <c r="V278" i="70"/>
  <c r="K285" i="70"/>
  <c r="K277" i="70" s="1"/>
  <c r="S285" i="70"/>
  <c r="S277" i="70" s="1"/>
  <c r="AA285" i="70"/>
  <c r="AA277" i="70" s="1"/>
  <c r="Y278" i="70"/>
  <c r="I268" i="70"/>
  <c r="G285" i="70"/>
  <c r="G277" i="70" s="1"/>
  <c r="O285" i="70"/>
  <c r="O277" i="70" s="1"/>
  <c r="W285" i="70"/>
  <c r="W277" i="70" s="1"/>
  <c r="Q268" i="70"/>
  <c r="AL105" i="70"/>
  <c r="Y268" i="70"/>
  <c r="J268" i="70"/>
  <c r="R268" i="70"/>
  <c r="Z268" i="70"/>
  <c r="AM95" i="70"/>
  <c r="AM108" i="70" s="1"/>
  <c r="AI268" i="70"/>
  <c r="U278" i="70"/>
  <c r="AH105" i="70"/>
  <c r="G278" i="70"/>
  <c r="G268" i="70"/>
  <c r="H278" i="70"/>
  <c r="P278" i="70"/>
  <c r="X278" i="70"/>
  <c r="O268" i="70"/>
  <c r="AI285" i="70"/>
  <c r="AI277" i="70" s="1"/>
  <c r="P268" i="70"/>
  <c r="U268" i="70"/>
  <c r="K278" i="70"/>
  <c r="H285" i="70"/>
  <c r="H277" i="70" s="1"/>
  <c r="P285" i="70"/>
  <c r="P277" i="70" s="1"/>
  <c r="X285" i="70"/>
  <c r="X277" i="70" s="1"/>
  <c r="Q246" i="70"/>
  <c r="Q250" i="70" s="1"/>
  <c r="Q261" i="70" s="1"/>
  <c r="Y246" i="70"/>
  <c r="Y250" i="70" s="1"/>
  <c r="Y261" i="70" s="1"/>
  <c r="L278" i="70"/>
  <c r="L268" i="70"/>
  <c r="T278" i="70"/>
  <c r="T268" i="70"/>
  <c r="AB278" i="70"/>
  <c r="N278" i="70"/>
  <c r="M268" i="70"/>
  <c r="S278" i="70"/>
  <c r="W278" i="70"/>
  <c r="X268" i="70"/>
  <c r="AA278" i="70"/>
  <c r="L246" i="70"/>
  <c r="L250" i="70" s="1"/>
  <c r="L261" i="70" s="1"/>
  <c r="T246" i="70"/>
  <c r="T250" i="70" s="1"/>
  <c r="T261" i="70" s="1"/>
  <c r="AB246" i="70"/>
  <c r="AB250" i="70" s="1"/>
  <c r="AB261" i="70" s="1"/>
  <c r="F268" i="70"/>
  <c r="N268" i="70"/>
  <c r="V268" i="70"/>
  <c r="R278" i="70"/>
  <c r="AI105" i="70"/>
  <c r="H246" i="70"/>
  <c r="H250" i="70" s="1"/>
  <c r="H261" i="70" s="1"/>
  <c r="P246" i="70"/>
  <c r="P250" i="70" s="1"/>
  <c r="X250" i="70"/>
  <c r="J278" i="70"/>
  <c r="Z278" i="70"/>
  <c r="J285" i="70"/>
  <c r="J277" i="70" s="1"/>
  <c r="R285" i="70"/>
  <c r="R277" i="70" s="1"/>
  <c r="Z285" i="70"/>
  <c r="Z277" i="70" s="1"/>
  <c r="AL95" i="70"/>
  <c r="AL106" i="70" s="1"/>
  <c r="M285" i="70"/>
  <c r="M277" i="70" s="1"/>
  <c r="U285" i="70"/>
  <c r="U277" i="70" s="1"/>
  <c r="AJ95" i="70"/>
  <c r="M246" i="70"/>
  <c r="M250" i="70" s="1"/>
  <c r="M261" i="70" s="1"/>
  <c r="U246" i="70"/>
  <c r="U250" i="70" s="1"/>
  <c r="U261" i="70" s="1"/>
  <c r="F285" i="70"/>
  <c r="F277" i="70" s="1"/>
  <c r="N285" i="70"/>
  <c r="N277" i="70" s="1"/>
  <c r="V285" i="70"/>
  <c r="V277" i="70" s="1"/>
  <c r="I285" i="70"/>
  <c r="I277" i="70" s="1"/>
  <c r="Q285" i="70"/>
  <c r="Q277" i="70" s="1"/>
  <c r="Y285" i="70"/>
  <c r="Y277" i="70" s="1"/>
  <c r="AJ105" i="70"/>
  <c r="L285" i="70"/>
  <c r="L277" i="70" s="1"/>
  <c r="T285" i="70"/>
  <c r="T277" i="70" s="1"/>
  <c r="AB285" i="70"/>
  <c r="AB277" i="70" s="1"/>
  <c r="AI95" i="70"/>
  <c r="AM105" i="70"/>
  <c r="AH95" i="70"/>
  <c r="AK95" i="70"/>
  <c r="AK108" i="70" s="1"/>
  <c r="AH108" i="70"/>
  <c r="Z261" i="70"/>
  <c r="AA261" i="70"/>
  <c r="R261" i="70"/>
  <c r="O261" i="70"/>
  <c r="W261" i="70"/>
  <c r="S261" i="70"/>
  <c r="AL108" i="70" l="1"/>
  <c r="AM106" i="70"/>
  <c r="X261" i="70"/>
  <c r="V261" i="70"/>
  <c r="AJ108" i="70"/>
  <c r="P261" i="70"/>
  <c r="N261" i="70"/>
  <c r="AI108" i="70"/>
  <c r="P45" i="18" l="1"/>
  <c r="Q20" i="21" l="1"/>
  <c r="A2" i="26" l="1"/>
  <c r="A1" i="26"/>
  <c r="D60" i="25"/>
  <c r="C21" i="25"/>
  <c r="D21" i="25" s="1"/>
  <c r="D20" i="25"/>
  <c r="A2" i="24"/>
  <c r="A1" i="24"/>
  <c r="C21" i="23"/>
  <c r="C22" i="23" s="1"/>
  <c r="D20" i="23"/>
  <c r="C21" i="21"/>
  <c r="Q21" i="21" s="1"/>
  <c r="D20" i="21"/>
  <c r="L6" i="21"/>
  <c r="K6" i="21"/>
  <c r="J6" i="21"/>
  <c r="I6" i="21"/>
  <c r="H6" i="21"/>
  <c r="G6" i="21"/>
  <c r="F6" i="21"/>
  <c r="D60" i="67"/>
  <c r="X35" i="67"/>
  <c r="AN34" i="67"/>
  <c r="AM34" i="67"/>
  <c r="AL34" i="67"/>
  <c r="AK34" i="67"/>
  <c r="AJ34" i="67"/>
  <c r="AI34" i="67"/>
  <c r="AH34" i="67"/>
  <c r="AG34" i="67"/>
  <c r="AF34" i="67"/>
  <c r="AE34" i="67"/>
  <c r="AD34" i="67"/>
  <c r="AC34" i="67"/>
  <c r="AB34" i="67"/>
  <c r="AA34" i="67"/>
  <c r="Z34" i="67"/>
  <c r="Y34" i="67"/>
  <c r="X34" i="67"/>
  <c r="P34" i="67"/>
  <c r="Y32" i="67"/>
  <c r="Y35" i="67" s="1"/>
  <c r="C21" i="67"/>
  <c r="C22" i="67" s="1"/>
  <c r="D20" i="67"/>
  <c r="E44" i="19"/>
  <c r="G37" i="19" s="1"/>
  <c r="G38" i="19"/>
  <c r="G36" i="19" s="1"/>
  <c r="E33" i="19"/>
  <c r="E30" i="19"/>
  <c r="D29" i="19"/>
  <c r="E25" i="19"/>
  <c r="G8" i="19"/>
  <c r="D7" i="19"/>
  <c r="F2" i="19"/>
  <c r="E2" i="19"/>
  <c r="AI26" i="22"/>
  <c r="A2" i="22"/>
  <c r="A1" i="22"/>
  <c r="ES38" i="17"/>
  <c r="ES36" i="17"/>
  <c r="ES35" i="17"/>
  <c r="ES34" i="17"/>
  <c r="BE34" i="17"/>
  <c r="ES33" i="17"/>
  <c r="BE33" i="17"/>
  <c r="BE35" i="17" s="1"/>
  <c r="BE37" i="17" s="1"/>
  <c r="ES32" i="17"/>
  <c r="ES31" i="17"/>
  <c r="ES30" i="17"/>
  <c r="ES29" i="17"/>
  <c r="BF29" i="17"/>
  <c r="BE29" i="17"/>
  <c r="BD29" i="17"/>
  <c r="W28" i="17"/>
  <c r="BD27" i="17"/>
  <c r="IZ21" i="17"/>
  <c r="IY21" i="17"/>
  <c r="IQ21" i="17"/>
  <c r="IP21" i="17"/>
  <c r="IH21" i="17"/>
  <c r="IG21" i="17"/>
  <c r="HY21" i="17"/>
  <c r="HX21" i="17"/>
  <c r="HP21" i="17"/>
  <c r="HO21" i="17"/>
  <c r="L21" i="17"/>
  <c r="IZ19" i="17"/>
  <c r="IY19" i="17"/>
  <c r="IQ19" i="17"/>
  <c r="IP19" i="17"/>
  <c r="IH19" i="17"/>
  <c r="IG19" i="17"/>
  <c r="HY19" i="17"/>
  <c r="HX19" i="17"/>
  <c r="HP19" i="17"/>
  <c r="HO19" i="17"/>
  <c r="L19" i="17"/>
  <c r="IZ18" i="17"/>
  <c r="IY18" i="17"/>
  <c r="IQ18" i="17"/>
  <c r="IP18" i="17"/>
  <c r="IH18" i="17"/>
  <c r="IG18" i="17"/>
  <c r="HY18" i="17"/>
  <c r="HX18" i="17"/>
  <c r="HP18" i="17"/>
  <c r="HO18" i="17"/>
  <c r="L18" i="17"/>
  <c r="L17" i="17"/>
  <c r="L16" i="17"/>
  <c r="L15" i="17"/>
  <c r="L14" i="17"/>
  <c r="L13" i="17"/>
  <c r="L12" i="17"/>
  <c r="C12" i="17"/>
  <c r="C13" i="17" s="1"/>
  <c r="C14" i="17" s="1"/>
  <c r="C15" i="17" s="1"/>
  <c r="C16" i="17" s="1"/>
  <c r="C17" i="17" s="1"/>
  <c r="C18" i="17" s="1"/>
  <c r="C19" i="17" s="1"/>
  <c r="JC10" i="17"/>
  <c r="IZ10" i="17"/>
  <c r="IY10" i="17"/>
  <c r="IX10" i="17"/>
  <c r="IW10" i="17"/>
  <c r="IV10" i="17"/>
  <c r="IU10" i="17"/>
  <c r="IT10" i="17"/>
  <c r="IS10" i="17"/>
  <c r="IQ10" i="17"/>
  <c r="IP10" i="17"/>
  <c r="IO10" i="17"/>
  <c r="IN10" i="17"/>
  <c r="IM10" i="17"/>
  <c r="IL10" i="17"/>
  <c r="IK10" i="17"/>
  <c r="IJ10" i="17"/>
  <c r="IF10" i="17"/>
  <c r="IE10" i="17"/>
  <c r="ID10" i="17"/>
  <c r="IC10" i="17"/>
  <c r="IB10" i="17"/>
  <c r="IA10" i="17"/>
  <c r="HW10" i="17"/>
  <c r="HV10" i="17"/>
  <c r="HU10" i="17"/>
  <c r="HT10" i="17"/>
  <c r="HS10" i="17"/>
  <c r="HR10" i="17"/>
  <c r="HN10" i="17"/>
  <c r="HM10" i="17"/>
  <c r="HL10" i="17"/>
  <c r="HK10" i="17"/>
  <c r="HJ10" i="17"/>
  <c r="HI10" i="17"/>
  <c r="HG10" i="17"/>
  <c r="HF10" i="17"/>
  <c r="HE10" i="17"/>
  <c r="HD10" i="17"/>
  <c r="HC10" i="17"/>
  <c r="HB10" i="17"/>
  <c r="HA10" i="17"/>
  <c r="GZ10" i="17"/>
  <c r="GX10" i="17"/>
  <c r="GW10" i="17"/>
  <c r="GV10" i="17"/>
  <c r="GU10" i="17"/>
  <c r="GT10" i="17"/>
  <c r="GS10" i="17"/>
  <c r="GR10" i="17"/>
  <c r="GQ10" i="17"/>
  <c r="GO10" i="17"/>
  <c r="GN10" i="17"/>
  <c r="GM10" i="17"/>
  <c r="GL10" i="17"/>
  <c r="GK10" i="17"/>
  <c r="GJ10" i="17"/>
  <c r="GI10" i="17"/>
  <c r="GH10" i="17"/>
  <c r="GF10" i="17"/>
  <c r="GE10" i="17"/>
  <c r="GD10" i="17"/>
  <c r="GC10" i="17"/>
  <c r="GB10" i="17"/>
  <c r="GA10" i="17"/>
  <c r="FZ10" i="17"/>
  <c r="FY10" i="17"/>
  <c r="FW10" i="17"/>
  <c r="FV10" i="17"/>
  <c r="FU10" i="17"/>
  <c r="FT10" i="17"/>
  <c r="FS10" i="17"/>
  <c r="FR10" i="17"/>
  <c r="FQ10" i="17"/>
  <c r="FP10" i="17"/>
  <c r="FN10" i="17"/>
  <c r="FM10" i="17"/>
  <c r="FL10" i="17"/>
  <c r="FK10" i="17"/>
  <c r="FJ10" i="17"/>
  <c r="FI10" i="17"/>
  <c r="FH10" i="17"/>
  <c r="FG10" i="17"/>
  <c r="FD10" i="17"/>
  <c r="FC10" i="17"/>
  <c r="FB10" i="17"/>
  <c r="FA10" i="17"/>
  <c r="EZ10" i="17"/>
  <c r="EY10" i="17"/>
  <c r="EX10" i="17"/>
  <c r="EW10" i="17"/>
  <c r="EU10" i="17"/>
  <c r="ET10" i="17"/>
  <c r="ES10" i="17"/>
  <c r="ER10" i="17"/>
  <c r="EQ10" i="17"/>
  <c r="EP10" i="17"/>
  <c r="EO10" i="17"/>
  <c r="EN10" i="17"/>
  <c r="EL10" i="17"/>
  <c r="EK10" i="17"/>
  <c r="EJ10" i="17"/>
  <c r="EI10" i="17"/>
  <c r="EH10" i="17"/>
  <c r="EG10" i="17"/>
  <c r="EF10" i="17"/>
  <c r="EE10" i="17"/>
  <c r="EC10" i="17"/>
  <c r="EB10" i="17"/>
  <c r="EA10" i="17"/>
  <c r="DZ10" i="17"/>
  <c r="DY10" i="17"/>
  <c r="DX10" i="17"/>
  <c r="DW10" i="17"/>
  <c r="DV10" i="17"/>
  <c r="DT10" i="17"/>
  <c r="DS10" i="17"/>
  <c r="DR10" i="17"/>
  <c r="DQ10" i="17"/>
  <c r="DP10" i="17"/>
  <c r="DO10" i="17"/>
  <c r="DN10" i="17"/>
  <c r="DM10" i="17"/>
  <c r="DK10" i="17"/>
  <c r="DJ10" i="17"/>
  <c r="DI10" i="17"/>
  <c r="DH10" i="17"/>
  <c r="DG10" i="17"/>
  <c r="DF10" i="17"/>
  <c r="DE10" i="17"/>
  <c r="DD10" i="17"/>
  <c r="DB10" i="17"/>
  <c r="DA10" i="17"/>
  <c r="CZ10" i="17"/>
  <c r="CY10" i="17"/>
  <c r="CX10" i="17"/>
  <c r="CW10" i="17"/>
  <c r="CV10" i="17"/>
  <c r="CU10" i="17"/>
  <c r="CS10" i="17"/>
  <c r="CR10" i="17"/>
  <c r="CQ10" i="17"/>
  <c r="CP10" i="17"/>
  <c r="CO10" i="17"/>
  <c r="CN10" i="17"/>
  <c r="CM10" i="17"/>
  <c r="CL10" i="17"/>
  <c r="CJ10" i="17"/>
  <c r="CI10" i="17"/>
  <c r="CH10" i="17"/>
  <c r="CG10" i="17"/>
  <c r="CF10" i="17"/>
  <c r="CE10" i="17"/>
  <c r="CD10" i="17"/>
  <c r="CC10" i="17"/>
  <c r="CA10" i="17"/>
  <c r="BZ10" i="17"/>
  <c r="BY10" i="17"/>
  <c r="BX10" i="17"/>
  <c r="BW10" i="17"/>
  <c r="BV10" i="17"/>
  <c r="BU10" i="17"/>
  <c r="BT10" i="17"/>
  <c r="BQ10" i="17"/>
  <c r="BP10" i="17"/>
  <c r="BO10" i="17"/>
  <c r="BN10" i="17"/>
  <c r="BM10" i="17"/>
  <c r="BL10" i="17"/>
  <c r="BK10" i="17"/>
  <c r="BJ10" i="17"/>
  <c r="BH10" i="17"/>
  <c r="BG10" i="17"/>
  <c r="BF10" i="17"/>
  <c r="BE10" i="17"/>
  <c r="BD10" i="17"/>
  <c r="BC10" i="17"/>
  <c r="BB10" i="17"/>
  <c r="BA10" i="17"/>
  <c r="AY10" i="17"/>
  <c r="AX10" i="17"/>
  <c r="AW10" i="17"/>
  <c r="AV10" i="17"/>
  <c r="AU10" i="17"/>
  <c r="AT10" i="17"/>
  <c r="AS10" i="17"/>
  <c r="AR10" i="17"/>
  <c r="AP10" i="17"/>
  <c r="AO10" i="17"/>
  <c r="AN10" i="17"/>
  <c r="AM10" i="17"/>
  <c r="AL10" i="17"/>
  <c r="AK10" i="17"/>
  <c r="AJ10" i="17"/>
  <c r="AI10" i="17"/>
  <c r="AG10" i="17"/>
  <c r="AF10" i="17"/>
  <c r="AE10" i="17"/>
  <c r="AD10" i="17"/>
  <c r="AC10" i="17"/>
  <c r="AB10" i="17"/>
  <c r="AA10" i="17"/>
  <c r="Z10" i="17"/>
  <c r="X10" i="17"/>
  <c r="W10" i="17"/>
  <c r="V10" i="17"/>
  <c r="U10" i="17"/>
  <c r="T10" i="17"/>
  <c r="S10" i="17"/>
  <c r="R10" i="17"/>
  <c r="Q10" i="17"/>
  <c r="O10" i="17"/>
  <c r="N10" i="17"/>
  <c r="K10" i="17"/>
  <c r="J10" i="17"/>
  <c r="I10" i="17"/>
  <c r="H10" i="17"/>
  <c r="G10" i="17"/>
  <c r="F10" i="17"/>
  <c r="E10" i="17"/>
  <c r="D10" i="17"/>
  <c r="D6" i="17"/>
  <c r="A1" i="17"/>
  <c r="C8" i="17" s="1"/>
  <c r="A2" i="30"/>
  <c r="A1" i="30"/>
  <c r="V25" i="20"/>
  <c r="V34" i="20" s="1"/>
  <c r="R25" i="20"/>
  <c r="R34" i="20" s="1"/>
  <c r="N25" i="20"/>
  <c r="N34" i="20" s="1"/>
  <c r="J25" i="20"/>
  <c r="J34" i="20" s="1"/>
  <c r="F25" i="20"/>
  <c r="F34" i="20" s="1"/>
  <c r="V24" i="20"/>
  <c r="V33" i="20" s="1"/>
  <c r="R24" i="20"/>
  <c r="R33" i="20" s="1"/>
  <c r="V23" i="20"/>
  <c r="V32" i="20" s="1"/>
  <c r="R23" i="20"/>
  <c r="R32" i="20" s="1"/>
  <c r="N23" i="20"/>
  <c r="N32" i="20" s="1"/>
  <c r="J23" i="20"/>
  <c r="J32" i="20" s="1"/>
  <c r="F23" i="20"/>
  <c r="F32" i="20" s="1"/>
  <c r="V22" i="20"/>
  <c r="V31" i="20" s="1"/>
  <c r="R22" i="20"/>
  <c r="R31" i="20" s="1"/>
  <c r="N22" i="20"/>
  <c r="N31" i="20" s="1"/>
  <c r="J22" i="20"/>
  <c r="J31" i="20" s="1"/>
  <c r="F22" i="20"/>
  <c r="F31" i="20" s="1"/>
  <c r="V21" i="20"/>
  <c r="V30" i="20" s="1"/>
  <c r="R21" i="20"/>
  <c r="R30" i="20" s="1"/>
  <c r="N21" i="20"/>
  <c r="N30" i="20" s="1"/>
  <c r="J21" i="20"/>
  <c r="J30" i="20" s="1"/>
  <c r="F21" i="20"/>
  <c r="F30" i="20" s="1"/>
  <c r="V20" i="20"/>
  <c r="V29" i="20" s="1"/>
  <c r="R20" i="20"/>
  <c r="R29" i="20" s="1"/>
  <c r="V19" i="20"/>
  <c r="V28" i="20" s="1"/>
  <c r="R19" i="20"/>
  <c r="R28" i="20" s="1"/>
  <c r="I6" i="20"/>
  <c r="M6" i="20" s="1"/>
  <c r="Q6" i="20" s="1"/>
  <c r="U6" i="20" s="1"/>
  <c r="L3" i="20" a="1"/>
  <c r="L3" i="20" s="1"/>
  <c r="G3" i="20"/>
  <c r="A2" i="20"/>
  <c r="A1" i="20"/>
  <c r="AO209" i="51"/>
  <c r="AB209" i="51"/>
  <c r="AC207" i="51"/>
  <c r="AB204" i="51"/>
  <c r="AO204" i="51" s="1"/>
  <c r="AS196" i="51"/>
  <c r="AR196" i="51"/>
  <c r="AQ196" i="51"/>
  <c r="AF196" i="51"/>
  <c r="AE196" i="51"/>
  <c r="AD196" i="51"/>
  <c r="AC196" i="51"/>
  <c r="AC193" i="51"/>
  <c r="C187" i="51"/>
  <c r="C184" i="51"/>
  <c r="C183" i="51"/>
  <c r="C182" i="51"/>
  <c r="C181" i="51"/>
  <c r="C180" i="51"/>
  <c r="C179" i="51"/>
  <c r="C178" i="51"/>
  <c r="C177" i="51"/>
  <c r="C176" i="51"/>
  <c r="C175" i="51"/>
  <c r="C174" i="51"/>
  <c r="C173" i="51"/>
  <c r="C172" i="51"/>
  <c r="C171" i="51"/>
  <c r="C170" i="51"/>
  <c r="C169" i="51"/>
  <c r="C168" i="51"/>
  <c r="C167" i="51"/>
  <c r="C166" i="51"/>
  <c r="C165" i="51"/>
  <c r="C164" i="51"/>
  <c r="C163" i="51"/>
  <c r="C162" i="51"/>
  <c r="C161" i="51"/>
  <c r="C160" i="51"/>
  <c r="C159" i="51"/>
  <c r="C158" i="51"/>
  <c r="C157" i="51"/>
  <c r="C156" i="51"/>
  <c r="C155" i="51"/>
  <c r="C154" i="51"/>
  <c r="C153" i="51"/>
  <c r="C152" i="51"/>
  <c r="C151" i="51"/>
  <c r="C150" i="51"/>
  <c r="C149" i="51"/>
  <c r="C148" i="51"/>
  <c r="C147" i="51"/>
  <c r="C146" i="51"/>
  <c r="AO141" i="51"/>
  <c r="C141" i="51"/>
  <c r="AO139" i="51"/>
  <c r="AO142" i="51" s="1"/>
  <c r="AO138" i="51"/>
  <c r="C138" i="51"/>
  <c r="AO137" i="51"/>
  <c r="C137" i="51"/>
  <c r="AO136" i="51"/>
  <c r="C136" i="51"/>
  <c r="AO135" i="51"/>
  <c r="C135" i="51"/>
  <c r="AO134" i="51"/>
  <c r="C134" i="51"/>
  <c r="AO133" i="51"/>
  <c r="C133" i="51"/>
  <c r="AO132" i="51"/>
  <c r="C132" i="51"/>
  <c r="AO131" i="51"/>
  <c r="C131" i="51"/>
  <c r="AO130" i="51"/>
  <c r="C130" i="51"/>
  <c r="C129" i="51"/>
  <c r="C128" i="51"/>
  <c r="C127" i="51"/>
  <c r="C126" i="51"/>
  <c r="C125" i="51"/>
  <c r="C124" i="51"/>
  <c r="C123" i="51"/>
  <c r="C122" i="51"/>
  <c r="C121" i="51"/>
  <c r="C120" i="51"/>
  <c r="C119" i="51"/>
  <c r="C118" i="51"/>
  <c r="C117" i="51"/>
  <c r="C116" i="51"/>
  <c r="C115" i="51"/>
  <c r="C114" i="51"/>
  <c r="C113" i="51"/>
  <c r="C112" i="51"/>
  <c r="C111" i="51"/>
  <c r="C110" i="51"/>
  <c r="C109" i="51"/>
  <c r="C108" i="51"/>
  <c r="C107" i="51"/>
  <c r="C106" i="51"/>
  <c r="C105" i="51"/>
  <c r="C104" i="51"/>
  <c r="C103" i="51"/>
  <c r="C102" i="51"/>
  <c r="C101" i="51"/>
  <c r="C100" i="51"/>
  <c r="C95" i="51"/>
  <c r="C94" i="51"/>
  <c r="C93" i="51"/>
  <c r="C92" i="51"/>
  <c r="C91" i="51"/>
  <c r="C90" i="51"/>
  <c r="C89" i="51"/>
  <c r="C88" i="51"/>
  <c r="C87" i="51"/>
  <c r="C86" i="51"/>
  <c r="C85" i="51"/>
  <c r="C84" i="51"/>
  <c r="C83" i="51"/>
  <c r="C82" i="51"/>
  <c r="C81" i="51"/>
  <c r="C80" i="51"/>
  <c r="C79" i="51"/>
  <c r="C78" i="51"/>
  <c r="C77" i="51"/>
  <c r="C76" i="51"/>
  <c r="C75" i="51"/>
  <c r="C74" i="51"/>
  <c r="C73" i="51"/>
  <c r="C72" i="51"/>
  <c r="C71" i="51"/>
  <c r="C70" i="51"/>
  <c r="C69" i="51"/>
  <c r="C68" i="51"/>
  <c r="C67" i="51"/>
  <c r="C66" i="51"/>
  <c r="C65" i="51"/>
  <c r="C64" i="51"/>
  <c r="C63" i="51"/>
  <c r="C62" i="51"/>
  <c r="C61" i="51"/>
  <c r="C60" i="51"/>
  <c r="C59" i="51"/>
  <c r="C58" i="51"/>
  <c r="C57" i="51"/>
  <c r="AO52" i="51"/>
  <c r="AO49" i="51"/>
  <c r="D49" i="51"/>
  <c r="AB48" i="51"/>
  <c r="AO48" i="51" s="1"/>
  <c r="AO47" i="51"/>
  <c r="AO46" i="51"/>
  <c r="AO45" i="51"/>
  <c r="AO44" i="51"/>
  <c r="AO43" i="51"/>
  <c r="AO42" i="51"/>
  <c r="AO41" i="51"/>
  <c r="AO40" i="51"/>
  <c r="AO39" i="51"/>
  <c r="AO38" i="51"/>
  <c r="AO37" i="51"/>
  <c r="AO36" i="51"/>
  <c r="AO35" i="51"/>
  <c r="AO34" i="51"/>
  <c r="AO33" i="51"/>
  <c r="AO32" i="51"/>
  <c r="AO31" i="51"/>
  <c r="AO30" i="51"/>
  <c r="AO29" i="51"/>
  <c r="AO28" i="51"/>
  <c r="AO27" i="51"/>
  <c r="AO26" i="51"/>
  <c r="AO25" i="51"/>
  <c r="AO24" i="51"/>
  <c r="AO23" i="51"/>
  <c r="AO22" i="51"/>
  <c r="AO21" i="51"/>
  <c r="AO20" i="51"/>
  <c r="AO19" i="51"/>
  <c r="AO18" i="51"/>
  <c r="AO17" i="51"/>
  <c r="AO16" i="51"/>
  <c r="AO15" i="51"/>
  <c r="AO14" i="51"/>
  <c r="AO13" i="51"/>
  <c r="AO12" i="51"/>
  <c r="AO11" i="51"/>
  <c r="AO10" i="51"/>
  <c r="AI6" i="51"/>
  <c r="G6" i="51"/>
  <c r="H6" i="51" s="1"/>
  <c r="F6" i="51"/>
  <c r="F5" i="51" s="1"/>
  <c r="AH5" i="51"/>
  <c r="E5" i="51"/>
  <c r="A2" i="51"/>
  <c r="A1" i="51"/>
  <c r="C90" i="18"/>
  <c r="E88" i="18"/>
  <c r="F88" i="18" s="1"/>
  <c r="D87" i="18"/>
  <c r="D79" i="18"/>
  <c r="H72" i="18"/>
  <c r="H79" i="18" s="1"/>
  <c r="E72" i="18"/>
  <c r="F72" i="18" s="1"/>
  <c r="E68" i="18"/>
  <c r="E45" i="18"/>
  <c r="N43" i="18" s="1"/>
  <c r="G60" i="18"/>
  <c r="G61" i="18" s="1"/>
  <c r="G62" i="18" s="1"/>
  <c r="G63" i="18" s="1"/>
  <c r="C38" i="18"/>
  <c r="E29" i="18"/>
  <c r="J51" i="18" s="1"/>
  <c r="K27" i="18"/>
  <c r="K32" i="18" s="1"/>
  <c r="K35" i="18" s="1"/>
  <c r="I36" i="18"/>
  <c r="J21" i="18"/>
  <c r="K21" i="18" s="1"/>
  <c r="L21" i="18" s="1"/>
  <c r="H17" i="18"/>
  <c r="G17" i="18"/>
  <c r="F17" i="18"/>
  <c r="E17" i="18"/>
  <c r="D17" i="18"/>
  <c r="H16" i="18"/>
  <c r="G16" i="18"/>
  <c r="F16" i="18"/>
  <c r="E16" i="18"/>
  <c r="D16" i="18"/>
  <c r="E7" i="18"/>
  <c r="E6" i="18" s="1"/>
  <c r="D6" i="18"/>
  <c r="A1" i="18"/>
  <c r="AI435" i="70"/>
  <c r="AJ432" i="70" s="1"/>
  <c r="AH435" i="70"/>
  <c r="AI432" i="70" s="1"/>
  <c r="AO434" i="70"/>
  <c r="AN434" i="70"/>
  <c r="AM434" i="70"/>
  <c r="AL434" i="70"/>
  <c r="AK434" i="70"/>
  <c r="AJ434" i="70"/>
  <c r="AI434" i="70"/>
  <c r="AC432" i="70"/>
  <c r="AO430" i="70"/>
  <c r="AN430" i="70"/>
  <c r="AM430" i="70"/>
  <c r="AL430" i="70"/>
  <c r="AO424" i="70"/>
  <c r="AN424" i="70"/>
  <c r="AM424" i="70"/>
  <c r="AO423" i="70"/>
  <c r="AP434" i="70" s="1"/>
  <c r="AN423" i="70"/>
  <c r="AM423" i="70"/>
  <c r="AO421" i="70"/>
  <c r="AN421" i="70"/>
  <c r="AM421" i="70"/>
  <c r="AO417" i="70"/>
  <c r="AN417" i="70"/>
  <c r="AM417" i="70"/>
  <c r="AO413" i="70"/>
  <c r="AN413" i="70"/>
  <c r="AM413" i="70"/>
  <c r="AO410" i="70"/>
  <c r="AN410" i="70"/>
  <c r="AO409" i="70"/>
  <c r="AN409" i="70"/>
  <c r="AM409" i="70"/>
  <c r="AO405" i="70"/>
  <c r="AN405" i="70"/>
  <c r="AM405" i="70"/>
  <c r="AI396" i="70"/>
  <c r="AH396" i="70"/>
  <c r="AB396" i="70"/>
  <c r="AA396" i="70"/>
  <c r="Z396" i="70"/>
  <c r="Y396" i="70"/>
  <c r="X396" i="70"/>
  <c r="Y393" i="70" s="1"/>
  <c r="W396" i="70"/>
  <c r="X393" i="70" s="1"/>
  <c r="V396" i="70"/>
  <c r="W393" i="70" s="1"/>
  <c r="U396" i="70"/>
  <c r="V393" i="70" s="1"/>
  <c r="T396" i="70"/>
  <c r="U393" i="70" s="1"/>
  <c r="S396" i="70"/>
  <c r="T393" i="70" s="1"/>
  <c r="R396" i="70"/>
  <c r="S393" i="70" s="1"/>
  <c r="Q396" i="70"/>
  <c r="R393" i="70" s="1"/>
  <c r="P396" i="70"/>
  <c r="O396" i="70"/>
  <c r="P393" i="70" s="1"/>
  <c r="N396" i="70"/>
  <c r="O393" i="70" s="1"/>
  <c r="M396" i="70"/>
  <c r="N393" i="70" s="1"/>
  <c r="L396" i="70"/>
  <c r="M393" i="70" s="1"/>
  <c r="K396" i="70"/>
  <c r="L393" i="70" s="1"/>
  <c r="J396" i="70"/>
  <c r="K393" i="70" s="1"/>
  <c r="I396" i="70"/>
  <c r="J393" i="70" s="1"/>
  <c r="H396" i="70"/>
  <c r="G396" i="70"/>
  <c r="H393" i="70" s="1"/>
  <c r="F396" i="70"/>
  <c r="G393" i="70" s="1"/>
  <c r="E396" i="70"/>
  <c r="F393" i="70" s="1"/>
  <c r="AO395" i="70"/>
  <c r="AN395" i="70"/>
  <c r="AM395" i="70"/>
  <c r="AL395" i="70"/>
  <c r="AK395" i="70"/>
  <c r="AJ395" i="70"/>
  <c r="AI395" i="70"/>
  <c r="AO394" i="70"/>
  <c r="AN394" i="70"/>
  <c r="AM394" i="70"/>
  <c r="AL394" i="70"/>
  <c r="AK394" i="70"/>
  <c r="AJ394" i="70"/>
  <c r="AI394" i="70"/>
  <c r="AI398" i="70" s="1"/>
  <c r="AJ393" i="70"/>
  <c r="AI393" i="70"/>
  <c r="AC393" i="70"/>
  <c r="AC399" i="70" s="1"/>
  <c r="AB393" i="70"/>
  <c r="AA393" i="70"/>
  <c r="Z393" i="70"/>
  <c r="Q393" i="70"/>
  <c r="I393" i="70"/>
  <c r="AO389" i="70"/>
  <c r="AO391" i="70" s="1"/>
  <c r="AN389" i="70"/>
  <c r="AN391" i="70" s="1"/>
  <c r="AM389" i="70"/>
  <c r="AM391" i="70" s="1"/>
  <c r="AL389" i="70"/>
  <c r="AL391" i="70" s="1"/>
  <c r="AK389" i="70"/>
  <c r="AK391" i="70" s="1"/>
  <c r="AJ389" i="70"/>
  <c r="AJ391" i="70" s="1"/>
  <c r="AI389" i="70"/>
  <c r="AI391" i="70" s="1"/>
  <c r="AH389" i="70"/>
  <c r="AH391" i="70" s="1"/>
  <c r="AO382" i="70"/>
  <c r="AN382" i="70"/>
  <c r="AM382" i="70"/>
  <c r="AL382" i="70"/>
  <c r="AL384" i="70" s="1"/>
  <c r="AK382" i="70"/>
  <c r="AK384" i="70" s="1"/>
  <c r="AJ382" i="70"/>
  <c r="AJ384" i="70" s="1"/>
  <c r="AI382" i="70"/>
  <c r="AH382" i="70"/>
  <c r="AO379" i="70"/>
  <c r="AO381" i="70" s="1"/>
  <c r="AN379" i="70"/>
  <c r="AN381" i="70" s="1"/>
  <c r="AN66" i="70" s="1"/>
  <c r="AM379" i="70"/>
  <c r="AM381" i="70" s="1"/>
  <c r="AL379" i="70"/>
  <c r="AL381" i="70" s="1"/>
  <c r="AK379" i="70"/>
  <c r="AK381" i="70" s="1"/>
  <c r="AJ379" i="70"/>
  <c r="AJ381" i="70" s="1"/>
  <c r="AI379" i="70"/>
  <c r="AI381" i="70" s="1"/>
  <c r="AH379" i="70"/>
  <c r="AH381" i="70" s="1"/>
  <c r="AH66" i="70" s="1"/>
  <c r="AB379" i="70"/>
  <c r="AA379" i="70"/>
  <c r="Z379" i="70"/>
  <c r="Y379" i="70"/>
  <c r="X379" i="70"/>
  <c r="W379" i="70"/>
  <c r="V379" i="70"/>
  <c r="U379" i="70"/>
  <c r="T379" i="70"/>
  <c r="S379" i="70"/>
  <c r="R379" i="70"/>
  <c r="Q379" i="70"/>
  <c r="P379" i="70"/>
  <c r="O379" i="70"/>
  <c r="N379" i="70"/>
  <c r="M379" i="70"/>
  <c r="L379" i="70"/>
  <c r="K379" i="70"/>
  <c r="J379" i="70"/>
  <c r="I379" i="70"/>
  <c r="H379" i="70"/>
  <c r="G379" i="70"/>
  <c r="F379" i="70"/>
  <c r="E379" i="70"/>
  <c r="AO378" i="70"/>
  <c r="AN378" i="70"/>
  <c r="AM378" i="70"/>
  <c r="AL378" i="70"/>
  <c r="AK378" i="70"/>
  <c r="AJ378" i="70"/>
  <c r="AI378" i="70"/>
  <c r="AH378" i="70"/>
  <c r="AB378" i="70"/>
  <c r="AA378" i="70"/>
  <c r="Z378" i="70"/>
  <c r="Y378" i="70"/>
  <c r="X378" i="70"/>
  <c r="W378" i="70"/>
  <c r="V378" i="70"/>
  <c r="U378" i="70"/>
  <c r="T378" i="70"/>
  <c r="S378" i="70"/>
  <c r="R378" i="70"/>
  <c r="Q378" i="70"/>
  <c r="P378" i="70"/>
  <c r="O378" i="70"/>
  <c r="N378" i="70"/>
  <c r="M378" i="70"/>
  <c r="L378" i="70"/>
  <c r="K378" i="70"/>
  <c r="J378" i="70"/>
  <c r="I378" i="70"/>
  <c r="H378" i="70"/>
  <c r="G378" i="70"/>
  <c r="F378" i="70"/>
  <c r="E378" i="70"/>
  <c r="AS375" i="70"/>
  <c r="AR375" i="70"/>
  <c r="AQ375" i="70"/>
  <c r="AF375" i="70"/>
  <c r="AE375" i="70"/>
  <c r="AD375" i="70"/>
  <c r="AC375" i="70"/>
  <c r="AP374" i="70"/>
  <c r="AO372" i="70"/>
  <c r="AN372" i="70"/>
  <c r="AM372" i="70"/>
  <c r="AL372" i="70"/>
  <c r="AK372" i="70"/>
  <c r="AJ372" i="70"/>
  <c r="AI372" i="70"/>
  <c r="AH372" i="70"/>
  <c r="AB366" i="70"/>
  <c r="AA366" i="70"/>
  <c r="Z366" i="70"/>
  <c r="Y366" i="70"/>
  <c r="X366" i="70"/>
  <c r="W366" i="70"/>
  <c r="V366" i="70"/>
  <c r="U366" i="70"/>
  <c r="T366" i="70"/>
  <c r="S366" i="70"/>
  <c r="R366" i="70"/>
  <c r="Q366" i="70"/>
  <c r="P366" i="70"/>
  <c r="O366" i="70"/>
  <c r="N366" i="70"/>
  <c r="M366" i="70"/>
  <c r="L366" i="70"/>
  <c r="K366" i="70"/>
  <c r="J366" i="70"/>
  <c r="I366" i="70"/>
  <c r="H366" i="70"/>
  <c r="G366" i="70"/>
  <c r="F366" i="70"/>
  <c r="E366" i="70"/>
  <c r="AB365" i="70"/>
  <c r="AA365" i="70"/>
  <c r="Z365" i="70"/>
  <c r="Y365" i="70"/>
  <c r="X365" i="70"/>
  <c r="W365" i="70"/>
  <c r="V365" i="70"/>
  <c r="U365" i="70"/>
  <c r="T365" i="70"/>
  <c r="S365" i="70"/>
  <c r="R365" i="70"/>
  <c r="Q365" i="70"/>
  <c r="P365" i="70"/>
  <c r="O365" i="70"/>
  <c r="N365" i="70"/>
  <c r="M365" i="70"/>
  <c r="L365" i="70"/>
  <c r="K365" i="70"/>
  <c r="J365" i="70"/>
  <c r="I365" i="70"/>
  <c r="H365" i="70"/>
  <c r="G365" i="70"/>
  <c r="F365" i="70"/>
  <c r="E365" i="70"/>
  <c r="AB364" i="70"/>
  <c r="AA364" i="70"/>
  <c r="Z364" i="70"/>
  <c r="Y364" i="70"/>
  <c r="X364" i="70"/>
  <c r="W364" i="70"/>
  <c r="V364" i="70"/>
  <c r="U364" i="70"/>
  <c r="T364" i="70"/>
  <c r="S364" i="70"/>
  <c r="R364" i="70"/>
  <c r="Q364" i="70"/>
  <c r="P364" i="70"/>
  <c r="O364" i="70"/>
  <c r="N364" i="70"/>
  <c r="M364" i="70"/>
  <c r="L364" i="70"/>
  <c r="K364" i="70"/>
  <c r="J364" i="70"/>
  <c r="I364" i="70"/>
  <c r="H364" i="70"/>
  <c r="G364" i="70"/>
  <c r="F364" i="70"/>
  <c r="E364" i="70"/>
  <c r="AB363" i="70"/>
  <c r="AA363" i="70"/>
  <c r="Z363" i="70"/>
  <c r="Y363" i="70"/>
  <c r="X363" i="70"/>
  <c r="W363" i="70"/>
  <c r="V363" i="70"/>
  <c r="U363" i="70"/>
  <c r="T363" i="70"/>
  <c r="S363" i="70"/>
  <c r="R363" i="70"/>
  <c r="Q363" i="70"/>
  <c r="P363" i="70"/>
  <c r="O363" i="70"/>
  <c r="N363" i="70"/>
  <c r="M363" i="70"/>
  <c r="L363" i="70"/>
  <c r="K363" i="70"/>
  <c r="J363" i="70"/>
  <c r="I363" i="70"/>
  <c r="H363" i="70"/>
  <c r="G363" i="70"/>
  <c r="F363" i="70"/>
  <c r="E363" i="70"/>
  <c r="AB362" i="70"/>
  <c r="AA362" i="70"/>
  <c r="Z362" i="70"/>
  <c r="Y362" i="70"/>
  <c r="X362" i="70"/>
  <c r="W362" i="70"/>
  <c r="V362" i="70"/>
  <c r="U362" i="70"/>
  <c r="T362" i="70"/>
  <c r="S362" i="70"/>
  <c r="R362" i="70"/>
  <c r="Q362" i="70"/>
  <c r="P362" i="70"/>
  <c r="O362" i="70"/>
  <c r="N362" i="70"/>
  <c r="M362" i="70"/>
  <c r="L362" i="70"/>
  <c r="K362" i="70"/>
  <c r="J362" i="70"/>
  <c r="I362" i="70"/>
  <c r="H362" i="70"/>
  <c r="G362" i="70"/>
  <c r="F362" i="70"/>
  <c r="E362" i="70"/>
  <c r="AB361" i="70"/>
  <c r="AA361" i="70"/>
  <c r="Z361" i="70"/>
  <c r="Y361" i="70"/>
  <c r="X361" i="70"/>
  <c r="W361" i="70"/>
  <c r="V361" i="70"/>
  <c r="U361" i="70"/>
  <c r="T361" i="70"/>
  <c r="S361" i="70"/>
  <c r="R361" i="70"/>
  <c r="Q361" i="70"/>
  <c r="P361" i="70"/>
  <c r="O361" i="70"/>
  <c r="N361" i="70"/>
  <c r="M361" i="70"/>
  <c r="L361" i="70"/>
  <c r="K361" i="70"/>
  <c r="J361" i="70"/>
  <c r="I361" i="70"/>
  <c r="H361" i="70"/>
  <c r="G361" i="70"/>
  <c r="F361" i="70"/>
  <c r="E361" i="70"/>
  <c r="AB357" i="70"/>
  <c r="AA357" i="70"/>
  <c r="Z357" i="70"/>
  <c r="Y357" i="70"/>
  <c r="X357" i="70"/>
  <c r="W357" i="70"/>
  <c r="V357" i="70"/>
  <c r="U357" i="70"/>
  <c r="T357" i="70"/>
  <c r="S357" i="70"/>
  <c r="R357" i="70"/>
  <c r="Q357" i="70"/>
  <c r="P357" i="70"/>
  <c r="O357" i="70"/>
  <c r="N357" i="70"/>
  <c r="M357" i="70"/>
  <c r="L357" i="70"/>
  <c r="K357" i="70"/>
  <c r="J357" i="70"/>
  <c r="I357" i="70"/>
  <c r="H357" i="70"/>
  <c r="G357" i="70"/>
  <c r="F357" i="70"/>
  <c r="E357" i="70"/>
  <c r="E356" i="70"/>
  <c r="BR353" i="70"/>
  <c r="BQ353" i="70"/>
  <c r="BP353" i="70"/>
  <c r="BO353" i="70"/>
  <c r="BN353" i="70"/>
  <c r="BM353" i="70"/>
  <c r="BL353" i="70"/>
  <c r="BK353" i="70"/>
  <c r="BJ353" i="70"/>
  <c r="BI353" i="70"/>
  <c r="BH353" i="70"/>
  <c r="BG353" i="70"/>
  <c r="BF353" i="70"/>
  <c r="BE353" i="70"/>
  <c r="BD353" i="70"/>
  <c r="BC353" i="70"/>
  <c r="BB353" i="70"/>
  <c r="BA353" i="70"/>
  <c r="AZ353" i="70"/>
  <c r="AY353" i="70"/>
  <c r="AX353" i="70"/>
  <c r="AW353" i="70"/>
  <c r="AV353" i="70"/>
  <c r="AU353" i="70"/>
  <c r="AO353" i="70"/>
  <c r="AN353" i="70"/>
  <c r="AM353" i="70"/>
  <c r="AL353" i="70"/>
  <c r="AK353" i="70"/>
  <c r="AJ353" i="70"/>
  <c r="AI353" i="70"/>
  <c r="AH353" i="70"/>
  <c r="AB352" i="70"/>
  <c r="AA352" i="70"/>
  <c r="Z352" i="70"/>
  <c r="Y352" i="70"/>
  <c r="X352" i="70"/>
  <c r="W352" i="70"/>
  <c r="V352" i="70"/>
  <c r="U352" i="70"/>
  <c r="T352" i="70"/>
  <c r="S352" i="70"/>
  <c r="R352" i="70"/>
  <c r="Q352" i="70"/>
  <c r="P352" i="70"/>
  <c r="O352" i="70"/>
  <c r="N352" i="70"/>
  <c r="M352" i="70"/>
  <c r="L352" i="70"/>
  <c r="K352" i="70"/>
  <c r="J352" i="70"/>
  <c r="I352" i="70"/>
  <c r="H352" i="70"/>
  <c r="G352" i="70"/>
  <c r="F352" i="70"/>
  <c r="E352" i="70"/>
  <c r="AB351" i="70"/>
  <c r="AA351" i="70"/>
  <c r="Z351" i="70"/>
  <c r="Y351" i="70"/>
  <c r="X351" i="70"/>
  <c r="W351" i="70"/>
  <c r="V351" i="70"/>
  <c r="U351" i="70"/>
  <c r="T351" i="70"/>
  <c r="S351" i="70"/>
  <c r="R351" i="70"/>
  <c r="Q351" i="70"/>
  <c r="P351" i="70"/>
  <c r="O351" i="70"/>
  <c r="N351" i="70"/>
  <c r="M351" i="70"/>
  <c r="L351" i="70"/>
  <c r="K351" i="70"/>
  <c r="J351" i="70"/>
  <c r="I351" i="70"/>
  <c r="H351" i="70"/>
  <c r="G351" i="70"/>
  <c r="F351" i="70"/>
  <c r="E351" i="70"/>
  <c r="AB350" i="70"/>
  <c r="AA350" i="70"/>
  <c r="Z350" i="70"/>
  <c r="Y350" i="70"/>
  <c r="X350" i="70"/>
  <c r="W350" i="70"/>
  <c r="V350" i="70"/>
  <c r="U350" i="70"/>
  <c r="T350" i="70"/>
  <c r="S350" i="70"/>
  <c r="R350" i="70"/>
  <c r="Q350" i="70"/>
  <c r="P350" i="70"/>
  <c r="O350" i="70"/>
  <c r="N350" i="70"/>
  <c r="M350" i="70"/>
  <c r="L350" i="70"/>
  <c r="K350" i="70"/>
  <c r="J350" i="70"/>
  <c r="I350" i="70"/>
  <c r="H350" i="70"/>
  <c r="G350" i="70"/>
  <c r="F350" i="70"/>
  <c r="E350" i="70"/>
  <c r="AB349" i="70"/>
  <c r="AA349" i="70"/>
  <c r="Z349" i="70"/>
  <c r="Y349" i="70"/>
  <c r="X349" i="70"/>
  <c r="W349" i="70"/>
  <c r="V349" i="70"/>
  <c r="U349" i="70"/>
  <c r="T349" i="70"/>
  <c r="S349" i="70"/>
  <c r="R349" i="70"/>
  <c r="Q349" i="70"/>
  <c r="P349" i="70"/>
  <c r="O349" i="70"/>
  <c r="N349" i="70"/>
  <c r="M349" i="70"/>
  <c r="L349" i="70"/>
  <c r="K349" i="70"/>
  <c r="J349" i="70"/>
  <c r="I349" i="70"/>
  <c r="H349" i="70"/>
  <c r="G349" i="70"/>
  <c r="F349" i="70"/>
  <c r="E349" i="70"/>
  <c r="AB348" i="70"/>
  <c r="AB102" i="70" s="1"/>
  <c r="AA348" i="70"/>
  <c r="AA102" i="70" s="1"/>
  <c r="Z348" i="70"/>
  <c r="Z102" i="70" s="1"/>
  <c r="Y348" i="70"/>
  <c r="Y102" i="70" s="1"/>
  <c r="X348" i="70"/>
  <c r="X102" i="70" s="1"/>
  <c r="W348" i="70"/>
  <c r="W102" i="70" s="1"/>
  <c r="V348" i="70"/>
  <c r="V102" i="70" s="1"/>
  <c r="U348" i="70"/>
  <c r="U102" i="70" s="1"/>
  <c r="T348" i="70"/>
  <c r="T102" i="70" s="1"/>
  <c r="S348" i="70"/>
  <c r="S102" i="70" s="1"/>
  <c r="R348" i="70"/>
  <c r="R102" i="70" s="1"/>
  <c r="Q348" i="70"/>
  <c r="Q102" i="70" s="1"/>
  <c r="P348" i="70"/>
  <c r="P102" i="70" s="1"/>
  <c r="O348" i="70"/>
  <c r="O102" i="70" s="1"/>
  <c r="N348" i="70"/>
  <c r="N102" i="70" s="1"/>
  <c r="M348" i="70"/>
  <c r="M102" i="70" s="1"/>
  <c r="L348" i="70"/>
  <c r="L102" i="70" s="1"/>
  <c r="K348" i="70"/>
  <c r="K102" i="70" s="1"/>
  <c r="J348" i="70"/>
  <c r="J102" i="70" s="1"/>
  <c r="I348" i="70"/>
  <c r="I102" i="70" s="1"/>
  <c r="H348" i="70"/>
  <c r="H102" i="70" s="1"/>
  <c r="G348" i="70"/>
  <c r="G102" i="70" s="1"/>
  <c r="F348" i="70"/>
  <c r="F102" i="70" s="1"/>
  <c r="E348" i="70"/>
  <c r="E102" i="70" s="1"/>
  <c r="AB347" i="70"/>
  <c r="AA347" i="70"/>
  <c r="Z347" i="70"/>
  <c r="Y347" i="70"/>
  <c r="X347" i="70"/>
  <c r="W347" i="70"/>
  <c r="V347" i="70"/>
  <c r="U347" i="70"/>
  <c r="T347" i="70"/>
  <c r="S347" i="70"/>
  <c r="R347" i="70"/>
  <c r="Q347" i="70"/>
  <c r="P347" i="70"/>
  <c r="O347" i="70"/>
  <c r="N347" i="70"/>
  <c r="M347" i="70"/>
  <c r="L347" i="70"/>
  <c r="K347" i="70"/>
  <c r="J347" i="70"/>
  <c r="I347" i="70"/>
  <c r="H347" i="70"/>
  <c r="G347" i="70"/>
  <c r="F347" i="70"/>
  <c r="E347" i="70"/>
  <c r="AS346" i="70"/>
  <c r="AS194" i="51" s="1"/>
  <c r="AR346" i="70"/>
  <c r="AR194" i="51" s="1"/>
  <c r="AQ346" i="70"/>
  <c r="AQ194" i="51" s="1"/>
  <c r="AF346" i="70"/>
  <c r="AF103" i="70" s="1"/>
  <c r="AE346" i="70"/>
  <c r="AE103" i="70" s="1"/>
  <c r="AD346" i="70"/>
  <c r="AD103" i="70" s="1"/>
  <c r="AC346" i="70"/>
  <c r="AC103" i="70" s="1"/>
  <c r="AB346" i="70"/>
  <c r="AB103" i="70" s="1"/>
  <c r="AA346" i="70"/>
  <c r="AA103" i="70" s="1"/>
  <c r="Z346" i="70"/>
  <c r="Z103" i="70" s="1"/>
  <c r="Y346" i="70"/>
  <c r="Y103" i="70" s="1"/>
  <c r="X346" i="70"/>
  <c r="X103" i="70" s="1"/>
  <c r="W346" i="70"/>
  <c r="W103" i="70" s="1"/>
  <c r="V346" i="70"/>
  <c r="V103" i="70" s="1"/>
  <c r="U346" i="70"/>
  <c r="U103" i="70" s="1"/>
  <c r="T346" i="70"/>
  <c r="T103" i="70" s="1"/>
  <c r="S346" i="70"/>
  <c r="S103" i="70" s="1"/>
  <c r="R346" i="70"/>
  <c r="R103" i="70" s="1"/>
  <c r="Q346" i="70"/>
  <c r="Q103" i="70" s="1"/>
  <c r="P346" i="70"/>
  <c r="P103" i="70" s="1"/>
  <c r="O346" i="70"/>
  <c r="O103" i="70" s="1"/>
  <c r="N346" i="70"/>
  <c r="N103" i="70" s="1"/>
  <c r="M346" i="70"/>
  <c r="M103" i="70" s="1"/>
  <c r="L346" i="70"/>
  <c r="L103" i="70" s="1"/>
  <c r="K346" i="70"/>
  <c r="K103" i="70" s="1"/>
  <c r="J346" i="70"/>
  <c r="J103" i="70" s="1"/>
  <c r="I346" i="70"/>
  <c r="I103" i="70" s="1"/>
  <c r="H346" i="70"/>
  <c r="H103" i="70" s="1"/>
  <c r="G346" i="70"/>
  <c r="G103" i="70" s="1"/>
  <c r="F346" i="70"/>
  <c r="F103" i="70" s="1"/>
  <c r="E346" i="70"/>
  <c r="E103" i="70" s="1"/>
  <c r="AB345" i="70"/>
  <c r="AA345" i="70"/>
  <c r="Z345" i="70"/>
  <c r="Y345" i="70"/>
  <c r="Y104" i="70" s="1"/>
  <c r="X345" i="70"/>
  <c r="X104" i="70" s="1"/>
  <c r="W345" i="70"/>
  <c r="W104" i="70" s="1"/>
  <c r="V345" i="70"/>
  <c r="V104" i="70" s="1"/>
  <c r="U345" i="70"/>
  <c r="T345" i="70"/>
  <c r="S345" i="70"/>
  <c r="R345" i="70"/>
  <c r="Q345" i="70"/>
  <c r="Q104" i="70" s="1"/>
  <c r="P345" i="70"/>
  <c r="P104" i="70" s="1"/>
  <c r="O345" i="70"/>
  <c r="O104" i="70" s="1"/>
  <c r="N345" i="70"/>
  <c r="N104" i="70" s="1"/>
  <c r="M345" i="70"/>
  <c r="L345" i="70"/>
  <c r="K345" i="70"/>
  <c r="J345" i="70"/>
  <c r="I345" i="70"/>
  <c r="I104" i="70" s="1"/>
  <c r="H345" i="70"/>
  <c r="H104" i="70" s="1"/>
  <c r="G345" i="70"/>
  <c r="G104" i="70" s="1"/>
  <c r="F345" i="70"/>
  <c r="F104" i="70" s="1"/>
  <c r="E345" i="70"/>
  <c r="AB344" i="70"/>
  <c r="AA344" i="70"/>
  <c r="Z344" i="70"/>
  <c r="Y344" i="70"/>
  <c r="X344" i="70"/>
  <c r="W344" i="70"/>
  <c r="V344" i="70"/>
  <c r="U344" i="70"/>
  <c r="T344" i="70"/>
  <c r="S344" i="70"/>
  <c r="R344" i="70"/>
  <c r="Q344" i="70"/>
  <c r="P344" i="70"/>
  <c r="O344" i="70"/>
  <c r="N344" i="70"/>
  <c r="M344" i="70"/>
  <c r="L344" i="70"/>
  <c r="K344" i="70"/>
  <c r="J344" i="70"/>
  <c r="I344" i="70"/>
  <c r="H344" i="70"/>
  <c r="G344" i="70"/>
  <c r="F344" i="70"/>
  <c r="E344" i="70"/>
  <c r="AB343" i="70"/>
  <c r="AA343" i="70"/>
  <c r="Z343" i="70"/>
  <c r="Y343" i="70"/>
  <c r="X343" i="70"/>
  <c r="W343" i="70"/>
  <c r="V343" i="70"/>
  <c r="U343" i="70"/>
  <c r="T343" i="70"/>
  <c r="S343" i="70"/>
  <c r="R343" i="70"/>
  <c r="Q343" i="70"/>
  <c r="P343" i="70"/>
  <c r="O343" i="70"/>
  <c r="N343" i="70"/>
  <c r="M343" i="70"/>
  <c r="L343" i="70"/>
  <c r="K343" i="70"/>
  <c r="J343" i="70"/>
  <c r="I343" i="70"/>
  <c r="H343" i="70"/>
  <c r="G343" i="70"/>
  <c r="F343" i="70"/>
  <c r="E343" i="70"/>
  <c r="AB342" i="70"/>
  <c r="AB101" i="70" s="1"/>
  <c r="AA342" i="70"/>
  <c r="AA101" i="70" s="1"/>
  <c r="Z342" i="70"/>
  <c r="Z101" i="70" s="1"/>
  <c r="Y342" i="70"/>
  <c r="Y101" i="70" s="1"/>
  <c r="Y105" i="70" s="1"/>
  <c r="X342" i="70"/>
  <c r="X101" i="70" s="1"/>
  <c r="X105" i="70" s="1"/>
  <c r="W342" i="70"/>
  <c r="W101" i="70" s="1"/>
  <c r="W105" i="70" s="1"/>
  <c r="V342" i="70"/>
  <c r="V101" i="70" s="1"/>
  <c r="V105" i="70" s="1"/>
  <c r="U342" i="70"/>
  <c r="U101" i="70" s="1"/>
  <c r="T342" i="70"/>
  <c r="T101" i="70" s="1"/>
  <c r="S342" i="70"/>
  <c r="S101" i="70" s="1"/>
  <c r="R342" i="70"/>
  <c r="Q342" i="70"/>
  <c r="Q101" i="70" s="1"/>
  <c r="Q105" i="70" s="1"/>
  <c r="P342" i="70"/>
  <c r="P101" i="70" s="1"/>
  <c r="P105" i="70" s="1"/>
  <c r="O342" i="70"/>
  <c r="O101" i="70" s="1"/>
  <c r="O105" i="70" s="1"/>
  <c r="N342" i="70"/>
  <c r="N101" i="70" s="1"/>
  <c r="N105" i="70" s="1"/>
  <c r="M342" i="70"/>
  <c r="M101" i="70" s="1"/>
  <c r="L342" i="70"/>
  <c r="L101" i="70" s="1"/>
  <c r="K342" i="70"/>
  <c r="K101" i="70" s="1"/>
  <c r="J342" i="70"/>
  <c r="I342" i="70"/>
  <c r="I101" i="70" s="1"/>
  <c r="I105" i="70" s="1"/>
  <c r="H342" i="70"/>
  <c r="H101" i="70" s="1"/>
  <c r="H105" i="70" s="1"/>
  <c r="G342" i="70"/>
  <c r="G101" i="70" s="1"/>
  <c r="G105" i="70" s="1"/>
  <c r="F342" i="70"/>
  <c r="F101" i="70" s="1"/>
  <c r="F105" i="70" s="1"/>
  <c r="E342" i="70"/>
  <c r="E101" i="70" s="1"/>
  <c r="BR340" i="70"/>
  <c r="BQ340" i="70"/>
  <c r="BP340" i="70"/>
  <c r="BO340" i="70"/>
  <c r="BN340" i="70"/>
  <c r="BM340" i="70"/>
  <c r="BL340" i="70"/>
  <c r="BK340" i="70"/>
  <c r="BJ340" i="70"/>
  <c r="BI340" i="70"/>
  <c r="BH340" i="70"/>
  <c r="BG340" i="70"/>
  <c r="BF340" i="70"/>
  <c r="BD340" i="70"/>
  <c r="BC340" i="70"/>
  <c r="AZ340" i="70"/>
  <c r="AY340" i="70"/>
  <c r="AO340" i="70"/>
  <c r="AN340" i="70"/>
  <c r="AM340" i="70"/>
  <c r="AL340" i="70"/>
  <c r="AB339" i="70"/>
  <c r="AA339" i="70"/>
  <c r="Z339" i="70"/>
  <c r="Y339" i="70"/>
  <c r="X339" i="70"/>
  <c r="W339" i="70"/>
  <c r="V339" i="70"/>
  <c r="U339" i="70"/>
  <c r="T339" i="70"/>
  <c r="S339" i="70"/>
  <c r="R339" i="70"/>
  <c r="Q339" i="70"/>
  <c r="P339" i="70"/>
  <c r="O339" i="70"/>
  <c r="N339" i="70"/>
  <c r="M339" i="70"/>
  <c r="L339" i="70"/>
  <c r="K339" i="70"/>
  <c r="J339" i="70"/>
  <c r="I339" i="70"/>
  <c r="H339" i="70"/>
  <c r="G339" i="70"/>
  <c r="F339" i="70"/>
  <c r="E339" i="70"/>
  <c r="AB338" i="70"/>
  <c r="AA338" i="70"/>
  <c r="Z338" i="70"/>
  <c r="Y338" i="70"/>
  <c r="X338" i="70"/>
  <c r="W338" i="70"/>
  <c r="V338" i="70"/>
  <c r="U338" i="70"/>
  <c r="T338" i="70"/>
  <c r="S338" i="70"/>
  <c r="R338" i="70"/>
  <c r="Q338" i="70"/>
  <c r="P338" i="70"/>
  <c r="O338" i="70"/>
  <c r="N338" i="70"/>
  <c r="M338" i="70"/>
  <c r="L338" i="70"/>
  <c r="K338" i="70"/>
  <c r="J338" i="70"/>
  <c r="I338" i="70"/>
  <c r="H338" i="70"/>
  <c r="G338" i="70"/>
  <c r="F338" i="70"/>
  <c r="E338" i="70"/>
  <c r="AB337" i="70"/>
  <c r="AA337" i="70"/>
  <c r="Z337" i="70"/>
  <c r="Y337" i="70"/>
  <c r="X337" i="70"/>
  <c r="W337" i="70"/>
  <c r="V337" i="70"/>
  <c r="U337" i="70"/>
  <c r="T337" i="70"/>
  <c r="S337" i="70"/>
  <c r="R337" i="70"/>
  <c r="Q337" i="70"/>
  <c r="P337" i="70"/>
  <c r="O337" i="70"/>
  <c r="N337" i="70"/>
  <c r="M337" i="70"/>
  <c r="L337" i="70"/>
  <c r="K337" i="70"/>
  <c r="J337" i="70"/>
  <c r="I337" i="70"/>
  <c r="H337" i="70"/>
  <c r="G337" i="70"/>
  <c r="F337" i="70"/>
  <c r="E337" i="70"/>
  <c r="AC336" i="70"/>
  <c r="AB336" i="70"/>
  <c r="AA336" i="70"/>
  <c r="Z336" i="70"/>
  <c r="Y336" i="70"/>
  <c r="X336" i="70"/>
  <c r="W336" i="70"/>
  <c r="V336" i="70"/>
  <c r="U336" i="70"/>
  <c r="T336" i="70"/>
  <c r="S336" i="70"/>
  <c r="R336" i="70"/>
  <c r="Q336" i="70"/>
  <c r="P336" i="70"/>
  <c r="O336" i="70"/>
  <c r="N336" i="70"/>
  <c r="M336" i="70"/>
  <c r="L336" i="70"/>
  <c r="K336" i="70"/>
  <c r="J336" i="70"/>
  <c r="I336" i="70"/>
  <c r="H336" i="70"/>
  <c r="G336" i="70"/>
  <c r="F336" i="70"/>
  <c r="E336" i="70"/>
  <c r="AB335" i="70"/>
  <c r="AA335" i="70"/>
  <c r="Z335" i="70"/>
  <c r="Y335" i="70"/>
  <c r="X335" i="70"/>
  <c r="W335" i="70"/>
  <c r="V335" i="70"/>
  <c r="U335" i="70"/>
  <c r="T335" i="70"/>
  <c r="S335" i="70"/>
  <c r="R335" i="70"/>
  <c r="Q335" i="70"/>
  <c r="P335" i="70"/>
  <c r="O335" i="70"/>
  <c r="N335" i="70"/>
  <c r="M335" i="70"/>
  <c r="L335" i="70"/>
  <c r="K335" i="70"/>
  <c r="J335" i="70"/>
  <c r="I335" i="70"/>
  <c r="H335" i="70"/>
  <c r="G335" i="70"/>
  <c r="F335" i="70"/>
  <c r="E335" i="70"/>
  <c r="AB334" i="70"/>
  <c r="AA334" i="70"/>
  <c r="Z334" i="70"/>
  <c r="Y334" i="70"/>
  <c r="X334" i="70"/>
  <c r="W334" i="70"/>
  <c r="V334" i="70"/>
  <c r="U334" i="70"/>
  <c r="T334" i="70"/>
  <c r="S334" i="70"/>
  <c r="R334" i="70"/>
  <c r="Q334" i="70"/>
  <c r="P334" i="70"/>
  <c r="O334" i="70"/>
  <c r="N334" i="70"/>
  <c r="M334" i="70"/>
  <c r="L334" i="70"/>
  <c r="K334" i="70"/>
  <c r="J334" i="70"/>
  <c r="I334" i="70"/>
  <c r="H334" i="70"/>
  <c r="G334" i="70"/>
  <c r="F334" i="70"/>
  <c r="E334" i="70"/>
  <c r="AB333" i="70"/>
  <c r="AA333" i="70"/>
  <c r="Z333" i="70"/>
  <c r="Y333" i="70"/>
  <c r="X333" i="70"/>
  <c r="W333" i="70"/>
  <c r="V333" i="70"/>
  <c r="U333" i="70"/>
  <c r="T333" i="70"/>
  <c r="S333" i="70"/>
  <c r="R333" i="70"/>
  <c r="Q333" i="70"/>
  <c r="P333" i="70"/>
  <c r="O333" i="70"/>
  <c r="N333" i="70"/>
  <c r="M333" i="70"/>
  <c r="L333" i="70"/>
  <c r="K333" i="70"/>
  <c r="J333" i="70"/>
  <c r="I333" i="70"/>
  <c r="H333" i="70"/>
  <c r="G333" i="70"/>
  <c r="F333" i="70"/>
  <c r="E333" i="70"/>
  <c r="AS332" i="70"/>
  <c r="AR332" i="70"/>
  <c r="AQ332" i="70"/>
  <c r="AF332" i="70"/>
  <c r="AE332" i="70"/>
  <c r="AD332" i="70"/>
  <c r="AC332" i="70"/>
  <c r="AB332" i="70"/>
  <c r="AA332" i="70"/>
  <c r="Z332" i="70"/>
  <c r="Y332" i="70"/>
  <c r="X332" i="70"/>
  <c r="W332" i="70"/>
  <c r="V332" i="70"/>
  <c r="U332" i="70"/>
  <c r="T332" i="70"/>
  <c r="S332" i="70"/>
  <c r="R332" i="70"/>
  <c r="Q332" i="70"/>
  <c r="P332" i="70"/>
  <c r="O332" i="70"/>
  <c r="N332" i="70"/>
  <c r="M332" i="70"/>
  <c r="L332" i="70"/>
  <c r="K332" i="70"/>
  <c r="J332" i="70"/>
  <c r="I332" i="70"/>
  <c r="H332" i="70"/>
  <c r="G332" i="70"/>
  <c r="F332" i="70"/>
  <c r="E332" i="70"/>
  <c r="AH331" i="70"/>
  <c r="AB331" i="70"/>
  <c r="AA331" i="70"/>
  <c r="Z331" i="70"/>
  <c r="Y331" i="70"/>
  <c r="X331" i="70"/>
  <c r="W331" i="70"/>
  <c r="V331" i="70"/>
  <c r="U331" i="70"/>
  <c r="T331" i="70"/>
  <c r="S331" i="70"/>
  <c r="R331" i="70"/>
  <c r="Q331" i="70"/>
  <c r="P331" i="70"/>
  <c r="O331" i="70"/>
  <c r="N331" i="70"/>
  <c r="M331" i="70"/>
  <c r="L331" i="70"/>
  <c r="K331" i="70"/>
  <c r="J331" i="70"/>
  <c r="I331" i="70"/>
  <c r="H331" i="70"/>
  <c r="G331" i="70"/>
  <c r="F331" i="70"/>
  <c r="E331" i="70"/>
  <c r="AB330" i="70"/>
  <c r="AA330" i="70"/>
  <c r="Z330" i="70"/>
  <c r="Y330" i="70"/>
  <c r="X330" i="70"/>
  <c r="W330" i="70"/>
  <c r="V330" i="70"/>
  <c r="U330" i="70"/>
  <c r="T330" i="70"/>
  <c r="S330" i="70"/>
  <c r="R330" i="70"/>
  <c r="Q330" i="70"/>
  <c r="P330" i="70"/>
  <c r="O330" i="70"/>
  <c r="N330" i="70"/>
  <c r="M330" i="70"/>
  <c r="L330" i="70"/>
  <c r="K330" i="70"/>
  <c r="J330" i="70"/>
  <c r="I330" i="70"/>
  <c r="H330" i="70"/>
  <c r="G330" i="70"/>
  <c r="F330" i="70"/>
  <c r="E330" i="70"/>
  <c r="BE329" i="70"/>
  <c r="BE340" i="70" s="1"/>
  <c r="BB329" i="70"/>
  <c r="AX329" i="70"/>
  <c r="AX340" i="70" s="1"/>
  <c r="AW329" i="70"/>
  <c r="AW340" i="70" s="1"/>
  <c r="AV329" i="70"/>
  <c r="AV340" i="70" s="1"/>
  <c r="AU329" i="70"/>
  <c r="AU340" i="70" s="1"/>
  <c r="AK329" i="70"/>
  <c r="AJ329" i="70"/>
  <c r="AI329" i="70"/>
  <c r="AB329" i="70"/>
  <c r="AA329" i="70"/>
  <c r="Z329" i="70"/>
  <c r="Y329" i="70"/>
  <c r="X329" i="70"/>
  <c r="W329" i="70"/>
  <c r="V329" i="70"/>
  <c r="U329" i="70"/>
  <c r="T329" i="70"/>
  <c r="S329" i="70"/>
  <c r="R329" i="70"/>
  <c r="Q329" i="70"/>
  <c r="N329" i="70"/>
  <c r="M329" i="70"/>
  <c r="K329" i="70"/>
  <c r="J329" i="70"/>
  <c r="I329" i="70"/>
  <c r="BA328" i="70"/>
  <c r="L328" i="70" s="1"/>
  <c r="AB328" i="70"/>
  <c r="AA328" i="70"/>
  <c r="Z328" i="70"/>
  <c r="Y328" i="70"/>
  <c r="X328" i="70"/>
  <c r="W328" i="70"/>
  <c r="V328" i="70"/>
  <c r="U328" i="70"/>
  <c r="T328" i="70"/>
  <c r="S328" i="70"/>
  <c r="R328" i="70"/>
  <c r="Q328" i="70"/>
  <c r="P328" i="70"/>
  <c r="O328" i="70"/>
  <c r="N328" i="70"/>
  <c r="M328" i="70"/>
  <c r="J328" i="70"/>
  <c r="I328" i="70"/>
  <c r="H328" i="70"/>
  <c r="G328" i="70"/>
  <c r="F328" i="70"/>
  <c r="E328" i="70"/>
  <c r="AB327" i="70"/>
  <c r="AA327" i="70"/>
  <c r="Z327" i="70"/>
  <c r="Y327" i="70"/>
  <c r="X327" i="70"/>
  <c r="W327" i="70"/>
  <c r="V327" i="70"/>
  <c r="U327" i="70"/>
  <c r="T327" i="70"/>
  <c r="S327" i="70"/>
  <c r="R327" i="70"/>
  <c r="Q327" i="70"/>
  <c r="P327" i="70"/>
  <c r="O327" i="70"/>
  <c r="N327" i="70"/>
  <c r="M327" i="70"/>
  <c r="L327" i="70"/>
  <c r="K327" i="70"/>
  <c r="J327" i="70"/>
  <c r="I327" i="70"/>
  <c r="H327" i="70"/>
  <c r="G327" i="70"/>
  <c r="F327" i="70"/>
  <c r="E327" i="70"/>
  <c r="AB326" i="70"/>
  <c r="AB97" i="70" s="1"/>
  <c r="AA326" i="70"/>
  <c r="AA97" i="70" s="1"/>
  <c r="Z326" i="70"/>
  <c r="Z97" i="70" s="1"/>
  <c r="Y326" i="70"/>
  <c r="Y97" i="70" s="1"/>
  <c r="X326" i="70"/>
  <c r="X97" i="70" s="1"/>
  <c r="W326" i="70"/>
  <c r="W97" i="70" s="1"/>
  <c r="V326" i="70"/>
  <c r="V97" i="70" s="1"/>
  <c r="U326" i="70"/>
  <c r="U97" i="70" s="1"/>
  <c r="T326" i="70"/>
  <c r="T97" i="70" s="1"/>
  <c r="S326" i="70"/>
  <c r="S97" i="70" s="1"/>
  <c r="R326" i="70"/>
  <c r="R97" i="70" s="1"/>
  <c r="Q326" i="70"/>
  <c r="Q97" i="70" s="1"/>
  <c r="P326" i="70"/>
  <c r="P97" i="70" s="1"/>
  <c r="O326" i="70"/>
  <c r="O97" i="70" s="1"/>
  <c r="N326" i="70"/>
  <c r="N97" i="70" s="1"/>
  <c r="M326" i="70"/>
  <c r="M97" i="70" s="1"/>
  <c r="L326" i="70"/>
  <c r="L97" i="70" s="1"/>
  <c r="K326" i="70"/>
  <c r="K97" i="70" s="1"/>
  <c r="J326" i="70"/>
  <c r="J97" i="70" s="1"/>
  <c r="I326" i="70"/>
  <c r="I97" i="70" s="1"/>
  <c r="H326" i="70"/>
  <c r="H97" i="70" s="1"/>
  <c r="G326" i="70"/>
  <c r="G97" i="70" s="1"/>
  <c r="F326" i="70"/>
  <c r="F97" i="70" s="1"/>
  <c r="E326" i="70"/>
  <c r="E97" i="70" s="1"/>
  <c r="BR323" i="70"/>
  <c r="BR324" i="70" s="1"/>
  <c r="BQ323" i="70"/>
  <c r="BQ324" i="70" s="1"/>
  <c r="BP323" i="70"/>
  <c r="BP324" i="70" s="1"/>
  <c r="BO323" i="70"/>
  <c r="BO324" i="70" s="1"/>
  <c r="BN323" i="70"/>
  <c r="BN324" i="70" s="1"/>
  <c r="BN355" i="70" s="1"/>
  <c r="BN358" i="70" s="1"/>
  <c r="BN368" i="70" s="1"/>
  <c r="BM323" i="70"/>
  <c r="BM324" i="70" s="1"/>
  <c r="BM355" i="70" s="1"/>
  <c r="BM358" i="70" s="1"/>
  <c r="BM368" i="70" s="1"/>
  <c r="BL323" i="70"/>
  <c r="BL324" i="70" s="1"/>
  <c r="BL355" i="70" s="1"/>
  <c r="BL358" i="70" s="1"/>
  <c r="BL368" i="70" s="1"/>
  <c r="BK323" i="70"/>
  <c r="BK324" i="70" s="1"/>
  <c r="BJ323" i="70"/>
  <c r="BJ324" i="70" s="1"/>
  <c r="BI323" i="70"/>
  <c r="BI324" i="70" s="1"/>
  <c r="BH323" i="70"/>
  <c r="BH324" i="70" s="1"/>
  <c r="BG323" i="70"/>
  <c r="BG324" i="70" s="1"/>
  <c r="BF323" i="70"/>
  <c r="BF324" i="70" s="1"/>
  <c r="BF355" i="70" s="1"/>
  <c r="BF358" i="70" s="1"/>
  <c r="BF368" i="70" s="1"/>
  <c r="BE323" i="70"/>
  <c r="BE324" i="70" s="1"/>
  <c r="BD323" i="70"/>
  <c r="BD324" i="70" s="1"/>
  <c r="BD355" i="70" s="1"/>
  <c r="BD358" i="70" s="1"/>
  <c r="BD368" i="70" s="1"/>
  <c r="BC323" i="70"/>
  <c r="BC324" i="70" s="1"/>
  <c r="BB323" i="70"/>
  <c r="BB324" i="70" s="1"/>
  <c r="BA323" i="70"/>
  <c r="BA324" i="70" s="1"/>
  <c r="AZ323" i="70"/>
  <c r="AZ324" i="70" s="1"/>
  <c r="AY323" i="70"/>
  <c r="AY324" i="70" s="1"/>
  <c r="AX323" i="70"/>
  <c r="AX324" i="70" s="1"/>
  <c r="AW323" i="70"/>
  <c r="AW324" i="70" s="1"/>
  <c r="AV323" i="70"/>
  <c r="AV324" i="70" s="1"/>
  <c r="AU323" i="70"/>
  <c r="AU324" i="70" s="1"/>
  <c r="AO323" i="70"/>
  <c r="AO324" i="70" s="1"/>
  <c r="AN323" i="70"/>
  <c r="AN324" i="70" s="1"/>
  <c r="AN190" i="70" s="1"/>
  <c r="AM323" i="70"/>
  <c r="AM324" i="70" s="1"/>
  <c r="AL323" i="70"/>
  <c r="AL324" i="70" s="1"/>
  <c r="AL355" i="70" s="1"/>
  <c r="AL111" i="70" s="1"/>
  <c r="AK323" i="70"/>
  <c r="AK324" i="70" s="1"/>
  <c r="AK190" i="70" s="1"/>
  <c r="AJ323" i="70"/>
  <c r="AJ324" i="70" s="1"/>
  <c r="AI323" i="70"/>
  <c r="AI324" i="70" s="1"/>
  <c r="AH323" i="70"/>
  <c r="AH324" i="70" s="1"/>
  <c r="AB322" i="70"/>
  <c r="AA322" i="70"/>
  <c r="Z322" i="70"/>
  <c r="Y322" i="70"/>
  <c r="X322" i="70"/>
  <c r="W322" i="70"/>
  <c r="V322" i="70"/>
  <c r="U322" i="70"/>
  <c r="T322" i="70"/>
  <c r="S322" i="70"/>
  <c r="R322" i="70"/>
  <c r="Q322" i="70"/>
  <c r="P322" i="70"/>
  <c r="O322" i="70"/>
  <c r="N322" i="70"/>
  <c r="M322" i="70"/>
  <c r="L322" i="70"/>
  <c r="K322" i="70"/>
  <c r="J322" i="70"/>
  <c r="I322" i="70"/>
  <c r="H322" i="70"/>
  <c r="G322" i="70"/>
  <c r="F322" i="70"/>
  <c r="E322" i="70"/>
  <c r="AB321" i="70"/>
  <c r="AA321" i="70"/>
  <c r="Z321" i="70"/>
  <c r="Y321" i="70"/>
  <c r="X321" i="70"/>
  <c r="W321" i="70"/>
  <c r="V321" i="70"/>
  <c r="U321" i="70"/>
  <c r="T321" i="70"/>
  <c r="S321" i="70"/>
  <c r="R321" i="70"/>
  <c r="Q321" i="70"/>
  <c r="P321" i="70"/>
  <c r="O321" i="70"/>
  <c r="N321" i="70"/>
  <c r="M321" i="70"/>
  <c r="L321" i="70"/>
  <c r="K321" i="70"/>
  <c r="J321" i="70"/>
  <c r="I321" i="70"/>
  <c r="H321" i="70"/>
  <c r="G321" i="70"/>
  <c r="F321" i="70"/>
  <c r="E321" i="70"/>
  <c r="AB320" i="70"/>
  <c r="AA320" i="70"/>
  <c r="Z320" i="70"/>
  <c r="Y320" i="70"/>
  <c r="X320" i="70"/>
  <c r="W320" i="70"/>
  <c r="V320" i="70"/>
  <c r="U320" i="70"/>
  <c r="T320" i="70"/>
  <c r="S320" i="70"/>
  <c r="R320" i="70"/>
  <c r="Q320" i="70"/>
  <c r="P320" i="70"/>
  <c r="O320" i="70"/>
  <c r="N320" i="70"/>
  <c r="M320" i="70"/>
  <c r="L320" i="70"/>
  <c r="K320" i="70"/>
  <c r="J320" i="70"/>
  <c r="I320" i="70"/>
  <c r="H320" i="70"/>
  <c r="G320" i="70"/>
  <c r="F320" i="70"/>
  <c r="E320" i="70"/>
  <c r="AB319" i="70"/>
  <c r="AA319" i="70"/>
  <c r="Z319" i="70"/>
  <c r="Y319" i="70"/>
  <c r="X319" i="70"/>
  <c r="W319" i="70"/>
  <c r="V319" i="70"/>
  <c r="U319" i="70"/>
  <c r="T319" i="70"/>
  <c r="S319" i="70"/>
  <c r="R319" i="70"/>
  <c r="Q319" i="70"/>
  <c r="P319" i="70"/>
  <c r="O319" i="70"/>
  <c r="N319" i="70"/>
  <c r="M319" i="70"/>
  <c r="L319" i="70"/>
  <c r="K319" i="70"/>
  <c r="J319" i="70"/>
  <c r="I319" i="70"/>
  <c r="H319" i="70"/>
  <c r="G319" i="70"/>
  <c r="F319" i="70"/>
  <c r="E319" i="70"/>
  <c r="AB318" i="70"/>
  <c r="AA318" i="70"/>
  <c r="Z318" i="70"/>
  <c r="Y318" i="70"/>
  <c r="X318" i="70"/>
  <c r="W318" i="70"/>
  <c r="V318" i="70"/>
  <c r="U318" i="70"/>
  <c r="T318" i="70"/>
  <c r="S318" i="70"/>
  <c r="R318" i="70"/>
  <c r="Q318" i="70"/>
  <c r="P318" i="70"/>
  <c r="O318" i="70"/>
  <c r="N318" i="70"/>
  <c r="M318" i="70"/>
  <c r="L318" i="70"/>
  <c r="K318" i="70"/>
  <c r="J318" i="70"/>
  <c r="I318" i="70"/>
  <c r="H318" i="70"/>
  <c r="G318" i="70"/>
  <c r="F318" i="70"/>
  <c r="E318" i="70"/>
  <c r="AB317" i="70"/>
  <c r="AA317" i="70"/>
  <c r="Z317" i="70"/>
  <c r="Y317" i="70"/>
  <c r="X317" i="70"/>
  <c r="W317" i="70"/>
  <c r="V317" i="70"/>
  <c r="U317" i="70"/>
  <c r="T317" i="70"/>
  <c r="S317" i="70"/>
  <c r="R317" i="70"/>
  <c r="Q317" i="70"/>
  <c r="P317" i="70"/>
  <c r="O317" i="70"/>
  <c r="N317" i="70"/>
  <c r="M317" i="70"/>
  <c r="L317" i="70"/>
  <c r="K317" i="70"/>
  <c r="J317" i="70"/>
  <c r="I317" i="70"/>
  <c r="H317" i="70"/>
  <c r="G317" i="70"/>
  <c r="F317" i="70"/>
  <c r="E317" i="70"/>
  <c r="AB316" i="70"/>
  <c r="AB94" i="70" s="1"/>
  <c r="AA316" i="70"/>
  <c r="AA94" i="70" s="1"/>
  <c r="Z316" i="70"/>
  <c r="Z94" i="70" s="1"/>
  <c r="Y316" i="70"/>
  <c r="Y94" i="70" s="1"/>
  <c r="X316" i="70"/>
  <c r="W316" i="70"/>
  <c r="W94" i="70" s="1"/>
  <c r="V316" i="70"/>
  <c r="V94" i="70" s="1"/>
  <c r="U316" i="70"/>
  <c r="U94" i="70" s="1"/>
  <c r="T316" i="70"/>
  <c r="T94" i="70" s="1"/>
  <c r="S316" i="70"/>
  <c r="S94" i="70" s="1"/>
  <c r="R316" i="70"/>
  <c r="R94" i="70" s="1"/>
  <c r="Q316" i="70"/>
  <c r="Q94" i="70" s="1"/>
  <c r="P316" i="70"/>
  <c r="P94" i="70" s="1"/>
  <c r="O316" i="70"/>
  <c r="O94" i="70" s="1"/>
  <c r="N316" i="70"/>
  <c r="N94" i="70" s="1"/>
  <c r="M316" i="70"/>
  <c r="M94" i="70" s="1"/>
  <c r="L316" i="70"/>
  <c r="L94" i="70" s="1"/>
  <c r="K316" i="70"/>
  <c r="K94" i="70" s="1"/>
  <c r="J316" i="70"/>
  <c r="J94" i="70" s="1"/>
  <c r="I316" i="70"/>
  <c r="I94" i="70" s="1"/>
  <c r="H316" i="70"/>
  <c r="H94" i="70" s="1"/>
  <c r="G316" i="70"/>
  <c r="G94" i="70" s="1"/>
  <c r="F316" i="70"/>
  <c r="F94" i="70" s="1"/>
  <c r="E316" i="70"/>
  <c r="E94" i="70" s="1"/>
  <c r="AB315" i="70"/>
  <c r="AA315" i="70"/>
  <c r="Z315" i="70"/>
  <c r="Y315" i="70"/>
  <c r="X315" i="70"/>
  <c r="W315" i="70"/>
  <c r="V315" i="70"/>
  <c r="U315" i="70"/>
  <c r="T315" i="70"/>
  <c r="S315" i="70"/>
  <c r="R315" i="70"/>
  <c r="Q315" i="70"/>
  <c r="P315" i="70"/>
  <c r="O315" i="70"/>
  <c r="N315" i="70"/>
  <c r="M315" i="70"/>
  <c r="L315" i="70"/>
  <c r="K315" i="70"/>
  <c r="J315" i="70"/>
  <c r="I315" i="70"/>
  <c r="H315" i="70"/>
  <c r="G315" i="70"/>
  <c r="F315" i="70"/>
  <c r="E315" i="70"/>
  <c r="AB314" i="70"/>
  <c r="AA314" i="70"/>
  <c r="Z314" i="70"/>
  <c r="Y314" i="70"/>
  <c r="X314" i="70"/>
  <c r="W314" i="70"/>
  <c r="V314" i="70"/>
  <c r="U314" i="70"/>
  <c r="T314" i="70"/>
  <c r="S314" i="70"/>
  <c r="R314" i="70"/>
  <c r="Q314" i="70"/>
  <c r="P314" i="70"/>
  <c r="O314" i="70"/>
  <c r="N314" i="70"/>
  <c r="M314" i="70"/>
  <c r="L314" i="70"/>
  <c r="K314" i="70"/>
  <c r="J314" i="70"/>
  <c r="I314" i="70"/>
  <c r="H314" i="70"/>
  <c r="G314" i="70"/>
  <c r="F314" i="70"/>
  <c r="E314" i="70"/>
  <c r="AB313" i="70"/>
  <c r="AA313" i="70"/>
  <c r="Z313" i="70"/>
  <c r="Y313" i="70"/>
  <c r="X313" i="70"/>
  <c r="W313" i="70"/>
  <c r="V313" i="70"/>
  <c r="U313" i="70"/>
  <c r="T313" i="70"/>
  <c r="S313" i="70"/>
  <c r="R313" i="70"/>
  <c r="Q313" i="70"/>
  <c r="P313" i="70"/>
  <c r="O313" i="70"/>
  <c r="N313" i="70"/>
  <c r="M313" i="70"/>
  <c r="L313" i="70"/>
  <c r="K313" i="70"/>
  <c r="J313" i="70"/>
  <c r="I313" i="70"/>
  <c r="H313" i="70"/>
  <c r="G313" i="70"/>
  <c r="F313" i="70"/>
  <c r="E313" i="70"/>
  <c r="AB312" i="70"/>
  <c r="AA312" i="70"/>
  <c r="Z312" i="70"/>
  <c r="Y312" i="70"/>
  <c r="X312" i="70"/>
  <c r="W312" i="70"/>
  <c r="V312" i="70"/>
  <c r="U312" i="70"/>
  <c r="T312" i="70"/>
  <c r="S312" i="70"/>
  <c r="R312" i="70"/>
  <c r="Q312" i="70"/>
  <c r="P312" i="70"/>
  <c r="O312" i="70"/>
  <c r="N312" i="70"/>
  <c r="M312" i="70"/>
  <c r="L312" i="70"/>
  <c r="K312" i="70"/>
  <c r="J312" i="70"/>
  <c r="I312" i="70"/>
  <c r="H312" i="70"/>
  <c r="G312" i="70"/>
  <c r="F312" i="70"/>
  <c r="E312" i="70"/>
  <c r="AB311" i="70"/>
  <c r="AA311" i="70"/>
  <c r="Z311" i="70"/>
  <c r="Y311" i="70"/>
  <c r="X311" i="70"/>
  <c r="W311" i="70"/>
  <c r="V311" i="70"/>
  <c r="U311" i="70"/>
  <c r="T311" i="70"/>
  <c r="S311" i="70"/>
  <c r="R311" i="70"/>
  <c r="Q311" i="70"/>
  <c r="P311" i="70"/>
  <c r="O311" i="70"/>
  <c r="N311" i="70"/>
  <c r="M311" i="70"/>
  <c r="L311" i="70"/>
  <c r="K311" i="70"/>
  <c r="J311" i="70"/>
  <c r="I311" i="70"/>
  <c r="H311" i="70"/>
  <c r="G311" i="70"/>
  <c r="F311" i="70"/>
  <c r="E311" i="70"/>
  <c r="AS310" i="70"/>
  <c r="AR310" i="70"/>
  <c r="AQ310" i="70"/>
  <c r="AF310" i="70"/>
  <c r="AE310" i="70"/>
  <c r="AD310" i="70"/>
  <c r="AC310" i="70"/>
  <c r="AB310" i="70"/>
  <c r="AA310" i="70"/>
  <c r="Z310" i="70"/>
  <c r="Y310" i="70"/>
  <c r="X310" i="70"/>
  <c r="W310" i="70"/>
  <c r="V310" i="70"/>
  <c r="U310" i="70"/>
  <c r="T310" i="70"/>
  <c r="S310" i="70"/>
  <c r="R310" i="70"/>
  <c r="Q310" i="70"/>
  <c r="P310" i="70"/>
  <c r="O310" i="70"/>
  <c r="N310" i="70"/>
  <c r="M310" i="70"/>
  <c r="L310" i="70"/>
  <c r="K310" i="70"/>
  <c r="J310" i="70"/>
  <c r="I310" i="70"/>
  <c r="H310" i="70"/>
  <c r="G310" i="70"/>
  <c r="F310" i="70"/>
  <c r="E310" i="70"/>
  <c r="AB309" i="70"/>
  <c r="AA309" i="70"/>
  <c r="Z309" i="70"/>
  <c r="Y309" i="70"/>
  <c r="X309" i="70"/>
  <c r="W309" i="70"/>
  <c r="V309" i="70"/>
  <c r="U309" i="70"/>
  <c r="T309" i="70"/>
  <c r="S309" i="70"/>
  <c r="R309" i="70"/>
  <c r="Q309" i="70"/>
  <c r="P309" i="70"/>
  <c r="O309" i="70"/>
  <c r="N309" i="70"/>
  <c r="M309" i="70"/>
  <c r="L309" i="70"/>
  <c r="K309" i="70"/>
  <c r="J309" i="70"/>
  <c r="I309" i="70"/>
  <c r="H309" i="70"/>
  <c r="G309" i="70"/>
  <c r="F309" i="70"/>
  <c r="E309" i="70"/>
  <c r="AB308" i="70"/>
  <c r="AA308" i="70"/>
  <c r="Z308" i="70"/>
  <c r="Y308" i="70"/>
  <c r="X308" i="70"/>
  <c r="W308" i="70"/>
  <c r="V308" i="70"/>
  <c r="U308" i="70"/>
  <c r="T308" i="70"/>
  <c r="S308" i="70"/>
  <c r="R308" i="70"/>
  <c r="Q308" i="70"/>
  <c r="P308" i="70"/>
  <c r="O308" i="70"/>
  <c r="N308" i="70"/>
  <c r="M308" i="70"/>
  <c r="L308" i="70"/>
  <c r="K308" i="70"/>
  <c r="J308" i="70"/>
  <c r="I308" i="70"/>
  <c r="H308" i="70"/>
  <c r="G308" i="70"/>
  <c r="F308" i="70"/>
  <c r="E308" i="70"/>
  <c r="AB307" i="70"/>
  <c r="AA307" i="70"/>
  <c r="Z307" i="70"/>
  <c r="Y307" i="70"/>
  <c r="X307" i="70"/>
  <c r="W307" i="70"/>
  <c r="W93" i="70" s="1"/>
  <c r="V307" i="70"/>
  <c r="V93" i="70" s="1"/>
  <c r="U307" i="70"/>
  <c r="U93" i="70" s="1"/>
  <c r="T307" i="70"/>
  <c r="S307" i="70"/>
  <c r="R307" i="70"/>
  <c r="Q307" i="70"/>
  <c r="P307" i="70"/>
  <c r="O307" i="70"/>
  <c r="O93" i="70" s="1"/>
  <c r="N307" i="70"/>
  <c r="N93" i="70" s="1"/>
  <c r="M307" i="70"/>
  <c r="M93" i="70" s="1"/>
  <c r="L307" i="70"/>
  <c r="K307" i="70"/>
  <c r="J307" i="70"/>
  <c r="I307" i="70"/>
  <c r="H307" i="70"/>
  <c r="G307" i="70"/>
  <c r="G93" i="70" s="1"/>
  <c r="F307" i="70"/>
  <c r="F93" i="70" s="1"/>
  <c r="E307" i="70"/>
  <c r="E93" i="70" s="1"/>
  <c r="AC306" i="70"/>
  <c r="AC92" i="70" s="1"/>
  <c r="AB306" i="70"/>
  <c r="AB92" i="70" s="1"/>
  <c r="AA306" i="70"/>
  <c r="AA92" i="70" s="1"/>
  <c r="Z306" i="70"/>
  <c r="Z92" i="70" s="1"/>
  <c r="Y306" i="70"/>
  <c r="Y92" i="70" s="1"/>
  <c r="X306" i="70"/>
  <c r="X92" i="70" s="1"/>
  <c r="W306" i="70"/>
  <c r="W92" i="70" s="1"/>
  <c r="V306" i="70"/>
  <c r="V92" i="70" s="1"/>
  <c r="U306" i="70"/>
  <c r="U92" i="70" s="1"/>
  <c r="T306" i="70"/>
  <c r="T92" i="70" s="1"/>
  <c r="S306" i="70"/>
  <c r="S92" i="70" s="1"/>
  <c r="R306" i="70"/>
  <c r="R92" i="70" s="1"/>
  <c r="Q306" i="70"/>
  <c r="Q92" i="70" s="1"/>
  <c r="P306" i="70"/>
  <c r="P92" i="70" s="1"/>
  <c r="O306" i="70"/>
  <c r="O92" i="70" s="1"/>
  <c r="N306" i="70"/>
  <c r="N92" i="70" s="1"/>
  <c r="M306" i="70"/>
  <c r="M92" i="70" s="1"/>
  <c r="L306" i="70"/>
  <c r="L92" i="70" s="1"/>
  <c r="K306" i="70"/>
  <c r="K92" i="70" s="1"/>
  <c r="J306" i="70"/>
  <c r="J92" i="70" s="1"/>
  <c r="I306" i="70"/>
  <c r="I92" i="70" s="1"/>
  <c r="H306" i="70"/>
  <c r="H92" i="70" s="1"/>
  <c r="G306" i="70"/>
  <c r="G92" i="70" s="1"/>
  <c r="F306" i="70"/>
  <c r="F92" i="70" s="1"/>
  <c r="E306" i="70"/>
  <c r="E92" i="70" s="1"/>
  <c r="AB304" i="70"/>
  <c r="AB91" i="70" s="1"/>
  <c r="AA304" i="70"/>
  <c r="AA91" i="70" s="1"/>
  <c r="Z304" i="70"/>
  <c r="Z91" i="70" s="1"/>
  <c r="Y304" i="70"/>
  <c r="Y91" i="70" s="1"/>
  <c r="X304" i="70"/>
  <c r="X91" i="70" s="1"/>
  <c r="W304" i="70"/>
  <c r="W91" i="70" s="1"/>
  <c r="V304" i="70"/>
  <c r="V91" i="70" s="1"/>
  <c r="U304" i="70"/>
  <c r="U91" i="70" s="1"/>
  <c r="U95" i="70" s="1"/>
  <c r="T304" i="70"/>
  <c r="T91" i="70" s="1"/>
  <c r="S304" i="70"/>
  <c r="S91" i="70" s="1"/>
  <c r="R304" i="70"/>
  <c r="R91" i="70" s="1"/>
  <c r="Q304" i="70"/>
  <c r="Q91" i="70" s="1"/>
  <c r="P304" i="70"/>
  <c r="P91" i="70" s="1"/>
  <c r="O304" i="70"/>
  <c r="O91" i="70" s="1"/>
  <c r="N304" i="70"/>
  <c r="N91" i="70" s="1"/>
  <c r="M304" i="70"/>
  <c r="M91" i="70" s="1"/>
  <c r="M95" i="70" s="1"/>
  <c r="L304" i="70"/>
  <c r="L91" i="70" s="1"/>
  <c r="K304" i="70"/>
  <c r="K91" i="70" s="1"/>
  <c r="J304" i="70"/>
  <c r="J91" i="70" s="1"/>
  <c r="I304" i="70"/>
  <c r="I91" i="70" s="1"/>
  <c r="H304" i="70"/>
  <c r="H91" i="70" s="1"/>
  <c r="G304" i="70"/>
  <c r="G91" i="70" s="1"/>
  <c r="F304" i="70"/>
  <c r="F91" i="70" s="1"/>
  <c r="E304" i="70"/>
  <c r="E91" i="70" s="1"/>
  <c r="E95" i="70" s="1"/>
  <c r="AI300" i="70"/>
  <c r="AH300" i="70"/>
  <c r="AI298" i="70"/>
  <c r="AI297" i="70"/>
  <c r="AS295" i="70"/>
  <c r="AR295" i="70"/>
  <c r="AQ295" i="70"/>
  <c r="AI294" i="70"/>
  <c r="AB294" i="70"/>
  <c r="AA294" i="70"/>
  <c r="Z294" i="70"/>
  <c r="Y294" i="70"/>
  <c r="X294" i="70"/>
  <c r="W294" i="70"/>
  <c r="V294" i="70"/>
  <c r="U294" i="70"/>
  <c r="T294" i="70"/>
  <c r="S294" i="70"/>
  <c r="R294" i="70"/>
  <c r="Q294" i="70"/>
  <c r="P294" i="70"/>
  <c r="O294" i="70"/>
  <c r="N294" i="70"/>
  <c r="M294" i="70"/>
  <c r="L294" i="70"/>
  <c r="K294" i="70"/>
  <c r="J294" i="70"/>
  <c r="I294" i="70"/>
  <c r="H294" i="70"/>
  <c r="AI293" i="70"/>
  <c r="AB293" i="70"/>
  <c r="AA293" i="70"/>
  <c r="Z293" i="70"/>
  <c r="Y293" i="70"/>
  <c r="X293" i="70"/>
  <c r="W293" i="70"/>
  <c r="V293" i="70"/>
  <c r="U293" i="70"/>
  <c r="T293" i="70"/>
  <c r="S293" i="70"/>
  <c r="R293" i="70"/>
  <c r="Q293" i="70"/>
  <c r="P293" i="70"/>
  <c r="O293" i="70"/>
  <c r="N293" i="70"/>
  <c r="M293" i="70"/>
  <c r="L293" i="70"/>
  <c r="K293" i="70"/>
  <c r="J293" i="70"/>
  <c r="I293" i="70"/>
  <c r="H293" i="70"/>
  <c r="AI292" i="70"/>
  <c r="AS284" i="70"/>
  <c r="AR284" i="70"/>
  <c r="AQ284" i="70"/>
  <c r="AS269" i="70"/>
  <c r="AR269" i="70"/>
  <c r="AQ269" i="70"/>
  <c r="AI234" i="70"/>
  <c r="AI253" i="70" s="1"/>
  <c r="AI255" i="70" s="1"/>
  <c r="AI259" i="70" s="1"/>
  <c r="AH234" i="70"/>
  <c r="AH253" i="70" s="1"/>
  <c r="AH255" i="70" s="1"/>
  <c r="AH259" i="70" s="1"/>
  <c r="AB234" i="70"/>
  <c r="AB253" i="70" s="1"/>
  <c r="AB255" i="70" s="1"/>
  <c r="AB259" i="70" s="1"/>
  <c r="AB263" i="70" s="1"/>
  <c r="AA234" i="70"/>
  <c r="AA253" i="70" s="1"/>
  <c r="AA255" i="70" s="1"/>
  <c r="AA259" i="70" s="1"/>
  <c r="AA263" i="70" s="1"/>
  <c r="Z234" i="70"/>
  <c r="Z253" i="70" s="1"/>
  <c r="Z255" i="70" s="1"/>
  <c r="Z259" i="70" s="1"/>
  <c r="Z263" i="70" s="1"/>
  <c r="Y234" i="70"/>
  <c r="Y253" i="70" s="1"/>
  <c r="Y255" i="70" s="1"/>
  <c r="Y259" i="70" s="1"/>
  <c r="Y263" i="70" s="1"/>
  <c r="X234" i="70"/>
  <c r="X253" i="70" s="1"/>
  <c r="X255" i="70" s="1"/>
  <c r="X259" i="70" s="1"/>
  <c r="X263" i="70" s="1"/>
  <c r="W234" i="70"/>
  <c r="W253" i="70" s="1"/>
  <c r="W255" i="70" s="1"/>
  <c r="W259" i="70" s="1"/>
  <c r="W263" i="70" s="1"/>
  <c r="V234" i="70"/>
  <c r="V253" i="70" s="1"/>
  <c r="V255" i="70" s="1"/>
  <c r="V259" i="70" s="1"/>
  <c r="V263" i="70" s="1"/>
  <c r="U234" i="70"/>
  <c r="U253" i="70" s="1"/>
  <c r="U255" i="70" s="1"/>
  <c r="U259" i="70" s="1"/>
  <c r="U263" i="70" s="1"/>
  <c r="T234" i="70"/>
  <c r="T253" i="70" s="1"/>
  <c r="T255" i="70" s="1"/>
  <c r="T259" i="70" s="1"/>
  <c r="T263" i="70" s="1"/>
  <c r="S234" i="70"/>
  <c r="S253" i="70" s="1"/>
  <c r="S255" i="70" s="1"/>
  <c r="S259" i="70" s="1"/>
  <c r="S263" i="70" s="1"/>
  <c r="R234" i="70"/>
  <c r="R253" i="70" s="1"/>
  <c r="R255" i="70" s="1"/>
  <c r="R259" i="70" s="1"/>
  <c r="R263" i="70" s="1"/>
  <c r="Q234" i="70"/>
  <c r="Q253" i="70" s="1"/>
  <c r="Q255" i="70" s="1"/>
  <c r="Q259" i="70" s="1"/>
  <c r="Q263" i="70" s="1"/>
  <c r="P234" i="70"/>
  <c r="P253" i="70" s="1"/>
  <c r="P255" i="70" s="1"/>
  <c r="P259" i="70" s="1"/>
  <c r="P263" i="70" s="1"/>
  <c r="O234" i="70"/>
  <c r="O253" i="70" s="1"/>
  <c r="O255" i="70" s="1"/>
  <c r="O259" i="70" s="1"/>
  <c r="O263" i="70" s="1"/>
  <c r="N234" i="70"/>
  <c r="N253" i="70" s="1"/>
  <c r="N255" i="70" s="1"/>
  <c r="N259" i="70" s="1"/>
  <c r="N263" i="70" s="1"/>
  <c r="M234" i="70"/>
  <c r="M253" i="70" s="1"/>
  <c r="M255" i="70" s="1"/>
  <c r="M259" i="70" s="1"/>
  <c r="M263" i="70" s="1"/>
  <c r="L234" i="70"/>
  <c r="L253" i="70" s="1"/>
  <c r="L255" i="70" s="1"/>
  <c r="L259" i="70" s="1"/>
  <c r="L263" i="70" s="1"/>
  <c r="K234" i="70"/>
  <c r="K253" i="70" s="1"/>
  <c r="K255" i="70" s="1"/>
  <c r="K259" i="70" s="1"/>
  <c r="J234" i="70"/>
  <c r="J253" i="70" s="1"/>
  <c r="J255" i="70" s="1"/>
  <c r="J259" i="70" s="1"/>
  <c r="I234" i="70"/>
  <c r="I253" i="70" s="1"/>
  <c r="I255" i="70" s="1"/>
  <c r="I259" i="70" s="1"/>
  <c r="H234" i="70"/>
  <c r="H253" i="70" s="1"/>
  <c r="H255" i="70" s="1"/>
  <c r="H259" i="70" s="1"/>
  <c r="H263" i="70" s="1"/>
  <c r="G234" i="70"/>
  <c r="G253" i="70" s="1"/>
  <c r="G255" i="70" s="1"/>
  <c r="G259" i="70" s="1"/>
  <c r="F234" i="70"/>
  <c r="F253" i="70" s="1"/>
  <c r="F255" i="70" s="1"/>
  <c r="F259" i="70" s="1"/>
  <c r="E234" i="70"/>
  <c r="E253" i="70" s="1"/>
  <c r="E255" i="70" s="1"/>
  <c r="E259" i="70" s="1"/>
  <c r="AC232" i="70"/>
  <c r="AD232" i="70" s="1"/>
  <c r="AE232" i="70" s="1"/>
  <c r="AF232" i="70" s="1"/>
  <c r="AC231" i="70"/>
  <c r="AD231" i="70" s="1"/>
  <c r="AE231" i="70" s="1"/>
  <c r="AF231" i="70" s="1"/>
  <c r="AC229" i="70"/>
  <c r="AD229" i="70" s="1"/>
  <c r="AE229" i="70" s="1"/>
  <c r="AF229" i="70" s="1"/>
  <c r="AC226" i="70"/>
  <c r="AD226" i="70" s="1"/>
  <c r="AE226" i="70" s="1"/>
  <c r="AF226" i="70" s="1"/>
  <c r="AC225" i="70"/>
  <c r="AC224" i="70"/>
  <c r="AC223" i="70"/>
  <c r="AD223" i="70" s="1"/>
  <c r="AE223" i="70" s="1"/>
  <c r="AF223" i="70" s="1"/>
  <c r="AB220" i="70"/>
  <c r="AA220" i="70"/>
  <c r="AA227" i="70" s="1"/>
  <c r="Z220" i="70"/>
  <c r="Z227" i="70" s="1"/>
  <c r="Y220" i="70"/>
  <c r="Y227" i="70" s="1"/>
  <c r="X220" i="70"/>
  <c r="X227" i="70" s="1"/>
  <c r="W220" i="70"/>
  <c r="W227" i="70" s="1"/>
  <c r="V220" i="70"/>
  <c r="V227" i="70" s="1"/>
  <c r="U220" i="70"/>
  <c r="U227" i="70" s="1"/>
  <c r="T220" i="70"/>
  <c r="T227" i="70" s="1"/>
  <c r="S220" i="70"/>
  <c r="R220" i="70"/>
  <c r="R227" i="70" s="1"/>
  <c r="Q220" i="70"/>
  <c r="Q227" i="70" s="1"/>
  <c r="P220" i="70"/>
  <c r="P227" i="70" s="1"/>
  <c r="O220" i="70"/>
  <c r="O227" i="70" s="1"/>
  <c r="N220" i="70"/>
  <c r="N227" i="70" s="1"/>
  <c r="M220" i="70"/>
  <c r="M227" i="70" s="1"/>
  <c r="L220" i="70"/>
  <c r="H220" i="70"/>
  <c r="H227" i="70" s="1"/>
  <c r="AC218" i="70"/>
  <c r="AD218" i="70" s="1"/>
  <c r="AE218" i="70" s="1"/>
  <c r="AF218" i="70" s="1"/>
  <c r="AC217" i="70"/>
  <c r="AD217" i="70" s="1"/>
  <c r="AE217" i="70" s="1"/>
  <c r="AF217" i="70" s="1"/>
  <c r="AI216" i="70"/>
  <c r="AH216" i="70"/>
  <c r="AC216" i="70"/>
  <c r="K216" i="70"/>
  <c r="J216" i="70"/>
  <c r="I216" i="70"/>
  <c r="G216" i="70"/>
  <c r="F216" i="70"/>
  <c r="E216" i="70"/>
  <c r="AC215" i="70"/>
  <c r="AD215" i="70" s="1"/>
  <c r="AE215" i="70" s="1"/>
  <c r="AC211" i="70"/>
  <c r="AD211" i="70" s="1"/>
  <c r="AE211" i="70" s="1"/>
  <c r="AF211" i="70" s="1"/>
  <c r="AC209" i="70"/>
  <c r="AC208" i="70"/>
  <c r="AC207" i="70"/>
  <c r="AD207" i="70" s="1"/>
  <c r="AI204" i="70"/>
  <c r="AI212" i="70" s="1"/>
  <c r="AH204" i="70"/>
  <c r="AH212" i="70" s="1"/>
  <c r="AB204" i="70"/>
  <c r="AB212" i="70" s="1"/>
  <c r="AA204" i="70"/>
  <c r="AA212" i="70" s="1"/>
  <c r="Z204" i="70"/>
  <c r="Z212" i="70" s="1"/>
  <c r="Y204" i="70"/>
  <c r="Y212" i="70" s="1"/>
  <c r="X204" i="70"/>
  <c r="X212" i="70" s="1"/>
  <c r="W204" i="70"/>
  <c r="W212" i="70" s="1"/>
  <c r="V204" i="70"/>
  <c r="V212" i="70" s="1"/>
  <c r="U204" i="70"/>
  <c r="U212" i="70" s="1"/>
  <c r="T204" i="70"/>
  <c r="T212" i="70" s="1"/>
  <c r="S204" i="70"/>
  <c r="S212" i="70" s="1"/>
  <c r="R204" i="70"/>
  <c r="R212" i="70" s="1"/>
  <c r="Q204" i="70"/>
  <c r="Q212" i="70" s="1"/>
  <c r="P204" i="70"/>
  <c r="P212" i="70" s="1"/>
  <c r="O204" i="70"/>
  <c r="O212" i="70" s="1"/>
  <c r="N204" i="70"/>
  <c r="N212" i="70" s="1"/>
  <c r="M204" i="70"/>
  <c r="M212" i="70" s="1"/>
  <c r="L204" i="70"/>
  <c r="L212" i="70" s="1"/>
  <c r="K204" i="70"/>
  <c r="K212" i="70" s="1"/>
  <c r="J204" i="70"/>
  <c r="J212" i="70" s="1"/>
  <c r="I204" i="70"/>
  <c r="I212" i="70" s="1"/>
  <c r="H204" i="70"/>
  <c r="H212" i="70" s="1"/>
  <c r="G204" i="70"/>
  <c r="G212" i="70" s="1"/>
  <c r="F204" i="70"/>
  <c r="F212" i="70" s="1"/>
  <c r="E204" i="70"/>
  <c r="E212" i="70" s="1"/>
  <c r="AC202" i="70"/>
  <c r="AC201" i="70"/>
  <c r="AC200" i="70"/>
  <c r="AC199" i="70"/>
  <c r="AC198" i="70"/>
  <c r="AO191" i="70"/>
  <c r="AN191" i="70"/>
  <c r="AM191" i="70"/>
  <c r="AL191" i="70"/>
  <c r="AK191" i="70"/>
  <c r="AJ191" i="70"/>
  <c r="AI191" i="70"/>
  <c r="AH191" i="70"/>
  <c r="W191" i="70"/>
  <c r="V191" i="70"/>
  <c r="U191" i="70"/>
  <c r="O191" i="70"/>
  <c r="N191" i="70"/>
  <c r="M191" i="70"/>
  <c r="G191" i="70"/>
  <c r="F191" i="70"/>
  <c r="E191" i="70"/>
  <c r="AM190" i="70"/>
  <c r="AH190" i="70"/>
  <c r="AO187" i="70"/>
  <c r="AN187" i="70"/>
  <c r="AM187" i="70"/>
  <c r="AL187" i="70"/>
  <c r="AK187" i="70"/>
  <c r="AJ187" i="70"/>
  <c r="AI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O186" i="70"/>
  <c r="AN186" i="70"/>
  <c r="AM186" i="70"/>
  <c r="AL186" i="70"/>
  <c r="AK186" i="70"/>
  <c r="AJ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AO185" i="70"/>
  <c r="AN185" i="70"/>
  <c r="AM185" i="70"/>
  <c r="AL185" i="70"/>
  <c r="AK185" i="70"/>
  <c r="AJ185" i="70"/>
  <c r="AB185" i="70"/>
  <c r="AA185" i="70"/>
  <c r="Z185" i="70"/>
  <c r="Y185" i="70"/>
  <c r="X185" i="70"/>
  <c r="W185" i="70"/>
  <c r="V185" i="70"/>
  <c r="U185" i="70"/>
  <c r="T185" i="70"/>
  <c r="S185" i="70"/>
  <c r="R185" i="70"/>
  <c r="Q185" i="70"/>
  <c r="P185" i="70"/>
  <c r="O185" i="70"/>
  <c r="N185" i="70"/>
  <c r="M185" i="70"/>
  <c r="L185" i="70"/>
  <c r="K185" i="70"/>
  <c r="J185" i="70"/>
  <c r="I185" i="70"/>
  <c r="H185" i="70"/>
  <c r="G185" i="70"/>
  <c r="F185" i="70"/>
  <c r="C185" i="70"/>
  <c r="AO184" i="70"/>
  <c r="AN184" i="70"/>
  <c r="AM184" i="70"/>
  <c r="AL184" i="70"/>
  <c r="AK184" i="70"/>
  <c r="AJ184" i="70"/>
  <c r="AB184" i="70"/>
  <c r="AA184" i="70"/>
  <c r="Z184" i="70"/>
  <c r="Y184" i="70"/>
  <c r="X184" i="70"/>
  <c r="W184" i="70"/>
  <c r="V184" i="70"/>
  <c r="U184" i="70"/>
  <c r="T184" i="70"/>
  <c r="S184" i="70"/>
  <c r="R184" i="70"/>
  <c r="Q184" i="70"/>
  <c r="P184" i="70"/>
  <c r="O184" i="70"/>
  <c r="N184" i="70"/>
  <c r="M184" i="70"/>
  <c r="L184" i="70"/>
  <c r="K184" i="70"/>
  <c r="J184" i="70"/>
  <c r="I184" i="70"/>
  <c r="H184" i="70"/>
  <c r="G184" i="70"/>
  <c r="F184" i="70"/>
  <c r="AO183" i="70"/>
  <c r="AN183" i="70"/>
  <c r="AM183" i="70"/>
  <c r="AL183" i="70"/>
  <c r="AK183" i="70"/>
  <c r="AJ183" i="70"/>
  <c r="AB183" i="70"/>
  <c r="AA183" i="70"/>
  <c r="Z183" i="70"/>
  <c r="Y183" i="70"/>
  <c r="X183" i="70"/>
  <c r="W183" i="70"/>
  <c r="V183" i="70"/>
  <c r="U183" i="70"/>
  <c r="T183" i="70"/>
  <c r="S183" i="70"/>
  <c r="R183" i="70"/>
  <c r="Q183" i="70"/>
  <c r="P183" i="70"/>
  <c r="O183" i="70"/>
  <c r="N183" i="70"/>
  <c r="M183" i="70"/>
  <c r="L183" i="70"/>
  <c r="K183" i="70"/>
  <c r="J183" i="70"/>
  <c r="I183" i="70"/>
  <c r="H183" i="70"/>
  <c r="G183" i="70"/>
  <c r="F183" i="70"/>
  <c r="AO182" i="70"/>
  <c r="AN182" i="70"/>
  <c r="AM182" i="70"/>
  <c r="AL182" i="70"/>
  <c r="AK182" i="70"/>
  <c r="AJ182" i="70"/>
  <c r="AI182" i="70"/>
  <c r="AB182" i="70"/>
  <c r="AA182" i="70"/>
  <c r="Z182" i="70"/>
  <c r="Y182" i="70"/>
  <c r="X182" i="70"/>
  <c r="W182" i="70"/>
  <c r="V182" i="70"/>
  <c r="U182" i="70"/>
  <c r="T182" i="70"/>
  <c r="S182" i="70"/>
  <c r="R182" i="70"/>
  <c r="Q182" i="70"/>
  <c r="P182" i="70"/>
  <c r="O182" i="70"/>
  <c r="N182" i="70"/>
  <c r="M182" i="70"/>
  <c r="L182" i="70"/>
  <c r="K182" i="70"/>
  <c r="J182" i="70"/>
  <c r="I182" i="70"/>
  <c r="H182" i="70"/>
  <c r="G182" i="70"/>
  <c r="F182" i="70"/>
  <c r="AO181" i="70"/>
  <c r="AN181" i="70"/>
  <c r="AM181" i="70"/>
  <c r="AL181" i="70"/>
  <c r="AI181" i="70"/>
  <c r="AH181" i="70"/>
  <c r="AB181" i="70"/>
  <c r="AA181" i="70"/>
  <c r="Z181" i="70"/>
  <c r="Y181" i="70"/>
  <c r="X181" i="70"/>
  <c r="W181" i="70"/>
  <c r="V181" i="70"/>
  <c r="U181" i="70"/>
  <c r="T181" i="70"/>
  <c r="S181" i="70"/>
  <c r="R181" i="70"/>
  <c r="Q181" i="70"/>
  <c r="P181" i="70"/>
  <c r="O181" i="70"/>
  <c r="N181" i="70"/>
  <c r="M181" i="70"/>
  <c r="L181" i="70"/>
  <c r="J181" i="70"/>
  <c r="I181" i="70"/>
  <c r="H181" i="70"/>
  <c r="G181" i="70"/>
  <c r="F181" i="70"/>
  <c r="AS170" i="70"/>
  <c r="AR170" i="70"/>
  <c r="AQ170" i="70"/>
  <c r="AK169" i="70"/>
  <c r="AK181" i="70" s="1"/>
  <c r="AJ169" i="70"/>
  <c r="AJ181" i="70" s="1"/>
  <c r="K169" i="70"/>
  <c r="K181" i="70" s="1"/>
  <c r="E169" i="70"/>
  <c r="E181" i="70" s="1"/>
  <c r="AO151" i="70"/>
  <c r="H10" i="18" s="1"/>
  <c r="H15" i="18" s="1"/>
  <c r="AN151" i="70"/>
  <c r="G10" i="18" s="1"/>
  <c r="G15" i="18" s="1"/>
  <c r="AM151" i="70"/>
  <c r="F10" i="18" s="1"/>
  <c r="F15" i="18" s="1"/>
  <c r="AL151" i="70"/>
  <c r="E10" i="18" s="1"/>
  <c r="E15" i="18" s="1"/>
  <c r="AK151" i="70"/>
  <c r="D10" i="18" s="1"/>
  <c r="D15" i="18" s="1"/>
  <c r="AJ151" i="70"/>
  <c r="AI151" i="70"/>
  <c r="AH151" i="70"/>
  <c r="W151" i="70"/>
  <c r="V151" i="70"/>
  <c r="U151" i="70"/>
  <c r="N151" i="70"/>
  <c r="M151" i="70"/>
  <c r="G151" i="70"/>
  <c r="F151" i="70"/>
  <c r="E151" i="70"/>
  <c r="AK147" i="70"/>
  <c r="AJ147" i="70"/>
  <c r="K147" i="70"/>
  <c r="I147" i="70"/>
  <c r="F147" i="70"/>
  <c r="E147" i="70"/>
  <c r="AO139" i="70"/>
  <c r="AN139" i="70"/>
  <c r="AM139" i="70"/>
  <c r="AI138" i="70"/>
  <c r="AI141" i="70" s="1"/>
  <c r="AH138" i="70"/>
  <c r="AH141" i="70" s="1"/>
  <c r="AB138" i="70"/>
  <c r="AB141" i="70" s="1"/>
  <c r="AA138" i="70"/>
  <c r="AA141" i="70" s="1"/>
  <c r="Z138" i="70"/>
  <c r="Z141" i="70" s="1"/>
  <c r="Y138" i="70"/>
  <c r="Y141" i="70" s="1"/>
  <c r="X138" i="70"/>
  <c r="X141" i="70" s="1"/>
  <c r="W138" i="70"/>
  <c r="W141" i="70" s="1"/>
  <c r="V138" i="70"/>
  <c r="V141" i="70" s="1"/>
  <c r="U138" i="70"/>
  <c r="U141" i="70" s="1"/>
  <c r="T138" i="70"/>
  <c r="T141" i="70" s="1"/>
  <c r="S138" i="70"/>
  <c r="S141" i="70" s="1"/>
  <c r="R138" i="70"/>
  <c r="R141" i="70" s="1"/>
  <c r="Q138" i="70"/>
  <c r="P138" i="70"/>
  <c r="O138" i="70"/>
  <c r="N138" i="70"/>
  <c r="M138" i="70"/>
  <c r="L138" i="70"/>
  <c r="L141" i="70" s="1"/>
  <c r="K138" i="70"/>
  <c r="K141" i="70" s="1"/>
  <c r="J138" i="70"/>
  <c r="I138" i="70"/>
  <c r="H138" i="70"/>
  <c r="H141" i="70" s="1"/>
  <c r="G138" i="70"/>
  <c r="G141" i="70" s="1"/>
  <c r="F138" i="70"/>
  <c r="F141" i="70" s="1"/>
  <c r="E138" i="70"/>
  <c r="E141" i="70" s="1"/>
  <c r="AO129" i="70"/>
  <c r="AN129" i="70"/>
  <c r="AO124" i="70"/>
  <c r="AN124" i="70"/>
  <c r="AM124" i="70"/>
  <c r="F124" i="70"/>
  <c r="AS118" i="70"/>
  <c r="AS126" i="70" s="1"/>
  <c r="AS149" i="70" s="1"/>
  <c r="AR118" i="70"/>
  <c r="AR126" i="70" s="1"/>
  <c r="AR149" i="70" s="1"/>
  <c r="AQ118" i="70"/>
  <c r="AQ126" i="70" s="1"/>
  <c r="AQ149" i="70" s="1"/>
  <c r="AF118" i="70"/>
  <c r="AF126" i="70" s="1"/>
  <c r="AF149" i="70" s="1"/>
  <c r="AF174" i="70" s="1"/>
  <c r="AE118" i="70"/>
  <c r="AE126" i="70" s="1"/>
  <c r="AE149" i="70" s="1"/>
  <c r="AE174" i="70" s="1"/>
  <c r="AD118" i="70"/>
  <c r="AD126" i="70" s="1"/>
  <c r="AD149" i="70" s="1"/>
  <c r="AD174" i="70" s="1"/>
  <c r="AC118" i="70"/>
  <c r="AC126" i="70" s="1"/>
  <c r="AC149" i="70" s="1"/>
  <c r="AC174" i="70" s="1"/>
  <c r="AI116" i="70"/>
  <c r="AI119" i="70" s="1"/>
  <c r="AI57" i="70" s="1"/>
  <c r="AH116" i="70"/>
  <c r="AH119" i="70" s="1"/>
  <c r="AH57" i="70" s="1"/>
  <c r="AB116" i="70"/>
  <c r="AB10" i="70" s="1"/>
  <c r="AA116" i="70"/>
  <c r="AA134" i="70" s="1"/>
  <c r="Z116" i="70"/>
  <c r="Z134" i="70" s="1"/>
  <c r="Y116" i="70"/>
  <c r="Y134" i="70" s="1"/>
  <c r="X116" i="70"/>
  <c r="X119" i="70" s="1"/>
  <c r="X57" i="70" s="1"/>
  <c r="W116" i="70"/>
  <c r="W134" i="70" s="1"/>
  <c r="V116" i="70"/>
  <c r="V119" i="70" s="1"/>
  <c r="V57" i="70" s="1"/>
  <c r="U116" i="70"/>
  <c r="U119" i="70" s="1"/>
  <c r="U57" i="70" s="1"/>
  <c r="T116" i="70"/>
  <c r="T119" i="70" s="1"/>
  <c r="T57" i="70" s="1"/>
  <c r="S116" i="70"/>
  <c r="S119" i="70" s="1"/>
  <c r="S57" i="70" s="1"/>
  <c r="R116" i="70"/>
  <c r="R119" i="70" s="1"/>
  <c r="R57" i="70" s="1"/>
  <c r="Q116" i="70"/>
  <c r="Q119" i="70" s="1"/>
  <c r="Q57" i="70" s="1"/>
  <c r="P116" i="70"/>
  <c r="P119" i="70" s="1"/>
  <c r="P57" i="70" s="1"/>
  <c r="O116" i="70"/>
  <c r="O119" i="70" s="1"/>
  <c r="O57" i="70" s="1"/>
  <c r="N116" i="70"/>
  <c r="N119" i="70" s="1"/>
  <c r="N57" i="70" s="1"/>
  <c r="M116" i="70"/>
  <c r="M119" i="70" s="1"/>
  <c r="M57" i="70" s="1"/>
  <c r="L116" i="70"/>
  <c r="L119" i="70" s="1"/>
  <c r="L57" i="70" s="1"/>
  <c r="K116" i="70"/>
  <c r="K119" i="70" s="1"/>
  <c r="K57" i="70" s="1"/>
  <c r="J116" i="70"/>
  <c r="J119" i="70" s="1"/>
  <c r="J57" i="70" s="1"/>
  <c r="I116" i="70"/>
  <c r="I119" i="70" s="1"/>
  <c r="I57" i="70" s="1"/>
  <c r="H116" i="70"/>
  <c r="H119" i="70" s="1"/>
  <c r="H57" i="70" s="1"/>
  <c r="G116" i="70"/>
  <c r="G119" i="70" s="1"/>
  <c r="G57" i="70" s="1"/>
  <c r="F116" i="70"/>
  <c r="F119" i="70" s="1"/>
  <c r="F57" i="70" s="1"/>
  <c r="E116" i="70"/>
  <c r="E119" i="70" s="1"/>
  <c r="E57" i="70" s="1"/>
  <c r="AS104" i="70"/>
  <c r="AR104" i="70"/>
  <c r="AQ104" i="70"/>
  <c r="AO104" i="70"/>
  <c r="AN104" i="70"/>
  <c r="AS103" i="70"/>
  <c r="AR103" i="70"/>
  <c r="AO103" i="70"/>
  <c r="AN103" i="70"/>
  <c r="AO102" i="70"/>
  <c r="AN102" i="70"/>
  <c r="AO101" i="70"/>
  <c r="AN101" i="70"/>
  <c r="AO98" i="70"/>
  <c r="AN98" i="70"/>
  <c r="AO97" i="70"/>
  <c r="AN97" i="70"/>
  <c r="AO92" i="70"/>
  <c r="AN92" i="70"/>
  <c r="C92" i="70"/>
  <c r="AO91" i="70"/>
  <c r="AN91" i="70"/>
  <c r="C91" i="70"/>
  <c r="C66" i="70"/>
  <c r="AO63" i="70"/>
  <c r="AN63" i="70"/>
  <c r="AI30" i="70"/>
  <c r="AH30" i="70"/>
  <c r="AB30" i="70"/>
  <c r="AA30" i="70"/>
  <c r="Z30" i="70"/>
  <c r="Y30" i="70"/>
  <c r="X30" i="70"/>
  <c r="W30" i="70"/>
  <c r="V30" i="70"/>
  <c r="U30" i="70"/>
  <c r="T30" i="70"/>
  <c r="S30" i="70"/>
  <c r="R30" i="70"/>
  <c r="Q30" i="70"/>
  <c r="P30" i="70"/>
  <c r="O30" i="70"/>
  <c r="N30" i="70"/>
  <c r="M30" i="70"/>
  <c r="L30" i="70"/>
  <c r="K30" i="70"/>
  <c r="J30" i="70"/>
  <c r="I30" i="70"/>
  <c r="H30" i="70"/>
  <c r="G30" i="70"/>
  <c r="F30" i="70"/>
  <c r="E30" i="70"/>
  <c r="AI26" i="70"/>
  <c r="AH26" i="70"/>
  <c r="AI25" i="70"/>
  <c r="AB25" i="70"/>
  <c r="AA25" i="70"/>
  <c r="Z25" i="70"/>
  <c r="Y25" i="70"/>
  <c r="X25" i="70"/>
  <c r="W25" i="70"/>
  <c r="V25" i="70"/>
  <c r="U25" i="70"/>
  <c r="T25" i="70"/>
  <c r="S25" i="70"/>
  <c r="R25" i="70"/>
  <c r="Q25" i="70"/>
  <c r="P25" i="70"/>
  <c r="O25" i="70"/>
  <c r="N25" i="70"/>
  <c r="M25" i="70"/>
  <c r="L25" i="70"/>
  <c r="K25" i="70"/>
  <c r="J25" i="70"/>
  <c r="I25" i="70"/>
  <c r="AI22" i="70"/>
  <c r="AH22" i="70"/>
  <c r="AI21" i="70"/>
  <c r="AB21" i="70"/>
  <c r="AA21" i="70"/>
  <c r="Z21" i="70"/>
  <c r="Y21" i="70"/>
  <c r="X21" i="70"/>
  <c r="W21" i="70"/>
  <c r="V21" i="70"/>
  <c r="U21" i="70"/>
  <c r="T21" i="70"/>
  <c r="S21" i="70"/>
  <c r="R21" i="70"/>
  <c r="Q21" i="70"/>
  <c r="P21" i="70"/>
  <c r="O21" i="70"/>
  <c r="N21" i="70"/>
  <c r="M21" i="70"/>
  <c r="L21" i="70"/>
  <c r="K21" i="70"/>
  <c r="J21" i="70"/>
  <c r="I21" i="70"/>
  <c r="AI16" i="70"/>
  <c r="AI122" i="70" s="1"/>
  <c r="AH16" i="70"/>
  <c r="AH122" i="70" s="1"/>
  <c r="AI14" i="70"/>
  <c r="AB14" i="70"/>
  <c r="AA14" i="70"/>
  <c r="Z14" i="70"/>
  <c r="Y14" i="70"/>
  <c r="X14" i="70"/>
  <c r="W14" i="70"/>
  <c r="V14" i="70"/>
  <c r="U14" i="70"/>
  <c r="T14" i="70"/>
  <c r="S14" i="70"/>
  <c r="R14" i="70"/>
  <c r="Q14" i="70"/>
  <c r="P14" i="70"/>
  <c r="O14" i="70"/>
  <c r="N14" i="70"/>
  <c r="M14" i="70"/>
  <c r="L14" i="70"/>
  <c r="K14" i="70"/>
  <c r="J14" i="70"/>
  <c r="I14" i="70"/>
  <c r="AI11" i="70"/>
  <c r="AA10" i="70"/>
  <c r="AA22" i="70" s="1"/>
  <c r="S10" i="70"/>
  <c r="S22" i="70" s="1"/>
  <c r="K10" i="70"/>
  <c r="K22" i="70" s="1"/>
  <c r="BH6" i="70"/>
  <c r="BI6" i="70" s="1"/>
  <c r="BJ6" i="70" s="1"/>
  <c r="BK6" i="70" s="1"/>
  <c r="BL6" i="70" s="1"/>
  <c r="BM6" i="70" s="1"/>
  <c r="BN6" i="70" s="1"/>
  <c r="BO6" i="70" s="1"/>
  <c r="BP6" i="70" s="1"/>
  <c r="BQ6" i="70" s="1"/>
  <c r="BR6" i="70" s="1"/>
  <c r="AV6" i="70"/>
  <c r="AW6" i="70" s="1"/>
  <c r="AX6" i="70" s="1"/>
  <c r="AY6" i="70" s="1"/>
  <c r="AZ6" i="70" s="1"/>
  <c r="BA6" i="70" s="1"/>
  <c r="BB6" i="70" s="1"/>
  <c r="BC6" i="70" s="1"/>
  <c r="BD6" i="70" s="1"/>
  <c r="BE6" i="70" s="1"/>
  <c r="BF6" i="70" s="1"/>
  <c r="AI6" i="70"/>
  <c r="AI5" i="70" s="1"/>
  <c r="AI55" i="70" s="1"/>
  <c r="AI69" i="70" s="1"/>
  <c r="AI89" i="70" s="1"/>
  <c r="F6" i="70"/>
  <c r="F5" i="70" s="1"/>
  <c r="F55" i="70" s="1"/>
  <c r="F69" i="70" s="1"/>
  <c r="F89" i="70" s="1"/>
  <c r="AH5" i="70"/>
  <c r="AH55" i="70" s="1"/>
  <c r="AH69" i="70" s="1"/>
  <c r="AH89" i="70" s="1"/>
  <c r="E5" i="70"/>
  <c r="E55" i="70" s="1"/>
  <c r="E69" i="70" s="1"/>
  <c r="E89" i="70" s="1"/>
  <c r="BK143" i="72"/>
  <c r="AS125" i="72"/>
  <c r="AR125" i="72"/>
  <c r="AQ125" i="72"/>
  <c r="AF125" i="72"/>
  <c r="AE125" i="72"/>
  <c r="AD125" i="72"/>
  <c r="AC125" i="72"/>
  <c r="AA125" i="72"/>
  <c r="Z125" i="72"/>
  <c r="Y125" i="72"/>
  <c r="W125" i="72"/>
  <c r="V125" i="72"/>
  <c r="U125" i="72"/>
  <c r="S125" i="72"/>
  <c r="R125" i="72"/>
  <c r="Q125" i="72"/>
  <c r="O125" i="72"/>
  <c r="N125" i="72"/>
  <c r="M125" i="72"/>
  <c r="K125" i="72"/>
  <c r="J125" i="72"/>
  <c r="I125" i="72"/>
  <c r="AA122" i="72"/>
  <c r="AA128" i="72" s="1"/>
  <c r="Z122" i="72"/>
  <c r="Y122" i="72"/>
  <c r="Y128" i="72" s="1"/>
  <c r="W122" i="72"/>
  <c r="W128" i="72" s="1"/>
  <c r="V122" i="72"/>
  <c r="V128" i="72" s="1"/>
  <c r="U122" i="72"/>
  <c r="S122" i="72"/>
  <c r="R122" i="72"/>
  <c r="Q122" i="72"/>
  <c r="Q128" i="72" s="1"/>
  <c r="O122" i="72"/>
  <c r="O128" i="72" s="1"/>
  <c r="N122" i="72"/>
  <c r="N128" i="72" s="1"/>
  <c r="M122" i="72"/>
  <c r="M128" i="72" s="1"/>
  <c r="K122" i="72"/>
  <c r="K128" i="72" s="1"/>
  <c r="J122" i="72"/>
  <c r="I122" i="72"/>
  <c r="G122" i="72"/>
  <c r="G128" i="72" s="1"/>
  <c r="F122" i="72"/>
  <c r="F128" i="72" s="1"/>
  <c r="E122" i="72"/>
  <c r="E128" i="72" s="1"/>
  <c r="AI111" i="72"/>
  <c r="AH111" i="72"/>
  <c r="AB111" i="72"/>
  <c r="AB112" i="72" s="1"/>
  <c r="AA111" i="72"/>
  <c r="AA112" i="72" s="1"/>
  <c r="Z111" i="72"/>
  <c r="Y111" i="72"/>
  <c r="X111" i="72"/>
  <c r="W111" i="72"/>
  <c r="W112" i="72" s="1"/>
  <c r="V111" i="72"/>
  <c r="U111" i="72"/>
  <c r="U112" i="72" s="1"/>
  <c r="T111" i="72"/>
  <c r="T112" i="72" s="1"/>
  <c r="S111" i="72"/>
  <c r="S112" i="72" s="1"/>
  <c r="R111" i="72"/>
  <c r="Q111" i="72"/>
  <c r="P111" i="72"/>
  <c r="O111" i="72"/>
  <c r="O112" i="72" s="1"/>
  <c r="N111" i="72"/>
  <c r="M111" i="72"/>
  <c r="M112" i="72" s="1"/>
  <c r="L111" i="72"/>
  <c r="L112" i="72" s="1"/>
  <c r="K111" i="72"/>
  <c r="K112" i="72" s="1"/>
  <c r="J111" i="72"/>
  <c r="I111" i="72"/>
  <c r="H111" i="72"/>
  <c r="G111" i="72"/>
  <c r="F111" i="72"/>
  <c r="AI109" i="72"/>
  <c r="AH109" i="72"/>
  <c r="AB109" i="72"/>
  <c r="AA109" i="72"/>
  <c r="Z109" i="72"/>
  <c r="Y109" i="72"/>
  <c r="X109" i="72"/>
  <c r="W109" i="72"/>
  <c r="V109" i="72"/>
  <c r="U109" i="72"/>
  <c r="T109" i="72"/>
  <c r="S109" i="72"/>
  <c r="R109" i="72"/>
  <c r="Q109" i="72"/>
  <c r="P109" i="72"/>
  <c r="O109" i="72"/>
  <c r="N109" i="72"/>
  <c r="M109" i="72"/>
  <c r="L109" i="72"/>
  <c r="K109" i="72"/>
  <c r="J109" i="72"/>
  <c r="I109" i="72"/>
  <c r="H109" i="72"/>
  <c r="G109" i="72"/>
  <c r="F109" i="72"/>
  <c r="AI108" i="72"/>
  <c r="AB108" i="72"/>
  <c r="AA108" i="72"/>
  <c r="Z108" i="72"/>
  <c r="Y108" i="72"/>
  <c r="X108" i="72"/>
  <c r="W108" i="72"/>
  <c r="V108" i="72"/>
  <c r="U108" i="72"/>
  <c r="T108" i="72"/>
  <c r="S108" i="72"/>
  <c r="R108" i="72"/>
  <c r="Q108" i="72"/>
  <c r="P108" i="72"/>
  <c r="O108" i="72"/>
  <c r="N108" i="72"/>
  <c r="M108" i="72"/>
  <c r="L108" i="72"/>
  <c r="K108" i="72"/>
  <c r="J108" i="72"/>
  <c r="E107" i="72"/>
  <c r="AI105" i="72"/>
  <c r="AH105" i="72"/>
  <c r="AB105" i="72"/>
  <c r="AA105" i="72"/>
  <c r="Z105" i="72"/>
  <c r="Y105" i="72"/>
  <c r="X105" i="72"/>
  <c r="W105" i="72"/>
  <c r="V105" i="72"/>
  <c r="U105" i="72"/>
  <c r="T105" i="72"/>
  <c r="S105" i="72"/>
  <c r="R105" i="72"/>
  <c r="Q105" i="72"/>
  <c r="P105" i="72"/>
  <c r="O105" i="72"/>
  <c r="N105" i="72"/>
  <c r="M105" i="72"/>
  <c r="L105" i="72"/>
  <c r="K105" i="72"/>
  <c r="J105" i="72"/>
  <c r="I105" i="72"/>
  <c r="H105" i="72"/>
  <c r="G105" i="72"/>
  <c r="F105" i="72"/>
  <c r="E105" i="72"/>
  <c r="AI104" i="72"/>
  <c r="AB104" i="72"/>
  <c r="AA104" i="72"/>
  <c r="Z104" i="72"/>
  <c r="Y104" i="72"/>
  <c r="X104" i="72"/>
  <c r="W104" i="72"/>
  <c r="V104" i="72"/>
  <c r="U104" i="72"/>
  <c r="T104" i="72"/>
  <c r="S104" i="72"/>
  <c r="R104" i="72"/>
  <c r="Q104" i="72"/>
  <c r="P104" i="72"/>
  <c r="O104" i="72"/>
  <c r="N104" i="72"/>
  <c r="M104" i="72"/>
  <c r="L104" i="72"/>
  <c r="K104" i="72"/>
  <c r="J104" i="72"/>
  <c r="I104" i="72"/>
  <c r="AI101" i="72"/>
  <c r="AH101" i="72"/>
  <c r="AB101" i="72"/>
  <c r="AA101" i="72"/>
  <c r="Z101" i="72"/>
  <c r="Y101" i="72"/>
  <c r="X101" i="72"/>
  <c r="W101" i="72"/>
  <c r="V101" i="72"/>
  <c r="U101" i="72"/>
  <c r="T101" i="72"/>
  <c r="S101" i="72"/>
  <c r="R101" i="72"/>
  <c r="Q101" i="72"/>
  <c r="P101" i="72"/>
  <c r="O101" i="72"/>
  <c r="N101" i="72"/>
  <c r="M101" i="72"/>
  <c r="L101" i="72"/>
  <c r="K101" i="72"/>
  <c r="J101" i="72"/>
  <c r="I101" i="72"/>
  <c r="H101" i="72"/>
  <c r="G101" i="72"/>
  <c r="F101" i="72"/>
  <c r="E101" i="72"/>
  <c r="AI100" i="72"/>
  <c r="AB100" i="72"/>
  <c r="AA100" i="72"/>
  <c r="Z100" i="72"/>
  <c r="Y100" i="72"/>
  <c r="X100" i="72"/>
  <c r="W100" i="72"/>
  <c r="V100" i="72"/>
  <c r="U100" i="72"/>
  <c r="T100" i="72"/>
  <c r="S100" i="72"/>
  <c r="R100" i="72"/>
  <c r="Q100" i="72"/>
  <c r="P100" i="72"/>
  <c r="O100" i="72"/>
  <c r="N100" i="72"/>
  <c r="M100" i="72"/>
  <c r="L100" i="72"/>
  <c r="K100" i="72"/>
  <c r="J100" i="72"/>
  <c r="I100" i="72"/>
  <c r="AI97" i="72"/>
  <c r="AH97" i="72"/>
  <c r="AB97" i="72"/>
  <c r="AA97" i="72"/>
  <c r="Z97" i="72"/>
  <c r="Y97" i="72"/>
  <c r="X97" i="72"/>
  <c r="W97" i="72"/>
  <c r="V97" i="72"/>
  <c r="U97" i="72"/>
  <c r="T97" i="72"/>
  <c r="S97" i="72"/>
  <c r="R97" i="72"/>
  <c r="Q97" i="72"/>
  <c r="P97" i="72"/>
  <c r="O97" i="72"/>
  <c r="N97" i="72"/>
  <c r="M97" i="72"/>
  <c r="L97" i="72"/>
  <c r="K97" i="72"/>
  <c r="J97" i="72"/>
  <c r="I97" i="72"/>
  <c r="H97" i="72"/>
  <c r="G97" i="72"/>
  <c r="F97" i="72"/>
  <c r="E97" i="72"/>
  <c r="AI96" i="72"/>
  <c r="AB96" i="72"/>
  <c r="AA96" i="72"/>
  <c r="Z96" i="72"/>
  <c r="Y96" i="72"/>
  <c r="X96" i="72"/>
  <c r="W96" i="72"/>
  <c r="V96" i="72"/>
  <c r="U96" i="72"/>
  <c r="T96" i="72"/>
  <c r="S96" i="72"/>
  <c r="R96" i="72"/>
  <c r="Q96" i="72"/>
  <c r="P96" i="72"/>
  <c r="O96" i="72"/>
  <c r="N96" i="72"/>
  <c r="M96" i="72"/>
  <c r="L96" i="72"/>
  <c r="K96" i="72"/>
  <c r="J96" i="72"/>
  <c r="I96" i="72"/>
  <c r="AI93" i="72"/>
  <c r="AH93" i="72"/>
  <c r="AB93" i="72"/>
  <c r="AA93" i="72"/>
  <c r="Z93" i="72"/>
  <c r="Y93" i="72"/>
  <c r="X93" i="72"/>
  <c r="W93" i="72"/>
  <c r="V93" i="72"/>
  <c r="U93" i="72"/>
  <c r="T93" i="72"/>
  <c r="S93" i="72"/>
  <c r="R93" i="72"/>
  <c r="Q93" i="72"/>
  <c r="P93" i="72"/>
  <c r="O93" i="72"/>
  <c r="N93" i="72"/>
  <c r="M93" i="72"/>
  <c r="L93" i="72"/>
  <c r="K93" i="72"/>
  <c r="J93" i="72"/>
  <c r="I93" i="72"/>
  <c r="H93" i="72"/>
  <c r="G93" i="72"/>
  <c r="F93" i="72"/>
  <c r="E93" i="72"/>
  <c r="AI92" i="72"/>
  <c r="AB92" i="72"/>
  <c r="AA92" i="72"/>
  <c r="Z92" i="72"/>
  <c r="Y92" i="72"/>
  <c r="X92" i="72"/>
  <c r="W92" i="72"/>
  <c r="V92" i="72"/>
  <c r="U92" i="72"/>
  <c r="T92" i="72"/>
  <c r="S92" i="72"/>
  <c r="R92" i="72"/>
  <c r="Q92" i="72"/>
  <c r="P92" i="72"/>
  <c r="O92" i="72"/>
  <c r="N92" i="72"/>
  <c r="M92" i="72"/>
  <c r="L92" i="72"/>
  <c r="K92" i="72"/>
  <c r="J92" i="72"/>
  <c r="I92" i="72"/>
  <c r="AI88" i="72"/>
  <c r="AB88" i="72"/>
  <c r="AA88" i="72"/>
  <c r="Z88" i="72"/>
  <c r="Y88" i="72"/>
  <c r="X88" i="72"/>
  <c r="W88" i="72"/>
  <c r="V88" i="72"/>
  <c r="U88" i="72"/>
  <c r="T88" i="72"/>
  <c r="S88" i="72"/>
  <c r="R88" i="72"/>
  <c r="Q88" i="72"/>
  <c r="P88" i="72"/>
  <c r="O88" i="72"/>
  <c r="N88" i="72"/>
  <c r="M88" i="72"/>
  <c r="L88" i="72"/>
  <c r="K88" i="72"/>
  <c r="J88" i="72"/>
  <c r="I88" i="72"/>
  <c r="AI84" i="72"/>
  <c r="AB84" i="72"/>
  <c r="AA84" i="72"/>
  <c r="Z84" i="72"/>
  <c r="Y84" i="72"/>
  <c r="X84" i="72"/>
  <c r="W84" i="72"/>
  <c r="V84" i="72"/>
  <c r="U84" i="72"/>
  <c r="T84" i="72"/>
  <c r="S84" i="72"/>
  <c r="R84" i="72"/>
  <c r="Q84" i="72"/>
  <c r="P84" i="72"/>
  <c r="O84" i="72"/>
  <c r="N84" i="72"/>
  <c r="M84" i="72"/>
  <c r="L84" i="72"/>
  <c r="K84" i="72"/>
  <c r="J84" i="72"/>
  <c r="I84" i="72"/>
  <c r="AR78" i="72"/>
  <c r="AQ78" i="72"/>
  <c r="AF78" i="72"/>
  <c r="AF79" i="72" s="1"/>
  <c r="AE78" i="72"/>
  <c r="AD78" i="72"/>
  <c r="AC78" i="72"/>
  <c r="AB78" i="72"/>
  <c r="AA78" i="72"/>
  <c r="Z78" i="72"/>
  <c r="Z79" i="72" s="1"/>
  <c r="Y78" i="72"/>
  <c r="Y79" i="72" s="1"/>
  <c r="X78" i="72"/>
  <c r="X79" i="72" s="1"/>
  <c r="W78" i="72"/>
  <c r="W79" i="72" s="1"/>
  <c r="V78" i="72"/>
  <c r="V79" i="72" s="1"/>
  <c r="U78" i="72"/>
  <c r="U79" i="72" s="1"/>
  <c r="AR76" i="72"/>
  <c r="AF76" i="72"/>
  <c r="AE76" i="72"/>
  <c r="AD76" i="72"/>
  <c r="AC76" i="72"/>
  <c r="AB76" i="72"/>
  <c r="AA76" i="72"/>
  <c r="Z76" i="72"/>
  <c r="Y76" i="72"/>
  <c r="X76" i="72"/>
  <c r="W76" i="72"/>
  <c r="V76" i="72"/>
  <c r="U76" i="72"/>
  <c r="AR73" i="72"/>
  <c r="AF73" i="72"/>
  <c r="AE73" i="72"/>
  <c r="AD73" i="72"/>
  <c r="AC73" i="72"/>
  <c r="AB73" i="72"/>
  <c r="AA73" i="72"/>
  <c r="Z73" i="72"/>
  <c r="Y73" i="72"/>
  <c r="X73" i="72"/>
  <c r="W73" i="72"/>
  <c r="V73" i="72"/>
  <c r="U73" i="72"/>
  <c r="AR70" i="72"/>
  <c r="AF70" i="72"/>
  <c r="AE70" i="72"/>
  <c r="AD70" i="72"/>
  <c r="AC70" i="72"/>
  <c r="AB70" i="72"/>
  <c r="AA70" i="72"/>
  <c r="Z70" i="72"/>
  <c r="Y70" i="72"/>
  <c r="X70" i="72"/>
  <c r="W70" i="72"/>
  <c r="V70" i="72"/>
  <c r="U70" i="72"/>
  <c r="AR67" i="72"/>
  <c r="AF67" i="72"/>
  <c r="AE67" i="72"/>
  <c r="AD67" i="72"/>
  <c r="AC67" i="72"/>
  <c r="AB67" i="72"/>
  <c r="AA67" i="72"/>
  <c r="Z67" i="72"/>
  <c r="Y67" i="72"/>
  <c r="X67" i="72"/>
  <c r="W67" i="72"/>
  <c r="V67" i="72"/>
  <c r="U67" i="72"/>
  <c r="AR64" i="72"/>
  <c r="AF64" i="72"/>
  <c r="AE64" i="72"/>
  <c r="AD64" i="72"/>
  <c r="AC64" i="72"/>
  <c r="AB64" i="72"/>
  <c r="AA64" i="72"/>
  <c r="Z64" i="72"/>
  <c r="Y64" i="72"/>
  <c r="X64" i="72"/>
  <c r="W64" i="72"/>
  <c r="V64" i="72"/>
  <c r="U64" i="72"/>
  <c r="AR61" i="72"/>
  <c r="AF61" i="72"/>
  <c r="AE61" i="72"/>
  <c r="AD61" i="72"/>
  <c r="AC61" i="72"/>
  <c r="AB61" i="72"/>
  <c r="AA61" i="72"/>
  <c r="Z61" i="72"/>
  <c r="Y61" i="72"/>
  <c r="X61" i="72"/>
  <c r="W61" i="72"/>
  <c r="V61" i="72"/>
  <c r="U61" i="72"/>
  <c r="AR58" i="72"/>
  <c r="AF58" i="72"/>
  <c r="AE58" i="72"/>
  <c r="AD58" i="72"/>
  <c r="AC58" i="72"/>
  <c r="AB58" i="72"/>
  <c r="AA58" i="72"/>
  <c r="Z58" i="72"/>
  <c r="Y58" i="72"/>
  <c r="X58" i="72"/>
  <c r="W58" i="72"/>
  <c r="V58" i="72"/>
  <c r="U58" i="72"/>
  <c r="AI50" i="72"/>
  <c r="AB50" i="72"/>
  <c r="AA50" i="72"/>
  <c r="Z50" i="72"/>
  <c r="Y50" i="72"/>
  <c r="X50" i="72"/>
  <c r="W50" i="72"/>
  <c r="V50" i="72"/>
  <c r="U50" i="72"/>
  <c r="T50" i="72"/>
  <c r="S50" i="72"/>
  <c r="R50" i="72"/>
  <c r="Q50" i="72"/>
  <c r="P50" i="72"/>
  <c r="O50" i="72"/>
  <c r="N50" i="72"/>
  <c r="M50" i="72"/>
  <c r="L50" i="72"/>
  <c r="K50" i="72"/>
  <c r="J50" i="72"/>
  <c r="AF49" i="72"/>
  <c r="AF107" i="72" s="1"/>
  <c r="AF108" i="72" s="1"/>
  <c r="AE49" i="72"/>
  <c r="AE107" i="72" s="1"/>
  <c r="AE108" i="72" s="1"/>
  <c r="AD49" i="72"/>
  <c r="AD107" i="72" s="1"/>
  <c r="AD108" i="72" s="1"/>
  <c r="AC49" i="72"/>
  <c r="AC107" i="72" s="1"/>
  <c r="AC108" i="72" s="1"/>
  <c r="E49" i="72"/>
  <c r="I50" i="72" s="1"/>
  <c r="AI47" i="72"/>
  <c r="AB47" i="72"/>
  <c r="AA47" i="72"/>
  <c r="Z47" i="72"/>
  <c r="Y47" i="72"/>
  <c r="X47" i="72"/>
  <c r="W47" i="72"/>
  <c r="V47" i="72"/>
  <c r="U47" i="72"/>
  <c r="T47" i="72"/>
  <c r="S47" i="72"/>
  <c r="R47" i="72"/>
  <c r="Q47" i="72"/>
  <c r="P47" i="72"/>
  <c r="O47" i="72"/>
  <c r="N47" i="72"/>
  <c r="M47" i="72"/>
  <c r="L47" i="72"/>
  <c r="K47" i="72"/>
  <c r="J47" i="72"/>
  <c r="I47" i="72"/>
  <c r="AF46" i="72"/>
  <c r="AF103" i="72" s="1"/>
  <c r="AF104" i="72" s="1"/>
  <c r="AE46" i="72"/>
  <c r="AE103" i="72" s="1"/>
  <c r="AE104" i="72" s="1"/>
  <c r="AD46" i="72"/>
  <c r="AD103" i="72" s="1"/>
  <c r="AD104" i="72" s="1"/>
  <c r="AC46" i="72"/>
  <c r="AC103" i="72" s="1"/>
  <c r="AC104" i="72" s="1"/>
  <c r="AI44" i="72"/>
  <c r="AB44" i="72"/>
  <c r="AA44" i="72"/>
  <c r="Z44" i="72"/>
  <c r="Y44" i="72"/>
  <c r="X44" i="72"/>
  <c r="W44" i="72"/>
  <c r="V44" i="72"/>
  <c r="U44" i="72"/>
  <c r="T44" i="72"/>
  <c r="S44" i="72"/>
  <c r="R44" i="72"/>
  <c r="Q44" i="72"/>
  <c r="P44" i="72"/>
  <c r="O44" i="72"/>
  <c r="N44" i="72"/>
  <c r="M44" i="72"/>
  <c r="L44" i="72"/>
  <c r="K44" i="72"/>
  <c r="J44" i="72"/>
  <c r="I44" i="72"/>
  <c r="AF43" i="72"/>
  <c r="AF99" i="72" s="1"/>
  <c r="AF100" i="72" s="1"/>
  <c r="AE43" i="72"/>
  <c r="AE99" i="72" s="1"/>
  <c r="AE100" i="72" s="1"/>
  <c r="AD43" i="72"/>
  <c r="AD99" i="72" s="1"/>
  <c r="AD100" i="72" s="1"/>
  <c r="AC43" i="72"/>
  <c r="AC99" i="72" s="1"/>
  <c r="AC100" i="72" s="1"/>
  <c r="P41" i="72"/>
  <c r="O41" i="72"/>
  <c r="N41" i="72"/>
  <c r="L41" i="72"/>
  <c r="K41" i="72"/>
  <c r="J41" i="72"/>
  <c r="I41" i="72"/>
  <c r="AI40" i="72"/>
  <c r="AH40" i="72"/>
  <c r="AB40" i="72"/>
  <c r="AA40" i="72"/>
  <c r="Z40" i="72"/>
  <c r="Y40" i="72"/>
  <c r="X40" i="72"/>
  <c r="W40" i="72"/>
  <c r="W41" i="72" s="1"/>
  <c r="V40" i="72"/>
  <c r="V41" i="72" s="1"/>
  <c r="U40" i="72"/>
  <c r="U41" i="72" s="1"/>
  <c r="T40" i="72"/>
  <c r="T41" i="72" s="1"/>
  <c r="S40" i="72"/>
  <c r="S41" i="72" s="1"/>
  <c r="R40" i="72"/>
  <c r="R41" i="72" s="1"/>
  <c r="Q40" i="72"/>
  <c r="M40" i="72"/>
  <c r="M41" i="72" s="1"/>
  <c r="AI38" i="72"/>
  <c r="AB38" i="72"/>
  <c r="AA38" i="72"/>
  <c r="Z38" i="72"/>
  <c r="Y38" i="72"/>
  <c r="X38" i="72"/>
  <c r="W38" i="72"/>
  <c r="V38" i="72"/>
  <c r="AF37" i="72"/>
  <c r="AE37" i="72"/>
  <c r="AD37" i="72"/>
  <c r="AC37" i="72"/>
  <c r="AC95" i="72" s="1"/>
  <c r="AC96" i="72" s="1"/>
  <c r="AI35" i="72"/>
  <c r="AB35" i="72"/>
  <c r="AA35" i="72"/>
  <c r="Z35" i="72"/>
  <c r="Y35" i="72"/>
  <c r="X35" i="72"/>
  <c r="W35" i="72"/>
  <c r="V35" i="72"/>
  <c r="AF34" i="72"/>
  <c r="AF91" i="72" s="1"/>
  <c r="AF92" i="72" s="1"/>
  <c r="AE34" i="72"/>
  <c r="AE91" i="72" s="1"/>
  <c r="AE92" i="72" s="1"/>
  <c r="AD34" i="72"/>
  <c r="AD91" i="72" s="1"/>
  <c r="AD92" i="72" s="1"/>
  <c r="AC34" i="72"/>
  <c r="AC91" i="72" s="1"/>
  <c r="AC92" i="72" s="1"/>
  <c r="M30" i="72"/>
  <c r="AI29" i="72"/>
  <c r="AI89" i="72" s="1"/>
  <c r="AH29" i="72"/>
  <c r="AH89" i="72" s="1"/>
  <c r="AB29" i="72"/>
  <c r="AB30" i="72" s="1"/>
  <c r="AA29" i="72"/>
  <c r="Z29" i="72"/>
  <c r="Y29" i="72"/>
  <c r="X29" i="72"/>
  <c r="X89" i="72" s="1"/>
  <c r="W29" i="72"/>
  <c r="W89" i="72" s="1"/>
  <c r="V29" i="72"/>
  <c r="V89" i="72" s="1"/>
  <c r="U29" i="72"/>
  <c r="U89" i="72" s="1"/>
  <c r="T29" i="72"/>
  <c r="S29" i="72"/>
  <c r="R29" i="72"/>
  <c r="R30" i="72" s="1"/>
  <c r="Q29" i="72"/>
  <c r="Q30" i="72" s="1"/>
  <c r="P29" i="72"/>
  <c r="P89" i="72" s="1"/>
  <c r="O29" i="72"/>
  <c r="O89" i="72" s="1"/>
  <c r="N29" i="72"/>
  <c r="N89" i="72" s="1"/>
  <c r="M29" i="72"/>
  <c r="M89" i="72" s="1"/>
  <c r="L29" i="72"/>
  <c r="L30" i="72" s="1"/>
  <c r="K29" i="72"/>
  <c r="J29" i="72"/>
  <c r="I29" i="72"/>
  <c r="I89" i="72" s="1"/>
  <c r="H29" i="72"/>
  <c r="H89" i="72" s="1"/>
  <c r="G29" i="72"/>
  <c r="G89" i="72" s="1"/>
  <c r="F29" i="72"/>
  <c r="F89" i="72" s="1"/>
  <c r="E29" i="72"/>
  <c r="E89" i="72" s="1"/>
  <c r="AI27" i="72"/>
  <c r="AB27" i="72"/>
  <c r="AA27" i="72"/>
  <c r="Z27" i="72"/>
  <c r="Y27" i="72"/>
  <c r="X27" i="72"/>
  <c r="W27" i="72"/>
  <c r="V27" i="72"/>
  <c r="U27" i="72"/>
  <c r="T27" i="72"/>
  <c r="S27" i="72"/>
  <c r="R27" i="72"/>
  <c r="Q27" i="72"/>
  <c r="P27" i="72"/>
  <c r="O27" i="72"/>
  <c r="N27" i="72"/>
  <c r="M27" i="72"/>
  <c r="L27" i="72"/>
  <c r="K27" i="72"/>
  <c r="J27" i="72"/>
  <c r="I27" i="72"/>
  <c r="AI24" i="72"/>
  <c r="AB24" i="72"/>
  <c r="AA24" i="72"/>
  <c r="Z24" i="72"/>
  <c r="Y24" i="72"/>
  <c r="X24" i="72"/>
  <c r="W24" i="72"/>
  <c r="V24" i="72"/>
  <c r="U24" i="72"/>
  <c r="T24" i="72"/>
  <c r="S24" i="72"/>
  <c r="R24" i="72"/>
  <c r="Q24" i="72"/>
  <c r="P24" i="72"/>
  <c r="O24" i="72"/>
  <c r="N24" i="72"/>
  <c r="M24" i="72"/>
  <c r="L24" i="72"/>
  <c r="K24" i="72"/>
  <c r="J24" i="72"/>
  <c r="I24" i="72"/>
  <c r="AI18" i="72"/>
  <c r="AI19" i="72" s="1"/>
  <c r="AH18" i="72"/>
  <c r="AH85" i="72" s="1"/>
  <c r="AB18" i="72"/>
  <c r="AB85" i="72" s="1"/>
  <c r="AA18" i="72"/>
  <c r="AA85" i="72" s="1"/>
  <c r="Z18" i="72"/>
  <c r="Z85" i="72" s="1"/>
  <c r="Y18" i="72"/>
  <c r="X18" i="72"/>
  <c r="W18" i="72"/>
  <c r="V18" i="72"/>
  <c r="V19" i="72" s="1"/>
  <c r="U18" i="72"/>
  <c r="U85" i="72" s="1"/>
  <c r="T18" i="72"/>
  <c r="T85" i="72" s="1"/>
  <c r="S18" i="72"/>
  <c r="S85" i="72" s="1"/>
  <c r="R18" i="72"/>
  <c r="R85" i="72" s="1"/>
  <c r="Q18" i="72"/>
  <c r="P18" i="72"/>
  <c r="O18" i="72"/>
  <c r="N18" i="72"/>
  <c r="N19" i="72" s="1"/>
  <c r="M18" i="72"/>
  <c r="M85" i="72" s="1"/>
  <c r="L18" i="72"/>
  <c r="L85" i="72" s="1"/>
  <c r="K18" i="72"/>
  <c r="K85" i="72" s="1"/>
  <c r="J18" i="72"/>
  <c r="J85" i="72" s="1"/>
  <c r="I18" i="72"/>
  <c r="H18" i="72"/>
  <c r="G18" i="72"/>
  <c r="G85" i="72" s="1"/>
  <c r="F18" i="72"/>
  <c r="F52" i="72" s="1"/>
  <c r="E18" i="72"/>
  <c r="E85" i="72" s="1"/>
  <c r="AI16" i="72"/>
  <c r="AB16" i="72"/>
  <c r="AA16" i="72"/>
  <c r="Z16" i="72"/>
  <c r="Y16" i="72"/>
  <c r="X16" i="72"/>
  <c r="W16" i="72"/>
  <c r="V16" i="72"/>
  <c r="U16" i="72"/>
  <c r="T16" i="72"/>
  <c r="S16" i="72"/>
  <c r="R16" i="72"/>
  <c r="Q16" i="72"/>
  <c r="P16" i="72"/>
  <c r="O16" i="72"/>
  <c r="N16" i="72"/>
  <c r="M16" i="72"/>
  <c r="L16" i="72"/>
  <c r="K16" i="72"/>
  <c r="J16" i="72"/>
  <c r="I16" i="72"/>
  <c r="AI13" i="72"/>
  <c r="AB13" i="72"/>
  <c r="AA13" i="72"/>
  <c r="Z13" i="72"/>
  <c r="Y13" i="72"/>
  <c r="X13" i="72"/>
  <c r="W13" i="72"/>
  <c r="V13" i="72"/>
  <c r="U13" i="72"/>
  <c r="T13" i="72"/>
  <c r="S13" i="72"/>
  <c r="R13" i="72"/>
  <c r="Q13" i="72"/>
  <c r="P13" i="72"/>
  <c r="O13" i="72"/>
  <c r="N13" i="72"/>
  <c r="M13" i="72"/>
  <c r="L13" i="72"/>
  <c r="K13" i="72"/>
  <c r="J13" i="72"/>
  <c r="I13" i="72"/>
  <c r="BI6" i="72"/>
  <c r="BJ6" i="72" s="1"/>
  <c r="BK6" i="72" s="1"/>
  <c r="BL6" i="72" s="1"/>
  <c r="BM6" i="72" s="1"/>
  <c r="BN6" i="72" s="1"/>
  <c r="BO6" i="72" s="1"/>
  <c r="BP6" i="72" s="1"/>
  <c r="BQ6" i="72" s="1"/>
  <c r="BR6" i="72" s="1"/>
  <c r="BS6" i="72" s="1"/>
  <c r="AW6" i="72"/>
  <c r="AX6" i="72" s="1"/>
  <c r="AY6" i="72" s="1"/>
  <c r="AZ6" i="72" s="1"/>
  <c r="BA6" i="72" s="1"/>
  <c r="BB6" i="72" s="1"/>
  <c r="BC6" i="72" s="1"/>
  <c r="BD6" i="72" s="1"/>
  <c r="BE6" i="72" s="1"/>
  <c r="BF6" i="72" s="1"/>
  <c r="BG6" i="72" s="1"/>
  <c r="AI6" i="72"/>
  <c r="AJ6" i="72" s="1"/>
  <c r="AJ5" i="72" s="1"/>
  <c r="F6" i="72"/>
  <c r="F5" i="72" s="1"/>
  <c r="AH5" i="72"/>
  <c r="E5" i="72"/>
  <c r="AI33" i="33"/>
  <c r="AH33" i="33"/>
  <c r="AG33" i="33"/>
  <c r="X33" i="33"/>
  <c r="W33" i="33"/>
  <c r="V33" i="33"/>
  <c r="U33" i="33"/>
  <c r="AI30" i="33"/>
  <c r="AS136" i="70" s="1"/>
  <c r="AH30" i="33"/>
  <c r="AR136" i="70" s="1"/>
  <c r="AG30" i="33"/>
  <c r="AQ136" i="70" s="1"/>
  <c r="X30" i="33"/>
  <c r="AF136" i="70" s="1"/>
  <c r="W30" i="33"/>
  <c r="AE136" i="70" s="1"/>
  <c r="V30" i="33"/>
  <c r="AD136" i="70" s="1"/>
  <c r="U30" i="33"/>
  <c r="AC136" i="70" s="1"/>
  <c r="AH28" i="33"/>
  <c r="AG28" i="33"/>
  <c r="X28" i="33"/>
  <c r="W28" i="33"/>
  <c r="V28" i="33"/>
  <c r="U28" i="33"/>
  <c r="AI25" i="33"/>
  <c r="AS27" i="72" s="1"/>
  <c r="AH25" i="33"/>
  <c r="AR27" i="72" s="1"/>
  <c r="AG25" i="33"/>
  <c r="AQ27" i="72" s="1"/>
  <c r="X25" i="33"/>
  <c r="AF27" i="72" s="1"/>
  <c r="AF26" i="72" s="1"/>
  <c r="W25" i="33"/>
  <c r="AE27" i="72" s="1"/>
  <c r="AE26" i="72" s="1"/>
  <c r="V25" i="33"/>
  <c r="AD27" i="72" s="1"/>
  <c r="AD26" i="72" s="1"/>
  <c r="U25" i="33"/>
  <c r="AC27" i="72" s="1"/>
  <c r="AC26" i="72" s="1"/>
  <c r="T25" i="33"/>
  <c r="S25" i="33"/>
  <c r="R25" i="33"/>
  <c r="Q25" i="33"/>
  <c r="P25" i="33"/>
  <c r="O25" i="33"/>
  <c r="N25" i="33"/>
  <c r="M25" i="33"/>
  <c r="C25" i="33"/>
  <c r="AI23" i="33"/>
  <c r="AH23" i="33"/>
  <c r="AG23" i="33"/>
  <c r="X23" i="33"/>
  <c r="W23" i="33"/>
  <c r="V23" i="33"/>
  <c r="U23" i="33"/>
  <c r="AI20" i="33"/>
  <c r="AS24" i="72" s="1"/>
  <c r="AH20" i="33"/>
  <c r="AR24" i="72" s="1"/>
  <c r="AG20" i="33"/>
  <c r="AQ24" i="72" s="1"/>
  <c r="X20" i="33"/>
  <c r="AF24" i="72" s="1"/>
  <c r="AF23" i="72" s="1"/>
  <c r="W20" i="33"/>
  <c r="AE24" i="72" s="1"/>
  <c r="AE23" i="72" s="1"/>
  <c r="V20" i="33"/>
  <c r="AD24" i="72" s="1"/>
  <c r="AD23" i="72" s="1"/>
  <c r="U20" i="33"/>
  <c r="AC24" i="72" s="1"/>
  <c r="AC23" i="72" s="1"/>
  <c r="T20" i="33"/>
  <c r="S20" i="33"/>
  <c r="R20" i="33"/>
  <c r="Q20" i="33"/>
  <c r="P20" i="33"/>
  <c r="O20" i="33"/>
  <c r="N20" i="33"/>
  <c r="M20" i="33"/>
  <c r="C20" i="33"/>
  <c r="X18" i="33"/>
  <c r="W18" i="33"/>
  <c r="V18" i="33"/>
  <c r="U18" i="33"/>
  <c r="AI15" i="33"/>
  <c r="AS16" i="72" s="1"/>
  <c r="AH15" i="33"/>
  <c r="AR16" i="72" s="1"/>
  <c r="AG15" i="33"/>
  <c r="AQ16" i="72" s="1"/>
  <c r="X15" i="33"/>
  <c r="AF16" i="72" s="1"/>
  <c r="AF15" i="72" s="1"/>
  <c r="W15" i="33"/>
  <c r="AE16" i="72" s="1"/>
  <c r="AE15" i="72" s="1"/>
  <c r="V15" i="33"/>
  <c r="AD16" i="72" s="1"/>
  <c r="AD15" i="72" s="1"/>
  <c r="U15" i="33"/>
  <c r="AC16" i="72" s="1"/>
  <c r="AC15" i="72" s="1"/>
  <c r="T15" i="33"/>
  <c r="S15" i="33"/>
  <c r="R15" i="33"/>
  <c r="Q15" i="33"/>
  <c r="P15" i="33"/>
  <c r="O15" i="33"/>
  <c r="N15" i="33"/>
  <c r="M15" i="33"/>
  <c r="C15" i="33"/>
  <c r="X13" i="33"/>
  <c r="W13" i="33"/>
  <c r="V13" i="33"/>
  <c r="U13" i="33"/>
  <c r="AI10" i="33"/>
  <c r="AS13" i="72" s="1"/>
  <c r="AH10" i="33"/>
  <c r="AR13" i="72" s="1"/>
  <c r="AG10" i="33"/>
  <c r="AQ13" i="72" s="1"/>
  <c r="X10" i="33"/>
  <c r="AF13" i="72" s="1"/>
  <c r="AF12" i="72" s="1"/>
  <c r="W10" i="33"/>
  <c r="AE13" i="72" s="1"/>
  <c r="AE12" i="72" s="1"/>
  <c r="V10" i="33"/>
  <c r="AD13" i="72" s="1"/>
  <c r="AD12" i="72" s="1"/>
  <c r="U10" i="33"/>
  <c r="AC13" i="72" s="1"/>
  <c r="AC12" i="72" s="1"/>
  <c r="T10" i="33"/>
  <c r="S10" i="33"/>
  <c r="R10" i="33"/>
  <c r="Q10" i="33"/>
  <c r="P10" i="33"/>
  <c r="O10" i="33"/>
  <c r="N10" i="33"/>
  <c r="M10" i="33"/>
  <c r="C10" i="33"/>
  <c r="AA6" i="33"/>
  <c r="AA5" i="33" s="1"/>
  <c r="J6" i="33"/>
  <c r="K6" i="33" s="1"/>
  <c r="F6" i="33"/>
  <c r="G6" i="33" s="1"/>
  <c r="Z5" i="33"/>
  <c r="I5" i="33"/>
  <c r="F5" i="33"/>
  <c r="E5" i="33"/>
  <c r="A1" i="33"/>
  <c r="AB50" i="51" l="1"/>
  <c r="AB53" i="51" s="1"/>
  <c r="I35" i="18" s="1"/>
  <c r="AC48" i="51"/>
  <c r="AD48" i="51" s="1"/>
  <c r="AE48" i="51" s="1"/>
  <c r="AF48" i="51" s="1"/>
  <c r="AP48" i="51" s="1"/>
  <c r="AQ48" i="51" s="1"/>
  <c r="AR48" i="51" s="1"/>
  <c r="AS48" i="51" s="1"/>
  <c r="AO50" i="51"/>
  <c r="AO53" i="51" s="1"/>
  <c r="Q191" i="70"/>
  <c r="AN384" i="70"/>
  <c r="Y191" i="70"/>
  <c r="AW355" i="70"/>
  <c r="AW358" i="70" s="1"/>
  <c r="AW368" i="70" s="1"/>
  <c r="Y95" i="70"/>
  <c r="Y108" i="70" s="1"/>
  <c r="R101" i="70"/>
  <c r="O10" i="70"/>
  <c r="O22" i="70" s="1"/>
  <c r="AL190" i="70"/>
  <c r="AL192" i="70" s="1"/>
  <c r="Z191" i="70"/>
  <c r="X98" i="70"/>
  <c r="X99" i="70" s="1"/>
  <c r="S104" i="70"/>
  <c r="S105" i="70" s="1"/>
  <c r="W10" i="70"/>
  <c r="W22" i="70" s="1"/>
  <c r="R191" i="70"/>
  <c r="J93" i="70"/>
  <c r="R93" i="70"/>
  <c r="Z93" i="70"/>
  <c r="J151" i="70"/>
  <c r="R151" i="70"/>
  <c r="Z151" i="70"/>
  <c r="BI355" i="70"/>
  <c r="BI358" i="70" s="1"/>
  <c r="BI368" i="70" s="1"/>
  <c r="BQ355" i="70"/>
  <c r="BQ358" i="70" s="1"/>
  <c r="BQ368" i="70" s="1"/>
  <c r="AA99" i="70"/>
  <c r="S98" i="70"/>
  <c r="S99" i="70" s="1"/>
  <c r="AA98" i="70"/>
  <c r="T105" i="70"/>
  <c r="AB105" i="70"/>
  <c r="L104" i="70"/>
  <c r="L105" i="70" s="1"/>
  <c r="T104" i="70"/>
  <c r="AB104" i="70"/>
  <c r="AO384" i="70"/>
  <c r="Y93" i="70"/>
  <c r="AA104" i="70"/>
  <c r="AA105" i="70" s="1"/>
  <c r="L95" i="70"/>
  <c r="L108" i="70" s="1"/>
  <c r="T95" i="70"/>
  <c r="AO355" i="70"/>
  <c r="T99" i="70"/>
  <c r="T98" i="70"/>
  <c r="AB98" i="70"/>
  <c r="AB99" i="70" s="1"/>
  <c r="I95" i="70"/>
  <c r="J101" i="70"/>
  <c r="I93" i="70"/>
  <c r="AN383" i="70"/>
  <c r="I191" i="70"/>
  <c r="L93" i="70"/>
  <c r="T93" i="70"/>
  <c r="AB93" i="70"/>
  <c r="AB95" i="70" s="1"/>
  <c r="AI384" i="70"/>
  <c r="Q95" i="70"/>
  <c r="V10" i="70"/>
  <c r="V16" i="70" s="1"/>
  <c r="Q93" i="70"/>
  <c r="K104" i="70"/>
  <c r="K105" i="70" s="1"/>
  <c r="G10" i="70"/>
  <c r="G22" i="70" s="1"/>
  <c r="J191" i="70"/>
  <c r="AA41" i="72"/>
  <c r="N52" i="72"/>
  <c r="Q112" i="72"/>
  <c r="Y112" i="72"/>
  <c r="Z128" i="72"/>
  <c r="AI52" i="72"/>
  <c r="G6" i="72"/>
  <c r="AB41" i="72"/>
  <c r="V52" i="72"/>
  <c r="J112" i="72"/>
  <c r="R112" i="72"/>
  <c r="Z112" i="72"/>
  <c r="AK6" i="72"/>
  <c r="AK5" i="72" s="1"/>
  <c r="O19" i="72"/>
  <c r="W19" i="72"/>
  <c r="J19" i="72"/>
  <c r="U30" i="72"/>
  <c r="AI41" i="72"/>
  <c r="AR79" i="72"/>
  <c r="N85" i="72"/>
  <c r="I128" i="72"/>
  <c r="S128" i="72"/>
  <c r="F85" i="72"/>
  <c r="R19" i="72"/>
  <c r="I30" i="72"/>
  <c r="Y30" i="72"/>
  <c r="AI30" i="72"/>
  <c r="AA79" i="72"/>
  <c r="V85" i="72"/>
  <c r="Q89" i="72"/>
  <c r="E109" i="72"/>
  <c r="E111" i="72"/>
  <c r="I112" i="72" s="1"/>
  <c r="J128" i="72"/>
  <c r="U128" i="72"/>
  <c r="I19" i="72"/>
  <c r="Q19" i="72"/>
  <c r="Y19" i="72"/>
  <c r="Z19" i="72"/>
  <c r="J30" i="72"/>
  <c r="Z30" i="72"/>
  <c r="X41" i="72"/>
  <c r="AB79" i="72"/>
  <c r="AI85" i="72"/>
  <c r="Y89" i="72"/>
  <c r="N112" i="72"/>
  <c r="V112" i="72"/>
  <c r="AI5" i="72"/>
  <c r="Q41" i="72"/>
  <c r="Y41" i="72"/>
  <c r="AC79" i="72"/>
  <c r="T30" i="72"/>
  <c r="Z41" i="72"/>
  <c r="AD79" i="72"/>
  <c r="P112" i="72"/>
  <c r="X112" i="72"/>
  <c r="AB6" i="33"/>
  <c r="AB5" i="33" s="1"/>
  <c r="C22" i="25"/>
  <c r="C23" i="23"/>
  <c r="D22" i="23"/>
  <c r="D21" i="23"/>
  <c r="D21" i="21"/>
  <c r="C22" i="21"/>
  <c r="C23" i="67"/>
  <c r="D22" i="67"/>
  <c r="D21" i="67"/>
  <c r="Z32" i="67"/>
  <c r="G35" i="19"/>
  <c r="H11" i="19" s="1"/>
  <c r="I6" i="51"/>
  <c r="H5" i="51"/>
  <c r="G5" i="51"/>
  <c r="AI5" i="51"/>
  <c r="AJ6" i="51"/>
  <c r="AC202" i="51"/>
  <c r="K191" i="70"/>
  <c r="K93" i="70"/>
  <c r="S93" i="70"/>
  <c r="S95" i="70" s="1"/>
  <c r="AA93" i="70"/>
  <c r="AA95" i="70" s="1"/>
  <c r="BJ355" i="70"/>
  <c r="BJ358" i="70" s="1"/>
  <c r="BJ368" i="70" s="1"/>
  <c r="BR355" i="70"/>
  <c r="BR358" i="70" s="1"/>
  <c r="BR368" i="70" s="1"/>
  <c r="E104" i="70"/>
  <c r="E105" i="70" s="1"/>
  <c r="M104" i="70"/>
  <c r="M105" i="70" s="1"/>
  <c r="U104" i="70"/>
  <c r="U105" i="70" s="1"/>
  <c r="AA151" i="70"/>
  <c r="M98" i="70"/>
  <c r="M99" i="70" s="1"/>
  <c r="M106" i="70" s="1"/>
  <c r="U98" i="70"/>
  <c r="U99" i="70" s="1"/>
  <c r="U106" i="70" s="1"/>
  <c r="AI66" i="70"/>
  <c r="AI383" i="70"/>
  <c r="F95" i="70"/>
  <c r="F108" i="70" s="1"/>
  <c r="N95" i="70"/>
  <c r="V95" i="70"/>
  <c r="V108" i="70" s="1"/>
  <c r="AJ66" i="70"/>
  <c r="AJ383" i="70"/>
  <c r="L84" i="70"/>
  <c r="AK66" i="70"/>
  <c r="AK383" i="70"/>
  <c r="AA191" i="70"/>
  <c r="AL66" i="70"/>
  <c r="AL383" i="70"/>
  <c r="I98" i="70"/>
  <c r="I99" i="70" s="1"/>
  <c r="Q98" i="70"/>
  <c r="Q99" i="70" s="1"/>
  <c r="Q106" i="70" s="1"/>
  <c r="Y98" i="70"/>
  <c r="Y99" i="70" s="1"/>
  <c r="AM66" i="70"/>
  <c r="AM383" i="70"/>
  <c r="AM384" i="70"/>
  <c r="K95" i="70"/>
  <c r="AO66" i="70"/>
  <c r="AO383" i="70"/>
  <c r="S191" i="70"/>
  <c r="J95" i="70"/>
  <c r="R95" i="70"/>
  <c r="Z95" i="70"/>
  <c r="Z108" i="70" s="1"/>
  <c r="J98" i="70"/>
  <c r="J99" i="70" s="1"/>
  <c r="K30" i="72"/>
  <c r="K89" i="72"/>
  <c r="S30" i="72"/>
  <c r="S89" i="72"/>
  <c r="AA30" i="72"/>
  <c r="AA89" i="72"/>
  <c r="N53" i="72"/>
  <c r="AI112" i="72"/>
  <c r="AD40" i="72"/>
  <c r="AD41" i="72" s="1"/>
  <c r="AD95" i="72"/>
  <c r="AD96" i="72" s="1"/>
  <c r="H85" i="72"/>
  <c r="H52" i="72"/>
  <c r="P19" i="72"/>
  <c r="P85" i="72"/>
  <c r="P52" i="72"/>
  <c r="X19" i="72"/>
  <c r="X85" i="72"/>
  <c r="X52" i="72"/>
  <c r="AE79" i="72"/>
  <c r="R128" i="72"/>
  <c r="K19" i="72"/>
  <c r="S19" i="72"/>
  <c r="AA19" i="72"/>
  <c r="N30" i="72"/>
  <c r="V30" i="72"/>
  <c r="AE40" i="72"/>
  <c r="AE41" i="72" s="1"/>
  <c r="G52" i="72"/>
  <c r="O52" i="72"/>
  <c r="W52" i="72"/>
  <c r="O85" i="72"/>
  <c r="W85" i="72"/>
  <c r="J89" i="72"/>
  <c r="R89" i="72"/>
  <c r="Z89" i="72"/>
  <c r="L19" i="72"/>
  <c r="T19" i="72"/>
  <c r="AB19" i="72"/>
  <c r="O30" i="72"/>
  <c r="W30" i="72"/>
  <c r="AF40" i="72"/>
  <c r="AF41" i="72" s="1"/>
  <c r="M19" i="72"/>
  <c r="U19" i="72"/>
  <c r="P30" i="72"/>
  <c r="X30" i="72"/>
  <c r="I52" i="72"/>
  <c r="Q52" i="72"/>
  <c r="Y52" i="72"/>
  <c r="I85" i="72"/>
  <c r="Q85" i="72"/>
  <c r="Y85" i="72"/>
  <c r="L89" i="72"/>
  <c r="T89" i="72"/>
  <c r="AB89" i="72"/>
  <c r="AC40" i="72"/>
  <c r="AC41" i="72" s="1"/>
  <c r="J52" i="72"/>
  <c r="J53" i="72" s="1"/>
  <c r="R52" i="72"/>
  <c r="R53" i="72" s="1"/>
  <c r="Z52" i="72"/>
  <c r="Z53" i="72" s="1"/>
  <c r="I108" i="72"/>
  <c r="K52" i="72"/>
  <c r="K53" i="72" s="1"/>
  <c r="S52" i="72"/>
  <c r="S53" i="72" s="1"/>
  <c r="AA52" i="72"/>
  <c r="AA53" i="72" s="1"/>
  <c r="L52" i="72"/>
  <c r="T52" i="72"/>
  <c r="AB52" i="72"/>
  <c r="AB53" i="72" s="1"/>
  <c r="E52" i="72"/>
  <c r="M52" i="72"/>
  <c r="M53" i="72" s="1"/>
  <c r="U52" i="72"/>
  <c r="AH52" i="72"/>
  <c r="AI53" i="72" s="1"/>
  <c r="H6" i="33"/>
  <c r="H5" i="33" s="1"/>
  <c r="G5" i="33"/>
  <c r="L6" i="33"/>
  <c r="K5" i="33"/>
  <c r="AC6" i="33"/>
  <c r="J5" i="33"/>
  <c r="O151" i="70"/>
  <c r="X94" i="70"/>
  <c r="L235" i="70"/>
  <c r="L237" i="70" s="1"/>
  <c r="AB235" i="70"/>
  <c r="I108" i="70"/>
  <c r="Q108" i="70"/>
  <c r="H93" i="70"/>
  <c r="H95" i="70" s="1"/>
  <c r="P93" i="70"/>
  <c r="P95" i="70" s="1"/>
  <c r="X93" i="70"/>
  <c r="X95" i="70" s="1"/>
  <c r="J104" i="70"/>
  <c r="J105" i="70" s="1"/>
  <c r="R104" i="70"/>
  <c r="R105" i="70" s="1"/>
  <c r="Z104" i="70"/>
  <c r="Z105" i="70" s="1"/>
  <c r="Q10" i="70"/>
  <c r="Q22" i="70" s="1"/>
  <c r="S84" i="70"/>
  <c r="J108" i="70"/>
  <c r="R108" i="70"/>
  <c r="BH355" i="70"/>
  <c r="BH358" i="70" s="1"/>
  <c r="BH368" i="70" s="1"/>
  <c r="BP355" i="70"/>
  <c r="BP358" i="70" s="1"/>
  <c r="BP368" i="70" s="1"/>
  <c r="R98" i="70"/>
  <c r="R99" i="70" s="1"/>
  <c r="Z98" i="70"/>
  <c r="Z99" i="70" s="1"/>
  <c r="T84" i="70"/>
  <c r="K108" i="70"/>
  <c r="AQ103" i="70"/>
  <c r="M84" i="70"/>
  <c r="U84" i="70"/>
  <c r="T108" i="70"/>
  <c r="T106" i="70"/>
  <c r="N84" i="70"/>
  <c r="V84" i="70"/>
  <c r="X191" i="70"/>
  <c r="E108" i="70"/>
  <c r="M108" i="70"/>
  <c r="U108" i="70"/>
  <c r="Y10" i="70"/>
  <c r="Y26" i="70" s="1"/>
  <c r="P191" i="70"/>
  <c r="N108" i="70"/>
  <c r="N98" i="70"/>
  <c r="N99" i="70" s="1"/>
  <c r="N106" i="70" s="1"/>
  <c r="V98" i="70"/>
  <c r="V99" i="70" s="1"/>
  <c r="V106" i="70" s="1"/>
  <c r="I10" i="70"/>
  <c r="I26" i="70" s="1"/>
  <c r="H191" i="70"/>
  <c r="G95" i="70"/>
  <c r="O95" i="70"/>
  <c r="W95" i="70"/>
  <c r="W98" i="70"/>
  <c r="W99" i="70" s="1"/>
  <c r="I84" i="70"/>
  <c r="Q84" i="70"/>
  <c r="I220" i="70"/>
  <c r="I227" i="70" s="1"/>
  <c r="I245" i="70"/>
  <c r="I246" i="70" s="1"/>
  <c r="I250" i="70" s="1"/>
  <c r="H395" i="70"/>
  <c r="H399" i="70" s="1"/>
  <c r="P395" i="70"/>
  <c r="P399" i="70" s="1"/>
  <c r="X395" i="70"/>
  <c r="X399" i="70" s="1"/>
  <c r="H394" i="70"/>
  <c r="P394" i="70"/>
  <c r="X394" i="70"/>
  <c r="I372" i="70"/>
  <c r="Q372" i="70"/>
  <c r="Y372" i="70"/>
  <c r="J382" i="70"/>
  <c r="J381" i="70" s="1"/>
  <c r="J66" i="70" s="1"/>
  <c r="R382" i="70"/>
  <c r="Z382" i="70"/>
  <c r="J84" i="70"/>
  <c r="R84" i="70"/>
  <c r="J220" i="70"/>
  <c r="J227" i="70" s="1"/>
  <c r="J245" i="70"/>
  <c r="J246" i="70" s="1"/>
  <c r="J250" i="70" s="1"/>
  <c r="I395" i="70"/>
  <c r="I399" i="70" s="1"/>
  <c r="Q395" i="70"/>
  <c r="Q399" i="70" s="1"/>
  <c r="Y395" i="70"/>
  <c r="Y399" i="70" s="1"/>
  <c r="I394" i="70"/>
  <c r="Q394" i="70"/>
  <c r="Q398" i="70" s="1"/>
  <c r="Y394" i="70"/>
  <c r="Y398" i="70" s="1"/>
  <c r="J353" i="70"/>
  <c r="R353" i="70"/>
  <c r="Z353" i="70"/>
  <c r="J372" i="70"/>
  <c r="R372" i="70"/>
  <c r="Z372" i="70"/>
  <c r="K382" i="70"/>
  <c r="K381" i="70" s="1"/>
  <c r="K66" i="70" s="1"/>
  <c r="S382" i="70"/>
  <c r="S381" i="70" s="1"/>
  <c r="S66" i="70" s="1"/>
  <c r="AA382" i="70"/>
  <c r="AA381" i="70" s="1"/>
  <c r="AA66" i="70" s="1"/>
  <c r="K84" i="70"/>
  <c r="AD199" i="70"/>
  <c r="AD209" i="70"/>
  <c r="K220" i="70"/>
  <c r="K227" i="70" s="1"/>
  <c r="K245" i="70"/>
  <c r="K246" i="70" s="1"/>
  <c r="K250" i="70" s="1"/>
  <c r="J394" i="70"/>
  <c r="R394" i="70"/>
  <c r="Z394" i="70"/>
  <c r="K372" i="70"/>
  <c r="S372" i="70"/>
  <c r="AA372" i="70"/>
  <c r="L382" i="70"/>
  <c r="T382" i="70"/>
  <c r="AB382" i="70"/>
  <c r="AB381" i="70" s="1"/>
  <c r="AB66" i="70" s="1"/>
  <c r="E10" i="70"/>
  <c r="E16" i="70" s="1"/>
  <c r="E122" i="70" s="1"/>
  <c r="U10" i="70"/>
  <c r="U16" i="70" s="1"/>
  <c r="AC243" i="70"/>
  <c r="AD224" i="70"/>
  <c r="AC258" i="70"/>
  <c r="K395" i="70"/>
  <c r="K399" i="70" s="1"/>
  <c r="S395" i="70"/>
  <c r="AA395" i="70"/>
  <c r="AA399" i="70" s="1"/>
  <c r="K394" i="70"/>
  <c r="S394" i="70"/>
  <c r="AA394" i="70"/>
  <c r="L372" i="70"/>
  <c r="T372" i="70"/>
  <c r="AB372" i="70"/>
  <c r="E382" i="70"/>
  <c r="M382" i="70"/>
  <c r="M381" i="70" s="1"/>
  <c r="M66" i="70" s="1"/>
  <c r="U382" i="70"/>
  <c r="U381" i="70" s="1"/>
  <c r="U66" i="70" s="1"/>
  <c r="AH220" i="70"/>
  <c r="AH227" i="70" s="1"/>
  <c r="AH245" i="70"/>
  <c r="AH246" i="70" s="1"/>
  <c r="AH250" i="70" s="1"/>
  <c r="AD225" i="70"/>
  <c r="AC254" i="70"/>
  <c r="L395" i="70"/>
  <c r="L399" i="70" s="1"/>
  <c r="T395" i="70"/>
  <c r="AB395" i="70"/>
  <c r="AB399" i="70" s="1"/>
  <c r="L394" i="70"/>
  <c r="T394" i="70"/>
  <c r="AB394" i="70"/>
  <c r="E372" i="70"/>
  <c r="M372" i="70"/>
  <c r="U372" i="70"/>
  <c r="AC194" i="51"/>
  <c r="F382" i="70"/>
  <c r="F381" i="70" s="1"/>
  <c r="F66" i="70" s="1"/>
  <c r="N382" i="70"/>
  <c r="N381" i="70" s="1"/>
  <c r="N66" i="70" s="1"/>
  <c r="V382" i="70"/>
  <c r="V381" i="70" s="1"/>
  <c r="V66" i="70" s="1"/>
  <c r="AO99" i="70"/>
  <c r="AI84" i="70"/>
  <c r="E220" i="70"/>
  <c r="E235" i="70" s="1"/>
  <c r="E237" i="70" s="1"/>
  <c r="E245" i="70"/>
  <c r="E246" i="70" s="1"/>
  <c r="E250" i="70" s="1"/>
  <c r="AI220" i="70"/>
  <c r="AI227" i="70" s="1"/>
  <c r="AI245" i="70"/>
  <c r="AI246" i="70" s="1"/>
  <c r="AI250" i="70" s="1"/>
  <c r="AI261" i="70" s="1"/>
  <c r="M395" i="70"/>
  <c r="M399" i="70" s="1"/>
  <c r="U395" i="70"/>
  <c r="M394" i="70"/>
  <c r="U394" i="70"/>
  <c r="U398" i="70" s="1"/>
  <c r="AI340" i="70"/>
  <c r="AI355" i="70" s="1"/>
  <c r="AI98" i="70"/>
  <c r="AI99" i="70" s="1"/>
  <c r="AI106" i="70" s="1"/>
  <c r="F353" i="70"/>
  <c r="N353" i="70"/>
  <c r="V353" i="70"/>
  <c r="F372" i="70"/>
  <c r="N372" i="70"/>
  <c r="V372" i="70"/>
  <c r="AD194" i="51"/>
  <c r="G382" i="70"/>
  <c r="G381" i="70" s="1"/>
  <c r="G66" i="70" s="1"/>
  <c r="O382" i="70"/>
  <c r="O381" i="70" s="1"/>
  <c r="O66" i="70" s="1"/>
  <c r="W382" i="70"/>
  <c r="W381" i="70" s="1"/>
  <c r="W66" i="70" s="1"/>
  <c r="AH131" i="70"/>
  <c r="O84" i="70"/>
  <c r="F220" i="70"/>
  <c r="F227" i="70" s="1"/>
  <c r="F245" i="70"/>
  <c r="F246" i="70" s="1"/>
  <c r="F250" i="70" s="1"/>
  <c r="F394" i="70"/>
  <c r="N394" i="70"/>
  <c r="V394" i="70"/>
  <c r="AJ340" i="70"/>
  <c r="AJ355" i="70" s="1"/>
  <c r="AJ98" i="70"/>
  <c r="AJ99" i="70" s="1"/>
  <c r="AJ106" i="70" s="1"/>
  <c r="AH340" i="70"/>
  <c r="AH98" i="70"/>
  <c r="AH99" i="70" s="1"/>
  <c r="AH106" i="70" s="1"/>
  <c r="G372" i="70"/>
  <c r="O372" i="70"/>
  <c r="AE194" i="51"/>
  <c r="H382" i="70"/>
  <c r="P382" i="70"/>
  <c r="X382" i="70"/>
  <c r="X381" i="70" s="1"/>
  <c r="X66" i="70" s="1"/>
  <c r="M10" i="70"/>
  <c r="M26" i="70" s="1"/>
  <c r="P84" i="70"/>
  <c r="X84" i="70"/>
  <c r="G220" i="70"/>
  <c r="G227" i="70" s="1"/>
  <c r="G245" i="70"/>
  <c r="G246" i="70" s="1"/>
  <c r="G250" i="70" s="1"/>
  <c r="G395" i="70"/>
  <c r="G399" i="70" s="1"/>
  <c r="O395" i="70"/>
  <c r="O399" i="70" s="1"/>
  <c r="W395" i="70"/>
  <c r="W399" i="70" s="1"/>
  <c r="AK340" i="70"/>
  <c r="AK98" i="70"/>
  <c r="AK99" i="70" s="1"/>
  <c r="AK106" i="70" s="1"/>
  <c r="H372" i="70"/>
  <c r="P372" i="70"/>
  <c r="AF194" i="51"/>
  <c r="I382" i="70"/>
  <c r="I381" i="70" s="1"/>
  <c r="I66" i="70" s="1"/>
  <c r="Q382" i="70"/>
  <c r="Q381" i="70" s="1"/>
  <c r="Q66" i="70" s="1"/>
  <c r="Y382" i="70"/>
  <c r="Y381" i="70" s="1"/>
  <c r="Y66" i="70" s="1"/>
  <c r="W372" i="70"/>
  <c r="X372" i="70"/>
  <c r="I37" i="18"/>
  <c r="J35" i="18" s="1"/>
  <c r="E67" i="18"/>
  <c r="J54" i="18"/>
  <c r="AN95" i="70"/>
  <c r="AN108" i="70" s="1"/>
  <c r="K120" i="70"/>
  <c r="S120" i="70"/>
  <c r="AD200" i="70"/>
  <c r="AD201" i="70"/>
  <c r="AE201" i="70" s="1"/>
  <c r="AF201" i="70" s="1"/>
  <c r="AE95" i="72"/>
  <c r="AE96" i="72" s="1"/>
  <c r="AF95" i="72"/>
  <c r="AF96" i="72" s="1"/>
  <c r="R9" i="18"/>
  <c r="R12" i="18" s="1"/>
  <c r="S9" i="18"/>
  <c r="S12" i="18" s="1"/>
  <c r="I93" i="18" s="1"/>
  <c r="AD29" i="72"/>
  <c r="AD30" i="72" s="1"/>
  <c r="E79" i="18"/>
  <c r="F7" i="18"/>
  <c r="F6" i="18" s="1"/>
  <c r="I72" i="18"/>
  <c r="I79" i="18" s="1"/>
  <c r="P27" i="18"/>
  <c r="AF29" i="72"/>
  <c r="AF30" i="72" s="1"/>
  <c r="J72" i="18"/>
  <c r="J79" i="18" s="1"/>
  <c r="F79" i="18"/>
  <c r="G88" i="18"/>
  <c r="F87" i="18"/>
  <c r="AF18" i="72"/>
  <c r="AF19" i="72" s="1"/>
  <c r="E87" i="18"/>
  <c r="AC18" i="72"/>
  <c r="AC29" i="72"/>
  <c r="AD18" i="72"/>
  <c r="AE18" i="72"/>
  <c r="AE29" i="72"/>
  <c r="K151" i="70"/>
  <c r="S151" i="70"/>
  <c r="E329" i="70"/>
  <c r="E98" i="70" s="1"/>
  <c r="E99" i="70" s="1"/>
  <c r="AN426" i="70"/>
  <c r="AB151" i="70"/>
  <c r="U235" i="70"/>
  <c r="U237" i="70" s="1"/>
  <c r="AU355" i="70"/>
  <c r="AU358" i="70" s="1"/>
  <c r="AU368" i="70" s="1"/>
  <c r="BK355" i="70"/>
  <c r="BK358" i="70" s="1"/>
  <c r="BK368" i="70" s="1"/>
  <c r="N10" i="70"/>
  <c r="N26" i="70" s="1"/>
  <c r="U340" i="70"/>
  <c r="Z10" i="70"/>
  <c r="Z26" i="70" s="1"/>
  <c r="AI131" i="70"/>
  <c r="T151" i="70"/>
  <c r="F10" i="70"/>
  <c r="F16" i="70" s="1"/>
  <c r="J120" i="70"/>
  <c r="R120" i="70"/>
  <c r="R10" i="70"/>
  <c r="R22" i="70" s="1"/>
  <c r="AN99" i="70"/>
  <c r="L151" i="70"/>
  <c r="R381" i="70"/>
  <c r="R66" i="70" s="1"/>
  <c r="Z381" i="70"/>
  <c r="Z66" i="70" s="1"/>
  <c r="J10" i="70"/>
  <c r="J22" i="70" s="1"/>
  <c r="AH192" i="70"/>
  <c r="AH193" i="70" s="1"/>
  <c r="AA235" i="70"/>
  <c r="AA237" i="70" s="1"/>
  <c r="S399" i="70"/>
  <c r="AN355" i="70"/>
  <c r="K16" i="70"/>
  <c r="K122" i="70" s="1"/>
  <c r="K131" i="70" s="1"/>
  <c r="AM192" i="70"/>
  <c r="AA16" i="70"/>
  <c r="AA122" i="70" s="1"/>
  <c r="AA127" i="70" s="1"/>
  <c r="AA58" i="70" s="1"/>
  <c r="I22" i="70"/>
  <c r="N120" i="70"/>
  <c r="T142" i="70"/>
  <c r="AN192" i="70"/>
  <c r="T399" i="70"/>
  <c r="O120" i="70"/>
  <c r="Y119" i="70"/>
  <c r="U399" i="70"/>
  <c r="G323" i="70"/>
  <c r="G324" i="70" s="1"/>
  <c r="G190" i="70" s="1"/>
  <c r="G192" i="70" s="1"/>
  <c r="G193" i="70" s="1"/>
  <c r="K353" i="70"/>
  <c r="S353" i="70"/>
  <c r="AA353" i="70"/>
  <c r="AN425" i="70"/>
  <c r="S235" i="70"/>
  <c r="S237" i="70" s="1"/>
  <c r="BC355" i="70"/>
  <c r="BC358" i="70" s="1"/>
  <c r="BC368" i="70" s="1"/>
  <c r="E340" i="70"/>
  <c r="E381" i="70"/>
  <c r="E66" i="70" s="1"/>
  <c r="AC378" i="70"/>
  <c r="AC379" i="70"/>
  <c r="AC53" i="70" s="1"/>
  <c r="AC63" i="70" s="1"/>
  <c r="I120" i="70"/>
  <c r="H151" i="70"/>
  <c r="P151" i="70"/>
  <c r="X151" i="70"/>
  <c r="G353" i="70"/>
  <c r="O353" i="70"/>
  <c r="W353" i="70"/>
  <c r="AO426" i="70"/>
  <c r="AE207" i="70"/>
  <c r="AF207" i="70" s="1"/>
  <c r="M340" i="70"/>
  <c r="U142" i="70"/>
  <c r="AI142" i="70"/>
  <c r="Q120" i="70"/>
  <c r="AI190" i="70"/>
  <c r="AI192" i="70" s="1"/>
  <c r="AI193" i="70" s="1"/>
  <c r="AJ190" i="70"/>
  <c r="AJ192" i="70" s="1"/>
  <c r="AB26" i="70"/>
  <c r="AB16" i="70"/>
  <c r="AB32" i="70" s="1"/>
  <c r="AB144" i="70" s="1"/>
  <c r="AB150" i="70" s="1"/>
  <c r="AB60" i="70" s="1"/>
  <c r="G6" i="70"/>
  <c r="AY355" i="70"/>
  <c r="AY358" i="70" s="1"/>
  <c r="AY368" i="70" s="1"/>
  <c r="BG355" i="70"/>
  <c r="BG358" i="70" s="1"/>
  <c r="BG368" i="70" s="1"/>
  <c r="BO355" i="70"/>
  <c r="BO358" i="70" s="1"/>
  <c r="BO368" i="70" s="1"/>
  <c r="I353" i="70"/>
  <c r="Q353" i="70"/>
  <c r="Y353" i="70"/>
  <c r="Q16" i="70"/>
  <c r="U17" i="70" s="1"/>
  <c r="V120" i="70"/>
  <c r="R142" i="70"/>
  <c r="AM355" i="70"/>
  <c r="AM111" i="70" s="1"/>
  <c r="AZ355" i="70"/>
  <c r="AZ358" i="70" s="1"/>
  <c r="AZ368" i="70" s="1"/>
  <c r="I340" i="70"/>
  <c r="Q340" i="70"/>
  <c r="Y340" i="70"/>
  <c r="AN437" i="70"/>
  <c r="P353" i="70"/>
  <c r="K11" i="70"/>
  <c r="AN105" i="70"/>
  <c r="W119" i="70"/>
  <c r="S142" i="70"/>
  <c r="AO190" i="70"/>
  <c r="AO192" i="70" s="1"/>
  <c r="L191" i="70"/>
  <c r="T191" i="70"/>
  <c r="AB191" i="70"/>
  <c r="L381" i="70"/>
  <c r="L66" i="70" s="1"/>
  <c r="T381" i="70"/>
  <c r="T66" i="70" s="1"/>
  <c r="AO437" i="70"/>
  <c r="AJ6" i="70"/>
  <c r="AK6" i="70" s="1"/>
  <c r="S11" i="70"/>
  <c r="S16" i="70"/>
  <c r="S122" i="70" s="1"/>
  <c r="S131" i="70" s="1"/>
  <c r="Y22" i="70"/>
  <c r="P120" i="70"/>
  <c r="X120" i="70"/>
  <c r="L353" i="70"/>
  <c r="T353" i="70"/>
  <c r="AB353" i="70"/>
  <c r="H353" i="70"/>
  <c r="T10" i="70"/>
  <c r="W292" i="70" s="1"/>
  <c r="W295" i="70" s="1"/>
  <c r="AA11" i="70"/>
  <c r="I235" i="70"/>
  <c r="I237" i="70" s="1"/>
  <c r="Q235" i="70"/>
  <c r="Q237" i="70" s="1"/>
  <c r="Y235" i="70"/>
  <c r="Y237" i="70" s="1"/>
  <c r="AH355" i="70"/>
  <c r="AH358" i="70" s="1"/>
  <c r="AH368" i="70" s="1"/>
  <c r="E353" i="70"/>
  <c r="M353" i="70"/>
  <c r="U353" i="70"/>
  <c r="AI399" i="70"/>
  <c r="AO425" i="70"/>
  <c r="T235" i="70"/>
  <c r="T237" i="70" s="1"/>
  <c r="L10" i="70"/>
  <c r="L297" i="70" s="1"/>
  <c r="I16" i="70"/>
  <c r="I32" i="70" s="1"/>
  <c r="I276" i="70" s="1"/>
  <c r="I279" i="70" s="1"/>
  <c r="Y16" i="70"/>
  <c r="AH32" i="70"/>
  <c r="AH38" i="70" s="1"/>
  <c r="J235" i="70"/>
  <c r="J237" i="70" s="1"/>
  <c r="R235" i="70"/>
  <c r="R237" i="70" s="1"/>
  <c r="Z235" i="70"/>
  <c r="Z237" i="70" s="1"/>
  <c r="O323" i="70"/>
  <c r="O324" i="70" s="1"/>
  <c r="O190" i="70" s="1"/>
  <c r="O192" i="70" s="1"/>
  <c r="O193" i="70" s="1"/>
  <c r="W323" i="70"/>
  <c r="W324" i="70" s="1"/>
  <c r="W190" i="70" s="1"/>
  <c r="W192" i="70" s="1"/>
  <c r="W193" i="70" s="1"/>
  <c r="O329" i="70"/>
  <c r="O340" i="70" s="1"/>
  <c r="AJ399" i="70"/>
  <c r="X353" i="70"/>
  <c r="J16" i="70"/>
  <c r="J122" i="70" s="1"/>
  <c r="J131" i="70" s="1"/>
  <c r="Z16" i="70"/>
  <c r="Z122" i="70" s="1"/>
  <c r="AH18" i="70"/>
  <c r="J26" i="70"/>
  <c r="AI32" i="70"/>
  <c r="AI34" i="70" s="1"/>
  <c r="AI154" i="70" s="1"/>
  <c r="I151" i="70"/>
  <c r="Q151" i="70"/>
  <c r="Y151" i="70"/>
  <c r="AK192" i="70"/>
  <c r="BE355" i="70"/>
  <c r="BE358" i="70" s="1"/>
  <c r="BE368" i="70" s="1"/>
  <c r="P329" i="70"/>
  <c r="P340" i="70" s="1"/>
  <c r="H381" i="70"/>
  <c r="H66" i="70" s="1"/>
  <c r="P381" i="70"/>
  <c r="P66" i="70" s="1"/>
  <c r="AM425" i="70"/>
  <c r="E32" i="70"/>
  <c r="U122" i="70"/>
  <c r="U32" i="70"/>
  <c r="U276" i="70" s="1"/>
  <c r="U279" i="70" s="1"/>
  <c r="U18" i="70"/>
  <c r="V122" i="70"/>
  <c r="V18" i="70"/>
  <c r="V32" i="70"/>
  <c r="V276" i="70" s="1"/>
  <c r="V279" i="70" s="1"/>
  <c r="U26" i="70"/>
  <c r="X134" i="70"/>
  <c r="AH114" i="72"/>
  <c r="G300" i="70"/>
  <c r="G26" i="70"/>
  <c r="O300" i="70"/>
  <c r="O26" i="70"/>
  <c r="W300" i="70"/>
  <c r="W26" i="70"/>
  <c r="M11" i="70"/>
  <c r="U11" i="70"/>
  <c r="M16" i="70"/>
  <c r="AI17" i="70"/>
  <c r="AI18" i="70"/>
  <c r="AA300" i="70"/>
  <c r="H10" i="70"/>
  <c r="P10" i="70"/>
  <c r="X10" i="70"/>
  <c r="Y298" i="70" s="1"/>
  <c r="K18" i="70"/>
  <c r="Z22" i="70"/>
  <c r="AO95" i="70"/>
  <c r="AO105" i="70"/>
  <c r="Z119" i="70"/>
  <c r="U120" i="70"/>
  <c r="J127" i="70"/>
  <c r="AH127" i="70"/>
  <c r="V142" i="70"/>
  <c r="I300" i="70"/>
  <c r="Q300" i="70"/>
  <c r="Y300" i="70"/>
  <c r="AB292" i="70"/>
  <c r="AB295" i="70" s="1"/>
  <c r="AB298" i="70"/>
  <c r="AB297" i="70"/>
  <c r="O11" i="70"/>
  <c r="W11" i="70"/>
  <c r="G16" i="70"/>
  <c r="K17" i="70" s="1"/>
  <c r="O16" i="70"/>
  <c r="W16" i="70"/>
  <c r="E26" i="70"/>
  <c r="AR174" i="70"/>
  <c r="AA119" i="70"/>
  <c r="AI127" i="70"/>
  <c r="AH142" i="70"/>
  <c r="AS174" i="70"/>
  <c r="V26" i="70"/>
  <c r="AB22" i="70"/>
  <c r="Q26" i="70"/>
  <c r="L120" i="70"/>
  <c r="T120" i="70"/>
  <c r="AB134" i="70"/>
  <c r="AB119" i="70"/>
  <c r="AB57" i="70" s="1"/>
  <c r="AB84" i="70" s="1"/>
  <c r="W142" i="70"/>
  <c r="M300" i="70"/>
  <c r="K300" i="70"/>
  <c r="K26" i="70"/>
  <c r="AA26" i="70"/>
  <c r="Q11" i="70"/>
  <c r="X142" i="70"/>
  <c r="X298" i="70"/>
  <c r="U300" i="70"/>
  <c r="S300" i="70"/>
  <c r="S26" i="70"/>
  <c r="Y11" i="70"/>
  <c r="M22" i="70"/>
  <c r="U22" i="70"/>
  <c r="W297" i="70"/>
  <c r="Z11" i="70"/>
  <c r="V22" i="70"/>
  <c r="AI120" i="70"/>
  <c r="M120" i="70"/>
  <c r="AQ174" i="70"/>
  <c r="E227" i="70"/>
  <c r="AC339" i="70"/>
  <c r="AD208" i="70"/>
  <c r="AD339" i="70" s="1"/>
  <c r="S227" i="70"/>
  <c r="M235" i="70"/>
  <c r="M237" i="70" s="1"/>
  <c r="AH235" i="70"/>
  <c r="AH237" i="70" s="1"/>
  <c r="AF215" i="70"/>
  <c r="AB237" i="70"/>
  <c r="F395" i="70"/>
  <c r="F399" i="70" s="1"/>
  <c r="F323" i="70"/>
  <c r="F324" i="70" s="1"/>
  <c r="N395" i="70"/>
  <c r="N399" i="70" s="1"/>
  <c r="N323" i="70"/>
  <c r="N324" i="70" s="1"/>
  <c r="V395" i="70"/>
  <c r="V399" i="70" s="1"/>
  <c r="V323" i="70"/>
  <c r="V324" i="70" s="1"/>
  <c r="AC328" i="70"/>
  <c r="AD198" i="70"/>
  <c r="AD202" i="70"/>
  <c r="AC319" i="70"/>
  <c r="AD216" i="70"/>
  <c r="O235" i="70"/>
  <c r="O237" i="70" s="1"/>
  <c r="W235" i="70"/>
  <c r="W237" i="70" s="1"/>
  <c r="L227" i="70"/>
  <c r="AB227" i="70"/>
  <c r="AB300" i="70"/>
  <c r="AK355" i="70"/>
  <c r="AK111" i="70" s="1"/>
  <c r="AX355" i="70"/>
  <c r="AX358" i="70" s="1"/>
  <c r="AX368" i="70" s="1"/>
  <c r="G394" i="70"/>
  <c r="G398" i="70" s="1"/>
  <c r="O394" i="70"/>
  <c r="O398" i="70" s="1"/>
  <c r="W394" i="70"/>
  <c r="W398" i="70" s="1"/>
  <c r="W340" i="70"/>
  <c r="F235" i="70"/>
  <c r="F237" i="70" s="1"/>
  <c r="N235" i="70"/>
  <c r="N237" i="70" s="1"/>
  <c r="V235" i="70"/>
  <c r="V237" i="70" s="1"/>
  <c r="AI235" i="70"/>
  <c r="AI237" i="70" s="1"/>
  <c r="V300" i="70"/>
  <c r="L329" i="70"/>
  <c r="L340" i="70" s="1"/>
  <c r="BB340" i="70"/>
  <c r="BB355" i="70" s="1"/>
  <c r="BB358" i="70" s="1"/>
  <c r="BB368" i="70" s="1"/>
  <c r="J395" i="70"/>
  <c r="J399" i="70" s="1"/>
  <c r="J323" i="70"/>
  <c r="J324" i="70" s="1"/>
  <c r="R395" i="70"/>
  <c r="R399" i="70" s="1"/>
  <c r="R323" i="70"/>
  <c r="R324" i="70" s="1"/>
  <c r="Z395" i="70"/>
  <c r="Z399" i="70" s="1"/>
  <c r="Z323" i="70"/>
  <c r="Z324" i="70" s="1"/>
  <c r="H235" i="70"/>
  <c r="H237" i="70" s="1"/>
  <c r="P235" i="70"/>
  <c r="P237" i="70" s="1"/>
  <c r="X235" i="70"/>
  <c r="X237" i="70" s="1"/>
  <c r="K323" i="70"/>
  <c r="K324" i="70" s="1"/>
  <c r="S323" i="70"/>
  <c r="S324" i="70" s="1"/>
  <c r="AA323" i="70"/>
  <c r="AA324" i="70" s="1"/>
  <c r="E323" i="70"/>
  <c r="E324" i="70" s="1"/>
  <c r="J300" i="70"/>
  <c r="Z300" i="70"/>
  <c r="AV355" i="70"/>
  <c r="AV358" i="70" s="1"/>
  <c r="AV368" i="70" s="1"/>
  <c r="H323" i="70"/>
  <c r="H324" i="70" s="1"/>
  <c r="P323" i="70"/>
  <c r="P324" i="70" s="1"/>
  <c r="X323" i="70"/>
  <c r="X324" i="70" s="1"/>
  <c r="H398" i="70"/>
  <c r="X398" i="70"/>
  <c r="F329" i="70"/>
  <c r="F340" i="70" s="1"/>
  <c r="J340" i="70"/>
  <c r="R340" i="70"/>
  <c r="Z340" i="70"/>
  <c r="AQ434" i="70"/>
  <c r="AP430" i="70"/>
  <c r="AF434" i="70"/>
  <c r="AF309" i="70" s="1"/>
  <c r="AE434" i="70"/>
  <c r="AE309" i="70" s="1"/>
  <c r="AD434" i="70"/>
  <c r="AD309" i="70" s="1"/>
  <c r="AC434" i="70"/>
  <c r="AC309" i="70" s="1"/>
  <c r="AC151" i="70" s="1"/>
  <c r="I323" i="70"/>
  <c r="I324" i="70" s="1"/>
  <c r="Q323" i="70"/>
  <c r="Q324" i="70" s="1"/>
  <c r="Y323" i="70"/>
  <c r="Y324" i="70" s="1"/>
  <c r="I398" i="70"/>
  <c r="G329" i="70"/>
  <c r="G340" i="70" s="1"/>
  <c r="S340" i="70"/>
  <c r="AA340" i="70"/>
  <c r="BA340" i="70"/>
  <c r="BA355" i="70" s="1"/>
  <c r="BA358" i="70" s="1"/>
  <c r="BA368" i="70" s="1"/>
  <c r="Z398" i="70"/>
  <c r="H329" i="70"/>
  <c r="H340" i="70" s="1"/>
  <c r="T340" i="70"/>
  <c r="AB340" i="70"/>
  <c r="K398" i="70"/>
  <c r="S398" i="70"/>
  <c r="AA398" i="70"/>
  <c r="AD379" i="70"/>
  <c r="L323" i="70"/>
  <c r="L324" i="70" s="1"/>
  <c r="T323" i="70"/>
  <c r="T324" i="70" s="1"/>
  <c r="AB323" i="70"/>
  <c r="AB324" i="70" s="1"/>
  <c r="AB398" i="70"/>
  <c r="K328" i="70"/>
  <c r="K340" i="70" s="1"/>
  <c r="N340" i="70"/>
  <c r="V340" i="70"/>
  <c r="M323" i="70"/>
  <c r="M324" i="70" s="1"/>
  <c r="U323" i="70"/>
  <c r="U324" i="70" s="1"/>
  <c r="M398" i="70"/>
  <c r="V398" i="70"/>
  <c r="X340" i="70"/>
  <c r="HP10" i="17"/>
  <c r="HO10" i="17"/>
  <c r="HY10" i="17"/>
  <c r="IH10" i="17"/>
  <c r="IG10" i="17"/>
  <c r="HX10" i="17"/>
  <c r="AB108" i="70" l="1"/>
  <c r="AB106" i="70"/>
  <c r="Y106" i="70"/>
  <c r="X292" i="70"/>
  <c r="X295" i="70" s="1"/>
  <c r="I106" i="70"/>
  <c r="AB34" i="70"/>
  <c r="AB154" i="70" s="1"/>
  <c r="Q17" i="70"/>
  <c r="Q32" i="70"/>
  <c r="Q276" i="70" s="1"/>
  <c r="Q279" i="70" s="1"/>
  <c r="P298" i="70"/>
  <c r="H6" i="72"/>
  <c r="G5" i="72"/>
  <c r="T53" i="72"/>
  <c r="AL6" i="72"/>
  <c r="U53" i="72"/>
  <c r="C23" i="25"/>
  <c r="D22" i="25"/>
  <c r="C24" i="23"/>
  <c r="D23" i="23"/>
  <c r="Q22" i="21"/>
  <c r="C23" i="21"/>
  <c r="D22" i="21"/>
  <c r="C24" i="67"/>
  <c r="D23" i="67"/>
  <c r="Z35" i="67"/>
  <c r="AA32" i="67"/>
  <c r="G11" i="19"/>
  <c r="G9" i="19" s="1"/>
  <c r="G7" i="19" s="1"/>
  <c r="AK6" i="51"/>
  <c r="AJ5" i="51"/>
  <c r="J6" i="51"/>
  <c r="I5" i="51"/>
  <c r="S108" i="70"/>
  <c r="S106" i="70"/>
  <c r="AA108" i="70"/>
  <c r="AA106" i="70"/>
  <c r="X297" i="70"/>
  <c r="E300" i="70"/>
  <c r="E18" i="70"/>
  <c r="R26" i="70"/>
  <c r="AJ111" i="70"/>
  <c r="J106" i="70"/>
  <c r="R300" i="70"/>
  <c r="I17" i="70"/>
  <c r="K235" i="70"/>
  <c r="K237" i="70" s="1"/>
  <c r="AB18" i="70"/>
  <c r="AI356" i="70"/>
  <c r="G235" i="70"/>
  <c r="G237" i="70" s="1"/>
  <c r="AH144" i="70"/>
  <c r="AH150" i="70" s="1"/>
  <c r="AH60" i="70" s="1"/>
  <c r="AH74" i="70" s="1"/>
  <c r="G355" i="70"/>
  <c r="I11" i="70"/>
  <c r="E22" i="70"/>
  <c r="S127" i="70"/>
  <c r="S58" i="70" s="1"/>
  <c r="Z17" i="70"/>
  <c r="E106" i="70"/>
  <c r="J36" i="18"/>
  <c r="X53" i="72"/>
  <c r="AM6" i="72"/>
  <c r="AL5" i="72"/>
  <c r="Y53" i="72"/>
  <c r="V53" i="72"/>
  <c r="L53" i="72"/>
  <c r="Q53" i="72"/>
  <c r="I53" i="72"/>
  <c r="W53" i="72"/>
  <c r="P53" i="72"/>
  <c r="O53" i="72"/>
  <c r="AC5" i="33"/>
  <c r="AD6" i="33"/>
  <c r="L5" i="33"/>
  <c r="M6" i="33"/>
  <c r="V20" i="18"/>
  <c r="P30" i="18" s="1"/>
  <c r="K98" i="70"/>
  <c r="K99" i="70" s="1"/>
  <c r="K106" i="70" s="1"/>
  <c r="J398" i="70"/>
  <c r="R106" i="70"/>
  <c r="H108" i="70"/>
  <c r="Z106" i="70"/>
  <c r="O108" i="70"/>
  <c r="N22" i="70"/>
  <c r="I298" i="70"/>
  <c r="G108" i="70"/>
  <c r="X106" i="70"/>
  <c r="X108" i="70"/>
  <c r="P108" i="70"/>
  <c r="AC98" i="70"/>
  <c r="F22" i="70"/>
  <c r="Q297" i="70"/>
  <c r="O98" i="70"/>
  <c r="O99" i="70" s="1"/>
  <c r="O106" i="70" s="1"/>
  <c r="P98" i="70"/>
  <c r="P99" i="70" s="1"/>
  <c r="P106" i="70" s="1"/>
  <c r="N300" i="70"/>
  <c r="AA131" i="70"/>
  <c r="G98" i="70"/>
  <c r="G99" i="70" s="1"/>
  <c r="G106" i="70" s="1"/>
  <c r="H98" i="70"/>
  <c r="H99" i="70" s="1"/>
  <c r="H106" i="70" s="1"/>
  <c r="F300" i="70"/>
  <c r="R11" i="70"/>
  <c r="J11" i="70"/>
  <c r="N16" i="70"/>
  <c r="N17" i="70" s="1"/>
  <c r="L98" i="70"/>
  <c r="L99" i="70" s="1"/>
  <c r="L106" i="70" s="1"/>
  <c r="N398" i="70"/>
  <c r="N11" i="70"/>
  <c r="F98" i="70"/>
  <c r="F99" i="70" s="1"/>
  <c r="F106" i="70" s="1"/>
  <c r="F398" i="70"/>
  <c r="F26" i="70"/>
  <c r="L292" i="70"/>
  <c r="L295" i="70" s="1"/>
  <c r="W106" i="70"/>
  <c r="W108" i="70"/>
  <c r="AE209" i="70"/>
  <c r="J261" i="70"/>
  <c r="J263" i="70"/>
  <c r="W120" i="70"/>
  <c r="W57" i="70"/>
  <c r="W84" i="70" s="1"/>
  <c r="AH111" i="70"/>
  <c r="AE224" i="70"/>
  <c r="AD258" i="70"/>
  <c r="AE199" i="70"/>
  <c r="AH136" i="70"/>
  <c r="AH58" i="70"/>
  <c r="AH72" i="70" s="1"/>
  <c r="J136" i="70"/>
  <c r="J58" i="70"/>
  <c r="AC268" i="70"/>
  <c r="AC278" i="70"/>
  <c r="AI263" i="70"/>
  <c r="I261" i="70"/>
  <c r="I263" i="70"/>
  <c r="AI136" i="70"/>
  <c r="AI58" i="70"/>
  <c r="F261" i="70"/>
  <c r="F263" i="70"/>
  <c r="AI111" i="70"/>
  <c r="AE225" i="70"/>
  <c r="AD254" i="70"/>
  <c r="K261" i="70"/>
  <c r="K263" i="70"/>
  <c r="AA120" i="70"/>
  <c r="AA57" i="70"/>
  <c r="AA84" i="70" s="1"/>
  <c r="Z142" i="70"/>
  <c r="Z57" i="70"/>
  <c r="Z84" i="70" s="1"/>
  <c r="AB114" i="72"/>
  <c r="AB276" i="70"/>
  <c r="AB279" i="70" s="1"/>
  <c r="G263" i="70"/>
  <c r="G261" i="70"/>
  <c r="E261" i="70"/>
  <c r="E263" i="70"/>
  <c r="AH263" i="70"/>
  <c r="AH261" i="70"/>
  <c r="AB74" i="70"/>
  <c r="AI144" i="70"/>
  <c r="AI150" i="70" s="1"/>
  <c r="AI276" i="70"/>
  <c r="AI279" i="70" s="1"/>
  <c r="Y142" i="70"/>
  <c r="Y57" i="70"/>
  <c r="Y84" i="70" s="1"/>
  <c r="AE200" i="70"/>
  <c r="AD243" i="70"/>
  <c r="AN106" i="70"/>
  <c r="AN111" i="70" s="1"/>
  <c r="G7" i="18"/>
  <c r="G6" i="18" s="1"/>
  <c r="AH34" i="70"/>
  <c r="AH154" i="70" s="1"/>
  <c r="T9" i="18"/>
  <c r="AD87" i="72"/>
  <c r="AD88" i="72" s="1"/>
  <c r="AF87" i="72"/>
  <c r="AF88" i="72" s="1"/>
  <c r="AF83" i="72"/>
  <c r="AF52" i="72"/>
  <c r="AF53" i="72" s="1"/>
  <c r="G87" i="18"/>
  <c r="H88" i="18"/>
  <c r="AE83" i="72"/>
  <c r="AE19" i="72"/>
  <c r="AE52" i="72"/>
  <c r="AD83" i="72"/>
  <c r="AD19" i="72"/>
  <c r="AD52" i="72"/>
  <c r="AC87" i="72"/>
  <c r="AC30" i="72"/>
  <c r="AE30" i="72"/>
  <c r="AE87" i="72"/>
  <c r="AE88" i="72" s="1"/>
  <c r="AC83" i="72"/>
  <c r="AC19" i="72"/>
  <c r="AC52" i="72"/>
  <c r="Z298" i="70"/>
  <c r="U297" i="70"/>
  <c r="R398" i="70"/>
  <c r="AI358" i="70"/>
  <c r="AI368" i="70" s="1"/>
  <c r="O298" i="70"/>
  <c r="M297" i="70"/>
  <c r="K127" i="70"/>
  <c r="AJ5" i="70"/>
  <c r="AJ55" i="70" s="1"/>
  <c r="AJ69" i="70" s="1"/>
  <c r="AJ89" i="70" s="1"/>
  <c r="AB38" i="70"/>
  <c r="AB43" i="70" s="1"/>
  <c r="AB267" i="70" s="1"/>
  <c r="AB270" i="70" s="1"/>
  <c r="AB273" i="70" s="1"/>
  <c r="T300" i="70"/>
  <c r="J18" i="70"/>
  <c r="T297" i="70"/>
  <c r="V11" i="70"/>
  <c r="T298" i="70"/>
  <c r="L398" i="70"/>
  <c r="T26" i="70"/>
  <c r="N292" i="70"/>
  <c r="N295" i="70" s="1"/>
  <c r="AI114" i="72"/>
  <c r="AB122" i="70"/>
  <c r="U292" i="70"/>
  <c r="U295" i="70" s="1"/>
  <c r="R16" i="70"/>
  <c r="R122" i="70" s="1"/>
  <c r="R127" i="70" s="1"/>
  <c r="J32" i="70"/>
  <c r="J144" i="70" s="1"/>
  <c r="J150" i="70" s="1"/>
  <c r="J60" i="70" s="1"/>
  <c r="Q292" i="70"/>
  <c r="Q295" i="70" s="1"/>
  <c r="AA32" i="70"/>
  <c r="L298" i="70"/>
  <c r="Y120" i="70"/>
  <c r="L300" i="70"/>
  <c r="AA18" i="70"/>
  <c r="S32" i="70"/>
  <c r="M292" i="70"/>
  <c r="M295" i="70" s="1"/>
  <c r="K32" i="70"/>
  <c r="K114" i="72" s="1"/>
  <c r="S18" i="70"/>
  <c r="Z297" i="70"/>
  <c r="N298" i="70"/>
  <c r="M298" i="70"/>
  <c r="AA17" i="70"/>
  <c r="O292" i="70"/>
  <c r="O295" i="70" s="1"/>
  <c r="N297" i="70"/>
  <c r="H297" i="70"/>
  <c r="O297" i="70"/>
  <c r="P297" i="70"/>
  <c r="AD378" i="70"/>
  <c r="AC52" i="70"/>
  <c r="V298" i="70"/>
  <c r="P292" i="70"/>
  <c r="P295" i="70" s="1"/>
  <c r="T292" i="70"/>
  <c r="T295" i="70" s="1"/>
  <c r="Y292" i="70"/>
  <c r="Y295" i="70" s="1"/>
  <c r="AI38" i="70"/>
  <c r="AI41" i="70" s="1"/>
  <c r="P398" i="70"/>
  <c r="V292" i="70"/>
  <c r="V295" i="70" s="1"/>
  <c r="Y297" i="70"/>
  <c r="AI33" i="70"/>
  <c r="Z18" i="70"/>
  <c r="G5" i="70"/>
  <c r="G55" i="70" s="1"/>
  <c r="G69" i="70" s="1"/>
  <c r="G89" i="70" s="1"/>
  <c r="H6" i="70"/>
  <c r="AJ210" i="70" s="1"/>
  <c r="AJ435" i="70" s="1"/>
  <c r="AK432" i="70" s="1"/>
  <c r="W298" i="70"/>
  <c r="V297" i="70"/>
  <c r="AA136" i="70"/>
  <c r="Z32" i="70"/>
  <c r="R18" i="70"/>
  <c r="Z131" i="70"/>
  <c r="Z127" i="70"/>
  <c r="T398" i="70"/>
  <c r="W355" i="70"/>
  <c r="Y122" i="70"/>
  <c r="Y18" i="70"/>
  <c r="I122" i="70"/>
  <c r="I18" i="70"/>
  <c r="T22" i="70"/>
  <c r="T16" i="70"/>
  <c r="O355" i="70"/>
  <c r="U298" i="70"/>
  <c r="Y32" i="70"/>
  <c r="Y33" i="70" s="1"/>
  <c r="Y17" i="70"/>
  <c r="L22" i="70"/>
  <c r="L26" i="70"/>
  <c r="L16" i="70"/>
  <c r="AC381" i="70"/>
  <c r="AC66" i="70" s="1"/>
  <c r="Q122" i="70"/>
  <c r="Q18" i="70"/>
  <c r="I355" i="70"/>
  <c r="I111" i="70" s="1"/>
  <c r="I190" i="70"/>
  <c r="I192" i="70" s="1"/>
  <c r="I193" i="70" s="1"/>
  <c r="L355" i="70"/>
  <c r="L190" i="70"/>
  <c r="L192" i="70" s="1"/>
  <c r="L193" i="70" s="1"/>
  <c r="T355" i="70"/>
  <c r="T111" i="70" s="1"/>
  <c r="T190" i="70"/>
  <c r="T192" i="70" s="1"/>
  <c r="T193" i="70" s="1"/>
  <c r="V355" i="70"/>
  <c r="V111" i="70" s="1"/>
  <c r="V190" i="70"/>
  <c r="V192" i="70" s="1"/>
  <c r="V193" i="70" s="1"/>
  <c r="F355" i="70"/>
  <c r="F190" i="70"/>
  <c r="F192" i="70" s="1"/>
  <c r="F193" i="70" s="1"/>
  <c r="X355" i="70"/>
  <c r="X190" i="70"/>
  <c r="X192" i="70" s="1"/>
  <c r="X193" i="70" s="1"/>
  <c r="Q355" i="70"/>
  <c r="Q111" i="70" s="1"/>
  <c r="Q190" i="70"/>
  <c r="Q192" i="70" s="1"/>
  <c r="Q193" i="70" s="1"/>
  <c r="J355" i="70"/>
  <c r="J111" i="70" s="1"/>
  <c r="J190" i="70"/>
  <c r="J192" i="70" s="1"/>
  <c r="J193" i="70" s="1"/>
  <c r="U355" i="70"/>
  <c r="U111" i="70" s="1"/>
  <c r="U190" i="70"/>
  <c r="U192" i="70" s="1"/>
  <c r="U193" i="70" s="1"/>
  <c r="K355" i="70"/>
  <c r="K111" i="70" s="1"/>
  <c r="K190" i="70"/>
  <c r="K192" i="70" s="1"/>
  <c r="K193" i="70" s="1"/>
  <c r="AE202" i="70"/>
  <c r="N355" i="70"/>
  <c r="N111" i="70" s="1"/>
  <c r="N190" i="70"/>
  <c r="N192" i="70" s="1"/>
  <c r="N193" i="70" s="1"/>
  <c r="AK5" i="70"/>
  <c r="AK55" i="70" s="1"/>
  <c r="AK69" i="70" s="1"/>
  <c r="AK89" i="70" s="1"/>
  <c r="AL6" i="70"/>
  <c r="H292" i="70"/>
  <c r="N32" i="70"/>
  <c r="N276" i="70" s="1"/>
  <c r="N279" i="70" s="1"/>
  <c r="AH43" i="70"/>
  <c r="AH41" i="70"/>
  <c r="R292" i="70"/>
  <c r="R295" i="70" s="1"/>
  <c r="V144" i="70"/>
  <c r="V150" i="70" s="1"/>
  <c r="V60" i="70" s="1"/>
  <c r="V114" i="72"/>
  <c r="V38" i="70"/>
  <c r="V34" i="70"/>
  <c r="V154" i="70" s="1"/>
  <c r="M355" i="70"/>
  <c r="M111" i="70" s="1"/>
  <c r="M190" i="70"/>
  <c r="M192" i="70" s="1"/>
  <c r="M193" i="70" s="1"/>
  <c r="AB120" i="70"/>
  <c r="AB155" i="70"/>
  <c r="AB142" i="70"/>
  <c r="Q144" i="70"/>
  <c r="Q150" i="70" s="1"/>
  <c r="Q60" i="70" s="1"/>
  <c r="Q34" i="70"/>
  <c r="Q154" i="70" s="1"/>
  <c r="Q38" i="70"/>
  <c r="Q114" i="72"/>
  <c r="W122" i="70"/>
  <c r="W18" i="70"/>
  <c r="W32" i="70"/>
  <c r="W276" i="70" s="1"/>
  <c r="W279" i="70" s="1"/>
  <c r="W17" i="70"/>
  <c r="F122" i="70"/>
  <c r="F18" i="70"/>
  <c r="F32" i="70"/>
  <c r="F276" i="70" s="1"/>
  <c r="F279" i="70" s="1"/>
  <c r="R297" i="70"/>
  <c r="Z355" i="70"/>
  <c r="Z190" i="70"/>
  <c r="Z192" i="70" s="1"/>
  <c r="Z193" i="70" s="1"/>
  <c r="AC435" i="70"/>
  <c r="AP429" i="70"/>
  <c r="AP428" i="70"/>
  <c r="AP427" i="70"/>
  <c r="E355" i="70"/>
  <c r="E358" i="70" s="1"/>
  <c r="E190" i="70"/>
  <c r="E192" i="70" s="1"/>
  <c r="E193" i="70" s="1"/>
  <c r="AE208" i="70"/>
  <c r="O18" i="70"/>
  <c r="O17" i="70"/>
  <c r="O122" i="70"/>
  <c r="O32" i="70"/>
  <c r="Z120" i="70"/>
  <c r="R298" i="70"/>
  <c r="I292" i="70"/>
  <c r="I295" i="70" s="1"/>
  <c r="R355" i="70"/>
  <c r="R190" i="70"/>
  <c r="R192" i="70" s="1"/>
  <c r="R193" i="70" s="1"/>
  <c r="AR434" i="70"/>
  <c r="AQ430" i="70"/>
  <c r="AQ309" i="70"/>
  <c r="G122" i="70"/>
  <c r="G18" i="70"/>
  <c r="G32" i="70"/>
  <c r="G276" i="70" s="1"/>
  <c r="G279" i="70" s="1"/>
  <c r="H298" i="70"/>
  <c r="X300" i="70"/>
  <c r="AA297" i="70"/>
  <c r="AA292" i="70"/>
  <c r="AA295" i="70" s="1"/>
  <c r="AA298" i="70"/>
  <c r="AB11" i="70"/>
  <c r="X16" i="70"/>
  <c r="X11" i="70"/>
  <c r="X22" i="70"/>
  <c r="X26" i="70"/>
  <c r="Z292" i="70"/>
  <c r="Z295" i="70" s="1"/>
  <c r="I297" i="70"/>
  <c r="V127" i="70"/>
  <c r="V131" i="70"/>
  <c r="AA142" i="70"/>
  <c r="P355" i="70"/>
  <c r="P190" i="70"/>
  <c r="P192" i="70" s="1"/>
  <c r="P193" i="70" s="1"/>
  <c r="I144" i="70"/>
  <c r="I150" i="70" s="1"/>
  <c r="I60" i="70" s="1"/>
  <c r="I34" i="70"/>
  <c r="I154" i="70" s="1"/>
  <c r="I38" i="70"/>
  <c r="I33" i="70"/>
  <c r="AO108" i="70"/>
  <c r="AO106" i="70"/>
  <c r="AO111" i="70" s="1"/>
  <c r="P300" i="70"/>
  <c r="S297" i="70"/>
  <c r="S292" i="70"/>
  <c r="S295" i="70" s="1"/>
  <c r="S298" i="70"/>
  <c r="P16" i="70"/>
  <c r="P11" i="70"/>
  <c r="P26" i="70"/>
  <c r="P22" i="70"/>
  <c r="T11" i="70"/>
  <c r="M122" i="70"/>
  <c r="M17" i="70"/>
  <c r="M18" i="70"/>
  <c r="M32" i="70"/>
  <c r="AE379" i="70"/>
  <c r="AD53" i="70"/>
  <c r="AD63" i="70" s="1"/>
  <c r="AB355" i="70"/>
  <c r="AB111" i="70" s="1"/>
  <c r="AB190" i="70"/>
  <c r="AB192" i="70" s="1"/>
  <c r="AB193" i="70" s="1"/>
  <c r="AD319" i="70"/>
  <c r="AE216" i="70"/>
  <c r="H355" i="70"/>
  <c r="H190" i="70"/>
  <c r="H192" i="70" s="1"/>
  <c r="H193" i="70" s="1"/>
  <c r="S34" i="70"/>
  <c r="S154" i="70" s="1"/>
  <c r="AI43" i="70"/>
  <c r="AI267" i="70" s="1"/>
  <c r="AI270" i="70" s="1"/>
  <c r="AI273" i="70" s="1"/>
  <c r="H300" i="70"/>
  <c r="K297" i="70"/>
  <c r="K292" i="70"/>
  <c r="K295" i="70" s="1"/>
  <c r="K298" i="70"/>
  <c r="H26" i="70"/>
  <c r="H16" i="70"/>
  <c r="L11" i="70"/>
  <c r="H22" i="70"/>
  <c r="J292" i="70"/>
  <c r="J295" i="70" s="1"/>
  <c r="U144" i="70"/>
  <c r="U150" i="70" s="1"/>
  <c r="U60" i="70" s="1"/>
  <c r="U34" i="70"/>
  <c r="U154" i="70" s="1"/>
  <c r="U114" i="72"/>
  <c r="U38" i="70"/>
  <c r="U33" i="70"/>
  <c r="E144" i="70"/>
  <c r="E150" i="70" s="1"/>
  <c r="E60" i="70" s="1"/>
  <c r="E74" i="70" s="1"/>
  <c r="E34" i="70"/>
  <c r="E154" i="70" s="1"/>
  <c r="E38" i="70"/>
  <c r="AA355" i="70"/>
  <c r="AA190" i="70"/>
  <c r="AA192" i="70" s="1"/>
  <c r="AA193" i="70" s="1"/>
  <c r="Y355" i="70"/>
  <c r="Y111" i="70" s="1"/>
  <c r="Y190" i="70"/>
  <c r="Y192" i="70" s="1"/>
  <c r="Y193" i="70" s="1"/>
  <c r="AE198" i="70"/>
  <c r="AE328" i="70" s="1"/>
  <c r="AB152" i="70"/>
  <c r="AB59" i="70" s="1"/>
  <c r="AB109" i="70" s="1"/>
  <c r="AB158" i="70"/>
  <c r="AB131" i="70"/>
  <c r="AB127" i="70"/>
  <c r="J297" i="70"/>
  <c r="AH152" i="70"/>
  <c r="AH59" i="70" s="1"/>
  <c r="AH158" i="70"/>
  <c r="U131" i="70"/>
  <c r="U127" i="70"/>
  <c r="S355" i="70"/>
  <c r="S111" i="70" s="1"/>
  <c r="S190" i="70"/>
  <c r="S192" i="70" s="1"/>
  <c r="S193" i="70" s="1"/>
  <c r="AD328" i="70"/>
  <c r="AD98" i="70" s="1"/>
  <c r="Q298" i="70"/>
  <c r="S17" i="70"/>
  <c r="Z144" i="70"/>
  <c r="Z150" i="70" s="1"/>
  <c r="Z60" i="70" s="1"/>
  <c r="Z38" i="70"/>
  <c r="Z34" i="70"/>
  <c r="Z154" i="70" s="1"/>
  <c r="Z114" i="72"/>
  <c r="J17" i="70"/>
  <c r="J298" i="70"/>
  <c r="E131" i="70"/>
  <c r="E127" i="70"/>
  <c r="G111" i="70" l="1"/>
  <c r="S136" i="70"/>
  <c r="H87" i="73" s="1"/>
  <c r="I6" i="72"/>
  <c r="H5" i="72"/>
  <c r="C24" i="25"/>
  <c r="D23" i="25"/>
  <c r="C25" i="23"/>
  <c r="D24" i="23"/>
  <c r="Q23" i="21"/>
  <c r="D23" i="21"/>
  <c r="C24" i="21"/>
  <c r="D24" i="67"/>
  <c r="C25" i="67"/>
  <c r="AA35" i="67"/>
  <c r="AB32" i="67"/>
  <c r="K6" i="51"/>
  <c r="J5" i="51"/>
  <c r="AK5" i="51"/>
  <c r="AL6" i="51"/>
  <c r="AA111" i="70"/>
  <c r="R111" i="70"/>
  <c r="AN6" i="72"/>
  <c r="AM5" i="72"/>
  <c r="M5" i="33"/>
  <c r="N6" i="33"/>
  <c r="AD5" i="33"/>
  <c r="AE6" i="33"/>
  <c r="H7" i="18"/>
  <c r="R7" i="18" s="1"/>
  <c r="S7" i="18" s="1"/>
  <c r="T7" i="18" s="1"/>
  <c r="U7" i="18" s="1"/>
  <c r="V7" i="18" s="1"/>
  <c r="F111" i="70"/>
  <c r="H111" i="70"/>
  <c r="P111" i="70"/>
  <c r="O111" i="70"/>
  <c r="N122" i="70"/>
  <c r="N131" i="70" s="1"/>
  <c r="N18" i="70"/>
  <c r="E111" i="70"/>
  <c r="L111" i="70"/>
  <c r="X111" i="70"/>
  <c r="W111" i="70"/>
  <c r="Z111" i="70"/>
  <c r="AJ356" i="70"/>
  <c r="AJ358" i="70" s="1"/>
  <c r="AK356" i="70" s="1"/>
  <c r="AK358" i="70" s="1"/>
  <c r="V74" i="70"/>
  <c r="S38" i="70"/>
  <c r="S276" i="70"/>
  <c r="S279" i="70" s="1"/>
  <c r="R136" i="70"/>
  <c r="G87" i="73" s="1"/>
  <c r="R58" i="70"/>
  <c r="AI152" i="70"/>
  <c r="AI59" i="70" s="1"/>
  <c r="AI60" i="70"/>
  <c r="S72" i="70"/>
  <c r="U87" i="70"/>
  <c r="U74" i="70"/>
  <c r="Z33" i="70"/>
  <c r="Z276" i="70"/>
  <c r="Z279" i="70" s="1"/>
  <c r="AF200" i="70"/>
  <c r="AF243" i="70" s="1"/>
  <c r="AE243" i="70"/>
  <c r="S30" i="33"/>
  <c r="P87" i="73"/>
  <c r="AB136" i="70"/>
  <c r="AB58" i="70"/>
  <c r="Y114" i="72"/>
  <c r="Y276" i="70"/>
  <c r="Y279" i="70" s="1"/>
  <c r="AA72" i="70"/>
  <c r="AD268" i="70"/>
  <c r="AD278" i="70"/>
  <c r="AI85" i="70"/>
  <c r="AI72" i="70"/>
  <c r="U136" i="70"/>
  <c r="U58" i="70"/>
  <c r="AB73" i="70"/>
  <c r="V136" i="70"/>
  <c r="V58" i="70"/>
  <c r="AI158" i="70"/>
  <c r="AF225" i="70"/>
  <c r="AF254" i="70" s="1"/>
  <c r="AE254" i="70"/>
  <c r="AF199" i="70"/>
  <c r="AF209" i="70"/>
  <c r="AA144" i="70"/>
  <c r="AA150" i="70" s="1"/>
  <c r="AA60" i="70" s="1"/>
  <c r="AA276" i="70"/>
  <c r="AA279" i="70" s="1"/>
  <c r="S33" i="70"/>
  <c r="O276" i="70"/>
  <c r="O279" i="70" s="1"/>
  <c r="Q74" i="70"/>
  <c r="Z136" i="70"/>
  <c r="Z58" i="70"/>
  <c r="K34" i="70"/>
  <c r="K154" i="70" s="1"/>
  <c r="K276" i="70"/>
  <c r="K279" i="70" s="1"/>
  <c r="K136" i="70"/>
  <c r="K58" i="70"/>
  <c r="AF224" i="70"/>
  <c r="AF258" i="70" s="1"/>
  <c r="AE258" i="70"/>
  <c r="Q33" i="70"/>
  <c r="M276" i="70"/>
  <c r="M279" i="70" s="1"/>
  <c r="Z87" i="70"/>
  <c r="Z74" i="70"/>
  <c r="E136" i="70"/>
  <c r="E58" i="70"/>
  <c r="E72" i="70" s="1"/>
  <c r="AH73" i="70"/>
  <c r="AH109" i="70"/>
  <c r="I87" i="70"/>
  <c r="I74" i="70"/>
  <c r="J74" i="70"/>
  <c r="V17" i="70"/>
  <c r="J38" i="70"/>
  <c r="J41" i="70" s="1"/>
  <c r="J276" i="70"/>
  <c r="J279" i="70" s="1"/>
  <c r="AI287" i="70"/>
  <c r="AI80" i="70" s="1"/>
  <c r="AI288" i="70"/>
  <c r="AI81" i="70" s="1"/>
  <c r="J72" i="70"/>
  <c r="R131" i="70"/>
  <c r="R17" i="70"/>
  <c r="U9" i="18"/>
  <c r="U12" i="18" s="1"/>
  <c r="K93" i="18" s="1"/>
  <c r="T12" i="18"/>
  <c r="J93" i="18" s="1"/>
  <c r="AF111" i="72"/>
  <c r="AF112" i="72" s="1"/>
  <c r="AF84" i="72"/>
  <c r="AF116" i="70"/>
  <c r="AF10" i="70" s="1"/>
  <c r="I88" i="18"/>
  <c r="H87" i="18"/>
  <c r="AC53" i="72"/>
  <c r="AC116" i="70"/>
  <c r="AD84" i="72"/>
  <c r="AD111" i="72"/>
  <c r="AD112" i="72" s="1"/>
  <c r="AE111" i="72"/>
  <c r="AE112" i="72" s="1"/>
  <c r="AE84" i="72"/>
  <c r="AE116" i="70"/>
  <c r="AE53" i="72"/>
  <c r="AC84" i="72"/>
  <c r="AC111" i="72"/>
  <c r="AC112" i="72" s="1"/>
  <c r="AC88" i="72"/>
  <c r="AD116" i="70"/>
  <c r="AD53" i="72"/>
  <c r="R32" i="70"/>
  <c r="V33" i="70" s="1"/>
  <c r="AB41" i="70"/>
  <c r="J33" i="70"/>
  <c r="J34" i="70"/>
  <c r="J154" i="70" s="1"/>
  <c r="S144" i="70"/>
  <c r="S150" i="70" s="1"/>
  <c r="S114" i="72"/>
  <c r="AA33" i="70"/>
  <c r="K38" i="70"/>
  <c r="K41" i="70" s="1"/>
  <c r="AA34" i="70"/>
  <c r="AA154" i="70" s="1"/>
  <c r="AD52" i="70"/>
  <c r="AE378" i="70"/>
  <c r="K144" i="70"/>
  <c r="K150" i="70" s="1"/>
  <c r="AA38" i="70"/>
  <c r="AA43" i="70" s="1"/>
  <c r="AA267" i="70" s="1"/>
  <c r="AA270" i="70" s="1"/>
  <c r="AA273" i="70" s="1"/>
  <c r="AA114" i="72"/>
  <c r="Y34" i="70"/>
  <c r="Y154" i="70" s="1"/>
  <c r="Y131" i="70"/>
  <c r="Y127" i="70"/>
  <c r="Y144" i="70"/>
  <c r="Y150" i="70" s="1"/>
  <c r="AD381" i="70"/>
  <c r="AD66" i="70" s="1"/>
  <c r="AC382" i="70"/>
  <c r="AC348" i="70" s="1"/>
  <c r="AC102" i="70" s="1"/>
  <c r="L32" i="70"/>
  <c r="L276" i="70" s="1"/>
  <c r="L279" i="70" s="1"/>
  <c r="L18" i="70"/>
  <c r="L122" i="70"/>
  <c r="T32" i="70"/>
  <c r="T276" i="70" s="1"/>
  <c r="T279" i="70" s="1"/>
  <c r="T18" i="70"/>
  <c r="T122" i="70"/>
  <c r="Q131" i="70"/>
  <c r="Q127" i="70"/>
  <c r="Y38" i="70"/>
  <c r="I131" i="70"/>
  <c r="I127" i="70"/>
  <c r="I6" i="70"/>
  <c r="AJ201" i="70"/>
  <c r="AJ219" i="70"/>
  <c r="AJ197" i="70"/>
  <c r="AJ203" i="70"/>
  <c r="AJ202" i="70"/>
  <c r="AJ231" i="70"/>
  <c r="AJ199" i="70"/>
  <c r="AJ215" i="70"/>
  <c r="AJ224" i="70"/>
  <c r="AJ209" i="70"/>
  <c r="AJ249" i="70" s="1"/>
  <c r="AJ226" i="70"/>
  <c r="AJ229" i="70"/>
  <c r="AJ214" i="70"/>
  <c r="AJ200" i="70"/>
  <c r="AJ208" i="70"/>
  <c r="AJ225" i="70"/>
  <c r="AJ233" i="70"/>
  <c r="AJ198" i="70"/>
  <c r="AJ217" i="70"/>
  <c r="AJ218" i="70"/>
  <c r="AJ207" i="70"/>
  <c r="AJ222" i="70"/>
  <c r="AJ257" i="70" s="1"/>
  <c r="AJ206" i="70"/>
  <c r="AJ232" i="70"/>
  <c r="AJ211" i="70"/>
  <c r="AJ216" i="70"/>
  <c r="H5" i="70"/>
  <c r="H55" i="70" s="1"/>
  <c r="H69" i="70" s="1"/>
  <c r="H89" i="70" s="1"/>
  <c r="AJ223" i="70"/>
  <c r="G127" i="70"/>
  <c r="G131" i="70"/>
  <c r="AE319" i="70"/>
  <c r="AF216" i="70"/>
  <c r="J152" i="70"/>
  <c r="J59" i="70" s="1"/>
  <c r="J109" i="70" s="1"/>
  <c r="J158" i="70"/>
  <c r="AD432" i="70"/>
  <c r="AD435" i="70" s="1"/>
  <c r="AC210" i="70"/>
  <c r="AC249" i="70" s="1"/>
  <c r="W127" i="70"/>
  <c r="W131" i="70"/>
  <c r="N127" i="70"/>
  <c r="S152" i="70"/>
  <c r="S59" i="70" s="1"/>
  <c r="S109" i="70" s="1"/>
  <c r="I41" i="70"/>
  <c r="I43" i="70"/>
  <c r="I267" i="70" s="1"/>
  <c r="I270" i="70" s="1"/>
  <c r="I273" i="70" s="1"/>
  <c r="AF208" i="70"/>
  <c r="AF339" i="70" s="1"/>
  <c r="AL5" i="70"/>
  <c r="AL55" i="70" s="1"/>
  <c r="AL69" i="70" s="1"/>
  <c r="AL89" i="70" s="1"/>
  <c r="AM6" i="70"/>
  <c r="Z43" i="70"/>
  <c r="Z267" i="70" s="1"/>
  <c r="Z270" i="70" s="1"/>
  <c r="Z273" i="70" s="1"/>
  <c r="Z41" i="70"/>
  <c r="E43" i="70"/>
  <c r="E41" i="70"/>
  <c r="H32" i="70"/>
  <c r="H276" i="70" s="1"/>
  <c r="H279" i="70" s="1"/>
  <c r="H18" i="70"/>
  <c r="H122" i="70"/>
  <c r="L17" i="70"/>
  <c r="M131" i="70"/>
  <c r="M127" i="70"/>
  <c r="AE339" i="70"/>
  <c r="AE98" i="70" s="1"/>
  <c r="F144" i="70"/>
  <c r="F150" i="70" s="1"/>
  <c r="F60" i="70" s="1"/>
  <c r="F74" i="70" s="1"/>
  <c r="F38" i="70"/>
  <c r="F34" i="70"/>
  <c r="F154" i="70" s="1"/>
  <c r="Q43" i="70"/>
  <c r="Q267" i="70" s="1"/>
  <c r="Q270" i="70" s="1"/>
  <c r="Q273" i="70" s="1"/>
  <c r="Q41" i="70"/>
  <c r="U152" i="70"/>
  <c r="U59" i="70" s="1"/>
  <c r="U109" i="70" s="1"/>
  <c r="U158" i="70"/>
  <c r="Z158" i="70"/>
  <c r="Z152" i="70"/>
  <c r="Z59" i="70" s="1"/>
  <c r="Z109" i="70" s="1"/>
  <c r="AB166" i="70"/>
  <c r="AB176" i="70" s="1"/>
  <c r="AB49" i="70"/>
  <c r="AB178" i="70" s="1"/>
  <c r="AB48" i="70"/>
  <c r="AB45" i="70"/>
  <c r="I152" i="70"/>
  <c r="I59" i="70" s="1"/>
  <c r="I109" i="70" s="1"/>
  <c r="I158" i="70"/>
  <c r="G144" i="70"/>
  <c r="G150" i="70" s="1"/>
  <c r="G60" i="70" s="1"/>
  <c r="G74" i="70" s="1"/>
  <c r="G34" i="70"/>
  <c r="G154" i="70" s="1"/>
  <c r="G38" i="70"/>
  <c r="AI166" i="70"/>
  <c r="AI176" i="70" s="1"/>
  <c r="AI61" i="70" s="1"/>
  <c r="AI49" i="70"/>
  <c r="AI178" i="70" s="1"/>
  <c r="AI188" i="70" s="1"/>
  <c r="AI48" i="70"/>
  <c r="AI45" i="70"/>
  <c r="AI44" i="70"/>
  <c r="AF198" i="70"/>
  <c r="AF328" i="70" s="1"/>
  <c r="E152" i="70"/>
  <c r="E59" i="70" s="1"/>
  <c r="E158" i="70"/>
  <c r="S41" i="70"/>
  <c r="S43" i="70"/>
  <c r="S267" i="70" s="1"/>
  <c r="S270" i="70" s="1"/>
  <c r="S273" i="70" s="1"/>
  <c r="AQ429" i="70"/>
  <c r="AQ428" i="70"/>
  <c r="AQ139" i="70" s="1"/>
  <c r="AQ427" i="70"/>
  <c r="AQ124" i="70" s="1"/>
  <c r="O144" i="70"/>
  <c r="O150" i="70" s="1"/>
  <c r="O60" i="70" s="1"/>
  <c r="O34" i="70"/>
  <c r="O154" i="70" s="1"/>
  <c r="O114" i="72"/>
  <c r="O33" i="70"/>
  <c r="O38" i="70"/>
  <c r="E368" i="70"/>
  <c r="F356" i="70"/>
  <c r="F358" i="70" s="1"/>
  <c r="F127" i="70"/>
  <c r="F131" i="70"/>
  <c r="AF202" i="70"/>
  <c r="O127" i="70"/>
  <c r="O131" i="70"/>
  <c r="AC427" i="70"/>
  <c r="AF427" i="70"/>
  <c r="AE427" i="70"/>
  <c r="AD427" i="70"/>
  <c r="AP124" i="70"/>
  <c r="Q152" i="70"/>
  <c r="Q59" i="70" s="1"/>
  <c r="Q109" i="70" s="1"/>
  <c r="Q158" i="70"/>
  <c r="V43" i="70"/>
  <c r="V267" i="70" s="1"/>
  <c r="V270" i="70" s="1"/>
  <c r="V273" i="70" s="1"/>
  <c r="V41" i="70"/>
  <c r="AH166" i="70"/>
  <c r="AH176" i="70" s="1"/>
  <c r="AH61" i="70" s="1"/>
  <c r="AH49" i="70"/>
  <c r="AH178" i="70" s="1"/>
  <c r="AH188" i="70" s="1"/>
  <c r="AH48" i="70"/>
  <c r="AH45" i="70"/>
  <c r="AF379" i="70"/>
  <c r="AE53" i="70"/>
  <c r="AE63" i="70" s="1"/>
  <c r="U41" i="70"/>
  <c r="U43" i="70"/>
  <c r="U267" i="70" s="1"/>
  <c r="U270" i="70" s="1"/>
  <c r="U273" i="70" s="1"/>
  <c r="AC428" i="70"/>
  <c r="AC139" i="70" s="1"/>
  <c r="AF428" i="70"/>
  <c r="AF139" i="70" s="1"/>
  <c r="AE428" i="70"/>
  <c r="AE139" i="70" s="1"/>
  <c r="AD428" i="70"/>
  <c r="AD139" i="70" s="1"/>
  <c r="AP139" i="70"/>
  <c r="Y41" i="70"/>
  <c r="Y43" i="70"/>
  <c r="Y267" i="70" s="1"/>
  <c r="Y270" i="70" s="1"/>
  <c r="Y273" i="70" s="1"/>
  <c r="W144" i="70"/>
  <c r="W150" i="70" s="1"/>
  <c r="W60" i="70" s="1"/>
  <c r="W34" i="70"/>
  <c r="W154" i="70" s="1"/>
  <c r="W38" i="70"/>
  <c r="W33" i="70"/>
  <c r="W114" i="72"/>
  <c r="K33" i="70"/>
  <c r="AS434" i="70"/>
  <c r="AR430" i="70"/>
  <c r="AR309" i="70"/>
  <c r="M144" i="70"/>
  <c r="M150" i="70" s="1"/>
  <c r="M60" i="70" s="1"/>
  <c r="M34" i="70"/>
  <c r="M154" i="70" s="1"/>
  <c r="M114" i="72"/>
  <c r="M33" i="70"/>
  <c r="M38" i="70"/>
  <c r="P32" i="70"/>
  <c r="P276" i="70" s="1"/>
  <c r="P279" i="70" s="1"/>
  <c r="Q288" i="70" s="1"/>
  <c r="Q81" i="70" s="1"/>
  <c r="P18" i="70"/>
  <c r="P122" i="70"/>
  <c r="P17" i="70"/>
  <c r="T17" i="70"/>
  <c r="X32" i="70"/>
  <c r="X276" i="70" s="1"/>
  <c r="X279" i="70" s="1"/>
  <c r="Z287" i="70" s="1"/>
  <c r="Z80" i="70" s="1"/>
  <c r="X122" i="70"/>
  <c r="X17" i="70"/>
  <c r="X18" i="70"/>
  <c r="AB17" i="70"/>
  <c r="AC429" i="70"/>
  <c r="AF429" i="70"/>
  <c r="AE429" i="70"/>
  <c r="AD429" i="70"/>
  <c r="V158" i="70"/>
  <c r="V152" i="70"/>
  <c r="V59" i="70" s="1"/>
  <c r="V109" i="70" s="1"/>
  <c r="N144" i="70"/>
  <c r="N150" i="70" s="1"/>
  <c r="N60" i="70" s="1"/>
  <c r="N114" i="72"/>
  <c r="N34" i="70"/>
  <c r="N154" i="70" s="1"/>
  <c r="N33" i="70"/>
  <c r="N38" i="70"/>
  <c r="AA158" i="70"/>
  <c r="AA152" i="70"/>
  <c r="AA59" i="70" s="1"/>
  <c r="AA109" i="70" s="1"/>
  <c r="I7" i="18" l="1"/>
  <c r="H6" i="18"/>
  <c r="R6" i="18" s="1"/>
  <c r="AF98" i="70"/>
  <c r="J43" i="70"/>
  <c r="J267" i="70" s="1"/>
  <c r="J270" i="70" s="1"/>
  <c r="J273" i="70" s="1"/>
  <c r="AJ254" i="70"/>
  <c r="J6" i="72"/>
  <c r="I5" i="72"/>
  <c r="C25" i="25"/>
  <c r="D24" i="25"/>
  <c r="C26" i="23"/>
  <c r="D25" i="23"/>
  <c r="Q24" i="21"/>
  <c r="C25" i="21"/>
  <c r="D24" i="21"/>
  <c r="AB35" i="67"/>
  <c r="AC32" i="67"/>
  <c r="C26" i="67"/>
  <c r="D25" i="67"/>
  <c r="AM6" i="51"/>
  <c r="AL5" i="51"/>
  <c r="K5" i="51"/>
  <c r="L6" i="51"/>
  <c r="K43" i="70"/>
  <c r="K267" i="70" s="1"/>
  <c r="K270" i="70" s="1"/>
  <c r="K273" i="70" s="1"/>
  <c r="AN5" i="72"/>
  <c r="AO6" i="72"/>
  <c r="AE5" i="33"/>
  <c r="AF6" i="33"/>
  <c r="O6" i="33"/>
  <c r="N5" i="33"/>
  <c r="E73" i="70"/>
  <c r="E109" i="70"/>
  <c r="AJ243" i="70"/>
  <c r="R38" i="70"/>
  <c r="R43" i="70" s="1"/>
  <c r="R267" i="70" s="1"/>
  <c r="R270" i="70" s="1"/>
  <c r="R273" i="70" s="1"/>
  <c r="F136" i="70"/>
  <c r="F58" i="70"/>
  <c r="Z86" i="70"/>
  <c r="Z73" i="70"/>
  <c r="AA87" i="70"/>
  <c r="AA74" i="70"/>
  <c r="AF278" i="70"/>
  <c r="AF268" i="70"/>
  <c r="N30" i="33"/>
  <c r="K87" i="73"/>
  <c r="AB72" i="70"/>
  <c r="M87" i="70"/>
  <c r="M74" i="70"/>
  <c r="I86" i="70"/>
  <c r="I73" i="70"/>
  <c r="K288" i="70"/>
  <c r="K81" i="70" s="1"/>
  <c r="K287" i="70"/>
  <c r="K80" i="70" s="1"/>
  <c r="W136" i="70"/>
  <c r="W58" i="70"/>
  <c r="G136" i="70"/>
  <c r="G58" i="70"/>
  <c r="G72" i="70" s="1"/>
  <c r="O287" i="70"/>
  <c r="O80" i="70" s="1"/>
  <c r="O288" i="70"/>
  <c r="O81" i="70" s="1"/>
  <c r="N287" i="70"/>
  <c r="N80" i="70" s="1"/>
  <c r="N288" i="70"/>
  <c r="N81" i="70" s="1"/>
  <c r="T30" i="33"/>
  <c r="Q87" i="73"/>
  <c r="J288" i="70"/>
  <c r="J81" i="70" s="1"/>
  <c r="V287" i="70"/>
  <c r="V80" i="70" s="1"/>
  <c r="V288" i="70"/>
  <c r="V81" i="70" s="1"/>
  <c r="AH79" i="70"/>
  <c r="AH75" i="70"/>
  <c r="AH78" i="70"/>
  <c r="AH64" i="70"/>
  <c r="AH67" i="70" s="1"/>
  <c r="Q136" i="70"/>
  <c r="F87" i="73" s="1"/>
  <c r="Q58" i="70"/>
  <c r="U85" i="70" s="1"/>
  <c r="AC195" i="51"/>
  <c r="R144" i="70"/>
  <c r="R150" i="70" s="1"/>
  <c r="R276" i="70"/>
  <c r="R279" i="70" s="1"/>
  <c r="R287" i="70" s="1"/>
  <c r="R80" i="70" s="1"/>
  <c r="J87" i="70"/>
  <c r="J287" i="70"/>
  <c r="J80" i="70" s="1"/>
  <c r="AJ368" i="70"/>
  <c r="AJ248" i="70"/>
  <c r="R33" i="70"/>
  <c r="R34" i="70"/>
  <c r="R154" i="70" s="1"/>
  <c r="P287" i="70"/>
  <c r="P80" i="70" s="1"/>
  <c r="P288" i="70"/>
  <c r="P81" i="70" s="1"/>
  <c r="Z85" i="70"/>
  <c r="Z72" i="70"/>
  <c r="U72" i="70"/>
  <c r="AI87" i="70"/>
  <c r="AI74" i="70"/>
  <c r="N87" i="70"/>
  <c r="N74" i="70"/>
  <c r="AI78" i="70"/>
  <c r="AI79" i="70"/>
  <c r="AI75" i="70"/>
  <c r="AI64" i="70"/>
  <c r="AI67" i="70" s="1"/>
  <c r="M136" i="70"/>
  <c r="M58" i="70"/>
  <c r="Y158" i="70"/>
  <c r="Y60" i="70"/>
  <c r="Y287" i="70"/>
  <c r="Y80" i="70" s="1"/>
  <c r="R30" i="33"/>
  <c r="O87" i="73"/>
  <c r="Y288" i="70"/>
  <c r="Y81" i="70" s="1"/>
  <c r="Q287" i="70"/>
  <c r="Q80" i="70" s="1"/>
  <c r="M30" i="33"/>
  <c r="J87" i="73"/>
  <c r="AI86" i="70"/>
  <c r="AI73" i="70"/>
  <c r="AI109" i="70"/>
  <c r="W74" i="70"/>
  <c r="V73" i="70"/>
  <c r="O136" i="70"/>
  <c r="D87" i="73" s="1"/>
  <c r="O58" i="70"/>
  <c r="U86" i="70"/>
  <c r="U73" i="70"/>
  <c r="S73" i="70"/>
  <c r="J73" i="70"/>
  <c r="AJ258" i="70"/>
  <c r="Y136" i="70"/>
  <c r="Y58" i="70"/>
  <c r="K152" i="70"/>
  <c r="K59" i="70" s="1"/>
  <c r="K109" i="70" s="1"/>
  <c r="K60" i="70"/>
  <c r="I287" i="70"/>
  <c r="I80" i="70" s="1"/>
  <c r="Z288" i="70"/>
  <c r="Z81" i="70" s="1"/>
  <c r="AA73" i="70"/>
  <c r="Q73" i="70"/>
  <c r="AJ268" i="70"/>
  <c r="AJ278" i="70"/>
  <c r="W287" i="70"/>
  <c r="W80" i="70" s="1"/>
  <c r="W288" i="70"/>
  <c r="W81" i="70" s="1"/>
  <c r="R114" i="72"/>
  <c r="S158" i="70"/>
  <c r="S60" i="70"/>
  <c r="M287" i="70"/>
  <c r="M80" i="70" s="1"/>
  <c r="M288" i="70"/>
  <c r="M81" i="70" s="1"/>
  <c r="L288" i="70"/>
  <c r="L81" i="70" s="1"/>
  <c r="L287" i="70"/>
  <c r="L80" i="70" s="1"/>
  <c r="Q87" i="70"/>
  <c r="I288" i="70"/>
  <c r="I81" i="70" s="1"/>
  <c r="AB288" i="70"/>
  <c r="AB81" i="70" s="1"/>
  <c r="AB287" i="70"/>
  <c r="AB80" i="70" s="1"/>
  <c r="AA288" i="70"/>
  <c r="AA81" i="70" s="1"/>
  <c r="AA287" i="70"/>
  <c r="AA80" i="70" s="1"/>
  <c r="O74" i="70"/>
  <c r="AB188" i="70"/>
  <c r="AB61" i="70"/>
  <c r="N136" i="70"/>
  <c r="N58" i="70"/>
  <c r="R85" i="70" s="1"/>
  <c r="AJ396" i="70"/>
  <c r="AK393" i="70" s="1"/>
  <c r="AK399" i="70" s="1"/>
  <c r="AJ244" i="70"/>
  <c r="AJ245" i="70"/>
  <c r="I136" i="70"/>
  <c r="I58" i="70"/>
  <c r="X287" i="70"/>
  <c r="X80" i="70" s="1"/>
  <c r="X288" i="70"/>
  <c r="X81" i="70" s="1"/>
  <c r="K85" i="70"/>
  <c r="K72" i="70"/>
  <c r="AE278" i="70"/>
  <c r="AE268" i="70"/>
  <c r="V85" i="70"/>
  <c r="V72" i="70"/>
  <c r="R72" i="70"/>
  <c r="V9" i="18"/>
  <c r="AF119" i="70"/>
  <c r="J88" i="18"/>
  <c r="I87" i="18"/>
  <c r="I6" i="18"/>
  <c r="S6" i="18" s="1"/>
  <c r="J7" i="18"/>
  <c r="AF394" i="70"/>
  <c r="AF326" i="70" s="1"/>
  <c r="AF97" i="70" s="1"/>
  <c r="AF99" i="70" s="1"/>
  <c r="AF307" i="70"/>
  <c r="AF93" i="70" s="1"/>
  <c r="AF20" i="70"/>
  <c r="AF11" i="70"/>
  <c r="AF24" i="70"/>
  <c r="AF25" i="70" s="1"/>
  <c r="AD119" i="70"/>
  <c r="AD57" i="70" s="1"/>
  <c r="AD84" i="70" s="1"/>
  <c r="AD10" i="70"/>
  <c r="AE10" i="70"/>
  <c r="AE119" i="70"/>
  <c r="AE57" i="70" s="1"/>
  <c r="AE84" i="70" s="1"/>
  <c r="AC10" i="70"/>
  <c r="AC119" i="70"/>
  <c r="AC57" i="70" s="1"/>
  <c r="AC84" i="70" s="1"/>
  <c r="AJ234" i="70"/>
  <c r="AJ253" i="70" s="1"/>
  <c r="AJ255" i="70" s="1"/>
  <c r="AJ259" i="70" s="1"/>
  <c r="R41" i="70"/>
  <c r="K158" i="70"/>
  <c r="AA41" i="70"/>
  <c r="AF378" i="70"/>
  <c r="AE52" i="70"/>
  <c r="Y152" i="70"/>
  <c r="Y59" i="70" s="1"/>
  <c r="Y109" i="70" s="1"/>
  <c r="J6" i="70"/>
  <c r="I5" i="70"/>
  <c r="I55" i="70" s="1"/>
  <c r="I69" i="70" s="1"/>
  <c r="I89" i="70" s="1"/>
  <c r="AE381" i="70"/>
  <c r="AE66" i="70" s="1"/>
  <c r="AD382" i="70"/>
  <c r="AD348" i="70" s="1"/>
  <c r="AD102" i="70" s="1"/>
  <c r="AJ220" i="70"/>
  <c r="AJ227" i="70" s="1"/>
  <c r="T144" i="70"/>
  <c r="T150" i="70" s="1"/>
  <c r="T60" i="70" s="1"/>
  <c r="T114" i="72"/>
  <c r="T34" i="70"/>
  <c r="T154" i="70" s="1"/>
  <c r="T38" i="70"/>
  <c r="AJ204" i="70"/>
  <c r="AJ212" i="70" s="1"/>
  <c r="L131" i="70"/>
  <c r="L127" i="70"/>
  <c r="T131" i="70"/>
  <c r="T127" i="70"/>
  <c r="L144" i="70"/>
  <c r="L150" i="70" s="1"/>
  <c r="L60" i="70" s="1"/>
  <c r="L34" i="70"/>
  <c r="L154" i="70" s="1"/>
  <c r="L114" i="72"/>
  <c r="L38" i="70"/>
  <c r="N43" i="70"/>
  <c r="N41" i="70"/>
  <c r="Y166" i="70"/>
  <c r="Y176" i="70" s="1"/>
  <c r="Y49" i="70"/>
  <c r="Y178" i="70" s="1"/>
  <c r="Y48" i="70"/>
  <c r="Y45" i="70"/>
  <c r="Y44" i="70"/>
  <c r="AE430" i="70"/>
  <c r="AE124" i="70"/>
  <c r="M152" i="70"/>
  <c r="M59" i="70" s="1"/>
  <c r="M158" i="70"/>
  <c r="V166" i="70"/>
  <c r="V176" i="70" s="1"/>
  <c r="V45" i="70"/>
  <c r="V49" i="70"/>
  <c r="V178" i="70" s="1"/>
  <c r="V48" i="70"/>
  <c r="E166" i="70"/>
  <c r="E176" i="70" s="1"/>
  <c r="E61" i="70" s="1"/>
  <c r="E45" i="70"/>
  <c r="E48" i="70"/>
  <c r="E49" i="70"/>
  <c r="E178" i="70" s="1"/>
  <c r="G41" i="70"/>
  <c r="G43" i="70"/>
  <c r="J166" i="70"/>
  <c r="J176" i="70" s="1"/>
  <c r="J45" i="70"/>
  <c r="J49" i="70"/>
  <c r="J178" i="70" s="1"/>
  <c r="J48" i="70"/>
  <c r="N158" i="70"/>
  <c r="N152" i="70"/>
  <c r="N59" i="70" s="1"/>
  <c r="N109" i="70" s="1"/>
  <c r="P33" i="70"/>
  <c r="P144" i="70"/>
  <c r="P150" i="70" s="1"/>
  <c r="P60" i="70" s="1"/>
  <c r="P38" i="70"/>
  <c r="P114" i="72"/>
  <c r="P34" i="70"/>
  <c r="P154" i="70" s="1"/>
  <c r="T33" i="70"/>
  <c r="G152" i="70"/>
  <c r="G59" i="70" s="1"/>
  <c r="G109" i="70" s="1"/>
  <c r="G158" i="70"/>
  <c r="Z44" i="70"/>
  <c r="Z166" i="70"/>
  <c r="Z176" i="70" s="1"/>
  <c r="Z49" i="70"/>
  <c r="Z178" i="70" s="1"/>
  <c r="Z48" i="70"/>
  <c r="Z45" i="70"/>
  <c r="F368" i="70"/>
  <c r="G356" i="70"/>
  <c r="G358" i="70" s="1"/>
  <c r="AS430" i="70"/>
  <c r="AS309" i="70"/>
  <c r="M41" i="70"/>
  <c r="M43" i="70"/>
  <c r="M267" i="70" s="1"/>
  <c r="M270" i="70" s="1"/>
  <c r="M273" i="70" s="1"/>
  <c r="AP147" i="70"/>
  <c r="S166" i="70"/>
  <c r="S176" i="70" s="1"/>
  <c r="S49" i="70"/>
  <c r="S178" i="70" s="1"/>
  <c r="S48" i="70"/>
  <c r="S45" i="70"/>
  <c r="K166" i="70"/>
  <c r="K176" i="70" s="1"/>
  <c r="K49" i="70"/>
  <c r="K178" i="70" s="1"/>
  <c r="K48" i="70"/>
  <c r="K45" i="70"/>
  <c r="AF430" i="70"/>
  <c r="AF124" i="70"/>
  <c r="W41" i="70"/>
  <c r="W43" i="70"/>
  <c r="Q166" i="70"/>
  <c r="Q176" i="70" s="1"/>
  <c r="Q49" i="70"/>
  <c r="Q178" i="70" s="1"/>
  <c r="Q48" i="70"/>
  <c r="Q45" i="70"/>
  <c r="H131" i="70"/>
  <c r="H127" i="70"/>
  <c r="X127" i="70"/>
  <c r="X131" i="70"/>
  <c r="X33" i="70"/>
  <c r="X144" i="70"/>
  <c r="X150" i="70" s="1"/>
  <c r="X60" i="70" s="1"/>
  <c r="X38" i="70"/>
  <c r="X34" i="70"/>
  <c r="X154" i="70" s="1"/>
  <c r="X114" i="72"/>
  <c r="AB33" i="70"/>
  <c r="AR429" i="70"/>
  <c r="AR428" i="70"/>
  <c r="AR139" i="70" s="1"/>
  <c r="AR427" i="70"/>
  <c r="AR124" i="70" s="1"/>
  <c r="W152" i="70"/>
  <c r="W59" i="70" s="1"/>
  <c r="W158" i="70"/>
  <c r="AP379" i="70"/>
  <c r="AF53" i="70"/>
  <c r="AF63" i="70" s="1"/>
  <c r="AD430" i="70"/>
  <c r="AD124" i="70"/>
  <c r="O152" i="70"/>
  <c r="O59" i="70" s="1"/>
  <c r="O109" i="70" s="1"/>
  <c r="O158" i="70"/>
  <c r="F43" i="70"/>
  <c r="F41" i="70"/>
  <c r="H144" i="70"/>
  <c r="H150" i="70" s="1"/>
  <c r="H60" i="70" s="1"/>
  <c r="H74" i="70" s="1"/>
  <c r="H38" i="70"/>
  <c r="H34" i="70"/>
  <c r="H154" i="70" s="1"/>
  <c r="L33" i="70"/>
  <c r="AE432" i="70"/>
  <c r="AE435" i="70" s="1"/>
  <c r="AD210" i="70"/>
  <c r="AD249" i="70" s="1"/>
  <c r="F158" i="70"/>
  <c r="F152" i="70"/>
  <c r="F59" i="70" s="1"/>
  <c r="F109" i="70" s="1"/>
  <c r="AM5" i="70"/>
  <c r="AM55" i="70" s="1"/>
  <c r="AM69" i="70" s="1"/>
  <c r="AM89" i="70" s="1"/>
  <c r="AN6" i="70"/>
  <c r="AL356" i="70"/>
  <c r="AL358" i="70" s="1"/>
  <c r="P131" i="70"/>
  <c r="P127" i="70"/>
  <c r="U166" i="70"/>
  <c r="U176" i="70" s="1"/>
  <c r="U45" i="70"/>
  <c r="U44" i="70"/>
  <c r="U49" i="70"/>
  <c r="U178" i="70" s="1"/>
  <c r="U48" i="70"/>
  <c r="AC430" i="70"/>
  <c r="AC124" i="70"/>
  <c r="I49" i="70"/>
  <c r="I178" i="70" s="1"/>
  <c r="I48" i="70"/>
  <c r="I45" i="70"/>
  <c r="I166" i="70"/>
  <c r="I176" i="70" s="1"/>
  <c r="I44" i="70"/>
  <c r="AA166" i="70"/>
  <c r="AA176" i="70" s="1"/>
  <c r="AA49" i="70"/>
  <c r="AA178" i="70" s="1"/>
  <c r="AA48" i="70"/>
  <c r="AA45" i="70"/>
  <c r="O43" i="70"/>
  <c r="O267" i="70" s="1"/>
  <c r="O270" i="70" s="1"/>
  <c r="O273" i="70" s="1"/>
  <c r="O41" i="70"/>
  <c r="AQ147" i="70"/>
  <c r="AF319" i="70"/>
  <c r="R288" i="70" l="1"/>
  <c r="R81" i="70" s="1"/>
  <c r="K6" i="72"/>
  <c r="J5" i="72"/>
  <c r="D25" i="25"/>
  <c r="C26" i="25"/>
  <c r="C27" i="23"/>
  <c r="D26" i="23"/>
  <c r="Q25" i="21"/>
  <c r="C26" i="21"/>
  <c r="D25" i="21"/>
  <c r="C27" i="67"/>
  <c r="D26" i="67"/>
  <c r="AC35" i="67"/>
  <c r="AD32" i="67"/>
  <c r="M6" i="51"/>
  <c r="L5" i="51"/>
  <c r="AN6" i="51"/>
  <c r="AM5" i="51"/>
  <c r="R45" i="70"/>
  <c r="R166" i="70"/>
  <c r="R176" i="70" s="1"/>
  <c r="R48" i="70"/>
  <c r="R49" i="70"/>
  <c r="R178" i="70" s="1"/>
  <c r="V44" i="70"/>
  <c r="AP6" i="72"/>
  <c r="AO5" i="72"/>
  <c r="P6" i="33"/>
  <c r="O5" i="33"/>
  <c r="AG6" i="33"/>
  <c r="AF5" i="33"/>
  <c r="AA86" i="70"/>
  <c r="W109" i="70"/>
  <c r="Q86" i="70"/>
  <c r="M109" i="70"/>
  <c r="AJ246" i="70"/>
  <c r="AJ250" i="70" s="1"/>
  <c r="AJ261" i="70" s="1"/>
  <c r="U188" i="70"/>
  <c r="U61" i="70"/>
  <c r="Q188" i="70"/>
  <c r="Q61" i="70"/>
  <c r="K188" i="70"/>
  <c r="K61" i="70"/>
  <c r="E64" i="70"/>
  <c r="E67" i="70" s="1"/>
  <c r="E75" i="70"/>
  <c r="R44" i="70"/>
  <c r="N267" i="70"/>
  <c r="N270" i="70" s="1"/>
  <c r="N273" i="70" s="1"/>
  <c r="I85" i="70"/>
  <c r="I72" i="70"/>
  <c r="AB64" i="70"/>
  <c r="AB67" i="70" s="1"/>
  <c r="AB75" i="70"/>
  <c r="K87" i="70"/>
  <c r="K74" i="70"/>
  <c r="O86" i="70"/>
  <c r="O73" i="70"/>
  <c r="S87" i="70"/>
  <c r="S74" i="70"/>
  <c r="K86" i="70"/>
  <c r="K73" i="70"/>
  <c r="S86" i="70"/>
  <c r="W87" i="70"/>
  <c r="W72" i="70"/>
  <c r="W85" i="70"/>
  <c r="AA85" i="70"/>
  <c r="P136" i="70"/>
  <c r="E87" i="73" s="1"/>
  <c r="P58" i="70"/>
  <c r="X136" i="70"/>
  <c r="X58" i="70"/>
  <c r="G73" i="70"/>
  <c r="J188" i="70"/>
  <c r="J61" i="70"/>
  <c r="AF191" i="70"/>
  <c r="Y85" i="70"/>
  <c r="Y72" i="70"/>
  <c r="O30" i="33"/>
  <c r="L87" i="73"/>
  <c r="H136" i="70"/>
  <c r="H58" i="70"/>
  <c r="H72" i="70" s="1"/>
  <c r="P87" i="70"/>
  <c r="P74" i="70"/>
  <c r="K44" i="70"/>
  <c r="G267" i="70"/>
  <c r="G270" i="70" s="1"/>
  <c r="G273" i="70" s="1"/>
  <c r="Y86" i="70"/>
  <c r="Y73" i="70"/>
  <c r="O87" i="70"/>
  <c r="Q30" i="33"/>
  <c r="N87" i="73"/>
  <c r="U287" i="70"/>
  <c r="U80" i="70" s="1"/>
  <c r="U288" i="70"/>
  <c r="U81" i="70" s="1"/>
  <c r="T287" i="70"/>
  <c r="T80" i="70" s="1"/>
  <c r="T288" i="70"/>
  <c r="T81" i="70" s="1"/>
  <c r="S188" i="70"/>
  <c r="S61" i="70"/>
  <c r="L87" i="70"/>
  <c r="L74" i="70"/>
  <c r="O85" i="70"/>
  <c r="O72" i="70"/>
  <c r="S85" i="70"/>
  <c r="R60" i="70"/>
  <c r="R152" i="70"/>
  <c r="R59" i="70" s="1"/>
  <c r="R109" i="70" s="1"/>
  <c r="R158" i="70"/>
  <c r="N86" i="70"/>
  <c r="N73" i="70"/>
  <c r="V188" i="70"/>
  <c r="V61" i="70"/>
  <c r="T136" i="70"/>
  <c r="I87" i="73" s="1"/>
  <c r="T58" i="70"/>
  <c r="T87" i="70"/>
  <c r="T74" i="70"/>
  <c r="Y87" i="70"/>
  <c r="Y74" i="70"/>
  <c r="S287" i="70"/>
  <c r="S80" i="70" s="1"/>
  <c r="R188" i="70"/>
  <c r="R61" i="70"/>
  <c r="Y188" i="70"/>
  <c r="Y61" i="70"/>
  <c r="N85" i="70"/>
  <c r="N72" i="70"/>
  <c r="S288" i="70"/>
  <c r="S81" i="70" s="1"/>
  <c r="F72" i="70"/>
  <c r="J85" i="70"/>
  <c r="AA44" i="70"/>
  <c r="W267" i="70"/>
  <c r="W270" i="70" s="1"/>
  <c r="W273" i="70" s="1"/>
  <c r="AA188" i="70"/>
  <c r="AA61" i="70"/>
  <c r="I188" i="70"/>
  <c r="I61" i="70"/>
  <c r="F73" i="70"/>
  <c r="J44" i="70"/>
  <c r="F267" i="70"/>
  <c r="F270" i="70" s="1"/>
  <c r="F273" i="70" s="1"/>
  <c r="W86" i="70"/>
  <c r="W73" i="70"/>
  <c r="X87" i="70"/>
  <c r="X74" i="70"/>
  <c r="AB87" i="70"/>
  <c r="Z188" i="70"/>
  <c r="Z61" i="70"/>
  <c r="M86" i="70"/>
  <c r="M73" i="70"/>
  <c r="L136" i="70"/>
  <c r="L58" i="70"/>
  <c r="AD195" i="51"/>
  <c r="AF156" i="70"/>
  <c r="AF57" i="70"/>
  <c r="AF84" i="70" s="1"/>
  <c r="J86" i="70"/>
  <c r="M85" i="70"/>
  <c r="M72" i="70"/>
  <c r="Q85" i="70"/>
  <c r="Q72" i="70"/>
  <c r="AE292" i="70"/>
  <c r="AF292" i="70"/>
  <c r="AD292" i="70"/>
  <c r="AC292" i="70"/>
  <c r="V12" i="18"/>
  <c r="L93" i="18" s="1"/>
  <c r="AF120" i="70"/>
  <c r="AF127" i="70"/>
  <c r="AF157" i="70"/>
  <c r="AF340" i="70"/>
  <c r="J6" i="18"/>
  <c r="T6" i="18" s="1"/>
  <c r="K7" i="18"/>
  <c r="AF203" i="70"/>
  <c r="K88" i="18"/>
  <c r="J87" i="18"/>
  <c r="AE24" i="70"/>
  <c r="AE25" i="70" s="1"/>
  <c r="AE11" i="70"/>
  <c r="AE307" i="70"/>
  <c r="AE93" i="70" s="1"/>
  <c r="AE394" i="70"/>
  <c r="AE326" i="70" s="1"/>
  <c r="AE97" i="70" s="1"/>
  <c r="AE99" i="70" s="1"/>
  <c r="AE20" i="70"/>
  <c r="AD157" i="70"/>
  <c r="AD127" i="70"/>
  <c r="AD156" i="70"/>
  <c r="AD120" i="70"/>
  <c r="AF21" i="70"/>
  <c r="AF30" i="70"/>
  <c r="AF138" i="70"/>
  <c r="AF141" i="70" s="1"/>
  <c r="AF142" i="70" s="1"/>
  <c r="AE157" i="70"/>
  <c r="AE127" i="70"/>
  <c r="AE156" i="70"/>
  <c r="AE120" i="70"/>
  <c r="AD24" i="70"/>
  <c r="AD25" i="70" s="1"/>
  <c r="AD307" i="70"/>
  <c r="AD93" i="70" s="1"/>
  <c r="AD11" i="70"/>
  <c r="AD20" i="70"/>
  <c r="AD394" i="70"/>
  <c r="AD326" i="70" s="1"/>
  <c r="AD97" i="70" s="1"/>
  <c r="AD99" i="70" s="1"/>
  <c r="AC157" i="70"/>
  <c r="AC127" i="70"/>
  <c r="AC120" i="70"/>
  <c r="AC156" i="70"/>
  <c r="AC203" i="70"/>
  <c r="AD219" i="70"/>
  <c r="AD220" i="70" s="1"/>
  <c r="AC394" i="70"/>
  <c r="AC219" i="70"/>
  <c r="AC220" i="70" s="1"/>
  <c r="AC307" i="70"/>
  <c r="AC93" i="70" s="1"/>
  <c r="AD203" i="70"/>
  <c r="AE219" i="70"/>
  <c r="AE220" i="70" s="1"/>
  <c r="AC11" i="70"/>
  <c r="AE203" i="70"/>
  <c r="AC24" i="70"/>
  <c r="AC25" i="70" s="1"/>
  <c r="AC20" i="70"/>
  <c r="AF219" i="70"/>
  <c r="AF220" i="70" s="1"/>
  <c r="AP378" i="70"/>
  <c r="AF52" i="70"/>
  <c r="AJ235" i="70"/>
  <c r="AJ237" i="70" s="1"/>
  <c r="J5" i="70"/>
  <c r="J55" i="70" s="1"/>
  <c r="J69" i="70" s="1"/>
  <c r="J89" i="70" s="1"/>
  <c r="K6" i="70"/>
  <c r="L43" i="70"/>
  <c r="L267" i="70" s="1"/>
  <c r="L270" i="70" s="1"/>
  <c r="L273" i="70" s="1"/>
  <c r="L41" i="70"/>
  <c r="L158" i="70"/>
  <c r="L152" i="70"/>
  <c r="L59" i="70" s="1"/>
  <c r="L109" i="70" s="1"/>
  <c r="AF381" i="70"/>
  <c r="AF66" i="70" s="1"/>
  <c r="AE382" i="70"/>
  <c r="AE348" i="70" s="1"/>
  <c r="AE102" i="70" s="1"/>
  <c r="T43" i="70"/>
  <c r="T267" i="70" s="1"/>
  <c r="T270" i="70" s="1"/>
  <c r="T273" i="70" s="1"/>
  <c r="T41" i="70"/>
  <c r="T152" i="70"/>
  <c r="T59" i="70" s="1"/>
  <c r="T109" i="70" s="1"/>
  <c r="T158" i="70"/>
  <c r="W166" i="70"/>
  <c r="W176" i="70" s="1"/>
  <c r="W49" i="70"/>
  <c r="W178" i="70" s="1"/>
  <c r="W48" i="70"/>
  <c r="W45" i="70"/>
  <c r="W44" i="70"/>
  <c r="AQ169" i="70"/>
  <c r="X41" i="70"/>
  <c r="X43" i="70"/>
  <c r="X267" i="70" s="1"/>
  <c r="X270" i="70" s="1"/>
  <c r="X273" i="70" s="1"/>
  <c r="M166" i="70"/>
  <c r="M176" i="70" s="1"/>
  <c r="M49" i="70"/>
  <c r="M178" i="70" s="1"/>
  <c r="M44" i="70"/>
  <c r="M48" i="70"/>
  <c r="M45" i="70"/>
  <c r="G166" i="70"/>
  <c r="G176" i="70" s="1"/>
  <c r="G49" i="70"/>
  <c r="G178" i="70" s="1"/>
  <c r="G48" i="70"/>
  <c r="G45" i="70"/>
  <c r="AC147" i="70"/>
  <c r="AC134" i="70"/>
  <c r="AC131" i="70" s="1"/>
  <c r="X152" i="70"/>
  <c r="X59" i="70" s="1"/>
  <c r="X109" i="70" s="1"/>
  <c r="X158" i="70"/>
  <c r="AF147" i="70"/>
  <c r="AF134" i="70"/>
  <c r="AF131" i="70" s="1"/>
  <c r="O166" i="70"/>
  <c r="O176" i="70" s="1"/>
  <c r="O49" i="70"/>
  <c r="O178" i="70" s="1"/>
  <c r="O48" i="70"/>
  <c r="O45" i="70"/>
  <c r="O44" i="70"/>
  <c r="AD147" i="70"/>
  <c r="AD134" i="70"/>
  <c r="AD131" i="70" s="1"/>
  <c r="AR147" i="70"/>
  <c r="Q44" i="70"/>
  <c r="AM356" i="70"/>
  <c r="AM358" i="70" s="1"/>
  <c r="AN5" i="70"/>
  <c r="AN55" i="70" s="1"/>
  <c r="AN69" i="70" s="1"/>
  <c r="AN89" i="70" s="1"/>
  <c r="AO6" i="70"/>
  <c r="H41" i="70"/>
  <c r="H43" i="70"/>
  <c r="H267" i="70" s="1"/>
  <c r="H270" i="70" s="1"/>
  <c r="H273" i="70" s="1"/>
  <c r="AP169" i="70"/>
  <c r="G368" i="70"/>
  <c r="H356" i="70"/>
  <c r="H358" i="70" s="1"/>
  <c r="AF432" i="70"/>
  <c r="AF435" i="70" s="1"/>
  <c r="AF210" i="70" s="1"/>
  <c r="AF249" i="70" s="1"/>
  <c r="AE210" i="70"/>
  <c r="AE249" i="70" s="1"/>
  <c r="H152" i="70"/>
  <c r="H59" i="70" s="1"/>
  <c r="H109" i="70" s="1"/>
  <c r="H158" i="70"/>
  <c r="P43" i="70"/>
  <c r="P267" i="70" s="1"/>
  <c r="P270" i="70" s="1"/>
  <c r="P273" i="70" s="1"/>
  <c r="P41" i="70"/>
  <c r="S44" i="70"/>
  <c r="P158" i="70"/>
  <c r="P152" i="70"/>
  <c r="P59" i="70" s="1"/>
  <c r="P109" i="70" s="1"/>
  <c r="F166" i="70"/>
  <c r="F176" i="70" s="1"/>
  <c r="F45" i="70"/>
  <c r="F48" i="70"/>
  <c r="F49" i="70"/>
  <c r="F178" i="70" s="1"/>
  <c r="AQ379" i="70"/>
  <c r="AP53" i="70"/>
  <c r="AS429" i="70"/>
  <c r="AS428" i="70"/>
  <c r="AS139" i="70" s="1"/>
  <c r="AS427" i="70"/>
  <c r="AS124" i="70" s="1"/>
  <c r="AE134" i="70"/>
  <c r="AE131" i="70" s="1"/>
  <c r="AE147" i="70"/>
  <c r="N166" i="70"/>
  <c r="N176" i="70" s="1"/>
  <c r="N44" i="70"/>
  <c r="N49" i="70"/>
  <c r="N178" i="70" s="1"/>
  <c r="N48" i="70"/>
  <c r="N45" i="70"/>
  <c r="K5" i="72" l="1"/>
  <c r="L6" i="72"/>
  <c r="C27" i="25"/>
  <c r="D26" i="25"/>
  <c r="C28" i="23"/>
  <c r="D27" i="23"/>
  <c r="Q26" i="21"/>
  <c r="C27" i="21"/>
  <c r="D26" i="21"/>
  <c r="AD35" i="67"/>
  <c r="AE32" i="67"/>
  <c r="C28" i="67"/>
  <c r="D27" i="67"/>
  <c r="AO6" i="51"/>
  <c r="AN5" i="51"/>
  <c r="M5" i="51"/>
  <c r="N6" i="51"/>
  <c r="AP5" i="72"/>
  <c r="AQ6" i="72"/>
  <c r="AH6" i="33"/>
  <c r="AG5" i="33"/>
  <c r="Q6" i="33"/>
  <c r="P5" i="33"/>
  <c r="AE245" i="70"/>
  <c r="AD245" i="70"/>
  <c r="AJ263" i="70"/>
  <c r="AF155" i="70"/>
  <c r="AF169" i="70"/>
  <c r="AF175" i="70" s="1"/>
  <c r="G188" i="70"/>
  <c r="G61" i="70"/>
  <c r="R64" i="70"/>
  <c r="R67" i="70" s="1"/>
  <c r="R75" i="70"/>
  <c r="S64" i="70"/>
  <c r="S67" i="70" s="1"/>
  <c r="S75" i="70"/>
  <c r="J64" i="70"/>
  <c r="J67" i="70" s="1"/>
  <c r="J75" i="70"/>
  <c r="AF122" i="70"/>
  <c r="AF16" i="70" s="1"/>
  <c r="AF18" i="70" s="1"/>
  <c r="AF58" i="70"/>
  <c r="L85" i="70"/>
  <c r="L72" i="70"/>
  <c r="T85" i="70"/>
  <c r="T72" i="70"/>
  <c r="R86" i="70"/>
  <c r="R73" i="70"/>
  <c r="V86" i="70"/>
  <c r="I64" i="70"/>
  <c r="I67" i="70" s="1"/>
  <c r="I75" i="70"/>
  <c r="R87" i="70"/>
  <c r="R74" i="70"/>
  <c r="V87" i="70"/>
  <c r="K64" i="70"/>
  <c r="K67" i="70" s="1"/>
  <c r="K75" i="70"/>
  <c r="AF245" i="70"/>
  <c r="V64" i="70"/>
  <c r="V67" i="70" s="1"/>
  <c r="V75" i="70"/>
  <c r="X86" i="70"/>
  <c r="X73" i="70"/>
  <c r="AB86" i="70"/>
  <c r="AC155" i="70"/>
  <c r="AC169" i="70"/>
  <c r="AC175" i="70" s="1"/>
  <c r="L86" i="70"/>
  <c r="L73" i="70"/>
  <c r="AA64" i="70"/>
  <c r="AA67" i="70" s="1"/>
  <c r="AA75" i="70"/>
  <c r="X85" i="70"/>
  <c r="X72" i="70"/>
  <c r="AB85" i="70"/>
  <c r="Q64" i="70"/>
  <c r="Q67" i="70" s="1"/>
  <c r="Q75" i="70"/>
  <c r="AD155" i="70"/>
  <c r="AD169" i="70"/>
  <c r="AD175" i="70" s="1"/>
  <c r="AE195" i="51"/>
  <c r="H73" i="70"/>
  <c r="M188" i="70"/>
  <c r="M61" i="70"/>
  <c r="W188" i="70"/>
  <c r="W61" i="70"/>
  <c r="AC245" i="70"/>
  <c r="P30" i="33"/>
  <c r="M87" i="73"/>
  <c r="AE155" i="70"/>
  <c r="AE169" i="70"/>
  <c r="AE175" i="70" s="1"/>
  <c r="F188" i="70"/>
  <c r="F61" i="70"/>
  <c r="P86" i="70"/>
  <c r="P73" i="70"/>
  <c r="O188" i="70"/>
  <c r="O61" i="70"/>
  <c r="AC122" i="70"/>
  <c r="AC16" i="70" s="1"/>
  <c r="AC58" i="70"/>
  <c r="AD122" i="70"/>
  <c r="AD16" i="70" s="1"/>
  <c r="AD17" i="70" s="1"/>
  <c r="AD58" i="70"/>
  <c r="Z64" i="70"/>
  <c r="Z67" i="70" s="1"/>
  <c r="Z75" i="70"/>
  <c r="Y64" i="70"/>
  <c r="Y67" i="70" s="1"/>
  <c r="AB78" i="70" a="1"/>
  <c r="AB78" i="70" s="1"/>
  <c r="Y75" i="70"/>
  <c r="AB79" i="70" a="1"/>
  <c r="AB79" i="70" s="1"/>
  <c r="P85" i="70"/>
  <c r="P72" i="70"/>
  <c r="U64" i="70"/>
  <c r="U67" i="70" s="1"/>
  <c r="U75" i="70"/>
  <c r="N188" i="70"/>
  <c r="N61" i="70"/>
  <c r="T86" i="70"/>
  <c r="T73" i="70"/>
  <c r="AE122" i="70"/>
  <c r="AE16" i="70" s="1"/>
  <c r="AE17" i="70" s="1"/>
  <c r="AE58" i="70"/>
  <c r="L88" i="18"/>
  <c r="K87" i="18"/>
  <c r="AF150" i="70"/>
  <c r="K6" i="18"/>
  <c r="U6" i="18" s="1"/>
  <c r="L7" i="18"/>
  <c r="AD191" i="70"/>
  <c r="AD340" i="70"/>
  <c r="AE138" i="70"/>
  <c r="AE141" i="70" s="1"/>
  <c r="AE142" i="70" s="1"/>
  <c r="AE30" i="70"/>
  <c r="AE21" i="70"/>
  <c r="AC138" i="70"/>
  <c r="AC141" i="70" s="1"/>
  <c r="AC142" i="70" s="1"/>
  <c r="AC30" i="70"/>
  <c r="AC32" i="70" s="1"/>
  <c r="AC276" i="70" s="1"/>
  <c r="AC21" i="70"/>
  <c r="AC326" i="70"/>
  <c r="AC97" i="70" s="1"/>
  <c r="AC99" i="70" s="1"/>
  <c r="AC396" i="70"/>
  <c r="AD21" i="70"/>
  <c r="AD30" i="70"/>
  <c r="AD138" i="70"/>
  <c r="AD141" i="70" s="1"/>
  <c r="AD142" i="70" s="1"/>
  <c r="AE191" i="70"/>
  <c r="AE340" i="70"/>
  <c r="AD322" i="70"/>
  <c r="AD94" i="70" s="1"/>
  <c r="AC322" i="70"/>
  <c r="AC94" i="70" s="1"/>
  <c r="AF322" i="70"/>
  <c r="AF94" i="70" s="1"/>
  <c r="AE322" i="70"/>
  <c r="AE94" i="70" s="1"/>
  <c r="AQ378" i="70"/>
  <c r="AP52" i="70"/>
  <c r="L48" i="70"/>
  <c r="L45" i="70"/>
  <c r="L166" i="70"/>
  <c r="L176" i="70" s="1"/>
  <c r="L49" i="70"/>
  <c r="L178" i="70" s="1"/>
  <c r="AF382" i="70"/>
  <c r="AF348" i="70" s="1"/>
  <c r="AF102" i="70" s="1"/>
  <c r="T45" i="70"/>
  <c r="T166" i="70"/>
  <c r="T176" i="70" s="1"/>
  <c r="T61" i="70" s="1"/>
  <c r="V79" i="70" s="1" a="1"/>
  <c r="V79" i="70" s="1"/>
  <c r="T49" i="70"/>
  <c r="T178" i="70" s="1"/>
  <c r="T48" i="70"/>
  <c r="L6" i="70"/>
  <c r="AK229" i="70" s="1"/>
  <c r="K5" i="70"/>
  <c r="K55" i="70" s="1"/>
  <c r="K69" i="70" s="1"/>
  <c r="K89" i="70" s="1"/>
  <c r="AK231" i="70"/>
  <c r="AP181" i="70"/>
  <c r="AS147" i="70"/>
  <c r="AO5" i="70"/>
  <c r="AO55" i="70" s="1"/>
  <c r="AO69" i="70" s="1"/>
  <c r="AO89" i="70" s="1"/>
  <c r="AP6" i="70"/>
  <c r="AC17" i="70"/>
  <c r="AC18" i="70"/>
  <c r="AC13" i="70"/>
  <c r="P166" i="70"/>
  <c r="P176" i="70" s="1"/>
  <c r="P44" i="70"/>
  <c r="P49" i="70"/>
  <c r="P178" i="70" s="1"/>
  <c r="P48" i="70"/>
  <c r="P45" i="70"/>
  <c r="T44" i="70"/>
  <c r="H368" i="70"/>
  <c r="I356" i="70"/>
  <c r="I358" i="70" s="1"/>
  <c r="X166" i="70"/>
  <c r="X176" i="70" s="1"/>
  <c r="X44" i="70"/>
  <c r="X49" i="70"/>
  <c r="X178" i="70" s="1"/>
  <c r="X48" i="70"/>
  <c r="X45" i="70"/>
  <c r="AB44" i="70"/>
  <c r="H49" i="70"/>
  <c r="H178" i="70" s="1"/>
  <c r="H45" i="70"/>
  <c r="H166" i="70"/>
  <c r="H176" i="70" s="1"/>
  <c r="H48" i="70"/>
  <c r="L44" i="70"/>
  <c r="AP185" i="70"/>
  <c r="AP184" i="70"/>
  <c r="AP183" i="70"/>
  <c r="AP63" i="70"/>
  <c r="AR169" i="70"/>
  <c r="AQ175" i="70"/>
  <c r="AR379" i="70"/>
  <c r="AQ53" i="70"/>
  <c r="AN356" i="70"/>
  <c r="AN358" i="70" s="1"/>
  <c r="M6" i="72" l="1"/>
  <c r="L5" i="72"/>
  <c r="C28" i="25"/>
  <c r="D27" i="25"/>
  <c r="C29" i="23"/>
  <c r="D28" i="23"/>
  <c r="Q27" i="21"/>
  <c r="C28" i="21"/>
  <c r="D27" i="21"/>
  <c r="D28" i="67"/>
  <c r="C29" i="67"/>
  <c r="AE35" i="67"/>
  <c r="AF32" i="67"/>
  <c r="N5" i="51"/>
  <c r="O6" i="51"/>
  <c r="AP65" i="51"/>
  <c r="AP87" i="51"/>
  <c r="AP79" i="51"/>
  <c r="AP71" i="51"/>
  <c r="AP6" i="51"/>
  <c r="AP73" i="51" s="1"/>
  <c r="AP94" i="51"/>
  <c r="AP78" i="51"/>
  <c r="AO5" i="51"/>
  <c r="AR6" i="72"/>
  <c r="AQ5" i="72"/>
  <c r="R6" i="33"/>
  <c r="Q5" i="33"/>
  <c r="AI6" i="33"/>
  <c r="AI5" i="33" s="1"/>
  <c r="AH5" i="33"/>
  <c r="AD13" i="70"/>
  <c r="AD14" i="70" s="1"/>
  <c r="AD18" i="70"/>
  <c r="AE13" i="70"/>
  <c r="AE14" i="70" s="1"/>
  <c r="AE18" i="70"/>
  <c r="AD32" i="70"/>
  <c r="AD276" i="70" s="1"/>
  <c r="AF32" i="70"/>
  <c r="AF276" i="70" s="1"/>
  <c r="AF13" i="70"/>
  <c r="AF14" i="70" s="1"/>
  <c r="AF17" i="70"/>
  <c r="AE32" i="70"/>
  <c r="AE276" i="70" s="1"/>
  <c r="L188" i="70"/>
  <c r="L61" i="70"/>
  <c r="U78" i="70" a="1"/>
  <c r="U78" i="70" s="1"/>
  <c r="AD85" i="70"/>
  <c r="AD72" i="70"/>
  <c r="W64" i="70"/>
  <c r="W67" i="70" s="1"/>
  <c r="W75" i="70"/>
  <c r="U79" i="70" a="1"/>
  <c r="U79" i="70" s="1"/>
  <c r="AC323" i="70"/>
  <c r="F64" i="70"/>
  <c r="F67" i="70" s="1"/>
  <c r="F75" i="70"/>
  <c r="N64" i="70"/>
  <c r="N67" i="70" s="1"/>
  <c r="N75" i="70"/>
  <c r="AC85" i="70"/>
  <c r="AC72" i="70"/>
  <c r="M64" i="70"/>
  <c r="M67" i="70" s="1"/>
  <c r="M75" i="70"/>
  <c r="G64" i="70"/>
  <c r="G67" i="70" s="1"/>
  <c r="G75" i="70"/>
  <c r="T64" i="70"/>
  <c r="T67" i="70" s="1"/>
  <c r="W78" i="70" a="1"/>
  <c r="W78" i="70" s="1"/>
  <c r="W79" i="70" a="1"/>
  <c r="W79" i="70" s="1"/>
  <c r="T75" i="70"/>
  <c r="T78" i="70" a="1"/>
  <c r="T78" i="70" s="1"/>
  <c r="V78" i="70" a="1"/>
  <c r="V78" i="70" s="1"/>
  <c r="H188" i="70"/>
  <c r="H61" i="70"/>
  <c r="AF144" i="70"/>
  <c r="AF60" i="70"/>
  <c r="O64" i="70"/>
  <c r="O67" i="70" s="1"/>
  <c r="O75" i="70"/>
  <c r="T79" i="70" a="1"/>
  <c r="T79" i="70" s="1"/>
  <c r="AF85" i="70"/>
  <c r="AF72" i="70"/>
  <c r="P188" i="70"/>
  <c r="P61" i="70"/>
  <c r="Q79" i="70" s="1" a="1"/>
  <c r="Q79" i="70" s="1"/>
  <c r="X188" i="70"/>
  <c r="X61" i="70"/>
  <c r="Z79" i="70" s="1" a="1"/>
  <c r="Z79" i="70" s="1"/>
  <c r="AF195" i="51"/>
  <c r="AE85" i="70"/>
  <c r="AE72" i="70"/>
  <c r="AC14" i="70"/>
  <c r="AC294" i="70"/>
  <c r="AC293" i="70"/>
  <c r="AF158" i="70"/>
  <c r="AF154" i="70" s="1"/>
  <c r="AC150" i="70"/>
  <c r="L6" i="18"/>
  <c r="V6" i="18" s="1"/>
  <c r="M88" i="18"/>
  <c r="M87" i="18" s="1"/>
  <c r="L87" i="18"/>
  <c r="AD150" i="70"/>
  <c r="AD60" i="70" s="1"/>
  <c r="AC191" i="70"/>
  <c r="AC340" i="70"/>
  <c r="AD393" i="70"/>
  <c r="AD399" i="70" s="1"/>
  <c r="AC206" i="70"/>
  <c r="AC244" i="70" s="1"/>
  <c r="AC246" i="70" s="1"/>
  <c r="AE150" i="70"/>
  <c r="AE60" i="70" s="1"/>
  <c r="AK206" i="70"/>
  <c r="AK232" i="70"/>
  <c r="AK203" i="70"/>
  <c r="AR378" i="70"/>
  <c r="AQ52" i="70"/>
  <c r="AQ187" i="70"/>
  <c r="AK226" i="70"/>
  <c r="AK222" i="70"/>
  <c r="AK218" i="70"/>
  <c r="AK209" i="70"/>
  <c r="AK200" i="70"/>
  <c r="M6" i="70"/>
  <c r="L5" i="70"/>
  <c r="L55" i="70" s="1"/>
  <c r="L69" i="70" s="1"/>
  <c r="L89" i="70" s="1"/>
  <c r="AK216" i="70"/>
  <c r="AK233" i="70"/>
  <c r="AK219" i="70"/>
  <c r="AK210" i="70"/>
  <c r="AK435" i="70" s="1"/>
  <c r="AL432" i="70" s="1"/>
  <c r="AK197" i="70"/>
  <c r="AK248" i="70" s="1"/>
  <c r="AK224" i="70"/>
  <c r="AK198" i="70"/>
  <c r="AK199" i="70"/>
  <c r="AK214" i="70"/>
  <c r="AK217" i="70"/>
  <c r="AK202" i="70"/>
  <c r="AK215" i="70"/>
  <c r="AK211" i="70"/>
  <c r="AK225" i="70"/>
  <c r="AK207" i="70"/>
  <c r="AK223" i="70"/>
  <c r="AK201" i="70"/>
  <c r="AK208" i="70"/>
  <c r="J356" i="70"/>
  <c r="J358" i="70" s="1"/>
  <c r="I368" i="70"/>
  <c r="AQ184" i="70"/>
  <c r="AQ183" i="70"/>
  <c r="AQ182" i="70"/>
  <c r="AQ185" i="70"/>
  <c r="AQ63" i="70"/>
  <c r="AQ186" i="70"/>
  <c r="AS169" i="70"/>
  <c r="AS379" i="70"/>
  <c r="AR53" i="70"/>
  <c r="AR181" i="70" s="1"/>
  <c r="AR175" i="70"/>
  <c r="AC34" i="70"/>
  <c r="AC114" i="72"/>
  <c r="AC33" i="70"/>
  <c r="AQ6" i="70"/>
  <c r="AP5" i="70"/>
  <c r="AP55" i="70" s="1"/>
  <c r="AP69" i="70" s="1"/>
  <c r="AP89" i="70" s="1"/>
  <c r="AD114" i="72"/>
  <c r="AD33" i="70"/>
  <c r="AD34" i="70"/>
  <c r="AQ181" i="70"/>
  <c r="AF33" i="70"/>
  <c r="AF34" i="70"/>
  <c r="AF114" i="72"/>
  <c r="AO356" i="70"/>
  <c r="AO358" i="70" s="1"/>
  <c r="AP70" i="51" l="1"/>
  <c r="AP67" i="51"/>
  <c r="AP75" i="51"/>
  <c r="AP85" i="51"/>
  <c r="AP83" i="51"/>
  <c r="AP60" i="51"/>
  <c r="AP91" i="51"/>
  <c r="AP68" i="51"/>
  <c r="AP57" i="51"/>
  <c r="N6" i="72"/>
  <c r="M5" i="72"/>
  <c r="AD294" i="70"/>
  <c r="AE34" i="70"/>
  <c r="C29" i="25"/>
  <c r="D28" i="25"/>
  <c r="C30" i="23"/>
  <c r="D29" i="23"/>
  <c r="Q28" i="21"/>
  <c r="C29" i="21"/>
  <c r="D28" i="21"/>
  <c r="AF35" i="67"/>
  <c r="AG32" i="67"/>
  <c r="C30" i="67"/>
  <c r="D29" i="67"/>
  <c r="AP86" i="51"/>
  <c r="AP76" i="51"/>
  <c r="AP58" i="51"/>
  <c r="AP64" i="51"/>
  <c r="AQ87" i="51"/>
  <c r="AP5" i="51"/>
  <c r="AQ6" i="51"/>
  <c r="AQ91" i="51" s="1"/>
  <c r="AP84" i="51"/>
  <c r="AP66" i="51"/>
  <c r="AP72" i="51"/>
  <c r="AP81" i="51"/>
  <c r="AP61" i="51"/>
  <c r="AP93" i="51"/>
  <c r="AP74" i="51"/>
  <c r="AP80" i="51"/>
  <c r="AP92" i="51"/>
  <c r="AP69" i="51"/>
  <c r="AP88" i="51"/>
  <c r="AP82" i="51"/>
  <c r="AP89" i="51"/>
  <c r="P6" i="51"/>
  <c r="O5" i="51"/>
  <c r="AP62" i="51"/>
  <c r="AP77" i="51"/>
  <c r="AP63" i="51"/>
  <c r="AP59" i="51"/>
  <c r="AP90" i="51"/>
  <c r="R79" i="70" a="1"/>
  <c r="R79" i="70" s="1"/>
  <c r="AR5" i="72"/>
  <c r="AS6" i="72"/>
  <c r="AS5" i="72" s="1"/>
  <c r="AE294" i="70"/>
  <c r="AD293" i="70"/>
  <c r="AD295" i="70" s="1"/>
  <c r="AE293" i="70"/>
  <c r="R5" i="33"/>
  <c r="S6" i="33"/>
  <c r="AF293" i="70"/>
  <c r="AF294" i="70"/>
  <c r="AE33" i="70"/>
  <c r="AE114" i="72"/>
  <c r="AK234" i="70"/>
  <c r="AK253" i="70" s="1"/>
  <c r="AK258" i="70"/>
  <c r="R78" i="70" a="1"/>
  <c r="R78" i="70" s="1"/>
  <c r="AK249" i="70"/>
  <c r="AK396" i="70"/>
  <c r="AL393" i="70" s="1"/>
  <c r="AL399" i="70" s="1"/>
  <c r="AK244" i="70"/>
  <c r="AD87" i="70"/>
  <c r="AD74" i="70"/>
  <c r="H64" i="70"/>
  <c r="H67" i="70" s="1"/>
  <c r="K79" i="70" a="1"/>
  <c r="K79" i="70" s="1"/>
  <c r="K78" i="70" a="1"/>
  <c r="K78" i="70" s="1"/>
  <c r="H75" i="70"/>
  <c r="J78" i="70" a="1"/>
  <c r="J78" i="70" s="1"/>
  <c r="I79" i="70" a="1"/>
  <c r="I79" i="70" s="1"/>
  <c r="AK257" i="70"/>
  <c r="AE87" i="70"/>
  <c r="AE74" i="70"/>
  <c r="J79" i="70" a="1"/>
  <c r="J79" i="70" s="1"/>
  <c r="Q78" i="70" a="1"/>
  <c r="Q78" i="70" s="1"/>
  <c r="X64" i="70"/>
  <c r="X67" i="70" s="1"/>
  <c r="AA79" i="70" a="1"/>
  <c r="AA79" i="70" s="1"/>
  <c r="X75" i="70"/>
  <c r="AA78" i="70" a="1"/>
  <c r="AA78" i="70" s="1"/>
  <c r="X79" i="70" a="1"/>
  <c r="X79" i="70" s="1"/>
  <c r="AK245" i="70"/>
  <c r="L64" i="70"/>
  <c r="L67" i="70" s="1"/>
  <c r="O78" i="70" a="1"/>
  <c r="O78" i="70" s="1"/>
  <c r="L75" i="70"/>
  <c r="O79" i="70" a="1"/>
  <c r="O79" i="70" s="1"/>
  <c r="L78" i="70" a="1"/>
  <c r="L78" i="70" s="1"/>
  <c r="N79" i="70" a="1"/>
  <c r="N79" i="70" s="1"/>
  <c r="L79" i="70" a="1"/>
  <c r="L79" i="70" s="1"/>
  <c r="N78" i="70" a="1"/>
  <c r="N78" i="70" s="1"/>
  <c r="M79" i="70" a="1"/>
  <c r="M79" i="70" s="1"/>
  <c r="M78" i="70" a="1"/>
  <c r="M78" i="70" s="1"/>
  <c r="AC152" i="70"/>
  <c r="AC59" i="70" s="1"/>
  <c r="AC60" i="70"/>
  <c r="Y79" i="70" a="1"/>
  <c r="Y79" i="70" s="1"/>
  <c r="P64" i="70"/>
  <c r="P67" i="70" s="1"/>
  <c r="S79" i="70" a="1"/>
  <c r="S79" i="70" s="1"/>
  <c r="P75" i="70"/>
  <c r="S78" i="70" a="1"/>
  <c r="S78" i="70" s="1"/>
  <c r="P78" i="70" a="1"/>
  <c r="P78" i="70" s="1"/>
  <c r="Z78" i="70" a="1"/>
  <c r="Z78" i="70" s="1"/>
  <c r="AK254" i="70"/>
  <c r="AK243" i="70"/>
  <c r="X78" i="70" a="1"/>
  <c r="X78" i="70" s="1"/>
  <c r="AF87" i="70"/>
  <c r="AF74" i="70"/>
  <c r="P79" i="70" a="1"/>
  <c r="P79" i="70" s="1"/>
  <c r="I78" i="70" a="1"/>
  <c r="I78" i="70" s="1"/>
  <c r="Y78" i="70" a="1"/>
  <c r="Y78" i="70" s="1"/>
  <c r="AC295" i="70"/>
  <c r="AF295" i="70"/>
  <c r="AC144" i="70"/>
  <c r="AC158" i="70"/>
  <c r="AC154" i="70" s="1"/>
  <c r="AE158" i="70"/>
  <c r="AE154" i="70" s="1"/>
  <c r="AE144" i="70"/>
  <c r="AD158" i="70"/>
  <c r="AD154" i="70" s="1"/>
  <c r="AD144" i="70"/>
  <c r="AD306" i="70"/>
  <c r="AD92" i="70" s="1"/>
  <c r="AR187" i="70"/>
  <c r="AK220" i="70"/>
  <c r="AK227" i="70" s="1"/>
  <c r="AS378" i="70"/>
  <c r="AS52" i="70" s="1"/>
  <c r="AR52" i="70"/>
  <c r="N6" i="70"/>
  <c r="M5" i="70"/>
  <c r="M55" i="70" s="1"/>
  <c r="M69" i="70" s="1"/>
  <c r="M89" i="70" s="1"/>
  <c r="AK368" i="70"/>
  <c r="AK204" i="70"/>
  <c r="AK212" i="70" s="1"/>
  <c r="AS175" i="70"/>
  <c r="J368" i="70"/>
  <c r="K356" i="70"/>
  <c r="K358" i="70" s="1"/>
  <c r="AP356" i="70"/>
  <c r="AQ5" i="70"/>
  <c r="AQ55" i="70" s="1"/>
  <c r="AQ69" i="70" s="1"/>
  <c r="AQ89" i="70" s="1"/>
  <c r="AR6" i="70"/>
  <c r="AR184" i="70"/>
  <c r="AR183" i="70"/>
  <c r="AR185" i="70"/>
  <c r="AR63" i="70"/>
  <c r="AR182" i="70"/>
  <c r="AR186" i="70"/>
  <c r="AS53" i="70"/>
  <c r="AS181" i="70" s="1"/>
  <c r="AQ92" i="51" l="1"/>
  <c r="AQ57" i="51"/>
  <c r="AQ90" i="51"/>
  <c r="AQ65" i="51"/>
  <c r="AQ94" i="51"/>
  <c r="AQ60" i="51"/>
  <c r="AQ76" i="51"/>
  <c r="AP96" i="51"/>
  <c r="AQ66" i="51"/>
  <c r="AE295" i="70"/>
  <c r="N5" i="72"/>
  <c r="O6" i="72"/>
  <c r="D29" i="25"/>
  <c r="C30" i="25"/>
  <c r="C31" i="23"/>
  <c r="D30" i="23"/>
  <c r="Q29" i="21"/>
  <c r="C30" i="21"/>
  <c r="D29" i="21"/>
  <c r="C31" i="67"/>
  <c r="D30" i="67"/>
  <c r="AG35" i="67"/>
  <c r="AH32" i="67"/>
  <c r="AQ61" i="51"/>
  <c r="AQ68" i="51"/>
  <c r="AQ58" i="51"/>
  <c r="AQ88" i="51"/>
  <c r="AR87" i="51"/>
  <c r="AR86" i="51"/>
  <c r="AR78" i="51"/>
  <c r="AQ5" i="51"/>
  <c r="AR6" i="51"/>
  <c r="AR90" i="51" s="1"/>
  <c r="AR64" i="51"/>
  <c r="AR84" i="51"/>
  <c r="AR68" i="51"/>
  <c r="AR58" i="51"/>
  <c r="AQ69" i="51"/>
  <c r="AQ84" i="51"/>
  <c r="AQ74" i="51"/>
  <c r="AQ93" i="51"/>
  <c r="Q6" i="51"/>
  <c r="P5" i="51"/>
  <c r="AQ62" i="51"/>
  <c r="AQ73" i="51"/>
  <c r="AQ59" i="51"/>
  <c r="AQ82" i="51"/>
  <c r="AQ70" i="51"/>
  <c r="AQ77" i="51"/>
  <c r="AQ67" i="51"/>
  <c r="AQ63" i="51"/>
  <c r="AQ72" i="51"/>
  <c r="AQ78" i="51"/>
  <c r="AQ81" i="51"/>
  <c r="AQ75" i="51"/>
  <c r="AQ71" i="51"/>
  <c r="AQ80" i="51"/>
  <c r="AQ86" i="51"/>
  <c r="AQ85" i="51"/>
  <c r="AQ83" i="51"/>
  <c r="AQ79" i="51"/>
  <c r="AQ89" i="51"/>
  <c r="S5" i="33"/>
  <c r="T6" i="33"/>
  <c r="AK246" i="70"/>
  <c r="AK250" i="70" s="1"/>
  <c r="AK261" i="70" s="1"/>
  <c r="AK255" i="70"/>
  <c r="AK259" i="70" s="1"/>
  <c r="AK268" i="70"/>
  <c r="AK278" i="70"/>
  <c r="AC87" i="70"/>
  <c r="AC74" i="70"/>
  <c r="AC86" i="70"/>
  <c r="AC73" i="70"/>
  <c r="AD323" i="70"/>
  <c r="AD151" i="70"/>
  <c r="AD152" i="70" s="1"/>
  <c r="AD59" i="70" s="1"/>
  <c r="AD396" i="70"/>
  <c r="AK235" i="70"/>
  <c r="AK237" i="70" s="1"/>
  <c r="O6" i="70"/>
  <c r="N5" i="70"/>
  <c r="N55" i="70" s="1"/>
  <c r="N69" i="70" s="1"/>
  <c r="N89" i="70" s="1"/>
  <c r="AR5" i="70"/>
  <c r="AR55" i="70" s="1"/>
  <c r="AR69" i="70" s="1"/>
  <c r="AR89" i="70" s="1"/>
  <c r="AS6" i="70"/>
  <c r="AS5" i="70" s="1"/>
  <c r="AS55" i="70" s="1"/>
  <c r="AS69" i="70" s="1"/>
  <c r="AS89" i="70" s="1"/>
  <c r="AS187" i="70"/>
  <c r="AS183" i="70"/>
  <c r="AS185" i="70"/>
  <c r="AS184" i="70"/>
  <c r="AS63" i="70"/>
  <c r="AS182" i="70"/>
  <c r="AS186" i="70"/>
  <c r="K368" i="70"/>
  <c r="L356" i="70"/>
  <c r="L358" i="70" s="1"/>
  <c r="AR91" i="51" l="1"/>
  <c r="AR74" i="51"/>
  <c r="AR67" i="51"/>
  <c r="AR92" i="51"/>
  <c r="AR61" i="51"/>
  <c r="AR83" i="51"/>
  <c r="AR69" i="51"/>
  <c r="AR89" i="51"/>
  <c r="AR62" i="51"/>
  <c r="P6" i="72"/>
  <c r="O5" i="72"/>
  <c r="C31" i="25"/>
  <c r="D30" i="25"/>
  <c r="D31" i="23"/>
  <c r="C32" i="23"/>
  <c r="Q30" i="21"/>
  <c r="C31" i="21"/>
  <c r="D30" i="21"/>
  <c r="AH35" i="67"/>
  <c r="AI32" i="67"/>
  <c r="C32" i="67"/>
  <c r="D31" i="67"/>
  <c r="R6" i="51"/>
  <c r="Q5" i="51"/>
  <c r="AR76" i="51"/>
  <c r="AR75" i="51"/>
  <c r="AR70" i="51"/>
  <c r="AR88" i="51"/>
  <c r="AR77" i="51"/>
  <c r="AR72" i="51"/>
  <c r="AR57" i="51"/>
  <c r="AR94" i="51"/>
  <c r="AR93" i="51"/>
  <c r="AR85" i="51"/>
  <c r="AR80" i="51"/>
  <c r="AR63" i="51"/>
  <c r="AS6" i="51"/>
  <c r="AS5" i="51" s="1"/>
  <c r="AR5" i="51"/>
  <c r="AR73" i="51"/>
  <c r="AR71" i="51"/>
  <c r="AR82" i="51"/>
  <c r="AR60" i="51"/>
  <c r="AR59" i="51"/>
  <c r="AR81" i="51"/>
  <c r="AR79" i="51"/>
  <c r="T5" i="33"/>
  <c r="U6" i="33"/>
  <c r="AK263" i="70"/>
  <c r="AD86" i="70"/>
  <c r="AD73" i="70"/>
  <c r="AE393" i="70"/>
  <c r="AE399" i="70" s="1"/>
  <c r="AD206" i="70"/>
  <c r="AD244" i="70" s="1"/>
  <c r="AD246" i="70" s="1"/>
  <c r="P6" i="70"/>
  <c r="AL222" i="70" s="1"/>
  <c r="O5" i="70"/>
  <c r="O55" i="70" s="1"/>
  <c r="O69" i="70" s="1"/>
  <c r="O89" i="70" s="1"/>
  <c r="L368" i="70"/>
  <c r="M356" i="70"/>
  <c r="M358" i="70" s="1"/>
  <c r="AS66" i="51" l="1"/>
  <c r="AS82" i="51"/>
  <c r="AS78" i="51"/>
  <c r="AS90" i="51"/>
  <c r="AS86" i="51"/>
  <c r="AS74" i="51"/>
  <c r="AS91" i="51"/>
  <c r="AS62" i="51"/>
  <c r="AS59" i="51"/>
  <c r="AS71" i="51"/>
  <c r="AS93" i="51"/>
  <c r="AS64" i="51"/>
  <c r="AS81" i="51"/>
  <c r="AS60" i="51"/>
  <c r="AS72" i="51"/>
  <c r="AS70" i="51"/>
  <c r="AS63" i="51"/>
  <c r="AS58" i="51"/>
  <c r="AS76" i="51"/>
  <c r="AS80" i="51"/>
  <c r="Q6" i="72"/>
  <c r="P5" i="72"/>
  <c r="C32" i="25"/>
  <c r="D31" i="25"/>
  <c r="C33" i="23"/>
  <c r="D32" i="23"/>
  <c r="Q31" i="21"/>
  <c r="D31" i="21"/>
  <c r="C32" i="21"/>
  <c r="D32" i="67"/>
  <c r="C33" i="67"/>
  <c r="AI35" i="67"/>
  <c r="AJ32" i="67"/>
  <c r="AS57" i="51"/>
  <c r="AS84" i="51"/>
  <c r="AS75" i="51"/>
  <c r="AS61" i="51"/>
  <c r="AS94" i="51"/>
  <c r="AS65" i="51"/>
  <c r="AS88" i="51"/>
  <c r="AS79" i="51"/>
  <c r="AS69" i="51"/>
  <c r="AS89" i="51"/>
  <c r="S6" i="51"/>
  <c r="R5" i="51"/>
  <c r="AS73" i="51"/>
  <c r="AS92" i="51"/>
  <c r="AS83" i="51"/>
  <c r="AS77" i="51"/>
  <c r="AS87" i="51"/>
  <c r="AS85" i="51"/>
  <c r="U5" i="33"/>
  <c r="V6" i="33"/>
  <c r="AE306" i="70"/>
  <c r="AE92" i="70" s="1"/>
  <c r="AE396" i="70"/>
  <c r="AL218" i="70"/>
  <c r="AL216" i="70"/>
  <c r="AL198" i="70"/>
  <c r="AL223" i="70"/>
  <c r="AL225" i="70"/>
  <c r="AL254" i="70" s="1"/>
  <c r="AL226" i="70"/>
  <c r="Q6" i="70"/>
  <c r="P5" i="70"/>
  <c r="P55" i="70" s="1"/>
  <c r="P69" i="70" s="1"/>
  <c r="P89" i="70" s="1"/>
  <c r="AL224" i="70"/>
  <c r="AL219" i="70"/>
  <c r="AL197" i="70"/>
  <c r="AL210" i="70"/>
  <c r="AL435" i="70" s="1"/>
  <c r="AM432" i="70" s="1"/>
  <c r="AL211" i="70"/>
  <c r="AL209" i="70"/>
  <c r="AL206" i="70"/>
  <c r="AL214" i="70"/>
  <c r="AL257" i="70" s="1"/>
  <c r="AL202" i="70"/>
  <c r="AL208" i="70"/>
  <c r="AL231" i="70"/>
  <c r="AL203" i="70"/>
  <c r="AL215" i="70"/>
  <c r="AL229" i="70"/>
  <c r="AL232" i="70"/>
  <c r="AL200" i="70"/>
  <c r="AL201" i="70"/>
  <c r="AL207" i="70"/>
  <c r="AL233" i="70"/>
  <c r="AL217" i="70"/>
  <c r="M368" i="70"/>
  <c r="N356" i="70"/>
  <c r="N358" i="70" s="1"/>
  <c r="AL249" i="70" l="1"/>
  <c r="R6" i="72"/>
  <c r="Q5" i="72"/>
  <c r="C33" i="25"/>
  <c r="D32" i="25"/>
  <c r="C34" i="23"/>
  <c r="D33" i="23"/>
  <c r="Q32" i="21"/>
  <c r="C33" i="21"/>
  <c r="D32" i="21"/>
  <c r="AJ35" i="67"/>
  <c r="AK32" i="67"/>
  <c r="C34" i="67"/>
  <c r="D33" i="67"/>
  <c r="T6" i="51"/>
  <c r="S5" i="51"/>
  <c r="AL258" i="70"/>
  <c r="W6" i="33"/>
  <c r="V5" i="33"/>
  <c r="AL243" i="70"/>
  <c r="AL396" i="70"/>
  <c r="AM393" i="70" s="1"/>
  <c r="AM399" i="70" s="1"/>
  <c r="AL244" i="70"/>
  <c r="AL278" i="70"/>
  <c r="AL268" i="70"/>
  <c r="AL368" i="70"/>
  <c r="AL248" i="70"/>
  <c r="AE206" i="70"/>
  <c r="AE244" i="70" s="1"/>
  <c r="AE246" i="70" s="1"/>
  <c r="AF393" i="70"/>
  <c r="AF399" i="70" s="1"/>
  <c r="AE323" i="70"/>
  <c r="AE151" i="70"/>
  <c r="AE152" i="70" s="1"/>
  <c r="AE59" i="70" s="1"/>
  <c r="AL220" i="70"/>
  <c r="AL227" i="70" s="1"/>
  <c r="Q5" i="70"/>
  <c r="Q55" i="70" s="1"/>
  <c r="Q69" i="70" s="1"/>
  <c r="Q89" i="70" s="1"/>
  <c r="R6" i="70"/>
  <c r="AL234" i="70"/>
  <c r="AL253" i="70" s="1"/>
  <c r="AL255" i="70" s="1"/>
  <c r="AL259" i="70" s="1"/>
  <c r="N368" i="70"/>
  <c r="O356" i="70"/>
  <c r="O358" i="70" s="1"/>
  <c r="S6" i="72" l="1"/>
  <c r="R5" i="72"/>
  <c r="D33" i="25"/>
  <c r="C34" i="25"/>
  <c r="C35" i="23"/>
  <c r="D34" i="23"/>
  <c r="Q33" i="21"/>
  <c r="C34" i="21"/>
  <c r="D33" i="21"/>
  <c r="AK35" i="67"/>
  <c r="AL32" i="67"/>
  <c r="C35" i="67"/>
  <c r="D34" i="67"/>
  <c r="U6" i="51"/>
  <c r="T5" i="51"/>
  <c r="W5" i="33"/>
  <c r="X6" i="33"/>
  <c r="X5" i="33" s="1"/>
  <c r="AE86" i="70"/>
  <c r="AE73" i="70"/>
  <c r="AF306" i="70"/>
  <c r="AF92" i="70" s="1"/>
  <c r="AL235" i="70"/>
  <c r="R5" i="70"/>
  <c r="R55" i="70" s="1"/>
  <c r="R69" i="70" s="1"/>
  <c r="R89" i="70" s="1"/>
  <c r="S6" i="70"/>
  <c r="O368" i="70"/>
  <c r="P356" i="70"/>
  <c r="P358" i="70" s="1"/>
  <c r="T6" i="72" l="1"/>
  <c r="S5" i="72"/>
  <c r="C35" i="25"/>
  <c r="D34" i="25"/>
  <c r="D35" i="23"/>
  <c r="C36" i="23"/>
  <c r="Q34" i="21"/>
  <c r="C35" i="21"/>
  <c r="D34" i="21"/>
  <c r="AL35" i="67"/>
  <c r="AM32" i="67"/>
  <c r="D35" i="67"/>
  <c r="C36" i="67"/>
  <c r="V6" i="51"/>
  <c r="U5" i="51"/>
  <c r="AF396" i="70"/>
  <c r="AF206" i="70" s="1"/>
  <c r="AF244" i="70" s="1"/>
  <c r="AF246" i="70" s="1"/>
  <c r="AF323" i="70"/>
  <c r="AF151" i="70"/>
  <c r="AF152" i="70" s="1"/>
  <c r="AF59" i="70" s="1"/>
  <c r="T6" i="70"/>
  <c r="AM216" i="70" s="1"/>
  <c r="S5" i="70"/>
  <c r="S55" i="70" s="1"/>
  <c r="S69" i="70" s="1"/>
  <c r="S89" i="70" s="1"/>
  <c r="P368" i="70"/>
  <c r="Q356" i="70"/>
  <c r="Q358" i="70" s="1"/>
  <c r="U6" i="72" l="1"/>
  <c r="T5" i="72"/>
  <c r="C36" i="25"/>
  <c r="D35" i="25"/>
  <c r="C37" i="23"/>
  <c r="D36" i="23"/>
  <c r="Q35" i="21"/>
  <c r="D35" i="21"/>
  <c r="C36" i="21"/>
  <c r="AM35" i="67"/>
  <c r="AN32" i="67"/>
  <c r="AN35" i="67" s="1"/>
  <c r="C37" i="67"/>
  <c r="D36" i="67"/>
  <c r="W6" i="51"/>
  <c r="V5" i="51"/>
  <c r="AM203" i="70"/>
  <c r="AM207" i="70"/>
  <c r="AM225" i="70"/>
  <c r="AM254" i="70" s="1"/>
  <c r="AF86" i="70"/>
  <c r="AF73" i="70"/>
  <c r="AM218" i="70"/>
  <c r="AM217" i="70"/>
  <c r="AM224" i="70"/>
  <c r="U6" i="70"/>
  <c r="T5" i="70"/>
  <c r="T55" i="70" s="1"/>
  <c r="T69" i="70" s="1"/>
  <c r="T89" i="70" s="1"/>
  <c r="AM197" i="70"/>
  <c r="AM208" i="70"/>
  <c r="AM229" i="70"/>
  <c r="AM201" i="70"/>
  <c r="AM226" i="70"/>
  <c r="AM202" i="70"/>
  <c r="R356" i="70"/>
  <c r="R358" i="70" s="1"/>
  <c r="Q368" i="70"/>
  <c r="U5" i="72" l="1"/>
  <c r="V6" i="72"/>
  <c r="C37" i="25"/>
  <c r="D36" i="25"/>
  <c r="C38" i="23"/>
  <c r="D37" i="23"/>
  <c r="Q36" i="21"/>
  <c r="C37" i="21"/>
  <c r="D36" i="21"/>
  <c r="C38" i="67"/>
  <c r="D37" i="67"/>
  <c r="W5" i="51"/>
  <c r="X6" i="51"/>
  <c r="AM258" i="70"/>
  <c r="AM278" i="70"/>
  <c r="AM268" i="70"/>
  <c r="AM368" i="70"/>
  <c r="AM248" i="70"/>
  <c r="V6" i="70"/>
  <c r="U5" i="70"/>
  <c r="U55" i="70" s="1"/>
  <c r="U69" i="70" s="1"/>
  <c r="U89" i="70" s="1"/>
  <c r="R368" i="70"/>
  <c r="S356" i="70"/>
  <c r="S358" i="70" s="1"/>
  <c r="W6" i="72" l="1"/>
  <c r="V5" i="72"/>
  <c r="D37" i="25"/>
  <c r="C38" i="25"/>
  <c r="C39" i="23"/>
  <c r="D38" i="23"/>
  <c r="Q37" i="21"/>
  <c r="C38" i="21"/>
  <c r="D37" i="21"/>
  <c r="C39" i="67"/>
  <c r="D38" i="67"/>
  <c r="X5" i="51"/>
  <c r="Y6" i="51"/>
  <c r="V5" i="70"/>
  <c r="V55" i="70" s="1"/>
  <c r="V69" i="70" s="1"/>
  <c r="V89" i="70" s="1"/>
  <c r="W6" i="70"/>
  <c r="S368" i="70"/>
  <c r="T356" i="70"/>
  <c r="T358" i="70" s="1"/>
  <c r="W5" i="72" l="1"/>
  <c r="X6" i="72"/>
  <c r="C39" i="25"/>
  <c r="D38" i="25"/>
  <c r="C40" i="23"/>
  <c r="D39" i="23"/>
  <c r="Q38" i="21"/>
  <c r="C39" i="21"/>
  <c r="D38" i="21"/>
  <c r="D39" i="67"/>
  <c r="C40" i="67"/>
  <c r="Z6" i="51"/>
  <c r="Y5" i="51"/>
  <c r="X6" i="70"/>
  <c r="W5" i="70"/>
  <c r="W55" i="70" s="1"/>
  <c r="W69" i="70" s="1"/>
  <c r="W89" i="70" s="1"/>
  <c r="T368" i="70"/>
  <c r="U356" i="70"/>
  <c r="U358" i="70" s="1"/>
  <c r="X5" i="72" l="1"/>
  <c r="Y6" i="72"/>
  <c r="C40" i="25"/>
  <c r="D39" i="25"/>
  <c r="C41" i="23"/>
  <c r="D40" i="23"/>
  <c r="Q39" i="21"/>
  <c r="C40" i="21"/>
  <c r="D39" i="21"/>
  <c r="C41" i="67"/>
  <c r="D40" i="67"/>
  <c r="AA6" i="51"/>
  <c r="Z5" i="51"/>
  <c r="X5" i="70"/>
  <c r="X55" i="70" s="1"/>
  <c r="X69" i="70" s="1"/>
  <c r="X89" i="70" s="1"/>
  <c r="Y6" i="70"/>
  <c r="U368" i="70"/>
  <c r="V356" i="70"/>
  <c r="V358" i="70" s="1"/>
  <c r="Z6" i="72" l="1"/>
  <c r="Y5" i="72"/>
  <c r="C41" i="25"/>
  <c r="D40" i="25"/>
  <c r="C42" i="23"/>
  <c r="D41" i="23"/>
  <c r="Q40" i="21"/>
  <c r="C41" i="21"/>
  <c r="D40" i="21"/>
  <c r="C42" i="67"/>
  <c r="D41" i="67"/>
  <c r="AA5" i="51"/>
  <c r="AB6" i="51"/>
  <c r="Z6" i="70"/>
  <c r="Y5" i="70"/>
  <c r="Y55" i="70" s="1"/>
  <c r="Y69" i="70" s="1"/>
  <c r="Y89" i="70" s="1"/>
  <c r="V368" i="70"/>
  <c r="W356" i="70"/>
  <c r="W358" i="70" s="1"/>
  <c r="AA6" i="72" l="1"/>
  <c r="Z5" i="72"/>
  <c r="D41" i="25"/>
  <c r="C42" i="25"/>
  <c r="C43" i="23"/>
  <c r="D42" i="23"/>
  <c r="Q41" i="21"/>
  <c r="C42" i="21"/>
  <c r="D41" i="21"/>
  <c r="C43" i="67"/>
  <c r="D42" i="67"/>
  <c r="AC6" i="51"/>
  <c r="AC77" i="51" s="1"/>
  <c r="AC30" i="51" s="1"/>
  <c r="AB5" i="51"/>
  <c r="AA6" i="70"/>
  <c r="Z5" i="70"/>
  <c r="Z55" i="70" s="1"/>
  <c r="Z69" i="70" s="1"/>
  <c r="Z89" i="70" s="1"/>
  <c r="W368" i="70"/>
  <c r="X356" i="70"/>
  <c r="X358" i="70" s="1"/>
  <c r="AB6" i="72" l="1"/>
  <c r="AA5" i="72"/>
  <c r="C43" i="25"/>
  <c r="D42" i="25"/>
  <c r="C44" i="23"/>
  <c r="D43" i="23"/>
  <c r="Q42" i="21"/>
  <c r="C43" i="21"/>
  <c r="D42" i="21"/>
  <c r="D43" i="67"/>
  <c r="C44" i="67"/>
  <c r="AC120" i="51"/>
  <c r="AC166" i="51" s="1"/>
  <c r="AC75" i="51"/>
  <c r="AC28" i="51" s="1"/>
  <c r="AC61" i="51"/>
  <c r="AC14" i="51" s="1"/>
  <c r="AC68" i="51"/>
  <c r="AC21" i="51" s="1"/>
  <c r="AC82" i="51"/>
  <c r="AC35" i="51" s="1"/>
  <c r="AC91" i="51"/>
  <c r="AC44" i="51" s="1"/>
  <c r="AC58" i="51"/>
  <c r="AC11" i="51" s="1"/>
  <c r="AC94" i="51"/>
  <c r="AC47" i="51" s="1"/>
  <c r="AC71" i="51"/>
  <c r="AC24" i="51" s="1"/>
  <c r="AC69" i="51"/>
  <c r="AC22" i="51" s="1"/>
  <c r="AC81" i="51"/>
  <c r="AC34" i="51" s="1"/>
  <c r="AC83" i="51"/>
  <c r="AC36" i="51" s="1"/>
  <c r="AC64" i="51"/>
  <c r="AC17" i="51" s="1"/>
  <c r="AC84" i="51"/>
  <c r="AC37" i="51" s="1"/>
  <c r="AC63" i="51"/>
  <c r="AC16" i="51" s="1"/>
  <c r="AC79" i="51"/>
  <c r="AC32" i="51" s="1"/>
  <c r="AC203" i="51"/>
  <c r="AC204" i="51" s="1"/>
  <c r="AD83" i="51"/>
  <c r="AD85" i="51"/>
  <c r="AD66" i="51"/>
  <c r="AD80" i="51"/>
  <c r="AD6" i="51"/>
  <c r="AD89" i="51"/>
  <c r="AC5" i="51"/>
  <c r="AC89" i="51"/>
  <c r="AC42" i="51" s="1"/>
  <c r="AC86" i="51"/>
  <c r="AC39" i="51" s="1"/>
  <c r="AC72" i="51"/>
  <c r="AC25" i="51" s="1"/>
  <c r="AC80" i="51"/>
  <c r="AC33" i="51" s="1"/>
  <c r="AC66" i="51"/>
  <c r="AC19" i="51" s="1"/>
  <c r="AC57" i="51"/>
  <c r="AC59" i="51"/>
  <c r="AC12" i="51" s="1"/>
  <c r="AC70" i="51"/>
  <c r="AC23" i="51" s="1"/>
  <c r="AC65" i="51"/>
  <c r="AC18" i="51" s="1"/>
  <c r="AC87" i="51"/>
  <c r="AC40" i="51" s="1"/>
  <c r="AC85" i="51"/>
  <c r="AC38" i="51" s="1"/>
  <c r="AC78" i="51"/>
  <c r="AC31" i="51" s="1"/>
  <c r="AC76" i="51"/>
  <c r="AC29" i="51" s="1"/>
  <c r="AC93" i="51"/>
  <c r="AC46" i="51" s="1"/>
  <c r="AC90" i="51"/>
  <c r="AC43" i="51" s="1"/>
  <c r="AC62" i="51"/>
  <c r="AC15" i="51" s="1"/>
  <c r="AC92" i="51"/>
  <c r="AC45" i="51" s="1"/>
  <c r="AC67" i="51"/>
  <c r="AC20" i="51" s="1"/>
  <c r="AC74" i="51"/>
  <c r="AC27" i="51" s="1"/>
  <c r="AC73" i="51"/>
  <c r="AC26" i="51" s="1"/>
  <c r="AC60" i="51"/>
  <c r="AC13" i="51" s="1"/>
  <c r="AC88" i="51"/>
  <c r="AC41" i="51" s="1"/>
  <c r="AB6" i="70"/>
  <c r="AA5" i="70"/>
  <c r="AA55" i="70" s="1"/>
  <c r="AA69" i="70" s="1"/>
  <c r="AA89" i="70" s="1"/>
  <c r="X368" i="70"/>
  <c r="Y356" i="70"/>
  <c r="Y358" i="70" s="1"/>
  <c r="AC6" i="72" l="1"/>
  <c r="AB5" i="72"/>
  <c r="C44" i="25"/>
  <c r="D43" i="25"/>
  <c r="C45" i="23"/>
  <c r="D44" i="23"/>
  <c r="Q43" i="21"/>
  <c r="D43" i="21"/>
  <c r="C44" i="21"/>
  <c r="C45" i="67"/>
  <c r="D44" i="67"/>
  <c r="AC119" i="51"/>
  <c r="AC165" i="51" s="1"/>
  <c r="AE6" i="51"/>
  <c r="AE68" i="51" s="1"/>
  <c r="AE88" i="51"/>
  <c r="AD5" i="51"/>
  <c r="AD92" i="51"/>
  <c r="AD74" i="51"/>
  <c r="AD27" i="51" s="1"/>
  <c r="AD62" i="51"/>
  <c r="AD15" i="51" s="1"/>
  <c r="AD60" i="51"/>
  <c r="AD13" i="51" s="1"/>
  <c r="AC107" i="51"/>
  <c r="AC153" i="51" s="1"/>
  <c r="AC125" i="51"/>
  <c r="AC171" i="51" s="1"/>
  <c r="AC116" i="51"/>
  <c r="AC162" i="51" s="1"/>
  <c r="AC128" i="51"/>
  <c r="AC174" i="51" s="1"/>
  <c r="AD38" i="51"/>
  <c r="AC115" i="51"/>
  <c r="AC161" i="51" s="1"/>
  <c r="AD93" i="51"/>
  <c r="AD46" i="51" s="1"/>
  <c r="AD63" i="51"/>
  <c r="AD82" i="51"/>
  <c r="AD35" i="51" s="1"/>
  <c r="AD70" i="51"/>
  <c r="AD68" i="51"/>
  <c r="AC126" i="51"/>
  <c r="AC172" i="51" s="1"/>
  <c r="AD36" i="51"/>
  <c r="AC111" i="51"/>
  <c r="AC157" i="51" s="1"/>
  <c r="AD21" i="51"/>
  <c r="AD111" i="51" s="1"/>
  <c r="AD157" i="51" s="1"/>
  <c r="AC117" i="51"/>
  <c r="AC163" i="51" s="1"/>
  <c r="AC110" i="51"/>
  <c r="AC156" i="51" s="1"/>
  <c r="AC130" i="51"/>
  <c r="AC176" i="51" s="1"/>
  <c r="AC129" i="51"/>
  <c r="AC175" i="51" s="1"/>
  <c r="AD65" i="51"/>
  <c r="AD18" i="51" s="1"/>
  <c r="AD71" i="51"/>
  <c r="AD24" i="51" s="1"/>
  <c r="AD90" i="51"/>
  <c r="AD43" i="51" s="1"/>
  <c r="AD133" i="51" s="1"/>
  <c r="AD179" i="51" s="1"/>
  <c r="AD78" i="51"/>
  <c r="AD76" i="51"/>
  <c r="AD29" i="51" s="1"/>
  <c r="AC124" i="51"/>
  <c r="AC170" i="51" s="1"/>
  <c r="AC104" i="51"/>
  <c r="AC150" i="51" s="1"/>
  <c r="AC103" i="51"/>
  <c r="AC149" i="51" s="1"/>
  <c r="AC123" i="51"/>
  <c r="AC169" i="51" s="1"/>
  <c r="AD33" i="51"/>
  <c r="AC135" i="51"/>
  <c r="AC181" i="51" s="1"/>
  <c r="AD45" i="51"/>
  <c r="AD135" i="51" s="1"/>
  <c r="AD181" i="51" s="1"/>
  <c r="AC108" i="51"/>
  <c r="AC154" i="51" s="1"/>
  <c r="AC132" i="51"/>
  <c r="AC178" i="51" s="1"/>
  <c r="AD42" i="51"/>
  <c r="AD132" i="51" s="1"/>
  <c r="AD178" i="51" s="1"/>
  <c r="AD81" i="51"/>
  <c r="AD34" i="51" s="1"/>
  <c r="AD79" i="51"/>
  <c r="AD32" i="51" s="1"/>
  <c r="AD94" i="51"/>
  <c r="AD86" i="51"/>
  <c r="AD39" i="51" s="1"/>
  <c r="AD84" i="51"/>
  <c r="AC112" i="51"/>
  <c r="AC158" i="51" s="1"/>
  <c r="AC118" i="51"/>
  <c r="AC164" i="51" s="1"/>
  <c r="AC127" i="51"/>
  <c r="AC173" i="51" s="1"/>
  <c r="AD37" i="51"/>
  <c r="AC105" i="51"/>
  <c r="AC151" i="51" s="1"/>
  <c r="AD23" i="51"/>
  <c r="AD113" i="51" s="1"/>
  <c r="AD159" i="51" s="1"/>
  <c r="AC113" i="51"/>
  <c r="AC159" i="51" s="1"/>
  <c r="AD88" i="51"/>
  <c r="AD41" i="51" s="1"/>
  <c r="AD87" i="51"/>
  <c r="AD40" i="51" s="1"/>
  <c r="AD61" i="51"/>
  <c r="AD14" i="51" s="1"/>
  <c r="AD59" i="51"/>
  <c r="AD12" i="51" s="1"/>
  <c r="AC49" i="51"/>
  <c r="AD202" i="51"/>
  <c r="AD203" i="51" s="1"/>
  <c r="AD204" i="51" s="1"/>
  <c r="AC114" i="51"/>
  <c r="AC160" i="51" s="1"/>
  <c r="AC134" i="51"/>
  <c r="AC180" i="51" s="1"/>
  <c r="AC133" i="51"/>
  <c r="AC179" i="51" s="1"/>
  <c r="AC102" i="51"/>
  <c r="AC148" i="51" s="1"/>
  <c r="AD64" i="51"/>
  <c r="AD17" i="51" s="1"/>
  <c r="AD91" i="51"/>
  <c r="AD44" i="51" s="1"/>
  <c r="AD134" i="51" s="1"/>
  <c r="AD180" i="51" s="1"/>
  <c r="AD69" i="51"/>
  <c r="AD22" i="51" s="1"/>
  <c r="AD112" i="51" s="1"/>
  <c r="AD158" i="51" s="1"/>
  <c r="AD67" i="51"/>
  <c r="AD20" i="51" s="1"/>
  <c r="AD110" i="51" s="1"/>
  <c r="AD156" i="51" s="1"/>
  <c r="AC122" i="51"/>
  <c r="AC168" i="51" s="1"/>
  <c r="AC137" i="51"/>
  <c r="AC183" i="51" s="1"/>
  <c r="AD47" i="51"/>
  <c r="AD137" i="51" s="1"/>
  <c r="AD183" i="51" s="1"/>
  <c r="AC109" i="51"/>
  <c r="AC155" i="51" s="1"/>
  <c r="AD19" i="51"/>
  <c r="AD109" i="51" s="1"/>
  <c r="AD155" i="51" s="1"/>
  <c r="AD31" i="51"/>
  <c r="AC121" i="51"/>
  <c r="AC167" i="51" s="1"/>
  <c r="AC131" i="51"/>
  <c r="AC177" i="51" s="1"/>
  <c r="AC136" i="51"/>
  <c r="AC182" i="51" s="1"/>
  <c r="AC96" i="51"/>
  <c r="AC198" i="51" s="1"/>
  <c r="AC10" i="51"/>
  <c r="AD57" i="51" s="1"/>
  <c r="AD73" i="51"/>
  <c r="AD26" i="51" s="1"/>
  <c r="AD72" i="51"/>
  <c r="AD25" i="51" s="1"/>
  <c r="AD58" i="51"/>
  <c r="AD11" i="51" s="1"/>
  <c r="AD77" i="51"/>
  <c r="AD30" i="51" s="1"/>
  <c r="AD75" i="51"/>
  <c r="AD28" i="51" s="1"/>
  <c r="AD16" i="51"/>
  <c r="AD106" i="51" s="1"/>
  <c r="AD152" i="51" s="1"/>
  <c r="AC106" i="51"/>
  <c r="AC152" i="51" s="1"/>
  <c r="AC101" i="51"/>
  <c r="AC147" i="51" s="1"/>
  <c r="AC6" i="70"/>
  <c r="AB5" i="70"/>
  <c r="AB55" i="70" s="1"/>
  <c r="AB69" i="70" s="1"/>
  <c r="AB89" i="70" s="1"/>
  <c r="Z356" i="70"/>
  <c r="Z358" i="70" s="1"/>
  <c r="Y368" i="70"/>
  <c r="AE79" i="51" l="1"/>
  <c r="AE59" i="51"/>
  <c r="AE65" i="51"/>
  <c r="AC5" i="72"/>
  <c r="AD6" i="72"/>
  <c r="C45" i="25"/>
  <c r="D44" i="25"/>
  <c r="C46" i="23"/>
  <c r="D45" i="23"/>
  <c r="Q44" i="21"/>
  <c r="C45" i="21"/>
  <c r="D44" i="21"/>
  <c r="C46" i="67"/>
  <c r="D45" i="67"/>
  <c r="AD129" i="51"/>
  <c r="AD175" i="51" s="1"/>
  <c r="AD101" i="51"/>
  <c r="AD147" i="51" s="1"/>
  <c r="AD104" i="51"/>
  <c r="AD150" i="51" s="1"/>
  <c r="AE61" i="51"/>
  <c r="AE14" i="51" s="1"/>
  <c r="AD125" i="51"/>
  <c r="AD171" i="51" s="1"/>
  <c r="AD119" i="51"/>
  <c r="AD165" i="51" s="1"/>
  <c r="AD130" i="51"/>
  <c r="AD176" i="51" s="1"/>
  <c r="AD114" i="51"/>
  <c r="AD160" i="51" s="1"/>
  <c r="AE13" i="51"/>
  <c r="AE103" i="51" s="1"/>
  <c r="AE149" i="51" s="1"/>
  <c r="AD103" i="51"/>
  <c r="AD149" i="51" s="1"/>
  <c r="AE202" i="51"/>
  <c r="AD49" i="51"/>
  <c r="AE12" i="51"/>
  <c r="AD102" i="51"/>
  <c r="AD148" i="51" s="1"/>
  <c r="AE18" i="51"/>
  <c r="AE108" i="51" s="1"/>
  <c r="AE154" i="51" s="1"/>
  <c r="AD108" i="51"/>
  <c r="AD154" i="51" s="1"/>
  <c r="AD136" i="51"/>
  <c r="AD182" i="51" s="1"/>
  <c r="AD115" i="51"/>
  <c r="AD161" i="51" s="1"/>
  <c r="AD107" i="51"/>
  <c r="AD153" i="51" s="1"/>
  <c r="AD116" i="51"/>
  <c r="AD162" i="51" s="1"/>
  <c r="AD118" i="51"/>
  <c r="AD164" i="51" s="1"/>
  <c r="AC100" i="51"/>
  <c r="AD10" i="51"/>
  <c r="AD100" i="51" s="1"/>
  <c r="AC50" i="51"/>
  <c r="AD105" i="51"/>
  <c r="AD151" i="51" s="1"/>
  <c r="AF60" i="51"/>
  <c r="AF91" i="51"/>
  <c r="AF87" i="51"/>
  <c r="AF89" i="51"/>
  <c r="AF77" i="51"/>
  <c r="AF90" i="51"/>
  <c r="AF6" i="51"/>
  <c r="AF73" i="51" s="1"/>
  <c r="AE5" i="51"/>
  <c r="AE203" i="51"/>
  <c r="AE204" i="51" s="1"/>
  <c r="AE87" i="51"/>
  <c r="AE40" i="51" s="1"/>
  <c r="AE69" i="51"/>
  <c r="AE22" i="51" s="1"/>
  <c r="AE67" i="51"/>
  <c r="AE20" i="51" s="1"/>
  <c r="AE110" i="51" s="1"/>
  <c r="AE156" i="51" s="1"/>
  <c r="AE73" i="51"/>
  <c r="AE26" i="51" s="1"/>
  <c r="AE64" i="51"/>
  <c r="AE17" i="51" s="1"/>
  <c r="AE91" i="51"/>
  <c r="AE44" i="51" s="1"/>
  <c r="AE77" i="51"/>
  <c r="AE75" i="51"/>
  <c r="AE28" i="51" s="1"/>
  <c r="AD121" i="51"/>
  <c r="AD167" i="51" s="1"/>
  <c r="AE32" i="51"/>
  <c r="AE122" i="51" s="1"/>
  <c r="AE168" i="51" s="1"/>
  <c r="AD123" i="51"/>
  <c r="AD169" i="51" s="1"/>
  <c r="AD124" i="51"/>
  <c r="AD170" i="51" s="1"/>
  <c r="AD126" i="51"/>
  <c r="AD172" i="51" s="1"/>
  <c r="AE76" i="51"/>
  <c r="AE29" i="51" s="1"/>
  <c r="AE72" i="51"/>
  <c r="AE25" i="51" s="1"/>
  <c r="AE62" i="51"/>
  <c r="AE15" i="51" s="1"/>
  <c r="AE85" i="51"/>
  <c r="AE38" i="51" s="1"/>
  <c r="AE83" i="51"/>
  <c r="AE36" i="51" s="1"/>
  <c r="AD96" i="51"/>
  <c r="AD198" i="51" s="1"/>
  <c r="AD122" i="51"/>
  <c r="AD168" i="51" s="1"/>
  <c r="AD127" i="51"/>
  <c r="AD173" i="51" s="1"/>
  <c r="AE81" i="51"/>
  <c r="AE34" i="51" s="1"/>
  <c r="AE80" i="51"/>
  <c r="AE33" i="51" s="1"/>
  <c r="AE70" i="51"/>
  <c r="AE23" i="51" s="1"/>
  <c r="AE58" i="51"/>
  <c r="AE11" i="51" s="1"/>
  <c r="AE94" i="51"/>
  <c r="AE120" i="51"/>
  <c r="AE166" i="51" s="1"/>
  <c r="AE30" i="51"/>
  <c r="AD120" i="51"/>
  <c r="AD166" i="51" s="1"/>
  <c r="AE43" i="51"/>
  <c r="AE133" i="51" s="1"/>
  <c r="AE179" i="51" s="1"/>
  <c r="AD117" i="51"/>
  <c r="AD163" i="51" s="1"/>
  <c r="AD128" i="51"/>
  <c r="AD174" i="51" s="1"/>
  <c r="AE84" i="51"/>
  <c r="AE37" i="51" s="1"/>
  <c r="AE92" i="51"/>
  <c r="AE45" i="51" s="1"/>
  <c r="AE78" i="51"/>
  <c r="AE31" i="51" s="1"/>
  <c r="AE66" i="51"/>
  <c r="AE19" i="51" s="1"/>
  <c r="AE21" i="51"/>
  <c r="AE57" i="51"/>
  <c r="AE89" i="51"/>
  <c r="AE42" i="51" s="1"/>
  <c r="AE63" i="51"/>
  <c r="AE16" i="51" s="1"/>
  <c r="AE86" i="51"/>
  <c r="AE39" i="51" s="1"/>
  <c r="AE74" i="51"/>
  <c r="AE27" i="51" s="1"/>
  <c r="AE131" i="51"/>
  <c r="AE177" i="51" s="1"/>
  <c r="AE41" i="51"/>
  <c r="AD131" i="51"/>
  <c r="AD177" i="51" s="1"/>
  <c r="AE47" i="51"/>
  <c r="AE137" i="51" s="1"/>
  <c r="AE183" i="51" s="1"/>
  <c r="AC138" i="51"/>
  <c r="AC184" i="51" s="1"/>
  <c r="AD138" i="51"/>
  <c r="AD184" i="51" s="1"/>
  <c r="AE60" i="51"/>
  <c r="AE93" i="51"/>
  <c r="AE46" i="51" s="1"/>
  <c r="AE71" i="51"/>
  <c r="AE24" i="51" s="1"/>
  <c r="AE90" i="51"/>
  <c r="AE82" i="51"/>
  <c r="AE35" i="51" s="1"/>
  <c r="AC5" i="70"/>
  <c r="AC55" i="70" s="1"/>
  <c r="AC69" i="70" s="1"/>
  <c r="AC89" i="70" s="1"/>
  <c r="AD6" i="70"/>
  <c r="Z368" i="70"/>
  <c r="AA356" i="70"/>
  <c r="AA358" i="70" s="1"/>
  <c r="AL199" i="70"/>
  <c r="AM206" i="70"/>
  <c r="AM210" i="70"/>
  <c r="AM435" i="70" s="1"/>
  <c r="AN432" i="70" s="1"/>
  <c r="AM233" i="70"/>
  <c r="AM231" i="70"/>
  <c r="AM215" i="70"/>
  <c r="AM200" i="70"/>
  <c r="AM232" i="70"/>
  <c r="AM223" i="70"/>
  <c r="AM219" i="70"/>
  <c r="AN217" i="70"/>
  <c r="AM222" i="70"/>
  <c r="AM198" i="70"/>
  <c r="AM199" i="70"/>
  <c r="AM209" i="70"/>
  <c r="AN223" i="70"/>
  <c r="AM211" i="70"/>
  <c r="AO197" i="70"/>
  <c r="AN202" i="70"/>
  <c r="AN222" i="70"/>
  <c r="AN208" i="70"/>
  <c r="AN197" i="70"/>
  <c r="AN207" i="70"/>
  <c r="AM214" i="70"/>
  <c r="AN214" i="70"/>
  <c r="AN226" i="70"/>
  <c r="AN201" i="70"/>
  <c r="AN215" i="70"/>
  <c r="AN231" i="70"/>
  <c r="AN200" i="70"/>
  <c r="AN229" i="70"/>
  <c r="AN224" i="70"/>
  <c r="AN210" i="70"/>
  <c r="AN435" i="70" s="1"/>
  <c r="AO432" i="70" s="1"/>
  <c r="AN211" i="70"/>
  <c r="AN206" i="70"/>
  <c r="AN199" i="70"/>
  <c r="AO200" i="70"/>
  <c r="AO198" i="70"/>
  <c r="AN218" i="70"/>
  <c r="AN233" i="70"/>
  <c r="AO199" i="70"/>
  <c r="AN209" i="70"/>
  <c r="AN249" i="70" s="1"/>
  <c r="AO206" i="70"/>
  <c r="AO223" i="70"/>
  <c r="AO218" i="70"/>
  <c r="AO211" i="70"/>
  <c r="AO210" i="70"/>
  <c r="AO435" i="70" s="1"/>
  <c r="AP432" i="70" s="1"/>
  <c r="AO217" i="70"/>
  <c r="AO216" i="70"/>
  <c r="AO229" i="70"/>
  <c r="AO202" i="70"/>
  <c r="AN216" i="70"/>
  <c r="AO232" i="70"/>
  <c r="AO219" i="70"/>
  <c r="AO214" i="70"/>
  <c r="AO222" i="70"/>
  <c r="AO207" i="70"/>
  <c r="AN232" i="70"/>
  <c r="AO209" i="70"/>
  <c r="AO231" i="70"/>
  <c r="AO233" i="70"/>
  <c r="AN198" i="70"/>
  <c r="AN225" i="70"/>
  <c r="AN254" i="70" s="1"/>
  <c r="AO226" i="70"/>
  <c r="AO224" i="70"/>
  <c r="AO201" i="70"/>
  <c r="AO225" i="70"/>
  <c r="AO254" i="70" s="1"/>
  <c r="AN203" i="70"/>
  <c r="AO203" i="70"/>
  <c r="AN219" i="70"/>
  <c r="AO208" i="70"/>
  <c r="AO215" i="70"/>
  <c r="AF67" i="51" l="1"/>
  <c r="AF68" i="51"/>
  <c r="AF72" i="51"/>
  <c r="AF25" i="51" s="1"/>
  <c r="AP25" i="51" s="1"/>
  <c r="AF76" i="51"/>
  <c r="AF75" i="51"/>
  <c r="AF28" i="51" s="1"/>
  <c r="AP28" i="51" s="1"/>
  <c r="AF58" i="51"/>
  <c r="AF69" i="51"/>
  <c r="AF22" i="51" s="1"/>
  <c r="AP22" i="51" s="1"/>
  <c r="AF83" i="51"/>
  <c r="AF36" i="51" s="1"/>
  <c r="AF74" i="51"/>
  <c r="AF85" i="51"/>
  <c r="AF79" i="51"/>
  <c r="AO249" i="70"/>
  <c r="AD5" i="72"/>
  <c r="AE6" i="72"/>
  <c r="D45" i="25"/>
  <c r="C46" i="25"/>
  <c r="C47" i="23"/>
  <c r="D46" i="23"/>
  <c r="Q45" i="21"/>
  <c r="C46" i="21"/>
  <c r="D45" i="21"/>
  <c r="C47" i="67"/>
  <c r="D46" i="67"/>
  <c r="AE125" i="51"/>
  <c r="AE171" i="51" s="1"/>
  <c r="AE115" i="51"/>
  <c r="AE161" i="51" s="1"/>
  <c r="AE118" i="51"/>
  <c r="AE164" i="51" s="1"/>
  <c r="AE109" i="51"/>
  <c r="AE155" i="51" s="1"/>
  <c r="AF29" i="51"/>
  <c r="AP29" i="51" s="1"/>
  <c r="AF119" i="51"/>
  <c r="AE119" i="51"/>
  <c r="AE165" i="51" s="1"/>
  <c r="AF40" i="51"/>
  <c r="AP40" i="51" s="1"/>
  <c r="AE130" i="51"/>
  <c r="AE176" i="51" s="1"/>
  <c r="AE121" i="51"/>
  <c r="AE167" i="51" s="1"/>
  <c r="AF44" i="51"/>
  <c r="AP44" i="51" s="1"/>
  <c r="AE134" i="51"/>
  <c r="AE180" i="51" s="1"/>
  <c r="AE124" i="51"/>
  <c r="AE170" i="51" s="1"/>
  <c r="AE136" i="51"/>
  <c r="AE182" i="51" s="1"/>
  <c r="AF27" i="51"/>
  <c r="AP27" i="51" s="1"/>
  <c r="AE117" i="51"/>
  <c r="AE163" i="51" s="1"/>
  <c r="AE135" i="51"/>
  <c r="AE181" i="51" s="1"/>
  <c r="AE107" i="51"/>
  <c r="AE153" i="51" s="1"/>
  <c r="AE105" i="51"/>
  <c r="AE151" i="51" s="1"/>
  <c r="AE114" i="51"/>
  <c r="AE160" i="51" s="1"/>
  <c r="AE129" i="51"/>
  <c r="AE175" i="51" s="1"/>
  <c r="AE127" i="51"/>
  <c r="AE173" i="51" s="1"/>
  <c r="AF11" i="51"/>
  <c r="AP11" i="51" s="1"/>
  <c r="AE101" i="51"/>
  <c r="AE147" i="51" s="1"/>
  <c r="AF26" i="51"/>
  <c r="AP26" i="51" s="1"/>
  <c r="AE116" i="51"/>
  <c r="AE162" i="51" s="1"/>
  <c r="AE106" i="51"/>
  <c r="AE152" i="51" s="1"/>
  <c r="AE113" i="51"/>
  <c r="AE159" i="51" s="1"/>
  <c r="AE126" i="51"/>
  <c r="AE172" i="51" s="1"/>
  <c r="AF42" i="51"/>
  <c r="AP42" i="51" s="1"/>
  <c r="AF132" i="51"/>
  <c r="AE132" i="51"/>
  <c r="AE178" i="51" s="1"/>
  <c r="AE123" i="51"/>
  <c r="AE169" i="51" s="1"/>
  <c r="AF128" i="51"/>
  <c r="AF38" i="51"/>
  <c r="AP38" i="51" s="1"/>
  <c r="AE128" i="51"/>
  <c r="AE174" i="51" s="1"/>
  <c r="AE112" i="51"/>
  <c r="AE158" i="51" s="1"/>
  <c r="AE96" i="51"/>
  <c r="AE198" i="51" s="1"/>
  <c r="AF32" i="51"/>
  <c r="AP32" i="51" s="1"/>
  <c r="AF122" i="51"/>
  <c r="AF66" i="51"/>
  <c r="AF19" i="51" s="1"/>
  <c r="AE104" i="51"/>
  <c r="AE150" i="51" s="1"/>
  <c r="AF43" i="51"/>
  <c r="AP43" i="51" s="1"/>
  <c r="AF21" i="51"/>
  <c r="AP21" i="51" s="1"/>
  <c r="AE111" i="51"/>
  <c r="AE157" i="51" s="1"/>
  <c r="AF120" i="51"/>
  <c r="AF30" i="51"/>
  <c r="AP30" i="51" s="1"/>
  <c r="AF20" i="51"/>
  <c r="AP20" i="51" s="1"/>
  <c r="AF80" i="51"/>
  <c r="AF33" i="51" s="1"/>
  <c r="AP33" i="51" s="1"/>
  <c r="AF62" i="51"/>
  <c r="AF15" i="51" s="1"/>
  <c r="AF84" i="51"/>
  <c r="AF37" i="51" s="1"/>
  <c r="AF82" i="51"/>
  <c r="AF35" i="51" s="1"/>
  <c r="AE10" i="51"/>
  <c r="AD50" i="51"/>
  <c r="AE49" i="51"/>
  <c r="AF202" i="51"/>
  <c r="AF203" i="51" s="1"/>
  <c r="AF204" i="51" s="1"/>
  <c r="AF70" i="51"/>
  <c r="AF23" i="51" s="1"/>
  <c r="AF57" i="51"/>
  <c r="AF93" i="51"/>
  <c r="AF46" i="51" s="1"/>
  <c r="AD146" i="51"/>
  <c r="AD185" i="51" s="1"/>
  <c r="AD139" i="51"/>
  <c r="AE102" i="51"/>
  <c r="AE148" i="51" s="1"/>
  <c r="AF61" i="51"/>
  <c r="AF14" i="51" s="1"/>
  <c r="AP14" i="51" s="1"/>
  <c r="AF88" i="51"/>
  <c r="AF41" i="51" s="1"/>
  <c r="AF92" i="51"/>
  <c r="AF45" i="51" s="1"/>
  <c r="AF78" i="51"/>
  <c r="AF31" i="51" s="1"/>
  <c r="AF65" i="51"/>
  <c r="AF18" i="51" s="1"/>
  <c r="AC146" i="51"/>
  <c r="AC185" i="51" s="1"/>
  <c r="AC139" i="51"/>
  <c r="AE138" i="51"/>
  <c r="AE184" i="51" s="1"/>
  <c r="AF13" i="51"/>
  <c r="AP13" i="51" s="1"/>
  <c r="AF103" i="51"/>
  <c r="AF59" i="51"/>
  <c r="AF12" i="51" s="1"/>
  <c r="AF63" i="51"/>
  <c r="AF16" i="51" s="1"/>
  <c r="AF86" i="51"/>
  <c r="AF39" i="51" s="1"/>
  <c r="AF5" i="51"/>
  <c r="AF64" i="51"/>
  <c r="AF17" i="51" s="1"/>
  <c r="AF71" i="51"/>
  <c r="AF24" i="51" s="1"/>
  <c r="AF94" i="51"/>
  <c r="AF47" i="51" s="1"/>
  <c r="AF81" i="51"/>
  <c r="AF34" i="51" s="1"/>
  <c r="AO258" i="70"/>
  <c r="AM243" i="70"/>
  <c r="AM257" i="70"/>
  <c r="R10" i="18"/>
  <c r="R15" i="18" s="1"/>
  <c r="R16" i="18" s="1"/>
  <c r="R11" i="18" s="1"/>
  <c r="S10" i="18"/>
  <c r="S15" i="18" s="1"/>
  <c r="S16" i="18" s="1"/>
  <c r="S11" i="18" s="1"/>
  <c r="AM249" i="70"/>
  <c r="AM396" i="70"/>
  <c r="AN393" i="70" s="1"/>
  <c r="AN399" i="70" s="1"/>
  <c r="AM244" i="70"/>
  <c r="AL204" i="70"/>
  <c r="AL212" i="70" s="1"/>
  <c r="AL237" i="70" s="1"/>
  <c r="AL245" i="70"/>
  <c r="AL246" i="70" s="1"/>
  <c r="AL250" i="70" s="1"/>
  <c r="AO257" i="70"/>
  <c r="AN258" i="70"/>
  <c r="AM245" i="70"/>
  <c r="AM220" i="70"/>
  <c r="AM227" i="70" s="1"/>
  <c r="AM204" i="70"/>
  <c r="AM212" i="70" s="1"/>
  <c r="AO234" i="70"/>
  <c r="AO253" i="70" s="1"/>
  <c r="AO255" i="70" s="1"/>
  <c r="AM234" i="70"/>
  <c r="AM253" i="70" s="1"/>
  <c r="AM255" i="70" s="1"/>
  <c r="AM259" i="70" s="1"/>
  <c r="AD5" i="70"/>
  <c r="AD55" i="70" s="1"/>
  <c r="AD69" i="70" s="1"/>
  <c r="AD89" i="70" s="1"/>
  <c r="AE6" i="70"/>
  <c r="AO268" i="70"/>
  <c r="AO278" i="70"/>
  <c r="AO243" i="70"/>
  <c r="AN234" i="70"/>
  <c r="AN253" i="70" s="1"/>
  <c r="AN245" i="70"/>
  <c r="AN257" i="70"/>
  <c r="AO396" i="70"/>
  <c r="AP393" i="70" s="1"/>
  <c r="AO244" i="70"/>
  <c r="AN396" i="70"/>
  <c r="AO393" i="70" s="1"/>
  <c r="AO399" i="70" s="1"/>
  <c r="AN244" i="70"/>
  <c r="AO248" i="70"/>
  <c r="AO204" i="70"/>
  <c r="AO212" i="70" s="1"/>
  <c r="AO368" i="70"/>
  <c r="AN268" i="70"/>
  <c r="AN278" i="70"/>
  <c r="AO245" i="70"/>
  <c r="AN220" i="70"/>
  <c r="AN227" i="70" s="1"/>
  <c r="AO220" i="70"/>
  <c r="AO227" i="70" s="1"/>
  <c r="AA368" i="70"/>
  <c r="AB356" i="70"/>
  <c r="AB358" i="70" s="1"/>
  <c r="AN243" i="70"/>
  <c r="AN204" i="70"/>
  <c r="AN212" i="70" s="1"/>
  <c r="AN248" i="70"/>
  <c r="AN368" i="70"/>
  <c r="AP36" i="51" l="1"/>
  <c r="AF126" i="51"/>
  <c r="AE5" i="72"/>
  <c r="AF6" i="72"/>
  <c r="AF5" i="72" s="1"/>
  <c r="AJ99" i="72"/>
  <c r="AK83" i="72"/>
  <c r="AJ127" i="72"/>
  <c r="AK15" i="72"/>
  <c r="AK16" i="72" s="1"/>
  <c r="AL26" i="72"/>
  <c r="AK49" i="72"/>
  <c r="AK119" i="72"/>
  <c r="AJ46" i="72"/>
  <c r="AJ47" i="72" s="1"/>
  <c r="AM120" i="72"/>
  <c r="AM49" i="72"/>
  <c r="AM26" i="72"/>
  <c r="AM27" i="72" s="1"/>
  <c r="AC25" i="33" s="1"/>
  <c r="AO120" i="72"/>
  <c r="AN23" i="72"/>
  <c r="AN83" i="72"/>
  <c r="AO95" i="72"/>
  <c r="AO46" i="72"/>
  <c r="AN117" i="72"/>
  <c r="AO26" i="72"/>
  <c r="AN75" i="72"/>
  <c r="AN76" i="72" s="1"/>
  <c r="AO107" i="72"/>
  <c r="AP46" i="72"/>
  <c r="AP103" i="72"/>
  <c r="AJ15" i="72"/>
  <c r="AJ16" i="72" s="1"/>
  <c r="AL116" i="72"/>
  <c r="AN119" i="72"/>
  <c r="AP15" i="72"/>
  <c r="AK99" i="72"/>
  <c r="AJ83" i="72"/>
  <c r="AK23" i="72"/>
  <c r="AJ107" i="72"/>
  <c r="AL15" i="72"/>
  <c r="AL107" i="72"/>
  <c r="AL83" i="72"/>
  <c r="AL87" i="72"/>
  <c r="AO12" i="72"/>
  <c r="AL124" i="72"/>
  <c r="AL125" i="72" s="1"/>
  <c r="AM12" i="72"/>
  <c r="AN103" i="72"/>
  <c r="AO66" i="72"/>
  <c r="AN34" i="72"/>
  <c r="AN66" i="72"/>
  <c r="AN67" i="72" s="1"/>
  <c r="AO117" i="72"/>
  <c r="AO99" i="72"/>
  <c r="AN99" i="72"/>
  <c r="AP63" i="72"/>
  <c r="AO103" i="72"/>
  <c r="AP66" i="72"/>
  <c r="AP72" i="72"/>
  <c r="AK107" i="72"/>
  <c r="AN121" i="72"/>
  <c r="AP60" i="72"/>
  <c r="AK103" i="72"/>
  <c r="AK12" i="72"/>
  <c r="AJ91" i="72"/>
  <c r="AK40" i="72"/>
  <c r="AK120" i="72"/>
  <c r="AL127" i="72"/>
  <c r="AK46" i="72"/>
  <c r="AK47" i="72" s="1"/>
  <c r="AK43" i="72"/>
  <c r="AK87" i="72"/>
  <c r="AM37" i="72"/>
  <c r="AM95" i="72"/>
  <c r="AM127" i="72"/>
  <c r="AM107" i="72"/>
  <c r="AO63" i="72"/>
  <c r="AO23" i="72"/>
  <c r="AO118" i="72"/>
  <c r="AN107" i="72"/>
  <c r="AM121" i="72"/>
  <c r="AO75" i="72"/>
  <c r="AO76" i="72" s="1"/>
  <c r="AP83" i="72"/>
  <c r="AN46" i="72"/>
  <c r="AP57" i="72"/>
  <c r="AP43" i="72"/>
  <c r="AK124" i="72"/>
  <c r="AM15" i="72"/>
  <c r="AM16" i="72" s="1"/>
  <c r="AN49" i="72"/>
  <c r="AN50" i="72" s="1"/>
  <c r="AJ120" i="72"/>
  <c r="AK127" i="72"/>
  <c r="AJ43" i="72"/>
  <c r="AJ44" i="72" s="1"/>
  <c r="AL43" i="72"/>
  <c r="AL44" i="72" s="1"/>
  <c r="AK95" i="72"/>
  <c r="AL117" i="72"/>
  <c r="AL95" i="72"/>
  <c r="AN91" i="72"/>
  <c r="AJ95" i="72"/>
  <c r="AL49" i="72"/>
  <c r="AL50" i="72" s="1"/>
  <c r="AM99" i="72"/>
  <c r="AM87" i="72"/>
  <c r="AN87" i="72"/>
  <c r="AM34" i="72"/>
  <c r="AM40" i="72" s="1"/>
  <c r="AO127" i="72"/>
  <c r="AN69" i="72"/>
  <c r="AN70" i="72" s="1"/>
  <c r="AO121" i="72"/>
  <c r="AN118" i="72"/>
  <c r="AN120" i="72"/>
  <c r="AP91" i="72"/>
  <c r="AP107" i="72"/>
  <c r="AP12" i="72"/>
  <c r="AP75" i="72"/>
  <c r="AJ26" i="72"/>
  <c r="AJ27" i="72" s="1"/>
  <c r="AL118" i="72"/>
  <c r="AO60" i="72"/>
  <c r="AJ103" i="72"/>
  <c r="AJ119" i="72"/>
  <c r="AJ117" i="72"/>
  <c r="AJ116" i="72"/>
  <c r="AK118" i="72"/>
  <c r="AK26" i="72"/>
  <c r="AK27" i="72" s="1"/>
  <c r="AA25" i="33" s="1"/>
  <c r="AL121" i="72"/>
  <c r="AL99" i="72"/>
  <c r="AJ49" i="72"/>
  <c r="AJ50" i="72" s="1"/>
  <c r="AM83" i="72"/>
  <c r="AM46" i="72"/>
  <c r="AM118" i="72"/>
  <c r="AO57" i="72"/>
  <c r="AN72" i="72"/>
  <c r="AN73" i="72" s="1"/>
  <c r="AN12" i="72"/>
  <c r="AO87" i="72"/>
  <c r="AO43" i="72"/>
  <c r="AO83" i="72"/>
  <c r="AN57" i="72"/>
  <c r="AO116" i="72"/>
  <c r="AP87" i="72"/>
  <c r="AP88" i="72" s="1"/>
  <c r="AP69" i="72"/>
  <c r="AJ12" i="72"/>
  <c r="AN26" i="72"/>
  <c r="AN27" i="72" s="1"/>
  <c r="AD25" i="33" s="1"/>
  <c r="AN95" i="72"/>
  <c r="AJ121" i="72"/>
  <c r="AJ40" i="72"/>
  <c r="AJ41" i="72" s="1"/>
  <c r="AJ23" i="72"/>
  <c r="AK117" i="72"/>
  <c r="AL119" i="72"/>
  <c r="AL91" i="72"/>
  <c r="AL103" i="72"/>
  <c r="AM43" i="72"/>
  <c r="AM44" i="72" s="1"/>
  <c r="AL46" i="72"/>
  <c r="AL47" i="72" s="1"/>
  <c r="AM91" i="72"/>
  <c r="AM119" i="72"/>
  <c r="AL120" i="72"/>
  <c r="AN37" i="72"/>
  <c r="AN38" i="72" s="1"/>
  <c r="AN43" i="72"/>
  <c r="AO72" i="72"/>
  <c r="AO73" i="72" s="1"/>
  <c r="AO124" i="72"/>
  <c r="AN63" i="72"/>
  <c r="AN64" i="72" s="1"/>
  <c r="AN124" i="72"/>
  <c r="AO119" i="72"/>
  <c r="AN60" i="72"/>
  <c r="AN61" i="72" s="1"/>
  <c r="AP95" i="72"/>
  <c r="AP23" i="72"/>
  <c r="AL12" i="72"/>
  <c r="AO34" i="72"/>
  <c r="AN116" i="72"/>
  <c r="AN122" i="72" s="1"/>
  <c r="AJ87" i="72"/>
  <c r="AK121" i="72"/>
  <c r="AJ124" i="72"/>
  <c r="AJ125" i="72" s="1"/>
  <c r="AK91" i="72"/>
  <c r="AJ118" i="72"/>
  <c r="AL40" i="72"/>
  <c r="AL41" i="72" s="1"/>
  <c r="AO91" i="72"/>
  <c r="AK116" i="72"/>
  <c r="AM124" i="72"/>
  <c r="AM23" i="72"/>
  <c r="AM103" i="72"/>
  <c r="AM117" i="72"/>
  <c r="AO15" i="72"/>
  <c r="AN127" i="72"/>
  <c r="AO37" i="72"/>
  <c r="AO38" i="72" s="1"/>
  <c r="AO49" i="72"/>
  <c r="AO50" i="72" s="1"/>
  <c r="AN15" i="72"/>
  <c r="AO69" i="72"/>
  <c r="AO70" i="72" s="1"/>
  <c r="AP37" i="72"/>
  <c r="AP49" i="72"/>
  <c r="AP34" i="72"/>
  <c r="AP99" i="72"/>
  <c r="AL23" i="72"/>
  <c r="AM116" i="72"/>
  <c r="AM122" i="72" s="1"/>
  <c r="AP26" i="72"/>
  <c r="C47" i="25"/>
  <c r="D46" i="25"/>
  <c r="C48" i="23"/>
  <c r="D47" i="23"/>
  <c r="Q46" i="21"/>
  <c r="C47" i="21"/>
  <c r="D46" i="21"/>
  <c r="D47" i="67"/>
  <c r="C48" i="67"/>
  <c r="AP23" i="51"/>
  <c r="AF113" i="51"/>
  <c r="AP47" i="51"/>
  <c r="AF137" i="51"/>
  <c r="AP41" i="51"/>
  <c r="AF131" i="51"/>
  <c r="AP34" i="51"/>
  <c r="AF124" i="51"/>
  <c r="AP17" i="51"/>
  <c r="AF107" i="51"/>
  <c r="AP45" i="51"/>
  <c r="AF135" i="51"/>
  <c r="AP24" i="51"/>
  <c r="AF114" i="51"/>
  <c r="AP35" i="51"/>
  <c r="AF125" i="51"/>
  <c r="AP12" i="51"/>
  <c r="AF102" i="51"/>
  <c r="AP39" i="51"/>
  <c r="AF129" i="51"/>
  <c r="AP18" i="51"/>
  <c r="AF108" i="51"/>
  <c r="AP46" i="51"/>
  <c r="AF136" i="51"/>
  <c r="AP37" i="51"/>
  <c r="AF127" i="51"/>
  <c r="AP19" i="51"/>
  <c r="AF109" i="51"/>
  <c r="AP16" i="51"/>
  <c r="AF106" i="51"/>
  <c r="AP31" i="51"/>
  <c r="AF121" i="51"/>
  <c r="AP15" i="51"/>
  <c r="AF105" i="51"/>
  <c r="AQ26" i="51"/>
  <c r="AF110" i="51"/>
  <c r="AQ43" i="51"/>
  <c r="AF104" i="51"/>
  <c r="AQ33" i="51"/>
  <c r="AF116" i="51"/>
  <c r="AF117" i="51"/>
  <c r="AQ44" i="51"/>
  <c r="AF118" i="51"/>
  <c r="AQ118" i="51"/>
  <c r="AQ164" i="51" s="1"/>
  <c r="AQ28" i="51"/>
  <c r="AF10" i="51"/>
  <c r="AE50" i="51"/>
  <c r="AQ30" i="51"/>
  <c r="AQ120" i="51"/>
  <c r="AQ166" i="51" s="1"/>
  <c r="AF133" i="51"/>
  <c r="AF123" i="51"/>
  <c r="AF134" i="51"/>
  <c r="AF165" i="51"/>
  <c r="AP119" i="51"/>
  <c r="AQ20" i="51"/>
  <c r="AQ40" i="51"/>
  <c r="AF149" i="51"/>
  <c r="AP149" i="51" s="1"/>
  <c r="AP103" i="51"/>
  <c r="AF96" i="51"/>
  <c r="AF198" i="51" s="1"/>
  <c r="AE100" i="51"/>
  <c r="AF166" i="51"/>
  <c r="AP120" i="51"/>
  <c r="AQ22" i="51"/>
  <c r="AQ112" i="51" s="1"/>
  <c r="AQ158" i="51" s="1"/>
  <c r="AQ11" i="51"/>
  <c r="AQ119" i="51"/>
  <c r="AQ165" i="51" s="1"/>
  <c r="AQ29" i="51"/>
  <c r="AQ25" i="51"/>
  <c r="AF49" i="51"/>
  <c r="AP49" i="51" s="1"/>
  <c r="AP204" i="51"/>
  <c r="AQ202" i="51" s="1"/>
  <c r="AQ203" i="51" s="1"/>
  <c r="AQ204" i="51" s="1"/>
  <c r="AQ103" i="51"/>
  <c r="AQ149" i="51" s="1"/>
  <c r="AQ13" i="51"/>
  <c r="AF112" i="51"/>
  <c r="AF178" i="51"/>
  <c r="AP132" i="51"/>
  <c r="AF101" i="51"/>
  <c r="AF115" i="51"/>
  <c r="AQ21" i="51"/>
  <c r="AQ111" i="51" s="1"/>
  <c r="AQ157" i="51" s="1"/>
  <c r="AQ27" i="51"/>
  <c r="AQ117" i="51" s="1"/>
  <c r="AQ163" i="51" s="1"/>
  <c r="AP187" i="51"/>
  <c r="AP165" i="51"/>
  <c r="AP166" i="51"/>
  <c r="AP178" i="51"/>
  <c r="AP122" i="51"/>
  <c r="AF168" i="51"/>
  <c r="AP168" i="51" s="1"/>
  <c r="AQ42" i="51"/>
  <c r="AQ14" i="51"/>
  <c r="AQ104" i="51" s="1"/>
  <c r="AQ150" i="51" s="1"/>
  <c r="AF172" i="51"/>
  <c r="AP172" i="51" s="1"/>
  <c r="AP126" i="51"/>
  <c r="AQ32" i="51"/>
  <c r="AQ38" i="51"/>
  <c r="AQ128" i="51" s="1"/>
  <c r="AQ174" i="51" s="1"/>
  <c r="AF111" i="51"/>
  <c r="AF174" i="51"/>
  <c r="AP174" i="51" s="1"/>
  <c r="AP128" i="51"/>
  <c r="AQ36" i="51"/>
  <c r="AF130" i="51"/>
  <c r="AM246" i="70"/>
  <c r="AM250" i="70" s="1"/>
  <c r="AM261" i="70" s="1"/>
  <c r="AL261" i="70"/>
  <c r="AL263" i="70"/>
  <c r="AO259" i="70"/>
  <c r="AM235" i="70"/>
  <c r="AM237" i="70" s="1"/>
  <c r="AO235" i="70"/>
  <c r="AO237" i="70" s="1"/>
  <c r="AN246" i="70"/>
  <c r="AN250" i="70" s="1"/>
  <c r="AF6" i="70"/>
  <c r="AF5" i="70" s="1"/>
  <c r="AF55" i="70" s="1"/>
  <c r="AF69" i="70" s="1"/>
  <c r="AF89" i="70" s="1"/>
  <c r="AE5" i="70"/>
  <c r="AE55" i="70" s="1"/>
  <c r="AE69" i="70" s="1"/>
  <c r="AE89" i="70" s="1"/>
  <c r="AN255" i="70"/>
  <c r="AN259" i="70" s="1"/>
  <c r="AN235" i="70"/>
  <c r="AN237" i="70" s="1"/>
  <c r="AO246" i="70"/>
  <c r="AO250" i="70" s="1"/>
  <c r="AB368" i="70"/>
  <c r="AC356" i="70"/>
  <c r="AF138" i="51" l="1"/>
  <c r="AK88" i="72"/>
  <c r="AM88" i="72"/>
  <c r="AO88" i="72"/>
  <c r="AP35" i="72"/>
  <c r="AP40" i="72"/>
  <c r="AQ34" i="72"/>
  <c r="AO16" i="72"/>
  <c r="AP24" i="72"/>
  <c r="AF20" i="33" s="1"/>
  <c r="AQ23" i="72"/>
  <c r="AP29" i="72"/>
  <c r="AN44" i="72"/>
  <c r="AL93" i="72"/>
  <c r="AL92" i="72"/>
  <c r="AJ13" i="72"/>
  <c r="AJ18" i="72"/>
  <c r="AN13" i="72"/>
  <c r="AD10" i="33" s="1"/>
  <c r="AN18" i="72"/>
  <c r="AJ96" i="72"/>
  <c r="AJ97" i="72"/>
  <c r="AM97" i="72"/>
  <c r="AM96" i="72"/>
  <c r="AJ92" i="72"/>
  <c r="AJ93" i="72"/>
  <c r="AO104" i="72"/>
  <c r="AO105" i="72"/>
  <c r="AN104" i="72"/>
  <c r="AN105" i="72"/>
  <c r="AJ108" i="72"/>
  <c r="AJ109" i="72"/>
  <c r="AP104" i="72"/>
  <c r="AP105" i="72"/>
  <c r="AN84" i="72"/>
  <c r="AN111" i="72"/>
  <c r="AK50" i="72"/>
  <c r="AJ111" i="72"/>
  <c r="AJ112" i="72" s="1"/>
  <c r="AJ84" i="72"/>
  <c r="AQ49" i="72"/>
  <c r="AP50" i="72"/>
  <c r="AK92" i="72"/>
  <c r="AK93" i="72"/>
  <c r="AP97" i="72"/>
  <c r="AP96" i="72"/>
  <c r="AP70" i="72"/>
  <c r="AQ70" i="72"/>
  <c r="AN93" i="72"/>
  <c r="AN92" i="72"/>
  <c r="AK18" i="72"/>
  <c r="AK13" i="72"/>
  <c r="AA10" i="33" s="1"/>
  <c r="AP64" i="72"/>
  <c r="AQ64" i="72"/>
  <c r="AM13" i="72"/>
  <c r="AC10" i="33" s="1"/>
  <c r="AM18" i="72"/>
  <c r="AK24" i="72"/>
  <c r="AA20" i="33" s="1"/>
  <c r="AK29" i="72"/>
  <c r="AK89" i="72" s="1"/>
  <c r="AQ46" i="72"/>
  <c r="AP47" i="72"/>
  <c r="AN24" i="72"/>
  <c r="AD20" i="33" s="1"/>
  <c r="AN29" i="72"/>
  <c r="AL27" i="72"/>
  <c r="AB25" i="33" s="1"/>
  <c r="AM105" i="72"/>
  <c r="AM104" i="72"/>
  <c r="AP89" i="72"/>
  <c r="AM24" i="72"/>
  <c r="AC20" i="33" s="1"/>
  <c r="AM29" i="72"/>
  <c r="AJ29" i="72"/>
  <c r="AJ30" i="72" s="1"/>
  <c r="AJ24" i="72"/>
  <c r="AO122" i="72"/>
  <c r="AJ122" i="72"/>
  <c r="AJ128" i="72" s="1"/>
  <c r="AP13" i="72"/>
  <c r="AF10" i="33" s="1"/>
  <c r="AP18" i="72"/>
  <c r="AQ12" i="72"/>
  <c r="AM41" i="72"/>
  <c r="AK125" i="72"/>
  <c r="AK128" i="72" s="1"/>
  <c r="AK44" i="72"/>
  <c r="AQ61" i="72"/>
  <c r="AP61" i="72"/>
  <c r="AO100" i="72"/>
  <c r="AO101" i="72"/>
  <c r="AO18" i="72"/>
  <c r="AO13" i="72"/>
  <c r="AE10" i="33" s="1"/>
  <c r="AK101" i="72"/>
  <c r="AK100" i="72"/>
  <c r="AO109" i="72"/>
  <c r="AO108" i="72"/>
  <c r="AP27" i="72"/>
  <c r="AF25" i="33" s="1"/>
  <c r="AQ26" i="72"/>
  <c r="AR26" i="72" s="1"/>
  <c r="AS26" i="72" s="1"/>
  <c r="AN16" i="72"/>
  <c r="AM125" i="72"/>
  <c r="AJ89" i="72"/>
  <c r="AJ88" i="72"/>
  <c r="AN125" i="72"/>
  <c r="AN128" i="72" s="1"/>
  <c r="AM93" i="72"/>
  <c r="AM92" i="72"/>
  <c r="AN58" i="72"/>
  <c r="AN78" i="72"/>
  <c r="AN79" i="72" s="1"/>
  <c r="AM47" i="72"/>
  <c r="AP108" i="72"/>
  <c r="AP109" i="72"/>
  <c r="AN88" i="72"/>
  <c r="AK96" i="72"/>
  <c r="AK97" i="72"/>
  <c r="AP44" i="72"/>
  <c r="AQ43" i="72"/>
  <c r="AO24" i="72"/>
  <c r="AE20" i="33" s="1"/>
  <c r="AO29" i="72"/>
  <c r="AL88" i="72"/>
  <c r="AP16" i="72"/>
  <c r="AQ15" i="72"/>
  <c r="AR15" i="72" s="1"/>
  <c r="AS15" i="72" s="1"/>
  <c r="AO27" i="72"/>
  <c r="AE25" i="33" s="1"/>
  <c r="AM50" i="72"/>
  <c r="AK84" i="72"/>
  <c r="AK111" i="72"/>
  <c r="AK112" i="72" s="1"/>
  <c r="AQ37" i="72"/>
  <c r="AP38" i="72"/>
  <c r="AO78" i="72"/>
  <c r="AO79" i="72" s="1"/>
  <c r="AO58" i="72"/>
  <c r="AN109" i="72"/>
  <c r="AN108" i="72"/>
  <c r="AN101" i="72"/>
  <c r="AN100" i="72"/>
  <c r="AM128" i="72"/>
  <c r="AK122" i="72"/>
  <c r="AO111" i="72"/>
  <c r="AO84" i="72"/>
  <c r="AM111" i="72"/>
  <c r="AM84" i="72"/>
  <c r="AP93" i="72"/>
  <c r="AP92" i="72"/>
  <c r="AP78" i="72"/>
  <c r="AP58" i="72"/>
  <c r="AQ58" i="72"/>
  <c r="AO64" i="72"/>
  <c r="AK108" i="72"/>
  <c r="AK109" i="72"/>
  <c r="AL111" i="72"/>
  <c r="AL84" i="72"/>
  <c r="AJ101" i="72"/>
  <c r="AJ100" i="72"/>
  <c r="AP76" i="72"/>
  <c r="AQ76" i="72"/>
  <c r="AL24" i="72"/>
  <c r="AB20" i="33" s="1"/>
  <c r="AL29" i="72"/>
  <c r="AO93" i="72"/>
  <c r="AO92" i="72"/>
  <c r="AO40" i="72"/>
  <c r="AO41" i="72" s="1"/>
  <c r="AO35" i="72"/>
  <c r="AO125" i="72"/>
  <c r="AO128" i="72" s="1"/>
  <c r="AP125" i="72"/>
  <c r="AN97" i="72"/>
  <c r="AN96" i="72"/>
  <c r="AO44" i="72"/>
  <c r="AJ105" i="72"/>
  <c r="AJ104" i="72"/>
  <c r="AM101" i="72"/>
  <c r="AM100" i="72"/>
  <c r="AN47" i="72"/>
  <c r="AM109" i="72"/>
  <c r="AM108" i="72"/>
  <c r="AP73" i="72"/>
  <c r="AQ73" i="72"/>
  <c r="AN35" i="72"/>
  <c r="AN40" i="72"/>
  <c r="AN41" i="72" s="1"/>
  <c r="AL108" i="72"/>
  <c r="AL109" i="72"/>
  <c r="AL122" i="72"/>
  <c r="AL128" i="72" s="1"/>
  <c r="AO47" i="72"/>
  <c r="AL97" i="72"/>
  <c r="AL96" i="72"/>
  <c r="AK104" i="72"/>
  <c r="AK105" i="72"/>
  <c r="AJ85" i="72"/>
  <c r="AP100" i="72"/>
  <c r="AP101" i="72"/>
  <c r="AL13" i="72"/>
  <c r="AB10" i="33" s="1"/>
  <c r="AL18" i="72"/>
  <c r="AL104" i="72"/>
  <c r="AL105" i="72"/>
  <c r="AL100" i="72"/>
  <c r="AL101" i="72"/>
  <c r="AO61" i="72"/>
  <c r="AP84" i="72"/>
  <c r="AP111" i="72"/>
  <c r="AP112" i="72" s="1"/>
  <c r="AK41" i="72"/>
  <c r="AQ67" i="72"/>
  <c r="AP67" i="72"/>
  <c r="AO67" i="72"/>
  <c r="AL16" i="72"/>
  <c r="AO96" i="72"/>
  <c r="AO97" i="72"/>
  <c r="AM263" i="70"/>
  <c r="C48" i="25"/>
  <c r="D47" i="25"/>
  <c r="C49" i="23"/>
  <c r="D48" i="23"/>
  <c r="Q47" i="21"/>
  <c r="D47" i="21"/>
  <c r="C48" i="21"/>
  <c r="C49" i="67"/>
  <c r="D48" i="67"/>
  <c r="AR202" i="51"/>
  <c r="AR203" i="51" s="1"/>
  <c r="AR204" i="51" s="1"/>
  <c r="AQ49" i="51"/>
  <c r="AQ138" i="51" s="1"/>
  <c r="AQ184" i="51" s="1"/>
  <c r="AR40" i="51"/>
  <c r="AP133" i="51"/>
  <c r="AF179" i="51"/>
  <c r="AP179" i="51" s="1"/>
  <c r="AF164" i="51"/>
  <c r="AP164" i="51" s="1"/>
  <c r="AP118" i="51"/>
  <c r="AR43" i="51"/>
  <c r="AQ31" i="51"/>
  <c r="AQ46" i="51"/>
  <c r="AQ35" i="51"/>
  <c r="AQ125" i="51" s="1"/>
  <c r="AQ171" i="51" s="1"/>
  <c r="AQ34" i="51"/>
  <c r="AF157" i="51"/>
  <c r="AP157" i="51" s="1"/>
  <c r="AP111" i="51"/>
  <c r="AR42" i="51"/>
  <c r="AF161" i="51"/>
  <c r="AP161" i="51" s="1"/>
  <c r="AP115" i="51"/>
  <c r="AR22" i="51"/>
  <c r="AR112" i="51"/>
  <c r="AR158" i="51" s="1"/>
  <c r="AQ130" i="51"/>
  <c r="AQ176" i="51" s="1"/>
  <c r="AR44" i="51"/>
  <c r="AQ133" i="51"/>
  <c r="AQ179" i="51" s="1"/>
  <c r="AP106" i="51"/>
  <c r="AF152" i="51"/>
  <c r="AP152" i="51" s="1"/>
  <c r="AP108" i="51"/>
  <c r="AF154" i="51"/>
  <c r="AP154" i="51" s="1"/>
  <c r="AP114" i="51"/>
  <c r="AF160" i="51"/>
  <c r="AP160" i="51" s="1"/>
  <c r="AF177" i="51"/>
  <c r="AP177" i="51" s="1"/>
  <c r="AP131" i="51"/>
  <c r="AR111" i="51"/>
  <c r="AR157" i="51" s="1"/>
  <c r="AR21" i="51"/>
  <c r="AF169" i="51"/>
  <c r="AP169" i="51" s="1"/>
  <c r="AP123" i="51"/>
  <c r="AF167" i="51"/>
  <c r="AP167" i="51" s="1"/>
  <c r="AP121" i="51"/>
  <c r="AR14" i="51"/>
  <c r="AR104" i="51" s="1"/>
  <c r="AR150" i="51" s="1"/>
  <c r="AF176" i="51"/>
  <c r="AP176" i="51" s="1"/>
  <c r="AP130" i="51"/>
  <c r="AR32" i="51"/>
  <c r="AQ132" i="51"/>
  <c r="AQ178" i="51" s="1"/>
  <c r="AF147" i="51"/>
  <c r="AP147" i="51" s="1"/>
  <c r="AP101" i="51"/>
  <c r="AR25" i="51"/>
  <c r="AR115" i="51" s="1"/>
  <c r="AR161" i="51" s="1"/>
  <c r="AR110" i="51"/>
  <c r="AR156" i="51" s="1"/>
  <c r="AR20" i="51"/>
  <c r="AR30" i="51"/>
  <c r="AR120" i="51" s="1"/>
  <c r="AR166" i="51" s="1"/>
  <c r="AQ134" i="51"/>
  <c r="AQ180" i="51" s="1"/>
  <c r="AF156" i="51"/>
  <c r="AP156" i="51" s="1"/>
  <c r="AP110" i="51"/>
  <c r="AQ106" i="51"/>
  <c r="AQ152" i="51" s="1"/>
  <c r="AQ16" i="51"/>
  <c r="AQ18" i="51"/>
  <c r="AQ24" i="51"/>
  <c r="AQ41" i="51"/>
  <c r="AQ131" i="51" s="1"/>
  <c r="AQ177" i="51" s="1"/>
  <c r="AP124" i="51"/>
  <c r="AF170" i="51"/>
  <c r="AP170" i="51" s="1"/>
  <c r="AR36" i="51"/>
  <c r="AQ122" i="51"/>
  <c r="AQ168" i="51" s="1"/>
  <c r="AQ115" i="51"/>
  <c r="AQ161" i="51" s="1"/>
  <c r="AQ110" i="51"/>
  <c r="AQ156" i="51" s="1"/>
  <c r="AF163" i="51"/>
  <c r="AP163" i="51" s="1"/>
  <c r="AP117" i="51"/>
  <c r="AR26" i="51"/>
  <c r="AR116" i="51" s="1"/>
  <c r="AR162" i="51" s="1"/>
  <c r="AF155" i="51"/>
  <c r="AP155" i="51" s="1"/>
  <c r="AP109" i="51"/>
  <c r="AF175" i="51"/>
  <c r="AP175" i="51" s="1"/>
  <c r="AP129" i="51"/>
  <c r="AF181" i="51"/>
  <c r="AP181" i="51" s="1"/>
  <c r="AP135" i="51"/>
  <c r="AF183" i="51"/>
  <c r="AP183" i="51" s="1"/>
  <c r="AP137" i="51"/>
  <c r="AF150" i="51"/>
  <c r="AP150" i="51" s="1"/>
  <c r="AP104" i="51"/>
  <c r="AR38" i="51"/>
  <c r="AR128" i="51"/>
  <c r="AR174" i="51" s="1"/>
  <c r="AQ126" i="51"/>
  <c r="AQ172" i="51" s="1"/>
  <c r="AP138" i="51"/>
  <c r="AF184" i="51"/>
  <c r="AP184" i="51" s="1"/>
  <c r="AR29" i="51"/>
  <c r="AE146" i="51"/>
  <c r="AE139" i="51"/>
  <c r="AP10" i="51"/>
  <c r="AF50" i="51"/>
  <c r="AP116" i="51"/>
  <c r="AF162" i="51"/>
  <c r="AP162" i="51" s="1"/>
  <c r="AQ116" i="51"/>
  <c r="AQ162" i="51" s="1"/>
  <c r="AQ19" i="51"/>
  <c r="AQ109" i="51" s="1"/>
  <c r="AQ155" i="51" s="1"/>
  <c r="AQ39" i="51"/>
  <c r="AQ129" i="51" s="1"/>
  <c r="AQ175" i="51" s="1"/>
  <c r="AQ45" i="51"/>
  <c r="AQ135" i="51" s="1"/>
  <c r="AQ181" i="51" s="1"/>
  <c r="AQ47" i="51"/>
  <c r="AQ137" i="51" s="1"/>
  <c r="AQ183" i="51" s="1"/>
  <c r="AR11" i="51"/>
  <c r="AR101" i="51" s="1"/>
  <c r="AR147" i="51" s="1"/>
  <c r="AF171" i="51"/>
  <c r="AP171" i="51" s="1"/>
  <c r="AP125" i="51"/>
  <c r="AF158" i="51"/>
  <c r="AP158" i="51" s="1"/>
  <c r="AP112" i="51"/>
  <c r="AF100" i="51"/>
  <c r="AR33" i="51"/>
  <c r="AR123" i="51" s="1"/>
  <c r="AR169" i="51" s="1"/>
  <c r="AF151" i="51"/>
  <c r="AP151" i="51" s="1"/>
  <c r="AP105" i="51"/>
  <c r="AF173" i="51"/>
  <c r="AP173" i="51" s="1"/>
  <c r="AP127" i="51"/>
  <c r="AF148" i="51"/>
  <c r="AP148" i="51" s="1"/>
  <c r="AP102" i="51"/>
  <c r="AF153" i="51"/>
  <c r="AP153" i="51" s="1"/>
  <c r="AP107" i="51"/>
  <c r="AF159" i="51"/>
  <c r="AP159" i="51" s="1"/>
  <c r="AP113" i="51"/>
  <c r="AF182" i="51"/>
  <c r="AP182" i="51" s="1"/>
  <c r="AP136" i="51"/>
  <c r="AR117" i="51"/>
  <c r="AR163" i="51" s="1"/>
  <c r="AR27" i="51"/>
  <c r="AR13" i="51"/>
  <c r="AQ101" i="51"/>
  <c r="AQ147" i="51" s="1"/>
  <c r="AP134" i="51"/>
  <c r="AF180" i="51"/>
  <c r="AP180" i="51" s="1"/>
  <c r="AR28" i="51"/>
  <c r="AR118" i="51" s="1"/>
  <c r="AR164" i="51" s="1"/>
  <c r="AQ123" i="51"/>
  <c r="AQ169" i="51" s="1"/>
  <c r="AQ15" i="51"/>
  <c r="AQ37" i="51"/>
  <c r="AQ12" i="51"/>
  <c r="AQ64" i="51"/>
  <c r="AQ96" i="51" s="1"/>
  <c r="AQ198" i="51" s="1"/>
  <c r="AQ23" i="51"/>
  <c r="AQ113" i="51" s="1"/>
  <c r="AQ159" i="51" s="1"/>
  <c r="T10" i="18"/>
  <c r="T15" i="18" s="1"/>
  <c r="T16" i="18" s="1"/>
  <c r="T11" i="18" s="1"/>
  <c r="AP200" i="70"/>
  <c r="AQ200" i="70" s="1"/>
  <c r="AP231" i="70"/>
  <c r="AQ231" i="70" s="1"/>
  <c r="AR231" i="70" s="1"/>
  <c r="AP198" i="70"/>
  <c r="AQ198" i="70" s="1"/>
  <c r="AR198" i="70" s="1"/>
  <c r="AP210" i="70"/>
  <c r="AP226" i="70"/>
  <c r="AQ226" i="70" s="1"/>
  <c r="AR226" i="70" s="1"/>
  <c r="AS226" i="70" s="1"/>
  <c r="AP199" i="70"/>
  <c r="AP207" i="70"/>
  <c r="AQ207" i="70" s="1"/>
  <c r="AR207" i="70" s="1"/>
  <c r="AS207" i="70" s="1"/>
  <c r="AP224" i="70"/>
  <c r="AQ224" i="70" s="1"/>
  <c r="AP229" i="70"/>
  <c r="AQ229" i="70" s="1"/>
  <c r="AR229" i="70" s="1"/>
  <c r="AS229" i="70" s="1"/>
  <c r="AP206" i="70"/>
  <c r="AP244" i="70" s="1"/>
  <c r="AP211" i="70"/>
  <c r="AQ211" i="70" s="1"/>
  <c r="AR211" i="70" s="1"/>
  <c r="AS211" i="70" s="1"/>
  <c r="AP225" i="70"/>
  <c r="AP223" i="70"/>
  <c r="AQ223" i="70" s="1"/>
  <c r="AR223" i="70" s="1"/>
  <c r="AS223" i="70" s="1"/>
  <c r="AP215" i="70"/>
  <c r="AP219" i="70"/>
  <c r="AP209" i="70"/>
  <c r="AP216" i="70"/>
  <c r="AQ216" i="70" s="1"/>
  <c r="AP201" i="70"/>
  <c r="AP217" i="70"/>
  <c r="AQ217" i="70" s="1"/>
  <c r="AR217" i="70" s="1"/>
  <c r="AS217" i="70" s="1"/>
  <c r="AP203" i="70"/>
  <c r="AP232" i="70"/>
  <c r="AQ232" i="70" s="1"/>
  <c r="AR232" i="70" s="1"/>
  <c r="AS232" i="70" s="1"/>
  <c r="AP218" i="70"/>
  <c r="AQ218" i="70" s="1"/>
  <c r="AR218" i="70" s="1"/>
  <c r="AS218" i="70" s="1"/>
  <c r="AP202" i="70"/>
  <c r="AP208" i="70"/>
  <c r="AK28" i="70"/>
  <c r="AL36" i="70"/>
  <c r="AJ37" i="70"/>
  <c r="AM28" i="70"/>
  <c r="AN10" i="70"/>
  <c r="AM37" i="70"/>
  <c r="AO40" i="70"/>
  <c r="AP349" i="70"/>
  <c r="AP117" i="70"/>
  <c r="AP312" i="70"/>
  <c r="AO10" i="70"/>
  <c r="AP347" i="70"/>
  <c r="AP24" i="70"/>
  <c r="AP314" i="70"/>
  <c r="AP126" i="70"/>
  <c r="AP149" i="70" s="1"/>
  <c r="AP174" i="70" s="1"/>
  <c r="AP186" i="70" s="1"/>
  <c r="AM36" i="70"/>
  <c r="AP317" i="70"/>
  <c r="AJ36" i="70"/>
  <c r="AK20" i="70"/>
  <c r="AK10" i="70"/>
  <c r="AP310" i="70"/>
  <c r="AN29" i="70"/>
  <c r="AN36" i="70"/>
  <c r="AP394" i="70"/>
  <c r="AP322" i="70"/>
  <c r="AP336" i="70"/>
  <c r="AP351" i="70"/>
  <c r="AP148" i="70"/>
  <c r="AP170" i="70" s="1"/>
  <c r="AO24" i="70"/>
  <c r="AP330" i="70"/>
  <c r="AP311" i="70"/>
  <c r="AP337" i="70"/>
  <c r="AK29" i="70"/>
  <c r="AP29" i="70"/>
  <c r="AK36" i="70"/>
  <c r="AJ13" i="70"/>
  <c r="AL13" i="70"/>
  <c r="AO29" i="70"/>
  <c r="AM20" i="70"/>
  <c r="AN20" i="70"/>
  <c r="AP318" i="70"/>
  <c r="AP315" i="70"/>
  <c r="AP343" i="70"/>
  <c r="AP321" i="70"/>
  <c r="AP338" i="70"/>
  <c r="AP326" i="70"/>
  <c r="AP331" i="70"/>
  <c r="AO28" i="70"/>
  <c r="AJ28" i="70"/>
  <c r="AP357" i="70"/>
  <c r="AJ10" i="70"/>
  <c r="AL10" i="70"/>
  <c r="AL28" i="70"/>
  <c r="AP382" i="70"/>
  <c r="AP384" i="70" s="1"/>
  <c r="AM10" i="70"/>
  <c r="AM24" i="70"/>
  <c r="AP20" i="70"/>
  <c r="AO20" i="70"/>
  <c r="AP320" i="70"/>
  <c r="AP433" i="70"/>
  <c r="AO13" i="70"/>
  <c r="AP307" i="70"/>
  <c r="AP10" i="70"/>
  <c r="AP348" i="70"/>
  <c r="AP102" i="70" s="1"/>
  <c r="AP316" i="70"/>
  <c r="AP127" i="70"/>
  <c r="AJ29" i="70"/>
  <c r="AK13" i="70"/>
  <c r="AK40" i="70"/>
  <c r="AP334" i="70"/>
  <c r="AN13" i="70"/>
  <c r="AN24" i="70"/>
  <c r="AO37" i="70"/>
  <c r="AP332" i="70"/>
  <c r="AP13" i="70"/>
  <c r="AP36" i="70"/>
  <c r="AP335" i="70"/>
  <c r="AP395" i="70"/>
  <c r="AP399" i="70" s="1"/>
  <c r="AQ399" i="70" s="1"/>
  <c r="AR399" i="70" s="1"/>
  <c r="AS399" i="70" s="1"/>
  <c r="AP319" i="70"/>
  <c r="AP381" i="70"/>
  <c r="AP383" i="70" s="1"/>
  <c r="AJ20" i="70"/>
  <c r="AP346" i="70"/>
  <c r="AP103" i="70" s="1"/>
  <c r="AP344" i="70"/>
  <c r="AJ24" i="70"/>
  <c r="AL40" i="70"/>
  <c r="AL37" i="70"/>
  <c r="AL24" i="70"/>
  <c r="AM40" i="70"/>
  <c r="AN40" i="70"/>
  <c r="AM29" i="70"/>
  <c r="AP313" i="70"/>
  <c r="AP372" i="70"/>
  <c r="AP375" i="70" s="1"/>
  <c r="AP309" i="70"/>
  <c r="AP28" i="70"/>
  <c r="AP308" i="70"/>
  <c r="AP327" i="70"/>
  <c r="AP123" i="70"/>
  <c r="AK24" i="70"/>
  <c r="AP328" i="70"/>
  <c r="AJ40" i="70"/>
  <c r="AJ282" i="70" s="1"/>
  <c r="AL29" i="70"/>
  <c r="AK37" i="70"/>
  <c r="AL20" i="70"/>
  <c r="AN28" i="70"/>
  <c r="AP339" i="70"/>
  <c r="AM13" i="70"/>
  <c r="AP118" i="70"/>
  <c r="AP345" i="70"/>
  <c r="AO36" i="70"/>
  <c r="AP329" i="70"/>
  <c r="AP350" i="70"/>
  <c r="AP333" i="70"/>
  <c r="AP352" i="70"/>
  <c r="AP306" i="70"/>
  <c r="AN37" i="70"/>
  <c r="AP125" i="70"/>
  <c r="AQ199" i="70"/>
  <c r="AS198" i="70"/>
  <c r="AS328" i="70" s="1"/>
  <c r="AR328" i="70"/>
  <c r="AP182" i="70"/>
  <c r="AN263" i="70"/>
  <c r="AN261" i="70"/>
  <c r="AO263" i="70"/>
  <c r="AO261" i="70"/>
  <c r="AS231" i="70"/>
  <c r="AN112" i="72" l="1"/>
  <c r="AQ17" i="51"/>
  <c r="AQ107" i="51" s="1"/>
  <c r="AQ153" i="51" s="1"/>
  <c r="AQ29" i="72"/>
  <c r="AR23" i="72"/>
  <c r="AO112" i="72"/>
  <c r="AN89" i="72"/>
  <c r="AN30" i="72"/>
  <c r="AP30" i="72"/>
  <c r="AL52" i="72"/>
  <c r="AL19" i="72"/>
  <c r="AL85" i="72"/>
  <c r="AM89" i="72"/>
  <c r="AM30" i="72"/>
  <c r="AQ95" i="72"/>
  <c r="AQ96" i="72" s="1"/>
  <c r="AR37" i="72"/>
  <c r="AL112" i="72"/>
  <c r="AQ99" i="72"/>
  <c r="AQ100" i="72" s="1"/>
  <c r="AR43" i="72"/>
  <c r="AO19" i="72"/>
  <c r="AO85" i="72"/>
  <c r="AO52" i="72"/>
  <c r="AO116" i="70" s="1"/>
  <c r="AO119" i="70" s="1"/>
  <c r="AR12" i="72"/>
  <c r="AQ18" i="72"/>
  <c r="AQ103" i="72"/>
  <c r="AQ104" i="72" s="1"/>
  <c r="AR46" i="72"/>
  <c r="AK85" i="72"/>
  <c r="AK52" i="72"/>
  <c r="AK116" i="70" s="1"/>
  <c r="AK119" i="70" s="1"/>
  <c r="AK193" i="70" s="1"/>
  <c r="AK19" i="72"/>
  <c r="AJ52" i="72"/>
  <c r="AJ19" i="72"/>
  <c r="AP79" i="72"/>
  <c r="AQ79" i="72"/>
  <c r="AL89" i="72"/>
  <c r="AL30" i="72"/>
  <c r="AP52" i="72"/>
  <c r="AP116" i="70" s="1"/>
  <c r="AP134" i="70" s="1"/>
  <c r="AP19" i="72"/>
  <c r="AP85" i="72"/>
  <c r="AK30" i="72"/>
  <c r="AR34" i="72"/>
  <c r="AQ91" i="72"/>
  <c r="AQ92" i="72" s="1"/>
  <c r="AQ40" i="72"/>
  <c r="AQ41" i="72" s="1"/>
  <c r="AO30" i="72"/>
  <c r="AO89" i="72"/>
  <c r="AN19" i="72"/>
  <c r="AN52" i="72"/>
  <c r="AN85" i="72"/>
  <c r="AM112" i="72"/>
  <c r="AQ107" i="72"/>
  <c r="AQ108" i="72" s="1"/>
  <c r="AR49" i="72"/>
  <c r="AP41" i="72"/>
  <c r="AM52" i="72"/>
  <c r="AM116" i="70" s="1"/>
  <c r="AM119" i="70" s="1"/>
  <c r="AM193" i="70" s="1"/>
  <c r="AM85" i="72"/>
  <c r="AM19" i="72"/>
  <c r="C49" i="25"/>
  <c r="D48" i="25"/>
  <c r="C50" i="23"/>
  <c r="D49" i="23"/>
  <c r="Q48" i="21"/>
  <c r="C49" i="21"/>
  <c r="D48" i="21"/>
  <c r="C50" i="67"/>
  <c r="D49" i="67"/>
  <c r="AR131" i="51"/>
  <c r="AR177" i="51" s="1"/>
  <c r="AR41" i="51"/>
  <c r="AS25" i="51"/>
  <c r="AS115" i="51" s="1"/>
  <c r="AS161" i="51" s="1"/>
  <c r="AR35" i="51"/>
  <c r="AQ10" i="51"/>
  <c r="AQ100" i="51" s="1"/>
  <c r="AP50" i="51"/>
  <c r="AS14" i="51"/>
  <c r="AS104" i="51" s="1"/>
  <c r="AS150" i="51" s="1"/>
  <c r="AS44" i="51"/>
  <c r="AS134" i="51" s="1"/>
  <c r="AS180" i="51" s="1"/>
  <c r="AS42" i="51"/>
  <c r="AS132" i="51" s="1"/>
  <c r="AS178" i="51" s="1"/>
  <c r="AR46" i="51"/>
  <c r="AR37" i="51"/>
  <c r="AR39" i="51"/>
  <c r="AS38" i="51"/>
  <c r="AS128" i="51" s="1"/>
  <c r="AS174" i="51" s="1"/>
  <c r="AR24" i="51"/>
  <c r="AR134" i="51"/>
  <c r="AR180" i="51" s="1"/>
  <c r="AR132" i="51"/>
  <c r="AR178" i="51" s="1"/>
  <c r="AQ136" i="51"/>
  <c r="AQ182" i="51" s="1"/>
  <c r="AR12" i="51"/>
  <c r="AR113" i="51"/>
  <c r="AR159" i="51" s="1"/>
  <c r="AR23" i="51"/>
  <c r="AQ127" i="51"/>
  <c r="AQ173" i="51" s="1"/>
  <c r="AS11" i="51"/>
  <c r="AS101" i="51" s="1"/>
  <c r="AS147" i="51" s="1"/>
  <c r="AE185" i="51"/>
  <c r="AQ114" i="51"/>
  <c r="AQ160" i="51" s="1"/>
  <c r="AR121" i="51"/>
  <c r="AR167" i="51" s="1"/>
  <c r="AR31" i="51"/>
  <c r="AS40" i="51"/>
  <c r="AS130" i="51" s="1"/>
  <c r="AS176" i="51" s="1"/>
  <c r="AS28" i="51"/>
  <c r="AS118" i="51" s="1"/>
  <c r="AS164" i="51" s="1"/>
  <c r="AR45" i="51"/>
  <c r="AR135" i="51" s="1"/>
  <c r="AR181" i="51" s="1"/>
  <c r="AR15" i="51"/>
  <c r="AR105" i="51" s="1"/>
  <c r="AR151" i="51" s="1"/>
  <c r="AS13" i="51"/>
  <c r="AS103" i="51" s="1"/>
  <c r="AS149" i="51" s="1"/>
  <c r="AR66" i="51"/>
  <c r="AR19" i="51" s="1"/>
  <c r="AS29" i="51"/>
  <c r="AS119" i="51" s="1"/>
  <c r="AS165" i="51" s="1"/>
  <c r="AS36" i="51"/>
  <c r="AS126" i="51" s="1"/>
  <c r="AS172" i="51" s="1"/>
  <c r="AR65" i="51"/>
  <c r="AS30" i="51"/>
  <c r="AS120" i="51" s="1"/>
  <c r="AS166" i="51" s="1"/>
  <c r="AS32" i="51"/>
  <c r="AS122" i="51" s="1"/>
  <c r="AS168" i="51" s="1"/>
  <c r="AQ121" i="51"/>
  <c r="AQ167" i="51" s="1"/>
  <c r="AR130" i="51"/>
  <c r="AR176" i="51" s="1"/>
  <c r="AQ102" i="51"/>
  <c r="AQ148" i="51" s="1"/>
  <c r="AQ105" i="51"/>
  <c r="AQ151" i="51" s="1"/>
  <c r="AR103" i="51"/>
  <c r="AR149" i="51" s="1"/>
  <c r="AS33" i="51"/>
  <c r="AS123" i="51" s="1"/>
  <c r="AS169" i="51" s="1"/>
  <c r="AR47" i="51"/>
  <c r="AR119" i="51"/>
  <c r="AR165" i="51" s="1"/>
  <c r="AR126" i="51"/>
  <c r="AR172" i="51" s="1"/>
  <c r="AQ108" i="51"/>
  <c r="AQ154" i="51" s="1"/>
  <c r="AS67" i="51"/>
  <c r="AS96" i="51" s="1"/>
  <c r="AS198" i="51" s="1"/>
  <c r="AR122" i="51"/>
  <c r="AR168" i="51" s="1"/>
  <c r="AS22" i="51"/>
  <c r="AS112" i="51" s="1"/>
  <c r="AS158" i="51" s="1"/>
  <c r="AR34" i="51"/>
  <c r="AR124" i="51" s="1"/>
  <c r="AR170" i="51" s="1"/>
  <c r="AS133" i="51"/>
  <c r="AS179" i="51" s="1"/>
  <c r="AS43" i="51"/>
  <c r="AR17" i="51"/>
  <c r="AR107" i="51"/>
  <c r="AR153" i="51" s="1"/>
  <c r="AS27" i="51"/>
  <c r="AS117" i="51" s="1"/>
  <c r="AS163" i="51" s="1"/>
  <c r="AP100" i="51"/>
  <c r="AP139" i="51" s="1"/>
  <c r="AF146" i="51"/>
  <c r="AF185" i="51" s="1"/>
  <c r="AF139" i="51"/>
  <c r="AS26" i="51"/>
  <c r="AS116" i="51" s="1"/>
  <c r="AS162" i="51" s="1"/>
  <c r="AR16" i="51"/>
  <c r="AS68" i="51"/>
  <c r="AS21" i="51" s="1"/>
  <c r="AS111" i="51" s="1"/>
  <c r="AS157" i="51" s="1"/>
  <c r="AQ124" i="51"/>
  <c r="AQ170" i="51" s="1"/>
  <c r="AR133" i="51"/>
  <c r="AR179" i="51" s="1"/>
  <c r="AS202" i="51"/>
  <c r="AS203" i="51" s="1"/>
  <c r="AS204" i="51" s="1"/>
  <c r="AS49" i="51" s="1"/>
  <c r="AR49" i="51"/>
  <c r="AR138" i="51" s="1"/>
  <c r="AR184" i="51" s="1"/>
  <c r="AM57" i="70"/>
  <c r="AO193" i="70"/>
  <c r="D81" i="18"/>
  <c r="AO57" i="70"/>
  <c r="V10" i="18"/>
  <c r="V15" i="18" s="1"/>
  <c r="V16" i="18" s="1"/>
  <c r="V11" i="18" s="1"/>
  <c r="U10" i="18"/>
  <c r="U15" i="18" s="1"/>
  <c r="U16" i="18" s="1"/>
  <c r="U11" i="18" s="1"/>
  <c r="AQ258" i="70"/>
  <c r="AK283" i="70"/>
  <c r="AK272" i="70"/>
  <c r="AL272" i="70"/>
  <c r="AL283" i="70"/>
  <c r="AP93" i="70"/>
  <c r="AM272" i="70"/>
  <c r="AM283" i="70"/>
  <c r="E12" i="18"/>
  <c r="AL282" i="70"/>
  <c r="D12" i="18"/>
  <c r="AK282" i="70"/>
  <c r="AP258" i="70"/>
  <c r="AK269" i="70"/>
  <c r="AK284" i="70"/>
  <c r="AJ283" i="70"/>
  <c r="AJ272" i="70"/>
  <c r="AJ269" i="70"/>
  <c r="AJ284" i="70"/>
  <c r="AL269" i="70"/>
  <c r="AL284" i="70"/>
  <c r="AP94" i="70"/>
  <c r="F12" i="18"/>
  <c r="AM282" i="70"/>
  <c r="AM284" i="70"/>
  <c r="AM269" i="70"/>
  <c r="AQ328" i="70"/>
  <c r="AP245" i="70"/>
  <c r="AP175" i="70"/>
  <c r="AP187" i="70" s="1"/>
  <c r="AP104" i="70"/>
  <c r="AO293" i="70"/>
  <c r="AO294" i="70"/>
  <c r="AO14" i="70"/>
  <c r="AL294" i="70"/>
  <c r="AL293" i="70"/>
  <c r="AL14" i="70"/>
  <c r="AO25" i="70"/>
  <c r="AO26" i="70"/>
  <c r="AP26" i="70"/>
  <c r="AP25" i="70"/>
  <c r="AN298" i="70"/>
  <c r="AN297" i="70"/>
  <c r="AN292" i="70"/>
  <c r="AN300" i="70"/>
  <c r="AN11" i="70"/>
  <c r="AN398" i="70"/>
  <c r="AN16" i="70"/>
  <c r="AN272" i="70"/>
  <c r="AN283" i="70"/>
  <c r="AJ26" i="70"/>
  <c r="AJ25" i="70"/>
  <c r="AP284" i="70"/>
  <c r="AP269" i="70"/>
  <c r="AK294" i="70"/>
  <c r="AK14" i="70"/>
  <c r="AK293" i="70"/>
  <c r="AP423" i="70"/>
  <c r="AQ423" i="70" s="1"/>
  <c r="AR423" i="70" s="1"/>
  <c r="AS423" i="70" s="1"/>
  <c r="AP435" i="70"/>
  <c r="AQ432" i="70" s="1"/>
  <c r="AQ435" i="70" s="1"/>
  <c r="AL398" i="70"/>
  <c r="AL298" i="70"/>
  <c r="AL297" i="70"/>
  <c r="AL16" i="70"/>
  <c r="AL292" i="70"/>
  <c r="AL300" i="70"/>
  <c r="AL11" i="70"/>
  <c r="AJ14" i="70"/>
  <c r="AJ294" i="70"/>
  <c r="AJ293" i="70"/>
  <c r="AK292" i="70"/>
  <c r="AK11" i="70"/>
  <c r="AK300" i="70"/>
  <c r="AK298" i="70"/>
  <c r="AK16" i="70"/>
  <c r="AK398" i="70"/>
  <c r="AK297" i="70"/>
  <c r="AP297" i="70"/>
  <c r="AR224" i="70"/>
  <c r="AR258" i="70" s="1"/>
  <c r="AP92" i="70"/>
  <c r="AP151" i="70"/>
  <c r="I10" i="18" s="1"/>
  <c r="I15" i="18" s="1"/>
  <c r="AP323" i="70"/>
  <c r="AM293" i="70"/>
  <c r="AM294" i="70"/>
  <c r="AM14" i="70"/>
  <c r="AK26" i="70"/>
  <c r="AK25" i="70"/>
  <c r="AP14" i="70"/>
  <c r="AJ398" i="70"/>
  <c r="AJ298" i="70"/>
  <c r="AJ297" i="70"/>
  <c r="AJ292" i="70"/>
  <c r="AJ300" i="70"/>
  <c r="AJ16" i="70"/>
  <c r="AJ11" i="70"/>
  <c r="AK30" i="70"/>
  <c r="AK138" i="70"/>
  <c r="AK141" i="70" s="1"/>
  <c r="AK142" i="70" s="1"/>
  <c r="AK21" i="70"/>
  <c r="AK22" i="70"/>
  <c r="AO297" i="70"/>
  <c r="AO298" i="70"/>
  <c r="AO292" i="70"/>
  <c r="AO11" i="70"/>
  <c r="AO300" i="70"/>
  <c r="AO16" i="70"/>
  <c r="AO398" i="70"/>
  <c r="AQ215" i="70"/>
  <c r="AP220" i="70"/>
  <c r="AP294" i="70"/>
  <c r="AP58" i="70"/>
  <c r="AO30" i="70"/>
  <c r="AO138" i="70"/>
  <c r="AO141" i="70" s="1"/>
  <c r="AO142" i="70" s="1"/>
  <c r="AO22" i="70"/>
  <c r="AO21" i="70"/>
  <c r="AQ201" i="70"/>
  <c r="AR201" i="70" s="1"/>
  <c r="AS201" i="70" s="1"/>
  <c r="AP293" i="70"/>
  <c r="G12" i="18"/>
  <c r="AN282" i="70"/>
  <c r="AJ30" i="70"/>
  <c r="AJ21" i="70"/>
  <c r="AJ138" i="70"/>
  <c r="AJ141" i="70" s="1"/>
  <c r="AJ22" i="70"/>
  <c r="AO272" i="70"/>
  <c r="AO283" i="70"/>
  <c r="I16" i="18"/>
  <c r="AP22" i="70"/>
  <c r="AP138" i="70"/>
  <c r="AP141" i="70" s="1"/>
  <c r="AP30" i="70"/>
  <c r="AP21" i="70"/>
  <c r="AP119" i="70"/>
  <c r="AP136" i="70" s="1"/>
  <c r="AF30" i="33" s="1"/>
  <c r="AQ319" i="70"/>
  <c r="AR216" i="70"/>
  <c r="AP254" i="70"/>
  <c r="AQ225" i="70"/>
  <c r="AL138" i="70"/>
  <c r="AL21" i="70"/>
  <c r="AL30" i="70"/>
  <c r="AL22" i="70"/>
  <c r="AP98" i="70"/>
  <c r="AQ381" i="70"/>
  <c r="AQ383" i="70" s="1"/>
  <c r="AP66" i="70"/>
  <c r="AN26" i="70"/>
  <c r="AN25" i="70"/>
  <c r="AM25" i="70"/>
  <c r="AM26" i="70"/>
  <c r="AN21" i="70"/>
  <c r="AN138" i="70"/>
  <c r="AN141" i="70" s="1"/>
  <c r="AN30" i="70"/>
  <c r="AN22" i="70"/>
  <c r="AP396" i="70"/>
  <c r="AQ393" i="70" s="1"/>
  <c r="AQ395" i="70" s="1"/>
  <c r="AQ306" i="70" s="1"/>
  <c r="AQ92" i="70" s="1"/>
  <c r="AP398" i="70"/>
  <c r="AQ208" i="70"/>
  <c r="AQ339" i="70" s="1"/>
  <c r="AP249" i="70"/>
  <c r="AQ209" i="70"/>
  <c r="AR209" i="70" s="1"/>
  <c r="AS209" i="70" s="1"/>
  <c r="AR200" i="70"/>
  <c r="AR199" i="70"/>
  <c r="AL25" i="70"/>
  <c r="AL26" i="70"/>
  <c r="AN293" i="70"/>
  <c r="AN294" i="70"/>
  <c r="AN14" i="70"/>
  <c r="AP16" i="70"/>
  <c r="AP11" i="70"/>
  <c r="AM292" i="70"/>
  <c r="AM16" i="70"/>
  <c r="AM11" i="70"/>
  <c r="AM297" i="70"/>
  <c r="AM298" i="70"/>
  <c r="AM398" i="70"/>
  <c r="AM300" i="70"/>
  <c r="AM30" i="70"/>
  <c r="AM22" i="70"/>
  <c r="AM21" i="70"/>
  <c r="AM138" i="70"/>
  <c r="AM141" i="70" s="1"/>
  <c r="AM142" i="70" s="1"/>
  <c r="AN269" i="70"/>
  <c r="AN284" i="70"/>
  <c r="AO282" i="70"/>
  <c r="H12" i="18"/>
  <c r="AQ202" i="70"/>
  <c r="AP292" i="70"/>
  <c r="AP243" i="70"/>
  <c r="AP246" i="70" s="1"/>
  <c r="AO269" i="70"/>
  <c r="AO284" i="70"/>
  <c r="AP300" i="70"/>
  <c r="AP97" i="70"/>
  <c r="I17" i="18"/>
  <c r="I92" i="18"/>
  <c r="AP340" i="70"/>
  <c r="AP191" i="70"/>
  <c r="AP298" i="70"/>
  <c r="AK57" i="70" l="1"/>
  <c r="AN53" i="72"/>
  <c r="AN116" i="70"/>
  <c r="AN119" i="70" s="1"/>
  <c r="AJ53" i="72"/>
  <c r="AJ116" i="70"/>
  <c r="AJ119" i="70" s="1"/>
  <c r="AJ142" i="70"/>
  <c r="AS34" i="72"/>
  <c r="AR91" i="72"/>
  <c r="AR92" i="72" s="1"/>
  <c r="AR40" i="72"/>
  <c r="AR41" i="72" s="1"/>
  <c r="AR99" i="72"/>
  <c r="AR100" i="72" s="1"/>
  <c r="AS43" i="72"/>
  <c r="AS99" i="72" s="1"/>
  <c r="AS100" i="72" s="1"/>
  <c r="AR107" i="72"/>
  <c r="AR108" i="72" s="1"/>
  <c r="AS49" i="72"/>
  <c r="AS107" i="72" s="1"/>
  <c r="AR103" i="72"/>
  <c r="AR104" i="72" s="1"/>
  <c r="AS46" i="72"/>
  <c r="AS103" i="72" s="1"/>
  <c r="AL116" i="70"/>
  <c r="AL119" i="70" s="1"/>
  <c r="AL53" i="72"/>
  <c r="AS12" i="72"/>
  <c r="AS18" i="72" s="1"/>
  <c r="AR18" i="72"/>
  <c r="AR95" i="72"/>
  <c r="AR96" i="72" s="1"/>
  <c r="AS37" i="72"/>
  <c r="AS95" i="72" s="1"/>
  <c r="AO53" i="72"/>
  <c r="AR29" i="72"/>
  <c r="AS23" i="72"/>
  <c r="AS29" i="72" s="1"/>
  <c r="AQ19" i="72"/>
  <c r="AQ83" i="72"/>
  <c r="AQ52" i="72"/>
  <c r="AM53" i="72"/>
  <c r="AP53" i="72"/>
  <c r="AK53" i="72"/>
  <c r="AQ30" i="72"/>
  <c r="AQ87" i="72"/>
  <c r="AQ88" i="72" s="1"/>
  <c r="D49" i="25"/>
  <c r="C50" i="25"/>
  <c r="C51" i="23"/>
  <c r="D50" i="23"/>
  <c r="Q49" i="21"/>
  <c r="C50" i="21"/>
  <c r="D49" i="21"/>
  <c r="C51" i="67"/>
  <c r="D50" i="67"/>
  <c r="AS19" i="51"/>
  <c r="AS109" i="51" s="1"/>
  <c r="AS155" i="51" s="1"/>
  <c r="AR109" i="51"/>
  <c r="AR155" i="51" s="1"/>
  <c r="AQ146" i="51"/>
  <c r="AQ185" i="51" s="1"/>
  <c r="AQ139" i="51"/>
  <c r="AS20" i="51"/>
  <c r="AS110" i="51" s="1"/>
  <c r="AS156" i="51" s="1"/>
  <c r="AS12" i="51"/>
  <c r="AS102" i="51" s="1"/>
  <c r="AS148" i="51" s="1"/>
  <c r="AS35" i="51"/>
  <c r="AS125" i="51" s="1"/>
  <c r="AS171" i="51" s="1"/>
  <c r="AS45" i="51"/>
  <c r="AS135" i="51" s="1"/>
  <c r="AS181" i="51" s="1"/>
  <c r="AP146" i="51"/>
  <c r="AP185" i="51" s="1"/>
  <c r="AP188" i="51" s="1"/>
  <c r="AR102" i="51"/>
  <c r="AR148" i="51" s="1"/>
  <c r="AS39" i="51"/>
  <c r="AS129" i="51" s="1"/>
  <c r="AS175" i="51" s="1"/>
  <c r="AR125" i="51"/>
  <c r="AR171" i="51" s="1"/>
  <c r="AR96" i="51"/>
  <c r="AR198" i="51" s="1"/>
  <c r="AR129" i="51"/>
  <c r="AR175" i="51" s="1"/>
  <c r="AS138" i="51"/>
  <c r="AS184" i="51" s="1"/>
  <c r="AS16" i="51"/>
  <c r="AS106" i="51" s="1"/>
  <c r="AS152" i="51" s="1"/>
  <c r="AS34" i="51"/>
  <c r="AS124" i="51" s="1"/>
  <c r="AS170" i="51" s="1"/>
  <c r="AS37" i="51"/>
  <c r="AS127" i="51"/>
  <c r="AS173" i="51" s="1"/>
  <c r="AR106" i="51"/>
  <c r="AR152" i="51" s="1"/>
  <c r="AR18" i="51"/>
  <c r="AR127" i="51"/>
  <c r="AR173" i="51" s="1"/>
  <c r="AS41" i="51"/>
  <c r="AS131" i="51" s="1"/>
  <c r="AS177" i="51" s="1"/>
  <c r="AS47" i="51"/>
  <c r="AS137" i="51" s="1"/>
  <c r="AS183" i="51" s="1"/>
  <c r="AS24" i="51"/>
  <c r="AS114" i="51" s="1"/>
  <c r="AS160" i="51" s="1"/>
  <c r="AS46" i="51"/>
  <c r="AS136" i="51" s="1"/>
  <c r="AS182" i="51" s="1"/>
  <c r="AS17" i="51"/>
  <c r="AS107" i="51"/>
  <c r="AS153" i="51" s="1"/>
  <c r="AR137" i="51"/>
  <c r="AR183" i="51" s="1"/>
  <c r="AS15" i="51"/>
  <c r="AS105" i="51" s="1"/>
  <c r="AS151" i="51" s="1"/>
  <c r="AS31" i="51"/>
  <c r="AS121" i="51" s="1"/>
  <c r="AS167" i="51" s="1"/>
  <c r="AS23" i="51"/>
  <c r="AS113" i="51" s="1"/>
  <c r="AS159" i="51" s="1"/>
  <c r="AR114" i="51"/>
  <c r="AR160" i="51" s="1"/>
  <c r="AR136" i="51"/>
  <c r="AR182" i="51" s="1"/>
  <c r="AR10" i="51"/>
  <c r="AR100" i="51"/>
  <c r="AQ50" i="51"/>
  <c r="AJ285" i="70"/>
  <c r="AJ277" i="70" s="1"/>
  <c r="AM285" i="70"/>
  <c r="AM277" i="70" s="1"/>
  <c r="AK285" i="70"/>
  <c r="AK277" i="70" s="1"/>
  <c r="AL285" i="70"/>
  <c r="AL277" i="70" s="1"/>
  <c r="AO295" i="70"/>
  <c r="AP99" i="70"/>
  <c r="AP142" i="70"/>
  <c r="AM295" i="70"/>
  <c r="AJ295" i="70"/>
  <c r="AQ243" i="70"/>
  <c r="AQ151" i="70"/>
  <c r="J10" i="18" s="1"/>
  <c r="J15" i="18" s="1"/>
  <c r="AK295" i="70"/>
  <c r="AQ98" i="70"/>
  <c r="AR202" i="70"/>
  <c r="AS199" i="70"/>
  <c r="AP18" i="70"/>
  <c r="AP122" i="70"/>
  <c r="AP131" i="70" s="1"/>
  <c r="AP17" i="70"/>
  <c r="AP32" i="70"/>
  <c r="AR215" i="70"/>
  <c r="AN295" i="70"/>
  <c r="AO285" i="70"/>
  <c r="AO277" i="70" s="1"/>
  <c r="AS200" i="70"/>
  <c r="AQ254" i="70"/>
  <c r="AR225" i="70"/>
  <c r="AR432" i="70"/>
  <c r="AR435" i="70" s="1"/>
  <c r="AQ210" i="70"/>
  <c r="AQ249" i="70" s="1"/>
  <c r="AP268" i="70"/>
  <c r="AP278" i="70"/>
  <c r="AO32" i="70"/>
  <c r="AO122" i="70"/>
  <c r="AO18" i="70"/>
  <c r="AO17" i="70"/>
  <c r="AK32" i="70"/>
  <c r="AK276" i="70" s="1"/>
  <c r="AK122" i="70"/>
  <c r="AK18" i="70"/>
  <c r="AK17" i="70"/>
  <c r="AR381" i="70"/>
  <c r="AR383" i="70" s="1"/>
  <c r="AQ66" i="70"/>
  <c r="AQ382" i="70"/>
  <c r="AS216" i="70"/>
  <c r="AS319" i="70" s="1"/>
  <c r="AR319" i="70"/>
  <c r="AN285" i="70"/>
  <c r="AN277" i="70" s="1"/>
  <c r="AP150" i="70"/>
  <c r="AL295" i="70"/>
  <c r="AN32" i="70"/>
  <c r="AN122" i="70"/>
  <c r="AN18" i="70"/>
  <c r="AN17" i="70"/>
  <c r="AP295" i="70"/>
  <c r="AM122" i="70"/>
  <c r="AM18" i="70"/>
  <c r="AM17" i="70"/>
  <c r="AM32" i="70"/>
  <c r="AM276" i="70" s="1"/>
  <c r="F10" i="20"/>
  <c r="F19" i="20" s="1"/>
  <c r="F28" i="20" s="1"/>
  <c r="E81" i="18"/>
  <c r="AP57" i="70"/>
  <c r="AP72" i="70" s="1"/>
  <c r="AP120" i="70"/>
  <c r="AP156" i="70"/>
  <c r="AP157" i="70"/>
  <c r="AP155" i="70"/>
  <c r="AJ18" i="70"/>
  <c r="AJ17" i="70"/>
  <c r="AJ32" i="70"/>
  <c r="AJ276" i="70" s="1"/>
  <c r="AJ122" i="70"/>
  <c r="AS224" i="70"/>
  <c r="AS258" i="70" s="1"/>
  <c r="AL122" i="70"/>
  <c r="AL18" i="70"/>
  <c r="AL32" i="70"/>
  <c r="AL276" i="70" s="1"/>
  <c r="AL17" i="70"/>
  <c r="AR208" i="70"/>
  <c r="AK279" i="70" l="1"/>
  <c r="AJ193" i="70"/>
  <c r="AJ120" i="70"/>
  <c r="AJ57" i="70"/>
  <c r="AK120" i="70"/>
  <c r="AQ53" i="72"/>
  <c r="AQ10" i="70"/>
  <c r="AQ116" i="70"/>
  <c r="AO120" i="70"/>
  <c r="AN57" i="70"/>
  <c r="AN193" i="70"/>
  <c r="AN120" i="70"/>
  <c r="AN142" i="70"/>
  <c r="AL57" i="70"/>
  <c r="AL193" i="70"/>
  <c r="AL142" i="70"/>
  <c r="AL120" i="70"/>
  <c r="AM120" i="70"/>
  <c r="AJ279" i="70"/>
  <c r="AJ288" i="70" s="1"/>
  <c r="AJ81" i="70" s="1"/>
  <c r="AS96" i="72"/>
  <c r="AS108" i="72"/>
  <c r="AQ84" i="72"/>
  <c r="AQ111" i="72"/>
  <c r="AQ112" i="72" s="1"/>
  <c r="AS19" i="72"/>
  <c r="AS83" i="72"/>
  <c r="AR83" i="72"/>
  <c r="AR19" i="72"/>
  <c r="AR52" i="72"/>
  <c r="AS30" i="72"/>
  <c r="AS87" i="72"/>
  <c r="AR87" i="72"/>
  <c r="AR88" i="72" s="1"/>
  <c r="AR30" i="72"/>
  <c r="AS104" i="72"/>
  <c r="AS91" i="72"/>
  <c r="AS92" i="72" s="1"/>
  <c r="AS40" i="72"/>
  <c r="C51" i="25"/>
  <c r="D50" i="25"/>
  <c r="C52" i="23"/>
  <c r="D51" i="23"/>
  <c r="Q50" i="21"/>
  <c r="C51" i="21"/>
  <c r="D50" i="21"/>
  <c r="D51" i="67"/>
  <c r="C52" i="67"/>
  <c r="AS18" i="51"/>
  <c r="AS108" i="51" s="1"/>
  <c r="AS154" i="51" s="1"/>
  <c r="AR108" i="51"/>
  <c r="AR154" i="51" s="1"/>
  <c r="AS10" i="51"/>
  <c r="AS50" i="51" s="1"/>
  <c r="AR50" i="51"/>
  <c r="AR146" i="51"/>
  <c r="AR185" i="51" s="1"/>
  <c r="AQ348" i="70"/>
  <c r="AQ384" i="70"/>
  <c r="AL279" i="70"/>
  <c r="AL287" i="70" s="1"/>
  <c r="AL80" i="70" s="1"/>
  <c r="AM279" i="70"/>
  <c r="AM287" i="70" s="1"/>
  <c r="AM80" i="70" s="1"/>
  <c r="AL288" i="70"/>
  <c r="AL81" i="70" s="1"/>
  <c r="AK287" i="70"/>
  <c r="AK80" i="70" s="1"/>
  <c r="AK288" i="70"/>
  <c r="AK81" i="70" s="1"/>
  <c r="AR339" i="70"/>
  <c r="AR98" i="70"/>
  <c r="AJ144" i="70"/>
  <c r="AJ150" i="70" s="1"/>
  <c r="AJ60" i="70" s="1"/>
  <c r="AJ34" i="70"/>
  <c r="AJ154" i="70" s="1"/>
  <c r="AJ38" i="70"/>
  <c r="AJ33" i="70"/>
  <c r="AJ114" i="72"/>
  <c r="AM127" i="70"/>
  <c r="AM131" i="70"/>
  <c r="AL38" i="70"/>
  <c r="AL114" i="72"/>
  <c r="AL144" i="70"/>
  <c r="AL150" i="70" s="1"/>
  <c r="AL60" i="70" s="1"/>
  <c r="AL34" i="70"/>
  <c r="AL154" i="70" s="1"/>
  <c r="AL33" i="70"/>
  <c r="AP84" i="70"/>
  <c r="AK127" i="70"/>
  <c r="AK131" i="70"/>
  <c r="AS215" i="70"/>
  <c r="AK144" i="70"/>
  <c r="AK150" i="70" s="1"/>
  <c r="AK60" i="70" s="1"/>
  <c r="AK34" i="70"/>
  <c r="AK154" i="70" s="1"/>
  <c r="AK33" i="70"/>
  <c r="AK114" i="72"/>
  <c r="AK38" i="70"/>
  <c r="AS432" i="70"/>
  <c r="AS435" i="70" s="1"/>
  <c r="AS210" i="70" s="1"/>
  <c r="AS249" i="70" s="1"/>
  <c r="AR210" i="70"/>
  <c r="AR249" i="70" s="1"/>
  <c r="AN127" i="70"/>
  <c r="AN131" i="70"/>
  <c r="AS225" i="70"/>
  <c r="AS254" i="70" s="1"/>
  <c r="AR254" i="70"/>
  <c r="AM38" i="70"/>
  <c r="AM144" i="70"/>
  <c r="AM150" i="70" s="1"/>
  <c r="AM60" i="70" s="1"/>
  <c r="AM34" i="70"/>
  <c r="AM154" i="70" s="1"/>
  <c r="AM33" i="70"/>
  <c r="AM114" i="72"/>
  <c r="AN276" i="70"/>
  <c r="AN279" i="70" s="1"/>
  <c r="AN144" i="70"/>
  <c r="AN150" i="70" s="1"/>
  <c r="AN34" i="70"/>
  <c r="AN154" i="70" s="1"/>
  <c r="AN33" i="70"/>
  <c r="AN38" i="70"/>
  <c r="AN114" i="72"/>
  <c r="AQ102" i="70"/>
  <c r="AQ195" i="51"/>
  <c r="AQ278" i="70"/>
  <c r="AQ268" i="70"/>
  <c r="AP276" i="70"/>
  <c r="AP34" i="70"/>
  <c r="AP33" i="70"/>
  <c r="AP114" i="72"/>
  <c r="AS202" i="70"/>
  <c r="AL127" i="70"/>
  <c r="AL131" i="70"/>
  <c r="AO127" i="70"/>
  <c r="AO131" i="70"/>
  <c r="AS208" i="70"/>
  <c r="AS339" i="70" s="1"/>
  <c r="AJ127" i="70"/>
  <c r="AJ131" i="70"/>
  <c r="AP144" i="70"/>
  <c r="AP158" i="70"/>
  <c r="AP154" i="70" s="1"/>
  <c r="AP60" i="70"/>
  <c r="AP152" i="70"/>
  <c r="AR66" i="70"/>
  <c r="AS381" i="70"/>
  <c r="AS383" i="70" s="1"/>
  <c r="AR382" i="70"/>
  <c r="AO144" i="70"/>
  <c r="AO150" i="70" s="1"/>
  <c r="AO114" i="72"/>
  <c r="AO33" i="70"/>
  <c r="AO34" i="70"/>
  <c r="AO154" i="70" s="1"/>
  <c r="AO38" i="70"/>
  <c r="AO276" i="70"/>
  <c r="AO279" i="70" s="1"/>
  <c r="AR243" i="70"/>
  <c r="AQ119" i="70" l="1"/>
  <c r="AQ134" i="70"/>
  <c r="AQ131" i="70" s="1"/>
  <c r="AQ11" i="70"/>
  <c r="AQ307" i="70"/>
  <c r="AQ93" i="70" s="1"/>
  <c r="AQ24" i="70"/>
  <c r="AQ25" i="70" s="1"/>
  <c r="AQ20" i="70"/>
  <c r="AQ219" i="70"/>
  <c r="AQ220" i="70" s="1"/>
  <c r="AQ394" i="70"/>
  <c r="AQ203" i="70"/>
  <c r="AR53" i="72"/>
  <c r="AR10" i="70"/>
  <c r="AR116" i="70"/>
  <c r="AJ84" i="70"/>
  <c r="AK84" i="70"/>
  <c r="AN84" i="70"/>
  <c r="AO84" i="70"/>
  <c r="AJ287" i="70"/>
  <c r="AJ80" i="70" s="1"/>
  <c r="AL84" i="70"/>
  <c r="AM84" i="70"/>
  <c r="AS41" i="72"/>
  <c r="AS52" i="72"/>
  <c r="AR84" i="72"/>
  <c r="AR111" i="72"/>
  <c r="AR112" i="72" s="1"/>
  <c r="AS88" i="72"/>
  <c r="AS84" i="72"/>
  <c r="AS111" i="72"/>
  <c r="C52" i="25"/>
  <c r="D51" i="25"/>
  <c r="C53" i="23"/>
  <c r="D52" i="23"/>
  <c r="Q51" i="21"/>
  <c r="C52" i="21"/>
  <c r="D51" i="21"/>
  <c r="C53" i="67"/>
  <c r="D52" i="67"/>
  <c r="AS100" i="51"/>
  <c r="AR139" i="51"/>
  <c r="AR348" i="70"/>
  <c r="AR384" i="70"/>
  <c r="AM288" i="70"/>
  <c r="AM81" i="70" s="1"/>
  <c r="AJ87" i="70"/>
  <c r="AJ74" i="70"/>
  <c r="AM87" i="70"/>
  <c r="AM74" i="70"/>
  <c r="AK136" i="70"/>
  <c r="AA30" i="33" s="1"/>
  <c r="AK58" i="70"/>
  <c r="AM136" i="70"/>
  <c r="AC30" i="33" s="1"/>
  <c r="AM58" i="70"/>
  <c r="AS243" i="70"/>
  <c r="AK87" i="70"/>
  <c r="AK74" i="70"/>
  <c r="AL136" i="70"/>
  <c r="AB30" i="33" s="1"/>
  <c r="AL58" i="70"/>
  <c r="AJ136" i="70"/>
  <c r="AJ58" i="70"/>
  <c r="AL87" i="70"/>
  <c r="AL74" i="70"/>
  <c r="AS98" i="70"/>
  <c r="AK152" i="70"/>
  <c r="AK158" i="70"/>
  <c r="AO288" i="70"/>
  <c r="AO81" i="70" s="1"/>
  <c r="AO287" i="70"/>
  <c r="AO80" i="70" s="1"/>
  <c r="P48" i="18" s="1"/>
  <c r="AN58" i="70"/>
  <c r="AN136" i="70"/>
  <c r="AD30" i="33" s="1"/>
  <c r="AO43" i="70"/>
  <c r="AO41" i="70"/>
  <c r="AP74" i="70"/>
  <c r="AN41" i="70"/>
  <c r="AN43" i="70"/>
  <c r="AM158" i="70"/>
  <c r="AM152" i="70"/>
  <c r="AJ43" i="70"/>
  <c r="AJ267" i="70" s="1"/>
  <c r="AJ270" i="70" s="1"/>
  <c r="AJ273" i="70" s="1"/>
  <c r="AJ41" i="70"/>
  <c r="AO136" i="70"/>
  <c r="AE30" i="33" s="1"/>
  <c r="AO58" i="70"/>
  <c r="AO72" i="70" s="1"/>
  <c r="AM43" i="70"/>
  <c r="AM267" i="70" s="1"/>
  <c r="AM270" i="70" s="1"/>
  <c r="AM273" i="70" s="1"/>
  <c r="AM41" i="70"/>
  <c r="AK43" i="70"/>
  <c r="AK267" i="70" s="1"/>
  <c r="AK270" i="70" s="1"/>
  <c r="AK273" i="70" s="1"/>
  <c r="AK41" i="70"/>
  <c r="AL152" i="70"/>
  <c r="AL158" i="70"/>
  <c r="I9" i="18"/>
  <c r="F11" i="20"/>
  <c r="F20" i="20" s="1"/>
  <c r="F29" i="20" s="1"/>
  <c r="AP59" i="70"/>
  <c r="AR268" i="70"/>
  <c r="AR278" i="70"/>
  <c r="AJ152" i="70"/>
  <c r="AJ59" i="70" s="1"/>
  <c r="AJ158" i="70"/>
  <c r="AS382" i="70"/>
  <c r="AS66" i="70"/>
  <c r="AO60" i="70"/>
  <c r="AP87" i="70" s="1"/>
  <c r="AO158" i="70"/>
  <c r="AO152" i="70"/>
  <c r="AN60" i="70"/>
  <c r="AN152" i="70"/>
  <c r="AN158" i="70"/>
  <c r="AS268" i="70"/>
  <c r="AS278" i="70"/>
  <c r="AL41" i="70"/>
  <c r="AL43" i="70"/>
  <c r="AL267" i="70" s="1"/>
  <c r="AL270" i="70" s="1"/>
  <c r="AL273" i="70" s="1"/>
  <c r="AR102" i="70"/>
  <c r="AR195" i="51"/>
  <c r="AN288" i="70"/>
  <c r="AN81" i="70" s="1"/>
  <c r="AN287" i="70"/>
  <c r="AN80" i="70" s="1"/>
  <c r="AS112" i="72" l="1"/>
  <c r="AS53" i="72"/>
  <c r="AS116" i="70"/>
  <c r="AS10" i="70"/>
  <c r="AQ30" i="70"/>
  <c r="AQ138" i="70"/>
  <c r="AQ141" i="70" s="1"/>
  <c r="AQ142" i="70" s="1"/>
  <c r="AQ21" i="70"/>
  <c r="AR134" i="70"/>
  <c r="AR131" i="70" s="1"/>
  <c r="AR119" i="70"/>
  <c r="AR24" i="70"/>
  <c r="AR25" i="70" s="1"/>
  <c r="AR20" i="70"/>
  <c r="AR394" i="70"/>
  <c r="AR326" i="70" s="1"/>
  <c r="AR219" i="70"/>
  <c r="AR307" i="70"/>
  <c r="AR93" i="70" s="1"/>
  <c r="AR203" i="70"/>
  <c r="AR322" i="70" s="1"/>
  <c r="AR11" i="70"/>
  <c r="AQ396" i="70"/>
  <c r="AQ326" i="70"/>
  <c r="AQ245" i="70"/>
  <c r="AQ322" i="70"/>
  <c r="AQ120" i="70"/>
  <c r="AQ57" i="70"/>
  <c r="AQ84" i="70" s="1"/>
  <c r="J10" i="20"/>
  <c r="J19" i="20" s="1"/>
  <c r="J28" i="20" s="1"/>
  <c r="AQ156" i="70"/>
  <c r="AQ155" i="70"/>
  <c r="F81" i="18"/>
  <c r="AQ127" i="70"/>
  <c r="AQ157" i="70"/>
  <c r="C53" i="25"/>
  <c r="D52" i="25"/>
  <c r="C54" i="23"/>
  <c r="D53" i="23"/>
  <c r="Q52" i="21"/>
  <c r="C53" i="21"/>
  <c r="D52" i="21"/>
  <c r="C54" i="67"/>
  <c r="D53" i="67"/>
  <c r="AS146" i="51"/>
  <c r="AS185" i="51" s="1"/>
  <c r="AS139" i="51"/>
  <c r="AS348" i="70"/>
  <c r="AS384" i="70"/>
  <c r="AM85" i="70"/>
  <c r="AM72" i="70"/>
  <c r="AJ85" i="70"/>
  <c r="AJ72" i="70"/>
  <c r="D9" i="18"/>
  <c r="D11" i="18" s="1"/>
  <c r="D13" i="18" s="1"/>
  <c r="D18" i="18" s="1"/>
  <c r="AK59" i="70"/>
  <c r="AK85" i="70"/>
  <c r="AK72" i="70"/>
  <c r="AL85" i="70"/>
  <c r="AL72" i="70"/>
  <c r="AJ73" i="70"/>
  <c r="AJ86" i="70"/>
  <c r="AJ109" i="70"/>
  <c r="F9" i="18"/>
  <c r="F11" i="18" s="1"/>
  <c r="F13" i="18" s="1"/>
  <c r="F18" i="18" s="1"/>
  <c r="AM59" i="70"/>
  <c r="AN72" i="70"/>
  <c r="AN85" i="70"/>
  <c r="AN74" i="70"/>
  <c r="AN87" i="70"/>
  <c r="E9" i="18"/>
  <c r="E11" i="18" s="1"/>
  <c r="E13" i="18" s="1"/>
  <c r="E18" i="18" s="1"/>
  <c r="AL59" i="70"/>
  <c r="AL45" i="70"/>
  <c r="AL44" i="70"/>
  <c r="AL166" i="70"/>
  <c r="AL176" i="70" s="1"/>
  <c r="AL61" i="70" s="1"/>
  <c r="AL49" i="70"/>
  <c r="AL178" i="70" s="1"/>
  <c r="AL188" i="70" s="1"/>
  <c r="AL48" i="70"/>
  <c r="AP73" i="70"/>
  <c r="AM49" i="70"/>
  <c r="AM178" i="70" s="1"/>
  <c r="AM188" i="70" s="1"/>
  <c r="AM45" i="70"/>
  <c r="AM48" i="70"/>
  <c r="AM44" i="70"/>
  <c r="AM166" i="70"/>
  <c r="AM176" i="70" s="1"/>
  <c r="AM61" i="70" s="1"/>
  <c r="AO85" i="70"/>
  <c r="AP85" i="70"/>
  <c r="I11" i="18"/>
  <c r="E74" i="18"/>
  <c r="AS195" i="51"/>
  <c r="AS102" i="70"/>
  <c r="AJ49" i="70"/>
  <c r="AJ178" i="70" s="1"/>
  <c r="AJ188" i="70" s="1"/>
  <c r="AJ45" i="70"/>
  <c r="AJ48" i="70"/>
  <c r="AJ166" i="70"/>
  <c r="AJ176" i="70" s="1"/>
  <c r="AJ61" i="70" s="1"/>
  <c r="AJ44" i="70"/>
  <c r="G9" i="18"/>
  <c r="G11" i="18" s="1"/>
  <c r="G13" i="18" s="1"/>
  <c r="G18" i="18" s="1"/>
  <c r="AN59" i="70"/>
  <c r="AO267" i="70"/>
  <c r="AO270" i="70" s="1"/>
  <c r="AO273" i="70" s="1"/>
  <c r="AO166" i="70"/>
  <c r="AO176" i="70" s="1"/>
  <c r="AO61" i="70" s="1"/>
  <c r="AO45" i="70"/>
  <c r="AO44" i="70"/>
  <c r="AO49" i="70"/>
  <c r="AO178" i="70" s="1"/>
  <c r="AO188" i="70" s="1"/>
  <c r="H74" i="18" s="1"/>
  <c r="AO48" i="70"/>
  <c r="AO74" i="70"/>
  <c r="AO87" i="70"/>
  <c r="AK45" i="70"/>
  <c r="AK44" i="70"/>
  <c r="AK49" i="70"/>
  <c r="AK48" i="70"/>
  <c r="AK166" i="70"/>
  <c r="H9" i="18"/>
  <c r="AO59" i="70"/>
  <c r="AP86" i="70" s="1"/>
  <c r="AN166" i="70"/>
  <c r="AN176" i="70" s="1"/>
  <c r="AN61" i="70" s="1"/>
  <c r="AN49" i="70"/>
  <c r="AN178" i="70" s="1"/>
  <c r="AN188" i="70" s="1"/>
  <c r="AN48" i="70"/>
  <c r="AN45" i="70"/>
  <c r="AN44" i="70"/>
  <c r="AN267" i="70"/>
  <c r="AN270" i="70" s="1"/>
  <c r="AN273" i="70" s="1"/>
  <c r="AN86" i="70" l="1"/>
  <c r="AR94" i="70"/>
  <c r="K16" i="18"/>
  <c r="AR155" i="70"/>
  <c r="AR156" i="70"/>
  <c r="AR120" i="70"/>
  <c r="AR127" i="70"/>
  <c r="N10" i="20"/>
  <c r="N19" i="20" s="1"/>
  <c r="N28" i="20" s="1"/>
  <c r="AR157" i="70"/>
  <c r="AR57" i="70"/>
  <c r="AR84" i="70" s="1"/>
  <c r="AR245" i="70"/>
  <c r="AR220" i="70"/>
  <c r="AQ94" i="70"/>
  <c r="AQ323" i="70"/>
  <c r="J16" i="18"/>
  <c r="AR340" i="70"/>
  <c r="K17" i="18"/>
  <c r="AR97" i="70"/>
  <c r="AR99" i="70" s="1"/>
  <c r="AR191" i="70"/>
  <c r="K92" i="18"/>
  <c r="AS394" i="70"/>
  <c r="AS203" i="70"/>
  <c r="AS219" i="70"/>
  <c r="AS220" i="70" s="1"/>
  <c r="AS20" i="70"/>
  <c r="AS307" i="70"/>
  <c r="AS93" i="70" s="1"/>
  <c r="AS24" i="70"/>
  <c r="AS25" i="70" s="1"/>
  <c r="AS11" i="70"/>
  <c r="AQ122" i="70"/>
  <c r="AQ16" i="70" s="1"/>
  <c r="AQ150" i="70"/>
  <c r="AQ58" i="70"/>
  <c r="AR21" i="70"/>
  <c r="AR30" i="70"/>
  <c r="AR138" i="70"/>
  <c r="AR141" i="70" s="1"/>
  <c r="AR142" i="70" s="1"/>
  <c r="AS119" i="70"/>
  <c r="AS134" i="70"/>
  <c r="AS131" i="70" s="1"/>
  <c r="AR393" i="70"/>
  <c r="AQ206" i="70"/>
  <c r="AQ244" i="70" s="1"/>
  <c r="AQ246" i="70" s="1"/>
  <c r="AQ97" i="70"/>
  <c r="AQ99" i="70" s="1"/>
  <c r="J92" i="18"/>
  <c r="AQ340" i="70"/>
  <c r="J17" i="18"/>
  <c r="AQ191" i="70"/>
  <c r="D53" i="25"/>
  <c r="C54" i="25"/>
  <c r="C55" i="23"/>
  <c r="D54" i="23"/>
  <c r="Q53" i="21"/>
  <c r="C54" i="21"/>
  <c r="D53" i="21"/>
  <c r="C55" i="67"/>
  <c r="D54" i="67"/>
  <c r="AL86" i="70"/>
  <c r="AL73" i="70"/>
  <c r="AL109" i="70"/>
  <c r="AM86" i="70"/>
  <c r="AM73" i="70"/>
  <c r="AM109" i="70"/>
  <c r="AK86" i="70"/>
  <c r="AK73" i="70"/>
  <c r="AK109" i="70"/>
  <c r="AJ78" i="70"/>
  <c r="AJ79" i="70"/>
  <c r="AJ75" i="70"/>
  <c r="AJ64" i="70"/>
  <c r="AJ67" i="70" s="1"/>
  <c r="AM64" i="70"/>
  <c r="AM67" i="70" s="1"/>
  <c r="AM79" i="70"/>
  <c r="AM75" i="70"/>
  <c r="AM78" i="70"/>
  <c r="AL64" i="70"/>
  <c r="AL67" i="70" s="1"/>
  <c r="AL75" i="70"/>
  <c r="AL79" i="70"/>
  <c r="AL78" i="70"/>
  <c r="D74" i="18"/>
  <c r="H11" i="18"/>
  <c r="H13" i="18" s="1"/>
  <c r="H18" i="18" s="1"/>
  <c r="AK178" i="70"/>
  <c r="AK188" i="70" s="1"/>
  <c r="AK176" i="70"/>
  <c r="AK61" i="70" s="1"/>
  <c r="AO75" i="70"/>
  <c r="AO78" i="70"/>
  <c r="AO79" i="70"/>
  <c r="P47" i="18" s="1"/>
  <c r="AO64" i="70"/>
  <c r="AO67" i="70" s="1"/>
  <c r="AN75" i="70"/>
  <c r="AN64" i="70"/>
  <c r="AN67" i="70" s="1"/>
  <c r="AN78" i="70"/>
  <c r="AN79" i="70"/>
  <c r="AN73" i="70"/>
  <c r="AN109" i="70"/>
  <c r="AO86" i="70"/>
  <c r="AO109" i="70"/>
  <c r="AO73" i="70"/>
  <c r="AR58" i="70" l="1"/>
  <c r="AR122" i="70"/>
  <c r="AR16" i="70" s="1"/>
  <c r="AR150" i="70"/>
  <c r="AQ72" i="70"/>
  <c r="AQ85" i="70"/>
  <c r="AS245" i="70"/>
  <c r="AS322" i="70"/>
  <c r="AS21" i="70"/>
  <c r="AS30" i="70"/>
  <c r="AS138" i="70"/>
  <c r="AS141" i="70" s="1"/>
  <c r="AS142" i="70" s="1"/>
  <c r="AQ152" i="70"/>
  <c r="AQ158" i="70"/>
  <c r="AQ154" i="70" s="1"/>
  <c r="AQ60" i="70"/>
  <c r="AQ144" i="70"/>
  <c r="AS326" i="70"/>
  <c r="AT394" i="70"/>
  <c r="AR395" i="70"/>
  <c r="AR306" i="70" s="1"/>
  <c r="AR396" i="70"/>
  <c r="AQ32" i="70"/>
  <c r="AQ18" i="70"/>
  <c r="AQ17" i="70"/>
  <c r="AQ13" i="70"/>
  <c r="AQ14" i="70" s="1"/>
  <c r="AS120" i="70"/>
  <c r="AS57" i="70"/>
  <c r="AS84" i="70" s="1"/>
  <c r="AS157" i="70"/>
  <c r="AS156" i="70"/>
  <c r="AS155" i="70"/>
  <c r="AS127" i="70"/>
  <c r="C55" i="25"/>
  <c r="D54" i="25"/>
  <c r="D55" i="23"/>
  <c r="C56" i="23"/>
  <c r="Q54" i="21"/>
  <c r="C55" i="21"/>
  <c r="D54" i="21"/>
  <c r="D55" i="67"/>
  <c r="C56" i="67"/>
  <c r="AK64" i="70"/>
  <c r="AK67" i="70" s="1"/>
  <c r="AK79" i="70"/>
  <c r="AK75" i="70"/>
  <c r="AK78" i="70"/>
  <c r="AS94" i="70" l="1"/>
  <c r="L16" i="18"/>
  <c r="AQ74" i="70"/>
  <c r="AQ87" i="70"/>
  <c r="AS58" i="70"/>
  <c r="AS122" i="70"/>
  <c r="AS16" i="70" s="1"/>
  <c r="AS150" i="70"/>
  <c r="AS340" i="70"/>
  <c r="L17" i="18"/>
  <c r="L92" i="18"/>
  <c r="AS97" i="70"/>
  <c r="AS99" i="70" s="1"/>
  <c r="AS191" i="70"/>
  <c r="AQ33" i="70"/>
  <c r="AQ276" i="70"/>
  <c r="AQ114" i="72"/>
  <c r="AQ34" i="70"/>
  <c r="J9" i="18"/>
  <c r="AQ59" i="70"/>
  <c r="J11" i="20"/>
  <c r="J20" i="20" s="1"/>
  <c r="J29" i="20" s="1"/>
  <c r="N11" i="20"/>
  <c r="N20" i="20" s="1"/>
  <c r="N29" i="20" s="1"/>
  <c r="AR158" i="70"/>
  <c r="AR154" i="70" s="1"/>
  <c r="AR60" i="70"/>
  <c r="AR144" i="70"/>
  <c r="AS393" i="70"/>
  <c r="AR206" i="70"/>
  <c r="AR244" i="70" s="1"/>
  <c r="AR246" i="70" s="1"/>
  <c r="AR32" i="70"/>
  <c r="AR13" i="70"/>
  <c r="AR14" i="70" s="1"/>
  <c r="AR18" i="70"/>
  <c r="AR17" i="70"/>
  <c r="AR92" i="70"/>
  <c r="AR151" i="70"/>
  <c r="K10" i="18" s="1"/>
  <c r="K15" i="18" s="1"/>
  <c r="AR323" i="70"/>
  <c r="AR85" i="70"/>
  <c r="AR72" i="70"/>
  <c r="C56" i="25"/>
  <c r="D55" i="25"/>
  <c r="C57" i="23"/>
  <c r="D56" i="23"/>
  <c r="Q55" i="21"/>
  <c r="D55" i="21"/>
  <c r="C56" i="21"/>
  <c r="C57" i="67"/>
  <c r="D56" i="67"/>
  <c r="AS60" i="70" l="1"/>
  <c r="AS158" i="70"/>
  <c r="AS154" i="70" s="1"/>
  <c r="AS144" i="70"/>
  <c r="AS17" i="70"/>
  <c r="AS32" i="70"/>
  <c r="AS13" i="70"/>
  <c r="AS14" i="70" s="1"/>
  <c r="AS18" i="70"/>
  <c r="AS85" i="70"/>
  <c r="AS72" i="70"/>
  <c r="AR114" i="72"/>
  <c r="AR34" i="70"/>
  <c r="AR276" i="70"/>
  <c r="AR33" i="70"/>
  <c r="AR87" i="70"/>
  <c r="AR74" i="70"/>
  <c r="AR152" i="70"/>
  <c r="AQ73" i="70"/>
  <c r="AQ86" i="70"/>
  <c r="AS395" i="70"/>
  <c r="AS306" i="70" s="1"/>
  <c r="AS396" i="70"/>
  <c r="AS206" i="70" s="1"/>
  <c r="AS244" i="70" s="1"/>
  <c r="AS246" i="70" s="1"/>
  <c r="F74" i="18"/>
  <c r="J11" i="18"/>
  <c r="C57" i="25"/>
  <c r="D56" i="25"/>
  <c r="C58" i="23"/>
  <c r="D57" i="23"/>
  <c r="Q56" i="21"/>
  <c r="C57" i="21"/>
  <c r="D56" i="21"/>
  <c r="C58" i="67"/>
  <c r="D57" i="67"/>
  <c r="K9" i="18" l="1"/>
  <c r="K11" i="18" s="1"/>
  <c r="AR59" i="70"/>
  <c r="AS114" i="72"/>
  <c r="AS33" i="70"/>
  <c r="AS276" i="70"/>
  <c r="AS34" i="70"/>
  <c r="AS323" i="70"/>
  <c r="AS151" i="70"/>
  <c r="AS92" i="70"/>
  <c r="AS87" i="70"/>
  <c r="AS74" i="70"/>
  <c r="D57" i="25"/>
  <c r="C58" i="25"/>
  <c r="C59" i="23"/>
  <c r="D58" i="23"/>
  <c r="Q57" i="21"/>
  <c r="C58" i="21"/>
  <c r="D57" i="21"/>
  <c r="C59" i="67"/>
  <c r="D58" i="67"/>
  <c r="L10" i="18" l="1"/>
  <c r="L15" i="18" s="1"/>
  <c r="AS152" i="70"/>
  <c r="AR73" i="70"/>
  <c r="AR86" i="70"/>
  <c r="C59" i="25"/>
  <c r="D58" i="25"/>
  <c r="C60" i="23"/>
  <c r="D60" i="23" s="1"/>
  <c r="D59" i="23"/>
  <c r="Q58" i="21"/>
  <c r="C59" i="21"/>
  <c r="D58" i="21"/>
  <c r="D59" i="67"/>
  <c r="C60" i="67"/>
  <c r="L9" i="18" l="1"/>
  <c r="AS59" i="70"/>
  <c r="C60" i="25"/>
  <c r="D59" i="25"/>
  <c r="Q59" i="21"/>
  <c r="C60" i="21"/>
  <c r="Q60" i="21" s="1"/>
  <c r="D59" i="21"/>
  <c r="AS73" i="70" l="1"/>
  <c r="AS86" i="70"/>
  <c r="E32" i="18"/>
  <c r="E34" i="18" s="1"/>
  <c r="E35" i="18" s="1"/>
  <c r="J45" i="18" s="1"/>
  <c r="L11" i="18"/>
  <c r="E10" i="20" l="1" a="1"/>
  <c r="E10" i="20" s="1"/>
  <c r="G10" i="20" s="1"/>
  <c r="H10" i="20" s="1"/>
  <c r="I10" i="20" a="1"/>
  <c r="I10" i="20" s="1"/>
  <c r="K10" i="20" s="1"/>
  <c r="L10" i="20"/>
  <c r="M10" i="20" a="1"/>
  <c r="M10" i="20"/>
  <c r="O10" i="20" s="1"/>
  <c r="P10" i="20" s="1"/>
  <c r="Q10" i="20" a="1"/>
  <c r="Q10" i="20" s="1"/>
  <c r="S10" i="20" s="1"/>
  <c r="T10" i="20" s="1"/>
  <c r="U10" i="20" a="1"/>
  <c r="U10" i="20" s="1"/>
  <c r="W10" i="20" s="1"/>
  <c r="X10" i="20"/>
  <c r="E11" i="20" a="1"/>
  <c r="E11" i="20"/>
  <c r="G11" i="20" s="1"/>
  <c r="H11" i="20" s="1"/>
  <c r="I11" i="20" a="1"/>
  <c r="I11" i="20" s="1"/>
  <c r="K11" i="20" s="1"/>
  <c r="L11" i="20" s="1"/>
  <c r="M11" i="20" a="1"/>
  <c r="M11" i="20" s="1"/>
  <c r="O11" i="20" s="1"/>
  <c r="P11" i="20"/>
  <c r="Q11" i="20" a="1"/>
  <c r="Q11" i="20"/>
  <c r="S11" i="20" s="1"/>
  <c r="T11" i="20" s="1"/>
  <c r="U11" i="20" a="1"/>
  <c r="U11" i="20" s="1"/>
  <c r="W11" i="20" s="1"/>
  <c r="X11" i="20" s="1"/>
  <c r="E12" i="20" a="1"/>
  <c r="E12" i="20" s="1"/>
  <c r="G12" i="20" s="1"/>
  <c r="H12" i="20" s="1"/>
  <c r="I12" i="20" a="1"/>
  <c r="I12" i="20"/>
  <c r="K12" i="20" s="1"/>
  <c r="L12" i="20" s="1"/>
  <c r="M12" i="20" a="1"/>
  <c r="M12" i="20" s="1"/>
  <c r="O12" i="20" s="1"/>
  <c r="P12" i="20" s="1"/>
  <c r="Q12" i="20" a="1"/>
  <c r="Q12" i="20" s="1"/>
  <c r="S12" i="20" s="1"/>
  <c r="T12" i="20" s="1"/>
  <c r="U12" i="20" a="1"/>
  <c r="U12" i="20"/>
  <c r="W12" i="20" s="1"/>
  <c r="X12" i="20" s="1"/>
  <c r="E13" i="20" a="1"/>
  <c r="E13" i="20" s="1"/>
  <c r="G13" i="20" s="1"/>
  <c r="H13" i="20" s="1"/>
  <c r="I13" i="20" a="1"/>
  <c r="I13" i="20" s="1"/>
  <c r="K13" i="20" s="1"/>
  <c r="L13" i="20" s="1"/>
  <c r="M13" i="20" a="1"/>
  <c r="M13" i="20" s="1"/>
  <c r="O13" i="20" s="1"/>
  <c r="P13" i="20" s="1"/>
  <c r="Q13" i="20" a="1"/>
  <c r="Q13" i="20" s="1"/>
  <c r="S13" i="20" s="1"/>
  <c r="T13" i="20" s="1"/>
  <c r="U13" i="20" a="1"/>
  <c r="U13" i="20" s="1"/>
  <c r="W13" i="20" s="1"/>
  <c r="X13" i="20"/>
  <c r="E14" i="20" a="1"/>
  <c r="E14" i="20" s="1"/>
  <c r="G14" i="20" s="1"/>
  <c r="H14" i="20" s="1"/>
  <c r="I14" i="20" a="1"/>
  <c r="I14" i="20" s="1"/>
  <c r="K14" i="20" s="1"/>
  <c r="L14" i="20" s="1"/>
  <c r="M14" i="20" a="1"/>
  <c r="M14" i="20" s="1"/>
  <c r="O14" i="20" s="1"/>
  <c r="P14" i="20" s="1"/>
  <c r="Q14" i="20" a="1"/>
  <c r="Q14" i="20" s="1"/>
  <c r="S14" i="20" s="1"/>
  <c r="T14" i="20" s="1"/>
  <c r="U14" i="20" a="1"/>
  <c r="U14" i="20" s="1"/>
  <c r="W14" i="20" s="1"/>
  <c r="X14" i="20" s="1"/>
  <c r="E15" i="20" a="1"/>
  <c r="E15" i="20" s="1"/>
  <c r="I15" i="20" a="1"/>
  <c r="I15" i="20" s="1"/>
  <c r="M15" i="20" a="1"/>
  <c r="M15" i="20" s="1"/>
  <c r="Q15" i="20" a="1"/>
  <c r="Q15" i="20"/>
  <c r="S15" i="20"/>
  <c r="T15" i="20" s="1"/>
  <c r="U15" i="20" a="1"/>
  <c r="U15" i="20"/>
  <c r="W15" i="20" s="1"/>
  <c r="X15" i="20" s="1"/>
  <c r="E16" i="20" a="1"/>
  <c r="E16" i="20"/>
  <c r="G16" i="20" s="1"/>
  <c r="H16" i="20" s="1"/>
  <c r="I16" i="20" a="1"/>
  <c r="I16" i="20"/>
  <c r="K16" i="20"/>
  <c r="L16" i="20" s="1"/>
  <c r="M16" i="20" a="1"/>
  <c r="M16" i="20"/>
  <c r="O16" i="20" s="1"/>
  <c r="P16" i="20" s="1"/>
  <c r="Q16" i="20" a="1"/>
  <c r="Q16" i="20"/>
  <c r="S16" i="20" s="1"/>
  <c r="T16" i="20" s="1"/>
  <c r="U16" i="20" a="1"/>
  <c r="U16" i="20" s="1"/>
  <c r="W16" i="20" s="1"/>
  <c r="X16" i="20" s="1"/>
  <c r="E19" i="20" a="1"/>
  <c r="E19" i="20"/>
  <c r="G19" i="20" s="1"/>
  <c r="H19" i="20" s="1"/>
  <c r="I19" i="20" a="1"/>
  <c r="I19" i="20"/>
  <c r="K19" i="20" s="1"/>
  <c r="L19" i="20" s="1"/>
  <c r="M19" i="20" a="1"/>
  <c r="M19" i="20" s="1"/>
  <c r="O19" i="20" s="1"/>
  <c r="P19" i="20" s="1"/>
  <c r="Q19" i="20" a="1"/>
  <c r="Q19" i="20"/>
  <c r="S19" i="20" s="1"/>
  <c r="T19" i="20" s="1"/>
  <c r="U19" i="20" a="1"/>
  <c r="U19" i="20"/>
  <c r="W19" i="20" s="1"/>
  <c r="X19" i="20" s="1"/>
  <c r="E20" i="20" a="1"/>
  <c r="E20" i="20" s="1"/>
  <c r="G20" i="20" s="1"/>
  <c r="H20" i="20" s="1"/>
  <c r="I20" i="20" a="1"/>
  <c r="I20" i="20"/>
  <c r="K20" i="20" s="1"/>
  <c r="L20" i="20" s="1"/>
  <c r="M20" i="20" a="1"/>
  <c r="M20" i="20"/>
  <c r="O20" i="20" s="1"/>
  <c r="P20" i="20" s="1"/>
  <c r="Q20" i="20" a="1"/>
  <c r="Q20" i="20" s="1"/>
  <c r="S20" i="20" s="1"/>
  <c r="T20" i="20" s="1"/>
  <c r="U20" i="20" a="1"/>
  <c r="U20" i="20"/>
  <c r="W20" i="20" s="1"/>
  <c r="X20" i="20" s="1"/>
  <c r="E21" i="20" a="1"/>
  <c r="E21" i="20"/>
  <c r="G21" i="20" s="1"/>
  <c r="H21" i="20" s="1"/>
  <c r="I21" i="20" a="1"/>
  <c r="I21" i="20" s="1"/>
  <c r="K21" i="20" s="1"/>
  <c r="L21" i="20" s="1"/>
  <c r="M21" i="20" a="1"/>
  <c r="M21" i="20"/>
  <c r="O21" i="20" s="1"/>
  <c r="P21" i="20" s="1"/>
  <c r="Q21" i="20" a="1"/>
  <c r="Q21" i="20"/>
  <c r="S21" i="20" s="1"/>
  <c r="T21" i="20" s="1"/>
  <c r="U21" i="20" a="1"/>
  <c r="U21" i="20"/>
  <c r="W21" i="20" s="1"/>
  <c r="X21" i="20" s="1"/>
  <c r="E22" i="20" a="1"/>
  <c r="E22" i="20" s="1"/>
  <c r="G22" i="20" s="1"/>
  <c r="H22" i="20" s="1"/>
  <c r="I22" i="20" a="1"/>
  <c r="I22" i="20"/>
  <c r="K22" i="20" s="1"/>
  <c r="L22" i="20" s="1"/>
  <c r="M22" i="20" a="1"/>
  <c r="M22" i="20"/>
  <c r="O22" i="20"/>
  <c r="P22" i="20" s="1"/>
  <c r="Q22" i="20" a="1"/>
  <c r="Q22" i="20" s="1"/>
  <c r="S22" i="20" s="1"/>
  <c r="T22" i="20" s="1"/>
  <c r="U22" i="20" a="1"/>
  <c r="U22" i="20"/>
  <c r="W22" i="20" s="1"/>
  <c r="X22" i="20" s="1"/>
  <c r="E23" i="20" a="1"/>
  <c r="E23" i="20"/>
  <c r="G23" i="20"/>
  <c r="H23" i="20" s="1"/>
  <c r="I23" i="20" a="1"/>
  <c r="I23" i="20" s="1"/>
  <c r="K23" i="20" s="1"/>
  <c r="L23" i="20" s="1"/>
  <c r="M23" i="20" a="1"/>
  <c r="M23" i="20"/>
  <c r="O23" i="20" s="1"/>
  <c r="P23" i="20" s="1"/>
  <c r="Q23" i="20" a="1"/>
  <c r="Q23" i="20"/>
  <c r="S23" i="20"/>
  <c r="T23" i="20" s="1"/>
  <c r="U23" i="20" a="1"/>
  <c r="U23" i="20" s="1"/>
  <c r="W23" i="20" s="1"/>
  <c r="X23" i="20" s="1"/>
  <c r="E24" i="20" a="1"/>
  <c r="E24" i="20"/>
  <c r="I24" i="20" a="1"/>
  <c r="I24" i="20"/>
  <c r="M24" i="20" a="1"/>
  <c r="M24" i="20"/>
  <c r="Q24" i="20" a="1"/>
  <c r="Q24" i="20"/>
  <c r="S24" i="20"/>
  <c r="T24" i="20"/>
  <c r="U24" i="20" a="1"/>
  <c r="U24" i="20"/>
  <c r="W24" i="20" s="1"/>
  <c r="X24" i="20" s="1"/>
  <c r="E25" i="20" a="1"/>
  <c r="E25" i="20"/>
  <c r="G25" i="20"/>
  <c r="H25" i="20" s="1"/>
  <c r="I25" i="20" a="1"/>
  <c r="I25" i="20"/>
  <c r="K25" i="20" s="1"/>
  <c r="L25" i="20" s="1"/>
  <c r="M25" i="20" a="1"/>
  <c r="M25" i="20"/>
  <c r="O25" i="20" s="1"/>
  <c r="P25" i="20" s="1"/>
  <c r="Q25" i="20" a="1"/>
  <c r="Q25" i="20"/>
  <c r="S25" i="20"/>
  <c r="T25" i="20" s="1"/>
  <c r="U25" i="20" a="1"/>
  <c r="U25" i="20"/>
  <c r="W25" i="20"/>
  <c r="X25" i="20" s="1"/>
  <c r="E28" i="20" a="1"/>
  <c r="E28" i="20"/>
  <c r="G28" i="20" s="1"/>
  <c r="H28" i="20" s="1"/>
  <c r="I28" i="20" a="1"/>
  <c r="I28" i="20" s="1"/>
  <c r="K28" i="20" s="1"/>
  <c r="L28" i="20" s="1"/>
  <c r="M28" i="20" a="1"/>
  <c r="M28" i="20"/>
  <c r="O28" i="20"/>
  <c r="P28" i="20"/>
  <c r="Q28" i="20" a="1"/>
  <c r="Q28" i="20"/>
  <c r="S28" i="20" s="1"/>
  <c r="T28" i="20" s="1"/>
  <c r="U28" i="20" a="1"/>
  <c r="U28" i="20" s="1"/>
  <c r="W28" i="20" s="1"/>
  <c r="X28" i="20" s="1"/>
  <c r="E29" i="20" a="1"/>
  <c r="E29" i="20"/>
  <c r="G29" i="20"/>
  <c r="H29" i="20" s="1"/>
  <c r="I29" i="20" a="1"/>
  <c r="I29" i="20"/>
  <c r="K29" i="20" s="1"/>
  <c r="L29" i="20" s="1"/>
  <c r="M29" i="20" a="1"/>
  <c r="M29" i="20" s="1"/>
  <c r="O29" i="20" s="1"/>
  <c r="P29" i="20" s="1"/>
  <c r="Q29" i="20" a="1"/>
  <c r="Q29" i="20"/>
  <c r="S29" i="20"/>
  <c r="T29" i="20" s="1"/>
  <c r="U29" i="20" a="1"/>
  <c r="U29" i="20" s="1"/>
  <c r="W29" i="20" s="1"/>
  <c r="X29" i="20" s="1"/>
  <c r="E30" i="20" a="1"/>
  <c r="E30" i="20" s="1"/>
  <c r="G30" i="20" s="1"/>
  <c r="H30" i="20" s="1"/>
  <c r="I30" i="20" a="1"/>
  <c r="I30" i="20"/>
  <c r="K30" i="20" s="1"/>
  <c r="L30" i="20" s="1"/>
  <c r="M30" i="20" a="1"/>
  <c r="M30" i="20" s="1"/>
  <c r="O30" i="20" s="1"/>
  <c r="P30" i="20" s="1"/>
  <c r="Q30" i="20" a="1"/>
  <c r="Q30" i="20" s="1"/>
  <c r="S30" i="20" s="1"/>
  <c r="T30" i="20" s="1"/>
  <c r="U30" i="20" a="1"/>
  <c r="U30" i="20"/>
  <c r="W30" i="20"/>
  <c r="X30" i="20" s="1"/>
  <c r="E31" i="20" a="1"/>
  <c r="E31" i="20" s="1"/>
  <c r="G31" i="20" s="1"/>
  <c r="H31" i="20" s="1"/>
  <c r="I31" i="20" a="1"/>
  <c r="I31" i="20" s="1"/>
  <c r="K31" i="20" s="1"/>
  <c r="L31" i="20" s="1"/>
  <c r="M31" i="20" a="1"/>
  <c r="M31" i="20"/>
  <c r="O31" i="20" s="1"/>
  <c r="P31" i="20" s="1"/>
  <c r="Q31" i="20" a="1"/>
  <c r="Q31" i="20" s="1"/>
  <c r="S31" i="20" s="1"/>
  <c r="T31" i="20" s="1"/>
  <c r="U31" i="20" a="1"/>
  <c r="U31" i="20" s="1"/>
  <c r="W31" i="20" s="1"/>
  <c r="X31" i="20" s="1"/>
  <c r="E32" i="20" a="1"/>
  <c r="E32" i="20"/>
  <c r="G32" i="20" s="1"/>
  <c r="H32" i="20" s="1"/>
  <c r="I32" i="20" a="1"/>
  <c r="I32" i="20" s="1"/>
  <c r="K32" i="20" s="1"/>
  <c r="L32" i="20" s="1"/>
  <c r="M32" i="20" a="1"/>
  <c r="M32" i="20" s="1"/>
  <c r="O32" i="20" s="1"/>
  <c r="P32" i="20" s="1"/>
  <c r="Q32" i="20" a="1"/>
  <c r="Q32" i="20"/>
  <c r="S32" i="20" s="1"/>
  <c r="T32" i="20" s="1"/>
  <c r="U32" i="20" a="1"/>
  <c r="U32" i="20" s="1"/>
  <c r="W32" i="20" s="1"/>
  <c r="X32" i="20" s="1"/>
  <c r="E33" i="20" a="1"/>
  <c r="E33" i="20" s="1"/>
  <c r="I33" i="20" a="1"/>
  <c r="I33" i="20" s="1"/>
  <c r="M33" i="20" a="1"/>
  <c r="M33" i="20" s="1"/>
  <c r="Q33" i="20" a="1"/>
  <c r="Q33" i="20"/>
  <c r="S33" i="20"/>
  <c r="T33" i="20"/>
  <c r="U33" i="20" a="1"/>
  <c r="U33" i="20" s="1"/>
  <c r="W33" i="20" s="1"/>
  <c r="X33" i="20" s="1"/>
  <c r="E34" i="20" a="1"/>
  <c r="E34" i="20"/>
  <c r="G34" i="20" s="1"/>
  <c r="H34" i="20" s="1"/>
  <c r="I34" i="20" a="1"/>
  <c r="I34" i="20"/>
  <c r="K34" i="20"/>
  <c r="L34" i="20"/>
  <c r="M34" i="20" a="1"/>
  <c r="M34" i="20" s="1"/>
  <c r="O34" i="20" s="1"/>
  <c r="P34" i="20" s="1"/>
  <c r="Q34" i="20" a="1"/>
  <c r="Q34" i="20"/>
  <c r="S34" i="20" s="1"/>
  <c r="T34" i="20" s="1"/>
  <c r="U34" i="20" a="1"/>
  <c r="U34" i="20"/>
  <c r="W34" i="20"/>
  <c r="X34" i="20"/>
  <c r="I27" i="18" a="1"/>
  <c r="I27" i="18"/>
  <c r="I28" i="18" a="1"/>
  <c r="I28" i="18"/>
  <c r="I30" i="18" a="1"/>
  <c r="I30" i="18" s="1"/>
  <c r="E11" i="25" a="1"/>
  <c r="E11" i="25" s="1"/>
  <c r="F11" i="25" a="1"/>
  <c r="F11" i="25"/>
  <c r="G11" i="25" a="1"/>
  <c r="G11" i="25" s="1"/>
  <c r="H11" i="25" a="1"/>
  <c r="H11" i="25" s="1"/>
  <c r="I11" i="25" a="1"/>
  <c r="I11" i="25" s="1"/>
  <c r="J11" i="25" a="1"/>
  <c r="J11" i="25" s="1"/>
  <c r="K11" i="25" a="1"/>
  <c r="K11" i="25" s="1"/>
  <c r="L11" i="25" a="1"/>
  <c r="L11" i="25"/>
  <c r="E20" i="25" a="1"/>
  <c r="E20" i="25" s="1"/>
  <c r="F20" i="25" a="1"/>
  <c r="F20" i="25" s="1"/>
  <c r="G20" i="25" a="1"/>
  <c r="G20" i="25" s="1"/>
  <c r="H20" i="25" a="1"/>
  <c r="H20" i="25"/>
  <c r="I20" i="25" a="1"/>
  <c r="I20" i="25" s="1"/>
  <c r="J20" i="25" a="1"/>
  <c r="J20" i="25" s="1"/>
  <c r="K20" i="25" a="1"/>
  <c r="K20" i="25" s="1"/>
  <c r="L20" i="25" a="1"/>
  <c r="L20" i="25" s="1"/>
  <c r="E21" i="25" a="1"/>
  <c r="E21" i="25" s="1"/>
  <c r="F21" i="25" a="1"/>
  <c r="F21" i="25"/>
  <c r="G21" i="25" a="1"/>
  <c r="G21" i="25" s="1"/>
  <c r="H21" i="25" a="1"/>
  <c r="H21" i="25" s="1"/>
  <c r="I21" i="25" a="1"/>
  <c r="I21" i="25" s="1"/>
  <c r="J21" i="25" a="1"/>
  <c r="J21" i="25" s="1"/>
  <c r="K21" i="25" a="1"/>
  <c r="K21" i="25" s="1"/>
  <c r="L21" i="25" a="1"/>
  <c r="L21" i="25"/>
  <c r="E22" i="25" a="1"/>
  <c r="E22" i="25" s="1"/>
  <c r="F22" i="25" a="1"/>
  <c r="F22" i="25" s="1"/>
  <c r="G22" i="25" a="1"/>
  <c r="G22" i="25" s="1"/>
  <c r="H22" i="25" a="1"/>
  <c r="H22" i="25" s="1"/>
  <c r="I22" i="25" a="1"/>
  <c r="I22" i="25" s="1"/>
  <c r="J22" i="25" a="1"/>
  <c r="J22" i="25"/>
  <c r="K22" i="25" a="1"/>
  <c r="K22" i="25"/>
  <c r="L22" i="25" a="1"/>
  <c r="L22" i="25" s="1"/>
  <c r="E23" i="25" a="1"/>
  <c r="E23" i="25" s="1"/>
  <c r="F23" i="25" a="1"/>
  <c r="F23" i="25" s="1"/>
  <c r="G23" i="25" a="1"/>
  <c r="G23" i="25" s="1"/>
  <c r="H23" i="25" a="1"/>
  <c r="H23" i="25"/>
  <c r="I23" i="25" a="1"/>
  <c r="I23" i="25" s="1"/>
  <c r="J23" i="25" a="1"/>
  <c r="J23" i="25" s="1"/>
  <c r="K23" i="25" a="1"/>
  <c r="K23" i="25" s="1"/>
  <c r="L23" i="25" a="1"/>
  <c r="L23" i="25" s="1"/>
  <c r="E24" i="25" a="1"/>
  <c r="E24" i="25" s="1"/>
  <c r="F24" i="25" a="1"/>
  <c r="F24" i="25"/>
  <c r="G24" i="25" a="1"/>
  <c r="G24" i="25" s="1"/>
  <c r="H24" i="25" a="1"/>
  <c r="H24" i="25" s="1"/>
  <c r="I24" i="25" a="1"/>
  <c r="I24" i="25" s="1"/>
  <c r="J24" i="25" a="1"/>
  <c r="J24" i="25" s="1"/>
  <c r="K24" i="25" a="1"/>
  <c r="K24" i="25" s="1"/>
  <c r="L24" i="25" a="1"/>
  <c r="L24" i="25"/>
  <c r="E25" i="25" a="1"/>
  <c r="E25" i="25" s="1"/>
  <c r="F25" i="25" a="1"/>
  <c r="F25" i="25" s="1"/>
  <c r="G25" i="25" a="1"/>
  <c r="G25" i="25" s="1"/>
  <c r="H25" i="25" a="1"/>
  <c r="H25" i="25" s="1"/>
  <c r="I25" i="25" a="1"/>
  <c r="I25" i="25" s="1"/>
  <c r="J25" i="25" a="1"/>
  <c r="J25" i="25"/>
  <c r="K25" i="25" a="1"/>
  <c r="K25" i="25" s="1"/>
  <c r="L25" i="25" a="1"/>
  <c r="L25" i="25" s="1"/>
  <c r="E26" i="25" a="1"/>
  <c r="E26" i="25" s="1"/>
  <c r="F26" i="25" a="1"/>
  <c r="F26" i="25" s="1"/>
  <c r="G26" i="25" a="1"/>
  <c r="G26" i="25" s="1"/>
  <c r="H26" i="25" a="1"/>
  <c r="H26" i="25"/>
  <c r="I26" i="25" a="1"/>
  <c r="I26" i="25" s="1"/>
  <c r="J26" i="25" a="1"/>
  <c r="J26" i="25" s="1"/>
  <c r="K26" i="25" a="1"/>
  <c r="K26" i="25" s="1"/>
  <c r="L26" i="25" a="1"/>
  <c r="L26" i="25" s="1"/>
  <c r="E27" i="25" a="1"/>
  <c r="E27" i="25" s="1"/>
  <c r="F27" i="25" a="1"/>
  <c r="F27" i="25"/>
  <c r="G27" i="25" a="1"/>
  <c r="G27" i="25"/>
  <c r="H27" i="25" a="1"/>
  <c r="H27" i="25" s="1"/>
  <c r="I27" i="25" a="1"/>
  <c r="I27" i="25" s="1"/>
  <c r="J27" i="25" a="1"/>
  <c r="J27" i="25" s="1"/>
  <c r="K27" i="25" a="1"/>
  <c r="K27" i="25" s="1"/>
  <c r="L27" i="25" a="1"/>
  <c r="L27" i="25"/>
  <c r="E28" i="25" a="1"/>
  <c r="E28" i="25" s="1"/>
  <c r="F28" i="25" a="1"/>
  <c r="F28" i="25" s="1"/>
  <c r="G28" i="25" a="1"/>
  <c r="G28" i="25" s="1"/>
  <c r="H28" i="25" a="1"/>
  <c r="H28" i="25" s="1"/>
  <c r="I28" i="25" a="1"/>
  <c r="I28" i="25" s="1"/>
  <c r="J28" i="25" a="1"/>
  <c r="J28" i="25"/>
  <c r="K28" i="25" a="1"/>
  <c r="K28" i="25" s="1"/>
  <c r="L28" i="25" a="1"/>
  <c r="L28" i="25" s="1"/>
  <c r="E29" i="25" a="1"/>
  <c r="E29" i="25" s="1"/>
  <c r="F29" i="25" a="1"/>
  <c r="F29" i="25" s="1"/>
  <c r="G29" i="25" a="1"/>
  <c r="G29" i="25" s="1"/>
  <c r="H29" i="25" a="1"/>
  <c r="H29" i="25"/>
  <c r="I29" i="25" a="1"/>
  <c r="I29" i="25" s="1"/>
  <c r="J29" i="25" a="1"/>
  <c r="J29" i="25" s="1"/>
  <c r="K29" i="25" a="1"/>
  <c r="K29" i="25" s="1"/>
  <c r="L29" i="25" a="1"/>
  <c r="L29" i="25" s="1"/>
  <c r="E30" i="25" a="1"/>
  <c r="E30" i="25" s="1"/>
  <c r="F30" i="25" a="1"/>
  <c r="F30" i="25"/>
  <c r="G30" i="25" a="1"/>
  <c r="G30" i="25" s="1"/>
  <c r="H30" i="25" a="1"/>
  <c r="H30" i="25" s="1"/>
  <c r="I30" i="25" a="1"/>
  <c r="I30" i="25" s="1"/>
  <c r="J30" i="25" a="1"/>
  <c r="J30" i="25" s="1"/>
  <c r="K30" i="25" a="1"/>
  <c r="K30" i="25" s="1"/>
  <c r="L30" i="25" a="1"/>
  <c r="L30" i="25"/>
  <c r="E31" i="25" a="1"/>
  <c r="E31" i="25" s="1"/>
  <c r="F31" i="25" a="1"/>
  <c r="F31" i="25" s="1"/>
  <c r="G31" i="25" a="1"/>
  <c r="G31" i="25" s="1"/>
  <c r="H31" i="25" a="1"/>
  <c r="H31" i="25" s="1"/>
  <c r="I31" i="25" a="1"/>
  <c r="I31" i="25" s="1"/>
  <c r="J31" i="25" a="1"/>
  <c r="J31" i="25"/>
  <c r="K31" i="25" a="1"/>
  <c r="K31" i="25" s="1"/>
  <c r="L31" i="25" a="1"/>
  <c r="L31" i="25" s="1"/>
  <c r="E32" i="25" a="1"/>
  <c r="E32" i="25" s="1"/>
  <c r="F32" i="25" a="1"/>
  <c r="F32" i="25" s="1"/>
  <c r="G32" i="25" a="1"/>
  <c r="G32" i="25" s="1"/>
  <c r="H32" i="25" a="1"/>
  <c r="H32" i="25"/>
  <c r="I32" i="25" a="1"/>
  <c r="I32" i="25" s="1"/>
  <c r="J32" i="25" a="1"/>
  <c r="J32" i="25" s="1"/>
  <c r="K32" i="25" a="1"/>
  <c r="K32" i="25" s="1"/>
  <c r="L32" i="25" a="1"/>
  <c r="L32" i="25" s="1"/>
  <c r="E33" i="25" a="1"/>
  <c r="E33" i="25" s="1"/>
  <c r="F33" i="25" a="1"/>
  <c r="F33" i="25"/>
  <c r="G33" i="25" a="1"/>
  <c r="G33" i="25" s="1"/>
  <c r="H33" i="25" a="1"/>
  <c r="H33" i="25" s="1"/>
  <c r="I33" i="25" a="1"/>
  <c r="I33" i="25" s="1"/>
  <c r="J33" i="25" a="1"/>
  <c r="J33" i="25" s="1"/>
  <c r="K33" i="25" a="1"/>
  <c r="K33" i="25" s="1"/>
  <c r="L33" i="25" a="1"/>
  <c r="L33" i="25"/>
  <c r="E34" i="25" a="1"/>
  <c r="E34" i="25" s="1"/>
  <c r="F34" i="25" a="1"/>
  <c r="F34" i="25" s="1"/>
  <c r="G34" i="25" a="1"/>
  <c r="G34" i="25" s="1"/>
  <c r="H34" i="25" a="1"/>
  <c r="H34" i="25" s="1"/>
  <c r="I34" i="25" a="1"/>
  <c r="I34" i="25" s="1"/>
  <c r="J34" i="25" a="1"/>
  <c r="J34" i="25"/>
  <c r="K34" i="25" a="1"/>
  <c r="K34" i="25" s="1"/>
  <c r="L34" i="25" a="1"/>
  <c r="L34" i="25" s="1"/>
  <c r="E35" i="25" a="1"/>
  <c r="E35" i="25" s="1"/>
  <c r="F35" i="25" a="1"/>
  <c r="F35" i="25" s="1"/>
  <c r="G35" i="25" a="1"/>
  <c r="G35" i="25" s="1"/>
  <c r="H35" i="25" a="1"/>
  <c r="H35" i="25"/>
  <c r="I35" i="25" a="1"/>
  <c r="I35" i="25" s="1"/>
  <c r="J35" i="25" a="1"/>
  <c r="J35" i="25" s="1"/>
  <c r="K35" i="25" a="1"/>
  <c r="K35" i="25" s="1"/>
  <c r="L35" i="25" a="1"/>
  <c r="L35" i="25" s="1"/>
  <c r="E36" i="25" a="1"/>
  <c r="E36" i="25" s="1"/>
  <c r="F36" i="25" a="1"/>
  <c r="F36" i="25"/>
  <c r="G36" i="25" a="1"/>
  <c r="G36" i="25"/>
  <c r="H36" i="25" a="1"/>
  <c r="H36" i="25" s="1"/>
  <c r="I36" i="25" a="1"/>
  <c r="I36" i="25" s="1"/>
  <c r="J36" i="25" a="1"/>
  <c r="J36" i="25" s="1"/>
  <c r="K36" i="25" a="1"/>
  <c r="K36" i="25" s="1"/>
  <c r="L36" i="25" a="1"/>
  <c r="L36" i="25"/>
  <c r="E37" i="25" a="1"/>
  <c r="E37" i="25" s="1"/>
  <c r="F37" i="25" a="1"/>
  <c r="F37" i="25" s="1"/>
  <c r="G37" i="25" a="1"/>
  <c r="G37" i="25" s="1"/>
  <c r="H37" i="25" a="1"/>
  <c r="H37" i="25" s="1"/>
  <c r="I37" i="25" a="1"/>
  <c r="I37" i="25" s="1"/>
  <c r="J37" i="25" a="1"/>
  <c r="J37" i="25"/>
  <c r="K37" i="25" a="1"/>
  <c r="K37" i="25" s="1"/>
  <c r="L37" i="25" a="1"/>
  <c r="L37" i="25" s="1"/>
  <c r="E38" i="25" a="1"/>
  <c r="E38" i="25" s="1"/>
  <c r="F38" i="25" a="1"/>
  <c r="F38" i="25" s="1"/>
  <c r="G38" i="25" a="1"/>
  <c r="G38" i="25" s="1"/>
  <c r="H38" i="25" a="1"/>
  <c r="H38" i="25"/>
  <c r="I38" i="25" a="1"/>
  <c r="I38" i="25" s="1"/>
  <c r="J38" i="25" a="1"/>
  <c r="J38" i="25" s="1"/>
  <c r="K38" i="25" a="1"/>
  <c r="K38" i="25" s="1"/>
  <c r="L38" i="25" a="1"/>
  <c r="L38" i="25" s="1"/>
  <c r="E39" i="25" a="1"/>
  <c r="E39" i="25" s="1"/>
  <c r="F39" i="25" a="1"/>
  <c r="F39" i="25" s="1"/>
  <c r="G39" i="25" a="1"/>
  <c r="G39" i="25" s="1"/>
  <c r="H39" i="25" a="1"/>
  <c r="H39" i="25" s="1"/>
  <c r="I39" i="25" a="1"/>
  <c r="I39" i="25" s="1"/>
  <c r="J39" i="25" a="1"/>
  <c r="J39" i="25" s="1"/>
  <c r="K39" i="25" a="1"/>
  <c r="K39" i="25" s="1"/>
  <c r="L39" i="25" a="1"/>
  <c r="L39" i="25"/>
  <c r="E40" i="25" a="1"/>
  <c r="E40" i="25" s="1"/>
  <c r="F40" i="25" a="1"/>
  <c r="F40" i="25" s="1"/>
  <c r="G40" i="25" a="1"/>
  <c r="G40" i="25" s="1"/>
  <c r="H40" i="25" a="1"/>
  <c r="H40" i="25" s="1"/>
  <c r="I40" i="25" a="1"/>
  <c r="I40" i="25" s="1"/>
  <c r="J40" i="25" a="1"/>
  <c r="J40" i="25"/>
  <c r="K40" i="25" a="1"/>
  <c r="K40" i="25"/>
  <c r="L40" i="25" a="1"/>
  <c r="L40" i="25" s="1"/>
  <c r="E41" i="25" a="1"/>
  <c r="E41" i="25" s="1"/>
  <c r="F41" i="25" a="1"/>
  <c r="F41" i="25" s="1"/>
  <c r="G41" i="25" a="1"/>
  <c r="G41" i="25" s="1"/>
  <c r="H41" i="25" a="1"/>
  <c r="H41" i="25" s="1"/>
  <c r="I41" i="25" a="1"/>
  <c r="I41" i="25" s="1"/>
  <c r="J41" i="25" a="1"/>
  <c r="J41" i="25" s="1"/>
  <c r="K41" i="25" a="1"/>
  <c r="K41" i="25" s="1"/>
  <c r="L41" i="25" a="1"/>
  <c r="L41" i="25" s="1"/>
  <c r="E42" i="25" a="1"/>
  <c r="E42" i="25" s="1"/>
  <c r="F42" i="25" a="1"/>
  <c r="F42" i="25"/>
  <c r="G42" i="25" a="1"/>
  <c r="G42" i="25" s="1"/>
  <c r="H42" i="25" a="1"/>
  <c r="H42" i="25" s="1"/>
  <c r="I42" i="25" a="1"/>
  <c r="I42" i="25" s="1"/>
  <c r="J42" i="25" a="1"/>
  <c r="J42" i="25" s="1"/>
  <c r="K42" i="25" a="1"/>
  <c r="K42" i="25" s="1"/>
  <c r="L42" i="25" a="1"/>
  <c r="L42" i="25"/>
  <c r="E43" i="25" a="1"/>
  <c r="E43" i="25" s="1"/>
  <c r="F43" i="25" a="1"/>
  <c r="F43" i="25" s="1"/>
  <c r="G43" i="25" a="1"/>
  <c r="G43" i="25" s="1"/>
  <c r="H43" i="25" a="1"/>
  <c r="H43" i="25" s="1"/>
  <c r="I43" i="25" a="1"/>
  <c r="I43" i="25" s="1"/>
  <c r="J43" i="25" a="1"/>
  <c r="J43" i="25" s="1"/>
  <c r="K43" i="25" a="1"/>
  <c r="K43" i="25" s="1"/>
  <c r="L43" i="25" a="1"/>
  <c r="L43" i="25" s="1"/>
  <c r="E44" i="25" a="1"/>
  <c r="E44" i="25" s="1"/>
  <c r="F44" i="25" a="1"/>
  <c r="F44" i="25" s="1"/>
  <c r="G44" i="25" a="1"/>
  <c r="G44" i="25" s="1"/>
  <c r="H44" i="25" a="1"/>
  <c r="H44" i="25"/>
  <c r="I44" i="25" a="1"/>
  <c r="I44" i="25" s="1"/>
  <c r="J44" i="25" a="1"/>
  <c r="J44" i="25" s="1"/>
  <c r="K44" i="25" a="1"/>
  <c r="K44" i="25" s="1"/>
  <c r="L44" i="25" a="1"/>
  <c r="L44" i="25" s="1"/>
  <c r="E45" i="25" a="1"/>
  <c r="E45" i="25" s="1"/>
  <c r="F45" i="25" a="1"/>
  <c r="F45" i="25"/>
  <c r="G45" i="25" a="1"/>
  <c r="G45" i="25"/>
  <c r="H45" i="25" a="1"/>
  <c r="H45" i="25" s="1"/>
  <c r="I45" i="25" a="1"/>
  <c r="I45" i="25" s="1"/>
  <c r="J45" i="25" a="1"/>
  <c r="J45" i="25" s="1"/>
  <c r="K45" i="25" a="1"/>
  <c r="K45" i="25" s="1"/>
  <c r="L45" i="25" a="1"/>
  <c r="L45" i="25" s="1"/>
  <c r="E46" i="25" a="1"/>
  <c r="E46" i="25" s="1"/>
  <c r="F46" i="25" a="1"/>
  <c r="F46" i="25" s="1"/>
  <c r="G46" i="25" a="1"/>
  <c r="G46" i="25" s="1"/>
  <c r="H46" i="25" a="1"/>
  <c r="H46" i="25" s="1"/>
  <c r="I46" i="25" a="1"/>
  <c r="I46" i="25" s="1"/>
  <c r="J46" i="25" a="1"/>
  <c r="J46" i="25"/>
  <c r="K46" i="25" a="1"/>
  <c r="K46" i="25" s="1"/>
  <c r="L46" i="25" a="1"/>
  <c r="L46" i="25" s="1"/>
  <c r="E47" i="25" a="1"/>
  <c r="E47" i="25" s="1"/>
  <c r="F47" i="25" a="1"/>
  <c r="F47" i="25" s="1"/>
  <c r="G47" i="25" a="1"/>
  <c r="G47" i="25" s="1"/>
  <c r="H47" i="25" a="1"/>
  <c r="H47" i="25"/>
  <c r="I47" i="25" a="1"/>
  <c r="I47" i="25" s="1"/>
  <c r="J47" i="25" a="1"/>
  <c r="J47" i="25" s="1"/>
  <c r="K47" i="25" a="1"/>
  <c r="K47" i="25" s="1"/>
  <c r="L47" i="25" a="1"/>
  <c r="L47" i="25" s="1"/>
  <c r="E48" i="25" a="1"/>
  <c r="E48" i="25" s="1"/>
  <c r="F48" i="25" a="1"/>
  <c r="F48" i="25" s="1"/>
  <c r="G48" i="25" a="1"/>
  <c r="G48" i="25" s="1"/>
  <c r="H48" i="25" a="1"/>
  <c r="H48" i="25" s="1"/>
  <c r="I48" i="25" a="1"/>
  <c r="I48" i="25" s="1"/>
  <c r="J48" i="25" a="1"/>
  <c r="J48" i="25" s="1"/>
  <c r="K48" i="25" a="1"/>
  <c r="K48" i="25" s="1"/>
  <c r="L48" i="25" a="1"/>
  <c r="L48" i="25"/>
  <c r="E49" i="25" a="1"/>
  <c r="E49" i="25" s="1"/>
  <c r="F49" i="25" a="1"/>
  <c r="F49" i="25" s="1"/>
  <c r="G49" i="25" a="1"/>
  <c r="G49" i="25" s="1"/>
  <c r="H49" i="25" a="1"/>
  <c r="H49" i="25" s="1"/>
  <c r="I49" i="25" a="1"/>
  <c r="I49" i="25" s="1"/>
  <c r="J49" i="25" a="1"/>
  <c r="J49" i="25"/>
  <c r="K49" i="25" a="1"/>
  <c r="K49" i="25"/>
  <c r="L49" i="25" a="1"/>
  <c r="L49" i="25" s="1"/>
  <c r="E50" i="25" a="1"/>
  <c r="E50" i="25" s="1"/>
  <c r="F50" i="25" a="1"/>
  <c r="F50" i="25" s="1"/>
  <c r="G50" i="25" a="1"/>
  <c r="G50" i="25" s="1"/>
  <c r="H50" i="25" a="1"/>
  <c r="H50" i="25" s="1"/>
  <c r="I50" i="25" a="1"/>
  <c r="I50" i="25" s="1"/>
  <c r="J50" i="25" a="1"/>
  <c r="J50" i="25" s="1"/>
  <c r="K50" i="25" a="1"/>
  <c r="K50" i="25" s="1"/>
  <c r="L50" i="25" a="1"/>
  <c r="L50" i="25" s="1"/>
  <c r="E51" i="25" a="1"/>
  <c r="E51" i="25" s="1"/>
  <c r="F51" i="25" a="1"/>
  <c r="F51" i="25"/>
  <c r="G51" i="25" a="1"/>
  <c r="G51" i="25" s="1"/>
  <c r="H51" i="25" a="1"/>
  <c r="H51" i="25" s="1"/>
  <c r="I51" i="25" a="1"/>
  <c r="I51" i="25" s="1"/>
  <c r="J51" i="25" a="1"/>
  <c r="J51" i="25" s="1"/>
  <c r="K51" i="25" a="1"/>
  <c r="K51" i="25" s="1"/>
  <c r="L51" i="25" a="1"/>
  <c r="L51" i="25"/>
  <c r="E52" i="25" a="1"/>
  <c r="E52" i="25" s="1"/>
  <c r="F52" i="25" a="1"/>
  <c r="F52" i="25" s="1"/>
  <c r="G52" i="25" a="1"/>
  <c r="G52" i="25" s="1"/>
  <c r="H52" i="25" a="1"/>
  <c r="H52" i="25" s="1"/>
  <c r="I52" i="25" a="1"/>
  <c r="I52" i="25" s="1"/>
  <c r="J52" i="25" a="1"/>
  <c r="J52" i="25" s="1"/>
  <c r="K52" i="25" a="1"/>
  <c r="K52" i="25" s="1"/>
  <c r="L52" i="25" a="1"/>
  <c r="L52" i="25" s="1"/>
  <c r="E53" i="25" a="1"/>
  <c r="E53" i="25" s="1"/>
  <c r="F53" i="25" a="1"/>
  <c r="F53" i="25" s="1"/>
  <c r="G53" i="25" a="1"/>
  <c r="G53" i="25" s="1"/>
  <c r="H53" i="25" a="1"/>
  <c r="H53" i="25"/>
  <c r="I53" i="25" a="1"/>
  <c r="I53" i="25" s="1"/>
  <c r="J53" i="25" a="1"/>
  <c r="J53" i="25" s="1"/>
  <c r="K53" i="25" a="1"/>
  <c r="K53" i="25" s="1"/>
  <c r="L53" i="25" a="1"/>
  <c r="L53" i="25" s="1"/>
  <c r="E54" i="25" a="1"/>
  <c r="E54" i="25" s="1"/>
  <c r="F54" i="25" a="1"/>
  <c r="F54" i="25"/>
  <c r="G54" i="25" a="1"/>
  <c r="G54" i="25"/>
  <c r="H54" i="25" a="1"/>
  <c r="H54" i="25" s="1"/>
  <c r="I54" i="25" a="1"/>
  <c r="I54" i="25" s="1"/>
  <c r="J54" i="25" a="1"/>
  <c r="J54" i="25" s="1"/>
  <c r="K54" i="25" a="1"/>
  <c r="K54" i="25" s="1"/>
  <c r="L54" i="25" a="1"/>
  <c r="L54" i="25" s="1"/>
  <c r="E55" i="25" a="1"/>
  <c r="E55" i="25" s="1"/>
  <c r="F55" i="25" a="1"/>
  <c r="F55" i="25" s="1"/>
  <c r="G55" i="25" a="1"/>
  <c r="G55" i="25" s="1"/>
  <c r="H55" i="25" a="1"/>
  <c r="H55" i="25" s="1"/>
  <c r="I55" i="25" a="1"/>
  <c r="I55" i="25" s="1"/>
  <c r="J55" i="25" a="1"/>
  <c r="J55" i="25"/>
  <c r="K55" i="25" a="1"/>
  <c r="K55" i="25" s="1"/>
  <c r="L55" i="25" a="1"/>
  <c r="L55" i="25" s="1"/>
  <c r="E56" i="25" a="1"/>
  <c r="E56" i="25" s="1"/>
  <c r="F56" i="25" a="1"/>
  <c r="F56" i="25" s="1"/>
  <c r="G56" i="25" a="1"/>
  <c r="G56" i="25" s="1"/>
  <c r="H56" i="25" a="1"/>
  <c r="H56" i="25"/>
  <c r="I56" i="25" a="1"/>
  <c r="I56" i="25" s="1"/>
  <c r="J56" i="25" a="1"/>
  <c r="J56" i="25" s="1"/>
  <c r="K56" i="25" a="1"/>
  <c r="K56" i="25" s="1"/>
  <c r="L56" i="25" a="1"/>
  <c r="L56" i="25" s="1"/>
  <c r="E57" i="25" a="1"/>
  <c r="E57" i="25" s="1"/>
  <c r="F57" i="25" a="1"/>
  <c r="F57" i="25" s="1"/>
  <c r="G57" i="25" a="1"/>
  <c r="G57" i="25" s="1"/>
  <c r="H57" i="25" a="1"/>
  <c r="H57" i="25" s="1"/>
  <c r="I57" i="25" a="1"/>
  <c r="I57" i="25" s="1"/>
  <c r="J57" i="25" a="1"/>
  <c r="J57" i="25" s="1"/>
  <c r="K57" i="25" a="1"/>
  <c r="K57" i="25" s="1"/>
  <c r="L57" i="25" a="1"/>
  <c r="L57" i="25"/>
  <c r="E58" i="25" a="1"/>
  <c r="E58" i="25" s="1"/>
  <c r="F58" i="25" a="1"/>
  <c r="F58" i="25" s="1"/>
  <c r="G58" i="25" a="1"/>
  <c r="G58" i="25" s="1"/>
  <c r="H58" i="25" a="1"/>
  <c r="H58" i="25" s="1"/>
  <c r="I58" i="25" a="1"/>
  <c r="I58" i="25" s="1"/>
  <c r="J58" i="25" a="1"/>
  <c r="J58" i="25"/>
  <c r="K58" i="25" a="1"/>
  <c r="K58" i="25"/>
  <c r="L58" i="25" a="1"/>
  <c r="L58" i="25" s="1"/>
  <c r="E59" i="25" a="1"/>
  <c r="E59" i="25" s="1"/>
  <c r="F59" i="25" a="1"/>
  <c r="F59" i="25" s="1"/>
  <c r="G59" i="25" a="1"/>
  <c r="G59" i="25" s="1"/>
  <c r="H59" i="25" a="1"/>
  <c r="H59" i="25" s="1"/>
  <c r="I59" i="25" a="1"/>
  <c r="I59" i="25"/>
  <c r="J59" i="25" a="1"/>
  <c r="J59" i="25" s="1"/>
  <c r="K59" i="25" a="1"/>
  <c r="K59" i="25"/>
  <c r="L59" i="25" a="1"/>
  <c r="L59" i="25" s="1"/>
  <c r="E60" i="25" a="1"/>
  <c r="E60" i="25" s="1"/>
  <c r="F60" i="25" a="1"/>
  <c r="F60" i="25" s="1"/>
  <c r="G60" i="25" a="1"/>
  <c r="G60" i="25"/>
  <c r="H60" i="25" a="1"/>
  <c r="H60" i="25" s="1"/>
  <c r="I60" i="25" a="1"/>
  <c r="I60" i="25" s="1"/>
  <c r="J60" i="25" a="1"/>
  <c r="J60" i="25" s="1"/>
  <c r="K60" i="25" a="1"/>
  <c r="K60" i="25" s="1"/>
  <c r="L60" i="25" a="1"/>
  <c r="L60" i="25" s="1"/>
  <c r="E11" i="21" a="1"/>
  <c r="E11" i="21"/>
  <c r="F11" i="21" a="1"/>
  <c r="F11" i="21"/>
  <c r="G11" i="21" a="1"/>
  <c r="G11" i="21" s="1"/>
  <c r="H11" i="21" a="1"/>
  <c r="H11" i="21" s="1"/>
  <c r="I11" i="21" a="1"/>
  <c r="I11" i="21" s="1"/>
  <c r="J11" i="21" a="1"/>
  <c r="J11" i="21" s="1"/>
  <c r="K11" i="21" a="1"/>
  <c r="K11" i="21"/>
  <c r="L11" i="21" a="1"/>
  <c r="L11" i="21"/>
  <c r="E20" i="21" a="1"/>
  <c r="E20" i="21" s="1"/>
  <c r="F20" i="21" a="1"/>
  <c r="F20" i="21" s="1"/>
  <c r="G20" i="21" a="1"/>
  <c r="G20" i="21"/>
  <c r="H20" i="21" a="1"/>
  <c r="H20" i="21"/>
  <c r="I20" i="21" a="1"/>
  <c r="I20" i="21" s="1"/>
  <c r="J20" i="21" a="1"/>
  <c r="J20" i="21" s="1"/>
  <c r="K20" i="21" a="1"/>
  <c r="K20" i="21" s="1"/>
  <c r="L20" i="21" a="1"/>
  <c r="L20" i="21" s="1"/>
  <c r="L16" i="21" s="1"/>
  <c r="S20" i="21"/>
  <c r="T20" i="21"/>
  <c r="E21" i="21" a="1"/>
  <c r="E21" i="21" s="1"/>
  <c r="R21" i="21" s="1"/>
  <c r="F21" i="21" a="1"/>
  <c r="F21" i="21"/>
  <c r="G21" i="21" a="1"/>
  <c r="G21" i="21"/>
  <c r="T21" i="21" s="1"/>
  <c r="H21" i="21" a="1"/>
  <c r="H21" i="21"/>
  <c r="I21" i="21" a="1"/>
  <c r="I21" i="21"/>
  <c r="J21" i="21" a="1"/>
  <c r="J21" i="21" s="1"/>
  <c r="K21" i="21" a="1"/>
  <c r="K21" i="21" s="1"/>
  <c r="L21" i="21" a="1"/>
  <c r="L21" i="21"/>
  <c r="S21" i="21"/>
  <c r="E22" i="21" a="1"/>
  <c r="E22" i="21" s="1"/>
  <c r="R22" i="21" s="1"/>
  <c r="F22" i="21" a="1"/>
  <c r="F22" i="21"/>
  <c r="S22" i="21" s="1"/>
  <c r="G22" i="21" a="1"/>
  <c r="G22" i="21" s="1"/>
  <c r="T22" i="21" s="1"/>
  <c r="H22" i="21" a="1"/>
  <c r="H22" i="21" s="1"/>
  <c r="I22" i="21" a="1"/>
  <c r="I22" i="21" s="1"/>
  <c r="J22" i="21" a="1"/>
  <c r="J22" i="21" s="1"/>
  <c r="K22" i="21" a="1"/>
  <c r="K22" i="21" s="1"/>
  <c r="L22" i="21" a="1"/>
  <c r="L22" i="21"/>
  <c r="E23" i="21" a="1"/>
  <c r="E23" i="21"/>
  <c r="R23" i="21" s="1"/>
  <c r="F23" i="21" a="1"/>
  <c r="F23" i="21"/>
  <c r="G23" i="21" a="1"/>
  <c r="G23" i="21"/>
  <c r="T23" i="21" s="1"/>
  <c r="H23" i="21" a="1"/>
  <c r="H23" i="21"/>
  <c r="I23" i="21" a="1"/>
  <c r="I23" i="21" s="1"/>
  <c r="J23" i="21" a="1"/>
  <c r="J23" i="21" s="1"/>
  <c r="K23" i="21" a="1"/>
  <c r="K23" i="21"/>
  <c r="L23" i="21" a="1"/>
  <c r="L23" i="21"/>
  <c r="S23" i="21"/>
  <c r="E24" i="21" a="1"/>
  <c r="E24" i="21"/>
  <c r="R24" i="21" s="1"/>
  <c r="F24" i="21" a="1"/>
  <c r="F24" i="21" s="1"/>
  <c r="S24" i="21" s="1"/>
  <c r="G24" i="21" a="1"/>
  <c r="G24" i="21"/>
  <c r="H24" i="21" a="1"/>
  <c r="H24" i="21" s="1"/>
  <c r="I24" i="21" a="1"/>
  <c r="I24" i="21" s="1"/>
  <c r="J24" i="21" a="1"/>
  <c r="J24" i="21" s="1"/>
  <c r="K24" i="21" a="1"/>
  <c r="K24" i="21"/>
  <c r="L24" i="21" a="1"/>
  <c r="L24" i="21"/>
  <c r="T24" i="21"/>
  <c r="E25" i="21" a="1"/>
  <c r="E25" i="21"/>
  <c r="R25" i="21" s="1"/>
  <c r="F25" i="21" a="1"/>
  <c r="F25" i="21"/>
  <c r="S25" i="21" s="1"/>
  <c r="G25" i="21" a="1"/>
  <c r="G25" i="21"/>
  <c r="H25" i="21" a="1"/>
  <c r="H25" i="21"/>
  <c r="I25" i="21" a="1"/>
  <c r="I25" i="21" s="1"/>
  <c r="J25" i="21" a="1"/>
  <c r="J25" i="21"/>
  <c r="K25" i="21" a="1"/>
  <c r="K25" i="21"/>
  <c r="L25" i="21" a="1"/>
  <c r="L25" i="21"/>
  <c r="T25" i="21"/>
  <c r="E26" i="21" a="1"/>
  <c r="E26" i="21"/>
  <c r="R26" i="21" s="1"/>
  <c r="F26" i="21" a="1"/>
  <c r="F26" i="21"/>
  <c r="G26" i="21" a="1"/>
  <c r="G26" i="21" s="1"/>
  <c r="T26" i="21" s="1"/>
  <c r="H26" i="21" a="1"/>
  <c r="H26" i="21" s="1"/>
  <c r="I26" i="21" a="1"/>
  <c r="I26" i="21" s="1"/>
  <c r="J26" i="21" a="1"/>
  <c r="J26" i="21"/>
  <c r="K26" i="21" a="1"/>
  <c r="K26" i="21"/>
  <c r="L26" i="21" a="1"/>
  <c r="L26" i="21" s="1"/>
  <c r="S26" i="21"/>
  <c r="E27" i="21" a="1"/>
  <c r="E27" i="21"/>
  <c r="F27" i="21" a="1"/>
  <c r="F27" i="21"/>
  <c r="G27" i="21" a="1"/>
  <c r="G27" i="21"/>
  <c r="H27" i="21" a="1"/>
  <c r="H27" i="21" s="1"/>
  <c r="I27" i="21" a="1"/>
  <c r="I27" i="21"/>
  <c r="J27" i="21" a="1"/>
  <c r="J27" i="21"/>
  <c r="K27" i="21" a="1"/>
  <c r="K27" i="21"/>
  <c r="L27" i="21" a="1"/>
  <c r="L27" i="21"/>
  <c r="R27" i="21"/>
  <c r="S27" i="21"/>
  <c r="T27" i="21"/>
  <c r="E28" i="21" a="1"/>
  <c r="E28" i="21" s="1"/>
  <c r="R28" i="21" s="1"/>
  <c r="F28" i="21" a="1"/>
  <c r="F28" i="21" s="1"/>
  <c r="S28" i="21" s="1"/>
  <c r="G28" i="21" a="1"/>
  <c r="G28" i="21" s="1"/>
  <c r="T28" i="21" s="1"/>
  <c r="H28" i="21" a="1"/>
  <c r="H28" i="21" s="1"/>
  <c r="I28" i="21" a="1"/>
  <c r="I28" i="21"/>
  <c r="J28" i="21" a="1"/>
  <c r="J28" i="21" s="1"/>
  <c r="K28" i="21" a="1"/>
  <c r="K28" i="21" s="1"/>
  <c r="L28" i="21" a="1"/>
  <c r="L28" i="21" s="1"/>
  <c r="E29" i="21" a="1"/>
  <c r="E29" i="21"/>
  <c r="F29" i="21" a="1"/>
  <c r="F29" i="21"/>
  <c r="S29" i="21" s="1"/>
  <c r="G29" i="21" a="1"/>
  <c r="G29" i="21" s="1"/>
  <c r="T29" i="21" s="1"/>
  <c r="H29" i="21" a="1"/>
  <c r="H29" i="21"/>
  <c r="I29" i="21" a="1"/>
  <c r="I29" i="21"/>
  <c r="J29" i="21" a="1"/>
  <c r="J29" i="21"/>
  <c r="K29" i="21" a="1"/>
  <c r="K29" i="21"/>
  <c r="L29" i="21" a="1"/>
  <c r="L29" i="21"/>
  <c r="R29" i="21"/>
  <c r="E30" i="21" a="1"/>
  <c r="E30" i="21" s="1"/>
  <c r="R30" i="21" s="1"/>
  <c r="F30" i="21" a="1"/>
  <c r="F30" i="21" s="1"/>
  <c r="S30" i="21" s="1"/>
  <c r="G30" i="21" a="1"/>
  <c r="G30" i="21" s="1"/>
  <c r="T30" i="21" s="1"/>
  <c r="H30" i="21" a="1"/>
  <c r="H30" i="21"/>
  <c r="I30" i="21" a="1"/>
  <c r="I30" i="21"/>
  <c r="J30" i="21" a="1"/>
  <c r="J30" i="21" s="1"/>
  <c r="K30" i="21" a="1"/>
  <c r="K30" i="21" s="1"/>
  <c r="L30" i="21" a="1"/>
  <c r="L30" i="21" s="1"/>
  <c r="E31" i="21" a="1"/>
  <c r="E31" i="21"/>
  <c r="R31" i="21" s="1"/>
  <c r="F31" i="21" a="1"/>
  <c r="F31" i="21" s="1"/>
  <c r="S31" i="21" s="1"/>
  <c r="G31" i="21" a="1"/>
  <c r="G31" i="21"/>
  <c r="T31" i="21" s="1"/>
  <c r="H31" i="21" a="1"/>
  <c r="H31" i="21"/>
  <c r="I31" i="21" a="1"/>
  <c r="I31" i="21"/>
  <c r="J31" i="21" a="1"/>
  <c r="J31" i="21"/>
  <c r="K31" i="21" a="1"/>
  <c r="K31" i="21"/>
  <c r="L31" i="21" a="1"/>
  <c r="L31" i="21" s="1"/>
  <c r="E32" i="21" a="1"/>
  <c r="E32" i="21" s="1"/>
  <c r="R32" i="21" s="1"/>
  <c r="F32" i="21" a="1"/>
  <c r="F32" i="21" s="1"/>
  <c r="S32" i="21" s="1"/>
  <c r="G32" i="21" a="1"/>
  <c r="G32" i="21"/>
  <c r="H32" i="21" a="1"/>
  <c r="H32" i="21" s="1"/>
  <c r="I32" i="21" a="1"/>
  <c r="I32" i="21" s="1"/>
  <c r="J32" i="21" a="1"/>
  <c r="J32" i="21" s="1"/>
  <c r="K32" i="21" a="1"/>
  <c r="K32" i="21" s="1"/>
  <c r="L32" i="21" a="1"/>
  <c r="L32" i="21" s="1"/>
  <c r="T32" i="21"/>
  <c r="E33" i="21" a="1"/>
  <c r="E33" i="21" s="1"/>
  <c r="R33" i="21" s="1"/>
  <c r="F33" i="21" a="1"/>
  <c r="F33" i="21"/>
  <c r="G33" i="21" a="1"/>
  <c r="G33" i="21"/>
  <c r="T33" i="21" s="1"/>
  <c r="H33" i="21" a="1"/>
  <c r="H33" i="21"/>
  <c r="I33" i="21" a="1"/>
  <c r="I33" i="21"/>
  <c r="J33" i="21" a="1"/>
  <c r="J33" i="21"/>
  <c r="K33" i="21" a="1"/>
  <c r="K33" i="21" s="1"/>
  <c r="L33" i="21" a="1"/>
  <c r="L33" i="21"/>
  <c r="S33" i="21"/>
  <c r="E34" i="21" a="1"/>
  <c r="E34" i="21" s="1"/>
  <c r="F34" i="21" a="1"/>
  <c r="F34" i="21"/>
  <c r="G34" i="21" a="1"/>
  <c r="G34" i="21"/>
  <c r="T34" i="21" s="1"/>
  <c r="H34" i="21" a="1"/>
  <c r="H34" i="21"/>
  <c r="I34" i="21" a="1"/>
  <c r="I34" i="21" s="1"/>
  <c r="J34" i="21" a="1"/>
  <c r="J34" i="21" s="1"/>
  <c r="K34" i="21" a="1"/>
  <c r="K34" i="21" s="1"/>
  <c r="L34" i="21" a="1"/>
  <c r="L34" i="21"/>
  <c r="R34" i="21"/>
  <c r="S34" i="21"/>
  <c r="E35" i="21" a="1"/>
  <c r="E35" i="21"/>
  <c r="R35" i="21" s="1"/>
  <c r="F35" i="21" a="1"/>
  <c r="F35" i="21"/>
  <c r="S35" i="21" s="1"/>
  <c r="G35" i="21" a="1"/>
  <c r="G35" i="21"/>
  <c r="T35" i="21" s="1"/>
  <c r="H35" i="21" a="1"/>
  <c r="H35" i="21"/>
  <c r="I35" i="21" a="1"/>
  <c r="I35" i="21" s="1"/>
  <c r="J35" i="21" a="1"/>
  <c r="J35" i="21" s="1"/>
  <c r="K35" i="21" a="1"/>
  <c r="K35" i="21"/>
  <c r="L35" i="21" a="1"/>
  <c r="L35" i="21"/>
  <c r="E36" i="21" a="1"/>
  <c r="E36" i="21"/>
  <c r="R36" i="21" s="1"/>
  <c r="F36" i="21" a="1"/>
  <c r="F36" i="21"/>
  <c r="S36" i="21" s="1"/>
  <c r="G36" i="21" a="1"/>
  <c r="G36" i="21"/>
  <c r="H36" i="21" a="1"/>
  <c r="H36" i="21" s="1"/>
  <c r="I36" i="21" a="1"/>
  <c r="I36" i="21" s="1"/>
  <c r="J36" i="21" a="1"/>
  <c r="J36" i="21" s="1"/>
  <c r="K36" i="21" a="1"/>
  <c r="K36" i="21"/>
  <c r="L36" i="21" a="1"/>
  <c r="L36" i="21" s="1"/>
  <c r="T36" i="21"/>
  <c r="E37" i="21" a="1"/>
  <c r="E37" i="21"/>
  <c r="R37" i="21" s="1"/>
  <c r="F37" i="21" a="1"/>
  <c r="F37" i="21"/>
  <c r="S37" i="21" s="1"/>
  <c r="G37" i="21" a="1"/>
  <c r="G37" i="21"/>
  <c r="H37" i="21" a="1"/>
  <c r="H37" i="21" s="1"/>
  <c r="I37" i="21" a="1"/>
  <c r="I37" i="21" s="1"/>
  <c r="J37" i="21" a="1"/>
  <c r="J37" i="21"/>
  <c r="K37" i="21" a="1"/>
  <c r="K37" i="21"/>
  <c r="L37" i="21" a="1"/>
  <c r="L37" i="21"/>
  <c r="T37" i="21"/>
  <c r="E38" i="21" a="1"/>
  <c r="E38" i="21" s="1"/>
  <c r="R38" i="21" s="1"/>
  <c r="F38" i="21" a="1"/>
  <c r="F38" i="21"/>
  <c r="G38" i="21" a="1"/>
  <c r="G38" i="21" s="1"/>
  <c r="T38" i="21" s="1"/>
  <c r="H38" i="21" a="1"/>
  <c r="H38" i="21" s="1"/>
  <c r="I38" i="21" a="1"/>
  <c r="I38" i="21" s="1"/>
  <c r="J38" i="21" a="1"/>
  <c r="J38" i="21"/>
  <c r="K38" i="21" a="1"/>
  <c r="K38" i="21" s="1"/>
  <c r="L38" i="21" a="1"/>
  <c r="L38" i="21" s="1"/>
  <c r="S38" i="21"/>
  <c r="E39" i="21" a="1"/>
  <c r="E39" i="21"/>
  <c r="F39" i="21" a="1"/>
  <c r="F39" i="21"/>
  <c r="G39" i="21" a="1"/>
  <c r="G39" i="21" s="1"/>
  <c r="T39" i="21" s="1"/>
  <c r="H39" i="21" a="1"/>
  <c r="H39" i="21" s="1"/>
  <c r="I39" i="21" a="1"/>
  <c r="I39" i="21"/>
  <c r="J39" i="21" a="1"/>
  <c r="J39" i="21"/>
  <c r="K39" i="21" a="1"/>
  <c r="K39" i="21"/>
  <c r="L39" i="21" a="1"/>
  <c r="L39" i="21"/>
  <c r="R39" i="21"/>
  <c r="S39" i="21"/>
  <c r="E40" i="21" a="1"/>
  <c r="E40" i="21" s="1"/>
  <c r="R40" i="21" s="1"/>
  <c r="F40" i="21" a="1"/>
  <c r="F40" i="21" s="1"/>
  <c r="S40" i="21" s="1"/>
  <c r="G40" i="21" a="1"/>
  <c r="G40" i="21" s="1"/>
  <c r="T40" i="21" s="1"/>
  <c r="H40" i="21" a="1"/>
  <c r="H40" i="21" s="1"/>
  <c r="I40" i="21" a="1"/>
  <c r="I40" i="21"/>
  <c r="J40" i="21" a="1"/>
  <c r="J40" i="21"/>
  <c r="K40" i="21" a="1"/>
  <c r="K40" i="21" s="1"/>
  <c r="L40" i="21" a="1"/>
  <c r="L40" i="21" s="1"/>
  <c r="E41" i="21" a="1"/>
  <c r="E41" i="21"/>
  <c r="F41" i="21" a="1"/>
  <c r="F41" i="21"/>
  <c r="S41" i="21" s="1"/>
  <c r="G41" i="21" a="1"/>
  <c r="G41" i="21" s="1"/>
  <c r="T41" i="21" s="1"/>
  <c r="H41" i="21" a="1"/>
  <c r="H41" i="21"/>
  <c r="I41" i="21" a="1"/>
  <c r="I41" i="21"/>
  <c r="J41" i="21" a="1"/>
  <c r="J41" i="21"/>
  <c r="K41" i="21" a="1"/>
  <c r="K41" i="21"/>
  <c r="L41" i="21" a="1"/>
  <c r="L41" i="21"/>
  <c r="R41" i="21"/>
  <c r="E42" i="21" a="1"/>
  <c r="E42" i="21" s="1"/>
  <c r="R42" i="21" s="1"/>
  <c r="F42" i="21" a="1"/>
  <c r="F42" i="21" s="1"/>
  <c r="S42" i="21" s="1"/>
  <c r="G42" i="21" a="1"/>
  <c r="G42" i="21" s="1"/>
  <c r="T42" i="21" s="1"/>
  <c r="H42" i="21" a="1"/>
  <c r="H42" i="21"/>
  <c r="I42" i="21" a="1"/>
  <c r="I42" i="21" s="1"/>
  <c r="J42" i="21" a="1"/>
  <c r="J42" i="21" s="1"/>
  <c r="K42" i="21" a="1"/>
  <c r="K42" i="21" s="1"/>
  <c r="L42" i="21" a="1"/>
  <c r="L42" i="21" s="1"/>
  <c r="E43" i="21" a="1"/>
  <c r="E43" i="21"/>
  <c r="R43" i="21" s="1"/>
  <c r="F43" i="21" a="1"/>
  <c r="F43" i="21" s="1"/>
  <c r="S43" i="21" s="1"/>
  <c r="G43" i="21" a="1"/>
  <c r="G43" i="21"/>
  <c r="T43" i="21" s="1"/>
  <c r="H43" i="21" a="1"/>
  <c r="H43" i="21"/>
  <c r="I43" i="21" a="1"/>
  <c r="I43" i="21"/>
  <c r="J43" i="21" a="1"/>
  <c r="J43" i="21"/>
  <c r="K43" i="21" a="1"/>
  <c r="K43" i="21"/>
  <c r="L43" i="21" a="1"/>
  <c r="L43" i="21" s="1"/>
  <c r="E44" i="21" a="1"/>
  <c r="E44" i="21" s="1"/>
  <c r="R44" i="21" s="1"/>
  <c r="F44" i="21" a="1"/>
  <c r="F44" i="21" s="1"/>
  <c r="S44" i="21" s="1"/>
  <c r="G44" i="21" a="1"/>
  <c r="G44" i="21"/>
  <c r="H44" i="21" a="1"/>
  <c r="H44" i="21"/>
  <c r="I44" i="21" a="1"/>
  <c r="I44" i="21" s="1"/>
  <c r="J44" i="21" a="1"/>
  <c r="J44" i="21" s="1"/>
  <c r="K44" i="21" a="1"/>
  <c r="K44" i="21" s="1"/>
  <c r="L44" i="21" a="1"/>
  <c r="L44" i="21" s="1"/>
  <c r="T44" i="21"/>
  <c r="E45" i="21" a="1"/>
  <c r="E45" i="21" s="1"/>
  <c r="R45" i="21" s="1"/>
  <c r="F45" i="21" a="1"/>
  <c r="F45" i="21"/>
  <c r="G45" i="21" a="1"/>
  <c r="G45" i="21"/>
  <c r="T45" i="21" s="1"/>
  <c r="H45" i="21" a="1"/>
  <c r="H45" i="21"/>
  <c r="I45" i="21" a="1"/>
  <c r="I45" i="21"/>
  <c r="J45" i="21" a="1"/>
  <c r="J45" i="21"/>
  <c r="K45" i="21" a="1"/>
  <c r="K45" i="21" s="1"/>
  <c r="L45" i="21" a="1"/>
  <c r="L45" i="21" s="1"/>
  <c r="S45" i="21"/>
  <c r="E46" i="21" a="1"/>
  <c r="E46" i="21" s="1"/>
  <c r="R46" i="21" s="1"/>
  <c r="F46" i="21" a="1"/>
  <c r="F46" i="21"/>
  <c r="G46" i="21" a="1"/>
  <c r="G46" i="21" s="1"/>
  <c r="T46" i="21" s="1"/>
  <c r="H46" i="21" a="1"/>
  <c r="H46" i="21"/>
  <c r="I46" i="21" a="1"/>
  <c r="I46" i="21" s="1"/>
  <c r="J46" i="21" a="1"/>
  <c r="J46" i="21" s="1"/>
  <c r="K46" i="21" a="1"/>
  <c r="K46" i="21" s="1"/>
  <c r="L46" i="21" a="1"/>
  <c r="L46" i="21"/>
  <c r="S46" i="21"/>
  <c r="E47" i="21" a="1"/>
  <c r="E47" i="21"/>
  <c r="F47" i="21" a="1"/>
  <c r="F47" i="21"/>
  <c r="S47" i="21" s="1"/>
  <c r="G47" i="21" a="1"/>
  <c r="G47" i="21"/>
  <c r="T47" i="21" s="1"/>
  <c r="H47" i="21" a="1"/>
  <c r="H47" i="21"/>
  <c r="I47" i="21" a="1"/>
  <c r="I47" i="21" s="1"/>
  <c r="J47" i="21" a="1"/>
  <c r="J47" i="21" s="1"/>
  <c r="K47" i="21" a="1"/>
  <c r="K47" i="21" s="1"/>
  <c r="L47" i="21" a="1"/>
  <c r="L47" i="21"/>
  <c r="R47" i="21"/>
  <c r="E48" i="21" a="1"/>
  <c r="E48" i="21"/>
  <c r="R48" i="21" s="1"/>
  <c r="F48" i="21" a="1"/>
  <c r="F48" i="21"/>
  <c r="S48" i="21" s="1"/>
  <c r="G48" i="21" a="1"/>
  <c r="G48" i="21"/>
  <c r="H48" i="21" a="1"/>
  <c r="H48" i="21"/>
  <c r="I48" i="21" a="1"/>
  <c r="I48" i="21" s="1"/>
  <c r="J48" i="21" a="1"/>
  <c r="J48" i="21" s="1"/>
  <c r="K48" i="21" a="1"/>
  <c r="K48" i="21"/>
  <c r="L48" i="21" a="1"/>
  <c r="L48" i="21"/>
  <c r="T48" i="21"/>
  <c r="E49" i="21" a="1"/>
  <c r="E49" i="21"/>
  <c r="R49" i="21" s="1"/>
  <c r="F49" i="21" a="1"/>
  <c r="F49" i="21"/>
  <c r="S49" i="21" s="1"/>
  <c r="G49" i="21" a="1"/>
  <c r="G49" i="21"/>
  <c r="H49" i="21" a="1"/>
  <c r="H49" i="21"/>
  <c r="I49" i="21" a="1"/>
  <c r="I49" i="21" s="1"/>
  <c r="J49" i="21" a="1"/>
  <c r="J49" i="21" s="1"/>
  <c r="K49" i="21" a="1"/>
  <c r="K49" i="21"/>
  <c r="L49" i="21" a="1"/>
  <c r="L49" i="21"/>
  <c r="T49" i="21"/>
  <c r="E50" i="21" a="1"/>
  <c r="E50" i="21"/>
  <c r="R50" i="21" s="1"/>
  <c r="F50" i="21" a="1"/>
  <c r="F50" i="21"/>
  <c r="G50" i="21" a="1"/>
  <c r="G50" i="21"/>
  <c r="H50" i="21" a="1"/>
  <c r="H50" i="21" s="1"/>
  <c r="I50" i="21" a="1"/>
  <c r="I50" i="21" s="1"/>
  <c r="J50" i="21" a="1"/>
  <c r="J50" i="21"/>
  <c r="K50" i="21" a="1"/>
  <c r="K50" i="21"/>
  <c r="L50" i="21" a="1"/>
  <c r="L50" i="21" s="1"/>
  <c r="S50" i="21"/>
  <c r="T50" i="21"/>
  <c r="E51" i="21" a="1"/>
  <c r="E51" i="21"/>
  <c r="F51" i="21" a="1"/>
  <c r="F51" i="21"/>
  <c r="G51" i="21" a="1"/>
  <c r="G51" i="21" s="1"/>
  <c r="T51" i="21" s="1"/>
  <c r="H51" i="21" a="1"/>
  <c r="H51" i="21" s="1"/>
  <c r="I51" i="21" a="1"/>
  <c r="I51" i="21" s="1"/>
  <c r="J51" i="21" a="1"/>
  <c r="J51" i="21"/>
  <c r="K51" i="21" a="1"/>
  <c r="K51" i="21"/>
  <c r="L51" i="21" a="1"/>
  <c r="L51" i="21"/>
  <c r="R51" i="21"/>
  <c r="S51" i="21"/>
  <c r="E52" i="21" a="1"/>
  <c r="E52" i="21" s="1"/>
  <c r="R52" i="21" s="1"/>
  <c r="F52" i="21" a="1"/>
  <c r="F52" i="21" s="1"/>
  <c r="S52" i="21" s="1"/>
  <c r="G52" i="21" a="1"/>
  <c r="G52" i="21" s="1"/>
  <c r="T52" i="21" s="1"/>
  <c r="H52" i="21" a="1"/>
  <c r="H52" i="21" s="1"/>
  <c r="I52" i="21" a="1"/>
  <c r="I52" i="21"/>
  <c r="J52" i="21" a="1"/>
  <c r="J52" i="21" s="1"/>
  <c r="K52" i="21" a="1"/>
  <c r="K52" i="21" s="1"/>
  <c r="L52" i="21" a="1"/>
  <c r="L52" i="21" s="1"/>
  <c r="E53" i="21" a="1"/>
  <c r="E53" i="21"/>
  <c r="F53" i="21" a="1"/>
  <c r="F53" i="21"/>
  <c r="S53" i="21" s="1"/>
  <c r="G53" i="21" a="1"/>
  <c r="G53" i="21" s="1"/>
  <c r="T53" i="21" s="1"/>
  <c r="H53" i="21" a="1"/>
  <c r="H53" i="21" s="1"/>
  <c r="I53" i="21" a="1"/>
  <c r="I53" i="21"/>
  <c r="J53" i="21" a="1"/>
  <c r="J53" i="21"/>
  <c r="K53" i="21" a="1"/>
  <c r="K53" i="21"/>
  <c r="L53" i="21" a="1"/>
  <c r="L53" i="21"/>
  <c r="R53" i="21"/>
  <c r="E54" i="21" a="1"/>
  <c r="E54" i="21" s="1"/>
  <c r="R54" i="21" s="1"/>
  <c r="F54" i="21" a="1"/>
  <c r="F54" i="21" s="1"/>
  <c r="S54" i="21" s="1"/>
  <c r="G54" i="21" a="1"/>
  <c r="G54" i="21" s="1"/>
  <c r="T54" i="21" s="1"/>
  <c r="H54" i="21" a="1"/>
  <c r="H54" i="21"/>
  <c r="I54" i="21" a="1"/>
  <c r="I54" i="21" s="1"/>
  <c r="J54" i="21" a="1"/>
  <c r="J54" i="21" s="1"/>
  <c r="K54" i="21" a="1"/>
  <c r="K54" i="21" s="1"/>
  <c r="L54" i="21" a="1"/>
  <c r="L54" i="21" s="1"/>
  <c r="E55" i="21" a="1"/>
  <c r="E55" i="21" s="1"/>
  <c r="R55" i="21" s="1"/>
  <c r="F55" i="21" a="1"/>
  <c r="F55" i="21" s="1"/>
  <c r="S55" i="21" s="1"/>
  <c r="G55" i="21" a="1"/>
  <c r="G55" i="21"/>
  <c r="T55" i="21" s="1"/>
  <c r="H55" i="21" a="1"/>
  <c r="H55" i="21"/>
  <c r="I55" i="21" a="1"/>
  <c r="I55" i="21"/>
  <c r="J55" i="21" a="1"/>
  <c r="J55" i="21"/>
  <c r="K55" i="21" a="1"/>
  <c r="K55" i="21" s="1"/>
  <c r="L55" i="21" a="1"/>
  <c r="L55" i="21" s="1"/>
  <c r="E56" i="21" a="1"/>
  <c r="E56" i="21" s="1"/>
  <c r="R56" i="21" s="1"/>
  <c r="F56" i="21" a="1"/>
  <c r="F56" i="21" s="1"/>
  <c r="S56" i="21" s="1"/>
  <c r="G56" i="21" a="1"/>
  <c r="G56" i="21"/>
  <c r="T56" i="21" s="1"/>
  <c r="H56" i="21" a="1"/>
  <c r="H56" i="21" s="1"/>
  <c r="I56" i="21" a="1"/>
  <c r="I56" i="21" s="1"/>
  <c r="J56" i="21" a="1"/>
  <c r="J56" i="21" s="1"/>
  <c r="K56" i="21" a="1"/>
  <c r="K56" i="21" s="1"/>
  <c r="L56" i="21" a="1"/>
  <c r="L56" i="21" s="1"/>
  <c r="E57" i="21" a="1"/>
  <c r="E57" i="21" s="1"/>
  <c r="R57" i="21" s="1"/>
  <c r="F57" i="21" a="1"/>
  <c r="F57" i="21"/>
  <c r="G57" i="21" a="1"/>
  <c r="G57" i="21"/>
  <c r="T57" i="21" s="1"/>
  <c r="H57" i="21" a="1"/>
  <c r="H57" i="21"/>
  <c r="I57" i="21" a="1"/>
  <c r="I57" i="21"/>
  <c r="J57" i="21" a="1"/>
  <c r="J57" i="21" s="1"/>
  <c r="K57" i="21" a="1"/>
  <c r="K57" i="21" s="1"/>
  <c r="L57" i="21" a="1"/>
  <c r="L57" i="21" s="1"/>
  <c r="S57" i="21"/>
  <c r="E58" i="21" a="1"/>
  <c r="E58" i="21" s="1"/>
  <c r="R58" i="21" s="1"/>
  <c r="F58" i="21" a="1"/>
  <c r="F58" i="21"/>
  <c r="S58" i="21" s="1"/>
  <c r="G58" i="21" a="1"/>
  <c r="G58" i="21" s="1"/>
  <c r="T58" i="21" s="1"/>
  <c r="H58" i="21" a="1"/>
  <c r="H58" i="21"/>
  <c r="I58" i="21" a="1"/>
  <c r="I58" i="21" s="1"/>
  <c r="J58" i="21" a="1"/>
  <c r="J58" i="21" s="1"/>
  <c r="K58" i="21" a="1"/>
  <c r="K58" i="21" s="1"/>
  <c r="L58" i="21" a="1"/>
  <c r="L58" i="21"/>
  <c r="E59" i="21" a="1"/>
  <c r="E59" i="21" s="1"/>
  <c r="R59" i="21" s="1"/>
  <c r="F59" i="21" a="1"/>
  <c r="F59" i="21"/>
  <c r="S59" i="21" s="1"/>
  <c r="G59" i="21" a="1"/>
  <c r="G59" i="21"/>
  <c r="T59" i="21" s="1"/>
  <c r="H59" i="21" a="1"/>
  <c r="H59" i="21"/>
  <c r="I59" i="21" a="1"/>
  <c r="I59" i="21"/>
  <c r="J59" i="21" a="1"/>
  <c r="J59" i="21" s="1"/>
  <c r="K59" i="21" a="1"/>
  <c r="K59" i="21" s="1"/>
  <c r="L59" i="21" a="1"/>
  <c r="L59" i="21"/>
  <c r="E60" i="21" a="1"/>
  <c r="E60" i="21"/>
  <c r="R60" i="21" s="1"/>
  <c r="F60" i="21" a="1"/>
  <c r="F60" i="21" s="1"/>
  <c r="S60" i="21" s="1"/>
  <c r="G60" i="21" a="1"/>
  <c r="G60" i="21"/>
  <c r="H60" i="21" a="1"/>
  <c r="H60" i="21" s="1"/>
  <c r="I60" i="21" a="1"/>
  <c r="I60" i="21" s="1"/>
  <c r="J60" i="21" a="1"/>
  <c r="J60" i="21" s="1"/>
  <c r="K60" i="21" a="1"/>
  <c r="K60" i="21"/>
  <c r="L60" i="21" a="1"/>
  <c r="L60" i="21" s="1"/>
  <c r="T60" i="21"/>
  <c r="E11" i="23" a="1"/>
  <c r="E11" i="23"/>
  <c r="F11" i="23" a="1"/>
  <c r="F11" i="23"/>
  <c r="G11" i="23" a="1"/>
  <c r="G11" i="23"/>
  <c r="H11" i="23" a="1"/>
  <c r="H11" i="23"/>
  <c r="I11" i="23" a="1"/>
  <c r="I11" i="23" s="1"/>
  <c r="J11" i="23" a="1"/>
  <c r="J11" i="23" s="1"/>
  <c r="K11" i="23" a="1"/>
  <c r="K11" i="23"/>
  <c r="L11" i="23" a="1"/>
  <c r="L11" i="23"/>
  <c r="E20" i="23" a="1"/>
  <c r="E20" i="23" s="1"/>
  <c r="F20" i="23" a="1"/>
  <c r="F20" i="23" s="1"/>
  <c r="G20" i="23" a="1"/>
  <c r="G20" i="23"/>
  <c r="H20" i="23" a="1"/>
  <c r="H20" i="23" s="1"/>
  <c r="I20" i="23" a="1"/>
  <c r="I20" i="23" s="1"/>
  <c r="J20" i="23" a="1"/>
  <c r="J20" i="23" s="1"/>
  <c r="K20" i="23" a="1"/>
  <c r="K20" i="23" s="1"/>
  <c r="L20" i="23" a="1"/>
  <c r="L20" i="23" s="1"/>
  <c r="E21" i="23" a="1"/>
  <c r="E21" i="23"/>
  <c r="F21" i="23" a="1"/>
  <c r="F21" i="23" s="1"/>
  <c r="G21" i="23" a="1"/>
  <c r="G21" i="23" s="1"/>
  <c r="H21" i="23" a="1"/>
  <c r="H21" i="23" s="1"/>
  <c r="I21" i="23" a="1"/>
  <c r="I21" i="23" s="1"/>
  <c r="J21" i="23" a="1"/>
  <c r="J21" i="23" s="1"/>
  <c r="K21" i="23" a="1"/>
  <c r="K21" i="23"/>
  <c r="L21" i="23" a="1"/>
  <c r="L21" i="23" s="1"/>
  <c r="E22" i="23" a="1"/>
  <c r="E22" i="23" s="1"/>
  <c r="F22" i="23" a="1"/>
  <c r="F22" i="23"/>
  <c r="G22" i="23" a="1"/>
  <c r="G22" i="23" s="1"/>
  <c r="H22" i="23" a="1"/>
  <c r="H22" i="23" s="1"/>
  <c r="I22" i="23" a="1"/>
  <c r="I22" i="23"/>
  <c r="J22" i="23" a="1"/>
  <c r="J22" i="23" s="1"/>
  <c r="K22" i="23" a="1"/>
  <c r="K22" i="23" s="1"/>
  <c r="L22" i="23" a="1"/>
  <c r="L22" i="23" s="1"/>
  <c r="E23" i="23" a="1"/>
  <c r="E23" i="23" s="1"/>
  <c r="F23" i="23" a="1"/>
  <c r="F23" i="23" s="1"/>
  <c r="G23" i="23" a="1"/>
  <c r="G23" i="23"/>
  <c r="H23" i="23" a="1"/>
  <c r="H23" i="23" s="1"/>
  <c r="I23" i="23" a="1"/>
  <c r="I23" i="23" s="1"/>
  <c r="J23" i="23" a="1"/>
  <c r="J23" i="23" s="1"/>
  <c r="K23" i="23" a="1"/>
  <c r="K23" i="23" s="1"/>
  <c r="L23" i="23" a="1"/>
  <c r="L23" i="23" s="1"/>
  <c r="E24" i="23" a="1"/>
  <c r="E24" i="23"/>
  <c r="F24" i="23" a="1"/>
  <c r="F24" i="23" s="1"/>
  <c r="G24" i="23" a="1"/>
  <c r="G24" i="23" s="1"/>
  <c r="H24" i="23" a="1"/>
  <c r="H24" i="23"/>
  <c r="I24" i="23" a="1"/>
  <c r="I24" i="23" s="1"/>
  <c r="J24" i="23" a="1"/>
  <c r="J24" i="23" s="1"/>
  <c r="K24" i="23" a="1"/>
  <c r="K24" i="23"/>
  <c r="L24" i="23" a="1"/>
  <c r="L24" i="23" s="1"/>
  <c r="E25" i="23" a="1"/>
  <c r="E25" i="23" s="1"/>
  <c r="F25" i="23" a="1"/>
  <c r="F25" i="23" s="1"/>
  <c r="G25" i="23" a="1"/>
  <c r="G25" i="23" s="1"/>
  <c r="H25" i="23" a="1"/>
  <c r="H25" i="23" s="1"/>
  <c r="I25" i="23" a="1"/>
  <c r="I25" i="23"/>
  <c r="J25" i="23" a="1"/>
  <c r="J25" i="23" s="1"/>
  <c r="K25" i="23" a="1"/>
  <c r="K25" i="23" s="1"/>
  <c r="L25" i="23" a="1"/>
  <c r="L25" i="23" s="1"/>
  <c r="E26" i="23" a="1"/>
  <c r="E26" i="23" s="1"/>
  <c r="F26" i="23" a="1"/>
  <c r="F26" i="23" s="1"/>
  <c r="G26" i="23" a="1"/>
  <c r="G26" i="23"/>
  <c r="H26" i="23" a="1"/>
  <c r="H26" i="23" s="1"/>
  <c r="I26" i="23" a="1"/>
  <c r="I26" i="23" s="1"/>
  <c r="J26" i="23" a="1"/>
  <c r="J26" i="23"/>
  <c r="K26" i="23" a="1"/>
  <c r="K26" i="23" s="1"/>
  <c r="L26" i="23" a="1"/>
  <c r="L26" i="23" s="1"/>
  <c r="E27" i="23" a="1"/>
  <c r="E27" i="23" s="1"/>
  <c r="F27" i="23" a="1"/>
  <c r="F27" i="23" s="1"/>
  <c r="G27" i="23" a="1"/>
  <c r="G27" i="23" s="1"/>
  <c r="H27" i="23" a="1"/>
  <c r="H27" i="23" s="1"/>
  <c r="I27" i="23" a="1"/>
  <c r="I27" i="23" s="1"/>
  <c r="J27" i="23" a="1"/>
  <c r="J27" i="23" s="1"/>
  <c r="K27" i="23" a="1"/>
  <c r="K27" i="23"/>
  <c r="L27" i="23" a="1"/>
  <c r="L27" i="23" s="1"/>
  <c r="E28" i="23" a="1"/>
  <c r="E28" i="23" s="1"/>
  <c r="F28" i="23" a="1"/>
  <c r="F28" i="23" s="1"/>
  <c r="G28" i="23" a="1"/>
  <c r="G28" i="23" s="1"/>
  <c r="H28" i="23" a="1"/>
  <c r="H28" i="23" s="1"/>
  <c r="I28" i="23" a="1"/>
  <c r="I28" i="23" s="1"/>
  <c r="J28" i="23" a="1"/>
  <c r="J28" i="23" s="1"/>
  <c r="K28" i="23" a="1"/>
  <c r="K28" i="23" s="1"/>
  <c r="L28" i="23" a="1"/>
  <c r="L28" i="23"/>
  <c r="E29" i="23" a="1"/>
  <c r="E29" i="23" s="1"/>
  <c r="F29" i="23" a="1"/>
  <c r="F29" i="23" s="1"/>
  <c r="G29" i="23" a="1"/>
  <c r="G29" i="23" s="1"/>
  <c r="H29" i="23" a="1"/>
  <c r="H29" i="23" s="1"/>
  <c r="I29" i="23" a="1"/>
  <c r="I29" i="23" s="1"/>
  <c r="J29" i="23" a="1"/>
  <c r="J29" i="23" s="1"/>
  <c r="K29" i="23" a="1"/>
  <c r="K29" i="23" s="1"/>
  <c r="L29" i="23" a="1"/>
  <c r="L29" i="23" s="1"/>
  <c r="E30" i="23" a="1"/>
  <c r="E30" i="23" s="1"/>
  <c r="F30" i="23" a="1"/>
  <c r="F30" i="23" s="1"/>
  <c r="G30" i="23" a="1"/>
  <c r="G30" i="23" s="1"/>
  <c r="H30" i="23" a="1"/>
  <c r="H30" i="23" s="1"/>
  <c r="I30" i="23" a="1"/>
  <c r="I30" i="23" s="1"/>
  <c r="J30" i="23" a="1"/>
  <c r="J30" i="23" s="1"/>
  <c r="K30" i="23" a="1"/>
  <c r="K30" i="23" s="1"/>
  <c r="L30" i="23" a="1"/>
  <c r="L30" i="23" s="1"/>
  <c r="E31" i="23" a="1"/>
  <c r="E31" i="23" s="1"/>
  <c r="F31" i="23" a="1"/>
  <c r="F31" i="23" s="1"/>
  <c r="G31" i="23" a="1"/>
  <c r="G31" i="23" s="1"/>
  <c r="H31" i="23" a="1"/>
  <c r="H31" i="23" s="1"/>
  <c r="I31" i="23" a="1"/>
  <c r="I31" i="23" s="1"/>
  <c r="J31" i="23" a="1"/>
  <c r="J31" i="23" s="1"/>
  <c r="K31" i="23" a="1"/>
  <c r="K31" i="23" s="1"/>
  <c r="L31" i="23" a="1"/>
  <c r="L31" i="23" s="1"/>
  <c r="E32" i="23" a="1"/>
  <c r="E32" i="23" s="1"/>
  <c r="F32" i="23" a="1"/>
  <c r="F32" i="23" s="1"/>
  <c r="G32" i="23" a="1"/>
  <c r="G32" i="23" s="1"/>
  <c r="H32" i="23" a="1"/>
  <c r="H32" i="23" s="1"/>
  <c r="I32" i="23" a="1"/>
  <c r="I32" i="23" s="1"/>
  <c r="J32" i="23" a="1"/>
  <c r="J32" i="23" s="1"/>
  <c r="K32" i="23" a="1"/>
  <c r="K32" i="23" s="1"/>
  <c r="L32" i="23" a="1"/>
  <c r="L32" i="23" s="1"/>
  <c r="E33" i="23" a="1"/>
  <c r="E33" i="23" s="1"/>
  <c r="F33" i="23" a="1"/>
  <c r="F33" i="23" s="1"/>
  <c r="G33" i="23" a="1"/>
  <c r="G33" i="23" s="1"/>
  <c r="H33" i="23" a="1"/>
  <c r="H33" i="23" s="1"/>
  <c r="I33" i="23" a="1"/>
  <c r="I33" i="23" s="1"/>
  <c r="J33" i="23" a="1"/>
  <c r="J33" i="23" s="1"/>
  <c r="K33" i="23" a="1"/>
  <c r="K33" i="23" s="1"/>
  <c r="L33" i="23" a="1"/>
  <c r="L33" i="23" s="1"/>
  <c r="E34" i="23" a="1"/>
  <c r="E34" i="23" s="1"/>
  <c r="F34" i="23" a="1"/>
  <c r="F34" i="23" s="1"/>
  <c r="G34" i="23" a="1"/>
  <c r="G34" i="23" s="1"/>
  <c r="H34" i="23" a="1"/>
  <c r="H34" i="23" s="1"/>
  <c r="I34" i="23" a="1"/>
  <c r="I34" i="23" s="1"/>
  <c r="J34" i="23" a="1"/>
  <c r="J34" i="23" s="1"/>
  <c r="K34" i="23" a="1"/>
  <c r="K34" i="23" s="1"/>
  <c r="L34" i="23" a="1"/>
  <c r="L34" i="23" s="1"/>
  <c r="E35" i="23" a="1"/>
  <c r="E35" i="23" s="1"/>
  <c r="F35" i="23" a="1"/>
  <c r="F35" i="23" s="1"/>
  <c r="G35" i="23" a="1"/>
  <c r="G35" i="23" s="1"/>
  <c r="H35" i="23" a="1"/>
  <c r="H35" i="23" s="1"/>
  <c r="I35" i="23" a="1"/>
  <c r="I35" i="23" s="1"/>
  <c r="J35" i="23" a="1"/>
  <c r="J35" i="23" s="1"/>
  <c r="K35" i="23" a="1"/>
  <c r="K35" i="23" s="1"/>
  <c r="L35" i="23" a="1"/>
  <c r="L35" i="23" s="1"/>
  <c r="E36" i="23" a="1"/>
  <c r="E36" i="23" s="1"/>
  <c r="F36" i="23" a="1"/>
  <c r="F36" i="23" s="1"/>
  <c r="G36" i="23" a="1"/>
  <c r="G36" i="23" s="1"/>
  <c r="H36" i="23" a="1"/>
  <c r="H36" i="23" s="1"/>
  <c r="I36" i="23" a="1"/>
  <c r="I36" i="23" s="1"/>
  <c r="J36" i="23" a="1"/>
  <c r="J36" i="23" s="1"/>
  <c r="K36" i="23" a="1"/>
  <c r="K36" i="23" s="1"/>
  <c r="L36" i="23" a="1"/>
  <c r="L36" i="23" s="1"/>
  <c r="E37" i="23" a="1"/>
  <c r="E37" i="23" s="1"/>
  <c r="F37" i="23" a="1"/>
  <c r="F37" i="23" s="1"/>
  <c r="G37" i="23" a="1"/>
  <c r="G37" i="23" s="1"/>
  <c r="H37" i="23" a="1"/>
  <c r="H37" i="23" s="1"/>
  <c r="I37" i="23" a="1"/>
  <c r="I37" i="23" s="1"/>
  <c r="J37" i="23" a="1"/>
  <c r="J37" i="23" s="1"/>
  <c r="K37" i="23" a="1"/>
  <c r="K37" i="23" s="1"/>
  <c r="L37" i="23" a="1"/>
  <c r="L37" i="23" s="1"/>
  <c r="E38" i="23" a="1"/>
  <c r="E38" i="23" s="1"/>
  <c r="F38" i="23" a="1"/>
  <c r="F38" i="23" s="1"/>
  <c r="G38" i="23" a="1"/>
  <c r="G38" i="23" s="1"/>
  <c r="H38" i="23" a="1"/>
  <c r="H38" i="23" s="1"/>
  <c r="I38" i="23" a="1"/>
  <c r="I38" i="23" s="1"/>
  <c r="J38" i="23" a="1"/>
  <c r="J38" i="23" s="1"/>
  <c r="K38" i="23" a="1"/>
  <c r="K38" i="23" s="1"/>
  <c r="L38" i="23" a="1"/>
  <c r="L38" i="23" s="1"/>
  <c r="E39" i="23" a="1"/>
  <c r="E39" i="23" s="1"/>
  <c r="F39" i="23" a="1"/>
  <c r="F39" i="23" s="1"/>
  <c r="G39" i="23" a="1"/>
  <c r="G39" i="23" s="1"/>
  <c r="H39" i="23" a="1"/>
  <c r="H39" i="23" s="1"/>
  <c r="I39" i="23" a="1"/>
  <c r="I39" i="23" s="1"/>
  <c r="J39" i="23" a="1"/>
  <c r="J39" i="23" s="1"/>
  <c r="K39" i="23" a="1"/>
  <c r="K39" i="23" s="1"/>
  <c r="L39" i="23" a="1"/>
  <c r="L39" i="23" s="1"/>
  <c r="E40" i="23" a="1"/>
  <c r="E40" i="23" s="1"/>
  <c r="F40" i="23" a="1"/>
  <c r="F40" i="23" s="1"/>
  <c r="G40" i="23" a="1"/>
  <c r="G40" i="23" s="1"/>
  <c r="H40" i="23" a="1"/>
  <c r="H40" i="23" s="1"/>
  <c r="I40" i="23" a="1"/>
  <c r="I40" i="23" s="1"/>
  <c r="J40" i="23" a="1"/>
  <c r="J40" i="23" s="1"/>
  <c r="K40" i="23" a="1"/>
  <c r="K40" i="23" s="1"/>
  <c r="L40" i="23" a="1"/>
  <c r="L40" i="23" s="1"/>
  <c r="E41" i="23" a="1"/>
  <c r="E41" i="23" s="1"/>
  <c r="F41" i="23" a="1"/>
  <c r="F41" i="23" s="1"/>
  <c r="G41" i="23" a="1"/>
  <c r="G41" i="23" s="1"/>
  <c r="H41" i="23" a="1"/>
  <c r="H41" i="23" s="1"/>
  <c r="I41" i="23" a="1"/>
  <c r="I41" i="23" s="1"/>
  <c r="J41" i="23" a="1"/>
  <c r="J41" i="23" s="1"/>
  <c r="K41" i="23" a="1"/>
  <c r="K41" i="23" s="1"/>
  <c r="L41" i="23" a="1"/>
  <c r="L41" i="23" s="1"/>
  <c r="E42" i="23" a="1"/>
  <c r="E42" i="23" s="1"/>
  <c r="F42" i="23" a="1"/>
  <c r="F42" i="23" s="1"/>
  <c r="G42" i="23" a="1"/>
  <c r="G42" i="23" s="1"/>
  <c r="H42" i="23" a="1"/>
  <c r="H42" i="23" s="1"/>
  <c r="I42" i="23" a="1"/>
  <c r="I42" i="23"/>
  <c r="J42" i="23" a="1"/>
  <c r="J42" i="23" s="1"/>
  <c r="K42" i="23" a="1"/>
  <c r="K42" i="23"/>
  <c r="L42" i="23" a="1"/>
  <c r="L42" i="23" s="1"/>
  <c r="E43" i="23" a="1"/>
  <c r="E43" i="23" s="1"/>
  <c r="F43" i="23" a="1"/>
  <c r="F43" i="23"/>
  <c r="G43" i="23" a="1"/>
  <c r="G43" i="23" s="1"/>
  <c r="H43" i="23" a="1"/>
  <c r="H43" i="23" s="1"/>
  <c r="I43" i="23" a="1"/>
  <c r="I43" i="23"/>
  <c r="J43" i="23" a="1"/>
  <c r="J43" i="23" s="1"/>
  <c r="K43" i="23" a="1"/>
  <c r="K43" i="23"/>
  <c r="L43" i="23" a="1"/>
  <c r="L43" i="23" s="1"/>
  <c r="E44" i="23" a="1"/>
  <c r="E44" i="23" s="1"/>
  <c r="F44" i="23" a="1"/>
  <c r="F44" i="23" s="1"/>
  <c r="G44" i="23" a="1"/>
  <c r="G44" i="23"/>
  <c r="H44" i="23" a="1"/>
  <c r="H44" i="23" s="1"/>
  <c r="I44" i="23" a="1"/>
  <c r="I44" i="23"/>
  <c r="J44" i="23" a="1"/>
  <c r="J44" i="23" s="1"/>
  <c r="K44" i="23" a="1"/>
  <c r="K44" i="23" s="1"/>
  <c r="L44" i="23" a="1"/>
  <c r="L44" i="23" s="1"/>
  <c r="E45" i="23" a="1"/>
  <c r="E45" i="23"/>
  <c r="F45" i="23" a="1"/>
  <c r="F45" i="23" s="1"/>
  <c r="G45" i="23" a="1"/>
  <c r="G45" i="23"/>
  <c r="H45" i="23" a="1"/>
  <c r="H45" i="23" s="1"/>
  <c r="I45" i="23" a="1"/>
  <c r="I45" i="23" s="1"/>
  <c r="J45" i="23" a="1"/>
  <c r="J45" i="23" s="1"/>
  <c r="K45" i="23" a="1"/>
  <c r="K45" i="23"/>
  <c r="L45" i="23" a="1"/>
  <c r="L45" i="23" s="1"/>
  <c r="E46" i="23" a="1"/>
  <c r="E46" i="23" s="1"/>
  <c r="F46" i="23" a="1"/>
  <c r="F46" i="23" s="1"/>
  <c r="G46" i="23" a="1"/>
  <c r="G46" i="23" s="1"/>
  <c r="H46" i="23" a="1"/>
  <c r="H46" i="23" s="1"/>
  <c r="I46" i="23" a="1"/>
  <c r="I46" i="23"/>
  <c r="J46" i="23" a="1"/>
  <c r="J46" i="23" s="1"/>
  <c r="K46" i="23" a="1"/>
  <c r="K46" i="23" s="1"/>
  <c r="L46" i="23" a="1"/>
  <c r="L46" i="23" s="1"/>
  <c r="E47" i="23" a="1"/>
  <c r="E47" i="23" s="1"/>
  <c r="F47" i="23" a="1"/>
  <c r="F47" i="23" s="1"/>
  <c r="G47" i="23" a="1"/>
  <c r="G47" i="23"/>
  <c r="H47" i="23" a="1"/>
  <c r="H47" i="23" s="1"/>
  <c r="I47" i="23" a="1"/>
  <c r="I47" i="23"/>
  <c r="J47" i="23" a="1"/>
  <c r="J47" i="23" s="1"/>
  <c r="K47" i="23" a="1"/>
  <c r="K47" i="23" s="1"/>
  <c r="L47" i="23" a="1"/>
  <c r="L47" i="23" s="1"/>
  <c r="E48" i="23" a="1"/>
  <c r="E48" i="23"/>
  <c r="F48" i="23" a="1"/>
  <c r="F48" i="23" s="1"/>
  <c r="G48" i="23" a="1"/>
  <c r="G48" i="23" s="1"/>
  <c r="H48" i="23" a="1"/>
  <c r="H48" i="23" s="1"/>
  <c r="I48" i="23" a="1"/>
  <c r="I48" i="23" s="1"/>
  <c r="J48" i="23" a="1"/>
  <c r="J48" i="23" s="1"/>
  <c r="K48" i="23" a="1"/>
  <c r="K48" i="23"/>
  <c r="L48" i="23" a="1"/>
  <c r="L48" i="23" s="1"/>
  <c r="E49" i="23" a="1"/>
  <c r="E49" i="23" s="1"/>
  <c r="F49" i="23" a="1"/>
  <c r="F49" i="23" s="1"/>
  <c r="G49" i="23" a="1"/>
  <c r="G49" i="23" s="1"/>
  <c r="H49" i="23" a="1"/>
  <c r="H49" i="23" s="1"/>
  <c r="I49" i="23" a="1"/>
  <c r="I49" i="23"/>
  <c r="J49" i="23" a="1"/>
  <c r="J49" i="23" s="1"/>
  <c r="K49" i="23" a="1"/>
  <c r="K49" i="23"/>
  <c r="L49" i="23" a="1"/>
  <c r="L49" i="23" s="1"/>
  <c r="E50" i="23" a="1"/>
  <c r="E50" i="23" s="1"/>
  <c r="F50" i="23" a="1"/>
  <c r="F50" i="23" s="1"/>
  <c r="G50" i="23" a="1"/>
  <c r="G50" i="23"/>
  <c r="H50" i="23" a="1"/>
  <c r="H50" i="23" s="1"/>
  <c r="I50" i="23" a="1"/>
  <c r="I50" i="23" s="1"/>
  <c r="J50" i="23" a="1"/>
  <c r="J50" i="23" s="1"/>
  <c r="K50" i="23" a="1"/>
  <c r="K50" i="23" s="1"/>
  <c r="L50" i="23" a="1"/>
  <c r="L50" i="23" s="1"/>
  <c r="E51" i="23" a="1"/>
  <c r="E51" i="23"/>
  <c r="F51" i="23" a="1"/>
  <c r="F51" i="23" s="1"/>
  <c r="G51" i="23" a="1"/>
  <c r="G51" i="23" s="1"/>
  <c r="H51" i="23" a="1"/>
  <c r="H51" i="23" s="1"/>
  <c r="I51" i="23" a="1"/>
  <c r="I51" i="23" s="1"/>
  <c r="J51" i="23" a="1"/>
  <c r="J51" i="23" s="1"/>
  <c r="K51" i="23" a="1"/>
  <c r="K51" i="23"/>
  <c r="L51" i="23" a="1"/>
  <c r="L51" i="23" s="1"/>
  <c r="E52" i="23" a="1"/>
  <c r="E52" i="23"/>
  <c r="F52" i="23" a="1"/>
  <c r="F52" i="23" s="1"/>
  <c r="G52" i="23" a="1"/>
  <c r="G52" i="23" s="1"/>
  <c r="H52" i="23" a="1"/>
  <c r="H52" i="23" s="1"/>
  <c r="I52" i="23" a="1"/>
  <c r="I52" i="23"/>
  <c r="J52" i="23" a="1"/>
  <c r="J52" i="23" s="1"/>
  <c r="K52" i="23" a="1"/>
  <c r="K52" i="23" s="1"/>
  <c r="L52" i="23" a="1"/>
  <c r="L52" i="23" s="1"/>
  <c r="E53" i="23" a="1"/>
  <c r="E53" i="23" s="1"/>
  <c r="F53" i="23" a="1"/>
  <c r="F53" i="23" s="1"/>
  <c r="G53" i="23" a="1"/>
  <c r="G53" i="23"/>
  <c r="H53" i="23" a="1"/>
  <c r="H53" i="23" s="1"/>
  <c r="I53" i="23" a="1"/>
  <c r="I53" i="23" s="1"/>
  <c r="J53" i="23" a="1"/>
  <c r="J53" i="23" s="1"/>
  <c r="K53" i="23" a="1"/>
  <c r="K53" i="23" s="1"/>
  <c r="L53" i="23" a="1"/>
  <c r="L53" i="23" s="1"/>
  <c r="E54" i="23" a="1"/>
  <c r="E54" i="23"/>
  <c r="F54" i="23" a="1"/>
  <c r="F54" i="23" s="1"/>
  <c r="G54" i="23" a="1"/>
  <c r="G54" i="23"/>
  <c r="H54" i="23" a="1"/>
  <c r="H54" i="23" s="1"/>
  <c r="I54" i="23" a="1"/>
  <c r="I54" i="23" s="1"/>
  <c r="J54" i="23" a="1"/>
  <c r="J54" i="23" s="1"/>
  <c r="K54" i="23" a="1"/>
  <c r="K54" i="23"/>
  <c r="L54" i="23" a="1"/>
  <c r="L54" i="23" s="1"/>
  <c r="E55" i="23" a="1"/>
  <c r="E55" i="23" s="1"/>
  <c r="F55" i="23" a="1"/>
  <c r="F55" i="23" s="1"/>
  <c r="G55" i="23" a="1"/>
  <c r="G55" i="23" s="1"/>
  <c r="H55" i="23" a="1"/>
  <c r="H55" i="23" s="1"/>
  <c r="I55" i="23" a="1"/>
  <c r="I55" i="23"/>
  <c r="J55" i="23" a="1"/>
  <c r="J55" i="23" s="1"/>
  <c r="K55" i="23" a="1"/>
  <c r="K55" i="23" s="1"/>
  <c r="L55" i="23" a="1"/>
  <c r="L55" i="23" s="1"/>
  <c r="E56" i="23" a="1"/>
  <c r="E56" i="23" s="1"/>
  <c r="F56" i="23" a="1"/>
  <c r="F56" i="23" s="1"/>
  <c r="G56" i="23" a="1"/>
  <c r="G56" i="23"/>
  <c r="H56" i="23" a="1"/>
  <c r="H56" i="23" s="1"/>
  <c r="I56" i="23" a="1"/>
  <c r="I56" i="23"/>
  <c r="J56" i="23" a="1"/>
  <c r="J56" i="23" s="1"/>
  <c r="K56" i="23" a="1"/>
  <c r="K56" i="23" s="1"/>
  <c r="L56" i="23" a="1"/>
  <c r="L56" i="23" s="1"/>
  <c r="E57" i="23" a="1"/>
  <c r="E57" i="23"/>
  <c r="F57" i="23" a="1"/>
  <c r="F57" i="23" s="1"/>
  <c r="G57" i="23" a="1"/>
  <c r="G57" i="23" s="1"/>
  <c r="H57" i="23" a="1"/>
  <c r="H57" i="23" s="1"/>
  <c r="I57" i="23" a="1"/>
  <c r="I57" i="23" s="1"/>
  <c r="J57" i="23" a="1"/>
  <c r="J57" i="23" s="1"/>
  <c r="K57" i="23" a="1"/>
  <c r="K57" i="23"/>
  <c r="L57" i="23" a="1"/>
  <c r="L57" i="23" s="1"/>
  <c r="E58" i="23" a="1"/>
  <c r="E58" i="23" s="1"/>
  <c r="F58" i="23" a="1"/>
  <c r="F58" i="23" s="1"/>
  <c r="G58" i="23" a="1"/>
  <c r="G58" i="23" s="1"/>
  <c r="H58" i="23" a="1"/>
  <c r="H58" i="23" s="1"/>
  <c r="I58" i="23" a="1"/>
  <c r="I58" i="23"/>
  <c r="J58" i="23" a="1"/>
  <c r="J58" i="23" s="1"/>
  <c r="K58" i="23" a="1"/>
  <c r="K58" i="23"/>
  <c r="L58" i="23" a="1"/>
  <c r="L58" i="23" s="1"/>
  <c r="E59" i="23" a="1"/>
  <c r="E59" i="23" s="1"/>
  <c r="F59" i="23" a="1"/>
  <c r="F59" i="23" s="1"/>
  <c r="G59" i="23" a="1"/>
  <c r="G59" i="23"/>
  <c r="H59" i="23" a="1"/>
  <c r="H59" i="23" s="1"/>
  <c r="I59" i="23" a="1"/>
  <c r="I59" i="23" s="1"/>
  <c r="J59" i="23" a="1"/>
  <c r="J59" i="23" s="1"/>
  <c r="K59" i="23" a="1"/>
  <c r="K59" i="23" s="1"/>
  <c r="L59" i="23" a="1"/>
  <c r="L59" i="23" s="1"/>
  <c r="E60" i="23" a="1"/>
  <c r="E60" i="23" s="1"/>
  <c r="F60" i="23" a="1"/>
  <c r="F60" i="23" s="1"/>
  <c r="G60" i="23" a="1"/>
  <c r="G60" i="23" s="1"/>
  <c r="H60" i="23" a="1"/>
  <c r="H60" i="23" s="1"/>
  <c r="I60" i="23" a="1"/>
  <c r="I60" i="23" s="1"/>
  <c r="J60" i="23" a="1"/>
  <c r="J60" i="23" s="1"/>
  <c r="K60" i="23" a="1"/>
  <c r="K60" i="23"/>
  <c r="L60" i="23" a="1"/>
  <c r="L60" i="23" s="1"/>
  <c r="E11" i="67" a="1"/>
  <c r="E11" i="67"/>
  <c r="F11" i="67" a="1"/>
  <c r="F11" i="67" s="1"/>
  <c r="G11" i="67" a="1"/>
  <c r="G11" i="67" s="1"/>
  <c r="H11" i="67" a="1"/>
  <c r="H11" i="67" s="1"/>
  <c r="I11" i="67" a="1"/>
  <c r="I11" i="67"/>
  <c r="J11" i="67" a="1"/>
  <c r="J11" i="67" s="1"/>
  <c r="K11" i="67" a="1"/>
  <c r="K11" i="67" s="1"/>
  <c r="L11" i="67" a="1"/>
  <c r="L11" i="67" s="1"/>
  <c r="E20" i="67" a="1"/>
  <c r="E20" i="67" s="1"/>
  <c r="F20" i="67" a="1"/>
  <c r="F20" i="67" s="1"/>
  <c r="G20" i="67" a="1"/>
  <c r="G20" i="67" s="1"/>
  <c r="H20" i="67" a="1"/>
  <c r="H20" i="67" s="1"/>
  <c r="I20" i="67" a="1"/>
  <c r="I20" i="67" s="1"/>
  <c r="J20" i="67" a="1"/>
  <c r="J20" i="67" s="1"/>
  <c r="K20" i="67" a="1"/>
  <c r="K20" i="67"/>
  <c r="L20" i="67" a="1"/>
  <c r="L20" i="67" s="1"/>
  <c r="E21" i="67" a="1"/>
  <c r="E21" i="67"/>
  <c r="F21" i="67" a="1"/>
  <c r="F21" i="67" s="1"/>
  <c r="G21" i="67" a="1"/>
  <c r="G21" i="67" s="1"/>
  <c r="H21" i="67" a="1"/>
  <c r="H21" i="67" s="1"/>
  <c r="I21" i="67" a="1"/>
  <c r="I21" i="67"/>
  <c r="J21" i="67" a="1"/>
  <c r="J21" i="67" s="1"/>
  <c r="K21" i="67" a="1"/>
  <c r="K21" i="67" s="1"/>
  <c r="L21" i="67" a="1"/>
  <c r="L21" i="67" s="1"/>
  <c r="E22" i="67" a="1"/>
  <c r="E22" i="67" s="1"/>
  <c r="F22" i="67" a="1"/>
  <c r="F22" i="67" s="1"/>
  <c r="G22" i="67" a="1"/>
  <c r="G22" i="67" s="1"/>
  <c r="H22" i="67" a="1"/>
  <c r="H22" i="67" s="1"/>
  <c r="I22" i="67" a="1"/>
  <c r="I22" i="67" s="1"/>
  <c r="J22" i="67" a="1"/>
  <c r="J22" i="67" s="1"/>
  <c r="K22" i="67" a="1"/>
  <c r="K22" i="67" s="1"/>
  <c r="L22" i="67" a="1"/>
  <c r="L22" i="67" s="1"/>
  <c r="E23" i="67" a="1"/>
  <c r="E23" i="67"/>
  <c r="F23" i="67" a="1"/>
  <c r="F23" i="67" s="1"/>
  <c r="G23" i="67" a="1"/>
  <c r="G23" i="67"/>
  <c r="H23" i="67" a="1"/>
  <c r="H23" i="67" s="1"/>
  <c r="I23" i="67" a="1"/>
  <c r="I23" i="67" s="1"/>
  <c r="J23" i="67" a="1"/>
  <c r="J23" i="67" s="1"/>
  <c r="K23" i="67" a="1"/>
  <c r="K23" i="67"/>
  <c r="L23" i="67" a="1"/>
  <c r="L23" i="67" s="1"/>
  <c r="E24" i="67" a="1"/>
  <c r="E24" i="67" s="1"/>
  <c r="F24" i="67" a="1"/>
  <c r="F24" i="67" s="1"/>
  <c r="G24" i="67" a="1"/>
  <c r="G24" i="67" s="1"/>
  <c r="H24" i="67" a="1"/>
  <c r="H24" i="67" s="1"/>
  <c r="I24" i="67" a="1"/>
  <c r="I24" i="67" s="1"/>
  <c r="J24" i="67" a="1"/>
  <c r="J24" i="67" s="1"/>
  <c r="K24" i="67" a="1"/>
  <c r="K24" i="67" s="1"/>
  <c r="L24" i="67" a="1"/>
  <c r="L24" i="67" s="1"/>
  <c r="E25" i="67" a="1"/>
  <c r="E25" i="67" s="1"/>
  <c r="F25" i="67" a="1"/>
  <c r="F25" i="67" s="1"/>
  <c r="G25" i="67" a="1"/>
  <c r="G25" i="67"/>
  <c r="H25" i="67" a="1"/>
  <c r="H25" i="67" s="1"/>
  <c r="I25" i="67" a="1"/>
  <c r="I25" i="67"/>
  <c r="J25" i="67" a="1"/>
  <c r="J25" i="67" s="1"/>
  <c r="K25" i="67" a="1"/>
  <c r="K25" i="67" s="1"/>
  <c r="L25" i="67" a="1"/>
  <c r="L25" i="67" s="1"/>
  <c r="E26" i="67" a="1"/>
  <c r="E26" i="67"/>
  <c r="F26" i="67" a="1"/>
  <c r="F26" i="67" s="1"/>
  <c r="G26" i="67" a="1"/>
  <c r="G26" i="67" s="1"/>
  <c r="H26" i="67" a="1"/>
  <c r="H26" i="67" s="1"/>
  <c r="I26" i="67" a="1"/>
  <c r="I26" i="67" s="1"/>
  <c r="J26" i="67" a="1"/>
  <c r="J26" i="67" s="1"/>
  <c r="K26" i="67" a="1"/>
  <c r="K26" i="67" s="1"/>
  <c r="L26" i="67" a="1"/>
  <c r="L26" i="67" s="1"/>
  <c r="E27" i="67" a="1"/>
  <c r="E27" i="67" s="1"/>
  <c r="F27" i="67" a="1"/>
  <c r="F27" i="67" s="1"/>
  <c r="G27" i="67" a="1"/>
  <c r="G27" i="67" s="1"/>
  <c r="H27" i="67" a="1"/>
  <c r="H27" i="67" s="1"/>
  <c r="I27" i="67" a="1"/>
  <c r="I27" i="67"/>
  <c r="J27" i="67" a="1"/>
  <c r="J27" i="67" s="1"/>
  <c r="K27" i="67" a="1"/>
  <c r="K27" i="67"/>
  <c r="L27" i="67" a="1"/>
  <c r="L27" i="67" s="1"/>
  <c r="E28" i="67" a="1"/>
  <c r="E28" i="67" s="1"/>
  <c r="F28" i="67" a="1"/>
  <c r="F28" i="67" s="1"/>
  <c r="G28" i="67" a="1"/>
  <c r="G28" i="67"/>
  <c r="H28" i="67" a="1"/>
  <c r="H28" i="67" s="1"/>
  <c r="I28" i="67" a="1"/>
  <c r="I28" i="67" s="1"/>
  <c r="J28" i="67" a="1"/>
  <c r="J28" i="67" s="1"/>
  <c r="K28" i="67" a="1"/>
  <c r="K28" i="67" s="1"/>
  <c r="L28" i="67" a="1"/>
  <c r="L28" i="67" s="1"/>
  <c r="E29" i="67" a="1"/>
  <c r="E29" i="67" s="1"/>
  <c r="F29" i="67" a="1"/>
  <c r="F29" i="67" s="1"/>
  <c r="G29" i="67" a="1"/>
  <c r="G29" i="67" s="1"/>
  <c r="H29" i="67" a="1"/>
  <c r="H29" i="67" s="1"/>
  <c r="I29" i="67" a="1"/>
  <c r="I29" i="67" s="1"/>
  <c r="J29" i="67" a="1"/>
  <c r="J29" i="67" s="1"/>
  <c r="K29" i="67" a="1"/>
  <c r="K29" i="67"/>
  <c r="L29" i="67" a="1"/>
  <c r="L29" i="67" s="1"/>
  <c r="E30" i="67" a="1"/>
  <c r="E30" i="67"/>
  <c r="F30" i="67" a="1"/>
  <c r="F30" i="67" s="1"/>
  <c r="G30" i="67" a="1"/>
  <c r="G30" i="67" s="1"/>
  <c r="H30" i="67" a="1"/>
  <c r="H30" i="67" s="1"/>
  <c r="I30" i="67" a="1"/>
  <c r="I30" i="67"/>
  <c r="J30" i="67" a="1"/>
  <c r="J30" i="67" s="1"/>
  <c r="K30" i="67" a="1"/>
  <c r="K30" i="67" s="1"/>
  <c r="L30" i="67" a="1"/>
  <c r="L30" i="67" s="1"/>
  <c r="E31" i="67" a="1"/>
  <c r="E31" i="67" s="1"/>
  <c r="F31" i="67" a="1"/>
  <c r="F31" i="67" s="1"/>
  <c r="G31" i="67" a="1"/>
  <c r="G31" i="67" s="1"/>
  <c r="H31" i="67" a="1"/>
  <c r="H31" i="67" s="1"/>
  <c r="I31" i="67" a="1"/>
  <c r="I31" i="67" s="1"/>
  <c r="J31" i="67" a="1"/>
  <c r="J31" i="67" s="1"/>
  <c r="K31" i="67" a="1"/>
  <c r="K31" i="67" s="1"/>
  <c r="L31" i="67" a="1"/>
  <c r="L31" i="67" s="1"/>
  <c r="E32" i="67" a="1"/>
  <c r="E32" i="67"/>
  <c r="F32" i="67" a="1"/>
  <c r="F32" i="67" s="1"/>
  <c r="G32" i="67" a="1"/>
  <c r="G32" i="67"/>
  <c r="H32" i="67" a="1"/>
  <c r="H32" i="67" s="1"/>
  <c r="I32" i="67" a="1"/>
  <c r="I32" i="67" s="1"/>
  <c r="J32" i="67" a="1"/>
  <c r="J32" i="67" s="1"/>
  <c r="K32" i="67" a="1"/>
  <c r="K32" i="67"/>
  <c r="L32" i="67" a="1"/>
  <c r="L32" i="67" s="1"/>
  <c r="E33" i="67" a="1"/>
  <c r="E33" i="67" s="1"/>
  <c r="F33" i="67" a="1"/>
  <c r="F33" i="67" s="1"/>
  <c r="G33" i="67" a="1"/>
  <c r="G33" i="67" s="1"/>
  <c r="H33" i="67" a="1"/>
  <c r="H33" i="67" s="1"/>
  <c r="I33" i="67" a="1"/>
  <c r="I33" i="67" s="1"/>
  <c r="J33" i="67" a="1"/>
  <c r="J33" i="67" s="1"/>
  <c r="K33" i="67" a="1"/>
  <c r="K33" i="67" s="1"/>
  <c r="L33" i="67" a="1"/>
  <c r="L33" i="67" s="1"/>
  <c r="E34" i="67" a="1"/>
  <c r="E34" i="67" s="1"/>
  <c r="F34" i="67" a="1"/>
  <c r="F34" i="67" s="1"/>
  <c r="G34" i="67" a="1"/>
  <c r="G34" i="67"/>
  <c r="H34" i="67" a="1"/>
  <c r="H34" i="67" s="1"/>
  <c r="I34" i="67" a="1"/>
  <c r="I34" i="67"/>
  <c r="J34" i="67" a="1"/>
  <c r="J34" i="67" s="1"/>
  <c r="K34" i="67" a="1"/>
  <c r="K34" i="67" s="1"/>
  <c r="L34" i="67" a="1"/>
  <c r="L34" i="67" s="1"/>
  <c r="E35" i="67" a="1"/>
  <c r="E35" i="67"/>
  <c r="F35" i="67" a="1"/>
  <c r="F35" i="67" s="1"/>
  <c r="G35" i="67" a="1"/>
  <c r="G35" i="67" s="1"/>
  <c r="H35" i="67" a="1"/>
  <c r="H35" i="67" s="1"/>
  <c r="I35" i="67" a="1"/>
  <c r="I35" i="67" s="1"/>
  <c r="J35" i="67" a="1"/>
  <c r="J35" i="67" s="1"/>
  <c r="K35" i="67" a="1"/>
  <c r="K35" i="67" s="1"/>
  <c r="L35" i="67" a="1"/>
  <c r="L35" i="67" s="1"/>
  <c r="E36" i="67" a="1"/>
  <c r="E36" i="67" s="1"/>
  <c r="F36" i="67" a="1"/>
  <c r="F36" i="67" s="1"/>
  <c r="G36" i="67" a="1"/>
  <c r="G36" i="67" s="1"/>
  <c r="H36" i="67" a="1"/>
  <c r="H36" i="67" s="1"/>
  <c r="I36" i="67" a="1"/>
  <c r="I36" i="67"/>
  <c r="J36" i="67" a="1"/>
  <c r="J36" i="67" s="1"/>
  <c r="K36" i="67" a="1"/>
  <c r="K36" i="67"/>
  <c r="L36" i="67" a="1"/>
  <c r="L36" i="67" s="1"/>
  <c r="E37" i="67" a="1"/>
  <c r="E37" i="67" s="1"/>
  <c r="F37" i="67" a="1"/>
  <c r="F37" i="67" s="1"/>
  <c r="G37" i="67" a="1"/>
  <c r="G37" i="67"/>
  <c r="H37" i="67" a="1"/>
  <c r="H37" i="67" s="1"/>
  <c r="I37" i="67" a="1"/>
  <c r="I37" i="67" s="1"/>
  <c r="J37" i="67" a="1"/>
  <c r="J37" i="67"/>
  <c r="K37" i="67" a="1"/>
  <c r="K37" i="67" s="1"/>
  <c r="L37" i="67" a="1"/>
  <c r="L37" i="67" s="1"/>
  <c r="E38" i="67" a="1"/>
  <c r="E38" i="67"/>
  <c r="F38" i="67" a="1"/>
  <c r="F38" i="67" s="1"/>
  <c r="G38" i="67" a="1"/>
  <c r="G38" i="67" s="1"/>
  <c r="H38" i="67" a="1"/>
  <c r="H38" i="67" s="1"/>
  <c r="I38" i="67" a="1"/>
  <c r="I38" i="67"/>
  <c r="J38" i="67" a="1"/>
  <c r="J38" i="67"/>
  <c r="K38" i="67" a="1"/>
  <c r="K38" i="67"/>
  <c r="L38" i="67" a="1"/>
  <c r="L38" i="67" s="1"/>
  <c r="E39" i="67" a="1"/>
  <c r="E39" i="67" s="1"/>
  <c r="F39" i="67" a="1"/>
  <c r="F39" i="67" s="1"/>
  <c r="G39" i="67" a="1"/>
  <c r="G39" i="67"/>
  <c r="H39" i="67" a="1"/>
  <c r="H39" i="67"/>
  <c r="I39" i="67" a="1"/>
  <c r="I39" i="67"/>
  <c r="J39" i="67" a="1"/>
  <c r="J39" i="67" s="1"/>
  <c r="K39" i="67" a="1"/>
  <c r="K39" i="67" s="1"/>
  <c r="L39" i="67" a="1"/>
  <c r="L39" i="67" s="1"/>
  <c r="E40" i="67" a="1"/>
  <c r="E40" i="67"/>
  <c r="F40" i="67" a="1"/>
  <c r="F40" i="67"/>
  <c r="G40" i="67" a="1"/>
  <c r="G40" i="67"/>
  <c r="H40" i="67" a="1"/>
  <c r="H40" i="67" s="1"/>
  <c r="I40" i="67" a="1"/>
  <c r="I40" i="67" s="1"/>
  <c r="J40" i="67" a="1"/>
  <c r="J40" i="67" s="1"/>
  <c r="K40" i="67" a="1"/>
  <c r="K40" i="67"/>
  <c r="L40" i="67" a="1"/>
  <c r="L40" i="67"/>
  <c r="E41" i="67" a="1"/>
  <c r="E41" i="67"/>
  <c r="F41" i="67" a="1"/>
  <c r="F41" i="67" s="1"/>
  <c r="G41" i="67" a="1"/>
  <c r="G41" i="67" s="1"/>
  <c r="H41" i="67" a="1"/>
  <c r="H41" i="67" s="1"/>
  <c r="I41" i="67" a="1"/>
  <c r="I41" i="67"/>
  <c r="J41" i="67" a="1"/>
  <c r="J41" i="67"/>
  <c r="K41" i="67" a="1"/>
  <c r="K41" i="67"/>
  <c r="L41" i="67" a="1"/>
  <c r="L41" i="67" s="1"/>
  <c r="E42" i="67" a="1"/>
  <c r="E42" i="67" s="1"/>
  <c r="F42" i="67" a="1"/>
  <c r="F42" i="67" s="1"/>
  <c r="G42" i="67" a="1"/>
  <c r="G42" i="67"/>
  <c r="H42" i="67" a="1"/>
  <c r="H42" i="67"/>
  <c r="I42" i="67" a="1"/>
  <c r="I42" i="67"/>
  <c r="J42" i="67" a="1"/>
  <c r="J42" i="67" s="1"/>
  <c r="K42" i="67" a="1"/>
  <c r="K42" i="67" s="1"/>
  <c r="L42" i="67" a="1"/>
  <c r="L42" i="67" s="1"/>
  <c r="E43" i="67" a="1"/>
  <c r="E43" i="67"/>
  <c r="F43" i="67" a="1"/>
  <c r="F43" i="67"/>
  <c r="G43" i="67" a="1"/>
  <c r="G43" i="67"/>
  <c r="H43" i="67" a="1"/>
  <c r="H43" i="67" s="1"/>
  <c r="I43" i="67" a="1"/>
  <c r="I43" i="67" s="1"/>
  <c r="J43" i="67" a="1"/>
  <c r="J43" i="67" s="1"/>
  <c r="K43" i="67" a="1"/>
  <c r="K43" i="67"/>
  <c r="L43" i="67" a="1"/>
  <c r="L43" i="67"/>
  <c r="E44" i="67" a="1"/>
  <c r="E44" i="67"/>
  <c r="F44" i="67" a="1"/>
  <c r="F44" i="67" s="1"/>
  <c r="G44" i="67" a="1"/>
  <c r="G44" i="67" s="1"/>
  <c r="H44" i="67" a="1"/>
  <c r="H44" i="67" s="1"/>
  <c r="I44" i="67" a="1"/>
  <c r="I44" i="67"/>
  <c r="J44" i="67" a="1"/>
  <c r="J44" i="67"/>
  <c r="K44" i="67" a="1"/>
  <c r="K44" i="67"/>
  <c r="L44" i="67" a="1"/>
  <c r="L44" i="67" s="1"/>
  <c r="E45" i="67" a="1"/>
  <c r="E45" i="67" s="1"/>
  <c r="F45" i="67" a="1"/>
  <c r="F45" i="67" s="1"/>
  <c r="G45" i="67" a="1"/>
  <c r="G45" i="67"/>
  <c r="H45" i="67" a="1"/>
  <c r="H45" i="67"/>
  <c r="I45" i="67" a="1"/>
  <c r="I45" i="67"/>
  <c r="J45" i="67" a="1"/>
  <c r="J45" i="67" s="1"/>
  <c r="K45" i="67" a="1"/>
  <c r="K45" i="67" s="1"/>
  <c r="L45" i="67" a="1"/>
  <c r="L45" i="67" s="1"/>
  <c r="E46" i="67" a="1"/>
  <c r="E46" i="67"/>
  <c r="F46" i="67" a="1"/>
  <c r="F46" i="67"/>
  <c r="G46" i="67" a="1"/>
  <c r="G46" i="67"/>
  <c r="H46" i="67" a="1"/>
  <c r="H46" i="67" s="1"/>
  <c r="I46" i="67" a="1"/>
  <c r="I46" i="67" s="1"/>
  <c r="J46" i="67" a="1"/>
  <c r="J46" i="67" s="1"/>
  <c r="K46" i="67" a="1"/>
  <c r="K46" i="67"/>
  <c r="L46" i="67" a="1"/>
  <c r="L46" i="67"/>
  <c r="E47" i="67" a="1"/>
  <c r="E47" i="67"/>
  <c r="F47" i="67" a="1"/>
  <c r="F47" i="67" s="1"/>
  <c r="G47" i="67" a="1"/>
  <c r="G47" i="67" s="1"/>
  <c r="H47" i="67" a="1"/>
  <c r="H47" i="67" s="1"/>
  <c r="I47" i="67" a="1"/>
  <c r="I47" i="67"/>
  <c r="J47" i="67" a="1"/>
  <c r="J47" i="67"/>
  <c r="K47" i="67" a="1"/>
  <c r="K47" i="67"/>
  <c r="L47" i="67" a="1"/>
  <c r="L47" i="67" s="1"/>
  <c r="E48" i="67" a="1"/>
  <c r="E48" i="67" s="1"/>
  <c r="F48" i="67" a="1"/>
  <c r="F48" i="67" s="1"/>
  <c r="G48" i="67" a="1"/>
  <c r="G48" i="67"/>
  <c r="H48" i="67" a="1"/>
  <c r="H48" i="67"/>
  <c r="I48" i="67" a="1"/>
  <c r="I48" i="67" s="1"/>
  <c r="J48" i="67" a="1"/>
  <c r="J48" i="67" s="1"/>
  <c r="K48" i="67" a="1"/>
  <c r="K48" i="67" s="1"/>
  <c r="L48" i="67" a="1"/>
  <c r="L48" i="67" s="1"/>
  <c r="E49" i="67" a="1"/>
  <c r="E49" i="67"/>
  <c r="F49" i="67" a="1"/>
  <c r="F49" i="67"/>
  <c r="G49" i="67" a="1"/>
  <c r="G49" i="67" s="1"/>
  <c r="H49" i="67" a="1"/>
  <c r="H49" i="67" s="1"/>
  <c r="I49" i="67" a="1"/>
  <c r="I49" i="67" s="1"/>
  <c r="J49" i="67" a="1"/>
  <c r="J49" i="67" s="1"/>
  <c r="K49" i="67" a="1"/>
  <c r="K49" i="67"/>
  <c r="L49" i="67" a="1"/>
  <c r="L49" i="67"/>
  <c r="E50" i="67" a="1"/>
  <c r="E50" i="67" s="1"/>
  <c r="F50" i="67" a="1"/>
  <c r="F50" i="67" s="1"/>
  <c r="G50" i="67" a="1"/>
  <c r="G50" i="67" s="1"/>
  <c r="H50" i="67" a="1"/>
  <c r="H50" i="67" s="1"/>
  <c r="I50" i="67" a="1"/>
  <c r="I50" i="67"/>
  <c r="J50" i="67" a="1"/>
  <c r="J50" i="67"/>
  <c r="K50" i="67" a="1"/>
  <c r="K50" i="67" s="1"/>
  <c r="L50" i="67" a="1"/>
  <c r="L50" i="67" s="1"/>
  <c r="E51" i="67" a="1"/>
  <c r="E51" i="67" s="1"/>
  <c r="F51" i="67" a="1"/>
  <c r="F51" i="67" s="1"/>
  <c r="G51" i="67" a="1"/>
  <c r="G51" i="67"/>
  <c r="H51" i="67" a="1"/>
  <c r="H51" i="67"/>
  <c r="I51" i="67" a="1"/>
  <c r="I51" i="67" s="1"/>
  <c r="J51" i="67" a="1"/>
  <c r="J51" i="67" s="1"/>
  <c r="K51" i="67" a="1"/>
  <c r="K51" i="67" s="1"/>
  <c r="L51" i="67" a="1"/>
  <c r="L51" i="67" s="1"/>
  <c r="E52" i="67" a="1"/>
  <c r="E52" i="67"/>
  <c r="F52" i="67" a="1"/>
  <c r="F52" i="67"/>
  <c r="G52" i="67" a="1"/>
  <c r="G52" i="67" s="1"/>
  <c r="H52" i="67" a="1"/>
  <c r="H52" i="67" s="1"/>
  <c r="I52" i="67" a="1"/>
  <c r="I52" i="67" s="1"/>
  <c r="J52" i="67" a="1"/>
  <c r="J52" i="67" s="1"/>
  <c r="K52" i="67" a="1"/>
  <c r="K52" i="67"/>
  <c r="L52" i="67" a="1"/>
  <c r="L52" i="67"/>
  <c r="E53" i="67" a="1"/>
  <c r="E53" i="67" s="1"/>
  <c r="F53" i="67" a="1"/>
  <c r="F53" i="67" s="1"/>
  <c r="G53" i="67" a="1"/>
  <c r="G53" i="67" s="1"/>
  <c r="H53" i="67" a="1"/>
  <c r="H53" i="67" s="1"/>
  <c r="I53" i="67" a="1"/>
  <c r="I53" i="67"/>
  <c r="J53" i="67" a="1"/>
  <c r="J53" i="67"/>
  <c r="K53" i="67" a="1"/>
  <c r="K53" i="67" s="1"/>
  <c r="L53" i="67" a="1"/>
  <c r="L53" i="67" s="1"/>
  <c r="E54" i="67" a="1"/>
  <c r="E54" i="67" s="1"/>
  <c r="F54" i="67" a="1"/>
  <c r="F54" i="67" s="1"/>
  <c r="G54" i="67" a="1"/>
  <c r="G54" i="67"/>
  <c r="H54" i="67" a="1"/>
  <c r="H54" i="67"/>
  <c r="I54" i="67" a="1"/>
  <c r="I54" i="67" s="1"/>
  <c r="J54" i="67" a="1"/>
  <c r="J54" i="67" s="1"/>
  <c r="K54" i="67" a="1"/>
  <c r="K54" i="67" s="1"/>
  <c r="L54" i="67" a="1"/>
  <c r="L54" i="67" s="1"/>
  <c r="E55" i="67" a="1"/>
  <c r="E55" i="67"/>
  <c r="F55" i="67" a="1"/>
  <c r="F55" i="67"/>
  <c r="G55" i="67" a="1"/>
  <c r="G55" i="67" s="1"/>
  <c r="H55" i="67" a="1"/>
  <c r="H55" i="67" s="1"/>
  <c r="I55" i="67" a="1"/>
  <c r="I55" i="67" s="1"/>
  <c r="J55" i="67" a="1"/>
  <c r="J55" i="67" s="1"/>
  <c r="K55" i="67" a="1"/>
  <c r="K55" i="67"/>
  <c r="L55" i="67" a="1"/>
  <c r="L55" i="67"/>
  <c r="E56" i="67" a="1"/>
  <c r="E56" i="67" s="1"/>
  <c r="F56" i="67" a="1"/>
  <c r="F56" i="67" s="1"/>
  <c r="G56" i="67" a="1"/>
  <c r="G56" i="67" s="1"/>
  <c r="H56" i="67" a="1"/>
  <c r="H56" i="67" s="1"/>
  <c r="I56" i="67" a="1"/>
  <c r="I56" i="67"/>
  <c r="J56" i="67" a="1"/>
  <c r="J56" i="67"/>
  <c r="K56" i="67" a="1"/>
  <c r="K56" i="67" s="1"/>
  <c r="L56" i="67" a="1"/>
  <c r="L56" i="67" s="1"/>
  <c r="E57" i="67" a="1"/>
  <c r="E57" i="67" s="1"/>
  <c r="F57" i="67" a="1"/>
  <c r="F57" i="67" s="1"/>
  <c r="G57" i="67" a="1"/>
  <c r="G57" i="67"/>
  <c r="H57" i="67" a="1"/>
  <c r="H57" i="67"/>
  <c r="I57" i="67" a="1"/>
  <c r="I57" i="67" s="1"/>
  <c r="J57" i="67" a="1"/>
  <c r="J57" i="67" s="1"/>
  <c r="K57" i="67" a="1"/>
  <c r="K57" i="67" s="1"/>
  <c r="L57" i="67" a="1"/>
  <c r="L57" i="67" s="1"/>
  <c r="E58" i="67" a="1"/>
  <c r="E58" i="67"/>
  <c r="F58" i="67" a="1"/>
  <c r="F58" i="67"/>
  <c r="G58" i="67" a="1"/>
  <c r="G58" i="67" s="1"/>
  <c r="H58" i="67" a="1"/>
  <c r="H58" i="67" s="1"/>
  <c r="I58" i="67" a="1"/>
  <c r="I58" i="67" s="1"/>
  <c r="J58" i="67" a="1"/>
  <c r="J58" i="67" s="1"/>
  <c r="K58" i="67" a="1"/>
  <c r="K58" i="67"/>
  <c r="L58" i="67" a="1"/>
  <c r="L58" i="67"/>
  <c r="E59" i="67" a="1"/>
  <c r="E59" i="67" s="1"/>
  <c r="F59" i="67" a="1"/>
  <c r="F59" i="67" s="1"/>
  <c r="G59" i="67" a="1"/>
  <c r="G59" i="67" s="1"/>
  <c r="H59" i="67" a="1"/>
  <c r="H59" i="67" s="1"/>
  <c r="I59" i="67" a="1"/>
  <c r="I59" i="67"/>
  <c r="J59" i="67" a="1"/>
  <c r="J59" i="67"/>
  <c r="K59" i="67" a="1"/>
  <c r="K59" i="67" s="1"/>
  <c r="L59" i="67" a="1"/>
  <c r="L59" i="67" s="1"/>
  <c r="E60" i="67" a="1"/>
  <c r="E60" i="67" s="1"/>
  <c r="F60" i="67" a="1"/>
  <c r="F60" i="67" s="1"/>
  <c r="G60" i="67" a="1"/>
  <c r="G60" i="67" s="1"/>
  <c r="H60" i="67" a="1"/>
  <c r="H60" i="67" s="1"/>
  <c r="I60" i="67" a="1"/>
  <c r="I60" i="67" s="1"/>
  <c r="J60" i="67" a="1"/>
  <c r="J60" i="67" s="1"/>
  <c r="K60" i="67" a="1"/>
  <c r="K60" i="67" s="1"/>
  <c r="L60" i="67" a="1"/>
  <c r="L60" i="67" s="1"/>
  <c r="D4" i="78"/>
  <c r="E4" i="78"/>
  <c r="F4" i="78"/>
  <c r="G4" i="78"/>
  <c r="I4" i="78"/>
  <c r="D7" i="77"/>
  <c r="C4" i="78" s="1"/>
  <c r="E7" i="77"/>
  <c r="F7" i="77"/>
  <c r="G7" i="77"/>
  <c r="H7" i="77"/>
  <c r="I7" i="77"/>
  <c r="H4" i="78" s="1"/>
  <c r="J7" i="77"/>
  <c r="K7" i="77"/>
  <c r="J4" i="78" s="1"/>
  <c r="D26" i="80" a="1"/>
  <c r="D26" i="80"/>
  <c r="H26" i="80" s="1"/>
  <c r="E26" i="80" a="1"/>
  <c r="E26" i="80"/>
  <c r="D27" i="80" a="1"/>
  <c r="D27" i="80"/>
  <c r="E27" i="80" a="1"/>
  <c r="E27" i="80"/>
  <c r="E29" i="80" s="1"/>
  <c r="D29" i="80"/>
  <c r="D31" i="80" a="1"/>
  <c r="D31" i="80" s="1"/>
  <c r="I18" i="80" s="1"/>
  <c r="E31" i="80" a="1"/>
  <c r="E31" i="80" s="1"/>
  <c r="D35" i="80" a="1"/>
  <c r="D35" i="80" s="1"/>
  <c r="E35" i="80" a="1"/>
  <c r="E35" i="80" s="1"/>
  <c r="D40" i="80" a="1"/>
  <c r="D40" i="80"/>
  <c r="E40" i="80" a="1"/>
  <c r="E40" i="80"/>
  <c r="D43" i="80" a="1"/>
  <c r="D43" i="80" s="1"/>
  <c r="E43" i="80" a="1"/>
  <c r="E43" i="80" s="1"/>
  <c r="D45" i="80" a="1"/>
  <c r="D45" i="80" s="1"/>
  <c r="E45" i="80" a="1"/>
  <c r="E45" i="80" s="1"/>
  <c r="AA48" i="80"/>
  <c r="AB48" i="80"/>
  <c r="AA54" i="80"/>
  <c r="AB54" i="80"/>
  <c r="AA55" i="80"/>
  <c r="AB55" i="80"/>
  <c r="AB49" i="80" s="1"/>
  <c r="AC55" i="80"/>
  <c r="AB59" i="80" s="1"/>
  <c r="Z62" i="80"/>
  <c r="AF66" i="80"/>
  <c r="AF67" i="80"/>
  <c r="AF78" i="80"/>
  <c r="AF79" i="80"/>
  <c r="AF90" i="80"/>
  <c r="AF91" i="80"/>
  <c r="AF101" i="80"/>
  <c r="D34" i="80" l="1"/>
  <c r="D32" i="80"/>
  <c r="J16" i="67"/>
  <c r="E53" i="80"/>
  <c r="E54" i="80"/>
  <c r="H29" i="80"/>
  <c r="I29" i="80" s="1"/>
  <c r="E38" i="80"/>
  <c r="G16" i="67"/>
  <c r="E16" i="67"/>
  <c r="I16" i="67"/>
  <c r="E34" i="80"/>
  <c r="E46" i="80" s="1"/>
  <c r="E32" i="80"/>
  <c r="K16" i="67"/>
  <c r="D38" i="80"/>
  <c r="D46" i="80"/>
  <c r="D49" i="80" s="1"/>
  <c r="D50" i="80"/>
  <c r="D51" i="80" s="1"/>
  <c r="J26" i="80"/>
  <c r="H57" i="80"/>
  <c r="J16" i="23"/>
  <c r="K16" i="23"/>
  <c r="AF99" i="80"/>
  <c r="AF87" i="80"/>
  <c r="AF75" i="80"/>
  <c r="AF63" i="80"/>
  <c r="I16" i="23"/>
  <c r="H16" i="23"/>
  <c r="I16" i="25"/>
  <c r="AF100" i="80"/>
  <c r="AF97" i="80"/>
  <c r="AF85" i="80"/>
  <c r="AF73" i="80"/>
  <c r="H16" i="25"/>
  <c r="AF65" i="80"/>
  <c r="H16" i="67"/>
  <c r="AF89" i="80"/>
  <c r="AF88" i="80"/>
  <c r="AF62" i="80"/>
  <c r="AF95" i="80"/>
  <c r="AF83" i="80"/>
  <c r="AF71" i="80"/>
  <c r="L18" i="21" a="1"/>
  <c r="L18" i="21" s="1"/>
  <c r="L17" i="21" a="1"/>
  <c r="L17" i="21" s="1"/>
  <c r="L16" i="67"/>
  <c r="AF76" i="80"/>
  <c r="AF86" i="80"/>
  <c r="AF72" i="80"/>
  <c r="AF70" i="80"/>
  <c r="G16" i="23"/>
  <c r="E16" i="21"/>
  <c r="R20" i="21"/>
  <c r="AF98" i="80"/>
  <c r="AF84" i="80"/>
  <c r="AF94" i="80"/>
  <c r="AF82" i="80"/>
  <c r="AF93" i="80"/>
  <c r="AF81" i="80"/>
  <c r="AF69" i="80"/>
  <c r="F16" i="67"/>
  <c r="AF77" i="80"/>
  <c r="AF64" i="80"/>
  <c r="AF74" i="80"/>
  <c r="AF96" i="80"/>
  <c r="AF92" i="80"/>
  <c r="AF80" i="80"/>
  <c r="AF68" i="80"/>
  <c r="K16" i="21"/>
  <c r="J16" i="21"/>
  <c r="I16" i="21"/>
  <c r="F16" i="25"/>
  <c r="F16" i="23"/>
  <c r="H16" i="21"/>
  <c r="E16" i="23"/>
  <c r="G16" i="21"/>
  <c r="L16" i="23"/>
  <c r="F16" i="21"/>
  <c r="E16" i="25"/>
  <c r="G16" i="25"/>
  <c r="L16" i="25"/>
  <c r="K16" i="25"/>
  <c r="J16" i="25"/>
  <c r="I29" i="18"/>
  <c r="P31" i="18"/>
  <c r="P34" i="18" s="1"/>
  <c r="E30" i="18" s="1"/>
  <c r="E38" i="18" s="1"/>
  <c r="J48" i="18" s="1"/>
  <c r="I32" i="18"/>
  <c r="K36" i="18" s="1"/>
  <c r="K39" i="18" s="1"/>
  <c r="E49" i="80" l="1"/>
  <c r="E50" i="80"/>
  <c r="E51" i="80" s="1"/>
  <c r="I17" i="25" a="1"/>
  <c r="I17" i="25" s="1"/>
  <c r="I18" i="25" a="1"/>
  <c r="I18" i="25" s="1"/>
  <c r="E17" i="23" a="1"/>
  <c r="E17" i="23" s="1"/>
  <c r="E18" i="23" a="1"/>
  <c r="E18" i="23" s="1"/>
  <c r="H17" i="21" a="1"/>
  <c r="H17" i="21" s="1"/>
  <c r="H18" i="21" a="1"/>
  <c r="H18" i="21" s="1"/>
  <c r="K18" i="67" a="1"/>
  <c r="K18" i="67" s="1"/>
  <c r="K17" i="67" a="1"/>
  <c r="K17" i="67" s="1"/>
  <c r="J29" i="80"/>
  <c r="K15" i="80" s="1"/>
  <c r="K18" i="80" s="1"/>
  <c r="F17" i="23" a="1"/>
  <c r="F17" i="23" s="1"/>
  <c r="F18" i="23" a="1"/>
  <c r="F18" i="23" s="1"/>
  <c r="F18" i="67" a="1"/>
  <c r="F18" i="67" s="1"/>
  <c r="F17" i="67" a="1"/>
  <c r="F17" i="67" s="1"/>
  <c r="E18" i="21" a="1"/>
  <c r="E18" i="21" s="1"/>
  <c r="E17" i="21" a="1"/>
  <c r="E17" i="21" s="1"/>
  <c r="H49" i="80"/>
  <c r="F18" i="25" a="1"/>
  <c r="F18" i="25" s="1"/>
  <c r="F17" i="25" a="1"/>
  <c r="F17" i="25" s="1"/>
  <c r="H18" i="67" a="1"/>
  <c r="H18" i="67" s="1"/>
  <c r="H17" i="67" a="1"/>
  <c r="H17" i="67" s="1"/>
  <c r="G17" i="23" a="1"/>
  <c r="G17" i="23" s="1"/>
  <c r="G18" i="23" a="1"/>
  <c r="G18" i="23" s="1"/>
  <c r="J17" i="25" a="1"/>
  <c r="J17" i="25" s="1"/>
  <c r="J18" i="25" a="1"/>
  <c r="J18" i="25" s="1"/>
  <c r="I17" i="21" a="1"/>
  <c r="I17" i="21" s="1"/>
  <c r="I18" i="21" a="1"/>
  <c r="I18" i="21" s="1"/>
  <c r="I18" i="67" a="1"/>
  <c r="I18" i="67" s="1"/>
  <c r="I17" i="67" a="1"/>
  <c r="I17" i="67" s="1"/>
  <c r="E55" i="80"/>
  <c r="H55" i="80" s="1"/>
  <c r="J55" i="80" s="1"/>
  <c r="M15" i="80" s="1"/>
  <c r="M18" i="80" s="1"/>
  <c r="P18" i="80" s="1"/>
  <c r="O18" i="80" s="1"/>
  <c r="I15" i="80"/>
  <c r="G17" i="21" a="1"/>
  <c r="G17" i="21" s="1"/>
  <c r="G18" i="21" a="1"/>
  <c r="G18" i="21" s="1"/>
  <c r="H17" i="25" a="1"/>
  <c r="H17" i="25" s="1"/>
  <c r="H18" i="25" a="1"/>
  <c r="H18" i="25" s="1"/>
  <c r="K17" i="23" a="1"/>
  <c r="K17" i="23" s="1"/>
  <c r="K18" i="23" a="1"/>
  <c r="K18" i="23" s="1"/>
  <c r="E18" i="67" a="1"/>
  <c r="E18" i="67" s="1"/>
  <c r="E17" i="67" a="1"/>
  <c r="E17" i="67" s="1"/>
  <c r="L17" i="23" a="1"/>
  <c r="L17" i="23" s="1"/>
  <c r="L18" i="23" a="1"/>
  <c r="L18" i="23" s="1"/>
  <c r="H51" i="80"/>
  <c r="J51" i="80" s="1"/>
  <c r="O15" i="80" s="1"/>
  <c r="I18" i="23" a="1"/>
  <c r="I18" i="23" s="1"/>
  <c r="I17" i="23" a="1"/>
  <c r="I17" i="23" s="1"/>
  <c r="J17" i="21" a="1"/>
  <c r="J17" i="21" s="1"/>
  <c r="J18" i="21" a="1"/>
  <c r="J18" i="21" s="1"/>
  <c r="K18" i="21" a="1"/>
  <c r="K18" i="21" s="1"/>
  <c r="K17" i="21" a="1"/>
  <c r="K17" i="21" s="1"/>
  <c r="L17" i="67" a="1"/>
  <c r="L17" i="67" s="1"/>
  <c r="L18" i="67" a="1"/>
  <c r="L18" i="67" s="1"/>
  <c r="J17" i="23" a="1"/>
  <c r="J17" i="23" s="1"/>
  <c r="J18" i="23" a="1"/>
  <c r="J18" i="23" s="1"/>
  <c r="G18" i="67" a="1"/>
  <c r="G18" i="67" s="1"/>
  <c r="G17" i="67" a="1"/>
  <c r="G17" i="67" s="1"/>
  <c r="H18" i="23" a="1"/>
  <c r="H18" i="23" s="1"/>
  <c r="H17" i="23" a="1"/>
  <c r="H17" i="23" s="1"/>
  <c r="K17" i="25" a="1"/>
  <c r="K17" i="25" s="1"/>
  <c r="K18" i="25" a="1"/>
  <c r="K18" i="25" s="1"/>
  <c r="L18" i="25" a="1"/>
  <c r="L18" i="25" s="1"/>
  <c r="L17" i="25" a="1"/>
  <c r="L17" i="25" s="1"/>
  <c r="G18" i="25" a="1"/>
  <c r="G18" i="25" s="1"/>
  <c r="G17" i="25" a="1"/>
  <c r="G17" i="25" s="1"/>
  <c r="J17" i="67" a="1"/>
  <c r="J17" i="67" s="1"/>
  <c r="J18" i="67" a="1"/>
  <c r="J18" i="67" s="1"/>
  <c r="J60" i="80"/>
  <c r="J62" i="80" s="1"/>
  <c r="J11" i="80" s="1"/>
  <c r="J15" i="80"/>
  <c r="J18" i="80" s="1"/>
  <c r="H32" i="80"/>
  <c r="J32" i="80" s="1"/>
  <c r="N15" i="80" s="1"/>
  <c r="N18" i="80" s="1"/>
  <c r="E17" i="25" a="1"/>
  <c r="E17" i="25" s="1"/>
  <c r="E18" i="25" a="1"/>
  <c r="E18" i="25" s="1"/>
  <c r="F18" i="21" a="1"/>
  <c r="F18" i="21" s="1"/>
  <c r="F17" i="21" a="1"/>
  <c r="F17" i="21" s="1"/>
  <c r="H60" i="80" l="1"/>
  <c r="H62" i="80" l="1"/>
  <c r="H11" i="80" s="1"/>
  <c r="H58" i="80"/>
  <c r="I49" i="80" s="1"/>
  <c r="J49" i="80" s="1"/>
  <c r="L15" i="80" s="1"/>
  <c r="L18" i="80" s="1"/>
  <c r="AF273" i="70"/>
  <c r="AF270" i="70"/>
  <c r="AF267" i="70"/>
  <c r="B4" i="78"/>
  <c r="G3" i="78"/>
  <c r="G3" i="78" a="1"/>
  <c r="AE193" i="70"/>
  <c r="AE192" i="70"/>
  <c r="AE190" i="70"/>
  <c r="D4" i="77"/>
  <c r="D4" i="77" a="1"/>
  <c r="AR80" i="70"/>
  <c r="AR287" i="70"/>
  <c r="AF259" i="70"/>
  <c r="AF255" i="70"/>
  <c r="AF253" i="70"/>
  <c r="J23" i="18"/>
  <c r="J22" i="18"/>
  <c r="AC193" i="70"/>
  <c r="AC192" i="70"/>
  <c r="AC190" i="70"/>
  <c r="AD279" i="70"/>
  <c r="AD277" i="70"/>
  <c r="AD285" i="70"/>
  <c r="AD282" i="70"/>
  <c r="AD40" i="70"/>
  <c r="AE67" i="70"/>
  <c r="AE64" i="70"/>
  <c r="AS208" i="51"/>
  <c r="AS199" i="51"/>
  <c r="AS197" i="51"/>
  <c r="AS192" i="51"/>
  <c r="AE279" i="70"/>
  <c r="AE277" i="70"/>
  <c r="AE285" i="70"/>
  <c r="AE282" i="70"/>
  <c r="AE40" i="70"/>
  <c r="AP178" i="70"/>
  <c r="AP49" i="70"/>
  <c r="K23" i="18"/>
  <c r="K22" i="18"/>
  <c r="AD109" i="70"/>
  <c r="AD108" i="70"/>
  <c r="AP81" i="70"/>
  <c r="AP288" i="70"/>
  <c r="U20" i="77"/>
  <c r="E1" i="78"/>
  <c r="E1" i="78" a="1"/>
  <c r="AD190" i="70"/>
  <c r="AD192" i="70"/>
  <c r="AD193" i="70"/>
  <c r="I1" i="78"/>
  <c r="I1" i="78" a="1"/>
  <c r="L24" i="20"/>
  <c r="K24" i="20"/>
  <c r="AD78" i="70"/>
  <c r="AD78" i="70" a="1"/>
  <c r="AD212" i="70"/>
  <c r="AD204" i="70"/>
  <c r="AR81" i="70"/>
  <c r="AR282" i="70"/>
  <c r="AR285" i="70"/>
  <c r="AR277" i="70"/>
  <c r="AR279" i="70"/>
  <c r="AR288" i="70"/>
  <c r="AR208" i="51"/>
  <c r="AR199" i="51"/>
  <c r="AR197" i="51"/>
  <c r="AR192" i="51"/>
  <c r="AC81" i="70"/>
  <c r="AC288" i="70"/>
  <c r="R20" i="77"/>
  <c r="C1" i="78"/>
  <c r="C1" i="78" a="1"/>
  <c r="N48" i="18"/>
  <c r="N31" i="77"/>
  <c r="U21" i="77"/>
  <c r="AC267" i="70"/>
  <c r="AC270" i="70"/>
  <c r="AC273" i="70"/>
  <c r="AR212" i="70"/>
  <c r="AR204" i="70"/>
  <c r="AC67" i="70"/>
  <c r="AC64" i="70"/>
  <c r="AF212" i="70"/>
  <c r="AF204" i="70"/>
  <c r="K4" i="77"/>
  <c r="K4" i="77" a="1"/>
  <c r="AQ237" i="70"/>
  <c r="AQ235" i="70"/>
  <c r="AF79" i="70"/>
  <c r="AF79" i="70" a="1"/>
  <c r="AC75" i="70"/>
  <c r="AF78" i="70"/>
  <c r="AC166" i="70"/>
  <c r="AC176" i="70"/>
  <c r="AC61" i="70"/>
  <c r="AF78" i="70" a="1"/>
  <c r="D1" i="78"/>
  <c r="D1" i="78" a="1"/>
  <c r="AP212" i="70"/>
  <c r="AP204" i="70"/>
  <c r="AQ353" i="70"/>
  <c r="AS109" i="70"/>
  <c r="AS108" i="70"/>
  <c r="R22" i="77"/>
  <c r="AF279" i="70"/>
  <c r="AF277" i="70"/>
  <c r="AF285" i="70"/>
  <c r="AF282" i="70"/>
  <c r="AF40" i="70"/>
  <c r="O21" i="77"/>
  <c r="P15" i="20"/>
  <c r="O15" i="20"/>
  <c r="P20" i="77"/>
  <c r="AD267" i="70"/>
  <c r="AD270" i="70"/>
  <c r="AD273" i="70"/>
  <c r="Q23" i="77"/>
  <c r="AF234" i="70"/>
  <c r="AF235" i="70"/>
  <c r="AF237" i="70"/>
  <c r="K94" i="18"/>
  <c r="K90" i="18"/>
  <c r="AF261" i="70"/>
  <c r="AF248" i="70"/>
  <c r="AF250" i="70"/>
  <c r="AF263" i="70"/>
  <c r="I4" i="77"/>
  <c r="I4" i="77" a="1"/>
  <c r="T20" i="77"/>
  <c r="AE109" i="70"/>
  <c r="AE108" i="70"/>
  <c r="L15" i="20"/>
  <c r="K15" i="20"/>
  <c r="AC79" i="70"/>
  <c r="AC79" i="70" a="1"/>
  <c r="AE142" i="51"/>
  <c r="AF109" i="70"/>
  <c r="AF108" i="70"/>
  <c r="H3" i="78"/>
  <c r="H3" i="78" a="1"/>
  <c r="AD208" i="51"/>
  <c r="AD192" i="51"/>
  <c r="AD197" i="51"/>
  <c r="AD199" i="51"/>
  <c r="AP106" i="70"/>
  <c r="AS80" i="70"/>
  <c r="AS287" i="70"/>
  <c r="AS267" i="70"/>
  <c r="AS270" i="70"/>
  <c r="AS273" i="70"/>
  <c r="F1" i="78"/>
  <c r="F1" i="78" a="1"/>
  <c r="AR106" i="70"/>
  <c r="O23" i="77"/>
  <c r="N47" i="18"/>
  <c r="N29" i="77"/>
  <c r="O20" i="77"/>
  <c r="J55" i="18"/>
  <c r="J44" i="18"/>
  <c r="J46" i="18"/>
  <c r="J49" i="18"/>
  <c r="J52" i="18"/>
  <c r="AP80" i="70"/>
  <c r="AP282" i="70"/>
  <c r="AP285" i="70"/>
  <c r="AP277" i="70"/>
  <c r="AP279" i="70"/>
  <c r="AP287" i="70"/>
  <c r="AE111" i="70"/>
  <c r="J74" i="18"/>
  <c r="AQ188" i="70"/>
  <c r="AF142" i="51"/>
  <c r="AD257" i="70"/>
  <c r="AD227" i="70"/>
  <c r="N22" i="77"/>
  <c r="AC235" i="70"/>
  <c r="AC237" i="70"/>
  <c r="AP91" i="70"/>
  <c r="AP95" i="70"/>
  <c r="AP108" i="70"/>
  <c r="AP109" i="70"/>
  <c r="AD111" i="70"/>
  <c r="L23" i="18"/>
  <c r="L22" i="18"/>
  <c r="AD81" i="70"/>
  <c r="AD288" i="70"/>
  <c r="B7" i="77"/>
  <c r="E6" i="77"/>
  <c r="E6" i="77" a="1"/>
  <c r="O26" i="77"/>
  <c r="AE272" i="70"/>
  <c r="AE283" i="70"/>
  <c r="AP141" i="51"/>
  <c r="AP142" i="51"/>
  <c r="AP67" i="70"/>
  <c r="AP64" i="70"/>
  <c r="Q20" i="77"/>
  <c r="F6" i="77"/>
  <c r="F6" i="77" a="1"/>
  <c r="P26" i="77"/>
  <c r="R26" i="77"/>
  <c r="H6" i="77"/>
  <c r="H6" i="77" a="1"/>
  <c r="D6" i="77"/>
  <c r="D6" i="77" a="1"/>
  <c r="N26" i="77"/>
  <c r="AE80" i="70"/>
  <c r="AE287" i="70"/>
  <c r="AD142" i="51"/>
  <c r="I6" i="77"/>
  <c r="I6" i="77" a="1"/>
  <c r="S26" i="77"/>
  <c r="AS212" i="70"/>
  <c r="AS204" i="70"/>
  <c r="AR267" i="70"/>
  <c r="AR270" i="70"/>
  <c r="AR273" i="70"/>
  <c r="N33" i="20"/>
  <c r="O33" i="20"/>
  <c r="P33" i="20"/>
  <c r="I95" i="18"/>
  <c r="E43" i="18"/>
  <c r="L12" i="18"/>
  <c r="L13" i="18"/>
  <c r="L18" i="18"/>
  <c r="L95" i="18"/>
  <c r="AC111" i="70"/>
  <c r="S30" i="77"/>
  <c r="S31" i="77"/>
  <c r="S29" i="77"/>
  <c r="S28" i="77"/>
  <c r="S32" i="77"/>
  <c r="S17" i="77"/>
  <c r="S27" i="77"/>
  <c r="AQ259" i="70"/>
  <c r="AQ255" i="70"/>
  <c r="AQ234" i="70"/>
  <c r="AQ253" i="70"/>
  <c r="AF356" i="70"/>
  <c r="AE368" i="70"/>
  <c r="J1" i="78"/>
  <c r="J1" i="78" a="1"/>
  <c r="AP105" i="70"/>
  <c r="AP101" i="70"/>
  <c r="AC368" i="70"/>
  <c r="AD356" i="70"/>
  <c r="AR253" i="70"/>
  <c r="AR255" i="70"/>
  <c r="AR259" i="70"/>
  <c r="AF192" i="51"/>
  <c r="AF197" i="51"/>
  <c r="AF199" i="51"/>
  <c r="AF208" i="51"/>
  <c r="R23" i="77"/>
  <c r="AP235" i="70"/>
  <c r="AP237" i="70"/>
  <c r="N23" i="77"/>
  <c r="AF80" i="70"/>
  <c r="AF287" i="70"/>
  <c r="AF91" i="70"/>
  <c r="AF95" i="70"/>
  <c r="AF106" i="70"/>
  <c r="AE237" i="70"/>
  <c r="AE235" i="70"/>
  <c r="AR40" i="70"/>
  <c r="K12" i="18"/>
  <c r="K13" i="18"/>
  <c r="K18" i="18"/>
  <c r="K95" i="18"/>
  <c r="AS67" i="70"/>
  <c r="AS64" i="70"/>
  <c r="AD91" i="70"/>
  <c r="AD95" i="70"/>
  <c r="AD106" i="70"/>
  <c r="AP234" i="70"/>
  <c r="AP253" i="70"/>
  <c r="AP255" i="70"/>
  <c r="AP259" i="70"/>
  <c r="AR91" i="70"/>
  <c r="AR95" i="70"/>
  <c r="AR108" i="70"/>
  <c r="AR109" i="70"/>
  <c r="H4" i="77"/>
  <c r="H4" i="77" a="1"/>
  <c r="AQ67" i="70"/>
  <c r="AQ64" i="70"/>
  <c r="J15" i="20"/>
  <c r="J24" i="20"/>
  <c r="J33" i="20"/>
  <c r="K33" i="20"/>
  <c r="L33" i="20"/>
  <c r="AC80" i="70"/>
  <c r="AC287" i="70"/>
  <c r="J12" i="18"/>
  <c r="J13" i="18"/>
  <c r="J18" i="18"/>
  <c r="J95" i="18"/>
  <c r="R21" i="77"/>
  <c r="AS91" i="70"/>
  <c r="AS95" i="70"/>
  <c r="AS106" i="70"/>
  <c r="AP41" i="70"/>
  <c r="AF105" i="70"/>
  <c r="AF101" i="70"/>
  <c r="U22" i="77"/>
  <c r="H33" i="20"/>
  <c r="G33" i="20"/>
  <c r="F33" i="20"/>
  <c r="N10" i="77"/>
  <c r="N13" i="77"/>
  <c r="N11" i="77"/>
  <c r="N12" i="77"/>
  <c r="AD105" i="70"/>
  <c r="AD101" i="70"/>
  <c r="AD253" i="70"/>
  <c r="AD255" i="70"/>
  <c r="AD259" i="70"/>
  <c r="J4" i="77"/>
  <c r="J4" i="77" a="1"/>
  <c r="AS353" i="70"/>
  <c r="AE273" i="70"/>
  <c r="AE270" i="70"/>
  <c r="AE267" i="70"/>
  <c r="O28" i="77"/>
  <c r="O30" i="77"/>
  <c r="O32" i="77"/>
  <c r="O27" i="77"/>
  <c r="O31" i="77"/>
  <c r="O17" i="77"/>
  <c r="O29" i="77"/>
  <c r="AS193" i="51"/>
  <c r="N49" i="18"/>
  <c r="N32" i="77"/>
  <c r="AE166" i="70"/>
  <c r="AE176" i="70"/>
  <c r="AE61" i="70"/>
  <c r="AE75" i="70"/>
  <c r="AE356" i="70"/>
  <c r="AD368" i="70"/>
  <c r="H24" i="20"/>
  <c r="F24" i="20"/>
  <c r="G24" i="20"/>
  <c r="AE91" i="70"/>
  <c r="AE95" i="70"/>
  <c r="AE106" i="70"/>
  <c r="P24" i="20"/>
  <c r="N15" i="20"/>
  <c r="N24" i="20"/>
  <c r="O24" i="20"/>
  <c r="AP53" i="51"/>
  <c r="AE208" i="51"/>
  <c r="AE192" i="51"/>
  <c r="AE197" i="51"/>
  <c r="AE199" i="51"/>
  <c r="AS81" i="70"/>
  <c r="AS40" i="70"/>
  <c r="AS282" i="70"/>
  <c r="AS285" i="70"/>
  <c r="AS277" i="70"/>
  <c r="AS279" i="70"/>
  <c r="AS288" i="70"/>
  <c r="I74" i="18"/>
  <c r="AP188" i="70"/>
  <c r="AR272" i="70"/>
  <c r="K91" i="18"/>
  <c r="AR283" i="70"/>
  <c r="AR190" i="70"/>
  <c r="AR192" i="70"/>
  <c r="AR193" i="70"/>
  <c r="P29" i="77"/>
  <c r="P28" i="77"/>
  <c r="P30" i="77"/>
  <c r="P32" i="77"/>
  <c r="P27" i="77"/>
  <c r="P17" i="77"/>
  <c r="P31" i="77"/>
  <c r="AC257" i="70"/>
  <c r="AC227" i="70"/>
  <c r="AC106" i="70"/>
  <c r="AD263" i="70"/>
  <c r="AD248" i="70"/>
  <c r="AD250" i="70"/>
  <c r="AD261" i="70"/>
  <c r="AD304" i="70"/>
  <c r="AD324" i="70"/>
  <c r="AD355" i="70"/>
  <c r="AD358" i="70"/>
  <c r="AD197" i="70"/>
  <c r="AE193" i="51"/>
  <c r="AP257" i="70"/>
  <c r="AP222" i="70"/>
  <c r="AP227" i="70"/>
  <c r="AQ142" i="51"/>
  <c r="AQ178" i="70"/>
  <c r="AQ49" i="70"/>
  <c r="P23" i="77"/>
  <c r="AF75" i="70"/>
  <c r="U18" i="77"/>
  <c r="N18" i="77"/>
  <c r="Q18" i="77"/>
  <c r="S18" i="77"/>
  <c r="R18" i="77"/>
  <c r="T18" i="77"/>
  <c r="P18" i="77"/>
  <c r="N8" i="77"/>
  <c r="O18" i="77"/>
  <c r="AS342" i="70"/>
  <c r="AS101" i="70"/>
  <c r="AS105" i="70"/>
  <c r="E4" i="77"/>
  <c r="E4" i="77" a="1"/>
  <c r="AP272" i="70"/>
  <c r="I91" i="18"/>
  <c r="AP283" i="70"/>
  <c r="AR111" i="70"/>
  <c r="AR261" i="70"/>
  <c r="AR197" i="70"/>
  <c r="AR248" i="70"/>
  <c r="AR250" i="70"/>
  <c r="AR263" i="70"/>
  <c r="AF283" i="70"/>
  <c r="AF272" i="70"/>
  <c r="AQ106" i="70"/>
  <c r="AE263" i="70"/>
  <c r="AE248" i="70"/>
  <c r="AE250" i="70"/>
  <c r="AE261" i="70"/>
  <c r="T26" i="77"/>
  <c r="J6" i="77"/>
  <c r="J6" i="77" a="1"/>
  <c r="AQ267" i="70"/>
  <c r="AQ270" i="70"/>
  <c r="AQ273" i="70"/>
  <c r="AR188" i="70"/>
  <c r="G1" i="78"/>
  <c r="G1" i="78" a="1"/>
  <c r="AS178" i="70"/>
  <c r="AS49" i="70"/>
  <c r="AQ190" i="70"/>
  <c r="AQ192" i="70"/>
  <c r="AQ193" i="70"/>
  <c r="AE259" i="70"/>
  <c r="AE255" i="70"/>
  <c r="AE253" i="70"/>
  <c r="AR178" i="70"/>
  <c r="AR49" i="70"/>
  <c r="S21" i="77"/>
  <c r="G4" i="77"/>
  <c r="G4" i="77" a="1"/>
  <c r="AS272" i="70"/>
  <c r="AS283" i="70"/>
  <c r="L91" i="18"/>
  <c r="AQ48" i="70"/>
  <c r="AQ44" i="70"/>
  <c r="AQ45" i="70"/>
  <c r="AF368" i="70"/>
  <c r="AQ80" i="70"/>
  <c r="AQ287" i="70"/>
  <c r="S20" i="77"/>
  <c r="AQ208" i="51"/>
  <c r="AQ199" i="51"/>
  <c r="AQ197" i="51"/>
  <c r="AQ192" i="51"/>
  <c r="AC91" i="70"/>
  <c r="AC95" i="70"/>
  <c r="AC108" i="70"/>
  <c r="AC109" i="70"/>
  <c r="T21" i="77"/>
  <c r="AE105" i="70"/>
  <c r="AE101" i="70"/>
  <c r="AF342" i="70"/>
  <c r="AF353" i="70"/>
  <c r="AQ368" i="70"/>
  <c r="AR356" i="70"/>
  <c r="AD80" i="70"/>
  <c r="AD287" i="70"/>
  <c r="AF166" i="70"/>
  <c r="AF176" i="70"/>
  <c r="AF61" i="70"/>
  <c r="AF64" i="70"/>
  <c r="AF67" i="70"/>
  <c r="AQ261" i="70"/>
  <c r="AQ248" i="70"/>
  <c r="AQ250" i="70"/>
  <c r="AQ263" i="70"/>
  <c r="AR78" i="70"/>
  <c r="AR75" i="70"/>
  <c r="AR79" i="70"/>
  <c r="AQ91" i="70"/>
  <c r="AQ95" i="70"/>
  <c r="AQ108" i="70"/>
  <c r="AQ109" i="70"/>
  <c r="AQ75" i="70"/>
  <c r="AQ79" i="70"/>
  <c r="AQ166" i="70"/>
  <c r="AQ176" i="70"/>
  <c r="AQ61" i="70"/>
  <c r="AQ78" i="70"/>
  <c r="AC78" i="70"/>
  <c r="AC78" i="70" a="1"/>
  <c r="AC212" i="70"/>
  <c r="AC204" i="70"/>
  <c r="U26" i="77"/>
  <c r="K6" i="77"/>
  <c r="K6" i="77" a="1"/>
  <c r="AQ193" i="51"/>
  <c r="AP368" i="70"/>
  <c r="AP358" i="70"/>
  <c r="AQ356" i="70"/>
  <c r="H15" i="20"/>
  <c r="F15" i="20"/>
  <c r="G15" i="20"/>
  <c r="AS368" i="70"/>
  <c r="AS193" i="70"/>
  <c r="AS192" i="70"/>
  <c r="AS190" i="70"/>
  <c r="Q22" i="77"/>
  <c r="AF190" i="70"/>
  <c r="AF192" i="70"/>
  <c r="AF193" i="70"/>
  <c r="T22" i="77"/>
  <c r="AS237" i="70"/>
  <c r="AS235" i="70"/>
  <c r="F3" i="78"/>
  <c r="F3" i="78" a="1"/>
  <c r="AQ212" i="70"/>
  <c r="AQ204" i="70"/>
  <c r="AC105" i="70"/>
  <c r="AC101" i="70"/>
  <c r="AC142" i="51"/>
  <c r="AS142" i="51"/>
  <c r="AF111" i="70"/>
  <c r="AS111" i="70"/>
  <c r="AP273" i="70"/>
  <c r="AP270" i="70"/>
  <c r="AP267" i="70"/>
  <c r="AQ111" i="70"/>
  <c r="H1" i="78"/>
  <c r="H1" i="78" a="1"/>
  <c r="AE48" i="70"/>
  <c r="AE44" i="70"/>
  <c r="AE45" i="70"/>
  <c r="AE49" i="70"/>
  <c r="S23" i="77"/>
  <c r="AP79" i="70"/>
  <c r="AP78" i="70"/>
  <c r="AP166" i="70"/>
  <c r="AP176" i="70"/>
  <c r="AP61" i="70"/>
  <c r="AP75" i="70"/>
  <c r="AD272" i="70"/>
  <c r="AD283" i="70"/>
  <c r="AC272" i="70"/>
  <c r="AC283" i="70"/>
  <c r="AP342" i="70"/>
  <c r="AP353" i="70"/>
  <c r="O22" i="77"/>
  <c r="AF227" i="70"/>
  <c r="AF53" i="51"/>
  <c r="AF222" i="70"/>
  <c r="AF257" i="70"/>
  <c r="AE342" i="70"/>
  <c r="AE353" i="70"/>
  <c r="AR237" i="70"/>
  <c r="AR234" i="70"/>
  <c r="AR235" i="70"/>
  <c r="AR257" i="70"/>
  <c r="AR227" i="70"/>
  <c r="AS356" i="70"/>
  <c r="AR304" i="70"/>
  <c r="AR324" i="70"/>
  <c r="AR355" i="70"/>
  <c r="AR358" i="70"/>
  <c r="AR368" i="70"/>
  <c r="AC263" i="70"/>
  <c r="AC248" i="70"/>
  <c r="AC250" i="70"/>
  <c r="AC261" i="70"/>
  <c r="AD75" i="70"/>
  <c r="AQ257" i="70"/>
  <c r="AQ227" i="70"/>
  <c r="AR166" i="70"/>
  <c r="AR176" i="70"/>
  <c r="AR61" i="70"/>
  <c r="AR64" i="70"/>
  <c r="AR67" i="70"/>
  <c r="F4" i="77"/>
  <c r="F4" i="77" a="1"/>
  <c r="AE78" i="70"/>
  <c r="AE204" i="70"/>
  <c r="AE212" i="70"/>
  <c r="AE78" i="70" a="1"/>
  <c r="AP261" i="70"/>
  <c r="AF304" i="70"/>
  <c r="AF324" i="70"/>
  <c r="AF355" i="70"/>
  <c r="AF358" i="70"/>
  <c r="AF197" i="70"/>
  <c r="AP197" i="70"/>
  <c r="AP248" i="70"/>
  <c r="AP250" i="70"/>
  <c r="AP263" i="70"/>
  <c r="AC259" i="70"/>
  <c r="AC234" i="70"/>
  <c r="AC253" i="70"/>
  <c r="AC255" i="70"/>
  <c r="AS263" i="70"/>
  <c r="AS355" i="70"/>
  <c r="AS358" i="70"/>
  <c r="AS197" i="70"/>
  <c r="AS248" i="70"/>
  <c r="AS250" i="70"/>
  <c r="AS261" i="70"/>
  <c r="AS79" i="70"/>
  <c r="AS75" i="70"/>
  <c r="AS61" i="70"/>
  <c r="AS78" i="70"/>
  <c r="AD79" i="70"/>
  <c r="AD79" i="70" a="1"/>
  <c r="N21" i="77"/>
  <c r="U23" i="77"/>
  <c r="AF233" i="70"/>
  <c r="AP233" i="70"/>
  <c r="AQ233" i="70"/>
  <c r="AR233" i="70"/>
  <c r="AS233" i="70"/>
  <c r="AS234" i="70"/>
  <c r="AS253" i="70"/>
  <c r="AS255" i="70"/>
  <c r="AS259" i="70"/>
  <c r="Q21" i="77"/>
  <c r="AE79" i="70"/>
  <c r="AE233" i="70"/>
  <c r="AE234" i="70"/>
  <c r="AE79" i="70" a="1"/>
  <c r="AF288" i="70"/>
  <c r="AF81" i="70"/>
  <c r="AQ40" i="70"/>
  <c r="AQ282" i="70"/>
  <c r="AQ285" i="70"/>
  <c r="AQ277" i="70"/>
  <c r="AQ279" i="70"/>
  <c r="AQ288" i="70"/>
  <c r="AQ81" i="70"/>
  <c r="AC282" i="70"/>
  <c r="AC285" i="70"/>
  <c r="AC277" i="70"/>
  <c r="AC279" i="70"/>
  <c r="AE288" i="70"/>
  <c r="AE81" i="70"/>
  <c r="AQ53" i="51"/>
  <c r="AQ222" i="70"/>
  <c r="AQ342" i="70"/>
  <c r="AQ101" i="70"/>
  <c r="AQ105" i="70"/>
  <c r="AR142" i="51"/>
  <c r="L94" i="18"/>
  <c r="AS304" i="70"/>
  <c r="AS324" i="70"/>
  <c r="L90" i="18"/>
  <c r="J91" i="18"/>
  <c r="AQ272" i="70"/>
  <c r="AQ283" i="70"/>
  <c r="T29" i="77"/>
  <c r="T31" i="77"/>
  <c r="T32" i="77"/>
  <c r="T28" i="77"/>
  <c r="T30" i="77"/>
  <c r="T17" i="77"/>
  <c r="T27" i="77"/>
  <c r="Q26" i="77"/>
  <c r="G6" i="77"/>
  <c r="G6" i="77" a="1"/>
  <c r="D73" i="18"/>
  <c r="E73" i="18"/>
  <c r="F73" i="18"/>
  <c r="E80" i="18"/>
  <c r="F80" i="18"/>
  <c r="D80" i="18"/>
  <c r="U32" i="77"/>
  <c r="U31" i="77"/>
  <c r="U28" i="77"/>
  <c r="U27" i="77"/>
  <c r="U29" i="77"/>
  <c r="U17" i="77"/>
  <c r="U30" i="77"/>
  <c r="R28" i="77"/>
  <c r="R27" i="77"/>
  <c r="R31" i="77"/>
  <c r="R32" i="77"/>
  <c r="R29" i="77"/>
  <c r="R17" i="77"/>
  <c r="R30" i="77"/>
  <c r="AC53" i="51"/>
  <c r="AC222" i="70"/>
  <c r="AC342" i="70"/>
  <c r="AC353" i="70"/>
  <c r="AP190" i="70"/>
  <c r="AP192" i="70"/>
  <c r="AP193" i="70"/>
  <c r="AE141" i="51"/>
  <c r="AE187" i="51"/>
  <c r="AE188" i="51"/>
  <c r="AE37" i="70"/>
  <c r="AE38" i="70"/>
  <c r="AE43" i="70"/>
  <c r="AE304" i="70"/>
  <c r="AE324" i="70"/>
  <c r="AE355" i="70"/>
  <c r="AE358" i="70"/>
  <c r="AE197" i="70"/>
  <c r="AF193" i="51"/>
  <c r="U19" i="77"/>
  <c r="P19" i="77"/>
  <c r="O19" i="77"/>
  <c r="Q19" i="77"/>
  <c r="T19" i="77"/>
  <c r="R19" i="77"/>
  <c r="S19" i="77"/>
  <c r="C7" i="77"/>
  <c r="N7" i="77"/>
  <c r="N9" i="77"/>
  <c r="N19" i="77"/>
  <c r="AD52" i="51"/>
  <c r="AD53" i="51"/>
  <c r="AD222" i="70"/>
  <c r="AD342" i="70"/>
  <c r="AD353" i="70"/>
  <c r="AE227" i="70"/>
  <c r="AE53" i="51"/>
  <c r="AE222" i="70"/>
  <c r="AE257" i="70"/>
  <c r="AR48" i="70"/>
  <c r="AR45" i="70"/>
  <c r="AQ52" i="51"/>
  <c r="AR141" i="51"/>
  <c r="AR187" i="51"/>
  <c r="AR188" i="51"/>
  <c r="AR37" i="70"/>
  <c r="AR38" i="70"/>
  <c r="AR43" i="70"/>
  <c r="AR44" i="70"/>
  <c r="N28" i="77"/>
  <c r="N30" i="77"/>
  <c r="N17" i="77"/>
  <c r="N27" i="77"/>
  <c r="AP44" i="70"/>
  <c r="AP48" i="70"/>
  <c r="AP37" i="70"/>
  <c r="AP38" i="70"/>
  <c r="AP43" i="70"/>
  <c r="AP45" i="70"/>
  <c r="N45" i="18"/>
  <c r="N44" i="18"/>
  <c r="AF45" i="70"/>
  <c r="AF49" i="70"/>
  <c r="AF48" i="70"/>
  <c r="AE52" i="51"/>
  <c r="AF141" i="51"/>
  <c r="AF187" i="51"/>
  <c r="AF188" i="51"/>
  <c r="AF37" i="70"/>
  <c r="AF38" i="70"/>
  <c r="AF43" i="70"/>
  <c r="AF44" i="70"/>
  <c r="AD166" i="70"/>
  <c r="AD176" i="70"/>
  <c r="AD61" i="70"/>
  <c r="AD64" i="70"/>
  <c r="AD67" i="70"/>
  <c r="AR353" i="70"/>
  <c r="AQ355" i="70"/>
  <c r="AQ358" i="70"/>
  <c r="AQ197" i="70"/>
  <c r="AR193" i="51"/>
  <c r="N20" i="77"/>
  <c r="G58" i="18"/>
  <c r="J73" i="18"/>
  <c r="H73" i="18"/>
  <c r="E46" i="18"/>
  <c r="AC40" i="70"/>
  <c r="AP40" i="70"/>
  <c r="I12" i="18"/>
  <c r="I13" i="18"/>
  <c r="I18" i="18"/>
  <c r="I22" i="18"/>
  <c r="I23" i="18"/>
  <c r="E27" i="18"/>
  <c r="E36" i="18"/>
  <c r="E37" i="18"/>
  <c r="E39" i="18"/>
  <c r="E42" i="18"/>
  <c r="I73" i="18"/>
  <c r="T23" i="77"/>
  <c r="AS257" i="70"/>
  <c r="AS207" i="51"/>
  <c r="AS209" i="51"/>
  <c r="AS52" i="51"/>
  <c r="AS53" i="51"/>
  <c r="AS222" i="70"/>
  <c r="AS227" i="70"/>
  <c r="AC355" i="70"/>
  <c r="AC358" i="70"/>
  <c r="AC197" i="70"/>
  <c r="AD193" i="51"/>
  <c r="AP355" i="70"/>
  <c r="AP111" i="70"/>
  <c r="AR53" i="51"/>
  <c r="AR222" i="70"/>
  <c r="AR342" i="70"/>
  <c r="AR101" i="70"/>
  <c r="AR105" i="70"/>
  <c r="Q32" i="77"/>
  <c r="Q28" i="77"/>
  <c r="Q27" i="77"/>
  <c r="Q30" i="77"/>
  <c r="Q29" i="77"/>
  <c r="Q17" i="77"/>
  <c r="Q31" i="77"/>
  <c r="P21" i="77"/>
  <c r="AS166" i="70"/>
  <c r="AS176" i="70"/>
  <c r="AS188" i="70"/>
  <c r="AF52" i="51"/>
  <c r="AP52" i="51"/>
  <c r="AQ141" i="51"/>
  <c r="AQ187" i="51"/>
  <c r="AQ188" i="51"/>
  <c r="AQ37" i="70"/>
  <c r="AQ38" i="70"/>
  <c r="AQ43" i="70"/>
  <c r="AQ304" i="70"/>
  <c r="AQ324" i="70"/>
  <c r="J90" i="18"/>
  <c r="J94" i="18"/>
  <c r="AC233" i="70"/>
  <c r="AD233" i="70"/>
  <c r="AD234" i="70"/>
  <c r="AD235" i="70"/>
  <c r="AD237" i="70"/>
  <c r="S22" i="77"/>
  <c r="AC49" i="70"/>
  <c r="AC45" i="70"/>
  <c r="AC48" i="70"/>
  <c r="AC44" i="70"/>
  <c r="P22" i="77"/>
  <c r="AD49" i="70"/>
  <c r="AD45" i="70"/>
  <c r="AD48" i="70"/>
  <c r="AD141" i="51"/>
  <c r="AD187" i="51"/>
  <c r="AD188" i="51"/>
  <c r="AD37" i="70"/>
  <c r="AD38" i="70"/>
  <c r="AD43" i="70"/>
  <c r="AD44" i="70"/>
  <c r="AS45" i="70"/>
  <c r="AS48" i="70"/>
  <c r="AD207" i="51"/>
  <c r="AD209" i="51"/>
  <c r="AE207" i="51"/>
  <c r="AE209" i="51"/>
  <c r="AF207" i="51"/>
  <c r="AF209" i="51"/>
  <c r="AP209" i="51"/>
  <c r="AQ207" i="51"/>
  <c r="AQ209" i="51"/>
  <c r="AR207" i="51"/>
  <c r="AR209" i="51"/>
  <c r="AR52" i="51"/>
  <c r="AS141" i="51"/>
  <c r="AS187" i="51"/>
  <c r="AS188" i="51"/>
  <c r="AS37" i="70"/>
  <c r="AS38" i="70"/>
  <c r="AS43" i="70"/>
  <c r="AS44" i="70"/>
  <c r="AC324" i="70"/>
  <c r="AC192" i="51"/>
  <c r="AC197" i="51"/>
  <c r="AC199" i="51"/>
  <c r="AC208" i="51"/>
  <c r="AC209" i="51"/>
  <c r="AC52" i="51"/>
  <c r="AC141" i="51"/>
  <c r="AC187" i="51"/>
  <c r="AC188" i="51"/>
  <c r="AC37" i="70"/>
  <c r="AC38" i="70"/>
  <c r="AC43" i="70"/>
  <c r="AC304" i="70"/>
  <c r="AP304" i="70"/>
  <c r="AP324" i="70"/>
  <c r="I90" i="18"/>
  <c r="I94"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Kanishk Agarwal</author>
    <author>Q3'21 Transcript</author>
    <author>Q2'20 Transcript</author>
    <author>Q4'20 Transcript</author>
    <author>Q1'21 Transcript</author>
    <author>Q2'21 Transcript</author>
    <author>10K 2019</author>
    <author>Gaurang Grover</author>
    <author>Q4'21 Transcript</author>
    <author>10K 2020</author>
    <author>10K 2021</author>
    <author>Q3'20 Transcript</author>
  </authors>
  <commentList>
    <comment ref="C10" authorId="0" shapeId="0" xr:uid="{6750983C-6AF0-4A7A-8DA3-E9D990EFB93C}">
      <text>
        <r>
          <rPr>
            <sz val="9"/>
            <color indexed="81"/>
            <rFont val="Tahoma"/>
            <family val="2"/>
          </rPr>
          <t>Intel’s primary products in CCG are notebook and desktop PC Microprocessors (MPUs), PC chipsets, workstations, wireless connectivity and mobile communications products</t>
        </r>
      </text>
    </comment>
    <comment ref="C12" authorId="0" shapeId="0" xr:uid="{C55C9628-30CE-48EB-B30C-446991B207F5}">
      <text>
        <r>
          <rPr>
            <sz val="9"/>
            <color indexed="81"/>
            <rFont val="Tahoma"/>
            <family val="2"/>
          </rPr>
          <t>"Platform products incorporate various components and technologies, including a microprocessor and chipset, a stand-alone [system-on-a-chip], or a multi-chip package
An example of a microprocessor and a chipset pairing would be an Intel Core i7-8700K desktop processor and the accompanying Z370 chipset (referred to as a platform controller hub or PCH) that's mounted onto the motherboard that the 8700K plugs into. These are two distinct chips, but together they form a platform (since that CPU can't operate without a PCH, and that PCH is useless without a CPU)
Intel's low-cost Atom processors are stand-alone systems-on-a-chip -- that is, they incorporate both the microprocessor and the functionality that would otherwise reside in a separate PCH chip into a single piece of silicon.
Intel’s PC-related sales are MPU and chipsets shipped into notebook and desktop PCs. The company also sells some wireless and wired connectivity products that are included within the PC vertical. Intel’s primary products are its MPUs, which feature the company’s core branded processors (i3, i5, i7, i9 SKUs).</t>
        </r>
      </text>
    </comment>
    <comment ref="AP13" authorId="0" shapeId="0" xr:uid="{D1DCF928-E32F-4811-ABC8-9B1200220B80}">
      <text>
        <r>
          <rPr>
            <b/>
            <sz val="9"/>
            <color indexed="81"/>
            <rFont val="Tahoma"/>
            <family val="2"/>
          </rPr>
          <t>Intel Investor Meeting Feb 2022:</t>
        </r>
        <r>
          <rPr>
            <sz val="9"/>
            <color indexed="81"/>
            <rFont val="Tahoma"/>
            <family val="2"/>
          </rPr>
          <t xml:space="preserve">
CCG business addresses a $90bn TAM (by 2026), which is growing at a low- to mid-single-digit pace based on assumption that the PC TAM can grow modestly from the ~350mn units shipped in 2021 towards high 300mn by 2026. 
Intel estimates its CCG business can grow in line with the overall TAM at a low to mid single digit pace from $41bn through 2026.
</t>
        </r>
        <r>
          <rPr>
            <b/>
            <sz val="9"/>
            <color indexed="81"/>
            <rFont val="Tahoma"/>
            <family val="2"/>
          </rPr>
          <t>IDC Research:</t>
        </r>
        <r>
          <rPr>
            <sz val="9"/>
            <color indexed="81"/>
            <rFont val="Tahoma"/>
            <family val="2"/>
          </rPr>
          <t xml:space="preserve">
Following two straight years of strong double-digit growth, the expectation is that the PC market will begin to slow in 2022. However, as we look towards 2025 the latest IDC forecast still shows a five-year compound annual growth rate (CAGR) of 3.3% with most of that growth coming from the notebook PC segment. Tablets, meanwhile, will continue their decline as the category remains challenged by smartphones and notebook PCs
</t>
        </r>
        <r>
          <rPr>
            <b/>
            <sz val="9"/>
            <color indexed="81"/>
            <rFont val="Tahoma"/>
            <family val="2"/>
          </rPr>
          <t>PC Processor Roadmap:</t>
        </r>
        <r>
          <rPr>
            <sz val="9"/>
            <color indexed="81"/>
            <rFont val="Tahoma"/>
            <family val="2"/>
          </rPr>
          <t xml:space="preserve">
Intel has launched its 12th gen processor - Alder Lake for desktop (in 4Q21) and notebooks (in 1Q22). Their desktop chip offers up to 30% faster gaming performance compared with its competitors while the notebook chip offers up to 40% faster creation.
Alder Lake is Intel’s first product based on a new I7 nm process with roadmap 
Next up:
Raptor Lake (enhancements on same I7 nm) in 2022
Meteor Lake (I4 nm) in 2023
Arrow Lake (launching on 3 processes including I4 nm, 20A nm, and external 3nm) in 2024
Lunar Lake in 2024+ (18A nm and external)
</t>
        </r>
        <r>
          <rPr>
            <b/>
            <sz val="9"/>
            <color indexed="81"/>
            <rFont val="Tahoma"/>
            <family val="2"/>
          </rPr>
          <t>Competition:</t>
        </r>
        <r>
          <rPr>
            <sz val="9"/>
            <color indexed="81"/>
            <rFont val="Tahoma"/>
            <family val="2"/>
          </rPr>
          <t xml:space="preserve">
Intel’s main competitor in the PC space is AMD, the only other supplier of x86 MPUs for PCs
Apple is the other competitor which produces an internal Arm-based CPUs, M1
Intel had traditionally been the market leader in x86 CPUs, while AMD had historically targeted the lower end of the market. However, AMD rolled out its “Zen” based CPUs, known as “Ryzen” in 2017 and since then has captured market share
</t>
        </r>
        <r>
          <rPr>
            <b/>
            <sz val="9"/>
            <color indexed="81"/>
            <rFont val="Tahoma"/>
            <family val="2"/>
          </rPr>
          <t>Lot of analysts estimate that Intel's market share is going to go down and be captured by AMD and Apple.</t>
        </r>
        <r>
          <rPr>
            <sz val="9"/>
            <color indexed="81"/>
            <rFont val="Tahoma"/>
            <family val="2"/>
          </rPr>
          <t xml:space="preserve">
Arm-based processors can also expand from mainly Apple to other Windows PC OEMs. Recently Lenovo announces the first Arm-based ThinkPad
</t>
        </r>
        <r>
          <rPr>
            <b/>
            <sz val="9"/>
            <color indexed="81"/>
            <rFont val="Tahoma"/>
            <family val="2"/>
          </rPr>
          <t xml:space="preserve">Mercury Research:
The Mercury Research CPU market share results for Q4'21 shows that AMD now comprises 25.6% of the overall x86 market, its highest share ever, partially on the strength of its increasing gaming console shipments.
Arm vs x86 Threat:
</t>
        </r>
        <r>
          <rPr>
            <sz val="9"/>
            <color indexed="81"/>
            <rFont val="Tahoma"/>
            <family val="2"/>
          </rPr>
          <t>Moderate threat in the medium-term and uncertainity in the long-term</t>
        </r>
      </text>
    </comment>
    <comment ref="AS13" authorId="0" shapeId="0" xr:uid="{3157E48C-6B22-45D0-8C20-997BA02B29A4}">
      <text>
        <r>
          <rPr>
            <sz val="9"/>
            <color indexed="81"/>
            <rFont val="Tahoma"/>
            <family val="2"/>
          </rPr>
          <t>• Growing AMD vs Intel Market Share
• Growing ARM vs x86 market share
Intel's targets for its MPU - seems unrealistic</t>
        </r>
      </text>
    </comment>
    <comment ref="C15" authorId="0" shapeId="0" xr:uid="{8AEBE44F-C578-4F36-B029-A9FA8619DCA1}">
      <text>
        <r>
          <rPr>
            <sz val="9"/>
            <color indexed="81"/>
            <rFont val="Tahoma"/>
            <family val="2"/>
          </rPr>
          <t>Remaining primary product lines are incorporated in adjacency.
Examples of the kinds of products that Intel counts as adjacency include cellular modems and Wi-Fi/Bluetooth combination chips.</t>
        </r>
      </text>
    </comment>
    <comment ref="AB18" authorId="1" shapeId="0" xr:uid="{6DEC716D-5BC3-4FB2-86C8-D77720678A58}">
      <text>
        <r>
          <rPr>
            <b/>
            <sz val="9"/>
            <color indexed="81"/>
            <rFont val="Tahoma"/>
            <family val="2"/>
          </rPr>
          <t>Q4'21 Transcript:</t>
        </r>
        <r>
          <rPr>
            <sz val="9"/>
            <color indexed="81"/>
            <rFont val="Tahoma"/>
            <family val="2"/>
          </rPr>
          <t xml:space="preserve">
Strong commercial demand.
Platform ASPs were up 15% year-over-year on a richer mix, driven by strong demand for our highest-performing platforms and industry-wide constraints leading our customers to prioritize limited components to higher-end systems</t>
        </r>
      </text>
    </comment>
    <comment ref="V19" authorId="2" shapeId="0" xr:uid="{3E1A844F-9A58-4B76-8FE7-FB9BA5CCA26F}">
      <text>
        <r>
          <rPr>
            <b/>
            <sz val="9"/>
            <color indexed="81"/>
            <rFont val="Tahoma"/>
            <family val="2"/>
          </rPr>
          <t>Q2'20 Transcript:</t>
        </r>
        <r>
          <rPr>
            <sz val="9"/>
            <color indexed="81"/>
            <rFont val="Tahoma"/>
            <family val="2"/>
          </rPr>
          <t xml:space="preserve">
Driven by notebook demand and higher modem and WiFi sales, which more than offset lower desktop volumes</t>
        </r>
      </text>
    </comment>
    <comment ref="X19" authorId="3" shapeId="0" xr:uid="{252F0FBB-B575-4CD1-A2E4-BEA834DEB976}">
      <text>
        <r>
          <rPr>
            <b/>
            <sz val="9"/>
            <color indexed="81"/>
            <rFont val="Tahoma"/>
            <family val="2"/>
          </rPr>
          <t>Q4'20 Transcript:</t>
        </r>
        <r>
          <rPr>
            <sz val="9"/>
            <color indexed="81"/>
            <rFont val="Tahoma"/>
            <family val="2"/>
          </rPr>
          <t xml:space="preserve">
Driven by record notebook unit volume. ASPs were down 11% due to increased volume in consumer entry and education segments.
Adjacency revenue was down due to modem ramp down and the divestiture of our Home Gateway business</t>
        </r>
      </text>
    </comment>
    <comment ref="Y19" authorId="4" shapeId="0" xr:uid="{700FFF09-8D78-4BCE-A8D3-075A9370359A}">
      <text>
        <r>
          <rPr>
            <b/>
            <sz val="9"/>
            <color indexed="81"/>
            <rFont val="Tahoma"/>
            <family val="2"/>
          </rPr>
          <t>Q1'21 Transcript:</t>
        </r>
        <r>
          <rPr>
            <sz val="9"/>
            <color indexed="81"/>
            <rFont val="Tahoma"/>
            <family val="2"/>
          </rPr>
          <t xml:space="preserve">
driven by all-time record notebook unit
volumes.
Combined with growth in our WiFi and Thunderbolt connectivity businesses, revenue grew overall in CCG despite the ramp down of our modem and MAX sales and the impact of exiting our connected home division</t>
        </r>
      </text>
    </comment>
    <comment ref="Z19" authorId="5" shapeId="0" xr:uid="{9FF5F77E-3532-4180-B373-2577C332094E}">
      <text>
        <r>
          <rPr>
            <b/>
            <sz val="9"/>
            <color indexed="81"/>
            <rFont val="Tahoma"/>
            <family val="2"/>
          </rPr>
          <t>Q2'21 Transcript:</t>
        </r>
        <r>
          <rPr>
            <sz val="9"/>
            <color indexed="81"/>
            <rFont val="Tahoma"/>
            <family val="2"/>
          </rPr>
          <t xml:space="preserve">
growth of our core client
business is up 14% when we exclude the impact of the ramping-down Apple modem business and the exit of our Home Gateway
business. This shows the strong underlying growth in our client business despite a supply-constrained environment.</t>
        </r>
      </text>
    </comment>
    <comment ref="AA19" authorId="1" shapeId="0" xr:uid="{D86B4297-E923-493F-86FF-35181A381423}">
      <text>
        <r>
          <rPr>
            <b/>
            <sz val="9"/>
            <color indexed="81"/>
            <rFont val="Tahoma"/>
            <family val="2"/>
          </rPr>
          <t>Q3'21 Transcript:</t>
        </r>
        <r>
          <rPr>
            <sz val="9"/>
            <color indexed="81"/>
            <rFont val="Tahoma"/>
            <family val="2"/>
          </rPr>
          <t xml:space="preserve">
industry-wide component shortages that are restricting lower-end system sales</t>
        </r>
      </text>
    </comment>
    <comment ref="AL19" authorId="6" shapeId="0" xr:uid="{9BED999C-768F-4BAB-8CCA-5D6F5E5D2A56}">
      <text>
        <r>
          <rPr>
            <b/>
            <sz val="9"/>
            <color indexed="81"/>
            <rFont val="Tahoma"/>
            <family val="2"/>
          </rPr>
          <t xml:space="preserve">10K 2018:
</t>
        </r>
        <r>
          <rPr>
            <sz val="9"/>
            <color indexed="81"/>
            <rFont val="Tahoma"/>
            <family val="2"/>
          </rPr>
          <t xml:space="preserve">1.First year over year PC TAM1
 growth since 2011 drove an increase in notebook platform volume in 2018. We are operating in an increasingly competitive environment,
especially in desktop.
2.Increased demand for performance products, and segmentation drove strong product mix and higher ASP.
3.Strong demand for commercial, 2-in-1, and gaming market segments, along with higher modem share.
</t>
        </r>
      </text>
    </comment>
    <comment ref="AM19" authorId="6" shapeId="0" xr:uid="{984FF7AF-562D-4E54-82E1-0D34AA1896C2}">
      <text>
        <r>
          <rPr>
            <b/>
            <sz val="9"/>
            <color indexed="81"/>
            <rFont val="Tahoma"/>
            <family val="2"/>
          </rPr>
          <t xml:space="preserve">10K 2019:
</t>
        </r>
        <r>
          <rPr>
            <sz val="9"/>
            <color indexed="81"/>
            <rFont val="Tahoma"/>
            <family val="2"/>
          </rPr>
          <t xml:space="preserve">
1.Decreased unit sales due to supply constraints particularly at the value-end of the market, and lower market share.
2.Increased demand for performance products drove strong product mix and higher ASP as the commercial market segment remained strong.
3.Strength in modem drove higher adjacent revenue.</t>
        </r>
      </text>
    </comment>
    <comment ref="AN19" authorId="6" shapeId="0" xr:uid="{37EF6B82-4303-4431-B966-744635823BF8}">
      <text>
        <r>
          <rPr>
            <b/>
            <sz val="9"/>
            <color indexed="81"/>
            <rFont val="Tahoma"/>
            <family val="2"/>
          </rPr>
          <t xml:space="preserve">10K 2020:
</t>
        </r>
        <r>
          <rPr>
            <sz val="9"/>
            <color indexed="81"/>
            <rFont val="Tahoma"/>
            <family val="2"/>
          </rPr>
          <t xml:space="preserve">
1.Increased unit sales driven by strength in notebook demand, partially offset by lower desktop demand. 
2.Lower notebook ASPs resulting from higher demand for consumer education PCs, partially offset by higher desktop ASPs from 
increased demand for performance products in the gaming market segment.
3.Weakness in adjacent revenue driven by volume decline in LTE modem and connected home devices, partially offset by strength in Wi Fi sales.</t>
        </r>
      </text>
    </comment>
    <comment ref="AO19" authorId="3" shapeId="0" xr:uid="{7555C90F-2343-4187-98BA-65D00B505F92}">
      <text>
        <r>
          <rPr>
            <b/>
            <sz val="9"/>
            <color indexed="81"/>
            <rFont val="Tahoma"/>
            <family val="2"/>
          </rPr>
          <t xml:space="preserve">10K 2021
</t>
        </r>
        <r>
          <rPr>
            <sz val="9"/>
            <color indexed="81"/>
            <rFont val="Tahoma"/>
            <family val="2"/>
          </rPr>
          <t xml:space="preserve"> 
1.Increased unit sales driven by continued strength in notebook demand and recovery in desktop demand driven by consumer and 
commercial recovery from COVID-19 lows.
2.Lower notebook ASPs due to strength in the consumer and education market segments, partially offset by higher desktop ASPs driven 
by commercial recovery from COVID-19.
3.Decrease in adjacent revenue primarily driven by the continued ramp down from the exit of our 5G smartphone modem and Home 
Gateway Platform businesses, partially offset by strength in wireless and connectivity.</t>
        </r>
      </text>
    </comment>
    <comment ref="AS19" authorId="7" shapeId="0" xr:uid="{45023354-3CBE-4004-85FB-CC0B81E68C0F}">
      <text>
        <r>
          <rPr>
            <b/>
            <sz val="9"/>
            <color indexed="81"/>
            <rFont val="Tahoma"/>
            <family val="2"/>
          </rPr>
          <t>Bull case: 
Feb'22 Investor call</t>
        </r>
        <r>
          <rPr>
            <b/>
            <i/>
            <sz val="9"/>
            <color indexed="81"/>
            <rFont val="Tahoma"/>
            <family val="2"/>
          </rPr>
          <t>"</t>
        </r>
        <r>
          <rPr>
            <i/>
            <sz val="9"/>
            <color indexed="81"/>
            <rFont val="Tahoma"/>
            <family val="2"/>
          </rPr>
          <t>As we've done in the last 6 years, we believe we can continue to grow this business over the horizon in the low to mid-single digits, nothing heroic, but continuing growth in our business."</t>
        </r>
      </text>
    </comment>
    <comment ref="C21" authorId="0" shapeId="0" xr:uid="{AC9AD617-066C-4FF6-855D-174DB14890AC}">
      <text>
        <r>
          <rPr>
            <sz val="9"/>
            <color indexed="81"/>
            <rFont val="Tahoma"/>
            <family val="2"/>
          </rPr>
          <t>DCAI sales are derived from cloud and enterprise server CPUs and chipsets, programmable solutions and Habana Labs products</t>
        </r>
      </text>
    </comment>
    <comment ref="AP24" authorId="0" shapeId="0" xr:uid="{43D962BC-DA69-4A1F-8A84-7A3F4AD606E5}">
      <text>
        <r>
          <rPr>
            <b/>
            <sz val="9"/>
            <color indexed="81"/>
            <rFont val="Tahoma"/>
            <family val="2"/>
          </rPr>
          <t>Intel Investor Meeting Feb 2022:</t>
        </r>
        <r>
          <rPr>
            <sz val="9"/>
            <color indexed="81"/>
            <rFont val="Tahoma"/>
            <family val="2"/>
          </rPr>
          <t xml:space="preserve">
Intel estimates its DCAI products address a $30B TAM today that can grow at a mid-teens CAGR through 2026 to $65B. 
Intel believes in the near term (through 2023) they can grow at a mid to high-single-digit pace, below the market as they catch up on process and performance with AMD. 
However, post 2023 Intel believes they can grow this business at a mid-teens pace, in line with the TAM.
</t>
        </r>
        <r>
          <rPr>
            <b/>
            <sz val="9"/>
            <color indexed="81"/>
            <rFont val="Tahoma"/>
            <family val="2"/>
          </rPr>
          <t>Server Processor Roadmap:</t>
        </r>
        <r>
          <rPr>
            <sz val="9"/>
            <color indexed="81"/>
            <rFont val="Tahoma"/>
            <family val="2"/>
          </rPr>
          <t xml:space="preserve">
Intel ramped its 10nm Ice Lake server CPU in early 2021 with latest Sapphire Rapids
Intel’s first server chip on I7 nm is expected to ramp in 2Q'22
Next up:
Emerald Rapids (enhancement to same I7 nm) in 2023
Granite Rapids (I3 nm)/Sierra Forest (I3 nm) in 2024. 
The reason for 2 processors in 2024 is Intel plans to split their family into P-Core (focused on performance per core – optimized for mainstream &amp; premium cloud and data center applications) and E-Core (focused on performance per watt – optimized to support high-density, ultra-efficient compute for the cloud). 
</t>
        </r>
        <r>
          <rPr>
            <b/>
            <sz val="9"/>
            <color indexed="81"/>
            <rFont val="Tahoma"/>
            <family val="2"/>
          </rPr>
          <t>Competition:</t>
        </r>
        <r>
          <rPr>
            <sz val="9"/>
            <color indexed="81"/>
            <rFont val="Tahoma"/>
            <family val="2"/>
          </rPr>
          <t xml:space="preserve">
Intel competes against other server CPU vendors (AMD, Arm-based alternatives like Amazon Graviton, Google and upcoming NVDA Grace CPU), other FPGA vendors (Xilinx which was recently acquired by AMD and is the market leader, with Intel holding the 2nd largest share), and other smaller start-up AI
accelerator companies similar to Habana Labs
However, Intel’s main competitor in the server CPU space is AMD. Prior to 2017 when AMD launched its Zen-based EPYC server processors, Intel’s share in server CPUs was nearly 100%. However, since then AMD has been chipping away, with unit share reaching 10% by 2021 and value share even higher at nearly 13%
Analysts expect AMD server CPU share can grow toward 22% of units and 29% of value by 2024.
Intel is also facing competition from Arm-based alternatives in the data center; however unlike in PCs, Arm share in still very small at &gt;5% of total units, as per OMDIA dated Feb 9th, 2022
Arm can also gain momentum in the data center, especially when NVDA launches its Arm-based Grace server CPU (initially focused on high performance computing market) in 1H 2023. 
Gartner estimates Arm server adoption to be ~20% of total units by 2025E.
</t>
        </r>
        <r>
          <rPr>
            <b/>
            <sz val="9"/>
            <color indexed="81"/>
            <rFont val="Tahoma"/>
            <family val="2"/>
          </rPr>
          <t>Arm vs x86 Threat:</t>
        </r>
        <r>
          <rPr>
            <sz val="9"/>
            <color indexed="81"/>
            <rFont val="Tahoma"/>
            <family val="2"/>
          </rPr>
          <t xml:space="preserve">
Moderate threat in the medium-term and uncertainity in the long-term</t>
        </r>
      </text>
    </comment>
    <comment ref="AQ24" authorId="7" shapeId="0" xr:uid="{FF20045B-6D1F-4847-B4F3-F0DFEA881EC0}">
      <text>
        <r>
          <rPr>
            <b/>
            <sz val="9"/>
            <color indexed="81"/>
            <rFont val="Tahoma"/>
            <family val="2"/>
          </rPr>
          <t>Launch of Sapphire Rapids</t>
        </r>
      </text>
    </comment>
    <comment ref="V30" authorId="2" shapeId="0" xr:uid="{FBF5F94F-98F8-44E3-845E-A22C0DEEF97D}">
      <text>
        <r>
          <rPr>
            <b/>
            <sz val="9"/>
            <color indexed="81"/>
            <rFont val="Tahoma"/>
            <family val="2"/>
          </rPr>
          <t>Q2'20 Transcript:</t>
        </r>
        <r>
          <rPr>
            <sz val="9"/>
            <color indexed="81"/>
            <rFont val="Tahoma"/>
            <family val="2"/>
          </rPr>
          <t xml:space="preserve">
primarily on the NAND dynamics in Q2, despite significant COVID
headwinds impacting demand in our more GDP-sensitive businesses, IOTG and Mobileye.</t>
        </r>
      </text>
    </comment>
    <comment ref="X30" authorId="3" shapeId="0" xr:uid="{C257D484-D9AC-4EC9-9787-B4B8F48922DC}">
      <text>
        <r>
          <rPr>
            <b/>
            <sz val="9"/>
            <color indexed="81"/>
            <rFont val="Tahoma"/>
            <family val="2"/>
          </rPr>
          <t>Q4'20 Transcript:</t>
        </r>
        <r>
          <rPr>
            <sz val="9"/>
            <color indexed="81"/>
            <rFont val="Tahoma"/>
            <family val="2"/>
          </rPr>
          <t xml:space="preserve">
Driven by enterprise and government weakness and cloud digestion, albeit
lower than expected.</t>
        </r>
      </text>
    </comment>
    <comment ref="Y30" authorId="4" shapeId="0" xr:uid="{5973FDE4-EADF-454B-AE48-5A79FF43ABDC}">
      <text>
        <r>
          <rPr>
            <b/>
            <sz val="9"/>
            <color indexed="81"/>
            <rFont val="Tahoma"/>
            <family val="2"/>
          </rPr>
          <t>Q1'21 Transcript:</t>
        </r>
        <r>
          <rPr>
            <sz val="9"/>
            <color indexed="81"/>
            <rFont val="Tahoma"/>
            <family val="2"/>
          </rPr>
          <t xml:space="preserve">
Enterprise and government saw initial recovery with sequential performance above seasonal expectations, while cloud inventory
digestion persisted through the quarter as expected. Strong network SoC growth and product mix drove more than half of the 14%
year-over-year ASP decline.</t>
        </r>
      </text>
    </comment>
    <comment ref="AA30" authorId="1" shapeId="0" xr:uid="{C45774F4-C708-4985-8E83-C37422CF838D}">
      <text>
        <r>
          <rPr>
            <b/>
            <sz val="9"/>
            <color indexed="81"/>
            <rFont val="Tahoma"/>
            <family val="2"/>
          </rPr>
          <t>Q3'21 Transcript:</t>
        </r>
        <r>
          <rPr>
            <sz val="9"/>
            <color indexed="81"/>
            <rFont val="Tahoma"/>
            <family val="2"/>
          </rPr>
          <t xml:space="preserve">
continued recovery in our enterprise and government
segment and Ice Lake ramp.</t>
        </r>
      </text>
    </comment>
    <comment ref="AB30" authorId="8" shapeId="0" xr:uid="{89DFFBEF-3856-433F-ACBF-62DA9B33F567}">
      <text>
        <r>
          <rPr>
            <b/>
            <sz val="9"/>
            <color indexed="81"/>
            <rFont val="Tahoma"/>
            <family val="2"/>
          </rPr>
          <t>Q4'21 Transcript:</t>
        </r>
        <r>
          <rPr>
            <sz val="9"/>
            <color indexed="81"/>
            <rFont val="Tahoma"/>
            <family val="2"/>
          </rPr>
          <t xml:space="preserve">
Strong enterprise and government demand
</t>
        </r>
      </text>
    </comment>
    <comment ref="AL30" authorId="6" shapeId="0" xr:uid="{56249239-19C1-4760-AB27-FA1A6B2934F1}">
      <text>
        <r>
          <rPr>
            <b/>
            <sz val="9"/>
            <color indexed="81"/>
            <rFont val="Tahoma"/>
            <family val="2"/>
          </rPr>
          <t>10K 2018:</t>
        </r>
        <r>
          <rPr>
            <sz val="9"/>
            <color indexed="81"/>
            <rFont val="Tahoma"/>
            <family val="2"/>
          </rPr>
          <t xml:space="preserve">
1.Platform volume growth primarily from cloud and communication service provider market segments, with higher platform ASPs from the adoption of 14nm Intel® Xeon®
Scalable processors.
2.Adjacent growth driven by the continued expansion of silicon photonics and Intel Optane memory technology in 2018.
3.When comparing 2018 to 2017, revenue from cloud service providers was up 40%, enterprise and government was up 2%, and communication service providers was up 25%
(up 28%, down 3%, and up 15%, respectively, when comparing 2017 to 2016). In Q4 2018, we saw all DCG market segments were impacted by weakness in China demand
and some cloud customers absorbing existing capacity.</t>
        </r>
      </text>
    </comment>
    <comment ref="AM30" authorId="9" shapeId="0" xr:uid="{9507EF61-E2AA-4902-8F9C-BF490CF19687}">
      <text>
        <r>
          <rPr>
            <b/>
            <sz val="9"/>
            <color indexed="81"/>
            <rFont val="Tahoma"/>
            <family val="2"/>
          </rPr>
          <t xml:space="preserve">10K 2019:
</t>
        </r>
        <r>
          <rPr>
            <sz val="9"/>
            <color indexed="81"/>
            <rFont val="Tahoma"/>
            <family val="2"/>
          </rPr>
          <t xml:space="preserve">
1.Higher platform ASPs from stronger core mix was partially offset by platform volume decline primarily from TAM contraction in the enterprise and government market segment.
2.Adjacent growth driven by the continued expansion of Intel® Silicon Photonics in 2019.
3.Comparing 2019 to 2018, revenue from cloud service providers was up 13%, enterprise and government was down 14%, and communications service providers was up 6% (up 40%, up 2%, and up 25%, respectively, comparing 2018 to 2017).</t>
        </r>
      </text>
    </comment>
    <comment ref="AN30" authorId="6" shapeId="0" xr:uid="{BF435391-37EA-4EF6-8F5C-8B538596CDB9}">
      <text>
        <r>
          <rPr>
            <b/>
            <sz val="9"/>
            <color indexed="81"/>
            <rFont val="Tahoma"/>
            <family val="2"/>
          </rPr>
          <t xml:space="preserve">10K 2020:
</t>
        </r>
        <r>
          <rPr>
            <sz val="9"/>
            <color indexed="81"/>
            <rFont val="Tahoma"/>
            <family val="2"/>
          </rPr>
          <t xml:space="preserve">1.Higher platform volume driven by strength in cloud service providers (up 20%) and continued growth in communications service  providers (up 17%), partially offset by decline in enterprise and government (down 8%) (compared to cloud service providers up 13%, communications service providers up 6%, and enterprise and government down 14% from 2019 to 2018). Cloud service providers grew over the first three quarters as they added capacity to serve demand before entering a capacity digestion cycle in the fourth quarter. The enterprise and government segment declined in the second half of the year on COVID-related macroeconomic weakness. 
2.Adjacent growth driven by 5G networking deployment.
3.Platform ASP decline driven by SoC volume growth, competitive pricing environment, and customer mix, partially offset by Xeon product mix.
</t>
        </r>
      </text>
    </comment>
    <comment ref="AO30" authorId="10" shapeId="0" xr:uid="{16C6422E-3CDF-4293-B115-A7F66436C573}">
      <text>
        <r>
          <rPr>
            <b/>
            <sz val="9"/>
            <color indexed="81"/>
            <rFont val="Tahoma"/>
            <family val="2"/>
          </rPr>
          <t xml:space="preserve">10K 2021:
</t>
        </r>
        <r>
          <rPr>
            <sz val="9"/>
            <color indexed="81"/>
            <rFont val="Tahoma"/>
            <family val="2"/>
          </rPr>
          <t xml:space="preserve">
1.Lower platform ASP driven by product mix and a competitive environment, partially offset by recovery in the enterprise and government  market segment, compared to COVID-driven lows in 2020.
2.Higher platform volume driven by recovery in the enterprise and government market segment (up 21% from 2020) and growth in the 
communications service providers market segment (up 9% from 2020), partially offset by a decline in the cloud service providers market 
segment (down 19% from 2020). (2020 compared to 2019, the cloud service providers market segment was up 20% and 
communications service providers market segment up 17%, partially offset by enterprise and government market segment down 8%). 
3.Adjacent revenue grew primarily due to the inclusion of the Intel Optane memory business and growth in Ethernet, partially offset by a 
reduction in the 5G networking volume from elevated levels in 2020.</t>
        </r>
      </text>
    </comment>
    <comment ref="C32" authorId="0" shapeId="0" xr:uid="{708C6287-F8D8-4754-A193-058BFB39E40D}">
      <text>
        <r>
          <rPr>
            <sz val="9"/>
            <color indexed="81"/>
            <rFont val="Tahoma"/>
            <family val="2"/>
          </rPr>
          <t>IOTG develops high-performance compute platforms that solve the technology needs for business use cases that scale across vertical industries and embedded markets. Our customers include retailers, manufacturers, health and life sciences providers, researchers, governments, and education providers. We reduce complexity in the ecosystem with common silicon architectures and software to help enable our customers to create, store, and process data at the edge</t>
        </r>
      </text>
    </comment>
    <comment ref="AN34" authorId="10" shapeId="0" xr:uid="{F5123CAA-9AA3-4B99-AC9B-D919D54136C1}">
      <text>
        <r>
          <rPr>
            <b/>
            <sz val="9"/>
            <color indexed="81"/>
            <rFont val="Tahoma"/>
            <family val="2"/>
          </rPr>
          <t xml:space="preserve">10K 2021:
</t>
        </r>
        <r>
          <rPr>
            <sz val="9"/>
            <color indexed="81"/>
            <rFont val="Tahoma"/>
            <family val="2"/>
          </rPr>
          <t xml:space="preserve">
Primarily driven by the economic impacts of COVID-19 with $470 million in lower ASPs 
driven by weaker core mix and $265 million driven by weaker demand for IOTG platform products. Revenue was also negatively affected 
by considerations related to the US government Entity List</t>
        </r>
      </text>
    </comment>
    <comment ref="AO34" authorId="10" shapeId="0" xr:uid="{D82C3088-E48D-4EAB-AA4B-9881341FBC58}">
      <text>
        <r>
          <rPr>
            <b/>
            <sz val="9"/>
            <color indexed="81"/>
            <rFont val="Tahoma"/>
            <family val="2"/>
          </rPr>
          <t xml:space="preserve">10K 2021:
</t>
        </r>
        <r>
          <rPr>
            <sz val="9"/>
            <color indexed="81"/>
            <rFont val="Tahoma"/>
            <family val="2"/>
          </rPr>
          <t xml:space="preserve">
Driven by $1.1 billion related to higher demand for IOTG platform products amid recovery 
from the economic impacts of COVID-19, partially offset by $115 million due to lower ASPs.</t>
        </r>
      </text>
    </comment>
    <comment ref="V35" authorId="2" shapeId="0" xr:uid="{FCE7BC4A-6613-4508-8070-D91BDFF0EEF1}">
      <text>
        <r>
          <rPr>
            <b/>
            <sz val="9"/>
            <color indexed="81"/>
            <rFont val="Tahoma"/>
            <family val="2"/>
          </rPr>
          <t>Q2'20 Transcript:</t>
        </r>
        <r>
          <rPr>
            <sz val="9"/>
            <color indexed="81"/>
            <rFont val="Tahoma"/>
            <family val="2"/>
          </rPr>
          <t xml:space="preserve">
primarily on lower revenue from industrial, retail and vision segments</t>
        </r>
      </text>
    </comment>
    <comment ref="X35" authorId="3" shapeId="0" xr:uid="{597BF524-E629-4F64-BDF8-554934024C92}">
      <text>
        <r>
          <rPr>
            <b/>
            <sz val="9"/>
            <color indexed="81"/>
            <rFont val="Tahoma"/>
            <family val="2"/>
          </rPr>
          <t>Q4'20 Transcript:</t>
        </r>
        <r>
          <rPr>
            <sz val="9"/>
            <color indexed="81"/>
            <rFont val="Tahoma"/>
            <family val="2"/>
          </rPr>
          <t xml:space="preserve">
due to COVID effects on demand.</t>
        </r>
      </text>
    </comment>
    <comment ref="Z35" authorId="5" shapeId="0" xr:uid="{048FE4BD-63FB-4D21-8351-6574079599CF}">
      <text>
        <r>
          <rPr>
            <b/>
            <sz val="9"/>
            <color indexed="81"/>
            <rFont val="Tahoma"/>
            <family val="2"/>
          </rPr>
          <t>Q2'21 Transcript:</t>
        </r>
        <r>
          <rPr>
            <sz val="9"/>
            <color indexed="81"/>
            <rFont val="Tahoma"/>
            <family val="2"/>
          </rPr>
          <t xml:space="preserve">
recovery from COVID-driven lows and strength in retail segment</t>
        </r>
      </text>
    </comment>
    <comment ref="AA35" authorId="1" shapeId="0" xr:uid="{3F1E6501-024B-40AC-BE17-E6C8E5FD8A92}">
      <text>
        <r>
          <rPr>
            <b/>
            <sz val="9"/>
            <color indexed="81"/>
            <rFont val="Tahoma"/>
            <family val="2"/>
          </rPr>
          <t>Q3'21 Transcript:</t>
        </r>
        <r>
          <rPr>
            <sz val="9"/>
            <color indexed="81"/>
            <rFont val="Tahoma"/>
            <family val="2"/>
          </rPr>
          <t xml:space="preserve">
on a broad-based recovery from COVID-driven lows with particular strength in the industrial and retail segments.</t>
        </r>
      </text>
    </comment>
    <comment ref="AB35" authorId="8" shapeId="0" xr:uid="{F05CD88B-6448-4E10-BB57-8C97B5636BB8}">
      <text>
        <r>
          <rPr>
            <b/>
            <sz val="9"/>
            <color indexed="81"/>
            <rFont val="Tahoma"/>
            <family val="2"/>
          </rPr>
          <t>Q4'21 Transcript:</t>
        </r>
        <r>
          <rPr>
            <sz val="9"/>
            <color indexed="81"/>
            <rFont val="Tahoma"/>
            <family val="2"/>
          </rPr>
          <t xml:space="preserve">
led by the industrial and retail segments.</t>
        </r>
      </text>
    </comment>
    <comment ref="AO35" authorId="8" shapeId="0" xr:uid="{617F0D32-DE5A-4C1C-A7B9-8A1D434B1FAE}">
      <text>
        <r>
          <rPr>
            <b/>
            <sz val="9"/>
            <color indexed="81"/>
            <rFont val="Tahoma"/>
            <family val="2"/>
          </rPr>
          <t>Q4'21 Transcript:</t>
        </r>
        <r>
          <rPr>
            <sz val="9"/>
            <color indexed="81"/>
            <rFont val="Tahoma"/>
            <family val="2"/>
          </rPr>
          <t xml:space="preserve">
business saw a strong recovery from COVID-related impacts</t>
        </r>
      </text>
    </comment>
    <comment ref="AP35" authorId="0" shapeId="0" xr:uid="{F7F1FC7E-5D00-4155-9B26-36205D80F27E}">
      <text>
        <r>
          <rPr>
            <sz val="9"/>
            <color indexed="81"/>
            <rFont val="Tahoma"/>
            <family val="2"/>
          </rPr>
          <t>IoT semiconductors come with unique requirements that traditional semiconductors don’t have. S</t>
        </r>
        <r>
          <rPr>
            <b/>
            <sz val="9"/>
            <color indexed="81"/>
            <rFont val="Tahoma"/>
            <family val="2"/>
          </rPr>
          <t>mart devices require things like ultra-low power, built-in security and smaller form factors that their semiconductors must provide or enable</t>
        </r>
        <r>
          <rPr>
            <sz val="9"/>
            <color indexed="81"/>
            <rFont val="Tahoma"/>
            <family val="2"/>
          </rPr>
          <t xml:space="preserve">. As the IoT grows, these components have likewise skyrocketed in popularity.
PWC Report:
Smart watches, fitness bands and trackers, smart glasses are part of IoT. The IoT is manifesting itself in technologies beyond consumer electronics in other markets and applications too. The rapid advances being demonstrated through self-driving cars and drones are just the beginning of the endless
possibilities that a network of smart connected devices can bring to improving human productivity, safety, and overall quality of life
Intel’s IoTG consists mostly of MPUs and chipsets sold into verticals outside of traditional PCs, tablets, and servers.
Lower-cost chips (such as microcontrollers (MCUs) connectivity chips, and sensor chips) will likely account for most of the overall IoT semi consumption. Intel will benefir from this along with the compute side as all the IoT devices coming online require infrastructure to analyze the large amounts of data collected from various sensors embedded into each device. As a result, Intel’s networking/data center MPUs should benefit. 
According to Intel, its competitors in IoT are Qualcomm, NXP, Texas Instruments, AMD and Microchip.
</t>
        </r>
        <r>
          <rPr>
            <b/>
            <sz val="9"/>
            <color indexed="81"/>
            <rFont val="Tahoma"/>
            <family val="2"/>
          </rPr>
          <t xml:space="preserve">
Intel Edge, Cloud Computing, Compute Vision, and Robotics are the four ways to support IoT projects and Intel is positioning itself in all four.</t>
        </r>
        <r>
          <rPr>
            <sz val="9"/>
            <color indexed="81"/>
            <rFont val="Tahoma"/>
            <family val="2"/>
          </rPr>
          <t xml:space="preserve">
</t>
        </r>
        <r>
          <rPr>
            <b/>
            <sz val="9"/>
            <color indexed="81"/>
            <rFont val="Tahoma"/>
            <family val="2"/>
          </rPr>
          <t xml:space="preserve">
Intels holds 40% share of the 5G infrastructure market which is expected to reach $80B in 5 years, The market is projected to be worth $25 Billion by 2023 and is already projected to more than triple by 2027</t>
        </r>
        <r>
          <rPr>
            <sz val="9"/>
            <color indexed="81"/>
            <rFont val="Tahoma"/>
            <family val="2"/>
          </rPr>
          <t xml:space="preserve">
https://www.globenewswire.com/news-release/2021/10/08/2310911/0/en/5G-Infrastructure-Market-to-Reach-80-06-Billion-by-2027-Rising-Demand-for-Seamless-Connectivity-will-Provide-Impetus-to-Market-Growth-says-Fortune-Business-Insights.html
https://www.rcrwireless.com/20210125/5g/intel-claims-40-percent-share-in-5g-infrastructure-silicon</t>
        </r>
      </text>
    </comment>
    <comment ref="AN37" authorId="10" shapeId="0" xr:uid="{5B5602EC-2144-4F61-9612-D97DF2A0C2DC}">
      <text>
        <r>
          <rPr>
            <b/>
            <sz val="9"/>
            <color indexed="81"/>
            <rFont val="Tahoma"/>
            <family val="2"/>
          </rPr>
          <t xml:space="preserve">10K 2021:
</t>
        </r>
        <r>
          <rPr>
            <sz val="9"/>
            <color indexed="81"/>
            <rFont val="Tahoma"/>
            <family val="2"/>
          </rPr>
          <t xml:space="preserve">
Driven by higher demand from improved global vehicle production in the second half of 
2020, offsetting the decline in production experienced in the first half of the year due to the effects of the COVID-19 pandemic</t>
        </r>
      </text>
    </comment>
    <comment ref="AO37" authorId="10" shapeId="0" xr:uid="{908AD84A-15C7-4EDE-B353-620121C21F14}">
      <text>
        <r>
          <rPr>
            <b/>
            <sz val="9"/>
            <color indexed="81"/>
            <rFont val="Tahoma"/>
            <family val="2"/>
          </rPr>
          <t xml:space="preserve">10K 2021:
</t>
        </r>
        <r>
          <rPr>
            <sz val="9"/>
            <color indexed="81"/>
            <rFont val="Tahoma"/>
            <family val="2"/>
          </rPr>
          <t xml:space="preserve">
Driven by improvement in global vehicle production, recovery from the economic impacts of COVID-19, and increasing adoption of ADAS compared to 2020.</t>
        </r>
      </text>
    </comment>
    <comment ref="V38" authorId="2" shapeId="0" xr:uid="{FC294FF0-CFDB-4A8B-957E-76C601A9F023}">
      <text>
        <r>
          <rPr>
            <b/>
            <sz val="9"/>
            <color indexed="81"/>
            <rFont val="Tahoma"/>
            <family val="2"/>
          </rPr>
          <t>Q2'20 Transcript:</t>
        </r>
        <r>
          <rPr>
            <sz val="9"/>
            <color indexed="81"/>
            <rFont val="Tahoma"/>
            <family val="2"/>
          </rPr>
          <t xml:space="preserve">
Due to decline in global auto sales more than offset continued ADAS penetration and new IQ
program launches</t>
        </r>
      </text>
    </comment>
    <comment ref="X38" authorId="3" shapeId="0" xr:uid="{3DDC213F-690D-41A2-AB39-E93B2E8D8B88}">
      <text>
        <r>
          <rPr>
            <b/>
            <sz val="9"/>
            <color indexed="81"/>
            <rFont val="Tahoma"/>
            <family val="2"/>
          </rPr>
          <t>Q4'20 Transcript:</t>
        </r>
        <r>
          <rPr>
            <sz val="9"/>
            <color indexed="81"/>
            <rFont val="Tahoma"/>
            <family val="2"/>
          </rPr>
          <t xml:space="preserve">
IQ SoC demand continues to be strong</t>
        </r>
      </text>
    </comment>
    <comment ref="Y38" authorId="4" shapeId="0" xr:uid="{7A9F4336-5808-44E2-AE79-63AE895E4C70}">
      <text>
        <r>
          <rPr>
            <b/>
            <sz val="9"/>
            <color indexed="81"/>
            <rFont val="Tahoma"/>
            <family val="2"/>
          </rPr>
          <t>Q1'21 Transcript:</t>
        </r>
        <r>
          <rPr>
            <sz val="9"/>
            <color indexed="81"/>
            <rFont val="Tahoma"/>
            <family val="2"/>
          </rPr>
          <t xml:space="preserve">
Continues to
execute well and gain market segment share as the auto industry recovers from pandemic blows</t>
        </r>
      </text>
    </comment>
    <comment ref="Z38" authorId="5" shapeId="0" xr:uid="{429136DF-B268-4522-BC12-D1C545D81761}">
      <text>
        <r>
          <rPr>
            <b/>
            <sz val="9"/>
            <color indexed="81"/>
            <rFont val="Tahoma"/>
            <family val="2"/>
          </rPr>
          <t>Q2'21 Transcript:</t>
        </r>
        <r>
          <rPr>
            <sz val="9"/>
            <color indexed="81"/>
            <rFont val="Tahoma"/>
            <family val="2"/>
          </rPr>
          <t xml:space="preserve">
due to COVID-related slowdowns at automotive OEMs</t>
        </r>
      </text>
    </comment>
    <comment ref="AB38" authorId="1" shapeId="0" xr:uid="{6F5C3A92-3CDF-4DE5-8A7B-1902DF8CAFA3}">
      <text>
        <r>
          <rPr>
            <b/>
            <sz val="9"/>
            <color indexed="81"/>
            <rFont val="Tahoma"/>
            <family val="2"/>
          </rPr>
          <t>Q4'21 Transcript:</t>
        </r>
        <r>
          <rPr>
            <sz val="9"/>
            <color indexed="81"/>
            <rFont val="Tahoma"/>
            <family val="2"/>
          </rPr>
          <t xml:space="preserve">
industry-wide supply
constraints continue to severely limit revenue growth</t>
        </r>
      </text>
    </comment>
    <comment ref="AB41" authorId="1" shapeId="0" xr:uid="{8DA6796C-321F-424D-8EB2-48946E2F4ECB}">
      <text>
        <r>
          <rPr>
            <b/>
            <sz val="9"/>
            <color indexed="81"/>
            <rFont val="Tahoma"/>
            <family val="2"/>
          </rPr>
          <t>Q4'21 Transcript:</t>
        </r>
        <r>
          <rPr>
            <sz val="9"/>
            <color indexed="81"/>
            <rFont val="Tahoma"/>
            <family val="2"/>
          </rPr>
          <t xml:space="preserve">
led by the industrial and retail segments</t>
        </r>
      </text>
    </comment>
    <comment ref="AN41" authorId="3" shapeId="0" xr:uid="{649BF0CA-82FB-487F-89BF-683271061639}">
      <text>
        <r>
          <rPr>
            <b/>
            <sz val="9"/>
            <color indexed="81"/>
            <rFont val="Tahoma"/>
            <family val="2"/>
          </rPr>
          <t>Q4'20 Transcript:</t>
        </r>
        <r>
          <rPr>
            <sz val="9"/>
            <color indexed="81"/>
            <rFont val="Tahoma"/>
            <family val="2"/>
          </rPr>
          <t xml:space="preserve">
Due to COVID effects on demand</t>
        </r>
      </text>
    </comment>
    <comment ref="AO41" authorId="1" shapeId="0" xr:uid="{545BD560-4577-4E5C-A968-78E9E1E85697}">
      <text>
        <r>
          <rPr>
            <b/>
            <sz val="9"/>
            <color indexed="81"/>
            <rFont val="Tahoma"/>
            <family val="2"/>
          </rPr>
          <t>Q4'21 Transcript:</t>
        </r>
        <r>
          <rPr>
            <sz val="9"/>
            <color indexed="81"/>
            <rFont val="Tahoma"/>
            <family val="2"/>
          </rPr>
          <t xml:space="preserve">
strong recovery from
COVID-related impacts.</t>
        </r>
      </text>
    </comment>
    <comment ref="C43" authorId="0" shapeId="0" xr:uid="{2DBD91F4-4CD4-41A9-A8D6-0A74425B4FCC}">
      <text>
        <r>
          <rPr>
            <sz val="9"/>
            <color indexed="81"/>
            <rFont val="Tahoma"/>
            <family val="2"/>
          </rPr>
          <t>In October 2020, we signed an agreement with SK hynix Inc. (SK hynix) to divest our NAND memory business for $9.0 billion in cash</t>
        </r>
      </text>
    </comment>
    <comment ref="AL43" authorId="6" shapeId="0" xr:uid="{5B332563-7A8D-46E8-992E-9B4FA1177EC9}">
      <text>
        <r>
          <rPr>
            <b/>
            <sz val="9"/>
            <color indexed="81"/>
            <rFont val="Tahoma"/>
            <family val="2"/>
          </rPr>
          <t xml:space="preserve">10K 2019:
</t>
        </r>
        <r>
          <rPr>
            <sz val="9"/>
            <color indexed="81"/>
            <rFont val="Tahoma"/>
            <family val="2"/>
          </rPr>
          <t xml:space="preserve">
Driven by a $2.6 billion increase in unit sales due to strong demand in data center and client SSD and the ramp of Intel® Optane™ technology products, partially offset by $1.8 billion lower ASP due to NAND market pricing weakness and mix of products sold.</t>
        </r>
      </text>
    </comment>
    <comment ref="AM43" authorId="6" shapeId="0" xr:uid="{9014C675-FA44-4EE2-88A7-595A8CFECB1F}">
      <text>
        <r>
          <rPr>
            <b/>
            <sz val="9"/>
            <color indexed="81"/>
            <rFont val="Tahoma"/>
            <family val="2"/>
          </rPr>
          <t>10K 2019:</t>
        </r>
        <r>
          <rPr>
            <sz val="9"/>
            <color indexed="81"/>
            <rFont val="Tahoma"/>
            <family val="2"/>
          </rPr>
          <t xml:space="preserve">
Driven by a $3.9 billion increase in unit sales due to an increase in demand for NAND products, offset by a $3.8 billion impact from lower ASP due to lower NAND market pricing.</t>
        </r>
      </text>
    </comment>
    <comment ref="AN43" authorId="10" shapeId="0" xr:uid="{6A358DBF-6E35-4D24-B7EC-9A319CE844B4}">
      <text>
        <r>
          <rPr>
            <b/>
            <sz val="9"/>
            <color indexed="81"/>
            <rFont val="Tahoma"/>
            <family val="2"/>
          </rPr>
          <t xml:space="preserve">10K 2021:
</t>
        </r>
        <r>
          <rPr>
            <sz val="9"/>
            <color indexed="81"/>
            <rFont val="Tahoma"/>
            <family val="2"/>
          </rPr>
          <t xml:space="preserve">
Revenue increased $996 million, driven by $716 million higher ASP from improved NAND pricing and $280 million from improved overall demand</t>
        </r>
      </text>
    </comment>
    <comment ref="AO43" authorId="10" shapeId="0" xr:uid="{72553778-0677-4609-AEBC-0253EED1CABE}">
      <text>
        <r>
          <rPr>
            <b/>
            <sz val="9"/>
            <color indexed="81"/>
            <rFont val="Tahoma"/>
            <family val="2"/>
          </rPr>
          <t xml:space="preserve">10K 2021:
</t>
        </r>
        <r>
          <rPr>
            <sz val="9"/>
            <color indexed="81"/>
            <rFont val="Tahoma"/>
            <family val="2"/>
          </rPr>
          <t xml:space="preserve">
Driven by $712 million lower ASPs due to market softness and pricing pressure and $392 million due to 
the transfer of the Intel Optane memory business to DCG.</t>
        </r>
      </text>
    </comment>
    <comment ref="V44" authorId="2" shapeId="0" xr:uid="{CB73CA17-FCD7-4BA8-A5F0-A0AED09A4DD4}">
      <text>
        <r>
          <rPr>
            <b/>
            <sz val="9"/>
            <color indexed="81"/>
            <rFont val="Tahoma"/>
            <family val="2"/>
          </rPr>
          <t>Q2'20 Transcript:</t>
        </r>
        <r>
          <rPr>
            <sz val="9"/>
            <color indexed="81"/>
            <rFont val="Tahoma"/>
            <family val="2"/>
          </rPr>
          <t xml:space="preserve">
Due to strong NAND bit growth and improved pricing</t>
        </r>
      </text>
    </comment>
    <comment ref="X44" authorId="3" shapeId="0" xr:uid="{1EF63E6E-68F1-477D-8D8B-6744414042F1}">
      <text>
        <r>
          <rPr>
            <b/>
            <sz val="9"/>
            <color indexed="81"/>
            <rFont val="Tahoma"/>
            <family val="2"/>
          </rPr>
          <t>Q4'20 Transcript:</t>
        </r>
        <r>
          <rPr>
            <sz val="9"/>
            <color indexed="81"/>
            <rFont val="Tahoma"/>
            <family val="2"/>
          </rPr>
          <t xml:space="preserve">
Due to lower ASPs, partially offset by higher volume growth</t>
        </r>
      </text>
    </comment>
    <comment ref="Z44" authorId="5" shapeId="0" xr:uid="{0FF782FF-3797-41FE-8AB9-88CD2BFA8013}">
      <text>
        <r>
          <rPr>
            <b/>
            <sz val="9"/>
            <color indexed="81"/>
            <rFont val="Tahoma"/>
            <family val="2"/>
          </rPr>
          <t>Q2'21 Transcript:</t>
        </r>
        <r>
          <rPr>
            <sz val="9"/>
            <color indexed="81"/>
            <rFont val="Tahoma"/>
            <family val="2"/>
          </rPr>
          <t xml:space="preserve">
due to significant supply constraints. Demand continues to significantly exceed supply for FPGAs</t>
        </r>
      </text>
    </comment>
    <comment ref="AL46" authorId="6" shapeId="0" xr:uid="{91E80219-678B-46C4-B12D-6A93B1376B09}">
      <text>
        <r>
          <rPr>
            <b/>
            <sz val="9"/>
            <color indexed="81"/>
            <rFont val="Tahoma"/>
            <family val="2"/>
          </rPr>
          <t xml:space="preserve">10K 2019:
</t>
        </r>
        <r>
          <rPr>
            <sz val="9"/>
            <color indexed="81"/>
            <rFont val="Tahoma"/>
            <family val="2"/>
          </rPr>
          <t xml:space="preserve">
Driven by growth in the data center market segment and our advanced products (28nm, 20nm, and 14nm process technologies), which grew approximately 60% from 2017.</t>
        </r>
      </text>
    </comment>
    <comment ref="AM46" authorId="6" shapeId="0" xr:uid="{F2BA5417-B999-4099-81B9-7EAF40ED2CA0}">
      <text>
        <r>
          <rPr>
            <b/>
            <sz val="9"/>
            <color indexed="81"/>
            <rFont val="Tahoma"/>
            <family val="2"/>
          </rPr>
          <t xml:space="preserve">10K 2019:
</t>
        </r>
        <r>
          <rPr>
            <sz val="9"/>
            <color indexed="81"/>
            <rFont val="Tahoma"/>
            <family val="2"/>
          </rPr>
          <t xml:space="preserve">
Driven by a decline in our cloud and enterprise market segment, offset by strength in wireless and advanced products.</t>
        </r>
      </text>
    </comment>
    <comment ref="AN46" authorId="10" shapeId="0" xr:uid="{584FC6F6-4A17-47D9-876C-65323FB64D78}">
      <text>
        <r>
          <rPr>
            <b/>
            <sz val="9"/>
            <color indexed="81"/>
            <rFont val="Tahoma"/>
            <family val="2"/>
          </rPr>
          <t xml:space="preserve">10K 2021:
</t>
        </r>
        <r>
          <rPr>
            <sz val="9"/>
            <color indexed="81"/>
            <rFont val="Tahoma"/>
            <family val="2"/>
          </rPr>
          <t xml:space="preserve">
Driven by a decline in our communications market segment due to customer transition to 5G ASICs that 
benefited DCG adjacencies, and decline in our embedded market segment. The decline was partially offset by strength in the cloud and enterprise market segment.</t>
        </r>
      </text>
    </comment>
    <comment ref="AO46" authorId="10" shapeId="0" xr:uid="{8226109A-AF80-4CE7-89FE-09768FD7A764}">
      <text>
        <r>
          <rPr>
            <b/>
            <sz val="9"/>
            <color indexed="81"/>
            <rFont val="Tahoma"/>
            <family val="2"/>
          </rPr>
          <t xml:space="preserve">10K 2021:
</t>
        </r>
        <r>
          <rPr>
            <sz val="9"/>
            <color indexed="81"/>
            <rFont val="Tahoma"/>
            <family val="2"/>
          </rPr>
          <t xml:space="preserve">
Driven by recovery in the embedded and communications market segments from COVID-19 lows, partially offset by customer inventory digestion in the cloud market segment.</t>
        </r>
      </text>
    </comment>
    <comment ref="V47" authorId="2" shapeId="0" xr:uid="{25253DC8-13F0-413A-98D5-AE738F30EAD5}">
      <text>
        <r>
          <rPr>
            <b/>
            <sz val="9"/>
            <color indexed="81"/>
            <rFont val="Tahoma"/>
            <family val="2"/>
          </rPr>
          <t>Q2'20 Transcript:</t>
        </r>
        <r>
          <rPr>
            <sz val="9"/>
            <color indexed="81"/>
            <rFont val="Tahoma"/>
            <family val="2"/>
          </rPr>
          <t xml:space="preserve">
Due to cloud strength, which was partially offset by weaker demand from embedded and communications segments</t>
        </r>
      </text>
    </comment>
    <comment ref="X47" authorId="3" shapeId="0" xr:uid="{221A5223-A4B3-475C-BDF1-28047FEA052B}">
      <text>
        <r>
          <rPr>
            <b/>
            <sz val="9"/>
            <color indexed="81"/>
            <rFont val="Tahoma"/>
            <family val="2"/>
          </rPr>
          <t>Q4'20 Transcript:</t>
        </r>
        <r>
          <rPr>
            <sz val="9"/>
            <color indexed="81"/>
            <rFont val="Tahoma"/>
            <family val="2"/>
          </rPr>
          <t xml:space="preserve">
due mostly to 5G ASIC transitions at key accounts in the communications segment.</t>
        </r>
      </text>
    </comment>
    <comment ref="Z47" authorId="5" shapeId="0" xr:uid="{66890E8C-499E-451C-A568-02AEB92B2F2E}">
      <text>
        <r>
          <rPr>
            <b/>
            <sz val="9"/>
            <color indexed="81"/>
            <rFont val="Tahoma"/>
            <family val="2"/>
          </rPr>
          <t>Q2'21 Transcript:</t>
        </r>
        <r>
          <rPr>
            <sz val="9"/>
            <color indexed="81"/>
            <rFont val="Tahoma"/>
            <family val="2"/>
          </rPr>
          <t xml:space="preserve">
due to significant supply constraints. Demand continues to significantly exceed supply for FPGAs</t>
        </r>
      </text>
    </comment>
    <comment ref="AB47" authorId="1" shapeId="0" xr:uid="{59245E02-2567-4D43-8B60-37577D6AD352}">
      <text>
        <r>
          <rPr>
            <b/>
            <sz val="9"/>
            <color indexed="81"/>
            <rFont val="Tahoma"/>
            <family val="2"/>
          </rPr>
          <t>Q4'21 Transcript:</t>
        </r>
        <r>
          <rPr>
            <sz val="9"/>
            <color indexed="81"/>
            <rFont val="Tahoma"/>
            <family val="2"/>
          </rPr>
          <t xml:space="preserve">
industry-wide supply
constraints continue to severely limit revenue growth</t>
        </r>
      </text>
    </comment>
    <comment ref="V50" authorId="2" shapeId="0" xr:uid="{281E6D17-F3B5-4DE1-8E82-8ED73E81E633}">
      <text>
        <r>
          <rPr>
            <b/>
            <sz val="9"/>
            <color indexed="81"/>
            <rFont val="Tahoma"/>
            <family val="2"/>
          </rPr>
          <t>Q2'20 Transcript:</t>
        </r>
        <r>
          <rPr>
            <sz val="9"/>
            <color indexed="81"/>
            <rFont val="Tahoma"/>
            <family val="2"/>
          </rPr>
          <t xml:space="preserve">
Due to cloud strength, which was partially offset by weaker demand from embedded and communications segments</t>
        </r>
      </text>
    </comment>
    <comment ref="X50" authorId="3" shapeId="0" xr:uid="{E45842A7-C291-475E-A458-237D9AE9480D}">
      <text>
        <r>
          <rPr>
            <b/>
            <sz val="9"/>
            <color indexed="81"/>
            <rFont val="Tahoma"/>
            <family val="2"/>
          </rPr>
          <t>Q4'20 Transcript:</t>
        </r>
        <r>
          <rPr>
            <sz val="9"/>
            <color indexed="81"/>
            <rFont val="Tahoma"/>
            <family val="2"/>
          </rPr>
          <t xml:space="preserve">
due mostly to 5G ASIC transitions at key accounts in the communications segment.</t>
        </r>
      </text>
    </comment>
    <comment ref="Z50" authorId="5" shapeId="0" xr:uid="{448BDE67-9133-4844-B725-BCAE2705DD22}">
      <text>
        <r>
          <rPr>
            <b/>
            <sz val="9"/>
            <color indexed="81"/>
            <rFont val="Tahoma"/>
            <family val="2"/>
          </rPr>
          <t>Q2'21 Transcript:</t>
        </r>
        <r>
          <rPr>
            <sz val="9"/>
            <color indexed="81"/>
            <rFont val="Tahoma"/>
            <family val="2"/>
          </rPr>
          <t xml:space="preserve">
due to significant supply constraints. Demand continues to significantly exceed supply for FPGAs</t>
        </r>
      </text>
    </comment>
    <comment ref="AA83" authorId="1" shapeId="0" xr:uid="{F250F697-8376-4850-A0AF-F0AD79610A44}">
      <text>
        <r>
          <rPr>
            <b/>
            <sz val="9"/>
            <color indexed="81"/>
            <rFont val="Tahoma"/>
            <family val="2"/>
          </rPr>
          <t>Q3'21 Transcript:</t>
        </r>
        <r>
          <rPr>
            <sz val="9"/>
            <color indexed="81"/>
            <rFont val="Tahoma"/>
            <family val="2"/>
          </rPr>
          <t xml:space="preserve">
primarily due to increased investments in our technology and
product road map</t>
        </r>
      </text>
    </comment>
    <comment ref="V84" authorId="2" shapeId="0" xr:uid="{6630410E-D6B2-4867-B1FE-D893B76BA26A}">
      <text>
        <r>
          <rPr>
            <b/>
            <sz val="9"/>
            <color indexed="81"/>
            <rFont val="Tahoma"/>
            <family val="2"/>
          </rPr>
          <t>Q2'20 Transcript:</t>
        </r>
        <r>
          <rPr>
            <sz val="9"/>
            <color indexed="81"/>
            <rFont val="Tahoma"/>
            <family val="2"/>
          </rPr>
          <t xml:space="preserve">
Higher unit costs associated with the ramp of 10-nanometer products and
the pre-PRQ reserves ahead of our Q3 Tiger Lake launch more than offset the benefits of higher revenue</t>
        </r>
      </text>
    </comment>
    <comment ref="Y84" authorId="4" shapeId="0" xr:uid="{42470CF6-0540-4DA4-8FF0-F301040A2675}">
      <text>
        <r>
          <rPr>
            <b/>
            <sz val="9"/>
            <color indexed="81"/>
            <rFont val="Tahoma"/>
            <family val="2"/>
          </rPr>
          <t>Q1'21 Transcript:</t>
        </r>
        <r>
          <rPr>
            <sz val="9"/>
            <color indexed="81"/>
            <rFont val="Tahoma"/>
            <family val="2"/>
          </rPr>
          <t xml:space="preserve">
higher 10-nanometer mix and increased R&amp;D investment.</t>
        </r>
      </text>
    </comment>
    <comment ref="Z84" authorId="5" shapeId="0" xr:uid="{39678047-E768-48DF-AF9E-97A4C561AFC0}">
      <text>
        <r>
          <rPr>
            <b/>
            <sz val="9"/>
            <color indexed="81"/>
            <rFont val="Tahoma"/>
            <family val="2"/>
          </rPr>
          <t>Q2'21 Transcript:</t>
        </r>
        <r>
          <rPr>
            <sz val="9"/>
            <color indexed="81"/>
            <rFont val="Tahoma"/>
            <family val="2"/>
          </rPr>
          <t xml:space="preserve">
higher revenue,
lower inventory reserves and reduced 10-nanometer cost.</t>
        </r>
      </text>
    </comment>
    <comment ref="AL84" authorId="6" shapeId="0" xr:uid="{3FD7FA96-3016-40D8-AAD8-6A1E90E5231C}">
      <text>
        <r>
          <rPr>
            <b/>
            <sz val="9"/>
            <color indexed="81"/>
            <rFont val="Tahoma"/>
            <family val="2"/>
          </rPr>
          <t xml:space="preserve">10K 2019:
</t>
        </r>
        <r>
          <rPr>
            <sz val="9"/>
            <color indexed="81"/>
            <rFont val="Tahoma"/>
            <family val="2"/>
          </rPr>
          <t xml:space="preserve">
1.Higher gross margin from platform revenue
2.Lower operating expenses.
3.Higher platform unit cost due to increased mix to performance products</t>
        </r>
      </text>
    </comment>
    <comment ref="AM84" authorId="6" shapeId="0" xr:uid="{9976DB82-9E03-4AD1-83FE-A539CDA4A0AD}">
      <text>
        <r>
          <rPr>
            <b/>
            <sz val="9"/>
            <color indexed="81"/>
            <rFont val="Tahoma"/>
            <family val="2"/>
          </rPr>
          <t xml:space="preserve">10K 2019:
</t>
        </r>
        <r>
          <rPr>
            <sz val="9"/>
            <color indexed="81"/>
            <rFont val="Tahoma"/>
            <family val="2"/>
          </rPr>
          <t xml:space="preserve">
1.Lower period charges primarily due to lower factory start-up costs and sell-through of previously reserved non-qualified platform product associated with
our 10nm process technology
2.Lower operating expenses primarily driven by lower investment in modem
3.Higher platform unit cost</t>
        </r>
      </text>
    </comment>
    <comment ref="AN84" authorId="10" shapeId="0" xr:uid="{C0659843-C36F-426D-8563-920DF07B137B}">
      <text>
        <r>
          <rPr>
            <b/>
            <sz val="9"/>
            <color indexed="81"/>
            <rFont val="Tahoma"/>
            <family val="2"/>
          </rPr>
          <t xml:space="preserve">10K 2021:
</t>
        </r>
        <r>
          <rPr>
            <sz val="9"/>
            <color indexed="81"/>
            <rFont val="Tahoma"/>
            <family val="2"/>
          </rPr>
          <t xml:space="preserve">
1.Higher platform unit cost primarily from increased mix of 10nm products
2.Primarily driven by higher logistic expenses due to COVID-19
3.Higher gross margin from platform revenue
Lower operating expenses
</t>
        </r>
      </text>
    </comment>
    <comment ref="AO84" authorId="10" shapeId="0" xr:uid="{CDD7F776-845B-463D-AA5C-8DCD370FDB86}">
      <text>
        <r>
          <rPr>
            <b/>
            <sz val="9"/>
            <color indexed="81"/>
            <rFont val="Tahoma"/>
            <family val="2"/>
          </rPr>
          <t xml:space="preserve">10K 2021:
</t>
        </r>
        <r>
          <rPr>
            <sz val="9"/>
            <color indexed="81"/>
            <rFont val="Tahoma"/>
            <family val="2"/>
          </rPr>
          <t xml:space="preserve">
1.Higher operating expenses driven by increased investment in leadership products.
2.Higher period charges primarily associated with the ramp up of Intel 4
3.Higher gross margin from platform revenue
4.Lower platform unit cost primarily due to cost improvements in 10nm SuperFin</t>
        </r>
      </text>
    </comment>
    <comment ref="W88" authorId="11" shapeId="0" xr:uid="{B94EE333-609B-45CB-8B1A-17399E8B4040}">
      <text>
        <r>
          <rPr>
            <b/>
            <sz val="9"/>
            <color indexed="81"/>
            <rFont val="Tahoma"/>
            <family val="2"/>
          </rPr>
          <t>Q3'20 Transcript:</t>
        </r>
        <r>
          <rPr>
            <sz val="9"/>
            <color indexed="81"/>
            <rFont val="Tahoma"/>
            <family val="2"/>
          </rPr>
          <t xml:space="preserve">
Due to enterprise and government weakness and the ramp of 10-nanometer 5G base station SoCs and pre-PRQ reserves on our Ice Lake server product.</t>
        </r>
      </text>
    </comment>
    <comment ref="X88" authorId="3" shapeId="0" xr:uid="{2F5D1B23-FEF4-4299-81EE-9B58082B5E77}">
      <text>
        <r>
          <rPr>
            <b/>
            <sz val="9"/>
            <color indexed="81"/>
            <rFont val="Tahoma"/>
            <family val="2"/>
          </rPr>
          <t>Q4'20 Transcript:</t>
        </r>
        <r>
          <rPr>
            <sz val="9"/>
            <color indexed="81"/>
            <rFont val="Tahoma"/>
            <family val="2"/>
          </rPr>
          <t xml:space="preserve">
Lower revenue and increased invetsments</t>
        </r>
      </text>
    </comment>
    <comment ref="Y88" authorId="4" shapeId="0" xr:uid="{B56022AB-2CA2-4F39-AC75-0E9317A73449}">
      <text>
        <r>
          <rPr>
            <b/>
            <sz val="9"/>
            <color indexed="81"/>
            <rFont val="Tahoma"/>
            <family val="2"/>
          </rPr>
          <t>Q1'21 Transcript:</t>
        </r>
        <r>
          <rPr>
            <sz val="9"/>
            <color indexed="81"/>
            <rFont val="Tahoma"/>
            <family val="2"/>
          </rPr>
          <t xml:space="preserve">
On lower revenue, transition to 10 nanometer, and increased R&amp;D investment in our Xeon road map</t>
        </r>
      </text>
    </comment>
    <comment ref="Z88" authorId="5" shapeId="0" xr:uid="{C2367DA2-39B0-469D-AE83-19936B8E3AE1}">
      <text>
        <r>
          <rPr>
            <b/>
            <sz val="9"/>
            <color indexed="81"/>
            <rFont val="Tahoma"/>
            <family val="2"/>
          </rPr>
          <t>Q2'21 Transcript:</t>
        </r>
        <r>
          <rPr>
            <sz val="9"/>
            <color indexed="81"/>
            <rFont val="Tahoma"/>
            <family val="2"/>
          </rPr>
          <t xml:space="preserve">
primarily on lower revenue, the 10-nanometer production ramp and increased R&amp;D investment.</t>
        </r>
      </text>
    </comment>
    <comment ref="AA88" authorId="1" shapeId="0" xr:uid="{43785A73-5EE8-46C5-A5F2-42A74401D761}">
      <text>
        <r>
          <rPr>
            <b/>
            <sz val="9"/>
            <color indexed="81"/>
            <rFont val="Tahoma"/>
            <family val="2"/>
          </rPr>
          <t>Q3'21 Transcript:</t>
        </r>
        <r>
          <rPr>
            <sz val="9"/>
            <color indexed="81"/>
            <rFont val="Tahoma"/>
            <family val="2"/>
          </rPr>
          <t xml:space="preserve">
on higher revenue, partially offset by increased investments in our technology and product road map.</t>
        </r>
      </text>
    </comment>
    <comment ref="AB88" authorId="1" shapeId="0" xr:uid="{0C2B4518-756A-4332-BA1B-164725FA12AD}">
      <text>
        <r>
          <rPr>
            <b/>
            <sz val="9"/>
            <color indexed="81"/>
            <rFont val="Tahoma"/>
            <family val="2"/>
          </rPr>
          <t>Q4'21 Transcript:</t>
        </r>
        <r>
          <rPr>
            <sz val="9"/>
            <color indexed="81"/>
            <rFont val="Tahoma"/>
            <family val="2"/>
          </rPr>
          <t xml:space="preserve">
primarily due to the previously disclosed Intel federal-related onetime charge and 10-nanometer product ramp</t>
        </r>
      </text>
    </comment>
    <comment ref="AL88" authorId="6" shapeId="0" xr:uid="{A43AF769-D876-4FC4-AF72-30D585AD32C8}">
      <text>
        <r>
          <rPr>
            <b/>
            <sz val="9"/>
            <color indexed="81"/>
            <rFont val="Tahoma"/>
            <family val="2"/>
          </rPr>
          <t xml:space="preserve">10K 2019:
</t>
        </r>
        <r>
          <rPr>
            <sz val="9"/>
            <color indexed="81"/>
            <rFont val="Tahoma"/>
            <family val="2"/>
          </rPr>
          <t xml:space="preserve">
1.Higher gross margin from platform revenue.
2.Higher platform unit cost</t>
        </r>
      </text>
    </comment>
    <comment ref="AM88" authorId="6" shapeId="0" xr:uid="{228DD912-53FA-4F2B-B1DF-282D5B8D8510}">
      <text>
        <r>
          <rPr>
            <b/>
            <sz val="9"/>
            <color indexed="81"/>
            <rFont val="Tahoma"/>
            <family val="2"/>
          </rPr>
          <t xml:space="preserve">10K 2019:
</t>
        </r>
        <r>
          <rPr>
            <sz val="9"/>
            <color indexed="81"/>
            <rFont val="Tahoma"/>
            <family val="2"/>
          </rPr>
          <t xml:space="preserve">
1.Higher period charges, primarily associated with the initial ramp of 10nm.
2.Higher operating expenses primarily related to R&amp;D.
3.Higher gross margin from platform revenue</t>
        </r>
      </text>
    </comment>
    <comment ref="AN88" authorId="10" shapeId="0" xr:uid="{6F46C01C-8BC9-495C-8F07-983264028D21}">
      <text>
        <r>
          <rPr>
            <b/>
            <sz val="9"/>
            <color indexed="81"/>
            <rFont val="Tahoma"/>
            <family val="2"/>
          </rPr>
          <t xml:space="preserve">10K 2021:
</t>
        </r>
        <r>
          <rPr>
            <sz val="9"/>
            <color indexed="81"/>
            <rFont val="Tahoma"/>
            <family val="2"/>
          </rPr>
          <t xml:space="preserve">
1.Higher gross margin from platform revenue
2.Lower period charges due to lower factory start-up costs associated with the initial ramp of 10nm, partially offset by 
lower platform product reserves</t>
        </r>
      </text>
    </comment>
    <comment ref="AO88" authorId="10" shapeId="0" xr:uid="{DF04CCE8-584F-4628-B65A-AD01814E3EC7}">
      <text>
        <r>
          <rPr>
            <b/>
            <sz val="9"/>
            <color indexed="81"/>
            <rFont val="Tahoma"/>
            <family val="2"/>
          </rPr>
          <t xml:space="preserve">10K 2021:
</t>
        </r>
        <r>
          <rPr>
            <sz val="9"/>
            <color indexed="81"/>
            <rFont val="Tahoma"/>
            <family val="2"/>
          </rPr>
          <t xml:space="preserve">
1.Higher operating expenses driven by investment in leadership products
2.Higher platform unit cost primarily from increased mix of 10nm SuperFin products
3.Lower period charges driven by absence of other reserves taken in 2020, partially offset by reserves recorded in 2021</t>
        </r>
      </text>
    </comment>
    <comment ref="AL91" authorId="6" shapeId="0" xr:uid="{F8FC533B-702A-4E91-BA43-8E80316F2450}">
      <text>
        <r>
          <rPr>
            <b/>
            <sz val="9"/>
            <color indexed="81"/>
            <rFont val="Tahoma"/>
            <family val="2"/>
          </rPr>
          <t xml:space="preserve">10K 2019:
</t>
        </r>
        <r>
          <rPr>
            <sz val="9"/>
            <color indexed="81"/>
            <rFont val="Tahoma"/>
            <family val="2"/>
          </rPr>
          <t xml:space="preserve">
IOTG operating income increased $330 million due to higher revenue and lower spending as we reprioritized investments within the automotive business and Wind River.</t>
        </r>
      </text>
    </comment>
    <comment ref="AM91" authorId="6" shapeId="0" xr:uid="{BEE28AE7-84A8-4E88-91BC-66EE1926B594}">
      <text>
        <r>
          <rPr>
            <b/>
            <sz val="9"/>
            <color indexed="81"/>
            <rFont val="Tahoma"/>
            <family val="2"/>
          </rPr>
          <t xml:space="preserve">10K 2019:
</t>
        </r>
        <r>
          <rPr>
            <sz val="9"/>
            <color indexed="81"/>
            <rFont val="Tahoma"/>
            <family val="2"/>
          </rPr>
          <t xml:space="preserve">
IOTG operating income increased $117 million primarily due to higher platform revenue from stronger core mix offset by higher period charges related to reserves taken on legacy products.</t>
        </r>
      </text>
    </comment>
    <comment ref="AN91" authorId="10" shapeId="0" xr:uid="{0161ED15-9A00-4C90-893B-9B2E6A40142B}">
      <text>
        <r>
          <rPr>
            <b/>
            <sz val="9"/>
            <color indexed="81"/>
            <rFont val="Tahoma"/>
            <family val="2"/>
          </rPr>
          <t xml:space="preserve">10K 2021:
</t>
        </r>
        <r>
          <rPr>
            <sz val="9"/>
            <color indexed="81"/>
            <rFont val="Tahoma"/>
            <family val="2"/>
          </rPr>
          <t xml:space="preserve">
primarily due to lower platform revenue.
</t>
        </r>
      </text>
    </comment>
    <comment ref="AO91" authorId="10" shapeId="0" xr:uid="{D2FB244B-2493-4288-9A65-5682FFB19DFA}">
      <text>
        <r>
          <rPr>
            <b/>
            <sz val="9"/>
            <color indexed="81"/>
            <rFont val="Tahoma"/>
            <family val="2"/>
          </rPr>
          <t xml:space="preserve">10K 2021:
</t>
        </r>
        <r>
          <rPr>
            <sz val="9"/>
            <color indexed="81"/>
            <rFont val="Tahoma"/>
            <family val="2"/>
          </rPr>
          <t xml:space="preserve">
Primarily due to higher platform revenue.</t>
        </r>
      </text>
    </comment>
    <comment ref="AM95" authorId="6" shapeId="0" xr:uid="{28E41724-F203-4763-ACCB-AA5CBED83058}">
      <text>
        <r>
          <rPr>
            <b/>
            <sz val="9"/>
            <color indexed="81"/>
            <rFont val="Tahoma"/>
            <family val="2"/>
          </rPr>
          <t xml:space="preserve">10K 2019:
</t>
        </r>
        <r>
          <rPr>
            <sz val="9"/>
            <color indexed="81"/>
            <rFont val="Tahoma"/>
            <family val="2"/>
          </rPr>
          <t xml:space="preserve">
Mobileye operating income was $245 million, up $102 million driven by growth in revenue partially offset by higher spending.
</t>
        </r>
      </text>
    </comment>
    <comment ref="AN95" authorId="10" shapeId="0" xr:uid="{9AE3DC74-83B8-4249-A4DA-58783A4A9AE2}">
      <text>
        <r>
          <rPr>
            <b/>
            <sz val="9"/>
            <color indexed="81"/>
            <rFont val="Tahoma"/>
            <family val="2"/>
          </rPr>
          <t xml:space="preserve">10K 2021:
</t>
        </r>
        <r>
          <rPr>
            <sz val="9"/>
            <color indexed="81"/>
            <rFont val="Tahoma"/>
            <family val="2"/>
          </rPr>
          <t xml:space="preserve">
Due to higher spending primarily driven by the Moovit acquisition, partially offset by growth in revenue.
</t>
        </r>
      </text>
    </comment>
    <comment ref="AO95" authorId="10" shapeId="0" xr:uid="{D3055A8F-DFF1-4FA5-AFF9-F66C7C868711}">
      <text>
        <r>
          <rPr>
            <b/>
            <sz val="9"/>
            <color indexed="81"/>
            <rFont val="Tahoma"/>
            <family val="2"/>
          </rPr>
          <t>10K 2021:</t>
        </r>
        <r>
          <rPr>
            <sz val="9"/>
            <color indexed="81"/>
            <rFont val="Tahoma"/>
            <family val="2"/>
          </rPr>
          <t xml:space="preserve">
Due to higher revenue driven by improvement in global vehicle production, recovery from the economic impacts of COVID-19, and increasing adoption of ADAS compared to 2020.</t>
        </r>
      </text>
    </comment>
    <comment ref="Y96" authorId="4" shapeId="0" xr:uid="{5DBB8130-ED5A-4AEA-8D30-3C2EAAB094F5}">
      <text>
        <r>
          <rPr>
            <b/>
            <sz val="9"/>
            <color indexed="81"/>
            <rFont val="Tahoma"/>
            <family val="2"/>
          </rPr>
          <t>Q1'21 Transcript:</t>
        </r>
        <r>
          <rPr>
            <sz val="9"/>
            <color indexed="81"/>
            <rFont val="Tahoma"/>
            <family val="2"/>
          </rPr>
          <t xml:space="preserve">
Continues to
execute well and gain market segment share as the auto industry recovers from pandemic blows</t>
        </r>
      </text>
    </comment>
    <comment ref="AL99" authorId="6" shapeId="0" xr:uid="{CA5EDF4B-7243-4C25-8553-8CD067689EB8}">
      <text>
        <r>
          <rPr>
            <b/>
            <sz val="9"/>
            <color indexed="81"/>
            <rFont val="Tahoma"/>
            <family val="2"/>
          </rPr>
          <t xml:space="preserve">10K 2019:
</t>
        </r>
        <r>
          <rPr>
            <sz val="9"/>
            <color indexed="81"/>
            <rFont val="Tahoma"/>
            <family val="2"/>
          </rPr>
          <t xml:space="preserve">
As our sales mix shifted to our latest 64-layer NAND and we continued to see the cost ramp at Fab 68. The improved unit costs and higher unit sales more than offset the decline in ASP. In addition, we had a total of $160 million earned government grants benefiting 2018.</t>
        </r>
      </text>
    </comment>
    <comment ref="AM99" authorId="6" shapeId="0" xr:uid="{8FA3A83D-12AE-477D-A8DC-FF8E09C2DBCF}">
      <text>
        <r>
          <rPr>
            <b/>
            <sz val="9"/>
            <color indexed="81"/>
            <rFont val="Tahoma"/>
            <family val="2"/>
          </rPr>
          <t>10K 2019:</t>
        </r>
        <r>
          <rPr>
            <sz val="9"/>
            <color indexed="81"/>
            <rFont val="Tahoma"/>
            <family val="2"/>
          </rPr>
          <t xml:space="preserve">
Driven by $3.8 billion lower ASPs, partially offset by $1.6 billion of improved unit cost and $1.1 billion higher unit sales. While we continued to see the ramp at Fab 68 drive cost improvements, the decline in ASP and the absence of $160 million in government grants recognized in Q3 2018 more than offset improved unit cost, resulting in lower gross margin.
</t>
        </r>
      </text>
    </comment>
    <comment ref="AN99" authorId="10" shapeId="0" xr:uid="{64F33FCE-498D-416E-B5F9-98AA19C9D65C}">
      <text>
        <r>
          <rPr>
            <b/>
            <sz val="9"/>
            <color indexed="81"/>
            <rFont val="Tahoma"/>
            <family val="2"/>
          </rPr>
          <t xml:space="preserve">10K 2021:
</t>
        </r>
        <r>
          <rPr>
            <sz val="9"/>
            <color indexed="81"/>
            <rFont val="Tahoma"/>
            <family val="2"/>
          </rPr>
          <t xml:space="preserve">
Up from an operating loss of $1.2 billion in 2019. The operating profit was driven by $716 million higher ASPs from market pricing recovery and $741 million due to continued improvements in unit cost. </t>
        </r>
      </text>
    </comment>
    <comment ref="AO99" authorId="10" shapeId="0" xr:uid="{EAE31426-5D80-48A8-9489-AACBCC829A5B}">
      <text>
        <r>
          <rPr>
            <b/>
            <sz val="9"/>
            <color indexed="81"/>
            <rFont val="Tahoma"/>
            <family val="2"/>
          </rPr>
          <t xml:space="preserve">10K 2021:
</t>
        </r>
        <r>
          <rPr>
            <sz val="9"/>
            <color indexed="81"/>
            <rFont val="Tahoma"/>
            <family val="2"/>
          </rPr>
          <t xml:space="preserve">
Driven by $1.4 billion of improvements in unit cost, primarily driven by the absence of depreciation expense from NAND property, plant and equipment that was held for sale, $366 million of lower period charges, and $220 million of lower operating expenses, partially offset by $929 million of lower revenue primarily on ASP decline. Operating income also benefited from the transfer of the Intel Optane memory business from 2021 NSG results (a loss of $576 million in 2020)</t>
        </r>
      </text>
    </comment>
    <comment ref="AL103" authorId="6" shapeId="0" xr:uid="{ED484AF3-D71E-4837-AB72-42F5013EADB8}">
      <text>
        <r>
          <rPr>
            <b/>
            <sz val="9"/>
            <color indexed="81"/>
            <rFont val="Tahoma"/>
            <family val="2"/>
          </rPr>
          <t xml:space="preserve">10K 2019:
</t>
        </r>
        <r>
          <rPr>
            <sz val="9"/>
            <color indexed="81"/>
            <rFont val="Tahoma"/>
            <family val="2"/>
          </rPr>
          <t xml:space="preserve">
Increased from the growth in the data center and advanced products, but was offset by higher costs from an
unfavorable product mix and increased investments.</t>
        </r>
      </text>
    </comment>
    <comment ref="AM103" authorId="6" shapeId="0" xr:uid="{70BDC242-60C5-4E31-A0B3-3FDD3A5665FE}">
      <text>
        <r>
          <rPr>
            <b/>
            <sz val="9"/>
            <color indexed="81"/>
            <rFont val="Tahoma"/>
            <family val="2"/>
          </rPr>
          <t xml:space="preserve">10K 2019:
</t>
        </r>
        <r>
          <rPr>
            <sz val="9"/>
            <color indexed="81"/>
            <rFont val="Tahoma"/>
            <family val="2"/>
          </rPr>
          <t xml:space="preserve">
Driven by lower revenue in our cloud and enterprise market segment, offset by strength in wireless and advanced products.</t>
        </r>
      </text>
    </comment>
    <comment ref="AN103" authorId="10" shapeId="0" xr:uid="{A1FB1715-98E3-4D96-934B-07050CA3D0D0}">
      <text>
        <r>
          <rPr>
            <b/>
            <sz val="9"/>
            <color indexed="81"/>
            <rFont val="Tahoma"/>
            <family val="2"/>
          </rPr>
          <t xml:space="preserve">10K 2021:
</t>
        </r>
        <r>
          <rPr>
            <sz val="9"/>
            <color indexed="81"/>
            <rFont val="Tahoma"/>
            <family val="2"/>
          </rPr>
          <t xml:space="preserve">
Driven by lower revenue in our embedded and communications market segments, partially offset by strength in the cloud and enterprise market segment</t>
        </r>
      </text>
    </comment>
    <comment ref="AO103" authorId="10" shapeId="0" xr:uid="{EFD301B1-375D-47A4-BE16-DDC90E70C3FF}">
      <text>
        <r>
          <rPr>
            <b/>
            <sz val="9"/>
            <color indexed="81"/>
            <rFont val="Tahoma"/>
            <family val="2"/>
          </rPr>
          <t>10K 2021:</t>
        </r>
        <r>
          <rPr>
            <sz val="9"/>
            <color indexed="81"/>
            <rFont val="Tahoma"/>
            <family val="2"/>
          </rPr>
          <t xml:space="preserve">
Driven by higher revenue due to recovery in the embedded and communications market segments from COVID-19 lows, partially offset by a decrease in the cloud market segment. </t>
        </r>
      </text>
    </comment>
    <comment ref="V104" authorId="2" shapeId="0" xr:uid="{539FF09B-A863-412D-B654-691B88A14717}">
      <text>
        <r>
          <rPr>
            <b/>
            <sz val="9"/>
            <color indexed="81"/>
            <rFont val="Tahoma"/>
            <family val="2"/>
          </rPr>
          <t>Q2'20 Transcript:</t>
        </r>
        <r>
          <rPr>
            <sz val="9"/>
            <color indexed="81"/>
            <rFont val="Tahoma"/>
            <family val="2"/>
          </rPr>
          <t xml:space="preserve">
Due to richer product mix and improved unit cost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Gaurang Grover</author>
    <author>Kanishk Agarwal</author>
  </authors>
  <commentList>
    <comment ref="P31" authorId="0" shapeId="0" xr:uid="{351088C4-E7EF-4DBF-A5E4-81D5027838BD}">
      <text>
        <r>
          <rPr>
            <sz val="9"/>
            <color indexed="81"/>
            <rFont val="Tahoma"/>
            <family val="2"/>
          </rPr>
          <t xml:space="preserve">Dec 29, 2021 • 6:20 PM EST 
</t>
        </r>
        <r>
          <rPr>
            <b/>
            <sz val="9"/>
            <color indexed="81"/>
            <rFont val="Tahoma"/>
            <family val="2"/>
          </rPr>
          <t xml:space="preserve">Intel Corp. completes its first closing in the sale of its NAND and SSD business to SK hynix. </t>
        </r>
        <r>
          <rPr>
            <sz val="9"/>
            <color indexed="81"/>
            <rFont val="Tahoma"/>
            <family val="2"/>
          </rPr>
          <t xml:space="preserve">
Intel Corporation today announced it has completed the first closing of the sale of its NAND and SSD business, selling its SSD business (including the transfer of certain NAND SSD-associated intellectual properties (IP) and employees) and the Dalian NAND memory manufacturing facility in China to Seoul-based SK hynix. In exchange, SK hynix will pay Intel US$7 billion in consideration.  
</t>
        </r>
        <r>
          <rPr>
            <i/>
            <sz val="9"/>
            <color indexed="81"/>
            <rFont val="Tahoma"/>
            <family val="2"/>
          </rPr>
          <t>https://www.intc.com/news-events/press-releases/detail/1513/intel-sells-ssd-business-and-dalian-facility-to-sk-hynix</t>
        </r>
        <r>
          <rPr>
            <sz val="9"/>
            <color indexed="81"/>
            <rFont val="Tahoma"/>
            <family val="2"/>
          </rPr>
          <t xml:space="preserve">
SK hynix and Intel will endeavor to obtain required governmental approvals, </t>
        </r>
        <r>
          <rPr>
            <b/>
            <sz val="9"/>
            <color indexed="81"/>
            <rFont val="Tahoma"/>
            <family val="2"/>
          </rPr>
          <t>expected in late 2021.</t>
        </r>
        <r>
          <rPr>
            <sz val="9"/>
            <color indexed="81"/>
            <rFont val="Tahoma"/>
            <family val="2"/>
          </rPr>
          <t xml:space="preserve"> Following receipt of these approvals, SK hynix will acquire from Intel the NAND SSD business (including NAND SSD-associated IP and employees), as well as the Dalian facility, with the </t>
        </r>
        <r>
          <rPr>
            <b/>
            <sz val="9"/>
            <color indexed="81"/>
            <rFont val="Tahoma"/>
            <family val="2"/>
          </rPr>
          <t>first payment of US $7 billion.</t>
        </r>
        <r>
          <rPr>
            <sz val="9"/>
            <color indexed="81"/>
            <rFont val="Tahoma"/>
            <family val="2"/>
          </rPr>
          <t xml:space="preserve"> SK hynix will acquire from Intel the remaining assets, including IP related to the manufacture and design of NAND flash wafers, R&amp;D employees and the Dalian fab workforce, upon a </t>
        </r>
        <r>
          <rPr>
            <b/>
            <sz val="9"/>
            <color indexed="81"/>
            <rFont val="Tahoma"/>
            <family val="2"/>
          </rPr>
          <t xml:space="preserve">final closing expected to occur in March 2025 with the remaining payment of US $2 billion. </t>
        </r>
      </text>
    </comment>
    <comment ref="P32" authorId="1" shapeId="0" xr:uid="{FB9BC568-0DFF-4759-A413-A2ED8F0C19D3}">
      <text>
        <r>
          <rPr>
            <sz val="9"/>
            <color indexed="81"/>
            <rFont val="Tahoma"/>
            <family val="2"/>
          </rPr>
          <t>Source: 10K Pg - 104/123</t>
        </r>
      </text>
    </comment>
    <comment ref="P33" authorId="0" shapeId="0" xr:uid="{576E0288-B545-41B6-A6B3-94FE2E375730}">
      <text>
        <r>
          <rPr>
            <sz val="9"/>
            <color indexed="81"/>
            <rFont val="Tahoma"/>
            <family val="2"/>
          </rPr>
          <t>In 2021, we signed finance leases for supplier capacity extending over approximately eight years. The leases will commence upon start of supplier production expected in 2023 with prepayments totaling approximately $980 million in 2022 and 2023. These prepayments will be recognized in property, plant and equipment upon payment.
But the guided lease payments for FY22 is around 1.3B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Kanishk Agarwal</author>
    <author>Q1'20 Transcript</author>
    <author>Q4'20 Transcript</author>
    <author>Q1'21 Transcript</author>
    <author>Q2'21 Transcript</author>
    <author>Q3'21 Transcript</author>
    <author>Q4'21 Transcript</author>
    <author>Gaurang Grover</author>
    <author>Q2'20 Transcript</author>
    <author>Q3'20 Transcript</author>
    <author>Q4'21 Press Release</author>
  </authors>
  <commentList>
    <comment ref="AL11" authorId="0" shapeId="0" xr:uid="{3FFF6E32-B137-4C41-A820-ADFDD3770A24}">
      <text>
        <r>
          <rPr>
            <sz val="9"/>
            <color indexed="81"/>
            <rFont val="Tahoma"/>
            <family val="2"/>
          </rPr>
          <t>Exceeded our goal on both fronts with 18% datacentric businesses growth and 9% PC-centric business growth. Total revenue was approximately $6.0 billion higher than our expectation at the beginning of the year
The increase in revenue was primarily driven by strong performance across our data-centric businesses, which collectively grew 18% year over year and made up nearly half of our total revenue in 2018. Our recently acquired Mobileye business had revenue of $698 million. Our PCcentric business grew 9%, above our expectations, due to PC TAM1  growth and demand for our leadership products. The increase in 2018 revenue was partially offset by the loss of revenue from businesses that were divested, specifically $534 million from the divestiture of the Intel Security Group (ISecG) and approximately $165 million from the divestiture of Wind River</t>
        </r>
      </text>
    </comment>
    <comment ref="U119" authorId="1" shapeId="0" xr:uid="{93A4CBCF-299B-4532-A684-D08291E1F0B7}">
      <text>
        <r>
          <rPr>
            <b/>
            <sz val="9"/>
            <color indexed="81"/>
            <rFont val="Tahoma"/>
            <family val="2"/>
          </rPr>
          <t>Q1'20 Transcript:</t>
        </r>
        <r>
          <rPr>
            <sz val="9"/>
            <color indexed="81"/>
            <rFont val="Tahoma"/>
            <family val="2"/>
          </rPr>
          <t xml:space="preserve">
Strong server demand across segments and a richer mix of our
Xeon devices drove a significant portion of the upside</t>
        </r>
      </text>
    </comment>
    <comment ref="X119" authorId="2" shapeId="0" xr:uid="{D55D61FC-06F8-4AC9-8049-898213CBBF04}">
      <text>
        <r>
          <rPr>
            <b/>
            <sz val="9"/>
            <color indexed="81"/>
            <rFont val="Tahoma"/>
            <family val="2"/>
          </rPr>
          <t>Q4'20 Transcript:</t>
        </r>
        <r>
          <rPr>
            <sz val="9"/>
            <color indexed="81"/>
            <rFont val="Tahoma"/>
            <family val="2"/>
          </rPr>
          <t xml:space="preserve">
The revenue beat was broad-based, led by stronger-than-expected notebook and cloud demand, along with contributions from desktop and enterprise and government.
Data center-related demand also led to stronger revenues in NAND.</t>
        </r>
      </text>
    </comment>
    <comment ref="Y119" authorId="3" shapeId="0" xr:uid="{0E714FF6-9775-4701-ABA0-C96325450C9B}">
      <text>
        <r>
          <rPr>
            <b/>
            <sz val="9"/>
            <color indexed="81"/>
            <rFont val="Tahoma"/>
            <family val="2"/>
          </rPr>
          <t>Q1'21 Transcript:</t>
        </r>
        <r>
          <rPr>
            <sz val="9"/>
            <color indexed="81"/>
            <rFont val="Tahoma"/>
            <family val="2"/>
          </rPr>
          <t xml:space="preserve">
led by strength in our PC business and the first signs of recovery in the enterprise and government portion of our data center business</t>
        </r>
      </text>
    </comment>
    <comment ref="Z119" authorId="4" shapeId="0" xr:uid="{DAE43191-84E9-4117-945B-CFBF17437823}">
      <text>
        <r>
          <rPr>
            <b/>
            <sz val="9"/>
            <color indexed="81"/>
            <rFont val="Tahoma"/>
            <family val="2"/>
          </rPr>
          <t>Q2'21 Transcript:</t>
        </r>
        <r>
          <rPr>
            <sz val="9"/>
            <color indexed="81"/>
            <rFont val="Tahoma"/>
            <family val="2"/>
          </rPr>
          <t xml:space="preserve">
Led by strength in our PC business and the first signs of recovery in the enterprise and government portion of our data center business</t>
        </r>
      </text>
    </comment>
    <comment ref="AA119" authorId="5" shapeId="0" xr:uid="{6643AE90-779D-447B-ADD7-183039ADDE56}">
      <text>
        <r>
          <rPr>
            <b/>
            <sz val="9"/>
            <color indexed="81"/>
            <rFont val="Tahoma"/>
            <family val="2"/>
          </rPr>
          <t>Q3'21 Transcript:</t>
        </r>
        <r>
          <rPr>
            <sz val="9"/>
            <color indexed="81"/>
            <rFont val="Tahoma"/>
            <family val="2"/>
          </rPr>
          <t xml:space="preserve">
</t>
        </r>
        <r>
          <rPr>
            <sz val="9"/>
            <color indexed="81"/>
            <rFont val="Tahoma"/>
            <family val="2"/>
          </rPr>
          <t>due to shipping and supply constraints that impacted our businesses.
Demand remains strong in our PC business with particular strength in commercial, desktop and higher-end consumer notebooks, offset by inventory digestion in lower-end consumer and education segments.</t>
        </r>
      </text>
    </comment>
    <comment ref="AB119" authorId="6" shapeId="0" xr:uid="{44600C29-64DC-4200-8F63-589F6DB9EB9A}">
      <text>
        <r>
          <rPr>
            <b/>
            <sz val="9"/>
            <color indexed="81"/>
            <rFont val="Tahoma"/>
            <family val="2"/>
          </rPr>
          <t>Q4'21 Transcript:</t>
        </r>
        <r>
          <rPr>
            <sz val="9"/>
            <color indexed="81"/>
            <rFont val="Tahoma"/>
            <family val="2"/>
          </rPr>
          <t xml:space="preserve">
The revenue beat was broad-based, led by stronger-than-expected enterprise and government demand in data center, desktop PC strength and better-than-expected notebook demand.</t>
        </r>
      </text>
    </comment>
    <comment ref="AO129" authorId="7" shapeId="0" xr:uid="{57F73EBC-5385-4CA4-A480-76C9A2EC5BDB}">
      <text>
        <r>
          <rPr>
            <sz val="9"/>
            <color indexed="81"/>
            <rFont val="Tahoma"/>
            <family val="2"/>
          </rPr>
          <t>NAND profitability improved due to the absence of depreciation expense from NAND property, plant and equipment that was held for sale throughout 2021.</t>
        </r>
      </text>
    </comment>
    <comment ref="AL131" authorId="7" shapeId="0" xr:uid="{8A581974-FB9F-460A-9CFE-F39FA3445494}">
      <text>
        <r>
          <rPr>
            <sz val="9"/>
            <color indexed="81"/>
            <rFont val="Tahoma"/>
            <family val="2"/>
          </rPr>
          <t>5,810 Higher gross margin from platform revenue
(1,085) Higher platform unit cost, primarily from increased mix of performance products</t>
        </r>
      </text>
    </comment>
    <comment ref="AM131" authorId="7" shapeId="0" xr:uid="{493F1F3E-3653-4716-85A7-6B0B51CF0EF5}">
      <text>
        <r>
          <rPr>
            <sz val="9"/>
            <color indexed="81"/>
            <rFont val="Tahoma"/>
            <family val="2"/>
          </rPr>
          <t>Lower gross margin from adjacent businesses primarily due to NAND, DCG adjacencies, and PSG offset by higher gross margin on Mobileye 
Higher platform unit cost primarily from increased mix of performance products</t>
        </r>
      </text>
    </comment>
    <comment ref="AO131" authorId="6" shapeId="0" xr:uid="{F9FF9CC0-4AD8-48C9-875D-29578E040652}">
      <text>
        <r>
          <rPr>
            <b/>
            <sz val="9"/>
            <color indexed="81"/>
            <rFont val="Tahoma"/>
            <family val="2"/>
          </rPr>
          <t>Q4'21 Transcript:</t>
        </r>
        <r>
          <rPr>
            <sz val="9"/>
            <color indexed="81"/>
            <rFont val="Tahoma"/>
            <family val="2"/>
          </rPr>
          <t xml:space="preserve">
due to strong flow-through on higher revenue</t>
        </r>
      </text>
    </comment>
    <comment ref="V136" authorId="8" shapeId="0" xr:uid="{708EA2C1-CB6A-4062-8543-4B3538F1DCB8}">
      <text>
        <r>
          <rPr>
            <b/>
            <sz val="9"/>
            <color indexed="81"/>
            <rFont val="Tahoma"/>
            <family val="2"/>
          </rPr>
          <t>Q2'20 Transcript:</t>
        </r>
        <r>
          <rPr>
            <sz val="9"/>
            <color indexed="81"/>
            <rFont val="Tahoma"/>
            <family val="2"/>
          </rPr>
          <t xml:space="preserve">
Higher product costs from faster uptake of our 5G ASIC products, which are margin dilutive relative to the company average, and also continued acceleration of 10-nanometer products overall, partially offset by a shift of costs from cost of sales to R&amp;D related to 7-nanometer product timing</t>
        </r>
      </text>
    </comment>
    <comment ref="W136" authorId="9" shapeId="0" xr:uid="{25607383-6709-4970-925E-75E2E6926DDD}">
      <text>
        <r>
          <rPr>
            <b/>
            <sz val="9"/>
            <color indexed="81"/>
            <rFont val="Tahoma"/>
            <family val="2"/>
          </rPr>
          <t>Q3'20 Transcript:</t>
        </r>
        <r>
          <rPr>
            <sz val="9"/>
            <color indexed="81"/>
            <rFont val="Tahoma"/>
            <family val="2"/>
          </rPr>
          <t xml:space="preserve">
Due to lower data center ASPs driven by mix shift from enterprise and
government to cloud and lower PC client ASPs on increased demand for consumer and education PCs.</t>
        </r>
      </text>
    </comment>
    <comment ref="X136" authorId="2" shapeId="0" xr:uid="{63717016-8B02-4CBE-8DF6-7FC472FC1C17}">
      <text>
        <r>
          <rPr>
            <b/>
            <sz val="9"/>
            <color indexed="81"/>
            <rFont val="Tahoma"/>
            <family val="2"/>
          </rPr>
          <t>Q4'20 Transcript:</t>
        </r>
        <r>
          <rPr>
            <sz val="9"/>
            <color indexed="81"/>
            <rFont val="Tahoma"/>
            <family val="2"/>
          </rPr>
          <t xml:space="preserve">
due to flow-through on higher revenue and the benefit of Ice Lake server achieving production qualification prior to year-end</t>
        </r>
      </text>
    </comment>
    <comment ref="Y136" authorId="3" shapeId="0" xr:uid="{C0631B3D-F2D6-4056-9613-24128D229953}">
      <text>
        <r>
          <rPr>
            <b/>
            <sz val="9"/>
            <color indexed="81"/>
            <rFont val="Tahoma"/>
            <family val="2"/>
          </rPr>
          <t>Q1'21 Transcript:</t>
        </r>
        <r>
          <rPr>
            <sz val="9"/>
            <color indexed="81"/>
            <rFont val="Tahoma"/>
            <family val="2"/>
          </rPr>
          <t xml:space="preserve">
due to flow-through on higher revenue.</t>
        </r>
      </text>
    </comment>
    <comment ref="Z136" authorId="4" shapeId="0" xr:uid="{D27B5F4A-D147-4639-BC0F-92741858C489}">
      <text>
        <r>
          <rPr>
            <b/>
            <sz val="9"/>
            <color indexed="81"/>
            <rFont val="Tahoma"/>
            <family val="2"/>
          </rPr>
          <t>Q2'21 Transcript:</t>
        </r>
        <r>
          <rPr>
            <sz val="9"/>
            <color indexed="81"/>
            <rFont val="Tahoma"/>
            <family val="2"/>
          </rPr>
          <t xml:space="preserve">
primarily due to improved mix and strong flow-through on higher revenue.</t>
        </r>
      </text>
    </comment>
    <comment ref="AA136" authorId="5" shapeId="0" xr:uid="{C57BA8C3-0C54-4368-9E39-8435FBD5EDAE}">
      <text>
        <r>
          <rPr>
            <b/>
            <sz val="9"/>
            <color indexed="81"/>
            <rFont val="Tahoma"/>
            <family val="2"/>
          </rPr>
          <t>Q3'21 Transcript:</t>
        </r>
        <r>
          <rPr>
            <sz val="9"/>
            <color indexed="81"/>
            <rFont val="Tahoma"/>
            <family val="2"/>
          </rPr>
          <t xml:space="preserve">
primarily due to an increased mix of desktop and premium
notebook products.</t>
        </r>
      </text>
    </comment>
    <comment ref="AB136" authorId="5" shapeId="0" xr:uid="{DDAEF258-CB33-471F-8B52-B50E36548AC2}">
      <text>
        <r>
          <rPr>
            <b/>
            <sz val="9"/>
            <color indexed="81"/>
            <rFont val="Tahoma"/>
            <family val="2"/>
          </rPr>
          <t>Q4'21 Transcript:</t>
        </r>
        <r>
          <rPr>
            <sz val="9"/>
            <color indexed="81"/>
            <rFont val="Tahoma"/>
            <family val="2"/>
          </rPr>
          <t xml:space="preserve">
due to strong flow-through on higher revenue.</t>
        </r>
      </text>
    </comment>
    <comment ref="AP136" authorId="7" shapeId="0" xr:uid="{9A26AE43-8059-4A44-9051-E20A84BE289F}">
      <text>
        <r>
          <rPr>
            <b/>
            <sz val="9"/>
            <color indexed="81"/>
            <rFont val="Tahoma"/>
            <family val="2"/>
          </rPr>
          <t>Guidance of 52%</t>
        </r>
      </text>
    </comment>
    <comment ref="AQ136" authorId="7" shapeId="0" xr:uid="{051440B5-C638-4E9C-B17E-DBD912155359}">
      <text>
        <r>
          <rPr>
            <b/>
            <sz val="9"/>
            <color indexed="81"/>
            <rFont val="Tahoma"/>
            <family val="2"/>
          </rPr>
          <t xml:space="preserve">• Gross Margin expansion
- </t>
        </r>
        <r>
          <rPr>
            <sz val="9"/>
            <color indexed="81"/>
            <rFont val="Tahoma"/>
            <family val="2"/>
          </rPr>
          <t xml:space="preserve">Company expecting gross margins to stay in 51% to 53% range for the next few years, '22, '23 and '24, and then expand to 54% to 58% in 2025 and beyond. Impact in the near term due to accelerated process technology investments (5 process technologies in 4 years i.e., Intel 7, Intel 4, Intel 3, Intel 20A and Intel 18A)
- Company bullish on higher margins in the long term due to higher expected product margins and the impact to come only from IFS where the margin, even at the leading edge, is in low 50s
- Bridge from 51% to 53% to 54% to 58% in 2025:
</t>
        </r>
        <r>
          <rPr>
            <b/>
            <sz val="9"/>
            <color indexed="81"/>
            <rFont val="Tahoma"/>
            <family val="2"/>
          </rPr>
          <t> Process technology leadership 1-2%:</t>
        </r>
        <r>
          <rPr>
            <sz val="9"/>
            <color indexed="81"/>
            <rFont val="Tahoma"/>
            <family val="2"/>
          </rPr>
          <t xml:space="preserve"> Benefits of EUV at the advance process node will drive an improvement. Link
</t>
        </r>
        <r>
          <rPr>
            <b/>
            <sz val="9"/>
            <color indexed="81"/>
            <rFont val="Tahoma"/>
            <family val="2"/>
          </rPr>
          <t> Pricing for leading products 1-2%:</t>
        </r>
        <r>
          <rPr>
            <sz val="9"/>
            <color indexed="81"/>
            <rFont val="Tahoma"/>
            <family val="2"/>
          </rPr>
          <t xml:space="preserve"> </t>
        </r>
        <r>
          <rPr>
            <i/>
            <sz val="9"/>
            <color indexed="81"/>
            <rFont val="Tahoma"/>
            <family val="2"/>
          </rPr>
          <t>“Second is just pricing. Obviously, in some areas, we do have a leadership product in some other areas we don't. But as our product portfolio improves, not only through this year but through the next few years, we see a great opportunity to improve our pricing for the leadership products that we're producing for our customers. That's probably worth 100 to 200 basis points.”</t>
        </r>
        <r>
          <rPr>
            <sz val="9"/>
            <color indexed="81"/>
            <rFont val="Tahoma"/>
            <family val="2"/>
          </rPr>
          <t xml:space="preserve"> Don’t see this happening, not while AMD continues to bring better (than before) products, and gain market share. Competition would most likely get intense in the coming years as Intel tries to regain its leadership position
</t>
        </r>
        <r>
          <rPr>
            <b/>
            <sz val="9"/>
            <color indexed="81"/>
            <rFont val="Tahoma"/>
            <family val="2"/>
          </rPr>
          <t> Business mix and scale 1%:</t>
        </r>
        <r>
          <rPr>
            <sz val="9"/>
            <color indexed="81"/>
            <rFont val="Tahoma"/>
            <family val="2"/>
          </rPr>
          <t xml:space="preserve"> </t>
        </r>
        <r>
          <rPr>
            <i/>
            <sz val="9"/>
            <color indexed="81"/>
            <rFont val="Tahoma"/>
            <family val="2"/>
          </rPr>
          <t>“Some of the businesses that are emerging that we expect to see high growth from actually carry gross margins that are higher than the corporate average. That will help lift the gross margins as well, and we see that somewhere in the 100 basis points.”</t>
        </r>
        <r>
          <rPr>
            <sz val="9"/>
            <color indexed="81"/>
            <rFont val="Tahoma"/>
            <family val="2"/>
          </rPr>
          <t xml:space="preserve"> 
</t>
        </r>
        <r>
          <rPr>
            <b/>
            <sz val="9"/>
            <color indexed="81"/>
            <rFont val="Tahoma"/>
            <family val="2"/>
          </rPr>
          <t> Fiscal discipline 1%:</t>
        </r>
        <r>
          <rPr>
            <sz val="9"/>
            <color indexed="81"/>
            <rFont val="Tahoma"/>
            <family val="2"/>
          </rPr>
          <t xml:space="preserve"> </t>
        </r>
        <r>
          <rPr>
            <i/>
            <sz val="9"/>
            <color indexed="81"/>
            <rFont val="Tahoma"/>
            <family val="2"/>
          </rPr>
          <t>“And then lastly is the day 1 too exclusively, which is the fiscal discipline is me and my finance team really driving the operations, driving the businesses to execute to a world-class measure of cost. And I've only been here a month, but I've already seen a ton of different opportunities to do that. So I think I'm probably being conservative by guessing that it's 100 to 200 basis points, it's at least 100 to 200 basis points.”</t>
        </r>
        <r>
          <rPr>
            <sz val="9"/>
            <color indexed="81"/>
            <rFont val="Tahoma"/>
            <family val="2"/>
          </rPr>
          <t xml:space="preserve">
</t>
        </r>
      </text>
    </comment>
    <comment ref="AP158" authorId="7" shapeId="0" xr:uid="{92245146-EF9F-47C4-99BA-57B6325F762E}">
      <text>
        <r>
          <rPr>
            <b/>
            <sz val="9"/>
            <color indexed="81"/>
            <rFont val="Tahoma"/>
            <family val="2"/>
          </rPr>
          <t>Guidance of ~22%</t>
        </r>
      </text>
    </comment>
    <comment ref="O163" authorId="10" shapeId="0" xr:uid="{08F02C55-8CC9-461F-B617-5E2DC17DA8E9}">
      <text>
        <r>
          <rPr>
            <b/>
            <sz val="9"/>
            <color indexed="81"/>
            <rFont val="Tahoma"/>
            <family val="2"/>
          </rPr>
          <t>Other</t>
        </r>
      </text>
    </comment>
    <comment ref="P163" authorId="10" shapeId="0" xr:uid="{DEE92838-EC60-4CB9-BC04-C6E126A1201A}">
      <text>
        <r>
          <rPr>
            <b/>
            <sz val="9"/>
            <color indexed="81"/>
            <rFont val="Tahoma"/>
            <family val="2"/>
          </rPr>
          <t>Other</t>
        </r>
      </text>
    </comment>
    <comment ref="Q163" authorId="10" shapeId="0" xr:uid="{B8471485-1002-413C-BEE9-E301053F11A2}">
      <text>
        <r>
          <rPr>
            <b/>
            <sz val="9"/>
            <color indexed="81"/>
            <rFont val="Tahoma"/>
            <family val="2"/>
          </rPr>
          <t>Other</t>
        </r>
      </text>
    </comment>
    <comment ref="R163" authorId="10" shapeId="0" xr:uid="{3F8CD3C7-87AA-4E2D-BC64-E3F928EDF71E}">
      <text>
        <r>
          <rPr>
            <b/>
            <sz val="9"/>
            <color indexed="81"/>
            <rFont val="Tahoma"/>
            <family val="2"/>
          </rPr>
          <t>Other</t>
        </r>
      </text>
    </comment>
    <comment ref="S163" authorId="10" shapeId="0" xr:uid="{319B03ED-B7F6-45DF-A465-1FD903585DB2}">
      <text>
        <r>
          <rPr>
            <b/>
            <sz val="9"/>
            <color indexed="81"/>
            <rFont val="Tahoma"/>
            <family val="2"/>
          </rPr>
          <t>Other</t>
        </r>
      </text>
    </comment>
    <comment ref="X188" authorId="2" shapeId="0" xr:uid="{8B5B059A-7375-4375-BDBC-1BD3A842B080}">
      <text>
        <r>
          <rPr>
            <b/>
            <sz val="9"/>
            <color indexed="81"/>
            <rFont val="Tahoma"/>
            <family val="2"/>
          </rPr>
          <t>Q4'20 Transcript:</t>
        </r>
        <r>
          <rPr>
            <sz val="9"/>
            <color indexed="81"/>
            <rFont val="Tahoma"/>
            <family val="2"/>
          </rPr>
          <t xml:space="preserve">
to strong operational
performance and further boosted by gains from our ICAP portfolio</t>
        </r>
      </text>
    </comment>
    <comment ref="Y188" authorId="4" shapeId="0" xr:uid="{DA420ED0-0FA0-4EDF-9800-B5A668CA856B}">
      <text>
        <r>
          <rPr>
            <b/>
            <sz val="9"/>
            <color indexed="81"/>
            <rFont val="Tahoma"/>
            <family val="2"/>
          </rPr>
          <t>Q2'21 Transcript:</t>
        </r>
        <r>
          <rPr>
            <sz val="9"/>
            <color indexed="81"/>
            <rFont val="Tahoma"/>
            <family val="2"/>
          </rPr>
          <t xml:space="preserve">
strong operational performance and the balance on gains related to our ICAP portfolio</t>
        </r>
      </text>
    </comment>
    <comment ref="Z188" authorId="5" shapeId="0" xr:uid="{FB93A004-664C-45D9-94E2-2E9EA01FDF68}">
      <text>
        <r>
          <rPr>
            <b/>
            <sz val="9"/>
            <color indexed="81"/>
            <rFont val="Tahoma"/>
            <family val="2"/>
          </rPr>
          <t>Q3'21 Transcript:</t>
        </r>
        <r>
          <rPr>
            <sz val="9"/>
            <color indexed="81"/>
            <rFont val="Tahoma"/>
            <family val="2"/>
          </rPr>
          <t xml:space="preserve">
strong operational performance across the board</t>
        </r>
      </text>
    </comment>
    <comment ref="AA188" authorId="5" shapeId="0" xr:uid="{8BE0D292-C63A-4750-9463-CB183C22A7E6}">
      <text>
        <r>
          <rPr>
            <b/>
            <sz val="9"/>
            <color indexed="81"/>
            <rFont val="Tahoma"/>
            <family val="2"/>
          </rPr>
          <t>Q3'21 Transcript:</t>
        </r>
        <r>
          <rPr>
            <sz val="9"/>
            <color indexed="81"/>
            <rFont val="Tahoma"/>
            <family val="2"/>
          </rPr>
          <t xml:space="preserve">
due to a McAfee-related special dividend associated with
the divestiture of their enterprise business and a onetime tax benefit</t>
        </r>
      </text>
    </comment>
    <comment ref="AB188" authorId="6" shapeId="0" xr:uid="{60C16B87-4965-4868-8E9A-FB920DF70F4E}">
      <text>
        <r>
          <rPr>
            <b/>
            <sz val="9"/>
            <color indexed="81"/>
            <rFont val="Tahoma"/>
            <family val="2"/>
          </rPr>
          <t>Q4'21 Transcript:</t>
        </r>
        <r>
          <rPr>
            <sz val="9"/>
            <color indexed="81"/>
            <rFont val="Tahoma"/>
            <family val="2"/>
          </rPr>
          <t xml:space="preserve">
due to strong operational performance.</t>
        </r>
      </text>
    </comment>
    <comment ref="AP188" authorId="7" shapeId="0" xr:uid="{EDAA3AC5-494F-4066-945C-E24110000DCB}">
      <text>
        <r>
          <rPr>
            <b/>
            <sz val="9"/>
            <color indexed="81"/>
            <rFont val="Tahoma"/>
            <family val="2"/>
          </rPr>
          <t>Guidance of $3.50</t>
        </r>
      </text>
    </comment>
    <comment ref="AS193" authorId="7" shapeId="0" xr:uid="{9CC0CCFA-5B90-48A3-B9BF-66F12190E7BA}">
      <text>
        <r>
          <rPr>
            <b/>
            <sz val="9"/>
            <color indexed="81"/>
            <rFont val="Tahoma"/>
            <family val="2"/>
          </rPr>
          <t>Target of 20% of revenue by 2026</t>
        </r>
      </text>
    </comment>
    <comment ref="C199" authorId="0" shapeId="0" xr:uid="{62FEFD14-E297-4DA2-8C99-7ACD9B4EB482}">
      <text>
        <r>
          <rPr>
            <sz val="9"/>
            <color indexed="81"/>
            <rFont val="Tahoma"/>
            <family val="2"/>
          </rPr>
          <t>Marketable debt investments are generally designated as trading assets when a market risk is economically hedged at inception with a related derivative instrument, or when the marketable debt investment itself is used to economically hedge currency exchange rate risk from remeasurement. Investments designated as trading assets are reported at fair value. Gains or losses on these investments arising from changes in fair value due to interest rate and currency market fluctuations and credit market volatility, largely offset by losses or gains on the related derivative instruments and balance sheet remeasurement, are recorded in interest and other, net.</t>
        </r>
      </text>
    </comment>
    <comment ref="AB199" authorId="0" shapeId="0" xr:uid="{FD5507AB-90E9-4F53-91F5-97C254434724}">
      <text>
        <r>
          <rPr>
            <sz val="9"/>
            <color indexed="81"/>
            <rFont val="Tahoma"/>
            <family val="2"/>
          </rPr>
          <t>For trading assets still held at the reporting date, we recorded net losses of $606 million in 2021, net gains of $694 million in 2020 and net gains of $26 million in 2019. Net gains on the related derivatives were $609 million in 2021 (net losses of $667 million in 2020 and net gains of $22 million in 2019).</t>
        </r>
      </text>
    </comment>
    <comment ref="AC199" authorId="7" shapeId="0" xr:uid="{10F99E5F-B55B-4C7E-B462-9FAE58B10927}">
      <text>
        <r>
          <rPr>
            <sz val="9"/>
            <color indexed="81"/>
            <rFont val="Tahoma"/>
            <family val="2"/>
          </rPr>
          <t xml:space="preserve">Assuming no gains/losses </t>
        </r>
      </text>
    </comment>
    <comment ref="AS209" authorId="7" shapeId="0" xr:uid="{71C68109-A8A8-43C4-AF9A-4B0596EBED46}">
      <text>
        <r>
          <rPr>
            <sz val="9"/>
            <color indexed="81"/>
            <rFont val="Tahoma"/>
            <family val="2"/>
          </rPr>
          <t>Instead of showing gain on sale of assets and adjusting for it, assumed the remaining 2B worth of book value to go from goodwill in 2025</t>
        </r>
      </text>
    </comment>
    <comment ref="E216" authorId="10" shapeId="0" xr:uid="{CF7A874D-F7B1-478F-90AA-BB231E0BBD31}">
      <text>
        <r>
          <rPr>
            <b/>
            <sz val="9"/>
            <color indexed="81"/>
            <rFont val="Tahoma"/>
            <family val="2"/>
          </rPr>
          <t>Includes accrued advertising</t>
        </r>
      </text>
    </comment>
    <comment ref="F216" authorId="10" shapeId="0" xr:uid="{773F2FD7-8818-4429-B63A-73F7BFBF114A}">
      <text>
        <r>
          <rPr>
            <b/>
            <sz val="9"/>
            <color indexed="81"/>
            <rFont val="Tahoma"/>
            <family val="2"/>
          </rPr>
          <t>Includes accrued advertising</t>
        </r>
      </text>
    </comment>
    <comment ref="G216" authorId="10" shapeId="0" xr:uid="{2C55122A-E627-435E-A323-7B4061643A5E}">
      <text>
        <r>
          <rPr>
            <b/>
            <sz val="9"/>
            <color indexed="81"/>
            <rFont val="Tahoma"/>
            <family val="2"/>
          </rPr>
          <t>Includes accrued advertising</t>
        </r>
      </text>
    </comment>
    <comment ref="I216" authorId="10" shapeId="0" xr:uid="{58B9DC03-780A-40B0-B1F5-75C40D41AF95}">
      <text>
        <r>
          <rPr>
            <b/>
            <sz val="9"/>
            <color indexed="81"/>
            <rFont val="Tahoma"/>
            <family val="2"/>
          </rPr>
          <t>Includes accrued advertising</t>
        </r>
      </text>
    </comment>
    <comment ref="J216" authorId="10" shapeId="0" xr:uid="{7AAB604E-59A5-44BE-92F0-D30032EEFEFE}">
      <text>
        <r>
          <rPr>
            <b/>
            <sz val="9"/>
            <color indexed="81"/>
            <rFont val="Tahoma"/>
            <family val="2"/>
          </rPr>
          <t>Includes accrued advertising</t>
        </r>
      </text>
    </comment>
    <comment ref="K216" authorId="10" shapeId="0" xr:uid="{D21AEC06-9AC2-42D9-8B9D-42D724E0C4A0}">
      <text>
        <r>
          <rPr>
            <b/>
            <sz val="9"/>
            <color indexed="81"/>
            <rFont val="Tahoma"/>
            <family val="2"/>
          </rPr>
          <t>Includes accrued advertising</t>
        </r>
      </text>
    </comment>
    <comment ref="AH216" authorId="10" shapeId="0" xr:uid="{41D4C5BB-2E1F-4196-BC16-F1F534367CC9}">
      <text>
        <r>
          <rPr>
            <b/>
            <sz val="9"/>
            <color indexed="81"/>
            <rFont val="Tahoma"/>
            <family val="2"/>
          </rPr>
          <t>Includes accrued advertising</t>
        </r>
      </text>
    </comment>
    <comment ref="AI216" authorId="10" shapeId="0" xr:uid="{41C80B60-D1C3-4C0B-8308-5414ABD16940}">
      <text>
        <r>
          <rPr>
            <b/>
            <sz val="9"/>
            <color indexed="81"/>
            <rFont val="Tahoma"/>
            <family val="2"/>
          </rPr>
          <t>Includes accrued advertising</t>
        </r>
      </text>
    </comment>
    <comment ref="AB219" authorId="0" shapeId="0" xr:uid="{28CF4987-769A-4842-8ED6-F3D92A7DB9E6}">
      <text>
        <r>
          <rPr>
            <sz val="9"/>
            <color indexed="81"/>
            <rFont val="Tahoma"/>
            <family val="2"/>
          </rPr>
          <t>Other accrued liabilities include deferred compensation of $2.8 billion as of December 25, 2021 ($2.5 billion as of December 26, 2020) and collateral received for derivatives under credit support annex agreements of $1.0 billion as of December 25, 2021 ($2.0 billion as of December 26, 2020).</t>
        </r>
      </text>
    </comment>
    <comment ref="AO306" authorId="7" shapeId="0" xr:uid="{835D233F-0952-4E9F-894D-D0330E3C6EBF}">
      <text>
        <r>
          <rPr>
            <sz val="9"/>
            <color indexed="81"/>
            <rFont val="Tahoma"/>
            <family val="2"/>
          </rPr>
          <t>NAND profitability improved due to the absence of depreciation expense from NAND property, plant and equipment that was held for sale throughout 2021.</t>
        </r>
      </text>
    </comment>
    <comment ref="AP324" authorId="7" shapeId="0" xr:uid="{C048FCDB-A787-44A0-968E-B804257FB35A}">
      <text>
        <r>
          <rPr>
            <b/>
            <sz val="9"/>
            <color indexed="81"/>
            <rFont val="Tahoma"/>
            <family val="2"/>
          </rPr>
          <t>Guidance of $26.8B</t>
        </r>
      </text>
    </comment>
    <comment ref="AO326" authorId="0" shapeId="0" xr:uid="{D1D31EFB-9057-4C08-AE8C-6E5B52C208E2}">
      <text>
        <r>
          <rPr>
            <b/>
            <sz val="9"/>
            <color indexed="81"/>
            <rFont val="Tahoma"/>
            <family val="2"/>
          </rPr>
          <t>2021 Q4 Transcript:</t>
        </r>
        <r>
          <rPr>
            <sz val="9"/>
            <color indexed="81"/>
            <rFont val="Tahoma"/>
            <family val="2"/>
          </rPr>
          <t xml:space="preserve">
if you look back at the 2021 CapEx split, it was roughly 60% equipment, 40% space build-out. So that's at least the ratio last year. Of course, it might evolve over time, but it gives you kind of a rough magnitude of the numbers.</t>
        </r>
      </text>
    </comment>
    <comment ref="AP326" authorId="0" shapeId="0" xr:uid="{85BD9AA8-B0B9-457D-9651-EEEB400D454F}">
      <text>
        <r>
          <rPr>
            <b/>
            <sz val="9"/>
            <color indexed="81"/>
            <rFont val="Tahoma"/>
            <family val="2"/>
          </rPr>
          <t xml:space="preserve">Q4'21 Transcript:  
JPM Analyst: Pg- 10/15
</t>
        </r>
        <r>
          <rPr>
            <sz val="9"/>
            <color indexed="81"/>
            <rFont val="Tahoma"/>
            <family val="2"/>
          </rPr>
          <t xml:space="preserve">If I'm a potential IFS customer and I start my design today, realistically, right, I'm not expecting my chip design to be ready for manufacturing conservatively for at least 2 years because that's just how long the design cycle times are for these leading-edge chips. And it seems consistent with your prior commentary on IFS customers more focused on your 20 and 18A nodes, which is kind of 2024-2025 time frame. 
So if I think about the real big CapEx outlay to support IFS, my assumption is that it's probably not until 2024 or maybe even 2025 time frame. Is that kind of the right way to think about it that most of the CapEx spend for IFS is probably 2 to 3 years' delay and more of the CapEx spend over the next 2, 3 years is to support growth of the core compute businesses?
</t>
        </r>
      </text>
    </comment>
    <comment ref="AS326" authorId="7" shapeId="0" xr:uid="{DDFCB045-B5C6-4AAE-8619-73BAE04F4712}">
      <text>
        <r>
          <rPr>
            <b/>
            <sz val="9"/>
            <color indexed="81"/>
            <rFont val="Tahoma"/>
            <family val="2"/>
          </rPr>
          <t>Ohio fab to be operational by 2025</t>
        </r>
      </text>
    </comment>
    <comment ref="AJ332" authorId="0" shapeId="0" xr:uid="{8230E5CC-6402-4051-88AF-DD5BDD4728B3}">
      <text>
        <r>
          <rPr>
            <sz val="9"/>
            <color indexed="81"/>
            <rFont val="Tahoma"/>
            <family val="2"/>
          </rPr>
          <t>Havana labs and others</t>
        </r>
      </text>
    </comment>
    <comment ref="AK332" authorId="0" shapeId="0" xr:uid="{5822668A-993D-41FB-9128-B2BEE5E98107}">
      <text>
        <r>
          <rPr>
            <sz val="9"/>
            <color indexed="81"/>
            <rFont val="Tahoma"/>
            <family val="2"/>
          </rPr>
          <t>Mobileye acquisition</t>
        </r>
      </text>
    </comment>
    <comment ref="AC336" authorId="7" shapeId="0" xr:uid="{24FDE227-DB84-4EA8-80E8-68F0A17565DD}">
      <text>
        <r>
          <rPr>
            <sz val="9"/>
            <color indexed="81"/>
            <rFont val="Tahoma"/>
            <family val="2"/>
          </rPr>
          <t>https://www.intc.com/news-events/press-releases/detail/1513/intel-sells-ssd-business-and-dalian-facility-to-sk-hynix</t>
        </r>
      </text>
    </comment>
    <comment ref="AS336" authorId="7" shapeId="0" xr:uid="{1AEB05D5-BCA2-43CA-96EB-44E1F0261D5A}">
      <text>
        <r>
          <rPr>
            <sz val="9"/>
            <color indexed="81"/>
            <rFont val="Tahoma"/>
            <family val="2"/>
          </rPr>
          <t>https://www.intc.com/news-events/press-releases/detail/1513/intel-sells-ssd-business-and-dalian-facility-to-sk-hynix</t>
        </r>
      </text>
    </comment>
    <comment ref="AC381" authorId="0" shapeId="0" xr:uid="{BF7EE3A9-FA8C-4C7F-91DE-7146E8800C8D}">
      <text>
        <r>
          <rPr>
            <sz val="9"/>
            <color indexed="81"/>
            <rFont val="Tahoma"/>
            <family val="2"/>
          </rPr>
          <t xml:space="preserve">2022 Feb Investor Call:
We intend to maintain a healthy dividend, and we intend to grow that dividend over time. You can count on us. to do that. That will be the primary way we return cash to shareholders and grow the stock further than the earnings growth
2021 Q4:
I think there's a lot of opportunity to create a lot of shareholder value. In fact, one of the areas we're doing that right now is increasing the dividend 5%.
</t>
        </r>
      </text>
    </comment>
    <comment ref="AQ381" authorId="0" shapeId="0" xr:uid="{038F1F91-8C84-48D0-8752-90D7D791CB03}">
      <text>
        <r>
          <rPr>
            <sz val="9"/>
            <color indexed="81"/>
            <rFont val="Tahoma"/>
            <family val="2"/>
          </rPr>
          <t xml:space="preserve">2022 Feb Investor Call:
We intend to maintain a healthy dividend, and we intend to grow that dividend over time. You can count on us. to do that. That will be the primary way we return cash to shareholders and grow the stock further than the earnings growth
2021 Q4:
I think there's a lot of opportunity to create a lot of shareholder value. In fact, one of the areas we're doing that right now is increasing the dividend 5%.
</t>
        </r>
      </text>
    </comment>
    <comment ref="AQ398" authorId="7" shapeId="0" xr:uid="{5F4FA865-61AC-48C7-8B4D-23BEFE4A8453}">
      <text>
        <r>
          <rPr>
            <b/>
            <sz val="9"/>
            <color indexed="81"/>
            <rFont val="Tahoma"/>
            <family val="2"/>
          </rPr>
          <t>Guidance/outlook</t>
        </r>
      </text>
    </comment>
    <comment ref="AR398" authorId="7" shapeId="0" xr:uid="{2071E660-10AD-4015-A086-98AECEF7C9D0}">
      <text>
        <r>
          <rPr>
            <b/>
            <sz val="9"/>
            <color indexed="81"/>
            <rFont val="Tahoma"/>
            <family val="2"/>
          </rPr>
          <t>Guidance/outlook</t>
        </r>
      </text>
    </comment>
    <comment ref="AS398" authorId="7" shapeId="0" xr:uid="{57E5DC06-B549-4E94-913A-3E6AB29791BE}">
      <text>
        <r>
          <rPr>
            <b/>
            <sz val="9"/>
            <color indexed="81"/>
            <rFont val="Tahoma"/>
            <family val="2"/>
          </rPr>
          <t>Guidance/outlook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Gaurang Grover</author>
  </authors>
  <commentList>
    <comment ref="Q12" authorId="0" shapeId="0" xr:uid="{ED1A6733-C030-4DDD-A635-DE7F094491B9}">
      <text>
        <r>
          <rPr>
            <sz val="9"/>
            <color indexed="81"/>
            <rFont val="Tahoma"/>
            <family val="2"/>
          </rPr>
          <t>Daily Weekly Monthly Yearly 
are 
C AW AM AY
respectively</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<sst xmlns="http://schemas.openxmlformats.org/spreadsheetml/2006/main" count="1914" uniqueCount="1160">
  <si>
    <t>Questions</t>
  </si>
  <si>
    <t xml:space="preserve">Assumptions </t>
  </si>
  <si>
    <t>Year</t>
  </si>
  <si>
    <t>Period End</t>
  </si>
  <si>
    <t>Income Statement</t>
  </si>
  <si>
    <t>Bull</t>
  </si>
  <si>
    <t>Base</t>
  </si>
  <si>
    <t>Bear</t>
  </si>
  <si>
    <t>Adj. Gross Margin</t>
  </si>
  <si>
    <t>x</t>
  </si>
  <si>
    <t>Intel Corporation</t>
  </si>
  <si>
    <t>(All Values in $ millions, except per share data)</t>
  </si>
  <si>
    <t>Segments</t>
  </si>
  <si>
    <t>Year to Date</t>
  </si>
  <si>
    <t>Revenue</t>
  </si>
  <si>
    <t>Client Computing Group</t>
  </si>
  <si>
    <t>Platform</t>
  </si>
  <si>
    <t>y/y growth</t>
  </si>
  <si>
    <t>Adjacent</t>
  </si>
  <si>
    <t>Total</t>
  </si>
  <si>
    <t>Data Center Group</t>
  </si>
  <si>
    <t>Internet of Things</t>
  </si>
  <si>
    <t>IOTG</t>
  </si>
  <si>
    <t>Mobileye</t>
  </si>
  <si>
    <t>Non-Volatile Memory Solutions Group</t>
  </si>
  <si>
    <t>Programmable Solutions Group</t>
  </si>
  <si>
    <t>All other</t>
  </si>
  <si>
    <t>Total net revenue</t>
  </si>
  <si>
    <t>New Segments</t>
  </si>
  <si>
    <t>Client Computing Group (CCG)</t>
  </si>
  <si>
    <t>Data Center &amp; AI (DCAI)</t>
  </si>
  <si>
    <t>Networking &amp; Edge (NEX)</t>
  </si>
  <si>
    <t>Accelerated Computing &amp; Graphics Silicon (AXG)</t>
  </si>
  <si>
    <t>Intel Foundry Services (IFS)</t>
  </si>
  <si>
    <t>All Other</t>
  </si>
  <si>
    <t>Total (Ex-NAND)</t>
  </si>
  <si>
    <t>Operating Income</t>
  </si>
  <si>
    <t>% margin</t>
  </si>
  <si>
    <t>`</t>
  </si>
  <si>
    <t>Source</t>
  </si>
  <si>
    <t>Total operating income</t>
  </si>
  <si>
    <t>Check</t>
  </si>
  <si>
    <t>CCG desktop platform</t>
  </si>
  <si>
    <t>CCG notebook platform</t>
  </si>
  <si>
    <t>DCG platform</t>
  </si>
  <si>
    <t>Other platform</t>
  </si>
  <si>
    <t>CCG other platform</t>
  </si>
  <si>
    <t>IOTG platform</t>
  </si>
  <si>
    <t>Adjacent revenue</t>
  </si>
  <si>
    <t>ISecG divested business</t>
  </si>
  <si>
    <t>Total revenue</t>
  </si>
  <si>
    <t>China</t>
  </si>
  <si>
    <t>Singapore</t>
  </si>
  <si>
    <t>United States</t>
  </si>
  <si>
    <t>Taiwan</t>
  </si>
  <si>
    <t>Other regions</t>
  </si>
  <si>
    <t>Market Segment (YoY Revenue)</t>
  </si>
  <si>
    <t>CAGR</t>
  </si>
  <si>
    <t>Notebook</t>
  </si>
  <si>
    <t>Desktop</t>
  </si>
  <si>
    <t>CCG Platform (YoY)</t>
  </si>
  <si>
    <t>PC Volumes</t>
  </si>
  <si>
    <t>Notebook ASP</t>
  </si>
  <si>
    <t>Desktop ASP</t>
  </si>
  <si>
    <t>Cloud SP</t>
  </si>
  <si>
    <t>Enterprise &amp; Gov.</t>
  </si>
  <si>
    <t>Comms SP</t>
  </si>
  <si>
    <t>DCG Platform (YoY)</t>
  </si>
  <si>
    <t>Unit Volumes</t>
  </si>
  <si>
    <t>ASPs</t>
  </si>
  <si>
    <t>DCF</t>
  </si>
  <si>
    <t>Case</t>
  </si>
  <si>
    <t xml:space="preserve">Base </t>
  </si>
  <si>
    <t>Discounted Cash Flow (All Values in $ millions, except per share data)</t>
  </si>
  <si>
    <t>Adjusted EBITDA</t>
  </si>
  <si>
    <t>- Depreciation and amortization</t>
  </si>
  <si>
    <t>EBIT</t>
  </si>
  <si>
    <t>EBITDA</t>
  </si>
  <si>
    <t>- Income taxes</t>
  </si>
  <si>
    <t>UFCF</t>
  </si>
  <si>
    <t>Tax adjusted EBIT</t>
  </si>
  <si>
    <t>Margin</t>
  </si>
  <si>
    <t>+ Depreciation and amortization</t>
  </si>
  <si>
    <t xml:space="preserve">  EBIT</t>
  </si>
  <si>
    <t>- Increase in working capital</t>
  </si>
  <si>
    <t xml:space="preserve">  EBITDA</t>
  </si>
  <si>
    <t>- Capital expenditure</t>
  </si>
  <si>
    <t xml:space="preserve">  UFCF</t>
  </si>
  <si>
    <t>Unlevered FCF</t>
  </si>
  <si>
    <t>P/S Ratio</t>
  </si>
  <si>
    <t>Fair valuation</t>
  </si>
  <si>
    <t>Discounting Periods</t>
  </si>
  <si>
    <t>Cash Flows to Discounts</t>
  </si>
  <si>
    <t>Present Value of Cash Flows</t>
  </si>
  <si>
    <t>Required rate of return</t>
  </si>
  <si>
    <t>Cost of equity</t>
  </si>
  <si>
    <t>Cost of Debt</t>
  </si>
  <si>
    <t>Adjustements to Enterprise Value</t>
  </si>
  <si>
    <t>PV of Cash Flows</t>
  </si>
  <si>
    <t>Beta</t>
  </si>
  <si>
    <t>Total Debt</t>
  </si>
  <si>
    <t>Balance Sheet and Shares Date:</t>
  </si>
  <si>
    <t>Risk Free Rate</t>
  </si>
  <si>
    <t>Tax Rate</t>
  </si>
  <si>
    <t>- Cash &amp; equivalents</t>
  </si>
  <si>
    <t>Diluted Shares Outstanding</t>
  </si>
  <si>
    <t>Market Return</t>
  </si>
  <si>
    <t>- Equity Investment</t>
  </si>
  <si>
    <t>Net Debt, Pref.,&amp; Minority Interest and Equity Inv.</t>
  </si>
  <si>
    <t>Market Premium</t>
  </si>
  <si>
    <t>-  Mobileye Valuation</t>
  </si>
  <si>
    <t xml:space="preserve">- PV of NAND divestiture </t>
  </si>
  <si>
    <t>Terminal Year + 1 EBITDA</t>
  </si>
  <si>
    <t>Ke</t>
  </si>
  <si>
    <t>Kd Calc.</t>
  </si>
  <si>
    <t>+ Pension liability</t>
  </si>
  <si>
    <t>Seeking Alpha</t>
  </si>
  <si>
    <t>FY1 Multiple</t>
  </si>
  <si>
    <t>WACC</t>
  </si>
  <si>
    <t>+ Finance leases</t>
  </si>
  <si>
    <t>Terminal Value</t>
  </si>
  <si>
    <t>Weightage</t>
  </si>
  <si>
    <t>Cost</t>
  </si>
  <si>
    <t>Total adjustment to EV</t>
  </si>
  <si>
    <t>PV of Terminal Value</t>
  </si>
  <si>
    <t>Debt</t>
  </si>
  <si>
    <t>Equity</t>
  </si>
  <si>
    <t>Multiple</t>
  </si>
  <si>
    <t>Enterprise Value</t>
  </si>
  <si>
    <t>Total Cap</t>
  </si>
  <si>
    <t xml:space="preserve">  Bull</t>
  </si>
  <si>
    <t xml:space="preserve">  Base</t>
  </si>
  <si>
    <t>Combined Equity Value</t>
  </si>
  <si>
    <t xml:space="preserve">  Bear</t>
  </si>
  <si>
    <t>Price per Share</t>
  </si>
  <si>
    <t xml:space="preserve">Intrinsic Value </t>
  </si>
  <si>
    <t>Stock Data</t>
  </si>
  <si>
    <t>Implied Perpetuity Growth</t>
  </si>
  <si>
    <t>Particular</t>
  </si>
  <si>
    <t>Price</t>
  </si>
  <si>
    <t>52W range</t>
  </si>
  <si>
    <t>$47.6 - $68.3</t>
  </si>
  <si>
    <t>PV of cash flows</t>
  </si>
  <si>
    <t>Intrinsic value</t>
  </si>
  <si>
    <t>Market Cap ($bn)</t>
  </si>
  <si>
    <t>Current Share Price</t>
  </si>
  <si>
    <t>PV of terminal value</t>
  </si>
  <si>
    <t>Upside/(Downside)</t>
  </si>
  <si>
    <t>EV ($bn)</t>
  </si>
  <si>
    <t>Upside/Downside</t>
  </si>
  <si>
    <t>Enterprise value</t>
  </si>
  <si>
    <t>Absolute returns</t>
  </si>
  <si>
    <t>BBG/Reuter Ticker</t>
  </si>
  <si>
    <t>INTC US/ INTC.OQ</t>
  </si>
  <si>
    <t xml:space="preserve">  1 year</t>
  </si>
  <si>
    <t>ROE</t>
  </si>
  <si>
    <t>Adjustments to EV</t>
  </si>
  <si>
    <t xml:space="preserve">  5 years</t>
  </si>
  <si>
    <t>ROIC</t>
  </si>
  <si>
    <t>Equity value</t>
  </si>
  <si>
    <t xml:space="preserve">  10 years</t>
  </si>
  <si>
    <t>Dividend Yield</t>
  </si>
  <si>
    <t>Shares outstanding</t>
  </si>
  <si>
    <t>Intrinsic value ($)</t>
  </si>
  <si>
    <t>CMP</t>
  </si>
  <si>
    <t>EBITDA Exit multiple</t>
  </si>
  <si>
    <t>Valuation Ratios</t>
  </si>
  <si>
    <t>EV/EBITDA</t>
  </si>
  <si>
    <t>P/E</t>
  </si>
  <si>
    <t>Model (at intrinsic value)</t>
  </si>
  <si>
    <t>Model (at current value)</t>
  </si>
  <si>
    <t>Consensus</t>
  </si>
  <si>
    <t>EV/Sales</t>
  </si>
  <si>
    <t>P/FCF</t>
  </si>
  <si>
    <t>FCFF using cash flow approach</t>
  </si>
  <si>
    <t>Add: Interest x (1 - tax rate)</t>
  </si>
  <si>
    <t>Less: Capex</t>
  </si>
  <si>
    <t>Less: UFCF from Mobileye</t>
  </si>
  <si>
    <t>Total UFCF</t>
  </si>
  <si>
    <t>From EBITDA approach</t>
  </si>
  <si>
    <t>Financials</t>
  </si>
  <si>
    <t>Trend</t>
  </si>
  <si>
    <t>Net revenue</t>
  </si>
  <si>
    <t>Cost of sales</t>
  </si>
  <si>
    <t>Gross margin</t>
  </si>
  <si>
    <t>margin</t>
  </si>
  <si>
    <t>Research and development</t>
  </si>
  <si>
    <t>Marketing, general and administrative</t>
  </si>
  <si>
    <t>Restructuring and other charges</t>
  </si>
  <si>
    <t>Amortization of acquisition-related intangibles</t>
  </si>
  <si>
    <t>Operating expenses</t>
  </si>
  <si>
    <t>Operating income</t>
  </si>
  <si>
    <t>Gains (losses) on equity investments, net</t>
  </si>
  <si>
    <t>Interest and other, net</t>
  </si>
  <si>
    <t>Income before taxes</t>
  </si>
  <si>
    <t>Provision for taxes</t>
  </si>
  <si>
    <t>effective tax rate %</t>
  </si>
  <si>
    <t>Net income</t>
  </si>
  <si>
    <t>Earnings per share</t>
  </si>
  <si>
    <t>Basic</t>
  </si>
  <si>
    <t>Diluted</t>
  </si>
  <si>
    <t>Weighted average shares of common stock outstanding:</t>
  </si>
  <si>
    <t>Adj. Income Statement ($mn)</t>
  </si>
  <si>
    <t>Gross profit</t>
  </si>
  <si>
    <t>Net Income</t>
  </si>
  <si>
    <t>Diluted share count (mn)</t>
  </si>
  <si>
    <t>EPS</t>
  </si>
  <si>
    <t>Payout ratio</t>
  </si>
  <si>
    <t>Margins, returns and growth</t>
  </si>
  <si>
    <t>Margins</t>
  </si>
  <si>
    <t xml:space="preserve">  Gross</t>
  </si>
  <si>
    <t xml:space="preserve">  EBIT </t>
  </si>
  <si>
    <t xml:space="preserve">  Net margin</t>
  </si>
  <si>
    <t>Returns</t>
  </si>
  <si>
    <t xml:space="preserve">  ROA </t>
  </si>
  <si>
    <t xml:space="preserve">  ROE </t>
  </si>
  <si>
    <t xml:space="preserve">  ROIC </t>
  </si>
  <si>
    <t xml:space="preserve">  ROIC ex-goodwill </t>
  </si>
  <si>
    <t xml:space="preserve">  Revenue</t>
  </si>
  <si>
    <t xml:space="preserve">  Gross profit</t>
  </si>
  <si>
    <t>Cash flow statement</t>
  </si>
  <si>
    <t>Other items</t>
  </si>
  <si>
    <t>Net (inc.)/dec. in WC</t>
  </si>
  <si>
    <t>Cash flow from operations</t>
  </si>
  <si>
    <t>Capital expenditure</t>
  </si>
  <si>
    <t>Other Items</t>
  </si>
  <si>
    <t>Cash flow from investing</t>
  </si>
  <si>
    <t>Net change in debt</t>
  </si>
  <si>
    <t>Dividends paid</t>
  </si>
  <si>
    <t>Shares repurchased</t>
  </si>
  <si>
    <t>Cash flow from financing</t>
  </si>
  <si>
    <t>Total cash flow</t>
  </si>
  <si>
    <t>Free cash flow</t>
  </si>
  <si>
    <t>EBITDA conversion rate</t>
  </si>
  <si>
    <t>Non-GAAP</t>
  </si>
  <si>
    <t>GAAP net revenue</t>
  </si>
  <si>
    <t>Deferred revenue write-down</t>
  </si>
  <si>
    <t>NAND memory business</t>
  </si>
  <si>
    <t>Non-GAAP net revenue</t>
  </si>
  <si>
    <t>GAAP gross profit</t>
  </si>
  <si>
    <t>Deferred revenue write-down, net of cost of sales</t>
  </si>
  <si>
    <t>Acquisition-related adjustments</t>
  </si>
  <si>
    <t>Inventory valuation adjustments</t>
  </si>
  <si>
    <t>Non-GAAP gross profit</t>
  </si>
  <si>
    <t>NAND memory business Gross margin</t>
  </si>
  <si>
    <t>GAAP gross margin percentage</t>
  </si>
  <si>
    <t>Non-GAAP gross margin percentage</t>
  </si>
  <si>
    <t>GAAP R&amp;D and MG&amp;A</t>
  </si>
  <si>
    <t>Non-GAAP R&amp;D and MG&amp;A</t>
  </si>
  <si>
    <t>% of Revenue</t>
  </si>
  <si>
    <t>GAAP operating income</t>
  </si>
  <si>
    <t>Reason behind historical margin compression</t>
  </si>
  <si>
    <t>Non-GAAP operating income</t>
  </si>
  <si>
    <t>Add: D&amp;A</t>
  </si>
  <si>
    <t>GAAP operating margin</t>
  </si>
  <si>
    <t>Non-GAAP operating margin</t>
  </si>
  <si>
    <t>GAAP tax rate</t>
  </si>
  <si>
    <t>Divestiture of Intel Security</t>
  </si>
  <si>
    <t>Tax Reform</t>
  </si>
  <si>
    <t>Income tax effects</t>
  </si>
  <si>
    <t>Non-GAAP tax rate</t>
  </si>
  <si>
    <t>GAAP net income</t>
  </si>
  <si>
    <t>(Gains) losses from divestiture</t>
  </si>
  <si>
    <t>Ongoing mark-to-market on marketable equity securities</t>
  </si>
  <si>
    <t>Non-GAAP net income</t>
  </si>
  <si>
    <t>GAAP earnings per share—diluted</t>
  </si>
  <si>
    <t>Inventory valuation</t>
  </si>
  <si>
    <t>Non-GAAP earnings per share—diluted</t>
  </si>
  <si>
    <t>https://www.barrons.com/articles/intels-cfo-swan-explains-the-transformation-1517510410</t>
  </si>
  <si>
    <t>GAAP cash from operations</t>
  </si>
  <si>
    <t>Additions to property, plant and equipment</t>
  </si>
  <si>
    <t>Balance Sheet</t>
  </si>
  <si>
    <t>Cash and cash equivalents</t>
  </si>
  <si>
    <t>Short-term investments</t>
  </si>
  <si>
    <t>Trading assets</t>
  </si>
  <si>
    <t>Accounts receivable, net of allowance for doubtful accounts</t>
  </si>
  <si>
    <t>Inventories</t>
  </si>
  <si>
    <t>Assets held for sale</t>
  </si>
  <si>
    <t>Other current assets</t>
  </si>
  <si>
    <t>Total current assets</t>
  </si>
  <si>
    <t>Property, plant and equipment, net</t>
  </si>
  <si>
    <t>Equity investments</t>
  </si>
  <si>
    <t>Other long-term investments</t>
  </si>
  <si>
    <t>Goodwill</t>
  </si>
  <si>
    <t>Identified intangible assets, net</t>
  </si>
  <si>
    <t>Other long-term assets</t>
  </si>
  <si>
    <t>Total assets</t>
  </si>
  <si>
    <t>Short-term debt</t>
  </si>
  <si>
    <t>Accounts payable</t>
  </si>
  <si>
    <t>Accrued compensation and benefits</t>
  </si>
  <si>
    <t>Deferred income</t>
  </si>
  <si>
    <t>Liabilities held for sale</t>
  </si>
  <si>
    <t>Other accrued liabilities</t>
  </si>
  <si>
    <t>Total current liabilities</t>
  </si>
  <si>
    <t>Contract liabilities</t>
  </si>
  <si>
    <t>Income taxes payable</t>
  </si>
  <si>
    <t>Deferred income taxes</t>
  </si>
  <si>
    <t>Other long-term liabilities</t>
  </si>
  <si>
    <t>Total liabilities</t>
  </si>
  <si>
    <t>Temporary equity</t>
  </si>
  <si>
    <t>Common stock</t>
  </si>
  <si>
    <t>Accumulated other comprehensive income (loss)</t>
  </si>
  <si>
    <t>Retained earnings</t>
  </si>
  <si>
    <t>Total stockholders' equity</t>
  </si>
  <si>
    <t>Total liabilities and stockholders' equity</t>
  </si>
  <si>
    <t>check</t>
  </si>
  <si>
    <t>Invested Capital</t>
  </si>
  <si>
    <t>Invested Capital -- Operating Method</t>
  </si>
  <si>
    <t>Operating Working Capital (incl. restricted cash)</t>
  </si>
  <si>
    <t>Net PP&amp;E</t>
  </si>
  <si>
    <t>Other Assets, net of Other Liabilities</t>
  </si>
  <si>
    <t>Operating Invested Capital</t>
  </si>
  <si>
    <t>Cash &amp; Cash Equivalent</t>
  </si>
  <si>
    <t>Goodwill and Intangible assets</t>
  </si>
  <si>
    <t>Total Invested Capital</t>
  </si>
  <si>
    <t>Invested Capital -- Financing Method</t>
  </si>
  <si>
    <t>Deferred Income taxes</t>
  </si>
  <si>
    <t xml:space="preserve">  Adjusted Equity</t>
  </si>
  <si>
    <t>Interest Bearing Debt</t>
  </si>
  <si>
    <t xml:space="preserve">  Total Invested Capital</t>
  </si>
  <si>
    <t xml:space="preserve">  Invested Capital, ex-Goodwill</t>
  </si>
  <si>
    <t>Reconciliation NOPLAT</t>
  </si>
  <si>
    <t>NOPLAT (Bottom-Up)</t>
  </si>
  <si>
    <t>+ Increase in Deferred Taxes</t>
  </si>
  <si>
    <t>- Other Non-Opt. Income, net of Tax</t>
  </si>
  <si>
    <t xml:space="preserve">  Adjusted Net income</t>
  </si>
  <si>
    <t>+ Net Interest Expense After Tax</t>
  </si>
  <si>
    <t xml:space="preserve">  NOPLAT</t>
  </si>
  <si>
    <t>NOPLAT (Top-Down)</t>
  </si>
  <si>
    <t>- Tax on EBIT</t>
  </si>
  <si>
    <t>Tax on EBIT</t>
  </si>
  <si>
    <t>Provision from IS</t>
  </si>
  <si>
    <t>+ Tax shield on net interest expense</t>
  </si>
  <si>
    <t>- Tax on non-operating income</t>
  </si>
  <si>
    <t>ROIC, ex Goodwill</t>
  </si>
  <si>
    <t>Ratios</t>
  </si>
  <si>
    <t>DSO</t>
  </si>
  <si>
    <t>DIO</t>
  </si>
  <si>
    <t>DPO</t>
  </si>
  <si>
    <t>Cash conversion cycle</t>
  </si>
  <si>
    <t>Other current assets as a % of revenue</t>
  </si>
  <si>
    <t>Other accrued liabilties as a % of revenue</t>
  </si>
  <si>
    <t>SBC as a % of revenue</t>
  </si>
  <si>
    <t>Cash Flow Statement</t>
  </si>
  <si>
    <t>Depreciation</t>
  </si>
  <si>
    <t>Share-based compensation</t>
  </si>
  <si>
    <t>Amortization of intangibles</t>
  </si>
  <si>
    <t>(Gains) losses on equity investments, net</t>
  </si>
  <si>
    <t>(Gains) losses on divestitures</t>
  </si>
  <si>
    <t>Deferred taxes</t>
  </si>
  <si>
    <t>Excess tax benefit from share-based payment arrangements</t>
  </si>
  <si>
    <t>Loss on debt conversion and extinguishment</t>
  </si>
  <si>
    <t>Change in working capital</t>
  </si>
  <si>
    <t>Accounts receivable</t>
  </si>
  <si>
    <t>Income taxes</t>
  </si>
  <si>
    <t>Prepaid customer supply agreements</t>
  </si>
  <si>
    <t>Other assets and liabilities</t>
  </si>
  <si>
    <t>Total adjustments</t>
  </si>
  <si>
    <t>Net cash flows from operating activities</t>
  </si>
  <si>
    <t>Additions to held for sale NAND property, plant and equipment</t>
  </si>
  <si>
    <t>Purchases of available-for-sale debt investments</t>
  </si>
  <si>
    <t>Maturities and sales of available-for-sale debt investments</t>
  </si>
  <si>
    <t>Purchases of trading assets</t>
  </si>
  <si>
    <t>Maturities and sales of trading assets</t>
  </si>
  <si>
    <t>Acquisitions, net of cash acquired</t>
  </si>
  <si>
    <t>Investments in loans receivable and reverse repurchase agreements</t>
  </si>
  <si>
    <t>Collection of loans receivable and reverse repurchase agreements</t>
  </si>
  <si>
    <t>Investments in non-marketable equity investments</t>
  </si>
  <si>
    <t>Proceeds from divestitures</t>
  </si>
  <si>
    <t>Purchases of equity investments</t>
  </si>
  <si>
    <t>Sales of equity investments</t>
  </si>
  <si>
    <t>Other investing</t>
  </si>
  <si>
    <t>Net cash used for investing activities</t>
  </si>
  <si>
    <t>Issuance of term debt, net of issuance costs</t>
  </si>
  <si>
    <t>Repayment of term debt and debt conversions</t>
  </si>
  <si>
    <t>Increase (decrease) in short-term debt, net</t>
  </si>
  <si>
    <t>Proceeds from sales of common stock through employee equity incentive plans</t>
  </si>
  <si>
    <t>Repurchase of common stock</t>
  </si>
  <si>
    <t>Collateral associated with repurchase of common stock</t>
  </si>
  <si>
    <t>Payment of dividends to stockholders</t>
  </si>
  <si>
    <t>Restricted stock unit withholdings</t>
  </si>
  <si>
    <t>Increase (decrease) in liability due to collateral associated with repurchase of common stock</t>
  </si>
  <si>
    <t>Other financing</t>
  </si>
  <si>
    <t>Net cash provided by (used for) financing activities</t>
  </si>
  <si>
    <t>Net increase (decrease) in cash and cash equivalents</t>
  </si>
  <si>
    <t>Cash and cash equivalents, beginning of period</t>
  </si>
  <si>
    <t>Effect of exchange rate fluctuations on cash and cash equivalents</t>
  </si>
  <si>
    <t>Cash and cash equivalents, end of period</t>
  </si>
  <si>
    <t>Supplemental disclosures of noncash investing activities and cash flow information:</t>
  </si>
  <si>
    <t>Acquisition of property, plant and equipment included in accounts payable and accrued liabilities</t>
  </si>
  <si>
    <t>Loan receivable from McAfee and TPG</t>
  </si>
  <si>
    <t>Non-marketable equity investment in McAfee from divestiture</t>
  </si>
  <si>
    <t>Cash paid during the period for:</t>
  </si>
  <si>
    <t>Interest, net of capitalized interest</t>
  </si>
  <si>
    <t>Income taxes, net of refunds</t>
  </si>
  <si>
    <t>Share Repurchase &amp; Dividends Schedule</t>
  </si>
  <si>
    <t>Share repurchases</t>
  </si>
  <si>
    <t>Assumed share price</t>
  </si>
  <si>
    <t>Units repurchased</t>
  </si>
  <si>
    <t>Weighted average common shares outstanding</t>
  </si>
  <si>
    <t xml:space="preserve">Basic </t>
  </si>
  <si>
    <t>Dividend Per Share</t>
  </si>
  <si>
    <t>Dividend Paid</t>
  </si>
  <si>
    <t>Property, Plant and Equipment</t>
  </si>
  <si>
    <t>Land and buildings</t>
  </si>
  <si>
    <t>Machinery and equipment</t>
  </si>
  <si>
    <t>Construction in progress</t>
  </si>
  <si>
    <t>Total property, plant and equipment, gross</t>
  </si>
  <si>
    <t>Less: accumulated depreciation</t>
  </si>
  <si>
    <t>Total property, plant and equipment, net</t>
  </si>
  <si>
    <t>Beginning PP&amp;E</t>
  </si>
  <si>
    <t>Add: Capex</t>
  </si>
  <si>
    <t>Less: Depreciation</t>
  </si>
  <si>
    <t>Ending PP&amp;E</t>
  </si>
  <si>
    <t>Capex as a % of revenue</t>
  </si>
  <si>
    <t>Depreciation as a % of beginning PP&amp;E</t>
  </si>
  <si>
    <t>Identified Intangible Assets</t>
  </si>
  <si>
    <t>Developed technology</t>
  </si>
  <si>
    <t>Accumulated Amortization</t>
  </si>
  <si>
    <t>Net</t>
  </si>
  <si>
    <t>Customer relationships and brands</t>
  </si>
  <si>
    <t>Licensed technology and patents</t>
  </si>
  <si>
    <t>In-process R&amp;D</t>
  </si>
  <si>
    <t>Other non-amortizing intangibles</t>
  </si>
  <si>
    <t>Gross assets</t>
  </si>
  <si>
    <t>Total amortization expenses</t>
  </si>
  <si>
    <t>Beginning Intangibles</t>
  </si>
  <si>
    <t>Add: Acquisitions</t>
  </si>
  <si>
    <t>Less: Amortization</t>
  </si>
  <si>
    <t>Ending Intagibles</t>
  </si>
  <si>
    <t>Amortization as a % of gross beginning Intangibles</t>
  </si>
  <si>
    <t>Circ</t>
  </si>
  <si>
    <t>Off</t>
  </si>
  <si>
    <t>On</t>
  </si>
  <si>
    <t>Maturity</t>
  </si>
  <si>
    <t>Three-month LIBOR plus 0.35%, due May 2022</t>
  </si>
  <si>
    <t>1.70%, due May 2021</t>
  </si>
  <si>
    <t>3.30%, due October 2021</t>
  </si>
  <si>
    <t>2.35%, due May 2022</t>
  </si>
  <si>
    <t>3.10%, due July 2022</t>
  </si>
  <si>
    <t>4.00%, due December 2022</t>
  </si>
  <si>
    <t>2.70%, due December 2022</t>
  </si>
  <si>
    <t>4.10%, due November 2023</t>
  </si>
  <si>
    <t>2.88%, due May 2024</t>
  </si>
  <si>
    <t>2.70%, due June 2024</t>
  </si>
  <si>
    <t>3.40%, due March 2025</t>
  </si>
  <si>
    <t>3.70%, due July 2025</t>
  </si>
  <si>
    <t>2.60%, due May 2026</t>
  </si>
  <si>
    <t>3.75%, due March 2027</t>
  </si>
  <si>
    <t>3.15%, due May 2027</t>
  </si>
  <si>
    <t>1.60%, due August 2028</t>
  </si>
  <si>
    <t>2.45%, due November 2029</t>
  </si>
  <si>
    <t>3.90%, due March 2030</t>
  </si>
  <si>
    <t>2.00%, due August 2031</t>
  </si>
  <si>
    <t>4.00%, due December 2032</t>
  </si>
  <si>
    <t>4.60%, due March 2040</t>
  </si>
  <si>
    <t>2.80%, due August 2041</t>
  </si>
  <si>
    <t>4.80%, due October 2041</t>
  </si>
  <si>
    <t>4.25%, due December 2042</t>
  </si>
  <si>
    <t>4.90%, due July 2045</t>
  </si>
  <si>
    <t>4.10%, due May 2046</t>
  </si>
  <si>
    <t>4.10%, due May 2047</t>
  </si>
  <si>
    <t>4.10%, due August 2047</t>
  </si>
  <si>
    <t>3.73%, due December 2047</t>
  </si>
  <si>
    <t>3.25%, due November 2049</t>
  </si>
  <si>
    <t>4.75%, due March 2050</t>
  </si>
  <si>
    <t>3.05%, due August 2051</t>
  </si>
  <si>
    <t>3.10%, due February 2060</t>
  </si>
  <si>
    <t>4.95%, due March 2060</t>
  </si>
  <si>
    <t>3.20%, due August 2061</t>
  </si>
  <si>
    <t>2.40% - 2.70%, due December 2035 - 2040</t>
  </si>
  <si>
    <t>5.00%, due March 2049</t>
  </si>
  <si>
    <t>5.00%, due June 2049</t>
  </si>
  <si>
    <t>Hedge accounting + unamortized premium</t>
  </si>
  <si>
    <t>Revolving Credit Facility</t>
  </si>
  <si>
    <t>Total debt ex. drawdown</t>
  </si>
  <si>
    <t>Additional drawdown</t>
  </si>
  <si>
    <t>Total debt</t>
  </si>
  <si>
    <t>Amortization</t>
  </si>
  <si>
    <t>Total debt amortization</t>
  </si>
  <si>
    <t>Average Debt Balance</t>
  </si>
  <si>
    <t>Average debt ex. drawdown</t>
  </si>
  <si>
    <t>Average debt</t>
  </si>
  <si>
    <t>Interest Expense</t>
  </si>
  <si>
    <t>Total interest expense ex. drawdown</t>
  </si>
  <si>
    <t>Total interest expense</t>
  </si>
  <si>
    <t>Revolver</t>
  </si>
  <si>
    <t>FCF</t>
  </si>
  <si>
    <t>Plus: Beginning cash</t>
  </si>
  <si>
    <t>Less: Shares repurchase</t>
  </si>
  <si>
    <t>Less: Dividend</t>
  </si>
  <si>
    <t>Less: Minimum cash</t>
  </si>
  <si>
    <t>Cash available for debt repayment</t>
  </si>
  <si>
    <t>Long-term debt issuances / (repayment)</t>
  </si>
  <si>
    <t>Cash available for revolver</t>
  </si>
  <si>
    <t>Beginning balance</t>
  </si>
  <si>
    <t xml:space="preserve">Borrowings / (paydown) </t>
  </si>
  <si>
    <t>Ending balance</t>
  </si>
  <si>
    <t>Additional Drawdown</t>
  </si>
  <si>
    <t>Beginning Balance</t>
  </si>
  <si>
    <t>USD</t>
  </si>
  <si>
    <t>INTC.O</t>
  </si>
  <si>
    <t>Thomson</t>
  </si>
  <si>
    <t>Tolerance</t>
  </si>
  <si>
    <t>FY2022</t>
  </si>
  <si>
    <t>FY2023</t>
  </si>
  <si>
    <t>FY2024</t>
  </si>
  <si>
    <t>FY2025</t>
  </si>
  <si>
    <t>FY2026</t>
  </si>
  <si>
    <t>Reuters Formulas</t>
  </si>
  <si>
    <t>Key Metrics</t>
  </si>
  <si>
    <t>Model</t>
  </si>
  <si>
    <t>Var ($)</t>
  </si>
  <si>
    <t>Var (%)</t>
  </si>
  <si>
    <t>Mean Estimates</t>
  </si>
  <si>
    <t>TR.RevenueMean</t>
  </si>
  <si>
    <t>TR.EBITDAMean</t>
  </si>
  <si>
    <t>TR.EBITMean</t>
  </si>
  <si>
    <t>Adjusted EBIT</t>
  </si>
  <si>
    <t>TR.NetProfitMean</t>
  </si>
  <si>
    <t>Adjusted Net Income</t>
  </si>
  <si>
    <t>TR.EPSMean</t>
  </si>
  <si>
    <t>Adjusted EPS</t>
  </si>
  <si>
    <t>TR.FCFMean</t>
  </si>
  <si>
    <t>Free Cash Flow</t>
  </si>
  <si>
    <t>TR.CapexMean</t>
  </si>
  <si>
    <t>Capital Expenditure</t>
  </si>
  <si>
    <t>Median Estimates</t>
  </si>
  <si>
    <t>TR.RevenueMedian</t>
  </si>
  <si>
    <t>TR.EBITDAMedian</t>
  </si>
  <si>
    <t>TR.EBITMedian</t>
  </si>
  <si>
    <t>TR.NetProfitMedian</t>
  </si>
  <si>
    <t>TR.EPSMedian</t>
  </si>
  <si>
    <t>TR.FCFMedian</t>
  </si>
  <si>
    <t>TR.CapexMedian</t>
  </si>
  <si>
    <t>Smart Estimates</t>
  </si>
  <si>
    <t>TR.RevenueSmartEst</t>
  </si>
  <si>
    <t>TR.EBITDASmartEst</t>
  </si>
  <si>
    <t>TR.EBITSmartEst</t>
  </si>
  <si>
    <t>TR.NetProfitSmartEst</t>
  </si>
  <si>
    <t>TR.EPSSmartEst</t>
  </si>
  <si>
    <t>TR.FCFSmartEst</t>
  </si>
  <si>
    <t>TR.CapexSmartEst</t>
  </si>
  <si>
    <t>Recommendations &amp; Target Price</t>
  </si>
  <si>
    <t>Guidance 2022</t>
  </si>
  <si>
    <t>GPUs</t>
  </si>
  <si>
    <t>Integrated GPU Market Share</t>
  </si>
  <si>
    <t>Discrete GPU Market Share</t>
  </si>
  <si>
    <t>https://www.hardwaretimes.com/nvidia-and-amds-gpu-market-share-grows-as-discrete-graphics-cards-become-more-popular/</t>
  </si>
  <si>
    <t>Intel Plans</t>
  </si>
  <si>
    <t>Intel is confirming that its first-generation discrete graphics with the Xe-HPG architecture will be on shelves in Q1 2022.</t>
  </si>
  <si>
    <t>On March 30, 2022 Intel debuted its new discrete graphics cards</t>
  </si>
  <si>
    <t>https://www.cnet.com/tech/computing/intel-arc-graphics-begin-the-rollout-starting-at-the-bottom/</t>
  </si>
  <si>
    <t>With this Arc line, Intel has made its mark in the discrete GPU space</t>
  </si>
  <si>
    <r>
      <t xml:space="preserve">This is a big deal for the industry since it marks a third entrant. </t>
    </r>
    <r>
      <rPr>
        <b/>
        <sz val="8"/>
        <color theme="1"/>
        <rFont val="Calibri"/>
        <family val="2"/>
      </rPr>
      <t>It also means that Intel will win some portion of the market using additional manufacturing capacity and therefore help lower supply constraints on GPUs further.</t>
    </r>
  </si>
  <si>
    <t>Intel is moving ahead with a family of GPUs, and the first in this space are the mobile GPUs it is calling Arc 3, Arc 5, and Arc 7.</t>
  </si>
  <si>
    <t>https://www.servethehome.com/welcome-intel-arc-gpus-to-the-market-nuc/</t>
  </si>
  <si>
    <t>Intel vs AMD and other players</t>
  </si>
  <si>
    <t>AMD PC Market Share Q4 2021</t>
  </si>
  <si>
    <t>3Q16</t>
  </si>
  <si>
    <t>4Q16</t>
  </si>
  <si>
    <t>1Q17</t>
  </si>
  <si>
    <t>2Q17</t>
  </si>
  <si>
    <t>3Q17</t>
  </si>
  <si>
    <t>4Q17</t>
  </si>
  <si>
    <t>1Q18</t>
  </si>
  <si>
    <t>2Q18</t>
  </si>
  <si>
    <t>3Q18</t>
  </si>
  <si>
    <t>4Q18</t>
  </si>
  <si>
    <t>1Q2019</t>
  </si>
  <si>
    <t>2Q19</t>
  </si>
  <si>
    <t>3Q19</t>
  </si>
  <si>
    <t>4Q19</t>
  </si>
  <si>
    <t>1Q20</t>
  </si>
  <si>
    <t>2Q20</t>
  </si>
  <si>
    <t>3Q20</t>
  </si>
  <si>
    <t>4Q20</t>
  </si>
  <si>
    <t>1Q21</t>
  </si>
  <si>
    <t>2Q21</t>
  </si>
  <si>
    <t>3Q21</t>
  </si>
  <si>
    <t>4Q21</t>
  </si>
  <si>
    <t>AMD Mobile Market Share Q4 2021</t>
  </si>
  <si>
    <t>1Q19</t>
  </si>
  <si>
    <t>Q419</t>
  </si>
  <si>
    <t>Data Centre Group</t>
  </si>
  <si>
    <t>AMD Server Unit Share</t>
  </si>
  <si>
    <t>Intel</t>
  </si>
  <si>
    <t>AMD</t>
  </si>
  <si>
    <t>Arm</t>
  </si>
  <si>
    <t>AMD Overall x86 Market Share Q4 2021</t>
  </si>
  <si>
    <t>AMD's Share</t>
  </si>
  <si>
    <t>INTC's GM</t>
  </si>
  <si>
    <t>https://www.tomshardware.com/news/intel-amd-4q-2021-2022-market-share-desktop-notebook-server-x86</t>
  </si>
  <si>
    <t>https://www.extremetech.com/computing/331530-amd-finishes-2021-with-record-cpu-market-share#:~:text=Mercury%20states%20Intel%20holds%2083.8,have%20reported%20excellent%20financial%20results.</t>
  </si>
  <si>
    <t>https://www.cpubenchmark.net/market_share.html</t>
  </si>
  <si>
    <t>Net Additions</t>
  </si>
  <si>
    <t>Stock Price</t>
  </si>
  <si>
    <t>Market</t>
  </si>
  <si>
    <t>Enterprise</t>
  </si>
  <si>
    <t>5 Year</t>
  </si>
  <si>
    <t>Unlevered</t>
  </si>
  <si>
    <t>Dates</t>
  </si>
  <si>
    <t>Revenue FY</t>
  </si>
  <si>
    <t>Revenue CY</t>
  </si>
  <si>
    <t>Gross Profit FY</t>
  </si>
  <si>
    <t>Gross Profit CY</t>
  </si>
  <si>
    <t>EBITDA FY</t>
  </si>
  <si>
    <t>EBITDA CY</t>
  </si>
  <si>
    <t>EV/Revenue FY</t>
  </si>
  <si>
    <t>EV/Revenue CY</t>
  </si>
  <si>
    <t>EV/Gross Profit FY</t>
  </si>
  <si>
    <t>EV/Gross Profit CY</t>
  </si>
  <si>
    <t>EV/EBITDA FY</t>
  </si>
  <si>
    <t>EV/EBITDA CY</t>
  </si>
  <si>
    <t>EV/EBIT FY</t>
  </si>
  <si>
    <t>EV/EBIT CY</t>
  </si>
  <si>
    <t>PE FY</t>
  </si>
  <si>
    <t>PE CY</t>
  </si>
  <si>
    <t>Gross Margin FY</t>
  </si>
  <si>
    <t>Gross Margin CY</t>
  </si>
  <si>
    <t>EBITDA Margin FY</t>
  </si>
  <si>
    <t>EBITDA Margin CY</t>
  </si>
  <si>
    <t>Net Income Margin FY</t>
  </si>
  <si>
    <t>Net Income Margin CY</t>
  </si>
  <si>
    <t>Revenue Growth Rate</t>
  </si>
  <si>
    <t>Gross Profit Growth Rate</t>
  </si>
  <si>
    <t>EBITDA Growth Rate</t>
  </si>
  <si>
    <t>EBIT Growth Rate</t>
  </si>
  <si>
    <t>Diuted EPS Growth Rate</t>
  </si>
  <si>
    <t>Cap</t>
  </si>
  <si>
    <t>Value</t>
  </si>
  <si>
    <t>FY Ending</t>
  </si>
  <si>
    <t>LTM</t>
  </si>
  <si>
    <t>FY2018</t>
  </si>
  <si>
    <t>FY2019</t>
  </si>
  <si>
    <t>FY2020</t>
  </si>
  <si>
    <t>FY2021</t>
  </si>
  <si>
    <t>NTM</t>
  </si>
  <si>
    <t>CY-3</t>
  </si>
  <si>
    <t>CY-2</t>
  </si>
  <si>
    <t>CY-1</t>
  </si>
  <si>
    <t>CY0</t>
  </si>
  <si>
    <t>CY1</t>
  </si>
  <si>
    <t>CY2</t>
  </si>
  <si>
    <t>CY3</t>
  </si>
  <si>
    <t>10-Yr CAGR</t>
  </si>
  <si>
    <t>5-Yr CAGR</t>
  </si>
  <si>
    <t>3-Yr CAGR</t>
  </si>
  <si>
    <t>2-Yr CAGR</t>
  </si>
  <si>
    <t>FY</t>
  </si>
  <si>
    <t>CY 0-2 CAGR</t>
  </si>
  <si>
    <t>FY 0-2 CAGR</t>
  </si>
  <si>
    <t>Business Description</t>
  </si>
  <si>
    <t>ABC</t>
  </si>
  <si>
    <t>NVDA.OQ</t>
  </si>
  <si>
    <t>NVIDIA Corp</t>
  </si>
  <si>
    <t>NVIDIA Corporation is a personal computer (PC) gaming market. The Company’s segments include Graphics and Compute &amp; Networking. The Graphics segment includes GeForce graphics processing units (GPUs) for gaming and PCs, the GeForce NOW game streaming service and related infrastructure, and solutions for gaming platforms; Quadro/NVIDIA RTX GPUs for enterprise workstation graphics; virtual GPU software for cloud-based visual and virtual computing; automotive platforms for infotainment systems, and Omniverse software for building three-dimensional (3D) designs and virtual worlds. The Compute &amp; Networking segment includes Data Center platforms and systems for artificial intelligence (AI), high-performance computing (HPC), and accelerated computing; Mellanox networking and interconnect solutions; automotive AI Cockpit, autonomous driving development agreements, and autonomous vehicle solutions; cryptocurrency mining processors (CMP); Jetson for robotics, and NVIDIA AI Enterprise.</t>
  </si>
  <si>
    <t>AMD.OQ</t>
  </si>
  <si>
    <t>Advanced Micro Devices Inc</t>
  </si>
  <si>
    <t>Advanced Micro Devices, Inc. is a global semiconductor company. Its segments include Computing and Graphics, and Enterprise, Embedded and Semi-Custom. The Computing and Graphics segment primarily includes desktop and notebook microprocessors, accelerated processing units that integrate microprocessors and graphics, chipsets, discrete graphics processing units (GPUs), data center and professional GPUs, and development services. It may also sell or license portions of its intellectual property (IP) portfolio. The Enterprise, Embedded and Semi-Custom segment primarily includes server and embedded processors, semi-custom system-on-chip (SoC) products, development services, and technology for game consoles, and it may also sell or license portions of its IP portfolio. Its microprocessor customers consist primarily of original equipment manufacturers (OEMs), large public cloud service providers, original design manufacturers (ODMs), system integrators, and independent distributors.</t>
  </si>
  <si>
    <t>TXN.OQ</t>
  </si>
  <si>
    <t>Texas Instruments Inc</t>
  </si>
  <si>
    <t>Texas Instruments Incorporated designs, makes and sells semiconductors to electronics designers and manufacturers across the world. The Company operates through two segments: Analog and Embedded Processing. The Company's Analog segment product lines include Power and Signal Chain. Power includes products that help customers manage power in electronic systems. Signal Chain includes products that sense, condition and measure signals to allow information to be transferred or converted for further processing and control. The Embedded Processing segment includes microcontrollers, digital signal processors (DSPs), and applications processors. Microcontrollers are self-contained systems with a processor core, memory and peripherals that are designed to control a set of specific tasks for electronic equipment. DSPs perform mathematical computations to process or improve digital data. Applications processors are designed for specific computing activities.</t>
  </si>
  <si>
    <t>QCOM.OQ</t>
  </si>
  <si>
    <t>Qualcomm Inc</t>
  </si>
  <si>
    <t>Qualcomm Incorporated is engaged in the development and commercialization of foundational technologies for the wireless industry. Its segments include Qualcomm CDMA Technologies (QCT), Qualcomm Technology Licensing (QTL) and Qualcomm Strategic Initiatives (QSI). QCT segment develops and supplies integrated circuits and system software based on third generation/fourth generation/fifth generation (3G/4G/5G) and other technologies for use in wireless voice and data communications, networking, computing, multimedia and global positioning system (GPS) products. QTL segment grants licenses or otherwise provides rights to use portions of its intellectual property portfolio, which, among other rights, includes certain patent rights essential to and/or useful in the manufacture, sale and/or use of certain wireless products, including, without limitation, products implementing CDMA2000, WCDMA, LTE and/or OFDMA-based 5G standards and their derivatives. QSI segment makes strategic investments.</t>
  </si>
  <si>
    <t>2330.TW</t>
  </si>
  <si>
    <t>Taiwan Semiconductor Manufacturing Co Ltd</t>
  </si>
  <si>
    <t>Taiwan Semiconductor Manufacturing Co., Ltd. is principally engaged in the manufacture and sale of integrated circuits and semiconductor products. The Company is mainly engaged in the manufacture, sale and packaging test of integrated circuits and other semiconductor devices, the manufacture of masks, as well as the provision of computer-aided design services. The Company's products are applied to personal computer (PCs) and peripheral products, information applications, wired and wireless communication systems, industrial equipment, consumer electronics such as digital video disc players, digital TVs, game consoles and digital cameras. The Company is also engaged in the development of 5 nanometer process technology, mask technology, complementary metal oxide semiconductor (CMOS) image sensor technology, three dimensional (3D) IC and TSMC system on integrated chips (TSMC-SoIC) technology, among others. The Company distributes its products to the United States, Asia and Europe.</t>
  </si>
  <si>
    <t>AVGO.OQ</t>
  </si>
  <si>
    <t>Broadcom Inc</t>
  </si>
  <si>
    <t>Broadcom Inc. is a technology company. The Company designs, develops and supplies a range of semiconductor and infrastructure software solutions. It operates through two segments: semiconductor solutions and infrastructure software. Its semiconductor solutions segment includes semiconductor solution product lines, as well as its Internet protocol (IP) licensing. Its infrastructure software segment includes its mainframe, BizOps and cyber security software solutions, and its fiber channel storage area networking (FC SAN) business. It develops semiconductor devices with a focus on complex digital and mixed signal complementary metal oxide semiconductor (CMOS) based devices and analog III-V based products. It provides semiconductor solutions for managing the movement of data in data center, telecom, enterprise, and embedded networking applications.</t>
  </si>
  <si>
    <t>MU.OQ</t>
  </si>
  <si>
    <t>Micron Technology Inc</t>
  </si>
  <si>
    <t>Micron Technology, Inc. offers memory and storage solutions. The Company's portfolio of memory and storage technologies, including dynamic random-access memory (DRAM), negative-AND (NAND), three-dimensional (3D) XPoint memory, and NOR. Its brands include Micron and Crucial. Its business segments include Compute and Networking Business Unit (CNBU), which includes memory products sold into client, cloud server, enterprise, graphics, and networking markets; Mobile Business Unit (MBU), which includes memory products sold into smartphone and other mobile-device markets; Storage Business Unit (SBU), which includes solid state drives (SSDs) and solutions sold into enterprise, cloud, client, and consumer storage markets, other storage products sold in component and wafer form, and Embedded Business Unit (EBU), which includes memory and storage products sold into automotive, industrial, and consumer markets.</t>
  </si>
  <si>
    <t>ASML.AS</t>
  </si>
  <si>
    <t>ASML Holding NV</t>
  </si>
  <si>
    <t>ASML Holding N.V. is a holding company based in the Netherlands. The Company operates through its subsidiaries in the Netherlands, the United States, Italy, France, Germany, the United Kingdom, Ireland, Belgium, South Korea, Taiwan, Singapore, China, Hong Kong, Japan, Malaysia and Israel. The Company operates through one business segment which is engage in development, production, marketing, sales, upgrading and servicing of advanced semiconductor equipment systems, consisting of lithography, metrology and inspection systems. The Company offers TWINSCAN systems, equipped with lithography system with a mercury lamp as light source (i-line), Krypton Fluoride (KrF) and Argon Fluoride (ArF) light sources for processing wafers for manufacturing environments for which imaging at a small resolution is required. TWINSCAN systems also include immersion lithography systems (TWINSCAN immersion systems).</t>
  </si>
  <si>
    <t>Intel Corp</t>
  </si>
  <si>
    <t>Intel Corporation is engaged in designing and manufacturing products and technologies. The Company's segments include Client Computing Group (CCG), Data Center Group (DCG), Internet of Things Group (IOTG), Mobileye, Non-Volatile Memory Solutions Group (NSG) and Programmable Solutions Group (PSG). The CCG segment is focused on long-term operating system, system architecture, hardware, and application integration that enable PC experiences. The DCG segment develops workload-optimized platforms for compute, storage, and network functions. The IOTG segment develops high-performance compute platforms that solve the technology needs for business use cases that scale across vertical industries and embedded markets. The Mobileye segment provides driving assistance and self-driving solutions. The NSG segment provides memory and storage products based on Intel 3D NAND technology. The PSG segment offers programmable semiconductors, primarily FPGAs, structured ASICs, and related products.</t>
  </si>
  <si>
    <t>Median</t>
  </si>
  <si>
    <t>Mean</t>
  </si>
  <si>
    <t>Stock RIC</t>
  </si>
  <si>
    <t>StarMine Weighted Average Cost of Capital (WACC) Model</t>
  </si>
  <si>
    <t>Metric</t>
  </si>
  <si>
    <t>Identifier / Expression</t>
  </si>
  <si>
    <t>Recalculated</t>
  </si>
  <si>
    <t>TR.WACC</t>
  </si>
  <si>
    <r>
      <t>WACC = K</t>
    </r>
    <r>
      <rPr>
        <vertAlign val="subscript"/>
        <sz val="8"/>
        <color indexed="8"/>
        <rFont val="Calibri"/>
        <family val="2"/>
        <scheme val="minor"/>
      </rPr>
      <t>E</t>
    </r>
    <r>
      <rPr>
        <sz val="8"/>
        <color indexed="8"/>
        <rFont val="Calibri"/>
        <family val="2"/>
        <scheme val="minor"/>
      </rPr>
      <t xml:space="preserve"> . W</t>
    </r>
    <r>
      <rPr>
        <vertAlign val="subscript"/>
        <sz val="8"/>
        <color indexed="8"/>
        <rFont val="Calibri"/>
        <family val="2"/>
        <scheme val="minor"/>
      </rPr>
      <t>E</t>
    </r>
    <r>
      <rPr>
        <sz val="8"/>
        <color indexed="8"/>
        <rFont val="Calibri"/>
        <family val="2"/>
        <scheme val="minor"/>
      </rPr>
      <t xml:space="preserve"> +  K</t>
    </r>
    <r>
      <rPr>
        <vertAlign val="subscript"/>
        <sz val="8"/>
        <color indexed="8"/>
        <rFont val="Calibri"/>
        <family val="2"/>
        <scheme val="minor"/>
      </rPr>
      <t>D</t>
    </r>
    <r>
      <rPr>
        <sz val="8"/>
        <color indexed="8"/>
        <rFont val="Calibri"/>
        <family val="2"/>
        <scheme val="minor"/>
      </rPr>
      <t xml:space="preserve"> . W</t>
    </r>
    <r>
      <rPr>
        <vertAlign val="subscript"/>
        <sz val="8"/>
        <color indexed="8"/>
        <rFont val="Calibri"/>
        <family val="2"/>
        <scheme val="minor"/>
      </rPr>
      <t>D</t>
    </r>
    <r>
      <rPr>
        <sz val="8"/>
        <color indexed="8"/>
        <rFont val="Calibri"/>
        <family val="2"/>
        <scheme val="minor"/>
      </rPr>
      <t xml:space="preserve"> +  K</t>
    </r>
    <r>
      <rPr>
        <vertAlign val="subscript"/>
        <sz val="8"/>
        <color indexed="8"/>
        <rFont val="Calibri"/>
        <family val="2"/>
        <scheme val="minor"/>
      </rPr>
      <t>P</t>
    </r>
    <r>
      <rPr>
        <sz val="8"/>
        <color indexed="8"/>
        <rFont val="Calibri"/>
        <family val="2"/>
        <scheme val="minor"/>
      </rPr>
      <t xml:space="preserve"> . W</t>
    </r>
    <r>
      <rPr>
        <vertAlign val="subscript"/>
        <sz val="8"/>
        <color indexed="8"/>
        <rFont val="Calibri"/>
        <family val="2"/>
        <scheme val="minor"/>
      </rPr>
      <t>P</t>
    </r>
  </si>
  <si>
    <t>TR.WACCCostofDebt</t>
  </si>
  <si>
    <t>WACC Cost of Debt, (%)</t>
  </si>
  <si>
    <r>
      <t>K</t>
    </r>
    <r>
      <rPr>
        <vertAlign val="subscript"/>
        <sz val="8"/>
        <color indexed="8"/>
        <rFont val="Calibri"/>
        <family val="2"/>
        <scheme val="minor"/>
      </rPr>
      <t>D</t>
    </r>
    <r>
      <rPr>
        <sz val="8"/>
        <color indexed="8"/>
        <rFont val="Calibri"/>
        <family val="2"/>
        <scheme val="minor"/>
      </rPr>
      <t xml:space="preserve"> = (K</t>
    </r>
    <r>
      <rPr>
        <vertAlign val="subscript"/>
        <sz val="8"/>
        <color indexed="8"/>
        <rFont val="Calibri"/>
        <family val="2"/>
        <scheme val="minor"/>
      </rPr>
      <t>D_SHORT</t>
    </r>
    <r>
      <rPr>
        <sz val="8"/>
        <color indexed="8"/>
        <rFont val="Calibri"/>
        <family val="2"/>
        <scheme val="minor"/>
      </rPr>
      <t xml:space="preserve"> . W</t>
    </r>
    <r>
      <rPr>
        <vertAlign val="subscript"/>
        <sz val="8"/>
        <color indexed="8"/>
        <rFont val="Calibri"/>
        <family val="2"/>
        <scheme val="minor"/>
      </rPr>
      <t>D_SHORT</t>
    </r>
    <r>
      <rPr>
        <sz val="8"/>
        <color indexed="8"/>
        <rFont val="Calibri"/>
        <family val="2"/>
        <scheme val="minor"/>
      </rPr>
      <t xml:space="preserve"> + K</t>
    </r>
    <r>
      <rPr>
        <vertAlign val="subscript"/>
        <sz val="8"/>
        <color indexed="8"/>
        <rFont val="Calibri"/>
        <family val="2"/>
        <scheme val="minor"/>
      </rPr>
      <t>D_LONG</t>
    </r>
    <r>
      <rPr>
        <sz val="8"/>
        <color indexed="8"/>
        <rFont val="Calibri"/>
        <family val="2"/>
        <scheme val="minor"/>
      </rPr>
      <t xml:space="preserve"> . W</t>
    </r>
    <r>
      <rPr>
        <vertAlign val="subscript"/>
        <sz val="8"/>
        <color indexed="8"/>
        <rFont val="Calibri"/>
        <family val="2"/>
        <scheme val="minor"/>
      </rPr>
      <t>D_LONG</t>
    </r>
    <r>
      <rPr>
        <sz val="8"/>
        <color indexed="8"/>
        <rFont val="Calibri"/>
        <family val="2"/>
        <scheme val="minor"/>
      </rPr>
      <t>) . (1 - tax)</t>
    </r>
  </si>
  <si>
    <t>TR.WACCCostofEquity</t>
  </si>
  <si>
    <t>WACC Cost of Equity, (%)</t>
  </si>
  <si>
    <r>
      <t>K</t>
    </r>
    <r>
      <rPr>
        <vertAlign val="subscript"/>
        <sz val="8"/>
        <color indexed="8"/>
        <rFont val="Calibri"/>
        <family val="2"/>
        <scheme val="minor"/>
      </rPr>
      <t xml:space="preserve">E </t>
    </r>
    <r>
      <rPr>
        <sz val="8"/>
        <color indexed="8"/>
        <rFont val="Calibri"/>
        <family val="2"/>
        <scheme val="minor"/>
      </rPr>
      <t>= R</t>
    </r>
    <r>
      <rPr>
        <vertAlign val="subscript"/>
        <sz val="8"/>
        <color indexed="8"/>
        <rFont val="Calibri"/>
        <family val="2"/>
        <scheme val="minor"/>
      </rPr>
      <t>f</t>
    </r>
    <r>
      <rPr>
        <sz val="8"/>
        <color indexed="8"/>
        <rFont val="Calibri"/>
        <family val="2"/>
        <scheme val="minor"/>
      </rPr>
      <t xml:space="preserve"> + β . ERP</t>
    </r>
  </si>
  <si>
    <t>TR.WACCCostofPreferred</t>
  </si>
  <si>
    <t>WACC Cost of Preferred, (%)</t>
  </si>
  <si>
    <r>
      <t>K</t>
    </r>
    <r>
      <rPr>
        <vertAlign val="subscript"/>
        <sz val="8"/>
        <color indexed="8"/>
        <rFont val="Calibri"/>
        <family val="2"/>
        <scheme val="minor"/>
      </rPr>
      <t>P</t>
    </r>
  </si>
  <si>
    <t>TR.WACCERP</t>
  </si>
  <si>
    <t>WACC Equity Risk Premium, (%)</t>
  </si>
  <si>
    <t>TR.WACCInflationAdjRiskFreeRate</t>
  </si>
  <si>
    <t>WACC Inflation Adjusted Risk Free Rate, (%)</t>
  </si>
  <si>
    <r>
      <t>R</t>
    </r>
    <r>
      <rPr>
        <vertAlign val="subscript"/>
        <sz val="8"/>
        <color indexed="8"/>
        <rFont val="Calibri"/>
        <family val="2"/>
        <scheme val="minor"/>
      </rPr>
      <t>f</t>
    </r>
    <r>
      <rPr>
        <sz val="8"/>
        <color theme="1"/>
        <rFont val="Calibri"/>
        <family val="2"/>
      </rPr>
      <t/>
    </r>
  </si>
  <si>
    <t>TR.WACCDebtWeight</t>
  </si>
  <si>
    <t>WACC Debt Weight, (%)</t>
  </si>
  <si>
    <r>
      <t>W</t>
    </r>
    <r>
      <rPr>
        <vertAlign val="subscript"/>
        <sz val="8"/>
        <color indexed="8"/>
        <rFont val="Calibri"/>
        <family val="2"/>
        <scheme val="minor"/>
      </rPr>
      <t>D</t>
    </r>
  </si>
  <si>
    <t>TR.WACCEquityWeight</t>
  </si>
  <si>
    <t>WACC Equity Weight, (%)</t>
  </si>
  <si>
    <r>
      <t>W</t>
    </r>
    <r>
      <rPr>
        <vertAlign val="subscript"/>
        <sz val="8"/>
        <color indexed="8"/>
        <rFont val="Calibri"/>
        <family val="2"/>
        <scheme val="minor"/>
      </rPr>
      <t>E</t>
    </r>
  </si>
  <si>
    <t>TR.WACCPreferredWeight</t>
  </si>
  <si>
    <t>WACC Preferred Weight, (%)</t>
  </si>
  <si>
    <r>
      <t>W</t>
    </r>
    <r>
      <rPr>
        <vertAlign val="subscript"/>
        <sz val="8"/>
        <color indexed="8"/>
        <rFont val="Calibri"/>
        <family val="2"/>
        <scheme val="minor"/>
      </rPr>
      <t>P</t>
    </r>
  </si>
  <si>
    <t>TR.WACCTaxRate</t>
  </si>
  <si>
    <t>WACC Tax Rate, (%)</t>
  </si>
  <si>
    <t>tax</t>
  </si>
  <si>
    <t>TR.WACCShortTermDebtCost</t>
  </si>
  <si>
    <t>WACC Short Term Debt Cost, (%)</t>
  </si>
  <si>
    <r>
      <t>K</t>
    </r>
    <r>
      <rPr>
        <vertAlign val="subscript"/>
        <sz val="8"/>
        <color indexed="8"/>
        <rFont val="Calibri"/>
        <family val="2"/>
        <scheme val="minor"/>
      </rPr>
      <t>D_SHORT</t>
    </r>
  </si>
  <si>
    <t>TR.WACCLongTermDebtCost</t>
  </si>
  <si>
    <t>WACC Long Term Debt Cost, (%)</t>
  </si>
  <si>
    <r>
      <t>K</t>
    </r>
    <r>
      <rPr>
        <vertAlign val="subscript"/>
        <sz val="8"/>
        <color indexed="8"/>
        <rFont val="Calibri"/>
        <family val="2"/>
        <scheme val="minor"/>
      </rPr>
      <t>D_LONG</t>
    </r>
  </si>
  <si>
    <t>TR.WACCBeta</t>
  </si>
  <si>
    <t>β</t>
  </si>
  <si>
    <t>TR.WACCCompanyTaxRateMedian</t>
  </si>
  <si>
    <t>WACC Company Tax Rate Median, (%)</t>
  </si>
  <si>
    <r>
      <t>tax</t>
    </r>
    <r>
      <rPr>
        <vertAlign val="subscript"/>
        <sz val="8"/>
        <color indexed="8"/>
        <rFont val="Calibri"/>
        <family val="2"/>
        <scheme val="minor"/>
      </rPr>
      <t>COMPANY_MEDIAN</t>
    </r>
  </si>
  <si>
    <t>Implied Weight of Short Term Debt (%)</t>
  </si>
  <si>
    <r>
      <t>W</t>
    </r>
    <r>
      <rPr>
        <vertAlign val="subscript"/>
        <sz val="8"/>
        <color indexed="8"/>
        <rFont val="Calibri"/>
        <family val="2"/>
        <scheme val="minor"/>
      </rPr>
      <t>D_SHORT</t>
    </r>
  </si>
  <si>
    <t>Implied Weight of Long Term Debt (%)</t>
  </si>
  <si>
    <r>
      <t>W</t>
    </r>
    <r>
      <rPr>
        <vertAlign val="subscript"/>
        <sz val="8"/>
        <color indexed="8"/>
        <rFont val="Calibri"/>
        <family val="2"/>
        <scheme val="minor"/>
      </rPr>
      <t>D_LONG</t>
    </r>
  </si>
  <si>
    <t>Unstable Tax Rate Adjustment Applied</t>
  </si>
  <si>
    <t>StarMine Equity Risk Premium (ERP) Model</t>
  </si>
  <si>
    <t>TR.HQAddressCountryISO</t>
  </si>
  <si>
    <t>US</t>
  </si>
  <si>
    <t>Country ERP RIC</t>
  </si>
  <si>
    <t>Country</t>
  </si>
  <si>
    <t>Index</t>
  </si>
  <si>
    <t xml:space="preserve">S&amp;P 500                 </t>
  </si>
  <si>
    <t>ERP</t>
  </si>
  <si>
    <t>ERP (ERP Model)</t>
  </si>
  <si>
    <t>Expected Market Return</t>
  </si>
  <si>
    <r>
      <t>EMR = E</t>
    </r>
    <r>
      <rPr>
        <vertAlign val="subscript"/>
        <sz val="8"/>
        <color indexed="8"/>
        <rFont val="Calibri"/>
        <family val="2"/>
        <scheme val="minor"/>
      </rPr>
      <t>FY1</t>
    </r>
    <r>
      <rPr>
        <sz val="8"/>
        <color indexed="8"/>
        <rFont val="Calibri"/>
        <family val="2"/>
        <scheme val="minor"/>
      </rPr>
      <t xml:space="preserve"> . DPR + GDP</t>
    </r>
    <r>
      <rPr>
        <vertAlign val="subscript"/>
        <sz val="8"/>
        <color indexed="8"/>
        <rFont val="Calibri"/>
        <family val="2"/>
        <scheme val="minor"/>
      </rPr>
      <t>FY10</t>
    </r>
  </si>
  <si>
    <t>Inflation Adjusted Risk Free Rate</t>
  </si>
  <si>
    <r>
      <t>R</t>
    </r>
    <r>
      <rPr>
        <vertAlign val="subscript"/>
        <sz val="8"/>
        <color indexed="8"/>
        <rFont val="Calibri"/>
        <family val="2"/>
        <scheme val="minor"/>
      </rPr>
      <t>f</t>
    </r>
    <r>
      <rPr>
        <sz val="8"/>
        <color indexed="8"/>
        <rFont val="Calibri"/>
        <family val="2"/>
        <scheme val="minor"/>
      </rPr>
      <t xml:space="preserve"> = I</t>
    </r>
    <r>
      <rPr>
        <vertAlign val="subscript"/>
        <sz val="8"/>
        <color indexed="8"/>
        <rFont val="Calibri"/>
        <family val="2"/>
        <scheme val="minor"/>
      </rPr>
      <t>FY10</t>
    </r>
    <r>
      <rPr>
        <sz val="8"/>
        <color indexed="8"/>
        <rFont val="Calibri"/>
        <family val="2"/>
        <scheme val="minor"/>
      </rPr>
      <t xml:space="preserve"> + USY</t>
    </r>
    <r>
      <rPr>
        <vertAlign val="subscript"/>
        <sz val="8"/>
        <color indexed="8"/>
        <rFont val="Calibri"/>
        <family val="2"/>
        <scheme val="minor"/>
      </rPr>
      <t>FY10</t>
    </r>
    <r>
      <rPr>
        <sz val="8"/>
        <color indexed="8"/>
        <rFont val="Calibri"/>
        <family val="2"/>
        <scheme val="minor"/>
      </rPr>
      <t xml:space="preserve"> - USI</t>
    </r>
    <r>
      <rPr>
        <vertAlign val="subscript"/>
        <sz val="8"/>
        <color indexed="8"/>
        <rFont val="Calibri"/>
        <family val="2"/>
        <scheme val="minor"/>
      </rPr>
      <t>FY10</t>
    </r>
  </si>
  <si>
    <t>Implied Dividend Payout Ratio</t>
  </si>
  <si>
    <r>
      <t>DPR = MAX((ROE</t>
    </r>
    <r>
      <rPr>
        <vertAlign val="subscript"/>
        <sz val="8"/>
        <color indexed="8"/>
        <rFont val="Calibri"/>
        <family val="2"/>
        <scheme val="minor"/>
      </rPr>
      <t>FY1</t>
    </r>
    <r>
      <rPr>
        <sz val="8"/>
        <color indexed="8"/>
        <rFont val="Calibri"/>
        <family val="2"/>
        <scheme val="minor"/>
      </rPr>
      <t xml:space="preserve"> - GDP</t>
    </r>
    <r>
      <rPr>
        <vertAlign val="subscript"/>
        <sz val="8"/>
        <color indexed="8"/>
        <rFont val="Calibri"/>
        <family val="2"/>
        <scheme val="minor"/>
      </rPr>
      <t>FY10</t>
    </r>
    <r>
      <rPr>
        <sz val="8"/>
        <color indexed="8"/>
        <rFont val="Calibri"/>
        <family val="2"/>
        <scheme val="minor"/>
      </rPr>
      <t>) / ROE</t>
    </r>
    <r>
      <rPr>
        <vertAlign val="subscript"/>
        <sz val="8"/>
        <color indexed="8"/>
        <rFont val="Calibri"/>
        <family val="2"/>
        <scheme val="minor"/>
      </rPr>
      <t>FY1</t>
    </r>
    <r>
      <rPr>
        <sz val="8"/>
        <color indexed="8"/>
        <rFont val="Calibri"/>
        <family val="2"/>
        <scheme val="minor"/>
      </rPr>
      <t>) x 100, 0)</t>
    </r>
  </si>
  <si>
    <t>FY1 Earnings Yield</t>
  </si>
  <si>
    <r>
      <t>E</t>
    </r>
    <r>
      <rPr>
        <vertAlign val="subscript"/>
        <sz val="8"/>
        <color indexed="8"/>
        <rFont val="Calibri"/>
        <family val="2"/>
        <scheme val="minor"/>
      </rPr>
      <t>FY1</t>
    </r>
  </si>
  <si>
    <t>FY1 Return on Equity</t>
  </si>
  <si>
    <r>
      <t>ROE</t>
    </r>
    <r>
      <rPr>
        <vertAlign val="subscript"/>
        <sz val="8"/>
        <color indexed="8"/>
        <rFont val="Calibri"/>
        <family val="2"/>
        <scheme val="minor"/>
      </rPr>
      <t>FY1</t>
    </r>
  </si>
  <si>
    <t>FY10 Forecast GDP Growth</t>
  </si>
  <si>
    <r>
      <t>GDP</t>
    </r>
    <r>
      <rPr>
        <vertAlign val="subscript"/>
        <sz val="8"/>
        <color indexed="8"/>
        <rFont val="Calibri"/>
        <family val="2"/>
        <scheme val="minor"/>
      </rPr>
      <t>FY10</t>
    </r>
  </si>
  <si>
    <t>FY10 Forecast Inflation</t>
  </si>
  <si>
    <r>
      <t>I</t>
    </r>
    <r>
      <rPr>
        <vertAlign val="subscript"/>
        <sz val="8"/>
        <color indexed="8"/>
        <rFont val="Calibri"/>
        <family val="2"/>
        <scheme val="minor"/>
      </rPr>
      <t>FY10</t>
    </r>
  </si>
  <si>
    <t>10 Year US Treasury Yield</t>
  </si>
  <si>
    <r>
      <t>USY</t>
    </r>
    <r>
      <rPr>
        <vertAlign val="subscript"/>
        <sz val="8"/>
        <color indexed="8"/>
        <rFont val="Calibri"/>
        <family val="2"/>
        <scheme val="minor"/>
      </rPr>
      <t>FY10</t>
    </r>
  </si>
  <si>
    <t>10 Year US Inflation Forecast</t>
  </si>
  <si>
    <r>
      <t>USI</t>
    </r>
    <r>
      <rPr>
        <vertAlign val="subscript"/>
        <sz val="8"/>
        <color indexed="8"/>
        <rFont val="Calibri"/>
        <family val="2"/>
        <scheme val="minor"/>
      </rPr>
      <t>FY10</t>
    </r>
  </si>
  <si>
    <t>Prelim Intel Research</t>
  </si>
  <si>
    <t>How Intel Fell Behind</t>
  </si>
  <si>
    <t>In 2020, Intel announced it’d be delaying its next major manufacturing milestone, 7mn node or Intel 4, for another few years</t>
  </si>
  <si>
    <t>This precipitated an exodus of leadership and the admission that Intel might have to face the unthinkable and outsource its own manufacturing</t>
  </si>
  <si>
    <t>Now Intel has a new CEO, a new plan, and a market hungry for more chips</t>
  </si>
  <si>
    <t>It’s set ambitious goals, revealing its most detailed process roadmap and a bold promise to jump ahead and reclaim processor leadership by 2025</t>
  </si>
  <si>
    <t>It wasn’t something that just happened suddenly</t>
  </si>
  <si>
    <t>. Things have been headed in a downward trajectory for Intel for years, yet it was last summer — and the delay on 7nm — when the cracks in Intel’s facade started to look a lot more like canyons</t>
  </si>
  <si>
    <t>Fabless- Foundry Model</t>
  </si>
  <si>
    <t>AMD, Nvidia</t>
  </si>
  <si>
    <t>TSMC, Samsung</t>
  </si>
  <si>
    <t>IDM Model</t>
  </si>
  <si>
    <t>Intel still manufactures its own chips which is a rarity in the industry</t>
  </si>
  <si>
    <t>The vast majority of tech companies are fabless, meaning that they outsource the fabrication of their chips — even if they design them themselves — to other companies</t>
  </si>
  <si>
    <t>AMD, Nvidia, Qualcomm, Apple, MediaTek, and Broadcom are some of the leading examples of fabless companies today</t>
  </si>
  <si>
    <t>Intel is one of the few computer chip firms that still designs and manufactures its own hardware</t>
  </si>
  <si>
    <t>it can design every part of the process to its own specifications and purposes, and it has an unmatched control over the actual manufacturing of its products</t>
  </si>
  <si>
    <t xml:space="preserve"> It actually owns its own fabs, and it’s the only major company still making chips in the US right now</t>
  </si>
  <si>
    <t>Manufacturing has been one of Intel’s biggest strengths for decades. But the fact that the company missed its projections for 7nm, coming after years of 10nm delays that it was only just recovering from, was a huge blow</t>
  </si>
  <si>
    <t>Read about the timeline of the chip releases and where the competitors stack up</t>
  </si>
  <si>
    <t>In June 2021, Intel's engineer Jim Keller announced that he is leaving the company</t>
  </si>
  <si>
    <t>Apple announced at WWDC 2020 that it would be making the switch to its own Arm-based chips, away from the Intel processors it had been using for over a decade</t>
  </si>
  <si>
    <t>This move came due to delays in shipment and poor quality assurance with the company’s Skylake chips</t>
  </si>
  <si>
    <t>Cook said that leaving Intel behind was a necessary choice to let the Mac leap forward</t>
  </si>
  <si>
    <t>And sure enough, Apple’s first M1 chips exceeded expectations on every front, upending concept of laptop performance when they arrived in 2020</t>
  </si>
  <si>
    <r>
      <t>But all that was still a prelude to Intel’s biggest looming disaster: an announcement on its Q2 2020 earnings call that the c</t>
    </r>
    <r>
      <rPr>
        <b/>
        <sz val="8"/>
        <rFont val="Calibri"/>
        <family val="2"/>
      </rPr>
      <t>ompany had identified a “defect mode” in its 7nm process, derailing progress by at least a year</t>
    </r>
  </si>
  <si>
    <t>he next-generation chip, originally set for a late 2021 release and a crucial part of Intel’s strategy to get its production back on track and to catch up to other silicon producers like TSMC, were now delayed until early 2023</t>
  </si>
  <si>
    <t>This a big proble, for Intel</t>
  </si>
  <si>
    <t>There are two main ways that chipmakers can improve performance: new designs, like putting more cores or new AI accelerators onto chips; and adding more transistors, which primarily come from new and smaller architectures</t>
  </si>
  <si>
    <t>“Without being able to shrink the node they’re losing out on one of the two key drivers of performance. They’re still able to innovate … but they’re not able to get that additional win of more transistors that AMD has.”</t>
  </si>
  <si>
    <t>AMD is also a beneficiary of TSMC’s more advanced production: its Ryzen chips have been on 7nm since 2019, and it could be poised to leapfrog Intel again when its 5nm Zen 4 chips ship in 2022</t>
  </si>
  <si>
    <t>This news in delays led to management changes</t>
  </si>
  <si>
    <t>Intel announced a new strategy that will see the company outsource some of its production to other players like TSMC and Samsung, work to establish Intel as a chipmaker for other companies through a new Intel Foundry Service business, and create an ambitious goal to return Intel to the forefront of cutting-edge chip designs by 2025</t>
  </si>
  <si>
    <t>While some of its new announcements, like the $20 billion it is investing into new factories in Arizona, sound impressive, they’re bets that will take years to pay off</t>
  </si>
  <si>
    <t xml:space="preserve"> They also pale in comparison to competitors like Samsung, which announced a decade-long $116 billion investment in semiconductor production in 2019</t>
  </si>
  <si>
    <t xml:space="preserve"> or TSMC, which has announced plans to invest over $100 billion in expanding capacity over the next three years</t>
  </si>
  <si>
    <t>Even Intel’s new roadmap is not guaranteed for the future. There are a lot of ambitious goals there, including launching its long-delayed 7nm Intel 4 chips in 2023, and next-generation transistor architecture with Intel 20A in 2024</t>
  </si>
  <si>
    <t>But Intel is coming off its recent 10nm and 7nm struggles and will need to make sure that its aggressive annual pace it’s setting here doesn’t hit similar snags that could cascade through the PC industry</t>
  </si>
  <si>
    <t>And competitors like Samsung and TSMC are already gearing up their next generation of chips with higher transistor density and more advanced technologies, meaning that newly reinvigorated competitors like AMD and Qualcomm will be waiting to pick up any of Intel’s slack</t>
  </si>
  <si>
    <t>As O’Donnell explains, “‘They’ve got to leapfrog now — simply catching up is insufficient.</t>
  </si>
  <si>
    <t>Last summer was a wake-up call for Intel, a clear sign that the years of delays and missed opportunities were a buck that it could no longer continue to pass</t>
  </si>
  <si>
    <t>The changes that Intel’s made in the year since are the right ones: bringing back experienced leaders, hardware designers, and focusing on getting its semiconductor business back on track</t>
  </si>
  <si>
    <t>Verge</t>
  </si>
  <si>
    <t>In summer 2020, Intel announced a delay of at least six months in releasing new chips designed using its next generation 7-nanometer manufacturing process</t>
  </si>
  <si>
    <t>Intel also said that they may work with a contract manufacturer to make some components of the first chip in the next generation, a graphics processor focused on the data center known as Ponte Vecchio</t>
  </si>
  <si>
    <t>While Intel already works with a foundry for about 20% of its chips, the idea that the largest chip processor would possibly farm out some of the manufacturing for one of its important next-generation chips was perceived by investors and industry analysts as a stunning fall for the standard-bearer of Moore’s Law</t>
  </si>
  <si>
    <t>The delay in 7-nanometer process followed a nearly four-year delay on the company’s transition to its current manufacturing process, the 10-nanometer process</t>
  </si>
  <si>
    <t>Intel’s prolonged descent allowed rival Advanced Micro Devices Inc. AMD, +6.24%  to move ahead of Intel in the manufacturing process with its partner TSMC, a once unimaginable turn of events. At the same time, Nvidia Corp. NVDA, +6.08%   has soared ahead of Intel in market value and made a bold $40 billion move to buy ARM Holdings PLC from SoftBank Group Corp.</t>
  </si>
  <si>
    <t>Moore's Law</t>
  </si>
  <si>
    <t>A prediction made in 1965 by Intel co-founder Gordon Moore that the number of transistors on a semiconductor would double every year, which he later revised in the mid-1970s to every two years</t>
  </si>
  <si>
    <t>The bottom line of this prediction was that computers would become more powerful and less expensive, as part of that huge increase in transistors in the future, and it served as a guiding light for the semiconductor industry</t>
  </si>
  <si>
    <t>ut now, the doubling of transistors, and the associated increase in computing power, has become more difficult, as engineers bump up against the laws of physics and the geometries of electronic transistors become increasingly minute, and not even visible with the human eye</t>
  </si>
  <si>
    <t>Some analysts believe that as investors pose the question about its manufacturing future, inside Intel there is a debate inside about whether or not it should go completely fabless and farm out its fabrication needs to TSMC to keep up with competitors and the fabled tech path its founder laid out</t>
  </si>
  <si>
    <t>Some of the issues may have begun in 2011, when Intel introduced a new technology into the chip manufacturing process, to create three dimensional transistors, as a way to continue Moore’s Law, and maintain its two-year cadence of introducing new technology generations, for the 22-nanometer lithography process</t>
  </si>
  <si>
    <t>But this technology change may have been trickier to scale further down the line, because a 3-D stack of transistors is taller and more fragile. When Intel moved to 14 nanometers, things started to slow. Chips based on the 14-nanometer process took three years instead of two. The company also began to introduce other innovations in new materials, such as cobalt</t>
  </si>
  <si>
    <t>With the 10-nanometer process, things slowed even further. Intel launched a chip called Cannon Lake based on the 10-nanometer process in 2018, after it was originally planned for 2016. But the first iteration was disappointing and short-lived</t>
  </si>
  <si>
    <t>IMD 2.0 and strategic fit</t>
  </si>
  <si>
    <t>Intel established Intel Foundry Services (IFS) in March 2021 to help meet the growing global demand for semiconductor manufacturing capacity and to become a major provider of U.S.- and Europe-based foundry capacity to serve customers globally</t>
  </si>
  <si>
    <t>FS currently offers leading-edge process and packaging technology, committed capacity in the U.S. and Europe and other geographies in the future, and a broad intellectual property (IP) portfolio. </t>
  </si>
  <si>
    <t>Tower’s expertise in specialty technologies, such as radio frequency (RF), power, silicon-germanium (SiGe) and industrial sensors, extensive IP and electronic design automation (EDA) partnerships, and established foundry footprint will provide broad coverage to both Intel and Tower’s customers globally. </t>
  </si>
  <si>
    <t>Intel’s acquisition means that it can now manufacture the type of silicon it never could before. Specifically this means RF, sensors, silicon photonics and power management chips</t>
  </si>
  <si>
    <t>Tower operates a geographically complementary foundry presence with facilities in the U.S. and Asia serving fabless companies as well as IDMs and offers more than 2 million wafer starts per year of capacity – including growth opportunities in Texas, Israel, Italy and Japan.</t>
  </si>
  <si>
    <t>Tower’s technology and manufacturing footprint is highly complementary to Intel's IFS capabilities in leading-edge processes, allowing the combined company to provide broader offerings to customers at scale. With the addition of Tower, Intel is strongly positioned to bring more value to customers across the nearly $100 billion addressable foundry market.</t>
  </si>
  <si>
    <t>Highly complementary transaction brings together Intel’s leading-edge nodes and scale manufacturing with Tower Semiconductor’s specialty technologies and customer-first approach to deliver leading technology and manufacturing capabilities and enhanced value to customers globally</t>
  </si>
  <si>
    <t> Intel had been mostly using flows that were custom tailored to their internal needs. Tower gives them a way to offer more standardized flows</t>
  </si>
  <si>
    <t>decades of experience that Tower brings in how to run a global foundry</t>
  </si>
  <si>
    <t>Bring partnersh</t>
  </si>
  <si>
    <t>Israel has become Intel's second-largest operation after the U.S and we will continue to grow and expand here. I'll be very surprised if we don't do a few more acquisitions here. Intel acquired Mobileye, Habana, Cnveg, Screenovate, and now Tower</t>
  </si>
  <si>
    <t>Tower will bring a broad range of specialty process nodes to IFS that nicely complement Intel's advanced node process capabilities. Tower also brings seven additional fabs (3 in Japan, 2 in Israel and 2 in the U.S.) and a partnership with STMicroelectronics (1/3 capacity at STM's Agrate R3 300mm fab) to Intel</t>
  </si>
  <si>
    <t>Brings EDA and IP library support and an established customer base, to IFS.</t>
  </si>
  <si>
    <t>Transaction details</t>
  </si>
  <si>
    <t>transaction is expected to be immediately accretive to Intel’s non-GAAP EPS. Intel intends to fund the acquisition with cash from the balance sheet.</t>
  </si>
  <si>
    <t>The transaction is expected to close in approximately 12 month</t>
  </si>
  <si>
    <t>Intel will acquire Tower for $53 per share in cash, representing a total enterprise value of approximately $5.4 billion</t>
  </si>
  <si>
    <t>The news about the potential deal, which broke after the close of the U.S. stock market, caused Tower Semiconductor’s stock price to soar by nearly 50 percent in after-hours trading</t>
  </si>
  <si>
    <t>Intel shares were up 0.4% after the news on the Tower Semiconductor deal, which was first reported by the Wall Street Journal.</t>
  </si>
  <si>
    <t>10.5x F22E EV/EBITDA</t>
  </si>
  <si>
    <t>24.5x F22E P/E</t>
  </si>
  <si>
    <t>3.25x Tower's CY22E revenue</t>
  </si>
  <si>
    <t>estimate ~$0.05 accretion, or ~$0.70 incremental value to INTC shares at current ~14x P/E</t>
  </si>
  <si>
    <t xml:space="preserve">Intel long term plans </t>
  </si>
  <si>
    <t>Intel company in January unveiled plans to invest over $20 billion to construct two new leading-edge chip factories in Ohio, in addition to $20 billion it plans to invest in two new fabs in Arizona.</t>
  </si>
  <si>
    <t>Intel on Dec. 29 also unveiled a two-phase plan to sell its SSD business and certain NAND SSD-associated intellectual properties, as well as its Dalian, China-based NAND memory manufacturing facility, to South Korea-based semiconductor manufacturer SK Hynix, in a deal worth $7 billion</t>
  </si>
  <si>
    <t>Intel announced a US$1 billion fund to support early-stage startups and companies building technologies for the foundry ecosystem.</t>
  </si>
  <si>
    <t>Towards 2030 we need to return to a situation where 50% of the chip production will be in the U.S and Europe</t>
  </si>
  <si>
    <t>Chip Market</t>
  </si>
  <si>
    <t>The chip industry is littered with the pieces of broken megamerger dreams. In 2018, Broadcom Ltd. failed to buy Qualcomm, a deal that fell apart partly because Qualcomm was trying to buy NXP Semiconductor, yet another merger that failed to come to fruition. </t>
  </si>
  <si>
    <t>In the current environment, getting any large-scale deal done in the semiconductor industry — is particularly one that your competition don’t like — is a difficult, drawn out process, at best.</t>
  </si>
  <si>
    <t>So maybe making a relatively tiny purchase, like snapping up Tower Semiconductor, is better than nothing. As long as it clears regulatory approval, that is.</t>
  </si>
  <si>
    <t>Intel reported revenue of $75 billion in 2021 and in fact, it has not grown for several years while the global chip market is exploding with demand after two years of the pandemic</t>
  </si>
  <si>
    <t>A shortage was felt in every field, from smartphones and laptops to vehicles that also need a considerable amount of chips today</t>
  </si>
  <si>
    <t>IDM 2.0</t>
  </si>
  <si>
    <t>Launched in March 2021. Focuses on 3 capabilities</t>
  </si>
  <si>
    <t>Internal Factory Network</t>
  </si>
  <si>
    <t>Intel's internal factory network allows product optimization, improved economics, and supply resilience</t>
  </si>
  <si>
    <t>Intel plans to continue to build the majority of their products in owned factories</t>
  </si>
  <si>
    <t>Strategic use of foundry capacity</t>
  </si>
  <si>
    <t>Expect to expand use of third-party foundry manufacturing capacity, which will provide them with increased flexibility and scale to optimize product roadmaps for cost, performance, schedule, and supply</t>
  </si>
  <si>
    <t>Foundry services</t>
  </si>
  <si>
    <t>Intends to build a foundry business to meet the growing global demand for semiconductors</t>
  </si>
  <si>
    <t>Differentiators:</t>
  </si>
  <si>
    <t>Commited capacity in US and Europe</t>
  </si>
  <si>
    <t>IP portfolio that will include x86 cores</t>
  </si>
  <si>
    <t>Products</t>
  </si>
  <si>
    <t>Platform Products</t>
  </si>
  <si>
    <t>Platform products can be a CPU and chipset, an SoC, or a multichip package based on Intel architecture that processes data and controls other devices in a system</t>
  </si>
  <si>
    <t>Adjacent Products</t>
  </si>
  <si>
    <t>Non-platform, or adjacent, products can be combined with platform products to form comprehensive platform solutions to meet customer needs</t>
  </si>
  <si>
    <t>These products are used in solutions sold through each of their businesses and include the following:</t>
  </si>
  <si>
    <t>Accelerators</t>
  </si>
  <si>
    <t>Boards and Systems</t>
  </si>
  <si>
    <t>Connectivity Products</t>
  </si>
  <si>
    <t>Graphics</t>
  </si>
  <si>
    <t>Memory and Storage Products</t>
  </si>
  <si>
    <t>Investing more heavily in the PC they are focused on long-term operating system, system architecture, hardware, and application integration that enables industry-leading PC experiences</t>
  </si>
  <si>
    <t>Offerings</t>
  </si>
  <si>
    <t>Launched 11th Gen Intel Core H-series processors and introduced 12th Gen Intel Core processor family, all-new performance hybrid architecture built on Intel 7 process technology</t>
  </si>
  <si>
    <t>Launched the world's first Wi-Fi 6E certified product for PCs, enabling Intel Wi-Fi based PCs to access as much as 1200 MHz of new Wi-Fi spectrum</t>
  </si>
  <si>
    <t>Launched the Intel 5G Solution 5000 modem for PCs, delivering speeds that significantly exceed those of Intel Gigabit LTE</t>
  </si>
  <si>
    <t>Introduced new high performance discrete graphics products: Intel Arc, with their first generation (Alchemist) GPU shipping to OEMs in Q1 2022</t>
  </si>
  <si>
    <t>Launched 12th Gen Intel Core desktop processors based first performance hybrid architecture, which combines two all-new core microarchitectures instead of one and can scale across PC segments</t>
  </si>
  <si>
    <t>Introduced 12th Gen Intel Core desktop processors and additional 11th Gen Intel Core processors (Tiger Lake) this year</t>
  </si>
  <si>
    <t>PCs per household, has increasing since the onset of COVID-19. There is a significant opportunity in the commercial segment, driven by refresh of older Windows devices</t>
  </si>
  <si>
    <t>In processors, they compete with AMD and vendors who design applications processors based on ARM, such as Qualcomm Inc. (Qualcomm), and Apple Inc., with its most recent launch of M1 Max and M1 Pro</t>
  </si>
  <si>
    <t>Intel Core and Intel Atom processors are designed specifically for notebook and desktop applications in this segment</t>
  </si>
  <si>
    <t>Innovate beyond the CPU to deliver premium PC experiences with Intel Evo and Intel vPro platforms</t>
  </si>
  <si>
    <t>Outlook</t>
  </si>
  <si>
    <t>Expect to deliver more than 60 processors and 500 desktop and mobile designs from partners across major multinational corporations and leading manufacturers</t>
  </si>
  <si>
    <t>Expect to face industry-wide supply constraints in2022</t>
  </si>
  <si>
    <t>Offer customers a broad portfolio of silicon and software designed to provide workload-optimized performance across computing, storage, and networking</t>
  </si>
  <si>
    <t>Market segments include cloud service providers, enterprise and government, and communications service providers</t>
  </si>
  <si>
    <t>Launched the 3rd Gen Intel Xeon Scalable processors (Ice Lake), the only x86 data center processors with built-in AI acceleration</t>
  </si>
  <si>
    <t>Announced the IPU, a platform that enables superior security capabilities and enables our cloud customers to handle infrastructure tasks more efficiently</t>
  </si>
  <si>
    <t>Competition</t>
  </si>
  <si>
    <t>Advanced Micro Devices, Inc. (AMD)</t>
  </si>
  <si>
    <t>Providers of GPU products such as NVIDIA Corporation (NVIDIA)</t>
  </si>
  <si>
    <t>Companies using ARM architecture</t>
  </si>
  <si>
    <t>New entrants developing products customized for specific data center workloads, and internally developed solutions by cloud service providers</t>
  </si>
  <si>
    <t>Internet of things</t>
  </si>
  <si>
    <t>IOTG utilizes Intel's technology portfolio to provide horizontal platforms while making additional investments needed to adapt products to the specific requirements for their vertical segments</t>
  </si>
  <si>
    <t>Vertical market segments include: retail, industrial, healthcare</t>
  </si>
  <si>
    <t>Mobileye is a global leader in driving assistance and self-driving solutions</t>
  </si>
  <si>
    <t>Product portfolio covers the entire stack required for assisted and autonomous driving, including compute platforms, computer vision and machine learning-based sensing, mapping and localization, driving policy, and active sensors in development</t>
  </si>
  <si>
    <t>Mobileye became an Intel company in 2017</t>
  </si>
  <si>
    <t>https://www.mobileye.com/about/mobileye-timeline/</t>
  </si>
  <si>
    <t>Wall Street Analysis</t>
  </si>
  <si>
    <t>Barclays:</t>
  </si>
  <si>
    <t>Underweight</t>
  </si>
  <si>
    <t>PT: $45</t>
  </si>
  <si>
    <t>Barclays has been underweight on INTC for 3+ years, and still expects it to underperform for another 3 years</t>
  </si>
  <si>
    <t>Reasons:</t>
  </si>
  <si>
    <t>Outlook for zero FCF through 2024 despite unrealistic growth targets</t>
  </si>
  <si>
    <t>INTC sees LSD growth accelerating to 10-12% by 2026 but we believe that will be hard given continued share loss (AMD and ARM) and a PC market which is still running 50M units too high</t>
  </si>
  <si>
    <t>On the process development side, we still need to see a lot more execution as Intel’s condensed roadmap is primed to repeat the mistakes of the past and still doesn’t catch up to TSMC until 2025</t>
  </si>
  <si>
    <t>IFS Outlook Overstates Opportunity, unrealistic TAM</t>
  </si>
  <si>
    <t>While the TAM seems large, we would highlight that there are only a few leading edge opportunities where Intel doesn’t have a conflict of interest and struggle to see any customer allocating a large portion of their business until Intel is a trusted partner given their spotty history of both internal and external performance</t>
  </si>
  <si>
    <t>1 Yr Forward Multiples</t>
  </si>
  <si>
    <t>Forward EBITDA</t>
  </si>
  <si>
    <t>Ticker</t>
  </si>
  <si>
    <t>CSTM.K</t>
  </si>
  <si>
    <t>KALU.OQ</t>
  </si>
  <si>
    <t>ARNC.N</t>
  </si>
  <si>
    <t>AA.N</t>
  </si>
  <si>
    <t>CMC.N</t>
  </si>
  <si>
    <t>HALC.NS</t>
  </si>
  <si>
    <t>HWM</t>
  </si>
  <si>
    <t>ATI</t>
  </si>
  <si>
    <t>US Based</t>
  </si>
  <si>
    <t>Date</t>
  </si>
  <si>
    <t>Pull Date</t>
  </si>
  <si>
    <t>CSTM Actual EBITDA</t>
  </si>
  <si>
    <t>Lower</t>
  </si>
  <si>
    <t>Upper</t>
  </si>
  <si>
    <t>-1 S.Dev</t>
  </si>
  <si>
    <t>+1 S.Dev</t>
  </si>
  <si>
    <t>TR.EVtoEBITDAMean</t>
  </si>
  <si>
    <t>AAPL.OQ</t>
  </si>
  <si>
    <t>Nvidia</t>
  </si>
  <si>
    <t>Pricing Data (in local currencies)</t>
  </si>
  <si>
    <t>Volume</t>
  </si>
  <si>
    <t>.SPX</t>
  </si>
  <si>
    <t>.IXIC</t>
  </si>
  <si>
    <t>Latest date</t>
  </si>
  <si>
    <t>Inputs</t>
  </si>
  <si>
    <t>1 month</t>
  </si>
  <si>
    <t>YTD</t>
  </si>
  <si>
    <t>Analysis Date:</t>
  </si>
  <si>
    <t>1 year</t>
  </si>
  <si>
    <t>End date</t>
  </si>
  <si>
    <t>2 years</t>
  </si>
  <si>
    <t>5 years</t>
  </si>
  <si>
    <t>Frequency:</t>
  </si>
  <si>
    <t>C</t>
  </si>
  <si>
    <t>10 years</t>
  </si>
  <si>
    <t>Share price performance</t>
  </si>
  <si>
    <t>Last month</t>
  </si>
  <si>
    <t>NVIDIA</t>
  </si>
  <si>
    <t>S&amp;P500</t>
  </si>
  <si>
    <t>NASDAQ</t>
  </si>
  <si>
    <t>Total Shareholder Return between 15-Feb-12 and 15-Feb-22</t>
  </si>
  <si>
    <t>Breakup</t>
  </si>
  <si>
    <t>TSMC</t>
  </si>
  <si>
    <t>Broadcom</t>
  </si>
  <si>
    <t>Micron</t>
  </si>
  <si>
    <t>Average</t>
  </si>
  <si>
    <t>TSR</t>
  </si>
  <si>
    <t>Revenue Growth</t>
  </si>
  <si>
    <t>EBIT Margin change</t>
  </si>
  <si>
    <t>EV/EBIT change</t>
  </si>
  <si>
    <t>Dividend</t>
  </si>
  <si>
    <t>Share Count Change</t>
  </si>
  <si>
    <t>Leverage</t>
  </si>
  <si>
    <t>Overview of the page</t>
  </si>
  <si>
    <t>Start Date</t>
  </si>
  <si>
    <t>Purpose of page &gt;&gt;&gt;</t>
  </si>
  <si>
    <t>Decompose TSR in constituent parts for target company and peers</t>
  </si>
  <si>
    <t>End Date</t>
  </si>
  <si>
    <t>How to use &gt;&gt;&gt;</t>
  </si>
  <si>
    <t>Select ticker of target company and select widest range possible of dates in 'Summary' tab (flows in cells C14 and D14)</t>
  </si>
  <si>
    <t>Confirm checks in cells G59 and I59 are "OK"</t>
  </si>
  <si>
    <r>
      <t xml:space="preserve">Make sure that dividend in cell L17 correspond to actual dividends paid in time range selected (check on company website); if not, update manually L17 and note it + add detail of dividends below (screenshot of source) | </t>
    </r>
    <r>
      <rPr>
        <b/>
        <sz val="10"/>
        <color theme="1"/>
        <rFont val="Arial"/>
        <family val="2"/>
      </rPr>
      <t>NOTE: Dividends are on a paid basis, that is dividends that would have been cashed in by shareholders owning shares in between dates selected</t>
    </r>
  </si>
  <si>
    <t>Key outputs</t>
  </si>
  <si>
    <t>Period (from 'Summary') &gt;&gt;</t>
  </si>
  <si>
    <t>TSR Decomposition &gt;&gt;</t>
  </si>
  <si>
    <t>% Annualized</t>
  </si>
  <si>
    <t>Dollar Based Return &gt;&gt;</t>
  </si>
  <si>
    <t>Share Price Start</t>
  </si>
  <si>
    <t>$ / Share end (inc. Div.)</t>
  </si>
  <si>
    <t>Cash Based Accumulated</t>
  </si>
  <si>
    <t>Detail</t>
  </si>
  <si>
    <t>Company TR Ticker&gt;</t>
  </si>
  <si>
    <t>Contribution to TSR</t>
  </si>
  <si>
    <t>Key</t>
  </si>
  <si>
    <t>Multiplicative</t>
  </si>
  <si>
    <t>Cross-</t>
  </si>
  <si>
    <t>Additive</t>
  </si>
  <si>
    <t>Input</t>
  </si>
  <si>
    <t>Start date</t>
  </si>
  <si>
    <t># of years</t>
  </si>
  <si>
    <t>Domain</t>
  </si>
  <si>
    <t>Product</t>
  </si>
  <si>
    <t>Calculation (positive)</t>
  </si>
  <si>
    <t>Allocation</t>
  </si>
  <si>
    <t>Calculation (negative)</t>
  </si>
  <si>
    <t>TR.Revenue</t>
  </si>
  <si>
    <t>TR.NormalizedEBIT</t>
  </si>
  <si>
    <t>Adj. EBIT</t>
  </si>
  <si>
    <t>EBIT Margin</t>
  </si>
  <si>
    <t>TR.PriceClose</t>
  </si>
  <si>
    <t>Share Price</t>
  </si>
  <si>
    <t>* TSRs need to match the dates of share prices</t>
  </si>
  <si>
    <t>TR.DivUnadjustedGross</t>
  </si>
  <si>
    <t>Unadjusted Gross Dividend</t>
  </si>
  <si>
    <t>Gross Dividend unadjusted for corporate actions.</t>
  </si>
  <si>
    <t>30/360</t>
  </si>
  <si>
    <t>Dividend Ex Date</t>
  </si>
  <si>
    <t>ED</t>
  </si>
  <si>
    <t>TR.DivExDate</t>
  </si>
  <si>
    <t>Shares Outstanding</t>
  </si>
  <si>
    <t>TR.DivUnadjustedNet</t>
  </si>
  <si>
    <t>Unadjusted Net Dividend</t>
  </si>
  <si>
    <t>Net Dividend unadjusted for corporate actions</t>
  </si>
  <si>
    <t>Actual/actual</t>
  </si>
  <si>
    <t>Dividend Announcement Date</t>
  </si>
  <si>
    <t>AD</t>
  </si>
  <si>
    <t>TR.DivAnnouncementDate</t>
  </si>
  <si>
    <t>Market Capitalization</t>
  </si>
  <si>
    <t>TR.DivAdjustedGross</t>
  </si>
  <si>
    <t>Adjusted Gross Dividend</t>
  </si>
  <si>
    <t>Gross Dividend adjusted for corporate actions.</t>
  </si>
  <si>
    <t>Actual/360</t>
  </si>
  <si>
    <t>Dividend Record Date</t>
  </si>
  <si>
    <t>RD</t>
  </si>
  <si>
    <t>TR.DivRecordDate</t>
  </si>
  <si>
    <t>TR.CompanyMarketCap</t>
  </si>
  <si>
    <t>TR.DivAdjustedNet</t>
  </si>
  <si>
    <t>Adjusted Net Dividend</t>
  </si>
  <si>
    <t>Net Dividend adjusted for corporate actions.</t>
  </si>
  <si>
    <t>Actual/365</t>
  </si>
  <si>
    <t>Dividend Pay Date</t>
  </si>
  <si>
    <t>PD</t>
  </si>
  <si>
    <t>TR.DivPayDate</t>
  </si>
  <si>
    <t>Period End Date</t>
  </si>
  <si>
    <t>PED</t>
  </si>
  <si>
    <t>TR.DivPeriodEndDate</t>
  </si>
  <si>
    <t>European 30/360</t>
  </si>
  <si>
    <t>Total Financial Claims</t>
  </si>
  <si>
    <t>TR.CashAndSTInvestments</t>
  </si>
  <si>
    <t>Cash &amp; Equivalents</t>
  </si>
  <si>
    <t>Date Type</t>
  </si>
  <si>
    <t>Define the way the dividends will be displayed below (e.g. after the dividend ex date etc.)</t>
  </si>
  <si>
    <t>Long Term Marketable Securities</t>
  </si>
  <si>
    <t>Company's code</t>
  </si>
  <si>
    <t>Type of dividends</t>
  </si>
  <si>
    <t>TR.NetDebt</t>
  </si>
  <si>
    <t>Net Debt</t>
  </si>
  <si>
    <t xml:space="preserve">Day count basis </t>
  </si>
  <si>
    <t>Use the native currency?</t>
  </si>
  <si>
    <t>Yes</t>
  </si>
  <si>
    <t>TR.EV</t>
  </si>
  <si>
    <t>Select currency</t>
  </si>
  <si>
    <t>Holding period (%)</t>
  </si>
  <si>
    <t>Annual (%)</t>
  </si>
  <si>
    <t>Total return</t>
  </si>
  <si>
    <t>Using the TR function and the TR.TotalReturn field</t>
  </si>
  <si>
    <t>EV / EBIT Multiple</t>
  </si>
  <si>
    <t>Net Debt/EV</t>
  </si>
  <si>
    <t>Mkt Value Equity/EV</t>
  </si>
  <si>
    <t>Total Return - Reinvestment Dividend</t>
  </si>
  <si>
    <t>Share Price Appreciation</t>
  </si>
  <si>
    <t>Compound TSR</t>
  </si>
  <si>
    <t>*</t>
  </si>
  <si>
    <t>Unit of measure</t>
  </si>
  <si>
    <t>Dividend Contribution</t>
  </si>
  <si>
    <t>Adjusted Closing Price</t>
  </si>
  <si>
    <t>Additive Total of Above</t>
  </si>
  <si>
    <t>Cross Product</t>
  </si>
  <si>
    <t>Dividend Tax Status</t>
  </si>
  <si>
    <t>Ccy</t>
  </si>
  <si>
    <t>Unadjusted Price on the Ex Date</t>
  </si>
  <si>
    <t>Adjusted Price on the Ex Date</t>
  </si>
  <si>
    <t>TSR check</t>
  </si>
  <si>
    <t>Gross dividends</t>
  </si>
  <si>
    <t>Note:  Cross products allocated using the "selective" allocation method.  Specifically, cross products are allocated to the margin and multiple change fields</t>
  </si>
  <si>
    <t>EURUSD</t>
  </si>
  <si>
    <t>Aluminium Premium Duty paid US Midwest Historical Data</t>
  </si>
  <si>
    <t>Open</t>
  </si>
  <si>
    <t>High</t>
  </si>
  <si>
    <t>Low</t>
  </si>
  <si>
    <t>Chg%</t>
  </si>
  <si>
    <t>To Dos</t>
  </si>
  <si>
    <t>Company Research</t>
  </si>
  <si>
    <t>ABS</t>
  </si>
  <si>
    <t>CMS</t>
  </si>
  <si>
    <t>How is aluminium used in various sectors (i.e defence)</t>
  </si>
  <si>
    <t>Rolled products</t>
  </si>
  <si>
    <t>TID</t>
  </si>
  <si>
    <t>Cost flex</t>
  </si>
  <si>
    <t>Pricing power?</t>
  </si>
  <si>
    <t>Automotive Rolled vs. Automotive Structure operating segment?</t>
  </si>
  <si>
    <t>Top Crash Management System producers - Constellium is #2</t>
  </si>
  <si>
    <t>Extract aluminium prices</t>
  </si>
  <si>
    <t>How do they have such high prices compared to average aluminium prices? Compare Kalu's prices</t>
  </si>
  <si>
    <r>
      <t xml:space="preserve">Prepare a comps sheet for prices, volumes - </t>
    </r>
    <r>
      <rPr>
        <b/>
        <sz val="8"/>
        <color theme="1"/>
        <rFont val="Calibri"/>
        <family val="2"/>
      </rPr>
      <t>Give to Aditya</t>
    </r>
  </si>
  <si>
    <t>Prepare build by end markets</t>
  </si>
  <si>
    <t>On costs</t>
  </si>
  <si>
    <t>Packaging, Automotive and Rolled Products</t>
  </si>
  <si>
    <t>Shift from aluminium to plastic - Trends in craft beer industry for canning</t>
  </si>
  <si>
    <t>CSTM's customers - investing in can lines</t>
  </si>
  <si>
    <t>Semiconductor chip shortage - how long</t>
  </si>
  <si>
    <t>Demand for automobiles that CSTM serves:  light trucks, sport utility vehicles, and luxury vehicles</t>
  </si>
  <si>
    <t>CRU projections for aerospace rolled product demand</t>
  </si>
  <si>
    <t>Destocking cycle</t>
  </si>
  <si>
    <t>Demand for single-aisle aircraft</t>
  </si>
  <si>
    <t>Automotive manufacturers favoring aluminium over steel</t>
  </si>
  <si>
    <t>Vehicle light-weighting trends - auto body sheet</t>
  </si>
  <si>
    <t>Overall aluminium demand</t>
  </si>
  <si>
    <t>Competitors</t>
  </si>
  <si>
    <t>Kaiserr Aluminium</t>
  </si>
  <si>
    <t>Arconic</t>
  </si>
  <si>
    <t>Kaiser</t>
  </si>
  <si>
    <t>https://investors.kaiseraluminum.com/static-files/e7cea71a-37ac-4e23-a2f3-884c29e32e17</t>
  </si>
  <si>
    <t>14, 17, 19, 43, 44</t>
  </si>
  <si>
    <t>https://www.arconic.com/investors/</t>
  </si>
  <si>
    <t>Revenue, Price, Shipments by Product/Segment</t>
  </si>
  <si>
    <t>Earnings preview for Novelis - Revenue, EBITDA, Volume etc</t>
  </si>
  <si>
    <t xml:space="preserve">“A number of other producers, some of which are larger and have greater financial and technical resources than we do.” </t>
  </si>
  <si>
    <t>Prepare a snapshot (and timeseries if possible) of other prominent players in the industry (capacity, volumes, types of products, revenues, market cap etc.)</t>
  </si>
  <si>
    <t>Properties, Capacity, Revenue, Segments, EV, How much recycling, Geography</t>
  </si>
  <si>
    <t>Use the comps that they have listed in 20F</t>
  </si>
  <si>
    <t>Add Novelis</t>
  </si>
  <si>
    <t>Avg. change in costs by Jhanvi</t>
  </si>
  <si>
    <t>Pull copper and zinc prices</t>
  </si>
  <si>
    <t xml:space="preserve">“Our products compete with products made from other materials, such as steel, glass, plastics and composite materials, for various applications. Higher aluminium prices relative to substitute materials tend to make aluminium products less competitive with these alternative materials.”… </t>
  </si>
  <si>
    <t>any articles/research on such macro trends, impact of climate action on aluminium mining, consumption etc.</t>
  </si>
  <si>
    <t>though there may not be any substitutes of aluminium as of now in automotive industry, but any upcoming trends there. Anything that could replace aluminium in car bodies</t>
  </si>
  <si>
    <t>“We are particularly sensitive to cycles in the aerospace, automotive, defense, industrial and transportation end-markets, which are highly cyclical.”</t>
  </si>
  <si>
    <t>Just general level of research on all these sectors, especially post COVID (try and look for the what’s the latest in these)</t>
  </si>
  <si>
    <t>Because our operations are capital intensive and we generally have high fixed costs and may not be able to reduce costs and production capacity on a sufficiently rapid basis, our near-term profitability may be significantly affected by decreased processing volumes.”</t>
  </si>
  <si>
    <t xml:space="preserve">Then how were they able to boost margins during peak months of the pandemic. </t>
  </si>
  <si>
    <t>Figure out using calls</t>
  </si>
  <si>
    <t>Look in Q2, Q3 2020 calls</t>
  </si>
  <si>
    <t>“Our operations use natural gas and electricity, which represent the fourth largest component of our cost of sales, after metal, labor costs, and depreciation.”</t>
  </si>
  <si>
    <t xml:space="preserve">Any sensitivity analysis given by the company to these </t>
  </si>
  <si>
    <t>Check workforce reduction?</t>
  </si>
  <si>
    <t>Cover both customers and competitors</t>
  </si>
  <si>
    <t>Read IBIS report</t>
  </si>
  <si>
    <t>From which company does Tesla source Aluminium?</t>
  </si>
  <si>
    <t>Industry/Peers Research</t>
  </si>
  <si>
    <t>End Markets</t>
  </si>
  <si>
    <t>Stock Market</t>
  </si>
  <si>
    <t>Stock down in last 6 months. Why?</t>
  </si>
  <si>
    <t>Stock increasing since April 2020. Why?</t>
  </si>
  <si>
    <t>Thomson page snips</t>
  </si>
  <si>
    <t>Aluminium historical prices and forward curve</t>
  </si>
  <si>
    <t>Transcript</t>
  </si>
  <si>
    <t>Q1 2019 - Q3 2021 Transcript comments in cells</t>
  </si>
  <si>
    <t>Doubt</t>
  </si>
  <si>
    <t>Forward PE</t>
  </si>
  <si>
    <t>TR.FWDPE</t>
  </si>
  <si>
    <t>Forward EV Revenue</t>
  </si>
  <si>
    <t>TR.EVtoRevenueMean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</si>
</sst>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44" formatCode="_ &quot;₹&quot;\ * #,##0.00_ ;_ &quot;₹&quot;\ * \-#,##0.00_ ;_ &quot;₹&quot;\ * &quot;-&quot;??_ ;_ @_ "/>
    <numFmt numFmtId="164" formatCode="&quot;$&quot;#,##0.00_);\(&quot;$&quot;#,##0.00\)"/>
    <numFmt numFmtId="165" formatCode="&quot;$&quot;#,##0.00_);[Red]\(&quot;$&quot;#,##0.00\)"/>
    <numFmt numFmtId="166" formatCode="_(&quot;$&quot;* #,##0.00_);_(&quot;$&quot;* \(#,##0.00\);_(&quot;$&quot;* &quot;-&quot;??_);_(@_)"/>
    <numFmt numFmtId="167" formatCode="_(* #,##0.00_);_(* \(#,##0.00\);_(* &quot;-&quot;??_);_(@_)"/>
    <numFmt numFmtId="168" formatCode="&quot;$&quot;#,##0.00_);\(&quot;$&quot;#,##0.00\);\-\ "/>
    <numFmt numFmtId="169" formatCode="#,##0.0_);\(#,##0.0\);\-\ "/>
    <numFmt numFmtId="170" formatCode="&quot;Q1&quot;\ General"/>
    <numFmt numFmtId="171" formatCode="&quot;Q2&quot;\ General"/>
    <numFmt numFmtId="172" formatCode="&quot;Q3&quot;\ General"/>
    <numFmt numFmtId="173" formatCode="&quot;Q4&quot;\ General"/>
    <numFmt numFmtId="174" formatCode="&quot;Q3&quot;\ General&quot;E&quot;"/>
    <numFmt numFmtId="175" formatCode="&quot;Q4&quot;\ General&quot;E&quot;"/>
    <numFmt numFmtId="176" formatCode="General&quot;A&quot;"/>
    <numFmt numFmtId="177" formatCode="General&quot;E&quot;"/>
    <numFmt numFmtId="178" formatCode="&quot;FY&quot;\ #"/>
    <numFmt numFmtId="179" formatCode="[$-409]mmm\-yy;@"/>
    <numFmt numFmtId="180" formatCode="0.0%_);\(0.0%\)"/>
    <numFmt numFmtId="181" formatCode="#,##0.0_);\(#,##0.0\)"/>
    <numFmt numFmtId="182" formatCode="&quot;$&quot;#,##0.0_);\(&quot;$&quot;#,##0.0\);\-\ "/>
    <numFmt numFmtId="183" formatCode="&quot;Q1&quot;\ General&quot;E&quot;"/>
    <numFmt numFmtId="184" formatCode="&quot;Q2&quot;\ General&quot;E&quot;"/>
    <numFmt numFmtId="185" formatCode="#,##0_);\(#,##0\);\-\ "/>
    <numFmt numFmtId="186" formatCode=";;;"/>
    <numFmt numFmtId="187" formatCode="&quot;CY&quot;General"/>
    <numFmt numFmtId="188" formatCode="#,##0.00_);\(#,##0.00\);\-\ "/>
    <numFmt numFmtId="189" formatCode="0.0\x_);\(0.0\x\);\-\ "/>
    <numFmt numFmtId="190" formatCode="0.0%_);\(0.0%\);\-\ "/>
    <numFmt numFmtId="191" formatCode="0.00\x_);\(0.00\x\);\-\ "/>
    <numFmt numFmtId="192" formatCode="_([$€-2]* #,##0.00_);_([$€-2]* \(#,##0.00\);_([$€-2]* &quot;-&quot;??_)"/>
    <numFmt numFmtId="193" formatCode="&quot;Q1&quot;\ #"/>
    <numFmt numFmtId="194" formatCode="0&quot;A&quot;"/>
    <numFmt numFmtId="195" formatCode="0&quot;E&quot;"/>
    <numFmt numFmtId="196" formatCode="0.0000000000000000%"/>
    <numFmt numFmtId="197" formatCode="0.000000000000000%"/>
    <numFmt numFmtId="198" formatCode="0.00%_);\(0.00%\)"/>
    <numFmt numFmtId="199" formatCode="0.000000000"/>
    <numFmt numFmtId="200" formatCode="0.00000000"/>
    <numFmt numFmtId="201" formatCode="&quot;+/-&quot;0%"/>
    <numFmt numFmtId="202" formatCode="_-[$$-409]* #,##0.0_ ;_-[$$-409]* \-#,##0.0\ ;_-[$$-409]* &quot;-&quot;??_ ;_-@_ "/>
    <numFmt numFmtId="203" formatCode="&quot;Q1&quot;\ yyyy"/>
    <numFmt numFmtId="204" formatCode="&quot;Q2&quot;\ yyyy"/>
    <numFmt numFmtId="205" formatCode="&quot;Q3&quot;\ yyyy"/>
    <numFmt numFmtId="206" formatCode="&quot;Q4&quot;\ yyyy"/>
    <numFmt numFmtId="207" formatCode="[$-409]mmmm\ d\,\ yyyy;@"/>
    <numFmt numFmtId="208" formatCode="&quot;FY&quot;#&quot;E&quot;"/>
    <numFmt numFmtId="209" formatCode="[$-409]d\-mmm\-yy;@"/>
    <numFmt numFmtId="210" formatCode="_-[$$-409]* #,##0.00_ ;_-[$$-409]* \-#,##0.00\ ;_-[$$-409]* &quot;-&quot;??_ ;_-@_ "/>
    <numFmt numFmtId="211" formatCode="#,##0.000_);\(#,##0.000\);\-\ "/>
    <numFmt numFmtId="212" formatCode="#,##0.0000_);\(#,##0.0000\);\-\ "/>
    <numFmt numFmtId="213" formatCode="_ * #,##0_ ;_ * \-#,##0_ ;_ * &quot;-&quot;?_ ;_ @_ "/>
    <numFmt numFmtId="214" formatCode="[$-14009]dddd\,\ d\ mmmm\,\ yyyy;@"/>
    <numFmt numFmtId="215" formatCode="mm/dd/yy"/>
    <numFmt numFmtId="216" formatCode="0.0%;\(0.0%\);\-"/>
    <numFmt numFmtId="217" formatCode="#,##0_);\(#,##0\);\-"/>
    <numFmt numFmtId="218" formatCode="0.000%"/>
    <numFmt numFmtId="219" formatCode="0.0%;[Red]\(0.0%\)"/>
    <numFmt numFmtId="220" formatCode="[$-409]mmm\-dd\-yyyy;@"/>
    <numFmt numFmtId="221" formatCode="0%;[Red]\(0%\)"/>
    <numFmt numFmtId="222" formatCode="#,##0.0_);[Red]\(#,##0.0\)"/>
    <numFmt numFmtId="223" formatCode="0.0"/>
    <numFmt numFmtId="224" formatCode="0.0%"/>
    <numFmt numFmtId="225" formatCode="0.0\x_);\(0.0\x\);0.0\x_);@_)"/>
    <numFmt numFmtId="226" formatCode="[$-409]dd\-mmm\-yy;@"/>
    <numFmt numFmtId="227" formatCode="0.0000"/>
    <numFmt numFmtId="228" formatCode="0.000\x_);\(0.000\x\);\-\ "/>
    <numFmt numFmtId="229" formatCode="0.000"/>
    <numFmt numFmtId="230" formatCode="&quot;$&quot;#,##0.000_);[Red]\(&quot;$&quot;#,##0.000\)"/>
  </numFmts>
  <fonts count="128">
    <font>
      <sz val="8"/>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color theme="1"/>
      <name val="Calibri"/>
      <family val="2"/>
    </font>
    <font>
      <sz val="8"/>
      <color theme="0"/>
      <name val="Calibri"/>
      <family val="2"/>
    </font>
    <font>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8"/>
      <color indexed="17"/>
      <name val="Calibri"/>
      <family val="2"/>
      <scheme val="minor"/>
    </font>
    <font>
      <b/>
      <sz val="8"/>
      <color indexed="17"/>
      <name val="Calibri"/>
      <family val="2"/>
      <scheme val="minor"/>
    </font>
    <font>
      <sz val="8"/>
      <color indexed="10"/>
      <name val="Calibri"/>
      <family val="2"/>
      <scheme val="minor"/>
    </font>
    <font>
      <sz val="8"/>
      <color indexed="10"/>
      <name val="Calibri"/>
      <family val="2"/>
    </font>
    <font>
      <sz val="8"/>
      <color theme="0"/>
      <name val="Calibri"/>
      <family val="2"/>
      <scheme val="minor"/>
    </font>
    <font>
      <b/>
      <u/>
      <sz val="8"/>
      <color theme="1"/>
      <name val="Calibri"/>
      <family val="2"/>
      <scheme val="minor"/>
    </font>
    <font>
      <sz val="8"/>
      <color indexed="12"/>
      <name val="Calibri"/>
      <family val="2"/>
    </font>
    <font>
      <u/>
      <sz val="11"/>
      <color theme="10"/>
      <name val="Calibri"/>
      <family val="2"/>
      <scheme val="minor"/>
    </font>
    <font>
      <sz val="8"/>
      <color indexed="8"/>
      <name val="Calibri"/>
      <family val="2"/>
    </font>
    <font>
      <b/>
      <sz val="8"/>
      <color indexed="8"/>
      <name val="Calibri"/>
      <family val="2"/>
    </font>
    <font>
      <sz val="9"/>
      <color indexed="81"/>
      <name val="Tahoma"/>
      <family val="2"/>
    </font>
    <font>
      <b/>
      <sz val="9"/>
      <color indexed="81"/>
      <name val="Tahoma"/>
      <family val="2"/>
    </font>
    <font>
      <b/>
      <sz val="8"/>
      <color indexed="12"/>
      <name val="Calibri"/>
      <family val="2"/>
    </font>
    <font>
      <i/>
      <sz val="8"/>
      <color indexed="10"/>
      <name val="Calibri"/>
      <family val="2"/>
    </font>
    <font>
      <b/>
      <sz val="12"/>
      <color theme="1"/>
      <name val="Calibri"/>
      <family val="2"/>
    </font>
    <font>
      <sz val="8"/>
      <color theme="1"/>
      <name val="Calibri"/>
      <family val="2"/>
    </font>
    <font>
      <sz val="8"/>
      <color indexed="12"/>
      <name val="Calibri"/>
      <family val="2"/>
      <scheme val="minor"/>
    </font>
    <font>
      <b/>
      <sz val="8"/>
      <color theme="0"/>
      <name val="Calibri"/>
      <family val="2"/>
      <scheme val="minor"/>
    </font>
    <font>
      <sz val="8"/>
      <color indexed="17"/>
      <name val="Calibri"/>
      <family val="2"/>
    </font>
    <font>
      <b/>
      <sz val="8"/>
      <color rgb="FF203764"/>
      <name val="Calibri"/>
      <family val="2"/>
      <scheme val="minor"/>
    </font>
    <font>
      <b/>
      <sz val="8"/>
      <name val="Calibri"/>
      <family val="2"/>
      <scheme val="minor"/>
    </font>
    <font>
      <i/>
      <sz val="8"/>
      <color theme="8" tint="-0.249977111117893"/>
      <name val="Calibri"/>
      <family val="2"/>
      <scheme val="minor"/>
    </font>
    <font>
      <sz val="8"/>
      <name val="Calibri"/>
      <family val="2"/>
      <scheme val="minor"/>
    </font>
    <font>
      <i/>
      <sz val="8"/>
      <name val="Calibri"/>
      <family val="2"/>
      <scheme val="minor"/>
    </font>
    <font>
      <sz val="8"/>
      <color indexed="8"/>
      <name val="Calibri"/>
      <family val="2"/>
      <scheme val="minor"/>
    </font>
    <font>
      <i/>
      <sz val="8"/>
      <color indexed="10"/>
      <name val="Calibri"/>
      <family val="2"/>
      <scheme val="minor"/>
    </font>
    <font>
      <b/>
      <sz val="8"/>
      <color indexed="9"/>
      <name val="Calibri"/>
      <family val="2"/>
      <scheme val="minor"/>
    </font>
    <font>
      <sz val="11"/>
      <color theme="1"/>
      <name val="0"/>
    </font>
    <font>
      <sz val="10"/>
      <color indexed="8"/>
      <name val="Arial"/>
      <family val="2"/>
    </font>
    <font>
      <sz val="11"/>
      <color rgb="FFFFFFFF"/>
      <name val="Arial"/>
      <family val="2"/>
    </font>
    <font>
      <b/>
      <sz val="10"/>
      <color indexed="8"/>
      <name val="Arial"/>
      <family val="2"/>
    </font>
    <font>
      <b/>
      <sz val="8"/>
      <color indexed="12"/>
      <name val="Calibri"/>
      <family val="2"/>
      <scheme val="minor"/>
    </font>
    <font>
      <b/>
      <i/>
      <sz val="8"/>
      <color theme="1"/>
      <name val="Calibri"/>
      <family val="2"/>
      <scheme val="minor"/>
    </font>
    <font>
      <b/>
      <sz val="9"/>
      <color rgb="FF203764"/>
      <name val="Calibri"/>
      <family val="2"/>
      <scheme val="minor"/>
    </font>
    <font>
      <i/>
      <sz val="8"/>
      <color theme="1"/>
      <name val="Calibri"/>
      <family val="2"/>
    </font>
    <font>
      <sz val="10"/>
      <name val="Arial"/>
      <family val="2"/>
    </font>
    <font>
      <b/>
      <sz val="8"/>
      <name val="Arial"/>
      <family val="2"/>
    </font>
    <font>
      <sz val="8"/>
      <color indexed="14"/>
      <name val="Calibri"/>
      <family val="2"/>
    </font>
    <font>
      <b/>
      <sz val="8"/>
      <color indexed="17"/>
      <name val="Calibri"/>
      <family val="2"/>
    </font>
    <font>
      <sz val="10"/>
      <color rgb="FF000000"/>
      <name val="Times New Roman"/>
      <family val="1"/>
    </font>
    <font>
      <i/>
      <sz val="8"/>
      <color indexed="17"/>
      <name val="Calibri"/>
      <family val="2"/>
    </font>
    <font>
      <b/>
      <i/>
      <sz val="8"/>
      <color theme="1"/>
      <name val="Calibri"/>
      <family val="2"/>
    </font>
    <font>
      <i/>
      <sz val="8"/>
      <color indexed="12"/>
      <name val="Calibri"/>
      <family val="2"/>
    </font>
    <font>
      <i/>
      <sz val="8"/>
      <color indexed="8"/>
      <name val="Calibri"/>
      <family val="2"/>
    </font>
    <font>
      <sz val="8"/>
      <color theme="1" tint="0.34998626667073579"/>
      <name val="Calibri"/>
      <family val="2"/>
      <scheme val="minor"/>
    </font>
    <font>
      <sz val="8"/>
      <color rgb="FFFFFFFF"/>
      <name val="Calibri"/>
      <family val="2"/>
      <scheme val="minor"/>
    </font>
    <font>
      <b/>
      <sz val="8"/>
      <color indexed="8"/>
      <name val="Calibri"/>
      <family val="2"/>
      <scheme val="minor"/>
    </font>
    <font>
      <vertAlign val="subscript"/>
      <sz val="8"/>
      <color indexed="8"/>
      <name val="Calibri"/>
      <family val="2"/>
      <scheme val="minor"/>
    </font>
    <font>
      <sz val="8"/>
      <color theme="1" tint="0.499984740745262"/>
      <name val="Calibri"/>
      <family val="2"/>
      <scheme val="minor"/>
    </font>
    <font>
      <sz val="8"/>
      <color rgb="FF66758A"/>
      <name val="Calibri"/>
      <family val="2"/>
      <scheme val="minor"/>
    </font>
    <font>
      <sz val="8"/>
      <color rgb="FF000000"/>
      <name val="Calibri"/>
      <family val="2"/>
      <scheme val="minor"/>
    </font>
    <font>
      <sz val="8"/>
      <color rgb="FF0EA600"/>
      <name val="Calibri"/>
      <family val="2"/>
      <scheme val="minor"/>
    </font>
    <font>
      <sz val="8"/>
      <color rgb="FFFF0000"/>
      <name val="Calibri"/>
      <family val="2"/>
      <scheme val="minor"/>
    </font>
    <font>
      <b/>
      <sz val="8"/>
      <color indexed="10"/>
      <name val="Calibri"/>
      <family val="2"/>
    </font>
    <font>
      <b/>
      <sz val="8"/>
      <color theme="0"/>
      <name val="Calibri"/>
      <family val="2"/>
    </font>
    <font>
      <u/>
      <sz val="8"/>
      <color theme="10"/>
      <name val="Calibri"/>
      <family val="2"/>
      <scheme val="minor"/>
    </font>
    <font>
      <b/>
      <i/>
      <sz val="8"/>
      <color indexed="8"/>
      <name val="Calibri"/>
      <family val="2"/>
    </font>
    <font>
      <b/>
      <i/>
      <sz val="8"/>
      <color theme="8" tint="-0.249977111117893"/>
      <name val="Calibri"/>
      <family val="2"/>
      <scheme val="minor"/>
    </font>
    <font>
      <u/>
      <sz val="8"/>
      <color theme="10"/>
      <name val="Calibri"/>
      <family val="2"/>
    </font>
    <font>
      <b/>
      <sz val="8"/>
      <color rgb="FF333333"/>
      <name val="Open Sans"/>
      <family val="2"/>
    </font>
    <font>
      <b/>
      <sz val="8"/>
      <name val="Calibri"/>
      <family val="2"/>
    </font>
    <font>
      <sz val="8"/>
      <name val="Calibri"/>
      <family val="2"/>
    </font>
    <font>
      <i/>
      <u/>
      <sz val="8"/>
      <name val="Calibri"/>
      <family val="2"/>
    </font>
    <font>
      <i/>
      <u/>
      <sz val="8"/>
      <color theme="10"/>
      <name val="Calibri"/>
      <family val="2"/>
    </font>
    <font>
      <i/>
      <sz val="9"/>
      <color indexed="81"/>
      <name val="Tahoma"/>
      <family val="2"/>
    </font>
    <font>
      <b/>
      <i/>
      <sz val="9"/>
      <color indexed="81"/>
      <name val="Tahoma"/>
      <family val="2"/>
    </font>
    <font>
      <b/>
      <sz val="8"/>
      <color indexed="10"/>
      <name val="Calibri"/>
      <family val="2"/>
      <scheme val="minor"/>
    </font>
    <font>
      <b/>
      <i/>
      <sz val="8"/>
      <color indexed="10"/>
      <name val="Calibri"/>
      <family val="2"/>
    </font>
    <font>
      <i/>
      <sz val="8"/>
      <color indexed="8"/>
      <name val="Calibri"/>
      <family val="2"/>
      <scheme val="minor"/>
    </font>
    <font>
      <b/>
      <sz val="11"/>
      <color theme="1"/>
      <name val="Calibri"/>
      <family val="2"/>
      <scheme val="minor"/>
    </font>
    <font>
      <sz val="8"/>
      <name val="Arial"/>
      <family val="2"/>
    </font>
    <font>
      <b/>
      <sz val="8"/>
      <color rgb="FFFFFFFF"/>
      <name val="Arial"/>
      <family val="2"/>
    </font>
    <font>
      <sz val="8"/>
      <color theme="0"/>
      <name val="Arial"/>
      <family val="2"/>
    </font>
    <font>
      <b/>
      <sz val="8"/>
      <color indexed="9"/>
      <name val="Arial"/>
      <family val="2"/>
    </font>
    <font>
      <sz val="8"/>
      <color theme="1"/>
      <name val="Arial"/>
      <family val="2"/>
    </font>
    <font>
      <vertAlign val="superscript"/>
      <sz val="8"/>
      <name val="Arial"/>
      <family val="2"/>
    </font>
    <font>
      <sz val="8"/>
      <color indexed="8"/>
      <name val="Trebuchet MS"/>
      <family val="2"/>
    </font>
    <font>
      <sz val="8"/>
      <color indexed="8"/>
      <name val="Arial"/>
      <family val="2"/>
    </font>
    <font>
      <i/>
      <sz val="8"/>
      <color theme="0" tint="-0.34998626667073579"/>
      <name val="Arial"/>
      <family val="2"/>
    </font>
    <font>
      <sz val="8"/>
      <color indexed="12"/>
      <name val="Arial"/>
      <family val="2"/>
    </font>
    <font>
      <b/>
      <sz val="8"/>
      <color rgb="FF006666"/>
      <name val="Arial"/>
      <family val="2"/>
    </font>
    <font>
      <sz val="8"/>
      <color rgb="FF000000"/>
      <name val="Arial"/>
      <family val="2"/>
    </font>
    <font>
      <sz val="10"/>
      <color theme="1"/>
      <name val="Arial"/>
      <family val="2"/>
    </font>
    <font>
      <b/>
      <sz val="10"/>
      <color theme="1"/>
      <name val="Arial"/>
      <family val="2"/>
    </font>
    <font>
      <b/>
      <sz val="10"/>
      <color theme="0"/>
      <name val="Arial"/>
      <family val="2"/>
    </font>
    <font>
      <sz val="10"/>
      <color theme="0"/>
      <name val="Arial"/>
      <family val="2"/>
    </font>
    <font>
      <sz val="11"/>
      <color theme="1"/>
      <name val="Calibri"/>
      <family val="2"/>
    </font>
    <font>
      <i/>
      <sz val="10"/>
      <color theme="1"/>
      <name val="Arial"/>
      <family val="2"/>
    </font>
    <font>
      <i/>
      <sz val="10"/>
      <color indexed="8"/>
      <name val="Arial"/>
      <family val="2"/>
    </font>
    <font>
      <b/>
      <sz val="10"/>
      <name val="Arial"/>
      <family val="2"/>
    </font>
    <font>
      <b/>
      <u/>
      <sz val="10"/>
      <name val="Arial"/>
      <family val="2"/>
    </font>
    <font>
      <b/>
      <i/>
      <sz val="10"/>
      <color rgb="FFFF0000"/>
      <name val="Arial"/>
      <family val="2"/>
    </font>
    <font>
      <sz val="10"/>
      <color indexed="12"/>
      <name val="Arial"/>
      <family val="2"/>
    </font>
    <font>
      <b/>
      <sz val="10"/>
      <color indexed="12"/>
      <name val="Arial"/>
      <family val="2"/>
    </font>
    <font>
      <sz val="10"/>
      <color rgb="FFFF0000"/>
      <name val="Arial"/>
      <family val="2"/>
    </font>
    <font>
      <sz val="10"/>
      <color indexed="17"/>
      <name val="Arial"/>
      <family val="2"/>
    </font>
    <font>
      <sz val="10"/>
      <color theme="9"/>
      <name val="Arial"/>
      <family val="2"/>
    </font>
    <font>
      <i/>
      <sz val="10"/>
      <color theme="9"/>
      <name val="Arial"/>
      <family val="2"/>
    </font>
    <font>
      <i/>
      <sz val="10"/>
      <color theme="0" tint="-0.34998626667073579"/>
      <name val="Arial"/>
      <family val="2"/>
    </font>
    <font>
      <sz val="10"/>
      <color rgb="FFFF9933"/>
      <name val="Arial"/>
      <family val="2"/>
    </font>
    <font>
      <b/>
      <sz val="10"/>
      <color theme="3" tint="0.39997558519241921"/>
      <name val="Arial"/>
      <family val="2"/>
    </font>
    <font>
      <b/>
      <sz val="8"/>
      <color theme="1"/>
      <name val="Arial"/>
      <family val="2"/>
    </font>
    <font>
      <sz val="10"/>
      <color theme="9" tint="-0.249977111117893"/>
      <name val="Arial"/>
      <family val="2"/>
    </font>
    <font>
      <i/>
      <sz val="10"/>
      <color theme="1" tint="0.499984740745262"/>
      <name val="Arial"/>
      <family val="2"/>
    </font>
    <font>
      <b/>
      <sz val="10"/>
      <color theme="9" tint="-0.249977111117893"/>
      <name val="Arial"/>
      <family val="2"/>
    </font>
    <font>
      <u/>
      <sz val="11"/>
      <color theme="10"/>
      <name val="Calibri"/>
      <family val="2"/>
    </font>
    <font>
      <u/>
      <sz val="10"/>
      <color theme="10"/>
      <name val="Arial"/>
      <family val="2"/>
    </font>
    <font>
      <sz val="10"/>
      <color indexed="14"/>
      <name val="Arial"/>
      <family val="2"/>
    </font>
    <font>
      <b/>
      <sz val="10"/>
      <color rgb="FF0000FF"/>
      <name val="Arial"/>
      <family val="2"/>
    </font>
    <font>
      <sz val="10"/>
      <color rgb="FF0000FF"/>
      <name val="Arial"/>
      <family val="2"/>
    </font>
    <font>
      <i/>
      <sz val="10"/>
      <color indexed="10"/>
      <name val="Arial"/>
      <family val="2"/>
    </font>
    <font>
      <b/>
      <sz val="14"/>
      <color rgb="FF2B2B2B"/>
      <name val="Arial"/>
      <family val="2"/>
    </font>
    <font>
      <sz val="14"/>
      <color rgb="FF2B2B2B"/>
      <name val="Arial"/>
      <family val="2"/>
    </font>
    <font>
      <i/>
      <sz val="8"/>
      <color indexed="12"/>
      <name val="Calibri"/>
      <family val="2"/>
      <scheme val="minor"/>
    </font>
    <font>
      <sz val="14"/>
      <color theme="1"/>
      <name val="Calibri"/>
      <family val="2"/>
    </font>
  </fonts>
  <fills count="37">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indexed="13"/>
        <bgColor indexed="64"/>
      </patternFill>
    </fill>
    <fill>
      <patternFill patternType="solid">
        <fgColor rgb="FFFFFFCC"/>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D6DCE4"/>
        <bgColor indexed="64"/>
      </patternFill>
    </fill>
    <fill>
      <patternFill patternType="solid">
        <fgColor rgb="FF203764"/>
        <bgColor indexed="64"/>
      </patternFill>
    </fill>
    <fill>
      <patternFill patternType="solid">
        <fgColor indexed="9"/>
        <bgColor indexed="64"/>
      </patternFill>
    </fill>
    <fill>
      <patternFill patternType="solid">
        <fgColor rgb="FFD9E1F2"/>
        <bgColor indexed="64"/>
      </patternFill>
    </fill>
    <fill>
      <patternFill patternType="solid">
        <fgColor theme="9" tint="0.79998168889431442"/>
        <bgColor indexed="64"/>
      </patternFill>
    </fill>
    <fill>
      <patternFill patternType="solid">
        <fgColor rgb="FF1F4E78"/>
        <bgColor indexed="64"/>
      </patternFill>
    </fill>
    <fill>
      <patternFill patternType="solid">
        <fgColor rgb="FFFFDDBA"/>
        <bgColor indexed="64"/>
      </patternFill>
    </fill>
    <fill>
      <patternFill patternType="solid">
        <fgColor indexed="31"/>
        <bgColor indexed="64"/>
      </patternFill>
    </fill>
    <fill>
      <patternFill patternType="solid">
        <fgColor rgb="FF3C3C3C"/>
        <bgColor indexed="64"/>
      </patternFill>
    </fill>
    <fill>
      <patternFill patternType="solid">
        <fgColor theme="0" tint="-0.249977111117893"/>
        <bgColor indexed="64"/>
      </patternFill>
    </fill>
    <fill>
      <patternFill patternType="solid">
        <fgColor rgb="FFCCCCFF"/>
        <bgColor indexed="64"/>
      </patternFill>
    </fill>
    <fill>
      <patternFill patternType="solid">
        <fgColor rgb="FFBDD7EE"/>
        <bgColor indexed="64"/>
      </patternFill>
    </fill>
    <fill>
      <patternFill patternType="solid">
        <fgColor theme="5" tint="0.59999389629810485"/>
        <bgColor indexed="64"/>
      </patternFill>
    </fill>
    <fill>
      <patternFill patternType="solid">
        <fgColor rgb="FFFCFDFE"/>
        <bgColor indexed="64"/>
      </patternFill>
    </fill>
    <fill>
      <patternFill patternType="solid">
        <fgColor indexed="8"/>
        <bgColor indexed="64"/>
      </patternFill>
    </fill>
    <fill>
      <patternFill patternType="solid">
        <fgColor theme="7" tint="0.79998168889431442"/>
        <bgColor indexed="64"/>
      </patternFill>
    </fill>
    <fill>
      <patternFill patternType="solid">
        <fgColor rgb="FF00327B"/>
        <bgColor indexed="64"/>
      </patternFill>
    </fill>
    <fill>
      <patternFill patternType="solid">
        <fgColor rgb="FFEFF5FE"/>
        <bgColor indexed="64"/>
      </patternFill>
    </fill>
    <fill>
      <patternFill patternType="solid">
        <fgColor rgb="FFBFBFBF"/>
        <bgColor indexed="64"/>
      </patternFill>
    </fill>
    <fill>
      <patternFill patternType="solid">
        <fgColor indexed="9"/>
      </patternFill>
    </fill>
    <fill>
      <patternFill patternType="solid">
        <fgColor rgb="FFFFFFFF"/>
        <bgColor indexed="64"/>
      </patternFill>
    </fill>
    <fill>
      <patternFill patternType="solid">
        <fgColor rgb="FFC2E5DF"/>
        <bgColor indexed="64"/>
      </patternFill>
    </fill>
    <fill>
      <patternFill patternType="solid">
        <fgColor rgb="FF264D82"/>
        <bgColor indexed="64"/>
      </patternFill>
    </fill>
    <fill>
      <patternFill patternType="solid">
        <fgColor theme="2" tint="-9.9978637043366805E-2"/>
        <bgColor indexed="64"/>
      </patternFill>
    </fill>
    <fill>
      <patternFill patternType="solid">
        <fgColor indexed="22"/>
        <bgColor indexed="64"/>
      </patternFill>
    </fill>
    <fill>
      <patternFill patternType="solid">
        <fgColor theme="6" tint="0.59999389629810485"/>
        <bgColor indexed="64"/>
      </patternFill>
    </fill>
    <fill>
      <patternFill patternType="solid">
        <fgColor rgb="FFC2C2C2"/>
        <bgColor indexed="64"/>
      </patternFill>
    </fill>
  </fills>
  <borders count="61">
    <border>
      <left/>
      <right/>
      <top/>
      <bottom/>
      <diagonal/>
    </border>
    <border>
      <left/>
      <right style="thin">
        <color theme="0"/>
      </right>
      <top/>
      <bottom/>
      <diagonal/>
    </border>
    <border>
      <left/>
      <right/>
      <top style="thin">
        <color theme="0"/>
      </top>
      <bottom style="thin">
        <color theme="0"/>
      </bottom>
      <diagonal/>
    </border>
    <border>
      <left style="thin">
        <color theme="0"/>
      </left>
      <right style="thin">
        <color theme="0"/>
      </right>
      <top/>
      <bottom/>
      <diagonal/>
    </border>
    <border>
      <left style="thin">
        <color theme="0"/>
      </left>
      <right style="dashed">
        <color theme="0" tint="-0.24994659260841701"/>
      </right>
      <top style="thin">
        <color theme="0"/>
      </top>
      <bottom style="thin">
        <color theme="0"/>
      </bottom>
      <diagonal/>
    </border>
    <border>
      <left style="thin">
        <color theme="0"/>
      </left>
      <right/>
      <top style="thin">
        <color theme="0"/>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dashed">
        <color theme="0" tint="-0.24994659260841701"/>
      </right>
      <top style="thin">
        <color theme="0"/>
      </top>
      <bottom style="thin">
        <color theme="0"/>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FF9933"/>
      </left>
      <right style="thin">
        <color rgb="FFFF9933"/>
      </right>
      <top style="thin">
        <color rgb="FFFF9933"/>
      </top>
      <bottom style="thin">
        <color rgb="FFFF9933"/>
      </bottom>
      <diagonal/>
    </border>
    <border>
      <left style="thin">
        <color rgb="FF99A5FF"/>
      </left>
      <right style="thin">
        <color rgb="FF99A5FF"/>
      </right>
      <top style="thin">
        <color rgb="FF99A5FF"/>
      </top>
      <bottom style="thin">
        <color rgb="FF99A5FF"/>
      </bottom>
      <diagonal/>
    </border>
    <border>
      <left/>
      <right/>
      <top style="thin">
        <color indexed="8"/>
      </top>
      <bottom style="thin">
        <color indexed="8"/>
      </bottom>
      <diagonal/>
    </border>
    <border>
      <left/>
      <right style="thin">
        <color indexed="64"/>
      </right>
      <top style="thin">
        <color indexed="8"/>
      </top>
      <bottom/>
      <diagonal/>
    </border>
    <border>
      <left/>
      <right/>
      <top style="thin">
        <color indexed="8"/>
      </top>
      <bottom/>
      <diagonal/>
    </border>
    <border>
      <left style="thin">
        <color theme="0"/>
      </left>
      <right/>
      <top/>
      <bottom/>
      <diagonal/>
    </border>
    <border>
      <left/>
      <right/>
      <top style="thin">
        <color indexed="64"/>
      </top>
      <bottom/>
      <diagonal/>
    </border>
    <border>
      <left/>
      <right/>
      <top style="thin">
        <color indexed="64"/>
      </top>
      <bottom style="double">
        <color indexed="64"/>
      </bottom>
      <diagonal/>
    </border>
    <border>
      <left/>
      <right/>
      <top/>
      <bottom style="medium">
        <color rgb="FFE3EAF2"/>
      </bottom>
      <diagonal/>
    </border>
    <border>
      <left/>
      <right/>
      <top style="thin">
        <color indexed="64"/>
      </top>
      <bottom style="thin">
        <color indexed="22"/>
      </bottom>
      <diagonal/>
    </border>
    <border>
      <left style="thin">
        <color indexed="64"/>
      </left>
      <right style="thin">
        <color indexed="64"/>
      </right>
      <top style="thin">
        <color indexed="64"/>
      </top>
      <bottom/>
      <diagonal/>
    </border>
    <border>
      <left style="thin">
        <color rgb="FFB2B2B2"/>
      </left>
      <right style="thin">
        <color rgb="FFB2B2B2"/>
      </right>
      <top style="thin">
        <color indexed="64"/>
      </top>
      <bottom style="thin">
        <color indexed="64"/>
      </bottom>
      <diagonal/>
    </border>
    <border>
      <left style="thin">
        <color rgb="FFB2B2B2"/>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style="thin">
        <color theme="0"/>
      </right>
      <top style="thin">
        <color indexed="64"/>
      </top>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style="thin">
        <color theme="0"/>
      </right>
      <top style="thin">
        <color indexed="64"/>
      </top>
      <bottom style="thin">
        <color indexed="64"/>
      </bottom>
      <diagonal/>
    </border>
    <border>
      <left style="medium">
        <color rgb="FFBFBFBF"/>
      </left>
      <right style="medium">
        <color rgb="FFBFBFBF"/>
      </right>
      <top style="medium">
        <color rgb="FFBFBFBF"/>
      </top>
      <bottom style="medium">
        <color rgb="FFBFBFBF"/>
      </bottom>
      <diagonal/>
    </border>
    <border>
      <left/>
      <right/>
      <top style="thin">
        <color rgb="FFC2C2C2"/>
      </top>
      <bottom style="thin">
        <color rgb="FFC2C2C2"/>
      </bottom>
      <diagonal/>
    </border>
    <border>
      <left style="hair">
        <color indexed="22"/>
      </left>
      <right style="hair">
        <color indexed="22"/>
      </right>
      <top style="hair">
        <color indexed="22"/>
      </top>
      <bottom style="hair">
        <color indexed="22"/>
      </bottom>
      <diagonal/>
    </border>
    <border>
      <left/>
      <right/>
      <top/>
      <bottom style="thin">
        <color rgb="FFA6A6A6"/>
      </bottom>
      <diagonal/>
    </border>
    <border>
      <left/>
      <right/>
      <top style="thin">
        <color rgb="FFA6A6A6"/>
      </top>
      <bottom/>
      <diagonal/>
    </border>
    <border>
      <left style="thin">
        <color rgb="FF99A5FF"/>
      </left>
      <right/>
      <top style="thin">
        <color rgb="FF99A5FF"/>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99A5FF"/>
      </left>
      <right style="thin">
        <color rgb="FF99A5FF"/>
      </right>
      <top style="thin">
        <color rgb="FF99A5FF"/>
      </top>
      <bottom/>
      <diagonal/>
    </border>
    <border>
      <left style="thin">
        <color rgb="FF99A5FF"/>
      </left>
      <right/>
      <top style="thin">
        <color rgb="FF99A5FF"/>
      </top>
      <bottom style="thin">
        <color rgb="FF99A5FF"/>
      </bottom>
      <diagonal/>
    </border>
    <border>
      <left/>
      <right style="thin">
        <color rgb="FF99A5FF"/>
      </right>
      <top style="thin">
        <color rgb="FF99A5FF"/>
      </top>
      <bottom style="thin">
        <color rgb="FF99A5FF"/>
      </bottom>
      <diagonal/>
    </border>
    <border>
      <left/>
      <right/>
      <top/>
      <bottom style="thin">
        <color rgb="FFC2C2C2"/>
      </bottom>
      <diagonal/>
    </border>
  </borders>
  <cellStyleXfs count="50">
    <xf numFmtId="0" fontId="0" fillId="0" borderId="0"/>
    <xf numFmtId="0" fontId="9" fillId="0" borderId="0"/>
    <xf numFmtId="0" fontId="6" fillId="0" borderId="0"/>
    <xf numFmtId="0" fontId="6" fillId="0" borderId="0"/>
    <xf numFmtId="0" fontId="20" fillId="0" borderId="0" applyNumberFormat="0" applyFill="0" applyBorder="0" applyAlignment="0" applyProtection="0"/>
    <xf numFmtId="0" fontId="5" fillId="0" borderId="0"/>
    <xf numFmtId="0" fontId="28" fillId="7" borderId="16" applyNumberFormat="0" applyFont="0" applyAlignment="0" applyProtection="0"/>
    <xf numFmtId="0" fontId="4" fillId="0" borderId="0"/>
    <xf numFmtId="0" fontId="12" fillId="0" borderId="0"/>
    <xf numFmtId="0" fontId="3" fillId="0" borderId="0"/>
    <xf numFmtId="0" fontId="3" fillId="0" borderId="0"/>
    <xf numFmtId="192" fontId="3" fillId="0" borderId="0"/>
    <xf numFmtId="0" fontId="3" fillId="0" borderId="0"/>
    <xf numFmtId="192" fontId="3" fillId="0" borderId="0"/>
    <xf numFmtId="0" fontId="40" fillId="0" borderId="0"/>
    <xf numFmtId="0" fontId="41" fillId="16" borderId="22" applyNumberFormat="0" applyAlignment="0" applyProtection="0"/>
    <xf numFmtId="0" fontId="42" fillId="18" borderId="0" applyNumberFormat="0" applyAlignment="0" applyProtection="0"/>
    <xf numFmtId="0" fontId="43" fillId="0" borderId="0" applyNumberFormat="0" applyAlignment="0" applyProtection="0"/>
    <xf numFmtId="0" fontId="3" fillId="0" borderId="0"/>
    <xf numFmtId="192" fontId="3" fillId="0" borderId="0"/>
    <xf numFmtId="0" fontId="3" fillId="0" borderId="0"/>
    <xf numFmtId="0" fontId="48" fillId="0" borderId="0"/>
    <xf numFmtId="0" fontId="3" fillId="0" borderId="0"/>
    <xf numFmtId="0" fontId="52" fillId="0" borderId="0"/>
    <xf numFmtId="167" fontId="48" fillId="0" borderId="0" applyFont="0" applyFill="0" applyBorder="0" applyAlignment="0" applyProtection="0"/>
    <xf numFmtId="9" fontId="48" fillId="0" borderId="0" applyFont="0" applyFill="0" applyBorder="0" applyAlignment="0" applyProtection="0"/>
    <xf numFmtId="166" fontId="48" fillId="0" borderId="0" applyFont="0" applyFill="0" applyBorder="0" applyAlignment="0" applyProtection="0"/>
    <xf numFmtId="0" fontId="3" fillId="0" borderId="0"/>
    <xf numFmtId="0" fontId="3" fillId="0" borderId="0"/>
    <xf numFmtId="0" fontId="2" fillId="0" borderId="0"/>
    <xf numFmtId="0" fontId="12" fillId="7" borderId="16" applyNumberFormat="0" applyFont="0" applyAlignment="0" applyProtection="0"/>
    <xf numFmtId="0" fontId="68" fillId="0" borderId="0" applyNumberFormat="0" applyFill="0" applyBorder="0" applyAlignment="0" applyProtection="0"/>
    <xf numFmtId="9" fontId="12" fillId="0" borderId="0" applyFont="0" applyFill="0" applyBorder="0" applyAlignment="0" applyProtection="0"/>
    <xf numFmtId="0" fontId="71" fillId="0" borderId="0" applyNumberFormat="0" applyFill="0" applyBorder="0" applyAlignment="0" applyProtection="0"/>
    <xf numFmtId="0" fontId="48" fillId="0" borderId="0"/>
    <xf numFmtId="0" fontId="48" fillId="0" borderId="0"/>
    <xf numFmtId="0" fontId="1" fillId="0" borderId="0"/>
    <xf numFmtId="0" fontId="89" fillId="29" borderId="50" applyNumberFormat="0" applyBorder="0" applyProtection="0">
      <alignment horizontal="right" vertical="center"/>
    </xf>
    <xf numFmtId="0" fontId="48" fillId="0" borderId="0"/>
    <xf numFmtId="0" fontId="1" fillId="7" borderId="16" applyNumberFormat="0" applyFont="0" applyAlignment="0" applyProtection="0"/>
    <xf numFmtId="44"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9" fontId="99" fillId="0" borderId="0" applyFont="0" applyFill="0" applyBorder="0" applyAlignment="0" applyProtection="0"/>
    <xf numFmtId="9" fontId="1" fillId="0" borderId="0" applyFont="0" applyFill="0" applyBorder="0" applyAlignment="0" applyProtection="0"/>
    <xf numFmtId="0" fontId="48" fillId="0" borderId="0">
      <alignment vertical="center"/>
    </xf>
    <xf numFmtId="0" fontId="1" fillId="0" borderId="0"/>
    <xf numFmtId="0" fontId="99" fillId="0" borderId="0"/>
    <xf numFmtId="0" fontId="118" fillId="0" borderId="0" applyNumberFormat="0" applyFill="0" applyBorder="0" applyAlignment="0" applyProtection="0">
      <alignment vertical="top"/>
      <protection locked="0"/>
    </xf>
  </cellStyleXfs>
  <cellXfs count="1063">
    <xf numFmtId="0" fontId="0" fillId="0" borderId="0" xfId="0"/>
    <xf numFmtId="0" fontId="10" fillId="0" borderId="0" xfId="1" applyFont="1"/>
    <xf numFmtId="0" fontId="11" fillId="0" borderId="0" xfId="1" applyFont="1"/>
    <xf numFmtId="0" fontId="12" fillId="0" borderId="0" xfId="1" applyFont="1"/>
    <xf numFmtId="168" fontId="10" fillId="0" borderId="0" xfId="1" applyNumberFormat="1" applyFont="1"/>
    <xf numFmtId="169" fontId="13" fillId="0" borderId="0" xfId="1" applyNumberFormat="1" applyFont="1"/>
    <xf numFmtId="169" fontId="14" fillId="0" borderId="0" xfId="1" applyNumberFormat="1" applyFont="1"/>
    <xf numFmtId="169" fontId="15" fillId="0" borderId="0" xfId="1" applyNumberFormat="1" applyFont="1" applyAlignment="1">
      <alignment horizontal="right"/>
    </xf>
    <xf numFmtId="169" fontId="16" fillId="0" borderId="0" xfId="0" applyNumberFormat="1" applyFont="1" applyAlignment="1">
      <alignment horizontal="right"/>
    </xf>
    <xf numFmtId="0" fontId="8" fillId="2" borderId="1" xfId="0" applyFont="1" applyFill="1" applyBorder="1"/>
    <xf numFmtId="0" fontId="8" fillId="2" borderId="1" xfId="0" applyFont="1" applyFill="1" applyBorder="1" applyAlignment="1">
      <alignment horizontal="centerContinuous"/>
    </xf>
    <xf numFmtId="170" fontId="8" fillId="2" borderId="0" xfId="0" applyNumberFormat="1" applyFont="1" applyFill="1" applyAlignment="1">
      <alignment horizontal="centerContinuous"/>
    </xf>
    <xf numFmtId="171" fontId="8" fillId="2" borderId="0" xfId="0" applyNumberFormat="1" applyFont="1" applyFill="1" applyAlignment="1">
      <alignment horizontal="centerContinuous"/>
    </xf>
    <xf numFmtId="172" fontId="8" fillId="2" borderId="0" xfId="0" applyNumberFormat="1" applyFont="1" applyFill="1" applyAlignment="1">
      <alignment horizontal="centerContinuous"/>
    </xf>
    <xf numFmtId="173" fontId="8" fillId="2" borderId="1" xfId="0" applyNumberFormat="1" applyFont="1" applyFill="1" applyBorder="1" applyAlignment="1">
      <alignment horizontal="centerContinuous"/>
    </xf>
    <xf numFmtId="174" fontId="8" fillId="2" borderId="0" xfId="0" applyNumberFormat="1" applyFont="1" applyFill="1" applyAlignment="1">
      <alignment horizontal="centerContinuous"/>
    </xf>
    <xf numFmtId="175" fontId="8" fillId="2" borderId="1" xfId="0" applyNumberFormat="1" applyFont="1" applyFill="1" applyBorder="1" applyAlignment="1">
      <alignment horizontal="centerContinuous"/>
    </xf>
    <xf numFmtId="176" fontId="17" fillId="2" borderId="2" xfId="1" applyNumberFormat="1" applyFont="1" applyFill="1" applyBorder="1" applyAlignment="1">
      <alignment horizontal="center"/>
    </xf>
    <xf numFmtId="177" fontId="17" fillId="2" borderId="2" xfId="1" applyNumberFormat="1" applyFont="1" applyFill="1" applyBorder="1" applyAlignment="1">
      <alignment horizontal="center"/>
    </xf>
    <xf numFmtId="0" fontId="10" fillId="3" borderId="0" xfId="1" applyFont="1" applyFill="1"/>
    <xf numFmtId="0" fontId="7" fillId="4" borderId="1" xfId="0" applyFont="1" applyFill="1" applyBorder="1"/>
    <xf numFmtId="0" fontId="7" fillId="4" borderId="1" xfId="0" applyFont="1" applyFill="1" applyBorder="1" applyAlignment="1">
      <alignment horizontal="centerContinuous"/>
    </xf>
    <xf numFmtId="179" fontId="7" fillId="4" borderId="1" xfId="0" applyNumberFormat="1" applyFont="1" applyFill="1" applyBorder="1"/>
    <xf numFmtId="179" fontId="7" fillId="4" borderId="1" xfId="0" applyNumberFormat="1" applyFont="1" applyFill="1" applyBorder="1" applyAlignment="1">
      <alignment horizontal="centerContinuous"/>
    </xf>
    <xf numFmtId="179" fontId="7" fillId="4" borderId="3" xfId="0" applyNumberFormat="1" applyFont="1" applyFill="1" applyBorder="1" applyAlignment="1">
      <alignment horizontal="centerContinuous"/>
    </xf>
    <xf numFmtId="179" fontId="10" fillId="4" borderId="4" xfId="1" applyNumberFormat="1" applyFont="1" applyFill="1" applyBorder="1" applyAlignment="1">
      <alignment horizontal="center"/>
    </xf>
    <xf numFmtId="179" fontId="10" fillId="4" borderId="5" xfId="1" applyNumberFormat="1" applyFont="1" applyFill="1" applyBorder="1" applyAlignment="1">
      <alignment horizontal="center"/>
    </xf>
    <xf numFmtId="179" fontId="10" fillId="0" borderId="0" xfId="1" applyNumberFormat="1" applyFont="1" applyAlignment="1">
      <alignment horizontal="center"/>
    </xf>
    <xf numFmtId="179" fontId="12" fillId="0" borderId="0" xfId="1" applyNumberFormat="1" applyFont="1" applyAlignment="1">
      <alignment horizontal="center"/>
    </xf>
    <xf numFmtId="169" fontId="12" fillId="0" borderId="0" xfId="1" applyNumberFormat="1" applyFont="1"/>
    <xf numFmtId="0" fontId="7" fillId="5" borderId="0" xfId="0" applyFont="1" applyFill="1"/>
    <xf numFmtId="0" fontId="0" fillId="5" borderId="0" xfId="0" applyFill="1"/>
    <xf numFmtId="169" fontId="19" fillId="0" borderId="0" xfId="0" applyNumberFormat="1" applyFont="1"/>
    <xf numFmtId="0" fontId="7" fillId="0" borderId="0" xfId="0" applyFont="1" applyAlignment="1">
      <alignment horizontal="left" indent="1"/>
    </xf>
    <xf numFmtId="169" fontId="21" fillId="0" borderId="0" xfId="0" applyNumberFormat="1" applyFont="1"/>
    <xf numFmtId="169" fontId="0" fillId="0" borderId="0" xfId="0" applyNumberFormat="1"/>
    <xf numFmtId="0" fontId="7" fillId="0" borderId="0" xfId="0" applyFont="1"/>
    <xf numFmtId="0" fontId="0" fillId="0" borderId="0" xfId="0" applyAlignment="1">
      <alignment horizontal="left" indent="1"/>
    </xf>
    <xf numFmtId="0" fontId="26" fillId="0" borderId="0" xfId="0" applyFont="1"/>
    <xf numFmtId="175" fontId="8" fillId="2" borderId="0" xfId="0" applyNumberFormat="1" applyFont="1" applyFill="1" applyAlignment="1">
      <alignment horizontal="centerContinuous"/>
    </xf>
    <xf numFmtId="179" fontId="7" fillId="4" borderId="0" xfId="0" applyNumberFormat="1" applyFont="1" applyFill="1" applyAlignment="1">
      <alignment horizontal="centerContinuous"/>
    </xf>
    <xf numFmtId="179" fontId="10" fillId="4" borderId="13" xfId="1" applyNumberFormat="1" applyFont="1" applyFill="1" applyBorder="1" applyAlignment="1">
      <alignment horizontal="center"/>
    </xf>
    <xf numFmtId="183" fontId="8" fillId="2" borderId="0" xfId="0" applyNumberFormat="1" applyFont="1" applyFill="1" applyAlignment="1">
      <alignment horizontal="centerContinuous"/>
    </xf>
    <xf numFmtId="184" fontId="8" fillId="2" borderId="0" xfId="0" applyNumberFormat="1" applyFont="1" applyFill="1" applyAlignment="1">
      <alignment horizontal="centerContinuous"/>
    </xf>
    <xf numFmtId="0" fontId="27" fillId="0" borderId="0" xfId="0" applyFont="1"/>
    <xf numFmtId="180" fontId="0" fillId="0" borderId="0" xfId="0" applyNumberFormat="1"/>
    <xf numFmtId="180" fontId="19" fillId="7" borderId="16" xfId="6" applyNumberFormat="1" applyFont="1"/>
    <xf numFmtId="169" fontId="29" fillId="0" borderId="0" xfId="1" applyNumberFormat="1" applyFont="1"/>
    <xf numFmtId="0" fontId="12" fillId="10" borderId="0" xfId="8" applyFill="1"/>
    <xf numFmtId="0" fontId="33" fillId="10" borderId="0" xfId="8" applyFont="1" applyFill="1"/>
    <xf numFmtId="0" fontId="12" fillId="0" borderId="0" xfId="8"/>
    <xf numFmtId="186" fontId="12" fillId="0" borderId="0" xfId="8" applyNumberFormat="1" applyAlignment="1">
      <alignment horizontal="centerContinuous"/>
    </xf>
    <xf numFmtId="0" fontId="11" fillId="0" borderId="0" xfId="8" applyFont="1"/>
    <xf numFmtId="0" fontId="12" fillId="0" borderId="15" xfId="8" applyBorder="1" applyAlignment="1">
      <alignment horizontal="center"/>
    </xf>
    <xf numFmtId="0" fontId="32" fillId="0" borderId="0" xfId="8" applyFont="1" applyAlignment="1">
      <alignment horizontal="centerContinuous"/>
    </xf>
    <xf numFmtId="0" fontId="32" fillId="0" borderId="0" xfId="8" applyFont="1"/>
    <xf numFmtId="0" fontId="32" fillId="0" borderId="11" xfId="8" applyFont="1" applyBorder="1" applyAlignment="1">
      <alignment horizontal="centerContinuous"/>
    </xf>
    <xf numFmtId="0" fontId="12" fillId="0" borderId="11" xfId="8" applyBorder="1"/>
    <xf numFmtId="15" fontId="32" fillId="9" borderId="11" xfId="8" applyNumberFormat="1" applyFont="1" applyFill="1" applyBorder="1" applyAlignment="1">
      <alignment horizontal="centerContinuous"/>
    </xf>
    <xf numFmtId="187" fontId="32" fillId="0" borderId="11" xfId="8" applyNumberFormat="1" applyFont="1" applyBorder="1"/>
    <xf numFmtId="0" fontId="12" fillId="0" borderId="0" xfId="8" applyAlignment="1">
      <alignment horizontal="center" vertical="center"/>
    </xf>
    <xf numFmtId="0" fontId="30" fillId="11" borderId="0" xfId="8" applyFont="1" applyFill="1"/>
    <xf numFmtId="0" fontId="34" fillId="0" borderId="0" xfId="8" applyFont="1"/>
    <xf numFmtId="0" fontId="34" fillId="12" borderId="0" xfId="8" applyFont="1" applyFill="1" applyAlignment="1">
      <alignment horizontal="left"/>
    </xf>
    <xf numFmtId="186" fontId="34" fillId="0" borderId="0" xfId="8" applyNumberFormat="1" applyFont="1"/>
    <xf numFmtId="169" fontId="34" fillId="0" borderId="0" xfId="8" applyNumberFormat="1" applyFont="1"/>
    <xf numFmtId="188" fontId="34" fillId="0" borderId="0" xfId="8" applyNumberFormat="1" applyFont="1"/>
    <xf numFmtId="169" fontId="34" fillId="8" borderId="0" xfId="8" applyNumberFormat="1" applyFont="1" applyFill="1"/>
    <xf numFmtId="14" fontId="34" fillId="0" borderId="0" xfId="8" applyNumberFormat="1" applyFont="1" applyAlignment="1">
      <alignment horizontal="right"/>
    </xf>
    <xf numFmtId="189" fontId="34" fillId="0" borderId="0" xfId="8" applyNumberFormat="1" applyFont="1" applyAlignment="1">
      <alignment horizontal="right"/>
    </xf>
    <xf numFmtId="4" fontId="34" fillId="0" borderId="0" xfId="8" applyNumberFormat="1" applyFont="1"/>
    <xf numFmtId="4" fontId="34" fillId="0" borderId="0" xfId="8" applyNumberFormat="1" applyFont="1" applyAlignment="1">
      <alignment horizontal="right"/>
    </xf>
    <xf numFmtId="190" fontId="34" fillId="0" borderId="0" xfId="8" applyNumberFormat="1" applyFont="1" applyAlignment="1">
      <alignment horizontal="right"/>
    </xf>
    <xf numFmtId="0" fontId="35" fillId="12" borderId="0" xfId="8" applyFont="1" applyFill="1" applyAlignment="1">
      <alignment horizontal="left"/>
    </xf>
    <xf numFmtId="169" fontId="12" fillId="0" borderId="0" xfId="8" applyNumberFormat="1"/>
    <xf numFmtId="188" fontId="12" fillId="0" borderId="0" xfId="8" applyNumberFormat="1"/>
    <xf numFmtId="14" fontId="12" fillId="0" borderId="0" xfId="8" applyNumberFormat="1" applyAlignment="1">
      <alignment horizontal="right"/>
    </xf>
    <xf numFmtId="189" fontId="12" fillId="0" borderId="0" xfId="8" applyNumberFormat="1" applyAlignment="1">
      <alignment horizontal="right"/>
    </xf>
    <xf numFmtId="4" fontId="12" fillId="0" borderId="0" xfId="8" applyNumberFormat="1"/>
    <xf numFmtId="4" fontId="12" fillId="0" borderId="0" xfId="8" applyNumberFormat="1" applyAlignment="1">
      <alignment horizontal="right"/>
    </xf>
    <xf numFmtId="190" fontId="12" fillId="0" borderId="0" xfId="8" applyNumberFormat="1" applyAlignment="1">
      <alignment horizontal="right"/>
    </xf>
    <xf numFmtId="182" fontId="12" fillId="0" borderId="0" xfId="8" applyNumberFormat="1"/>
    <xf numFmtId="191" fontId="12" fillId="0" borderId="0" xfId="8" applyNumberFormat="1" applyAlignment="1">
      <alignment horizontal="right"/>
    </xf>
    <xf numFmtId="0" fontId="12" fillId="0" borderId="0" xfId="8" quotePrefix="1"/>
    <xf numFmtId="185" fontId="12" fillId="0" borderId="0" xfId="8" applyNumberFormat="1"/>
    <xf numFmtId="0" fontId="12" fillId="0" borderId="0" xfId="8" applyAlignment="1">
      <alignment horizontal="left"/>
    </xf>
    <xf numFmtId="0" fontId="10" fillId="13" borderId="6" xfId="8" applyFont="1" applyFill="1" applyBorder="1" applyAlignment="1">
      <alignment horizontal="left" indent="1"/>
    </xf>
    <xf numFmtId="180" fontId="10" fillId="13" borderId="7" xfId="8" applyNumberFormat="1" applyFont="1" applyFill="1" applyBorder="1"/>
    <xf numFmtId="0" fontId="10" fillId="13" borderId="10" xfId="8" applyFont="1" applyFill="1" applyBorder="1" applyAlignment="1">
      <alignment horizontal="left" indent="1"/>
    </xf>
    <xf numFmtId="0" fontId="10" fillId="13" borderId="11" xfId="8" applyFont="1" applyFill="1" applyBorder="1" applyAlignment="1">
      <alignment horizontal="left" indent="1"/>
    </xf>
    <xf numFmtId="0" fontId="12" fillId="13" borderId="11" xfId="8" applyFill="1" applyBorder="1"/>
    <xf numFmtId="188" fontId="12" fillId="13" borderId="11" xfId="8" applyNumberFormat="1" applyFill="1" applyBorder="1"/>
    <xf numFmtId="189" fontId="10" fillId="13" borderId="11" xfId="8" applyNumberFormat="1" applyFont="1" applyFill="1" applyBorder="1"/>
    <xf numFmtId="4" fontId="10" fillId="13" borderId="11" xfId="8" applyNumberFormat="1" applyFont="1" applyFill="1" applyBorder="1"/>
    <xf numFmtId="4" fontId="12" fillId="13" borderId="11" xfId="8" applyNumberFormat="1" applyFill="1" applyBorder="1"/>
    <xf numFmtId="191" fontId="10" fillId="13" borderId="11" xfId="8" applyNumberFormat="1" applyFont="1" applyFill="1" applyBorder="1" applyAlignment="1">
      <alignment horizontal="right"/>
    </xf>
    <xf numFmtId="189" fontId="10" fillId="13" borderId="11" xfId="8" applyNumberFormat="1" applyFont="1" applyFill="1" applyBorder="1" applyAlignment="1">
      <alignment horizontal="right"/>
    </xf>
    <xf numFmtId="180" fontId="10" fillId="13" borderId="11" xfId="8" applyNumberFormat="1" applyFont="1" applyFill="1" applyBorder="1"/>
    <xf numFmtId="180" fontId="10" fillId="13" borderId="12" xfId="8" applyNumberFormat="1" applyFont="1" applyFill="1" applyBorder="1"/>
    <xf numFmtId="188" fontId="0" fillId="0" borderId="0" xfId="0" applyNumberFormat="1"/>
    <xf numFmtId="0" fontId="11" fillId="14" borderId="0" xfId="8" applyFont="1" applyFill="1"/>
    <xf numFmtId="0" fontId="36" fillId="14" borderId="0" xfId="8" applyFont="1" applyFill="1" applyAlignment="1">
      <alignment horizontal="left"/>
    </xf>
    <xf numFmtId="0" fontId="11" fillId="14" borderId="0" xfId="8" applyFont="1" applyFill="1" applyAlignment="1">
      <alignment vertical="center"/>
    </xf>
    <xf numFmtId="185" fontId="11" fillId="14" borderId="0" xfId="8" applyNumberFormat="1" applyFont="1" applyFill="1"/>
    <xf numFmtId="188" fontId="11" fillId="14" borderId="0" xfId="8" applyNumberFormat="1" applyFont="1" applyFill="1"/>
    <xf numFmtId="188" fontId="12" fillId="14" borderId="0" xfId="8" applyNumberFormat="1" applyFill="1"/>
    <xf numFmtId="14" fontId="11" fillId="14" borderId="0" xfId="8" applyNumberFormat="1" applyFont="1" applyFill="1" applyAlignment="1">
      <alignment horizontal="right"/>
    </xf>
    <xf numFmtId="189" fontId="11" fillId="14" borderId="0" xfId="8" applyNumberFormat="1" applyFont="1" applyFill="1" applyAlignment="1">
      <alignment horizontal="right"/>
    </xf>
    <xf numFmtId="4" fontId="11" fillId="14" borderId="0" xfId="8" applyNumberFormat="1" applyFont="1" applyFill="1"/>
    <xf numFmtId="4" fontId="11" fillId="14" borderId="0" xfId="8" applyNumberFormat="1" applyFont="1" applyFill="1" applyAlignment="1">
      <alignment horizontal="right"/>
    </xf>
    <xf numFmtId="190" fontId="11" fillId="14" borderId="0" xfId="8" applyNumberFormat="1" applyFont="1" applyFill="1" applyAlignment="1">
      <alignment horizontal="right"/>
    </xf>
    <xf numFmtId="0" fontId="10" fillId="0" borderId="0" xfId="9" applyFont="1"/>
    <xf numFmtId="0" fontId="12" fillId="0" borderId="0" xfId="9" applyFont="1"/>
    <xf numFmtId="0" fontId="11" fillId="0" borderId="0" xfId="9" applyFont="1"/>
    <xf numFmtId="169" fontId="12" fillId="0" borderId="0" xfId="10" applyNumberFormat="1" applyFont="1" applyAlignment="1">
      <alignment horizontal="center"/>
    </xf>
    <xf numFmtId="169" fontId="15" fillId="0" borderId="0" xfId="9" applyNumberFormat="1" applyFont="1"/>
    <xf numFmtId="169" fontId="12" fillId="0" borderId="0" xfId="9" applyNumberFormat="1" applyFont="1"/>
    <xf numFmtId="193" fontId="30" fillId="15" borderId="17" xfId="9" applyNumberFormat="1" applyFont="1" applyFill="1" applyBorder="1" applyAlignment="1">
      <alignment horizontal="centerContinuous"/>
    </xf>
    <xf numFmtId="179" fontId="12" fillId="0" borderId="0" xfId="9" applyNumberFormat="1" applyFont="1" applyAlignment="1">
      <alignment horizontal="center"/>
    </xf>
    <xf numFmtId="169" fontId="37" fillId="0" borderId="0" xfId="9" applyNumberFormat="1" applyFont="1"/>
    <xf numFmtId="180" fontId="12" fillId="0" borderId="0" xfId="9" applyNumberFormat="1" applyFont="1"/>
    <xf numFmtId="0" fontId="10" fillId="0" borderId="0" xfId="9" applyFont="1" applyAlignment="1">
      <alignment horizontal="left" indent="1"/>
    </xf>
    <xf numFmtId="0" fontId="12" fillId="0" borderId="0" xfId="9" applyFont="1" applyAlignment="1">
      <alignment horizontal="left" indent="1"/>
    </xf>
    <xf numFmtId="0" fontId="12" fillId="0" borderId="8" xfId="9" applyFont="1" applyBorder="1"/>
    <xf numFmtId="169" fontId="38" fillId="0" borderId="0" xfId="9" applyNumberFormat="1" applyFont="1"/>
    <xf numFmtId="0" fontId="12" fillId="0" borderId="10" xfId="9" applyFont="1" applyBorder="1"/>
    <xf numFmtId="0" fontId="12" fillId="0" borderId="6" xfId="9" applyFont="1" applyBorder="1"/>
    <xf numFmtId="0" fontId="12" fillId="0" borderId="11" xfId="9" applyFont="1" applyBorder="1"/>
    <xf numFmtId="197" fontId="12" fillId="0" borderId="0" xfId="9" applyNumberFormat="1" applyFont="1"/>
    <xf numFmtId="189" fontId="12" fillId="0" borderId="0" xfId="9" applyNumberFormat="1" applyFont="1"/>
    <xf numFmtId="0" fontId="12" fillId="0" borderId="0" xfId="12" applyFont="1"/>
    <xf numFmtId="0" fontId="12" fillId="0" borderId="10" xfId="9" applyFont="1" applyBorder="1" applyAlignment="1">
      <alignment horizontal="left" indent="1"/>
    </xf>
    <xf numFmtId="0" fontId="12" fillId="0" borderId="11" xfId="9" applyFont="1" applyBorder="1" applyAlignment="1">
      <alignment horizontal="left" indent="1"/>
    </xf>
    <xf numFmtId="169" fontId="12" fillId="0" borderId="20" xfId="9" applyNumberFormat="1" applyFont="1" applyBorder="1"/>
    <xf numFmtId="169" fontId="12" fillId="0" borderId="0" xfId="0" applyNumberFormat="1" applyFont="1"/>
    <xf numFmtId="182" fontId="10" fillId="0" borderId="15" xfId="9" applyNumberFormat="1" applyFont="1" applyBorder="1" applyAlignment="1">
      <alignment horizontal="right"/>
    </xf>
    <xf numFmtId="0" fontId="10" fillId="0" borderId="0" xfId="0" applyFont="1"/>
    <xf numFmtId="182" fontId="12" fillId="0" borderId="6" xfId="9" applyNumberFormat="1" applyFont="1" applyBorder="1" applyAlignment="1">
      <alignment horizontal="center"/>
    </xf>
    <xf numFmtId="182" fontId="12" fillId="0" borderId="7" xfId="9" applyNumberFormat="1" applyFont="1" applyBorder="1" applyAlignment="1">
      <alignment horizontal="center"/>
    </xf>
    <xf numFmtId="182" fontId="12" fillId="0" borderId="8" xfId="9" applyNumberFormat="1" applyFont="1" applyBorder="1" applyAlignment="1">
      <alignment horizontal="center"/>
    </xf>
    <xf numFmtId="182" fontId="12" fillId="0" borderId="9" xfId="9" applyNumberFormat="1" applyFont="1" applyBorder="1" applyAlignment="1">
      <alignment horizontal="center"/>
    </xf>
    <xf numFmtId="182" fontId="10" fillId="0" borderId="15" xfId="9" applyNumberFormat="1" applyFont="1" applyBorder="1" applyAlignment="1">
      <alignment horizontal="center"/>
    </xf>
    <xf numFmtId="182" fontId="12" fillId="0" borderId="10" xfId="9" applyNumberFormat="1" applyFont="1" applyBorder="1" applyAlignment="1">
      <alignment horizontal="center"/>
    </xf>
    <xf numFmtId="182" fontId="12" fillId="0" borderId="11" xfId="9" applyNumberFormat="1" applyFont="1" applyBorder="1" applyAlignment="1">
      <alignment horizontal="center"/>
    </xf>
    <xf numFmtId="182" fontId="12" fillId="0" borderId="12" xfId="9" applyNumberFormat="1" applyFont="1" applyBorder="1" applyAlignment="1">
      <alignment horizontal="center"/>
    </xf>
    <xf numFmtId="0" fontId="10" fillId="0" borderId="0" xfId="18" applyFont="1"/>
    <xf numFmtId="192" fontId="10" fillId="0" borderId="0" xfId="19" applyFont="1"/>
    <xf numFmtId="192" fontId="11" fillId="0" borderId="0" xfId="19" applyFont="1"/>
    <xf numFmtId="192" fontId="12" fillId="0" borderId="0" xfId="19" applyFont="1"/>
    <xf numFmtId="186" fontId="35" fillId="0" borderId="0" xfId="19" applyNumberFormat="1" applyFont="1"/>
    <xf numFmtId="192" fontId="35" fillId="0" borderId="0" xfId="19" applyFont="1"/>
    <xf numFmtId="0" fontId="11" fillId="0" borderId="0" xfId="18" applyFont="1"/>
    <xf numFmtId="15" fontId="32" fillId="9" borderId="15" xfId="8" applyNumberFormat="1" applyFont="1" applyFill="1" applyBorder="1" applyAlignment="1">
      <alignment horizontal="centerContinuous"/>
    </xf>
    <xf numFmtId="201" fontId="44" fillId="13" borderId="15" xfId="19" applyNumberFormat="1" applyFont="1" applyFill="1" applyBorder="1" applyAlignment="1">
      <alignment horizontal="center"/>
    </xf>
    <xf numFmtId="178" fontId="30" fillId="15" borderId="0" xfId="19" applyNumberFormat="1" applyFont="1" applyFill="1" applyAlignment="1">
      <alignment horizontal="center"/>
    </xf>
    <xf numFmtId="178" fontId="30" fillId="15" borderId="1" xfId="19" applyNumberFormat="1" applyFont="1" applyFill="1" applyBorder="1" applyAlignment="1">
      <alignment horizontal="centerContinuous"/>
    </xf>
    <xf numFmtId="179" fontId="10" fillId="13" borderId="0" xfId="19" applyNumberFormat="1" applyFont="1" applyFill="1" applyAlignment="1">
      <alignment horizontal="center"/>
    </xf>
    <xf numFmtId="179" fontId="45" fillId="13" borderId="0" xfId="19" applyNumberFormat="1" applyFont="1" applyFill="1" applyAlignment="1">
      <alignment horizontal="center"/>
    </xf>
    <xf numFmtId="179" fontId="10" fillId="13" borderId="1" xfId="19" applyNumberFormat="1" applyFont="1" applyFill="1" applyBorder="1" applyAlignment="1">
      <alignment horizontal="center"/>
    </xf>
    <xf numFmtId="179" fontId="10" fillId="13" borderId="27" xfId="19" applyNumberFormat="1" applyFont="1" applyFill="1" applyBorder="1" applyAlignment="1">
      <alignment horizontal="center"/>
    </xf>
    <xf numFmtId="179" fontId="10" fillId="13" borderId="3" xfId="19" applyNumberFormat="1" applyFont="1" applyFill="1" applyBorder="1" applyAlignment="1">
      <alignment horizontal="center"/>
    </xf>
    <xf numFmtId="179" fontId="10" fillId="0" borderId="0" xfId="19" applyNumberFormat="1" applyFont="1" applyAlignment="1">
      <alignment horizontal="center"/>
    </xf>
    <xf numFmtId="179" fontId="12" fillId="0" borderId="0" xfId="19" applyNumberFormat="1" applyFont="1" applyAlignment="1">
      <alignment horizontal="center"/>
    </xf>
    <xf numFmtId="169" fontId="13" fillId="0" borderId="0" xfId="19" applyNumberFormat="1" applyFont="1" applyAlignment="1">
      <alignment horizontal="right"/>
    </xf>
    <xf numFmtId="180" fontId="10" fillId="0" borderId="0" xfId="19" applyNumberFormat="1" applyFont="1" applyAlignment="1">
      <alignment horizontal="center"/>
    </xf>
    <xf numFmtId="180" fontId="15" fillId="0" borderId="0" xfId="19" applyNumberFormat="1" applyFont="1"/>
    <xf numFmtId="186" fontId="12" fillId="0" borderId="0" xfId="19" applyNumberFormat="1" applyFont="1"/>
    <xf numFmtId="180" fontId="11" fillId="0" borderId="0" xfId="19" applyNumberFormat="1" applyFont="1"/>
    <xf numFmtId="192" fontId="12" fillId="0" borderId="0" xfId="19" applyFont="1" applyAlignment="1">
      <alignment horizontal="left" indent="1"/>
    </xf>
    <xf numFmtId="169" fontId="12" fillId="0" borderId="0" xfId="19" applyNumberFormat="1" applyFont="1" applyAlignment="1">
      <alignment horizontal="right"/>
    </xf>
    <xf numFmtId="169" fontId="37" fillId="0" borderId="0" xfId="19" applyNumberFormat="1" applyFont="1" applyAlignment="1">
      <alignment horizontal="right"/>
    </xf>
    <xf numFmtId="180" fontId="12" fillId="0" borderId="0" xfId="19" applyNumberFormat="1" applyFont="1" applyAlignment="1">
      <alignment horizontal="right"/>
    </xf>
    <xf numFmtId="168" fontId="12" fillId="0" borderId="0" xfId="19" applyNumberFormat="1" applyFont="1" applyAlignment="1">
      <alignment horizontal="right"/>
    </xf>
    <xf numFmtId="168" fontId="13" fillId="0" borderId="0" xfId="19" applyNumberFormat="1" applyFont="1" applyAlignment="1">
      <alignment horizontal="right"/>
    </xf>
    <xf numFmtId="168" fontId="37" fillId="0" borderId="0" xfId="19" applyNumberFormat="1" applyFont="1" applyAlignment="1">
      <alignment horizontal="right"/>
    </xf>
    <xf numFmtId="169" fontId="12" fillId="0" borderId="0" xfId="19" applyNumberFormat="1" applyFont="1"/>
    <xf numFmtId="169" fontId="10" fillId="0" borderId="0" xfId="19" applyNumberFormat="1" applyFont="1"/>
    <xf numFmtId="169" fontId="11" fillId="0" borderId="0" xfId="19" applyNumberFormat="1" applyFont="1"/>
    <xf numFmtId="169" fontId="18" fillId="0" borderId="0" xfId="19" applyNumberFormat="1" applyFont="1"/>
    <xf numFmtId="178" fontId="30" fillId="15" borderId="0" xfId="19" applyNumberFormat="1" applyFont="1" applyFill="1" applyAlignment="1">
      <alignment horizontal="left"/>
    </xf>
    <xf numFmtId="178" fontId="17" fillId="15" borderId="0" xfId="19" applyNumberFormat="1" applyFont="1" applyFill="1" applyAlignment="1">
      <alignment horizontal="center"/>
    </xf>
    <xf numFmtId="202" fontId="11" fillId="14" borderId="0" xfId="8" applyNumberFormat="1" applyFont="1" applyFill="1"/>
    <xf numFmtId="0" fontId="46" fillId="10" borderId="0" xfId="8" applyFont="1" applyFill="1"/>
    <xf numFmtId="0" fontId="10" fillId="0" borderId="0" xfId="20" applyFont="1"/>
    <xf numFmtId="0" fontId="12" fillId="0" borderId="0" xfId="20" applyFont="1"/>
    <xf numFmtId="0" fontId="11" fillId="0" borderId="0" xfId="20" applyFont="1"/>
    <xf numFmtId="0" fontId="10" fillId="0" borderId="15" xfId="20" applyFont="1" applyBorder="1" applyAlignment="1">
      <alignment horizontal="center"/>
    </xf>
    <xf numFmtId="189" fontId="12" fillId="0" borderId="0" xfId="20" applyNumberFormat="1" applyFont="1"/>
    <xf numFmtId="0" fontId="45" fillId="0" borderId="0" xfId="20" applyFont="1"/>
    <xf numFmtId="0" fontId="47" fillId="0" borderId="0" xfId="0" applyFont="1"/>
    <xf numFmtId="0" fontId="30" fillId="15" borderId="0" xfId="20" applyFont="1" applyFill="1" applyAlignment="1">
      <alignment horizontal="centerContinuous"/>
    </xf>
    <xf numFmtId="0" fontId="10" fillId="0" borderId="0" xfId="20" applyFont="1" applyAlignment="1">
      <alignment vertical="center" wrapText="1"/>
    </xf>
    <xf numFmtId="0" fontId="49" fillId="21" borderId="15" xfId="21" applyFont="1" applyFill="1" applyBorder="1" applyAlignment="1">
      <alignment horizontal="center" vertical="center" wrapText="1"/>
    </xf>
    <xf numFmtId="189" fontId="19" fillId="0" borderId="0" xfId="0" applyNumberFormat="1" applyFont="1"/>
    <xf numFmtId="0" fontId="7" fillId="0" borderId="0" xfId="0" applyFont="1" applyAlignment="1">
      <alignment horizontal="center"/>
    </xf>
    <xf numFmtId="189" fontId="7" fillId="0" borderId="0" xfId="0" applyNumberFormat="1" applyFont="1"/>
    <xf numFmtId="203" fontId="10" fillId="0" borderId="0" xfId="20" applyNumberFormat="1" applyFont="1" applyAlignment="1">
      <alignment horizontal="centerContinuous"/>
    </xf>
    <xf numFmtId="179" fontId="12" fillId="0" borderId="0" xfId="22" applyNumberFormat="1" applyFont="1"/>
    <xf numFmtId="204" fontId="10" fillId="0" borderId="0" xfId="20" applyNumberFormat="1" applyFont="1" applyAlignment="1">
      <alignment horizontal="centerContinuous"/>
    </xf>
    <xf numFmtId="205" fontId="10" fillId="0" borderId="0" xfId="20" applyNumberFormat="1" applyFont="1" applyAlignment="1">
      <alignment horizontal="centerContinuous"/>
    </xf>
    <xf numFmtId="206" fontId="10" fillId="0" borderId="0" xfId="20" applyNumberFormat="1" applyFont="1" applyAlignment="1">
      <alignment horizontal="centerContinuous"/>
    </xf>
    <xf numFmtId="198" fontId="19" fillId="0" borderId="0" xfId="0" applyNumberFormat="1" applyFont="1"/>
    <xf numFmtId="169" fontId="29" fillId="0" borderId="0" xfId="1" applyNumberFormat="1" applyFont="1" applyAlignment="1">
      <alignment horizontal="right"/>
    </xf>
    <xf numFmtId="198" fontId="25" fillId="0" borderId="0" xfId="0" applyNumberFormat="1" applyFont="1"/>
    <xf numFmtId="169" fontId="31" fillId="0" borderId="0" xfId="0" applyNumberFormat="1" applyFont="1"/>
    <xf numFmtId="169" fontId="50" fillId="0" borderId="0" xfId="0" applyNumberFormat="1" applyFont="1"/>
    <xf numFmtId="169" fontId="37" fillId="0" borderId="0" xfId="1" applyNumberFormat="1" applyFont="1" applyAlignment="1">
      <alignment horizontal="right"/>
    </xf>
    <xf numFmtId="207" fontId="7" fillId="0" borderId="0" xfId="0" applyNumberFormat="1" applyFont="1" applyAlignment="1">
      <alignment horizontal="left" indent="1"/>
    </xf>
    <xf numFmtId="169" fontId="10" fillId="0" borderId="0" xfId="0" applyNumberFormat="1" applyFont="1" applyAlignment="1">
      <alignment horizontal="left" indent="1"/>
    </xf>
    <xf numFmtId="169" fontId="12" fillId="0" borderId="0" xfId="0" applyNumberFormat="1" applyFont="1" applyAlignment="1">
      <alignment horizontal="left"/>
    </xf>
    <xf numFmtId="169" fontId="12" fillId="0" borderId="0" xfId="0" applyNumberFormat="1" applyFont="1" applyAlignment="1">
      <alignment horizontal="left" indent="1"/>
    </xf>
    <xf numFmtId="169" fontId="10" fillId="0" borderId="0" xfId="0" applyNumberFormat="1" applyFont="1" applyAlignment="1">
      <alignment horizontal="left" indent="2"/>
    </xf>
    <xf numFmtId="169" fontId="19" fillId="22" borderId="15" xfId="0" applyNumberFormat="1" applyFont="1" applyFill="1" applyBorder="1"/>
    <xf numFmtId="169" fontId="19" fillId="7" borderId="16" xfId="6" applyNumberFormat="1" applyFont="1"/>
    <xf numFmtId="169" fontId="37" fillId="0" borderId="0" xfId="0" applyNumberFormat="1" applyFont="1"/>
    <xf numFmtId="169" fontId="0" fillId="5" borderId="0" xfId="0" applyNumberFormat="1" applyFill="1"/>
    <xf numFmtId="169" fontId="10" fillId="0" borderId="0" xfId="0" applyNumberFormat="1" applyFont="1"/>
    <xf numFmtId="0" fontId="44" fillId="0" borderId="15" xfId="1" applyFont="1" applyBorder="1" applyAlignment="1">
      <alignment horizontal="center" vertical="center"/>
    </xf>
    <xf numFmtId="0" fontId="10" fillId="0" borderId="0" xfId="1" applyFont="1" applyAlignment="1">
      <alignment horizontal="center"/>
    </xf>
    <xf numFmtId="208" fontId="30" fillId="15" borderId="0" xfId="19" applyNumberFormat="1" applyFont="1" applyFill="1" applyAlignment="1">
      <alignment horizontal="centerContinuous"/>
    </xf>
    <xf numFmtId="178" fontId="30" fillId="15" borderId="0" xfId="19" applyNumberFormat="1" applyFont="1" applyFill="1" applyAlignment="1">
      <alignment horizontal="centerContinuous"/>
    </xf>
    <xf numFmtId="178" fontId="30" fillId="15" borderId="1" xfId="19" applyNumberFormat="1" applyFont="1" applyFill="1" applyBorder="1" applyAlignment="1">
      <alignment horizontal="center"/>
    </xf>
    <xf numFmtId="180" fontId="31" fillId="0" borderId="0" xfId="0" applyNumberFormat="1" applyFont="1"/>
    <xf numFmtId="180" fontId="21" fillId="0" borderId="0" xfId="0" applyNumberFormat="1" applyFont="1"/>
    <xf numFmtId="180" fontId="19" fillId="0" borderId="0" xfId="0" applyNumberFormat="1" applyFont="1"/>
    <xf numFmtId="188" fontId="21" fillId="0" borderId="0" xfId="0" applyNumberFormat="1" applyFont="1"/>
    <xf numFmtId="188" fontId="19" fillId="0" borderId="0" xfId="0" applyNumberFormat="1" applyFont="1"/>
    <xf numFmtId="0" fontId="32" fillId="9" borderId="15" xfId="8" applyFont="1" applyFill="1" applyBorder="1" applyAlignment="1">
      <alignment horizontal="centerContinuous"/>
    </xf>
    <xf numFmtId="179" fontId="10" fillId="13" borderId="18" xfId="9" applyNumberFormat="1" applyFont="1" applyFill="1" applyBorder="1" applyAlignment="1">
      <alignment horizontal="center"/>
    </xf>
    <xf numFmtId="179" fontId="10" fillId="13" borderId="5" xfId="9" applyNumberFormat="1" applyFont="1" applyFill="1" applyBorder="1" applyAlignment="1">
      <alignment horizontal="center"/>
    </xf>
    <xf numFmtId="193" fontId="30" fillId="15" borderId="14" xfId="9" applyNumberFormat="1" applyFont="1" applyFill="1" applyBorder="1" applyAlignment="1">
      <alignment horizontal="centerContinuous"/>
    </xf>
    <xf numFmtId="194" fontId="30" fillId="15" borderId="14" xfId="9" applyNumberFormat="1" applyFont="1" applyFill="1" applyBorder="1" applyAlignment="1">
      <alignment horizontal="centerContinuous"/>
    </xf>
    <xf numFmtId="195" fontId="30" fillId="15" borderId="14" xfId="9" applyNumberFormat="1" applyFont="1" applyFill="1" applyBorder="1" applyAlignment="1">
      <alignment horizontal="centerContinuous"/>
    </xf>
    <xf numFmtId="195" fontId="30" fillId="15" borderId="14" xfId="9" applyNumberFormat="1" applyFont="1" applyFill="1" applyBorder="1" applyAlignment="1">
      <alignment horizontal="center"/>
    </xf>
    <xf numFmtId="189" fontId="12" fillId="0" borderId="0" xfId="8" applyNumberFormat="1"/>
    <xf numFmtId="188" fontId="12" fillId="0" borderId="0" xfId="9" applyNumberFormat="1" applyFont="1"/>
    <xf numFmtId="169" fontId="21" fillId="7" borderId="16" xfId="6" applyNumberFormat="1" applyFont="1"/>
    <xf numFmtId="182" fontId="19" fillId="7" borderId="16" xfId="6" applyNumberFormat="1" applyFont="1"/>
    <xf numFmtId="169" fontId="12" fillId="0" borderId="0" xfId="12" applyNumberFormat="1" applyFont="1"/>
    <xf numFmtId="169" fontId="22" fillId="0" borderId="28" xfId="0" applyNumberFormat="1" applyFont="1" applyBorder="1"/>
    <xf numFmtId="169" fontId="7" fillId="0" borderId="28" xfId="0" applyNumberFormat="1" applyFont="1" applyBorder="1"/>
    <xf numFmtId="0" fontId="0" fillId="0" borderId="15" xfId="0" applyBorder="1"/>
    <xf numFmtId="0" fontId="54" fillId="0" borderId="0" xfId="0" applyFont="1"/>
    <xf numFmtId="0" fontId="10" fillId="0" borderId="0" xfId="12" applyFont="1"/>
    <xf numFmtId="169" fontId="0" fillId="8" borderId="0" xfId="0" applyNumberFormat="1" applyFill="1"/>
    <xf numFmtId="0" fontId="11" fillId="0" borderId="0" xfId="12" applyFont="1"/>
    <xf numFmtId="168" fontId="12" fillId="0" borderId="0" xfId="12" applyNumberFormat="1" applyFont="1"/>
    <xf numFmtId="0" fontId="10" fillId="0" borderId="15" xfId="12" applyFont="1" applyBorder="1" applyAlignment="1">
      <alignment horizontal="center"/>
    </xf>
    <xf numFmtId="0" fontId="12" fillId="0" borderId="15" xfId="12" applyFont="1" applyBorder="1" applyAlignment="1">
      <alignment horizontal="center"/>
    </xf>
    <xf numFmtId="169" fontId="13" fillId="0" borderId="0" xfId="12" applyNumberFormat="1" applyFont="1"/>
    <xf numFmtId="169" fontId="15" fillId="0" borderId="0" xfId="12" applyNumberFormat="1" applyFont="1" applyAlignment="1">
      <alignment horizontal="right"/>
    </xf>
    <xf numFmtId="169" fontId="37" fillId="0" borderId="0" xfId="12" applyNumberFormat="1" applyFont="1" applyAlignment="1">
      <alignment horizontal="right"/>
    </xf>
    <xf numFmtId="169" fontId="29" fillId="0" borderId="0" xfId="12" applyNumberFormat="1" applyFont="1" applyAlignment="1">
      <alignment horizontal="right"/>
    </xf>
    <xf numFmtId="169" fontId="14" fillId="0" borderId="0" xfId="12" applyNumberFormat="1" applyFont="1"/>
    <xf numFmtId="177" fontId="17" fillId="2" borderId="2" xfId="12" applyNumberFormat="1" applyFont="1" applyFill="1" applyBorder="1" applyAlignment="1">
      <alignment horizontal="center"/>
    </xf>
    <xf numFmtId="0" fontId="10" fillId="3" borderId="0" xfId="12" applyFont="1" applyFill="1"/>
    <xf numFmtId="179" fontId="10" fillId="4" borderId="2" xfId="12" applyNumberFormat="1" applyFont="1" applyFill="1" applyBorder="1" applyAlignment="1">
      <alignment horizontal="center"/>
    </xf>
    <xf numFmtId="179" fontId="10" fillId="0" borderId="0" xfId="12" applyNumberFormat="1" applyFont="1" applyAlignment="1">
      <alignment horizontal="center"/>
    </xf>
    <xf numFmtId="179" fontId="12" fillId="0" borderId="0" xfId="12" applyNumberFormat="1" applyFont="1" applyAlignment="1">
      <alignment horizontal="center"/>
    </xf>
    <xf numFmtId="207" fontId="0" fillId="0" borderId="0" xfId="0" applyNumberFormat="1" applyAlignment="1">
      <alignment horizontal="left"/>
    </xf>
    <xf numFmtId="15" fontId="0" fillId="0" borderId="0" xfId="0" applyNumberFormat="1"/>
    <xf numFmtId="0" fontId="0" fillId="0" borderId="0" xfId="0" applyAlignment="1">
      <alignment horizontal="left"/>
    </xf>
    <xf numFmtId="198" fontId="21" fillId="0" borderId="0" xfId="0" applyNumberFormat="1" applyFont="1"/>
    <xf numFmtId="169" fontId="22" fillId="0" borderId="0" xfId="0" applyNumberFormat="1" applyFont="1"/>
    <xf numFmtId="169" fontId="51" fillId="0" borderId="28" xfId="0" applyNumberFormat="1" applyFont="1" applyBorder="1"/>
    <xf numFmtId="169" fontId="51" fillId="0" borderId="0" xfId="0" applyNumberFormat="1" applyFont="1"/>
    <xf numFmtId="0" fontId="37" fillId="0" borderId="0" xfId="14" applyFont="1" applyAlignment="1">
      <alignment horizontal="left" vertical="center" indent="1"/>
    </xf>
    <xf numFmtId="0" fontId="37" fillId="0" borderId="0" xfId="14" applyFont="1" applyAlignment="1">
      <alignment horizontal="right" vertical="center" indent="1"/>
    </xf>
    <xf numFmtId="0" fontId="57" fillId="0" borderId="0" xfId="14" applyFont="1" applyAlignment="1">
      <alignment horizontal="left" vertical="center" indent="1"/>
    </xf>
    <xf numFmtId="0" fontId="58" fillId="18" borderId="0" xfId="16" applyFont="1" applyAlignment="1">
      <alignment horizontal="left" vertical="center" indent="1"/>
    </xf>
    <xf numFmtId="0" fontId="59" fillId="0" borderId="24" xfId="17" applyFont="1" applyBorder="1" applyAlignment="1">
      <alignment horizontal="right" vertical="center" indent="1"/>
    </xf>
    <xf numFmtId="0" fontId="59" fillId="0" borderId="24" xfId="17" applyFont="1" applyBorder="1" applyAlignment="1">
      <alignment horizontal="left" vertical="center" indent="1"/>
    </xf>
    <xf numFmtId="0" fontId="59" fillId="0" borderId="0" xfId="17" applyFont="1" applyAlignment="1">
      <alignment horizontal="right" vertical="center" indent="1"/>
    </xf>
    <xf numFmtId="0" fontId="37" fillId="19" borderId="25" xfId="14" applyFont="1" applyFill="1" applyBorder="1" applyAlignment="1">
      <alignment horizontal="right" vertical="center" indent="1"/>
    </xf>
    <xf numFmtId="0" fontId="37" fillId="9" borderId="26" xfId="14" applyFont="1" applyFill="1" applyBorder="1" applyAlignment="1">
      <alignment horizontal="left" vertical="center" indent="1"/>
    </xf>
    <xf numFmtId="0" fontId="37" fillId="9" borderId="26" xfId="14" applyFont="1" applyFill="1" applyBorder="1" applyAlignment="1">
      <alignment horizontal="right" vertical="center" indent="1"/>
    </xf>
    <xf numFmtId="0" fontId="37" fillId="0" borderId="9" xfId="14" quotePrefix="1" applyFont="1" applyBorder="1" applyAlignment="1">
      <alignment horizontal="right" vertical="center" indent="1"/>
    </xf>
    <xf numFmtId="0" fontId="37" fillId="0" borderId="12" xfId="14" quotePrefix="1" applyFont="1" applyBorder="1" applyAlignment="1">
      <alignment horizontal="right" vertical="center" indent="1"/>
    </xf>
    <xf numFmtId="0" fontId="37" fillId="0" borderId="11" xfId="14" applyFont="1" applyBorder="1" applyAlignment="1">
      <alignment horizontal="left" vertical="center" indent="1"/>
    </xf>
    <xf numFmtId="0" fontId="37" fillId="0" borderId="11" xfId="14" applyFont="1" applyBorder="1" applyAlignment="1">
      <alignment horizontal="right" vertical="center" indent="1"/>
    </xf>
    <xf numFmtId="0" fontId="37" fillId="20" borderId="0" xfId="14" applyFont="1" applyFill="1" applyAlignment="1">
      <alignment horizontal="left" vertical="center" indent="1"/>
    </xf>
    <xf numFmtId="199" fontId="37" fillId="0" borderId="0" xfId="14" applyNumberFormat="1" applyFont="1" applyAlignment="1">
      <alignment horizontal="right" vertical="center" indent="1"/>
    </xf>
    <xf numFmtId="2" fontId="61" fillId="0" borderId="0" xfId="14" applyNumberFormat="1" applyFont="1" applyAlignment="1">
      <alignment horizontal="left" vertical="center" indent="1"/>
    </xf>
    <xf numFmtId="0" fontId="37" fillId="0" borderId="9" xfId="14" applyFont="1" applyBorder="1" applyAlignment="1">
      <alignment horizontal="right" vertical="center" indent="1"/>
    </xf>
    <xf numFmtId="0" fontId="37" fillId="19" borderId="0" xfId="14" applyFont="1" applyFill="1" applyAlignment="1">
      <alignment horizontal="right" vertical="center" indent="1"/>
    </xf>
    <xf numFmtId="0" fontId="37" fillId="0" borderId="0" xfId="14" quotePrefix="1" applyFont="1" applyAlignment="1">
      <alignment horizontal="left" vertical="center" indent="1"/>
    </xf>
    <xf numFmtId="0" fontId="37" fillId="19" borderId="9" xfId="14" applyFont="1" applyFill="1" applyBorder="1" applyAlignment="1">
      <alignment horizontal="right" vertical="center" indent="1"/>
    </xf>
    <xf numFmtId="0" fontId="37" fillId="19" borderId="0" xfId="14" applyFont="1" applyFill="1" applyAlignment="1">
      <alignment horizontal="left" vertical="center" indent="1"/>
    </xf>
    <xf numFmtId="200" fontId="37" fillId="0" borderId="0" xfId="14" applyNumberFormat="1" applyFont="1" applyAlignment="1">
      <alignment horizontal="right" vertical="center" indent="1"/>
    </xf>
    <xf numFmtId="2" fontId="37" fillId="0" borderId="0" xfId="14" applyNumberFormat="1" applyFont="1" applyAlignment="1">
      <alignment horizontal="right" vertical="center" indent="1"/>
    </xf>
    <xf numFmtId="0" fontId="37" fillId="0" borderId="12" xfId="14" applyFont="1" applyBorder="1" applyAlignment="1">
      <alignment horizontal="right" vertical="center" indent="1"/>
    </xf>
    <xf numFmtId="200" fontId="37" fillId="0" borderId="11" xfId="14" applyNumberFormat="1" applyFont="1" applyBorder="1" applyAlignment="1">
      <alignment horizontal="right" vertical="center" indent="1"/>
    </xf>
    <xf numFmtId="0" fontId="16" fillId="0" borderId="0" xfId="0" applyFont="1"/>
    <xf numFmtId="0" fontId="10" fillId="0" borderId="0" xfId="8" applyFont="1"/>
    <xf numFmtId="0" fontId="62" fillId="0" borderId="30" xfId="12" applyFont="1" applyBorder="1" applyAlignment="1">
      <alignment horizontal="left" vertical="center" indent="1"/>
    </xf>
    <xf numFmtId="0" fontId="62" fillId="0" borderId="30" xfId="12" applyFont="1" applyBorder="1" applyAlignment="1">
      <alignment horizontal="center" vertical="center"/>
    </xf>
    <xf numFmtId="17" fontId="63" fillId="23" borderId="30" xfId="12" applyNumberFormat="1" applyFont="1" applyFill="1" applyBorder="1" applyAlignment="1">
      <alignment horizontal="left" vertical="center" indent="1"/>
    </xf>
    <xf numFmtId="0" fontId="64" fillId="23" borderId="30" xfId="12" applyFont="1" applyFill="1" applyBorder="1" applyAlignment="1">
      <alignment horizontal="right" vertical="center" indent="1"/>
    </xf>
    <xf numFmtId="0" fontId="63" fillId="23" borderId="30" xfId="12" applyFont="1" applyFill="1" applyBorder="1" applyAlignment="1">
      <alignment horizontal="right" vertical="center" indent="1"/>
    </xf>
    <xf numFmtId="10" fontId="64" fillId="23" borderId="30" xfId="12" applyNumberFormat="1" applyFont="1" applyFill="1" applyBorder="1" applyAlignment="1">
      <alignment horizontal="right" vertical="center" indent="1"/>
    </xf>
    <xf numFmtId="0" fontId="64" fillId="0" borderId="30" xfId="0" applyFont="1" applyBorder="1" applyAlignment="1">
      <alignment horizontal="right" vertical="center" indent="2"/>
    </xf>
    <xf numFmtId="0" fontId="63" fillId="0" borderId="30" xfId="0" applyFont="1" applyBorder="1" applyAlignment="1">
      <alignment horizontal="right" vertical="center" indent="2"/>
    </xf>
    <xf numFmtId="10" fontId="64" fillId="0" borderId="30" xfId="0" applyNumberFormat="1" applyFont="1" applyBorder="1" applyAlignment="1">
      <alignment horizontal="right" vertical="center" indent="2"/>
    </xf>
    <xf numFmtId="17" fontId="63" fillId="0" borderId="30" xfId="12" applyNumberFormat="1" applyFont="1" applyBorder="1" applyAlignment="1">
      <alignment horizontal="left" vertical="center" indent="1"/>
    </xf>
    <xf numFmtId="0" fontId="65" fillId="0" borderId="30" xfId="12" applyFont="1" applyBorder="1" applyAlignment="1">
      <alignment horizontal="right" vertical="center" indent="1"/>
    </xf>
    <xf numFmtId="0" fontId="63" fillId="0" borderId="30" xfId="12" applyFont="1" applyBorder="1" applyAlignment="1">
      <alignment horizontal="right" vertical="center" indent="1"/>
    </xf>
    <xf numFmtId="10" fontId="65" fillId="0" borderId="30" xfId="12" applyNumberFormat="1" applyFont="1" applyBorder="1" applyAlignment="1">
      <alignment horizontal="right" vertical="center" indent="1"/>
    </xf>
    <xf numFmtId="0" fontId="65" fillId="0" borderId="30" xfId="0" applyFont="1" applyBorder="1" applyAlignment="1">
      <alignment horizontal="right" vertical="center" indent="2"/>
    </xf>
    <xf numFmtId="10" fontId="65" fillId="0" borderId="30" xfId="0" applyNumberFormat="1" applyFont="1" applyBorder="1" applyAlignment="1">
      <alignment horizontal="right" vertical="center" indent="2"/>
    </xf>
    <xf numFmtId="0" fontId="64" fillId="0" borderId="30" xfId="12" applyFont="1" applyBorder="1" applyAlignment="1">
      <alignment horizontal="right" vertical="center" indent="1"/>
    </xf>
    <xf numFmtId="10" fontId="64" fillId="0" borderId="30" xfId="12" applyNumberFormat="1" applyFont="1" applyBorder="1" applyAlignment="1">
      <alignment horizontal="right" vertical="center" indent="1"/>
    </xf>
    <xf numFmtId="0" fontId="65" fillId="23" borderId="0" xfId="0" applyFont="1" applyFill="1" applyAlignment="1">
      <alignment horizontal="right" vertical="center" indent="2"/>
    </xf>
    <xf numFmtId="0" fontId="63" fillId="23" borderId="0" xfId="0" applyFont="1" applyFill="1" applyAlignment="1">
      <alignment horizontal="right" vertical="center" indent="2"/>
    </xf>
    <xf numFmtId="10" fontId="65" fillId="23" borderId="0" xfId="0" applyNumberFormat="1" applyFont="1" applyFill="1" applyAlignment="1">
      <alignment horizontal="right" vertical="center" indent="2"/>
    </xf>
    <xf numFmtId="17" fontId="63" fillId="0" borderId="0" xfId="12" applyNumberFormat="1" applyFont="1" applyAlignment="1">
      <alignment horizontal="left" vertical="center" indent="1"/>
    </xf>
    <xf numFmtId="0" fontId="65" fillId="0" borderId="0" xfId="12" applyFont="1" applyAlignment="1">
      <alignment horizontal="right" vertical="center" indent="1"/>
    </xf>
    <xf numFmtId="0" fontId="63" fillId="0" borderId="0" xfId="12" applyFont="1" applyAlignment="1">
      <alignment horizontal="right" vertical="center" indent="1"/>
    </xf>
    <xf numFmtId="10" fontId="65" fillId="0" borderId="0" xfId="12" applyNumberFormat="1" applyFont="1" applyAlignment="1">
      <alignment horizontal="right" vertical="center" indent="1"/>
    </xf>
    <xf numFmtId="192" fontId="45" fillId="0" borderId="0" xfId="19" applyFont="1"/>
    <xf numFmtId="169" fontId="12" fillId="0" borderId="0" xfId="20" applyNumberFormat="1" applyFont="1" applyAlignment="1">
      <alignment horizontal="right"/>
    </xf>
    <xf numFmtId="179" fontId="10" fillId="0" borderId="0" xfId="22" applyNumberFormat="1" applyFont="1"/>
    <xf numFmtId="209" fontId="12" fillId="0" borderId="0" xfId="22" applyNumberFormat="1" applyFont="1"/>
    <xf numFmtId="210" fontId="12" fillId="0" borderId="0" xfId="8" applyNumberFormat="1"/>
    <xf numFmtId="0" fontId="18" fillId="0" borderId="0" xfId="9" applyFont="1"/>
    <xf numFmtId="0" fontId="39" fillId="0" borderId="0" xfId="9" applyFont="1"/>
    <xf numFmtId="168" fontId="12" fillId="0" borderId="0" xfId="9" applyNumberFormat="1" applyFont="1" applyAlignment="1">
      <alignment horizontal="center"/>
    </xf>
    <xf numFmtId="180" fontId="10" fillId="0" borderId="0" xfId="9" applyNumberFormat="1" applyFont="1"/>
    <xf numFmtId="0" fontId="10" fillId="0" borderId="6" xfId="9" applyFont="1" applyBorder="1" applyAlignment="1">
      <alignment horizontal="center"/>
    </xf>
    <xf numFmtId="0" fontId="10" fillId="0" borderId="28" xfId="9" applyFont="1" applyBorder="1" applyAlignment="1">
      <alignment horizontal="center"/>
    </xf>
    <xf numFmtId="0" fontId="10" fillId="0" borderId="7" xfId="9" applyFont="1" applyBorder="1" applyAlignment="1">
      <alignment horizontal="center"/>
    </xf>
    <xf numFmtId="189" fontId="12" fillId="0" borderId="6" xfId="9" applyNumberFormat="1" applyFont="1" applyBorder="1" applyAlignment="1">
      <alignment horizontal="center"/>
    </xf>
    <xf numFmtId="189" fontId="12" fillId="0" borderId="28" xfId="9" applyNumberFormat="1" applyFont="1" applyBorder="1" applyAlignment="1">
      <alignment horizontal="center"/>
    </xf>
    <xf numFmtId="189" fontId="12" fillId="0" borderId="7" xfId="9" applyNumberFormat="1" applyFont="1" applyBorder="1" applyAlignment="1">
      <alignment horizontal="center"/>
    </xf>
    <xf numFmtId="189" fontId="12" fillId="0" borderId="8" xfId="9" applyNumberFormat="1" applyFont="1" applyBorder="1" applyAlignment="1">
      <alignment horizontal="center"/>
    </xf>
    <xf numFmtId="189" fontId="12" fillId="0" borderId="0" xfId="9" applyNumberFormat="1" applyFont="1" applyAlignment="1">
      <alignment horizontal="center"/>
    </xf>
    <xf numFmtId="189" fontId="12" fillId="0" borderId="9" xfId="9" applyNumberFormat="1" applyFont="1" applyBorder="1" applyAlignment="1">
      <alignment horizontal="center"/>
    </xf>
    <xf numFmtId="189" fontId="12" fillId="0" borderId="11" xfId="9" applyNumberFormat="1" applyFont="1" applyBorder="1" applyAlignment="1">
      <alignment horizontal="center"/>
    </xf>
    <xf numFmtId="168" fontId="39" fillId="0" borderId="0" xfId="9" applyNumberFormat="1" applyFont="1" applyAlignment="1">
      <alignment horizontal="center"/>
    </xf>
    <xf numFmtId="0" fontId="28" fillId="0" borderId="0" xfId="8" applyFont="1"/>
    <xf numFmtId="3" fontId="28" fillId="0" borderId="0" xfId="8" applyNumberFormat="1" applyFont="1"/>
    <xf numFmtId="169" fontId="7" fillId="0" borderId="0" xfId="8" applyNumberFormat="1" applyFont="1"/>
    <xf numFmtId="169" fontId="7" fillId="0" borderId="28" xfId="8" applyNumberFormat="1" applyFont="1" applyBorder="1"/>
    <xf numFmtId="0" fontId="7" fillId="0" borderId="0" xfId="8" applyFont="1"/>
    <xf numFmtId="0" fontId="7" fillId="0" borderId="0" xfId="8" applyFont="1" applyAlignment="1">
      <alignment horizontal="left" indent="1"/>
    </xf>
    <xf numFmtId="169" fontId="21" fillId="0" borderId="0" xfId="8" applyNumberFormat="1" applyFont="1"/>
    <xf numFmtId="169" fontId="19" fillId="0" borderId="0" xfId="8" applyNumberFormat="1" applyFont="1"/>
    <xf numFmtId="0" fontId="47" fillId="0" borderId="0" xfId="8" applyFont="1"/>
    <xf numFmtId="180" fontId="56" fillId="0" borderId="0" xfId="8" applyNumberFormat="1" applyFont="1" applyAlignment="1">
      <alignment horizontal="right"/>
    </xf>
    <xf numFmtId="169" fontId="55" fillId="8" borderId="0" xfId="8" applyNumberFormat="1" applyFont="1" applyFill="1"/>
    <xf numFmtId="0" fontId="47" fillId="0" borderId="0" xfId="8" applyFont="1" applyAlignment="1">
      <alignment horizontal="left" indent="1"/>
    </xf>
    <xf numFmtId="169" fontId="19" fillId="0" borderId="28" xfId="8" applyNumberFormat="1" applyFont="1" applyBorder="1"/>
    <xf numFmtId="0" fontId="21" fillId="0" borderId="0" xfId="8" applyFont="1"/>
    <xf numFmtId="169" fontId="22" fillId="0" borderId="28" xfId="8" applyNumberFormat="1" applyFont="1" applyBorder="1"/>
    <xf numFmtId="169" fontId="22" fillId="0" borderId="0" xfId="8" applyNumberFormat="1" applyFont="1"/>
    <xf numFmtId="0" fontId="22" fillId="0" borderId="0" xfId="8" applyFont="1" applyAlignment="1">
      <alignment horizontal="left" indent="1"/>
    </xf>
    <xf numFmtId="169" fontId="37" fillId="0" borderId="0" xfId="8" applyNumberFormat="1" applyFont="1"/>
    <xf numFmtId="180" fontId="22" fillId="0" borderId="0" xfId="8" applyNumberFormat="1" applyFont="1"/>
    <xf numFmtId="169" fontId="19" fillId="6" borderId="0" xfId="8" applyNumberFormat="1" applyFont="1" applyFill="1"/>
    <xf numFmtId="3" fontId="7" fillId="0" borderId="0" xfId="8" applyNumberFormat="1" applyFont="1"/>
    <xf numFmtId="0" fontId="19" fillId="0" borderId="0" xfId="8" applyFont="1"/>
    <xf numFmtId="0" fontId="7" fillId="0" borderId="0" xfId="8" applyFont="1" applyAlignment="1">
      <alignment horizontal="left" indent="2"/>
    </xf>
    <xf numFmtId="0" fontId="28" fillId="0" borderId="0" xfId="8" applyFont="1" applyAlignment="1">
      <alignment horizontal="left" indent="1"/>
    </xf>
    <xf numFmtId="0" fontId="25" fillId="0" borderId="0" xfId="8" applyFont="1"/>
    <xf numFmtId="169" fontId="12" fillId="0" borderId="0" xfId="29" applyNumberFormat="1" applyFont="1"/>
    <xf numFmtId="0" fontId="12" fillId="5" borderId="0" xfId="8" applyFill="1"/>
    <xf numFmtId="169" fontId="12" fillId="5" borderId="0" xfId="8" applyNumberFormat="1" applyFill="1"/>
    <xf numFmtId="0" fontId="10" fillId="5" borderId="0" xfId="8" applyFont="1" applyFill="1"/>
    <xf numFmtId="0" fontId="7" fillId="5" borderId="0" xfId="8" applyFont="1" applyFill="1"/>
    <xf numFmtId="15" fontId="28" fillId="0" borderId="0" xfId="8" applyNumberFormat="1" applyFont="1"/>
    <xf numFmtId="169" fontId="16" fillId="0" borderId="0" xfId="8" applyNumberFormat="1" applyFont="1"/>
    <xf numFmtId="0" fontId="26" fillId="0" borderId="0" xfId="8" applyFont="1" applyAlignment="1">
      <alignment horizontal="left" indent="1"/>
    </xf>
    <xf numFmtId="181" fontId="28" fillId="0" borderId="0" xfId="8" applyNumberFormat="1" applyFont="1"/>
    <xf numFmtId="169" fontId="28" fillId="0" borderId="0" xfId="8" applyNumberFormat="1" applyFont="1"/>
    <xf numFmtId="0" fontId="22" fillId="0" borderId="0" xfId="8" applyFont="1"/>
    <xf numFmtId="0" fontId="22" fillId="0" borderId="0" xfId="8" applyFont="1" applyAlignment="1">
      <alignment horizontal="left" indent="2"/>
    </xf>
    <xf numFmtId="169" fontId="21" fillId="0" borderId="28" xfId="8" applyNumberFormat="1" applyFont="1" applyBorder="1"/>
    <xf numFmtId="181" fontId="22" fillId="0" borderId="0" xfId="8" applyNumberFormat="1" applyFont="1"/>
    <xf numFmtId="185" fontId="47" fillId="0" borderId="28" xfId="8" applyNumberFormat="1" applyFont="1" applyBorder="1"/>
    <xf numFmtId="185" fontId="47" fillId="0" borderId="0" xfId="8" applyNumberFormat="1" applyFont="1"/>
    <xf numFmtId="0" fontId="47" fillId="8" borderId="0" xfId="8" applyFont="1" applyFill="1"/>
    <xf numFmtId="0" fontId="47" fillId="0" borderId="28" xfId="8" applyFont="1" applyBorder="1"/>
    <xf numFmtId="169" fontId="66" fillId="0" borderId="0" xfId="8" applyNumberFormat="1" applyFont="1"/>
    <xf numFmtId="180" fontId="19" fillId="0" borderId="0" xfId="8" applyNumberFormat="1" applyFont="1"/>
    <xf numFmtId="180" fontId="19" fillId="6" borderId="0" xfId="8" applyNumberFormat="1" applyFont="1" applyFill="1"/>
    <xf numFmtId="169" fontId="25" fillId="0" borderId="0" xfId="8" applyNumberFormat="1" applyFont="1"/>
    <xf numFmtId="181" fontId="19" fillId="0" borderId="0" xfId="8" applyNumberFormat="1" applyFont="1"/>
    <xf numFmtId="168" fontId="19" fillId="0" borderId="0" xfId="8" applyNumberFormat="1" applyFont="1"/>
    <xf numFmtId="168" fontId="21" fillId="0" borderId="0" xfId="8" applyNumberFormat="1" applyFont="1"/>
    <xf numFmtId="0" fontId="21" fillId="0" borderId="0" xfId="8" applyFont="1" applyAlignment="1">
      <alignment horizontal="left" indent="1"/>
    </xf>
    <xf numFmtId="0" fontId="47" fillId="0" borderId="0" xfId="8" applyFont="1" applyAlignment="1">
      <alignment horizontal="left" indent="2"/>
    </xf>
    <xf numFmtId="0" fontId="28" fillId="0" borderId="0" xfId="8" applyFont="1" applyAlignment="1">
      <alignment horizontal="right"/>
    </xf>
    <xf numFmtId="0" fontId="7" fillId="3" borderId="0" xfId="29" applyFont="1" applyFill="1"/>
    <xf numFmtId="179" fontId="10" fillId="4" borderId="5" xfId="29" applyNumberFormat="1" applyFont="1" applyFill="1" applyBorder="1" applyAlignment="1">
      <alignment horizontal="center"/>
    </xf>
    <xf numFmtId="179" fontId="10" fillId="4" borderId="2" xfId="29" applyNumberFormat="1" applyFont="1" applyFill="1" applyBorder="1" applyAlignment="1">
      <alignment horizontal="center"/>
    </xf>
    <xf numFmtId="179" fontId="7" fillId="4" borderId="5" xfId="29" applyNumberFormat="1" applyFont="1" applyFill="1" applyBorder="1" applyAlignment="1">
      <alignment horizontal="center"/>
    </xf>
    <xf numFmtId="179" fontId="10" fillId="4" borderId="13" xfId="29" applyNumberFormat="1" applyFont="1" applyFill="1" applyBorder="1" applyAlignment="1">
      <alignment horizontal="center"/>
    </xf>
    <xf numFmtId="179" fontId="7" fillId="4" borderId="1" xfId="8" applyNumberFormat="1" applyFont="1" applyFill="1" applyBorder="1" applyAlignment="1">
      <alignment horizontal="centerContinuous"/>
    </xf>
    <xf numFmtId="179" fontId="7" fillId="4" borderId="1" xfId="8" applyNumberFormat="1" applyFont="1" applyFill="1" applyBorder="1"/>
    <xf numFmtId="0" fontId="7" fillId="4" borderId="1" xfId="8" applyFont="1" applyFill="1" applyBorder="1" applyAlignment="1">
      <alignment horizontal="centerContinuous"/>
    </xf>
    <xf numFmtId="0" fontId="7" fillId="4" borderId="1" xfId="8" applyFont="1" applyFill="1" applyBorder="1"/>
    <xf numFmtId="0" fontId="28" fillId="0" borderId="0" xfId="29" applyFont="1"/>
    <xf numFmtId="176" fontId="17" fillId="2" borderId="2" xfId="29" applyNumberFormat="1" applyFont="1" applyFill="1" applyBorder="1" applyAlignment="1">
      <alignment horizontal="centerContinuous"/>
    </xf>
    <xf numFmtId="176" fontId="30" fillId="2" borderId="2" xfId="29" applyNumberFormat="1" applyFont="1" applyFill="1" applyBorder="1" applyAlignment="1">
      <alignment horizontal="centerContinuous"/>
    </xf>
    <xf numFmtId="176" fontId="8" fillId="2" borderId="2" xfId="29" applyNumberFormat="1" applyFont="1" applyFill="1" applyBorder="1" applyAlignment="1">
      <alignment horizontal="centerContinuous"/>
    </xf>
    <xf numFmtId="174" fontId="8" fillId="2" borderId="0" xfId="8" applyNumberFormat="1" applyFont="1" applyFill="1" applyAlignment="1">
      <alignment horizontal="centerContinuous"/>
    </xf>
    <xf numFmtId="184" fontId="8" fillId="2" borderId="0" xfId="8" applyNumberFormat="1" applyFont="1" applyFill="1" applyAlignment="1">
      <alignment horizontal="centerContinuous"/>
    </xf>
    <xf numFmtId="183" fontId="8" fillId="2" borderId="0" xfId="8" applyNumberFormat="1" applyFont="1" applyFill="1" applyAlignment="1">
      <alignment horizontal="centerContinuous"/>
    </xf>
    <xf numFmtId="172" fontId="8" fillId="2" borderId="0" xfId="8" applyNumberFormat="1" applyFont="1" applyFill="1" applyAlignment="1">
      <alignment horizontal="centerContinuous"/>
    </xf>
    <xf numFmtId="171" fontId="8" fillId="2" borderId="0" xfId="8" applyNumberFormat="1" applyFont="1" applyFill="1" applyAlignment="1">
      <alignment horizontal="centerContinuous"/>
    </xf>
    <xf numFmtId="170" fontId="8" fillId="2" borderId="0" xfId="8" applyNumberFormat="1" applyFont="1" applyFill="1" applyAlignment="1">
      <alignment horizontal="centerContinuous"/>
    </xf>
    <xf numFmtId="173" fontId="8" fillId="2" borderId="1" xfId="8" applyNumberFormat="1" applyFont="1" applyFill="1" applyBorder="1" applyAlignment="1">
      <alignment horizontal="centerContinuous"/>
    </xf>
    <xf numFmtId="0" fontId="8" fillId="2" borderId="1" xfId="8" applyFont="1" applyFill="1" applyBorder="1"/>
    <xf numFmtId="0" fontId="8" fillId="2" borderId="1" xfId="8" applyFont="1" applyFill="1" applyBorder="1" applyAlignment="1">
      <alignment horizontal="centerContinuous"/>
    </xf>
    <xf numFmtId="180" fontId="56" fillId="0" borderId="0" xfId="8" applyNumberFormat="1" applyFont="1"/>
    <xf numFmtId="169" fontId="26" fillId="0" borderId="0" xfId="8" applyNumberFormat="1" applyFont="1"/>
    <xf numFmtId="180" fontId="26" fillId="0" borderId="0" xfId="8" applyNumberFormat="1" applyFont="1"/>
    <xf numFmtId="180" fontId="28" fillId="0" borderId="0" xfId="8" applyNumberFormat="1" applyFont="1"/>
    <xf numFmtId="15" fontId="12" fillId="17" borderId="23" xfId="15" applyNumberFormat="1" applyFont="1" applyFill="1" applyBorder="1" applyAlignment="1">
      <alignment horizontal="left" vertical="center" indent="1"/>
    </xf>
    <xf numFmtId="175" fontId="8" fillId="2" borderId="1" xfId="8" applyNumberFormat="1" applyFont="1" applyFill="1" applyBorder="1" applyAlignment="1">
      <alignment horizontal="centerContinuous"/>
    </xf>
    <xf numFmtId="176" fontId="8" fillId="2" borderId="2" xfId="29" applyNumberFormat="1" applyFont="1" applyFill="1" applyBorder="1" applyAlignment="1">
      <alignment horizontal="center"/>
    </xf>
    <xf numFmtId="177" fontId="8" fillId="2" borderId="2" xfId="29" applyNumberFormat="1" applyFont="1" applyFill="1" applyBorder="1" applyAlignment="1">
      <alignment horizontal="center"/>
    </xf>
    <xf numFmtId="180" fontId="55" fillId="7" borderId="16" xfId="6" applyNumberFormat="1" applyFont="1" applyAlignment="1">
      <alignment horizontal="right"/>
    </xf>
    <xf numFmtId="169" fontId="50" fillId="0" borderId="0" xfId="8" applyNumberFormat="1" applyFont="1"/>
    <xf numFmtId="0" fontId="7" fillId="0" borderId="15" xfId="8" applyFont="1" applyBorder="1"/>
    <xf numFmtId="0" fontId="47" fillId="0" borderId="0" xfId="8" applyFont="1" applyAlignment="1">
      <alignment horizontal="left" indent="3"/>
    </xf>
    <xf numFmtId="180" fontId="55" fillId="7" borderId="16" xfId="30" applyNumberFormat="1" applyFont="1" applyAlignment="1">
      <alignment horizontal="right"/>
    </xf>
    <xf numFmtId="169" fontId="55" fillId="7" borderId="16" xfId="30" applyNumberFormat="1" applyFont="1" applyAlignment="1">
      <alignment horizontal="right"/>
    </xf>
    <xf numFmtId="169" fontId="51" fillId="0" borderId="0" xfId="8" applyNumberFormat="1" applyFont="1"/>
    <xf numFmtId="0" fontId="28" fillId="8" borderId="0" xfId="8" applyFont="1" applyFill="1"/>
    <xf numFmtId="0" fontId="28" fillId="0" borderId="0" xfId="0" applyFont="1"/>
    <xf numFmtId="176" fontId="67" fillId="2" borderId="2" xfId="29" applyNumberFormat="1" applyFont="1" applyFill="1" applyBorder="1" applyAlignment="1">
      <alignment horizontal="centerContinuous"/>
    </xf>
    <xf numFmtId="179" fontId="7" fillId="4" borderId="13" xfId="29" applyNumberFormat="1" applyFont="1" applyFill="1" applyBorder="1" applyAlignment="1">
      <alignment horizontal="center"/>
    </xf>
    <xf numFmtId="179" fontId="7" fillId="4" borderId="2" xfId="29" applyNumberFormat="1" applyFont="1" applyFill="1" applyBorder="1" applyAlignment="1">
      <alignment horizontal="center"/>
    </xf>
    <xf numFmtId="169" fontId="28" fillId="0" borderId="0" xfId="29" applyNumberFormat="1" applyFont="1"/>
    <xf numFmtId="0" fontId="28" fillId="5" borderId="0" xfId="8" applyFont="1" applyFill="1"/>
    <xf numFmtId="169" fontId="28" fillId="5" borderId="0" xfId="8" applyNumberFormat="1" applyFont="1" applyFill="1"/>
    <xf numFmtId="169" fontId="7" fillId="0" borderId="29" xfId="8" applyNumberFormat="1" applyFont="1" applyBorder="1"/>
    <xf numFmtId="185" fontId="55" fillId="7" borderId="16" xfId="6" applyNumberFormat="1" applyFont="1"/>
    <xf numFmtId="0" fontId="0" fillId="0" borderId="0" xfId="8" applyFont="1"/>
    <xf numFmtId="180" fontId="47" fillId="0" borderId="0" xfId="8" applyNumberFormat="1" applyFont="1"/>
    <xf numFmtId="181" fontId="69" fillId="0" borderId="0" xfId="8" applyNumberFormat="1" applyFont="1"/>
    <xf numFmtId="180" fontId="55" fillId="7" borderId="16" xfId="6" applyNumberFormat="1" applyFont="1"/>
    <xf numFmtId="10" fontId="0" fillId="0" borderId="0" xfId="0" applyNumberFormat="1"/>
    <xf numFmtId="179" fontId="0" fillId="0" borderId="0" xfId="0" applyNumberFormat="1"/>
    <xf numFmtId="169" fontId="28" fillId="8" borderId="0" xfId="8" applyNumberFormat="1" applyFont="1" applyFill="1"/>
    <xf numFmtId="169" fontId="28" fillId="0" borderId="0" xfId="0" applyNumberFormat="1" applyFont="1"/>
    <xf numFmtId="169" fontId="31" fillId="0" borderId="0" xfId="8" applyNumberFormat="1" applyFont="1"/>
    <xf numFmtId="181" fontId="0" fillId="5" borderId="0" xfId="0" applyNumberFormat="1" applyFill="1"/>
    <xf numFmtId="169" fontId="16" fillId="0" borderId="0" xfId="0" applyNumberFormat="1" applyFont="1"/>
    <xf numFmtId="189" fontId="19" fillId="6" borderId="0" xfId="8" applyNumberFormat="1" applyFont="1" applyFill="1"/>
    <xf numFmtId="189" fontId="19" fillId="0" borderId="0" xfId="8" applyNumberFormat="1" applyFont="1"/>
    <xf numFmtId="180" fontId="19" fillId="0" borderId="0" xfId="8" applyNumberFormat="1" applyFont="1" applyAlignment="1">
      <alignment vertical="center"/>
    </xf>
    <xf numFmtId="180" fontId="19" fillId="6" borderId="0" xfId="8" applyNumberFormat="1" applyFont="1" applyFill="1" applyAlignment="1">
      <alignment vertical="center"/>
    </xf>
    <xf numFmtId="180" fontId="21" fillId="0" borderId="0" xfId="8" applyNumberFormat="1" applyFont="1"/>
    <xf numFmtId="169" fontId="19" fillId="0" borderId="0" xfId="8" applyNumberFormat="1" applyFont="1" applyAlignment="1">
      <alignment horizontal="right"/>
    </xf>
    <xf numFmtId="3" fontId="25" fillId="0" borderId="0" xfId="8" applyNumberFormat="1" applyFont="1"/>
    <xf numFmtId="169" fontId="25" fillId="0" borderId="28" xfId="8" applyNumberFormat="1" applyFont="1" applyBorder="1"/>
    <xf numFmtId="169" fontId="55" fillId="0" borderId="0" xfId="8" applyNumberFormat="1" applyFont="1"/>
    <xf numFmtId="181" fontId="28" fillId="5" borderId="0" xfId="8" applyNumberFormat="1" applyFont="1" applyFill="1"/>
    <xf numFmtId="169" fontId="19" fillId="7" borderId="16" xfId="30" applyNumberFormat="1" applyFont="1" applyAlignment="1">
      <alignment horizontal="right"/>
    </xf>
    <xf numFmtId="169" fontId="25" fillId="3" borderId="28" xfId="8" applyNumberFormat="1" applyFont="1" applyFill="1" applyBorder="1"/>
    <xf numFmtId="169" fontId="55" fillId="8" borderId="21" xfId="8" applyNumberFormat="1" applyFont="1" applyFill="1" applyBorder="1"/>
    <xf numFmtId="169" fontId="55" fillId="8" borderId="28" xfId="8" applyNumberFormat="1" applyFont="1" applyFill="1" applyBorder="1"/>
    <xf numFmtId="0" fontId="21" fillId="0" borderId="0" xfId="0" applyFont="1"/>
    <xf numFmtId="185" fontId="34" fillId="0" borderId="0" xfId="8" applyNumberFormat="1" applyFont="1"/>
    <xf numFmtId="189" fontId="70" fillId="0" borderId="0" xfId="8" applyNumberFormat="1" applyFont="1" applyAlignment="1">
      <alignment horizontal="right"/>
    </xf>
    <xf numFmtId="189" fontId="10" fillId="0" borderId="0" xfId="8" applyNumberFormat="1" applyFont="1" applyAlignment="1">
      <alignment horizontal="right"/>
    </xf>
    <xf numFmtId="191" fontId="10" fillId="0" borderId="0" xfId="8" applyNumberFormat="1" applyFont="1" applyAlignment="1">
      <alignment horizontal="right"/>
    </xf>
    <xf numFmtId="189" fontId="45" fillId="14" borderId="0" xfId="8" applyNumberFormat="1" applyFont="1" applyFill="1" applyAlignment="1">
      <alignment horizontal="right"/>
    </xf>
    <xf numFmtId="169" fontId="19" fillId="8" borderId="0" xfId="8" applyNumberFormat="1" applyFont="1" applyFill="1"/>
    <xf numFmtId="180" fontId="19" fillId="8" borderId="0" xfId="8" applyNumberFormat="1" applyFont="1" applyFill="1"/>
    <xf numFmtId="169" fontId="22" fillId="8" borderId="28" xfId="8" applyNumberFormat="1" applyFont="1" applyFill="1" applyBorder="1"/>
    <xf numFmtId="0" fontId="19" fillId="0" borderId="0" xfId="0" applyFont="1"/>
    <xf numFmtId="169" fontId="21" fillId="0" borderId="0" xfId="8" applyNumberFormat="1" applyFont="1" applyAlignment="1">
      <alignment horizontal="right"/>
    </xf>
    <xf numFmtId="169" fontId="22" fillId="0" borderId="28" xfId="8" applyNumberFormat="1" applyFont="1" applyBorder="1" applyAlignment="1">
      <alignment horizontal="right"/>
    </xf>
    <xf numFmtId="0" fontId="71" fillId="0" borderId="0" xfId="33"/>
    <xf numFmtId="0" fontId="0" fillId="0" borderId="0" xfId="0" applyAlignment="1">
      <alignment horizontal="right"/>
    </xf>
    <xf numFmtId="180" fontId="19" fillId="0" borderId="0" xfId="0" applyNumberFormat="1" applyFont="1" applyAlignment="1">
      <alignment horizontal="right"/>
    </xf>
    <xf numFmtId="0" fontId="28" fillId="0" borderId="0" xfId="8" applyFont="1" applyAlignment="1">
      <alignment horizontal="left"/>
    </xf>
    <xf numFmtId="0" fontId="54" fillId="0" borderId="0" xfId="8" applyFont="1"/>
    <xf numFmtId="0" fontId="47" fillId="0" borderId="0" xfId="8" applyFont="1" applyAlignment="1">
      <alignment horizontal="left"/>
    </xf>
    <xf numFmtId="168" fontId="25" fillId="0" borderId="28" xfId="8" applyNumberFormat="1" applyFont="1" applyBorder="1"/>
    <xf numFmtId="168" fontId="22" fillId="0" borderId="28" xfId="8" applyNumberFormat="1" applyFont="1" applyBorder="1"/>
    <xf numFmtId="0" fontId="72" fillId="0" borderId="0" xfId="0" applyFont="1"/>
    <xf numFmtId="169" fontId="37" fillId="8" borderId="0" xfId="8" applyNumberFormat="1" applyFont="1" applyFill="1"/>
    <xf numFmtId="0" fontId="73" fillId="0" borderId="0" xfId="0" applyFont="1"/>
    <xf numFmtId="0" fontId="74" fillId="0" borderId="0" xfId="0" applyFont="1"/>
    <xf numFmtId="0" fontId="75" fillId="0" borderId="0" xfId="33" applyFont="1"/>
    <xf numFmtId="0" fontId="74" fillId="0" borderId="0" xfId="0" applyFont="1" applyAlignment="1">
      <alignment horizontal="left" indent="1"/>
    </xf>
    <xf numFmtId="0" fontId="10" fillId="0" borderId="19" xfId="0" applyFont="1" applyBorder="1"/>
    <xf numFmtId="0" fontId="0" fillId="0" borderId="20" xfId="0" applyBorder="1"/>
    <xf numFmtId="0" fontId="10" fillId="0" borderId="20" xfId="0" applyFont="1" applyBorder="1"/>
    <xf numFmtId="0" fontId="0" fillId="0" borderId="21" xfId="0" applyBorder="1"/>
    <xf numFmtId="0" fontId="10" fillId="0" borderId="15" xfId="0" applyFont="1" applyBorder="1"/>
    <xf numFmtId="0" fontId="71" fillId="0" borderId="0" xfId="33" applyAlignment="1">
      <alignment horizontal="left" indent="1"/>
    </xf>
    <xf numFmtId="0" fontId="0" fillId="8" borderId="0" xfId="0" applyFill="1"/>
    <xf numFmtId="211" fontId="0" fillId="0" borderId="0" xfId="0" applyNumberFormat="1"/>
    <xf numFmtId="182" fontId="0" fillId="0" borderId="0" xfId="0" applyNumberFormat="1"/>
    <xf numFmtId="168" fontId="0" fillId="0" borderId="0" xfId="0" applyNumberFormat="1"/>
    <xf numFmtId="168" fontId="19" fillId="7" borderId="16" xfId="6" applyNumberFormat="1" applyFont="1"/>
    <xf numFmtId="168" fontId="50" fillId="7" borderId="16" xfId="6" applyNumberFormat="1" applyFont="1"/>
    <xf numFmtId="169" fontId="47" fillId="0" borderId="0" xfId="8" applyNumberFormat="1" applyFont="1"/>
    <xf numFmtId="4" fontId="12" fillId="6" borderId="0" xfId="8" applyNumberFormat="1" applyFill="1" applyAlignment="1">
      <alignment horizontal="right"/>
    </xf>
    <xf numFmtId="180" fontId="12" fillId="0" borderId="0" xfId="8" applyNumberFormat="1"/>
    <xf numFmtId="181" fontId="12" fillId="0" borderId="0" xfId="8" applyNumberFormat="1"/>
    <xf numFmtId="0" fontId="0" fillId="0" borderId="28" xfId="0" applyBorder="1"/>
    <xf numFmtId="0" fontId="0" fillId="0" borderId="9" xfId="0" applyBorder="1"/>
    <xf numFmtId="169" fontId="12" fillId="0" borderId="28" xfId="9" applyNumberFormat="1" applyFont="1" applyBorder="1"/>
    <xf numFmtId="169" fontId="28" fillId="0" borderId="28" xfId="8" applyNumberFormat="1" applyFont="1" applyBorder="1"/>
    <xf numFmtId="169" fontId="50" fillId="7" borderId="16" xfId="6" applyNumberFormat="1" applyFont="1"/>
    <xf numFmtId="0" fontId="21" fillId="8" borderId="0" xfId="8" applyFont="1" applyFill="1"/>
    <xf numFmtId="0" fontId="28" fillId="0" borderId="0" xfId="0" applyFont="1" applyAlignment="1">
      <alignment horizontal="left" indent="1"/>
    </xf>
    <xf numFmtId="169" fontId="29" fillId="0" borderId="0" xfId="9" applyNumberFormat="1" applyFont="1"/>
    <xf numFmtId="189" fontId="29" fillId="0" borderId="19" xfId="9" applyNumberFormat="1" applyFont="1" applyBorder="1" applyAlignment="1">
      <alignment horizontal="center"/>
    </xf>
    <xf numFmtId="189" fontId="12" fillId="0" borderId="21" xfId="9" applyNumberFormat="1" applyFont="1" applyBorder="1" applyAlignment="1">
      <alignment horizontal="center"/>
    </xf>
    <xf numFmtId="0" fontId="0" fillId="0" borderId="6" xfId="0" applyBorder="1" applyAlignment="1">
      <alignment horizontal="left" indent="1"/>
    </xf>
    <xf numFmtId="0" fontId="28" fillId="0" borderId="8" xfId="8" applyFont="1" applyBorder="1" applyAlignment="1">
      <alignment horizontal="left" indent="1"/>
    </xf>
    <xf numFmtId="0" fontId="28" fillId="0" borderId="10" xfId="8" applyFont="1" applyBorder="1" applyAlignment="1">
      <alignment horizontal="left" indent="2"/>
    </xf>
    <xf numFmtId="0" fontId="28" fillId="0" borderId="11" xfId="8" applyFont="1" applyBorder="1"/>
    <xf numFmtId="0" fontId="28" fillId="0" borderId="11" xfId="0" applyFont="1" applyBorder="1"/>
    <xf numFmtId="169" fontId="28" fillId="0" borderId="21" xfId="8" applyNumberFormat="1" applyFont="1" applyBorder="1"/>
    <xf numFmtId="0" fontId="28" fillId="0" borderId="12" xfId="8" applyFont="1" applyBorder="1"/>
    <xf numFmtId="181" fontId="0" fillId="0" borderId="28" xfId="0" applyNumberFormat="1" applyBorder="1"/>
    <xf numFmtId="169" fontId="0" fillId="0" borderId="28" xfId="0" applyNumberFormat="1" applyBorder="1"/>
    <xf numFmtId="169" fontId="0" fillId="0" borderId="7" xfId="0" applyNumberFormat="1" applyBorder="1"/>
    <xf numFmtId="181" fontId="16" fillId="0" borderId="0" xfId="8" applyNumberFormat="1" applyFont="1"/>
    <xf numFmtId="180" fontId="37" fillId="0" borderId="0" xfId="9" applyNumberFormat="1" applyFont="1"/>
    <xf numFmtId="0" fontId="76" fillId="0" borderId="0" xfId="33" applyFont="1"/>
    <xf numFmtId="189" fontId="44" fillId="25" borderId="0" xfId="9" applyNumberFormat="1" applyFont="1" applyFill="1"/>
    <xf numFmtId="169" fontId="37" fillId="0" borderId="9" xfId="9" applyNumberFormat="1" applyFont="1" applyBorder="1"/>
    <xf numFmtId="0" fontId="12" fillId="0" borderId="19" xfId="9" applyFont="1" applyBorder="1" applyAlignment="1">
      <alignment horizontal="centerContinuous"/>
    </xf>
    <xf numFmtId="0" fontId="12" fillId="0" borderId="21" xfId="9" applyFont="1" applyBorder="1" applyAlignment="1">
      <alignment horizontal="centerContinuous"/>
    </xf>
    <xf numFmtId="0" fontId="12" fillId="0" borderId="20" xfId="9" applyFont="1" applyBorder="1" applyAlignment="1">
      <alignment horizontal="centerContinuous"/>
    </xf>
    <xf numFmtId="212" fontId="0" fillId="0" borderId="0" xfId="0" applyNumberFormat="1"/>
    <xf numFmtId="0" fontId="71" fillId="0" borderId="0" xfId="33" applyFill="1"/>
    <xf numFmtId="181" fontId="16" fillId="5" borderId="0" xfId="8" applyNumberFormat="1" applyFont="1" applyFill="1"/>
    <xf numFmtId="180" fontId="16" fillId="0" borderId="0" xfId="8" applyNumberFormat="1" applyFont="1"/>
    <xf numFmtId="0" fontId="16" fillId="0" borderId="0" xfId="8" applyFont="1"/>
    <xf numFmtId="0" fontId="10" fillId="0" borderId="28" xfId="9" applyFont="1" applyBorder="1"/>
    <xf numFmtId="0" fontId="12" fillId="0" borderId="28" xfId="9" applyFont="1" applyBorder="1"/>
    <xf numFmtId="169" fontId="21" fillId="8" borderId="0" xfId="8" applyNumberFormat="1" applyFont="1" applyFill="1"/>
    <xf numFmtId="0" fontId="39" fillId="24" borderId="0" xfId="9" applyFont="1" applyFill="1" applyAlignment="1">
      <alignment horizontal="centerContinuous"/>
    </xf>
    <xf numFmtId="168" fontId="39" fillId="24" borderId="0" xfId="9" applyNumberFormat="1" applyFont="1" applyFill="1" applyAlignment="1">
      <alignment horizontal="centerContinuous"/>
    </xf>
    <xf numFmtId="0" fontId="39" fillId="24" borderId="6" xfId="9" applyFont="1" applyFill="1" applyBorder="1" applyAlignment="1">
      <alignment horizontal="centerContinuous"/>
    </xf>
    <xf numFmtId="168" fontId="39" fillId="24" borderId="28" xfId="9" applyNumberFormat="1" applyFont="1" applyFill="1" applyBorder="1" applyAlignment="1">
      <alignment horizontal="centerContinuous"/>
    </xf>
    <xf numFmtId="168" fontId="39" fillId="24" borderId="7" xfId="9" applyNumberFormat="1" applyFont="1" applyFill="1" applyBorder="1" applyAlignment="1">
      <alignment horizontal="centerContinuous"/>
    </xf>
    <xf numFmtId="189" fontId="12" fillId="0" borderId="12" xfId="9" applyNumberFormat="1" applyFont="1" applyBorder="1" applyAlignment="1">
      <alignment horizontal="center"/>
    </xf>
    <xf numFmtId="168" fontId="39" fillId="24" borderId="9" xfId="9" applyNumberFormat="1" applyFont="1" applyFill="1" applyBorder="1" applyAlignment="1">
      <alignment horizontal="centerContinuous"/>
    </xf>
    <xf numFmtId="0" fontId="10" fillId="0" borderId="0" xfId="9" applyFont="1" applyAlignment="1">
      <alignment horizontal="center"/>
    </xf>
    <xf numFmtId="0" fontId="10" fillId="0" borderId="8" xfId="9" applyFont="1" applyBorder="1" applyAlignment="1">
      <alignment horizontal="center"/>
    </xf>
    <xf numFmtId="0" fontId="10" fillId="0" borderId="9" xfId="9" applyFont="1" applyBorder="1" applyAlignment="1">
      <alignment horizontal="center"/>
    </xf>
    <xf numFmtId="169" fontId="56" fillId="0" borderId="0" xfId="8" applyNumberFormat="1" applyFont="1"/>
    <xf numFmtId="0" fontId="26" fillId="0" borderId="0" xfId="8" applyFont="1"/>
    <xf numFmtId="189" fontId="37" fillId="0" borderId="6" xfId="9" applyNumberFormat="1" applyFont="1" applyBorder="1" applyAlignment="1">
      <alignment horizontal="center"/>
    </xf>
    <xf numFmtId="189" fontId="37" fillId="0" borderId="28" xfId="9" applyNumberFormat="1" applyFont="1" applyBorder="1" applyAlignment="1">
      <alignment horizontal="center"/>
    </xf>
    <xf numFmtId="189" fontId="37" fillId="0" borderId="7" xfId="9" applyNumberFormat="1" applyFont="1" applyBorder="1" applyAlignment="1">
      <alignment horizontal="center"/>
    </xf>
    <xf numFmtId="0" fontId="47" fillId="0" borderId="6" xfId="8" applyFont="1" applyBorder="1"/>
    <xf numFmtId="180" fontId="56" fillId="0" borderId="28" xfId="8" applyNumberFormat="1" applyFont="1" applyBorder="1"/>
    <xf numFmtId="0" fontId="47" fillId="0" borderId="28" xfId="0" applyFont="1" applyBorder="1"/>
    <xf numFmtId="180" fontId="56" fillId="0" borderId="7" xfId="8" applyNumberFormat="1" applyFont="1" applyBorder="1"/>
    <xf numFmtId="0" fontId="47" fillId="0" borderId="8" xfId="0" applyFont="1" applyBorder="1" applyAlignment="1">
      <alignment horizontal="left"/>
    </xf>
    <xf numFmtId="180" fontId="55" fillId="0" borderId="0" xfId="8" applyNumberFormat="1" applyFont="1"/>
    <xf numFmtId="0" fontId="21" fillId="8" borderId="9" xfId="8" applyFont="1" applyFill="1" applyBorder="1"/>
    <xf numFmtId="0" fontId="47" fillId="0" borderId="8" xfId="8" applyFont="1" applyBorder="1" applyAlignment="1">
      <alignment horizontal="left"/>
    </xf>
    <xf numFmtId="180" fontId="56" fillId="0" borderId="9" xfId="8" applyNumberFormat="1" applyFont="1" applyBorder="1"/>
    <xf numFmtId="0" fontId="54" fillId="0" borderId="10" xfId="8" applyFont="1" applyBorder="1" applyAlignment="1">
      <alignment horizontal="left" indent="1"/>
    </xf>
    <xf numFmtId="0" fontId="54" fillId="0" borderId="11" xfId="8" applyFont="1" applyBorder="1"/>
    <xf numFmtId="180" fontId="69" fillId="0" borderId="21" xfId="8" applyNumberFormat="1" applyFont="1" applyBorder="1"/>
    <xf numFmtId="0" fontId="54" fillId="0" borderId="11" xfId="0" applyFont="1" applyBorder="1"/>
    <xf numFmtId="169" fontId="10" fillId="0" borderId="0" xfId="9" applyNumberFormat="1" applyFont="1" applyAlignment="1">
      <alignment horizontal="right"/>
    </xf>
    <xf numFmtId="191" fontId="11" fillId="14" borderId="0" xfId="8" applyNumberFormat="1" applyFont="1" applyFill="1" applyAlignment="1">
      <alignment horizontal="right"/>
    </xf>
    <xf numFmtId="191" fontId="45" fillId="14" borderId="0" xfId="8" applyNumberFormat="1" applyFont="1" applyFill="1" applyAlignment="1">
      <alignment horizontal="right"/>
    </xf>
    <xf numFmtId="191" fontId="12" fillId="0" borderId="0" xfId="8" applyNumberFormat="1"/>
    <xf numFmtId="191" fontId="12" fillId="0" borderId="32" xfId="8" applyNumberFormat="1" applyBorder="1"/>
    <xf numFmtId="191" fontId="12" fillId="0" borderId="35" xfId="8" applyNumberFormat="1" applyBorder="1"/>
    <xf numFmtId="191" fontId="12" fillId="0" borderId="36" xfId="8" applyNumberFormat="1" applyBorder="1"/>
    <xf numFmtId="180" fontId="31" fillId="0" borderId="0" xfId="6" applyNumberFormat="1" applyFont="1" applyFill="1" applyBorder="1"/>
    <xf numFmtId="180" fontId="21" fillId="0" borderId="0" xfId="6" applyNumberFormat="1" applyFont="1" applyFill="1" applyBorder="1"/>
    <xf numFmtId="180" fontId="53" fillId="7" borderId="16" xfId="6" applyNumberFormat="1" applyFont="1" applyAlignment="1">
      <alignment horizontal="right"/>
    </xf>
    <xf numFmtId="180" fontId="53" fillId="7" borderId="33" xfId="30" applyNumberFormat="1" applyFont="1" applyBorder="1" applyAlignment="1">
      <alignment horizontal="right"/>
    </xf>
    <xf numFmtId="180" fontId="53" fillId="7" borderId="34" xfId="30" applyNumberFormat="1" applyFont="1" applyBorder="1" applyAlignment="1">
      <alignment horizontal="right"/>
    </xf>
    <xf numFmtId="0" fontId="37" fillId="0" borderId="37" xfId="9" applyFont="1" applyBorder="1" applyAlignment="1">
      <alignment horizontal="center"/>
    </xf>
    <xf numFmtId="0" fontId="37" fillId="0" borderId="31" xfId="9" applyFont="1" applyBorder="1" applyAlignment="1">
      <alignment horizontal="center"/>
    </xf>
    <xf numFmtId="0" fontId="37" fillId="0" borderId="38" xfId="9" applyFont="1" applyBorder="1" applyAlignment="1">
      <alignment horizontal="center"/>
    </xf>
    <xf numFmtId="0" fontId="37" fillId="0" borderId="39" xfId="9" applyFont="1" applyBorder="1" applyAlignment="1">
      <alignment horizontal="center"/>
    </xf>
    <xf numFmtId="169" fontId="37" fillId="0" borderId="40" xfId="9" applyNumberFormat="1" applyFont="1" applyBorder="1" applyAlignment="1">
      <alignment horizontal="center"/>
    </xf>
    <xf numFmtId="169" fontId="37" fillId="0" borderId="41" xfId="9" applyNumberFormat="1" applyFont="1" applyBorder="1" applyAlignment="1">
      <alignment horizontal="center"/>
    </xf>
    <xf numFmtId="0" fontId="16" fillId="0" borderId="0" xfId="8" applyFont="1" applyAlignment="1">
      <alignment horizontal="left" indent="1"/>
    </xf>
    <xf numFmtId="169" fontId="22" fillId="6" borderId="0" xfId="8" applyNumberFormat="1" applyFont="1" applyFill="1"/>
    <xf numFmtId="0" fontId="0" fillId="6" borderId="0" xfId="0" applyFill="1"/>
    <xf numFmtId="180" fontId="0" fillId="6" borderId="0" xfId="0" applyNumberFormat="1" applyFill="1"/>
    <xf numFmtId="0" fontId="79" fillId="0" borderId="0" xfId="0" applyFont="1"/>
    <xf numFmtId="0" fontId="22" fillId="0" borderId="0" xfId="0" applyFont="1"/>
    <xf numFmtId="0" fontId="21" fillId="0" borderId="0" xfId="0" applyFont="1" applyAlignment="1">
      <alignment horizontal="left"/>
    </xf>
    <xf numFmtId="0" fontId="22" fillId="0" borderId="0" xfId="0" applyFont="1" applyAlignment="1">
      <alignment horizontal="left" indent="1"/>
    </xf>
    <xf numFmtId="0" fontId="22" fillId="0" borderId="19" xfId="0" applyFont="1" applyBorder="1"/>
    <xf numFmtId="181" fontId="21" fillId="0" borderId="0" xfId="8" applyNumberFormat="1" applyFont="1"/>
    <xf numFmtId="181" fontId="22" fillId="0" borderId="28" xfId="8" applyNumberFormat="1" applyFont="1" applyBorder="1"/>
    <xf numFmtId="169" fontId="26" fillId="0" borderId="0" xfId="8" applyNumberFormat="1" applyFont="1" applyAlignment="1">
      <alignment horizontal="left" indent="1"/>
    </xf>
    <xf numFmtId="169" fontId="22" fillId="0" borderId="6" xfId="0" applyNumberFormat="1" applyFont="1" applyBorder="1"/>
    <xf numFmtId="169" fontId="22" fillId="0" borderId="8" xfId="0" applyNumberFormat="1" applyFont="1" applyBorder="1" applyAlignment="1">
      <alignment horizontal="left"/>
    </xf>
    <xf numFmtId="169" fontId="21" fillId="0" borderId="8" xfId="0" applyNumberFormat="1" applyFont="1" applyBorder="1"/>
    <xf numFmtId="169" fontId="21" fillId="0" borderId="8" xfId="0" quotePrefix="1" applyNumberFormat="1" applyFont="1" applyBorder="1"/>
    <xf numFmtId="169" fontId="22" fillId="0" borderId="8" xfId="0" applyNumberFormat="1" applyFont="1" applyBorder="1" applyAlignment="1">
      <alignment horizontal="left" indent="1"/>
    </xf>
    <xf numFmtId="169" fontId="80" fillId="0" borderId="8" xfId="0" applyNumberFormat="1" applyFont="1" applyBorder="1" applyAlignment="1">
      <alignment horizontal="left" indent="2"/>
    </xf>
    <xf numFmtId="169" fontId="21" fillId="0" borderId="8" xfId="0" applyNumberFormat="1" applyFont="1" applyBorder="1" applyAlignment="1">
      <alignment horizontal="left"/>
    </xf>
    <xf numFmtId="169" fontId="21" fillId="0" borderId="8" xfId="0" quotePrefix="1" applyNumberFormat="1" applyFont="1" applyBorder="1" applyAlignment="1">
      <alignment horizontal="left"/>
    </xf>
    <xf numFmtId="169" fontId="66" fillId="0" borderId="8" xfId="0" applyNumberFormat="1" applyFont="1" applyBorder="1" applyAlignment="1">
      <alignment horizontal="left"/>
    </xf>
    <xf numFmtId="169" fontId="69" fillId="0" borderId="8" xfId="0" applyNumberFormat="1" applyFont="1" applyBorder="1" applyAlignment="1">
      <alignment horizontal="left"/>
    </xf>
    <xf numFmtId="169" fontId="56" fillId="0" borderId="8" xfId="0" applyNumberFormat="1" applyFont="1" applyBorder="1" applyAlignment="1">
      <alignment horizontal="left"/>
    </xf>
    <xf numFmtId="169" fontId="56" fillId="0" borderId="8" xfId="0" quotePrefix="1" applyNumberFormat="1" applyFont="1" applyBorder="1" applyAlignment="1">
      <alignment horizontal="left"/>
    </xf>
    <xf numFmtId="169" fontId="69" fillId="0" borderId="10" xfId="0" applyNumberFormat="1" applyFont="1" applyBorder="1" applyAlignment="1">
      <alignment horizontal="left" indent="1"/>
    </xf>
    <xf numFmtId="168" fontId="22" fillId="0" borderId="0" xfId="0" applyNumberFormat="1" applyFont="1" applyAlignment="1">
      <alignment horizontal="left"/>
    </xf>
    <xf numFmtId="0" fontId="69" fillId="0" borderId="0" xfId="8" applyFont="1"/>
    <xf numFmtId="168" fontId="69" fillId="9" borderId="6" xfId="0" applyNumberFormat="1" applyFont="1" applyFill="1" applyBorder="1" applyAlignment="1">
      <alignment horizontal="left"/>
    </xf>
    <xf numFmtId="168" fontId="69" fillId="9" borderId="10" xfId="0" applyNumberFormat="1" applyFont="1" applyFill="1" applyBorder="1" applyAlignment="1">
      <alignment horizontal="left"/>
    </xf>
    <xf numFmtId="169" fontId="10" fillId="0" borderId="28" xfId="9" applyNumberFormat="1" applyFont="1" applyBorder="1"/>
    <xf numFmtId="179" fontId="33" fillId="0" borderId="0" xfId="9" applyNumberFormat="1" applyFont="1" applyAlignment="1">
      <alignment horizontal="center"/>
    </xf>
    <xf numFmtId="179" fontId="33" fillId="0" borderId="21" xfId="9" applyNumberFormat="1" applyFont="1" applyBorder="1" applyAlignment="1">
      <alignment horizontal="center"/>
    </xf>
    <xf numFmtId="194" fontId="33" fillId="27" borderId="21" xfId="9" applyNumberFormat="1" applyFont="1" applyFill="1" applyBorder="1" applyAlignment="1">
      <alignment horizontal="centerContinuous"/>
    </xf>
    <xf numFmtId="195" fontId="33" fillId="27" borderId="21" xfId="9" applyNumberFormat="1" applyFont="1" applyFill="1" applyBorder="1" applyAlignment="1">
      <alignment horizontal="centerContinuous"/>
    </xf>
    <xf numFmtId="195" fontId="33" fillId="27" borderId="21" xfId="9" applyNumberFormat="1" applyFont="1" applyFill="1" applyBorder="1" applyAlignment="1">
      <alignment horizontal="center"/>
    </xf>
    <xf numFmtId="0" fontId="10" fillId="8" borderId="21" xfId="9" applyFont="1" applyFill="1" applyBorder="1"/>
    <xf numFmtId="169" fontId="10" fillId="8" borderId="21" xfId="9" applyNumberFormat="1" applyFont="1" applyFill="1" applyBorder="1"/>
    <xf numFmtId="169" fontId="59" fillId="0" borderId="28" xfId="9" applyNumberFormat="1" applyFont="1" applyBorder="1"/>
    <xf numFmtId="169" fontId="59" fillId="0" borderId="0" xfId="9" applyNumberFormat="1" applyFont="1"/>
    <xf numFmtId="182" fontId="59" fillId="0" borderId="15" xfId="9" applyNumberFormat="1" applyFont="1" applyBorder="1" applyAlignment="1">
      <alignment horizontal="right"/>
    </xf>
    <xf numFmtId="182" fontId="59" fillId="0" borderId="15" xfId="9" applyNumberFormat="1" applyFont="1" applyBorder="1"/>
    <xf numFmtId="169" fontId="59" fillId="8" borderId="28" xfId="9" applyNumberFormat="1" applyFont="1" applyFill="1" applyBorder="1"/>
    <xf numFmtId="182" fontId="59" fillId="8" borderId="28" xfId="9" applyNumberFormat="1" applyFont="1" applyFill="1" applyBorder="1"/>
    <xf numFmtId="169" fontId="37" fillId="0" borderId="7" xfId="9" applyNumberFormat="1" applyFont="1" applyBorder="1"/>
    <xf numFmtId="0" fontId="12" fillId="0" borderId="8" xfId="9" quotePrefix="1" applyFont="1" applyBorder="1"/>
    <xf numFmtId="189" fontId="37" fillId="0" borderId="0" xfId="9" applyNumberFormat="1" applyFont="1" applyAlignment="1">
      <alignment horizontal="center"/>
    </xf>
    <xf numFmtId="193" fontId="30" fillId="26" borderId="6" xfId="9" applyNumberFormat="1" applyFont="1" applyFill="1" applyBorder="1" applyAlignment="1">
      <alignment horizontal="centerContinuous"/>
    </xf>
    <xf numFmtId="193" fontId="30" fillId="26" borderId="7" xfId="9" applyNumberFormat="1" applyFont="1" applyFill="1" applyBorder="1" applyAlignment="1">
      <alignment horizontal="centerContinuous"/>
    </xf>
    <xf numFmtId="0" fontId="66" fillId="0" borderId="0" xfId="8" applyFont="1"/>
    <xf numFmtId="0" fontId="7" fillId="0" borderId="35" xfId="8" applyFont="1" applyBorder="1"/>
    <xf numFmtId="0" fontId="7" fillId="0" borderId="36" xfId="8" applyFont="1" applyBorder="1"/>
    <xf numFmtId="176" fontId="67" fillId="26" borderId="42" xfId="29" applyNumberFormat="1" applyFont="1" applyFill="1" applyBorder="1" applyAlignment="1">
      <alignment horizontal="center"/>
    </xf>
    <xf numFmtId="176" fontId="67" fillId="26" borderId="43" xfId="29" applyNumberFormat="1" applyFont="1" applyFill="1" applyBorder="1"/>
    <xf numFmtId="170" fontId="8" fillId="26" borderId="28" xfId="8" applyNumberFormat="1" applyFont="1" applyFill="1" applyBorder="1" applyAlignment="1">
      <alignment horizontal="centerContinuous"/>
    </xf>
    <xf numFmtId="171" fontId="8" fillId="26" borderId="28" xfId="8" applyNumberFormat="1" applyFont="1" applyFill="1" applyBorder="1" applyAlignment="1">
      <alignment horizontal="centerContinuous"/>
    </xf>
    <xf numFmtId="172" fontId="8" fillId="26" borderId="28" xfId="8" applyNumberFormat="1" applyFont="1" applyFill="1" applyBorder="1" applyAlignment="1">
      <alignment horizontal="centerContinuous"/>
    </xf>
    <xf numFmtId="173" fontId="8" fillId="26" borderId="44" xfId="8" applyNumberFormat="1" applyFont="1" applyFill="1" applyBorder="1" applyAlignment="1">
      <alignment horizontal="centerContinuous"/>
    </xf>
    <xf numFmtId="183" fontId="8" fillId="26" borderId="28" xfId="8" applyNumberFormat="1" applyFont="1" applyFill="1" applyBorder="1" applyAlignment="1">
      <alignment horizontal="centerContinuous"/>
    </xf>
    <xf numFmtId="184" fontId="8" fillId="26" borderId="28" xfId="8" applyNumberFormat="1" applyFont="1" applyFill="1" applyBorder="1" applyAlignment="1">
      <alignment horizontal="centerContinuous"/>
    </xf>
    <xf numFmtId="174" fontId="8" fillId="26" borderId="28" xfId="8" applyNumberFormat="1" applyFont="1" applyFill="1" applyBorder="1" applyAlignment="1">
      <alignment horizontal="centerContinuous"/>
    </xf>
    <xf numFmtId="175" fontId="8" fillId="26" borderId="44" xfId="8" applyNumberFormat="1" applyFont="1" applyFill="1" applyBorder="1" applyAlignment="1">
      <alignment horizontal="centerContinuous"/>
    </xf>
    <xf numFmtId="176" fontId="67" fillId="26" borderId="45" xfId="29" applyNumberFormat="1" applyFont="1" applyFill="1" applyBorder="1" applyAlignment="1">
      <alignment horizontal="center"/>
    </xf>
    <xf numFmtId="177" fontId="67" fillId="26" borderId="45" xfId="29" applyNumberFormat="1" applyFont="1" applyFill="1" applyBorder="1" applyAlignment="1">
      <alignment horizontal="center"/>
    </xf>
    <xf numFmtId="177" fontId="67" fillId="26" borderId="46" xfId="29" applyNumberFormat="1" applyFont="1" applyFill="1" applyBorder="1" applyAlignment="1">
      <alignment horizontal="center"/>
    </xf>
    <xf numFmtId="0" fontId="7" fillId="0" borderId="8" xfId="8" applyFont="1" applyBorder="1"/>
    <xf numFmtId="0" fontId="7" fillId="0" borderId="9" xfId="8" applyFont="1" applyBorder="1"/>
    <xf numFmtId="0" fontId="28" fillId="0" borderId="8" xfId="8" applyFont="1" applyBorder="1" applyAlignment="1">
      <alignment horizontal="left"/>
    </xf>
    <xf numFmtId="169" fontId="21" fillId="0" borderId="9" xfId="8" applyNumberFormat="1" applyFont="1" applyBorder="1"/>
    <xf numFmtId="169" fontId="19" fillId="0" borderId="9" xfId="8" applyNumberFormat="1" applyFont="1" applyBorder="1"/>
    <xf numFmtId="182" fontId="56" fillId="0" borderId="0" xfId="8" applyNumberFormat="1" applyFont="1"/>
    <xf numFmtId="182" fontId="56" fillId="0" borderId="9" xfId="8" applyNumberFormat="1" applyFont="1" applyBorder="1"/>
    <xf numFmtId="176" fontId="67" fillId="26" borderId="19" xfId="29" applyNumberFormat="1" applyFont="1" applyFill="1" applyBorder="1"/>
    <xf numFmtId="176" fontId="67" fillId="26" borderId="15" xfId="29" applyNumberFormat="1" applyFont="1" applyFill="1" applyBorder="1" applyAlignment="1">
      <alignment horizontal="center"/>
    </xf>
    <xf numFmtId="170" fontId="8" fillId="26" borderId="21" xfId="8" applyNumberFormat="1" applyFont="1" applyFill="1" applyBorder="1" applyAlignment="1">
      <alignment horizontal="centerContinuous"/>
    </xf>
    <xf numFmtId="171" fontId="8" fillId="26" borderId="21" xfId="8" applyNumberFormat="1" applyFont="1" applyFill="1" applyBorder="1" applyAlignment="1">
      <alignment horizontal="centerContinuous"/>
    </xf>
    <xf numFmtId="172" fontId="8" fillId="26" borderId="21" xfId="8" applyNumberFormat="1" applyFont="1" applyFill="1" applyBorder="1" applyAlignment="1">
      <alignment horizontal="centerContinuous"/>
    </xf>
    <xf numFmtId="173" fontId="8" fillId="26" borderId="47" xfId="8" applyNumberFormat="1" applyFont="1" applyFill="1" applyBorder="1" applyAlignment="1">
      <alignment horizontal="centerContinuous"/>
    </xf>
    <xf numFmtId="183" fontId="8" fillId="26" borderId="21" xfId="8" applyNumberFormat="1" applyFont="1" applyFill="1" applyBorder="1" applyAlignment="1">
      <alignment horizontal="centerContinuous"/>
    </xf>
    <xf numFmtId="184" fontId="8" fillId="26" borderId="21" xfId="8" applyNumberFormat="1" applyFont="1" applyFill="1" applyBorder="1" applyAlignment="1">
      <alignment horizontal="centerContinuous"/>
    </xf>
    <xf numFmtId="174" fontId="8" fillId="26" borderId="21" xfId="8" applyNumberFormat="1" applyFont="1" applyFill="1" applyBorder="1" applyAlignment="1">
      <alignment horizontal="centerContinuous"/>
    </xf>
    <xf numFmtId="175" fontId="8" fillId="26" borderId="47" xfId="8" applyNumberFormat="1" applyFont="1" applyFill="1" applyBorder="1" applyAlignment="1">
      <alignment horizontal="centerContinuous"/>
    </xf>
    <xf numFmtId="0" fontId="28" fillId="0" borderId="21" xfId="0" applyFont="1" applyBorder="1"/>
    <xf numFmtId="176" fontId="67" fillId="26" borderId="21" xfId="29" applyNumberFormat="1" applyFont="1" applyFill="1" applyBorder="1" applyAlignment="1">
      <alignment horizontal="center"/>
    </xf>
    <xf numFmtId="177" fontId="67" fillId="26" borderId="21" xfId="29" applyNumberFormat="1" applyFont="1" applyFill="1" applyBorder="1" applyAlignment="1">
      <alignment horizontal="center"/>
    </xf>
    <xf numFmtId="177" fontId="67" fillId="26" borderId="20" xfId="29" applyNumberFormat="1" applyFont="1" applyFill="1" applyBorder="1" applyAlignment="1">
      <alignment horizontal="center"/>
    </xf>
    <xf numFmtId="0" fontId="47" fillId="8" borderId="8" xfId="8" applyFont="1" applyFill="1" applyBorder="1" applyAlignment="1">
      <alignment horizontal="left"/>
    </xf>
    <xf numFmtId="0" fontId="7" fillId="8" borderId="35" xfId="8" applyFont="1" applyFill="1" applyBorder="1"/>
    <xf numFmtId="182" fontId="56" fillId="8" borderId="0" xfId="8" applyNumberFormat="1" applyFont="1" applyFill="1"/>
    <xf numFmtId="0" fontId="47" fillId="8" borderId="0" xfId="0" applyFont="1" applyFill="1"/>
    <xf numFmtId="182" fontId="56" fillId="8" borderId="9" xfId="8" applyNumberFormat="1" applyFont="1" applyFill="1" applyBorder="1"/>
    <xf numFmtId="0" fontId="47" fillId="8" borderId="10" xfId="8" applyFont="1" applyFill="1" applyBorder="1" applyAlignment="1">
      <alignment horizontal="left" indent="1"/>
    </xf>
    <xf numFmtId="0" fontId="7" fillId="8" borderId="36" xfId="8" applyFont="1" applyFill="1" applyBorder="1"/>
    <xf numFmtId="180" fontId="56" fillId="8" borderId="11" xfId="8" applyNumberFormat="1" applyFont="1" applyFill="1" applyBorder="1"/>
    <xf numFmtId="0" fontId="47" fillId="8" borderId="11" xfId="0" applyFont="1" applyFill="1" applyBorder="1"/>
    <xf numFmtId="180" fontId="56" fillId="8" borderId="12" xfId="8" applyNumberFormat="1" applyFont="1" applyFill="1" applyBorder="1"/>
    <xf numFmtId="170" fontId="28" fillId="0" borderId="28" xfId="0" applyNumberFormat="1" applyFont="1" applyBorder="1"/>
    <xf numFmtId="0" fontId="7" fillId="0" borderId="8" xfId="8" applyFont="1" applyBorder="1" applyAlignment="1">
      <alignment horizontal="left"/>
    </xf>
    <xf numFmtId="180" fontId="21" fillId="0" borderId="9" xfId="8" applyNumberFormat="1" applyFont="1" applyBorder="1"/>
    <xf numFmtId="0" fontId="28" fillId="8" borderId="8" xfId="8" applyFont="1" applyFill="1" applyBorder="1" applyAlignment="1">
      <alignment horizontal="left"/>
    </xf>
    <xf numFmtId="180" fontId="21" fillId="8" borderId="0" xfId="8" applyNumberFormat="1" applyFont="1" applyFill="1"/>
    <xf numFmtId="0" fontId="28" fillId="8" borderId="0" xfId="0" applyFont="1" applyFill="1"/>
    <xf numFmtId="180" fontId="21" fillId="8" borderId="9" xfId="8" applyNumberFormat="1" applyFont="1" applyFill="1" applyBorder="1"/>
    <xf numFmtId="0" fontId="28" fillId="0" borderId="10" xfId="8" applyFont="1" applyBorder="1" applyAlignment="1">
      <alignment horizontal="left"/>
    </xf>
    <xf numFmtId="169" fontId="19" fillId="0" borderId="11" xfId="8" applyNumberFormat="1" applyFont="1" applyBorder="1"/>
    <xf numFmtId="180" fontId="21" fillId="0" borderId="11" xfId="8" applyNumberFormat="1" applyFont="1" applyBorder="1"/>
    <xf numFmtId="180" fontId="21" fillId="0" borderId="12" xfId="8" applyNumberFormat="1" applyFont="1" applyBorder="1"/>
    <xf numFmtId="170" fontId="28" fillId="0" borderId="21" xfId="0" applyNumberFormat="1" applyFont="1" applyBorder="1"/>
    <xf numFmtId="0" fontId="28" fillId="0" borderId="8" xfId="8" applyFont="1" applyBorder="1"/>
    <xf numFmtId="169" fontId="21" fillId="0" borderId="7" xfId="8" applyNumberFormat="1" applyFont="1" applyBorder="1"/>
    <xf numFmtId="169" fontId="21" fillId="8" borderId="9" xfId="8" applyNumberFormat="1" applyFont="1" applyFill="1" applyBorder="1"/>
    <xf numFmtId="0" fontId="28" fillId="8" borderId="11" xfId="0" applyFont="1" applyFill="1" applyBorder="1"/>
    <xf numFmtId="193" fontId="30" fillId="26" borderId="28" xfId="9" applyNumberFormat="1" applyFont="1" applyFill="1" applyBorder="1" applyAlignment="1">
      <alignment horizontal="centerContinuous"/>
    </xf>
    <xf numFmtId="0" fontId="12" fillId="0" borderId="9" xfId="9" applyFont="1" applyBorder="1" applyAlignment="1">
      <alignment horizontal="center"/>
    </xf>
    <xf numFmtId="180" fontId="10" fillId="8" borderId="19" xfId="9" applyNumberFormat="1" applyFont="1" applyFill="1" applyBorder="1" applyAlignment="1">
      <alignment horizontal="left"/>
    </xf>
    <xf numFmtId="180" fontId="10" fillId="8" borderId="21" xfId="9" applyNumberFormat="1" applyFont="1" applyFill="1" applyBorder="1" applyAlignment="1">
      <alignment horizontal="left"/>
    </xf>
    <xf numFmtId="180" fontId="10" fillId="8" borderId="20" xfId="9" applyNumberFormat="1" applyFont="1" applyFill="1" applyBorder="1" applyAlignment="1">
      <alignment horizontal="center"/>
    </xf>
    <xf numFmtId="180" fontId="10" fillId="8" borderId="21" xfId="9" applyNumberFormat="1" applyFont="1" applyFill="1" applyBorder="1"/>
    <xf numFmtId="0" fontId="37" fillId="0" borderId="6" xfId="9" applyFont="1" applyBorder="1"/>
    <xf numFmtId="0" fontId="37" fillId="0" borderId="28" xfId="9" applyFont="1" applyBorder="1"/>
    <xf numFmtId="0" fontId="18" fillId="0" borderId="28" xfId="9" applyFont="1" applyBorder="1" applyAlignment="1">
      <alignment horizontal="center"/>
    </xf>
    <xf numFmtId="0" fontId="18" fillId="0" borderId="7" xfId="9" applyFont="1" applyBorder="1" applyAlignment="1">
      <alignment horizontal="center"/>
    </xf>
    <xf numFmtId="0" fontId="37" fillId="0" borderId="8" xfId="9" applyFont="1" applyBorder="1"/>
    <xf numFmtId="180" fontId="11" fillId="0" borderId="0" xfId="9" applyNumberFormat="1" applyFont="1" applyAlignment="1">
      <alignment horizontal="center"/>
    </xf>
    <xf numFmtId="180" fontId="11" fillId="0" borderId="9" xfId="9" applyNumberFormat="1" applyFont="1" applyBorder="1" applyAlignment="1">
      <alignment horizontal="center"/>
    </xf>
    <xf numFmtId="180" fontId="81" fillId="0" borderId="9" xfId="9" applyNumberFormat="1" applyFont="1" applyBorder="1" applyAlignment="1">
      <alignment horizontal="center"/>
    </xf>
    <xf numFmtId="0" fontId="10" fillId="0" borderId="8" xfId="9" applyFont="1" applyBorder="1" applyAlignment="1">
      <alignment horizontal="left" indent="1"/>
    </xf>
    <xf numFmtId="193" fontId="30" fillId="26" borderId="19" xfId="9" applyNumberFormat="1" applyFont="1" applyFill="1" applyBorder="1" applyAlignment="1">
      <alignment horizontal="centerContinuous"/>
    </xf>
    <xf numFmtId="193" fontId="30" fillId="26" borderId="21" xfId="9" applyNumberFormat="1" applyFont="1" applyFill="1" applyBorder="1" applyAlignment="1">
      <alignment horizontal="centerContinuous"/>
    </xf>
    <xf numFmtId="193" fontId="30" fillId="26" borderId="20" xfId="9" applyNumberFormat="1" applyFont="1" applyFill="1" applyBorder="1" applyAlignment="1">
      <alignment horizontal="centerContinuous"/>
    </xf>
    <xf numFmtId="180" fontId="37" fillId="0" borderId="8" xfId="9" applyNumberFormat="1" applyFont="1" applyBorder="1" applyAlignment="1">
      <alignment horizontal="left"/>
    </xf>
    <xf numFmtId="180" fontId="37" fillId="0" borderId="6" xfId="9" applyNumberFormat="1" applyFont="1" applyBorder="1" applyAlignment="1">
      <alignment horizontal="left"/>
    </xf>
    <xf numFmtId="180" fontId="37" fillId="0" borderId="10" xfId="9" applyNumberFormat="1" applyFont="1" applyBorder="1" applyAlignment="1">
      <alignment horizontal="left"/>
    </xf>
    <xf numFmtId="194" fontId="30" fillId="26" borderId="28" xfId="9" applyNumberFormat="1" applyFont="1" applyFill="1" applyBorder="1" applyAlignment="1">
      <alignment horizontal="centerContinuous"/>
    </xf>
    <xf numFmtId="195" fontId="30" fillId="26" borderId="28" xfId="9" applyNumberFormat="1" applyFont="1" applyFill="1" applyBorder="1" applyAlignment="1">
      <alignment horizontal="centerContinuous"/>
    </xf>
    <xf numFmtId="195" fontId="30" fillId="26" borderId="7" xfId="9" applyNumberFormat="1" applyFont="1" applyFill="1" applyBorder="1" applyAlignment="1">
      <alignment horizontal="centerContinuous"/>
    </xf>
    <xf numFmtId="193" fontId="33" fillId="27" borderId="19" xfId="9" applyNumberFormat="1" applyFont="1" applyFill="1" applyBorder="1" applyAlignment="1">
      <alignment horizontal="centerContinuous"/>
    </xf>
    <xf numFmtId="195" fontId="33" fillId="27" borderId="20" xfId="9" applyNumberFormat="1" applyFont="1" applyFill="1" applyBorder="1" applyAlignment="1">
      <alignment horizontal="center"/>
    </xf>
    <xf numFmtId="179" fontId="33" fillId="0" borderId="19" xfId="9" applyNumberFormat="1" applyFont="1" applyBorder="1" applyAlignment="1">
      <alignment horizontal="center"/>
    </xf>
    <xf numFmtId="179" fontId="33" fillId="0" borderId="20" xfId="9" applyNumberFormat="1" applyFont="1" applyBorder="1" applyAlignment="1">
      <alignment horizontal="center"/>
    </xf>
    <xf numFmtId="179" fontId="12" fillId="0" borderId="8" xfId="9" applyNumberFormat="1" applyFont="1" applyBorder="1" applyAlignment="1">
      <alignment horizontal="center"/>
    </xf>
    <xf numFmtId="180" fontId="12" fillId="0" borderId="9" xfId="9" applyNumberFormat="1" applyFont="1" applyBorder="1"/>
    <xf numFmtId="169" fontId="59" fillId="0" borderId="7" xfId="9" applyNumberFormat="1" applyFont="1" applyBorder="1"/>
    <xf numFmtId="0" fontId="12" fillId="0" borderId="8" xfId="9" quotePrefix="1" applyFont="1" applyBorder="1" applyAlignment="1">
      <alignment horizontal="left"/>
    </xf>
    <xf numFmtId="0" fontId="37" fillId="0" borderId="9" xfId="9" applyFont="1" applyBorder="1"/>
    <xf numFmtId="0" fontId="11" fillId="0" borderId="8" xfId="9" applyFont="1" applyBorder="1" applyAlignment="1">
      <alignment horizontal="left" indent="2"/>
    </xf>
    <xf numFmtId="0" fontId="11" fillId="0" borderId="0" xfId="9" applyFont="1" applyAlignment="1">
      <alignment horizontal="left" indent="2"/>
    </xf>
    <xf numFmtId="180" fontId="11" fillId="0" borderId="0" xfId="9" applyNumberFormat="1" applyFont="1" applyAlignment="1">
      <alignment horizontal="right"/>
    </xf>
    <xf numFmtId="180" fontId="11" fillId="0" borderId="9" xfId="9" applyNumberFormat="1" applyFont="1" applyBorder="1" applyAlignment="1">
      <alignment horizontal="right"/>
    </xf>
    <xf numFmtId="180" fontId="15" fillId="0" borderId="0" xfId="9" applyNumberFormat="1" applyFont="1"/>
    <xf numFmtId="0" fontId="12" fillId="0" borderId="9" xfId="9" applyFont="1" applyBorder="1"/>
    <xf numFmtId="0" fontId="12" fillId="8" borderId="0" xfId="9" applyFont="1" applyFill="1"/>
    <xf numFmtId="188" fontId="29" fillId="0" borderId="0" xfId="9" applyNumberFormat="1" applyFont="1"/>
    <xf numFmtId="188" fontId="12" fillId="0" borderId="9" xfId="9" applyNumberFormat="1" applyFont="1" applyBorder="1"/>
    <xf numFmtId="169" fontId="12" fillId="0" borderId="9" xfId="9" applyNumberFormat="1" applyFont="1" applyBorder="1"/>
    <xf numFmtId="0" fontId="10" fillId="8" borderId="19" xfId="9" applyFont="1" applyFill="1" applyBorder="1"/>
    <xf numFmtId="169" fontId="10" fillId="8" borderId="20" xfId="9" applyNumberFormat="1" applyFont="1" applyFill="1" applyBorder="1"/>
    <xf numFmtId="194" fontId="33" fillId="27" borderId="28" xfId="9" applyNumberFormat="1" applyFont="1" applyFill="1" applyBorder="1" applyAlignment="1">
      <alignment horizontal="centerContinuous"/>
    </xf>
    <xf numFmtId="195" fontId="33" fillId="27" borderId="28" xfId="9" applyNumberFormat="1" applyFont="1" applyFill="1" applyBorder="1" applyAlignment="1">
      <alignment horizontal="center"/>
    </xf>
    <xf numFmtId="195" fontId="33" fillId="27" borderId="7" xfId="9" applyNumberFormat="1" applyFont="1" applyFill="1" applyBorder="1" applyAlignment="1">
      <alignment horizontal="center"/>
    </xf>
    <xf numFmtId="180" fontId="37" fillId="0" borderId="9" xfId="9" applyNumberFormat="1" applyFont="1" applyBorder="1"/>
    <xf numFmtId="193" fontId="33" fillId="27" borderId="6" xfId="9" applyNumberFormat="1" applyFont="1" applyFill="1" applyBorder="1" applyAlignment="1">
      <alignment horizontal="centerContinuous"/>
    </xf>
    <xf numFmtId="182" fontId="12" fillId="0" borderId="0" xfId="9" applyNumberFormat="1" applyFont="1" applyAlignment="1">
      <alignment horizontal="center"/>
    </xf>
    <xf numFmtId="0" fontId="37" fillId="0" borderId="9" xfId="9" applyFont="1" applyBorder="1" applyAlignment="1">
      <alignment horizontal="right"/>
    </xf>
    <xf numFmtId="0" fontId="12" fillId="0" borderId="9" xfId="9" applyFont="1" applyBorder="1" applyAlignment="1">
      <alignment horizontal="right"/>
    </xf>
    <xf numFmtId="180" fontId="10" fillId="8" borderId="20" xfId="9" applyNumberFormat="1" applyFont="1" applyFill="1" applyBorder="1" applyAlignment="1">
      <alignment horizontal="right"/>
    </xf>
    <xf numFmtId="188" fontId="12" fillId="0" borderId="7" xfId="9" applyNumberFormat="1" applyFont="1" applyBorder="1" applyAlignment="1">
      <alignment horizontal="right"/>
    </xf>
    <xf numFmtId="180" fontId="12" fillId="0" borderId="9" xfId="9" applyNumberFormat="1" applyFont="1" applyBorder="1" applyAlignment="1">
      <alignment horizontal="right"/>
    </xf>
    <xf numFmtId="0" fontId="10" fillId="8" borderId="8" xfId="9" applyFont="1" applyFill="1" applyBorder="1" applyAlignment="1">
      <alignment horizontal="left" indent="1"/>
    </xf>
    <xf numFmtId="169" fontId="59" fillId="8" borderId="7" xfId="9" applyNumberFormat="1" applyFont="1" applyFill="1" applyBorder="1"/>
    <xf numFmtId="169" fontId="59" fillId="0" borderId="9" xfId="9" applyNumberFormat="1" applyFont="1" applyBorder="1"/>
    <xf numFmtId="180" fontId="12" fillId="0" borderId="8" xfId="9" applyNumberFormat="1" applyFont="1" applyBorder="1" applyAlignment="1">
      <alignment horizontal="left"/>
    </xf>
    <xf numFmtId="182" fontId="59" fillId="8" borderId="7" xfId="9" applyNumberFormat="1" applyFont="1" applyFill="1" applyBorder="1"/>
    <xf numFmtId="182" fontId="12" fillId="0" borderId="0" xfId="9" applyNumberFormat="1" applyFont="1"/>
    <xf numFmtId="182" fontId="12" fillId="0" borderId="9" xfId="9" applyNumberFormat="1" applyFont="1" applyBorder="1"/>
    <xf numFmtId="0" fontId="10" fillId="8" borderId="10" xfId="9" applyFont="1" applyFill="1" applyBorder="1" applyAlignment="1">
      <alignment horizontal="left" indent="1"/>
    </xf>
    <xf numFmtId="180" fontId="59" fillId="8" borderId="21" xfId="9" applyNumberFormat="1" applyFont="1" applyFill="1" applyBorder="1"/>
    <xf numFmtId="180" fontId="59" fillId="8" borderId="20" xfId="9" applyNumberFormat="1" applyFont="1" applyFill="1" applyBorder="1"/>
    <xf numFmtId="193" fontId="30" fillId="26" borderId="19" xfId="9" applyNumberFormat="1" applyFont="1" applyFill="1" applyBorder="1" applyAlignment="1">
      <alignment horizontal="left"/>
    </xf>
    <xf numFmtId="180" fontId="37" fillId="0" borderId="0" xfId="9" applyNumberFormat="1" applyFont="1" applyAlignment="1">
      <alignment horizontal="left"/>
    </xf>
    <xf numFmtId="182" fontId="12" fillId="0" borderId="28" xfId="9" applyNumberFormat="1" applyFont="1" applyBorder="1" applyAlignment="1">
      <alignment horizontal="center"/>
    </xf>
    <xf numFmtId="196" fontId="12" fillId="0" borderId="6" xfId="9" applyNumberFormat="1" applyFont="1" applyBorder="1"/>
    <xf numFmtId="0" fontId="39" fillId="11" borderId="21" xfId="9" applyFont="1" applyFill="1" applyBorder="1" applyAlignment="1">
      <alignment horizontal="centerContinuous"/>
    </xf>
    <xf numFmtId="0" fontId="39" fillId="11" borderId="20" xfId="9" applyFont="1" applyFill="1" applyBorder="1" applyAlignment="1">
      <alignment horizontal="centerContinuous"/>
    </xf>
    <xf numFmtId="186" fontId="12" fillId="0" borderId="8" xfId="9" applyNumberFormat="1" applyFont="1" applyBorder="1"/>
    <xf numFmtId="189" fontId="12" fillId="0" borderId="20" xfId="9" applyNumberFormat="1" applyFont="1" applyBorder="1" applyAlignment="1">
      <alignment horizontal="center"/>
    </xf>
    <xf numFmtId="180" fontId="29" fillId="0" borderId="8" xfId="9" applyNumberFormat="1" applyFont="1" applyBorder="1"/>
    <xf numFmtId="180" fontId="12" fillId="0" borderId="8" xfId="9" applyNumberFormat="1" applyFont="1" applyBorder="1"/>
    <xf numFmtId="180" fontId="12" fillId="0" borderId="10" xfId="9" applyNumberFormat="1" applyFont="1" applyBorder="1"/>
    <xf numFmtId="0" fontId="12" fillId="0" borderId="6" xfId="9" applyFont="1" applyBorder="1" applyAlignment="1">
      <alignment horizontal="left"/>
    </xf>
    <xf numFmtId="182" fontId="12" fillId="0" borderId="7" xfId="9" applyNumberFormat="1" applyFont="1" applyBorder="1"/>
    <xf numFmtId="0" fontId="12" fillId="0" borderId="8" xfId="9" applyFont="1" applyBorder="1" applyAlignment="1">
      <alignment horizontal="left"/>
    </xf>
    <xf numFmtId="0" fontId="12" fillId="0" borderId="10" xfId="9" applyFont="1" applyBorder="1" applyAlignment="1">
      <alignment horizontal="left"/>
    </xf>
    <xf numFmtId="0" fontId="12" fillId="0" borderId="28" xfId="9" applyFont="1" applyBorder="1" applyAlignment="1">
      <alignment horizontal="left"/>
    </xf>
    <xf numFmtId="0" fontId="12" fillId="0" borderId="0" xfId="9" applyFont="1" applyAlignment="1">
      <alignment horizontal="left"/>
    </xf>
    <xf numFmtId="0" fontId="12" fillId="0" borderId="11" xfId="9" applyFont="1" applyBorder="1" applyAlignment="1">
      <alignment horizontal="left"/>
    </xf>
    <xf numFmtId="193" fontId="30" fillId="26" borderId="6" xfId="9" applyNumberFormat="1" applyFont="1" applyFill="1" applyBorder="1" applyAlignment="1">
      <alignment horizontal="left"/>
    </xf>
    <xf numFmtId="0" fontId="8" fillId="2" borderId="1" xfId="8" applyFont="1" applyFill="1" applyBorder="1" applyAlignment="1">
      <alignment horizontal="center"/>
    </xf>
    <xf numFmtId="0" fontId="22" fillId="0" borderId="28" xfId="8" applyFont="1" applyBorder="1"/>
    <xf numFmtId="0" fontId="28" fillId="0" borderId="28" xfId="0" applyFont="1" applyBorder="1"/>
    <xf numFmtId="0" fontId="22" fillId="0" borderId="7" xfId="8" applyFont="1" applyBorder="1"/>
    <xf numFmtId="0" fontId="22" fillId="0" borderId="9" xfId="8" applyFont="1" applyBorder="1"/>
    <xf numFmtId="181" fontId="21" fillId="0" borderId="9" xfId="8" applyNumberFormat="1" applyFont="1" applyBorder="1"/>
    <xf numFmtId="181" fontId="22" fillId="0" borderId="7" xfId="8" applyNumberFormat="1" applyFont="1" applyBorder="1"/>
    <xf numFmtId="181" fontId="22" fillId="0" borderId="9" xfId="8" applyNumberFormat="1" applyFont="1" applyBorder="1"/>
    <xf numFmtId="0" fontId="22" fillId="0" borderId="11" xfId="8" applyFont="1" applyBorder="1"/>
    <xf numFmtId="181" fontId="22" fillId="0" borderId="11" xfId="8" applyNumberFormat="1" applyFont="1" applyBorder="1"/>
    <xf numFmtId="181" fontId="22" fillId="0" borderId="21" xfId="8" applyNumberFormat="1" applyFont="1" applyBorder="1"/>
    <xf numFmtId="181" fontId="22" fillId="0" borderId="20" xfId="8" applyNumberFormat="1" applyFont="1" applyBorder="1"/>
    <xf numFmtId="0" fontId="69" fillId="9" borderId="28" xfId="8" applyFont="1" applyFill="1" applyBorder="1"/>
    <xf numFmtId="181" fontId="69" fillId="9" borderId="28" xfId="8" applyNumberFormat="1" applyFont="1" applyFill="1" applyBorder="1"/>
    <xf numFmtId="180" fontId="56" fillId="9" borderId="28" xfId="8" applyNumberFormat="1" applyFont="1" applyFill="1" applyBorder="1"/>
    <xf numFmtId="0" fontId="47" fillId="9" borderId="28" xfId="0" applyFont="1" applyFill="1" applyBorder="1"/>
    <xf numFmtId="180" fontId="56" fillId="9" borderId="7" xfId="8" applyNumberFormat="1" applyFont="1" applyFill="1" applyBorder="1"/>
    <xf numFmtId="0" fontId="69" fillId="9" borderId="11" xfId="8" applyFont="1" applyFill="1" applyBorder="1"/>
    <xf numFmtId="181" fontId="69" fillId="9" borderId="11" xfId="8" applyNumberFormat="1" applyFont="1" applyFill="1" applyBorder="1"/>
    <xf numFmtId="180" fontId="56" fillId="9" borderId="11" xfId="8" applyNumberFormat="1" applyFont="1" applyFill="1" applyBorder="1"/>
    <xf numFmtId="0" fontId="47" fillId="9" borderId="11" xfId="0" applyFont="1" applyFill="1" applyBorder="1"/>
    <xf numFmtId="180" fontId="56" fillId="9" borderId="12" xfId="8" applyNumberFormat="1" applyFont="1" applyFill="1" applyBorder="1"/>
    <xf numFmtId="0" fontId="83" fillId="0" borderId="0" xfId="34" applyFont="1"/>
    <xf numFmtId="211" fontId="83" fillId="0" borderId="0" xfId="34" applyNumberFormat="1" applyFont="1"/>
    <xf numFmtId="0" fontId="84" fillId="18" borderId="0" xfId="35" applyFont="1" applyFill="1"/>
    <xf numFmtId="0" fontId="85" fillId="18" borderId="0" xfId="35" applyFont="1" applyFill="1"/>
    <xf numFmtId="211" fontId="84" fillId="18" borderId="0" xfId="35" applyNumberFormat="1" applyFont="1" applyFill="1"/>
    <xf numFmtId="0" fontId="86" fillId="0" borderId="0" xfId="34" applyFont="1"/>
    <xf numFmtId="0" fontId="86" fillId="0" borderId="0" xfId="34" applyFont="1" applyAlignment="1">
      <alignment horizontal="centerContinuous"/>
    </xf>
    <xf numFmtId="211" fontId="86" fillId="0" borderId="0" xfId="34" applyNumberFormat="1" applyFont="1" applyAlignment="1">
      <alignment horizontal="centerContinuous"/>
    </xf>
    <xf numFmtId="185" fontId="83" fillId="0" borderId="0" xfId="34" applyNumberFormat="1" applyFont="1"/>
    <xf numFmtId="0" fontId="49" fillId="0" borderId="0" xfId="34" applyFont="1"/>
    <xf numFmtId="213" fontId="87" fillId="0" borderId="0" xfId="34" applyNumberFormat="1" applyFont="1"/>
    <xf numFmtId="188" fontId="83" fillId="0" borderId="0" xfId="34" applyNumberFormat="1" applyFont="1" applyAlignment="1">
      <alignment horizontal="right"/>
    </xf>
    <xf numFmtId="0" fontId="88" fillId="0" borderId="0" xfId="34" applyFont="1"/>
    <xf numFmtId="0" fontId="49" fillId="28" borderId="48" xfId="34" applyFont="1" applyFill="1" applyBorder="1"/>
    <xf numFmtId="211" fontId="49" fillId="28" borderId="48" xfId="34" applyNumberFormat="1" applyFont="1" applyFill="1" applyBorder="1"/>
    <xf numFmtId="0" fontId="87" fillId="0" borderId="0" xfId="36" applyFont="1" applyAlignment="1">
      <alignment vertical="center"/>
    </xf>
    <xf numFmtId="0" fontId="83" fillId="0" borderId="0" xfId="34" applyFont="1" applyAlignment="1">
      <alignment horizontal="center"/>
    </xf>
    <xf numFmtId="0" fontId="49" fillId="0" borderId="11" xfId="34" applyFont="1" applyBorder="1" applyAlignment="1">
      <alignment horizontal="center" wrapText="1"/>
    </xf>
    <xf numFmtId="0" fontId="49" fillId="0" borderId="11" xfId="34" applyFont="1" applyBorder="1" applyAlignment="1">
      <alignment horizontal="right" wrapText="1"/>
    </xf>
    <xf numFmtId="211" fontId="49" fillId="0" borderId="11" xfId="34" applyNumberFormat="1" applyFont="1" applyBorder="1" applyAlignment="1">
      <alignment horizontal="right" wrapText="1"/>
    </xf>
    <xf numFmtId="214" fontId="87" fillId="0" borderId="49" xfId="34" applyNumberFormat="1" applyFont="1" applyBorder="1" applyAlignment="1">
      <alignment horizontal="right"/>
    </xf>
    <xf numFmtId="188" fontId="87" fillId="6" borderId="49" xfId="34" applyNumberFormat="1" applyFont="1" applyFill="1" applyBorder="1" applyAlignment="1">
      <alignment horizontal="right"/>
    </xf>
    <xf numFmtId="215" fontId="90" fillId="30" borderId="0" xfId="37" applyNumberFormat="1" applyFont="1" applyFill="1" applyBorder="1">
      <alignment horizontal="right" vertical="center"/>
    </xf>
    <xf numFmtId="0" fontId="84" fillId="18" borderId="6" xfId="35" applyFont="1" applyFill="1" applyBorder="1"/>
    <xf numFmtId="0" fontId="83" fillId="0" borderId="7" xfId="38" applyFont="1" applyBorder="1"/>
    <xf numFmtId="188" fontId="87" fillId="0" borderId="0" xfId="34" applyNumberFormat="1" applyFont="1" applyAlignment="1">
      <alignment horizontal="center"/>
    </xf>
    <xf numFmtId="188" fontId="87" fillId="0" borderId="49" xfId="34" applyNumberFormat="1" applyFont="1" applyBorder="1" applyAlignment="1">
      <alignment horizontal="right"/>
    </xf>
    <xf numFmtId="211" fontId="87" fillId="0" borderId="49" xfId="34" applyNumberFormat="1" applyFont="1" applyBorder="1" applyAlignment="1">
      <alignment horizontal="right"/>
    </xf>
    <xf numFmtId="215" fontId="87" fillId="0" borderId="0" xfId="36" applyNumberFormat="1" applyFont="1" applyAlignment="1">
      <alignment vertical="center"/>
    </xf>
    <xf numFmtId="0" fontId="83" fillId="0" borderId="8" xfId="38" applyFont="1" applyBorder="1"/>
    <xf numFmtId="0" fontId="83" fillId="0" borderId="9" xfId="38" applyFont="1" applyBorder="1"/>
    <xf numFmtId="214" fontId="87" fillId="0" borderId="49" xfId="34" quotePrefix="1" applyNumberFormat="1" applyFont="1" applyBorder="1" applyAlignment="1">
      <alignment horizontal="right"/>
    </xf>
    <xf numFmtId="0" fontId="91" fillId="0" borderId="8" xfId="38" applyFont="1" applyBorder="1" applyAlignment="1">
      <alignment horizontal="center"/>
    </xf>
    <xf numFmtId="14" fontId="92" fillId="7" borderId="16" xfId="39" applyNumberFormat="1" applyFont="1" applyAlignment="1">
      <alignment horizontal="center" vertical="center"/>
    </xf>
    <xf numFmtId="44" fontId="83" fillId="7" borderId="16" xfId="40" applyFont="1" applyFill="1" applyBorder="1"/>
    <xf numFmtId="0" fontId="83" fillId="12" borderId="8" xfId="38" applyFont="1" applyFill="1" applyBorder="1"/>
    <xf numFmtId="0" fontId="91" fillId="0" borderId="10" xfId="38" applyFont="1" applyBorder="1" applyAlignment="1">
      <alignment horizontal="center"/>
    </xf>
    <xf numFmtId="0" fontId="49" fillId="0" borderId="15" xfId="38" applyFont="1" applyBorder="1" applyAlignment="1">
      <alignment horizontal="center"/>
    </xf>
    <xf numFmtId="0" fontId="83" fillId="0" borderId="0" xfId="34" quotePrefix="1" applyFont="1"/>
    <xf numFmtId="0" fontId="49" fillId="0" borderId="0" xfId="34" applyFont="1" applyAlignment="1">
      <alignment horizontal="right"/>
    </xf>
    <xf numFmtId="188" fontId="93" fillId="31" borderId="0" xfId="36" applyNumberFormat="1" applyFont="1" applyFill="1" applyAlignment="1">
      <alignment horizontal="right" wrapText="1" readingOrder="1"/>
    </xf>
    <xf numFmtId="2" fontId="83" fillId="0" borderId="0" xfId="34" applyNumberFormat="1" applyFont="1"/>
    <xf numFmtId="0" fontId="84" fillId="32" borderId="51" xfId="36" applyFont="1" applyFill="1" applyBorder="1" applyAlignment="1">
      <alignment horizontal="left" wrapText="1" readingOrder="1"/>
    </xf>
    <xf numFmtId="0" fontId="84" fillId="32" borderId="0" xfId="36" applyFont="1" applyFill="1" applyAlignment="1">
      <alignment horizontal="right" wrapText="1" readingOrder="1"/>
    </xf>
    <xf numFmtId="0" fontId="94" fillId="0" borderId="52" xfId="36" applyFont="1" applyBorder="1" applyAlignment="1">
      <alignment horizontal="left" wrapText="1" readingOrder="1"/>
    </xf>
    <xf numFmtId="180" fontId="93" fillId="31" borderId="0" xfId="36" applyNumberFormat="1" applyFont="1" applyFill="1" applyAlignment="1">
      <alignment horizontal="right" wrapText="1" readingOrder="1"/>
    </xf>
    <xf numFmtId="216" fontId="94" fillId="0" borderId="52" xfId="36" applyNumberFormat="1" applyFont="1" applyBorder="1" applyAlignment="1">
      <alignment horizontal="right" vertical="center" wrapText="1" readingOrder="1"/>
    </xf>
    <xf numFmtId="0" fontId="94" fillId="0" borderId="0" xfId="36" applyFont="1" applyAlignment="1">
      <alignment horizontal="left" wrapText="1" readingOrder="1"/>
    </xf>
    <xf numFmtId="180" fontId="93" fillId="31" borderId="0" xfId="36" applyNumberFormat="1" applyFont="1" applyFill="1" applyAlignment="1">
      <alignment horizontal="right" vertical="center" wrapText="1" readingOrder="1"/>
    </xf>
    <xf numFmtId="216" fontId="94" fillId="0" borderId="0" xfId="36" applyNumberFormat="1" applyFont="1" applyAlignment="1">
      <alignment horizontal="right" vertical="center" wrapText="1" readingOrder="1"/>
    </xf>
    <xf numFmtId="0" fontId="94" fillId="0" borderId="0" xfId="36" applyFont="1" applyAlignment="1">
      <alignment horizontal="left" readingOrder="1"/>
    </xf>
    <xf numFmtId="185" fontId="93" fillId="31" borderId="0" xfId="36" applyNumberFormat="1" applyFont="1" applyFill="1" applyAlignment="1">
      <alignment horizontal="right" wrapText="1" readingOrder="1"/>
    </xf>
    <xf numFmtId="217" fontId="94" fillId="0" borderId="0" xfId="41" applyNumberFormat="1" applyFont="1" applyFill="1" applyBorder="1" applyAlignment="1">
      <alignment horizontal="right" vertical="center" wrapText="1" readingOrder="1"/>
    </xf>
    <xf numFmtId="0" fontId="94" fillId="0" borderId="51" xfId="36" applyFont="1" applyBorder="1" applyAlignment="1">
      <alignment horizontal="left" readingOrder="1"/>
    </xf>
    <xf numFmtId="185" fontId="93" fillId="31" borderId="0" xfId="36" applyNumberFormat="1" applyFont="1" applyFill="1" applyAlignment="1">
      <alignment horizontal="right" vertical="center" wrapText="1" readingOrder="1"/>
    </xf>
    <xf numFmtId="217" fontId="94" fillId="0" borderId="51" xfId="41" applyNumberFormat="1" applyFont="1" applyFill="1" applyBorder="1" applyAlignment="1">
      <alignment horizontal="right" vertical="center" wrapText="1" readingOrder="1"/>
    </xf>
    <xf numFmtId="14" fontId="83" fillId="0" borderId="0" xfId="34" applyNumberFormat="1" applyFont="1"/>
    <xf numFmtId="0" fontId="49" fillId="0" borderId="0" xfId="35" applyFont="1"/>
    <xf numFmtId="213" fontId="87" fillId="0" borderId="0" xfId="35" applyNumberFormat="1" applyFont="1"/>
    <xf numFmtId="0" fontId="12" fillId="0" borderId="0" xfId="36" applyFont="1"/>
    <xf numFmtId="0" fontId="49" fillId="28" borderId="48" xfId="35" applyFont="1" applyFill="1" applyBorder="1"/>
    <xf numFmtId="211" fontId="49" fillId="28" borderId="48" xfId="35" applyNumberFormat="1" applyFont="1" applyFill="1" applyBorder="1"/>
    <xf numFmtId="0" fontId="49" fillId="0" borderId="11" xfId="35" applyFont="1" applyBorder="1" applyAlignment="1">
      <alignment horizontal="center" wrapText="1"/>
    </xf>
    <xf numFmtId="0" fontId="49" fillId="0" borderId="11" xfId="35" applyFont="1" applyBorder="1" applyAlignment="1">
      <alignment horizontal="right" wrapText="1"/>
    </xf>
    <xf numFmtId="211" fontId="49" fillId="0" borderId="11" xfId="35" applyNumberFormat="1" applyFont="1" applyBorder="1" applyAlignment="1">
      <alignment horizontal="right" wrapText="1"/>
    </xf>
    <xf numFmtId="214" fontId="87" fillId="0" borderId="49" xfId="35" applyNumberFormat="1" applyFont="1" applyBorder="1" applyAlignment="1">
      <alignment horizontal="right"/>
    </xf>
    <xf numFmtId="1" fontId="87" fillId="0" borderId="49" xfId="35" applyNumberFormat="1" applyFont="1" applyBorder="1" applyAlignment="1">
      <alignment horizontal="right"/>
    </xf>
    <xf numFmtId="214" fontId="87" fillId="0" borderId="49" xfId="35" quotePrefix="1" applyNumberFormat="1" applyFont="1" applyBorder="1" applyAlignment="1">
      <alignment horizontal="right"/>
    </xf>
    <xf numFmtId="14" fontId="83" fillId="0" borderId="0" xfId="35" applyNumberFormat="1" applyFont="1"/>
    <xf numFmtId="188" fontId="87" fillId="0" borderId="49" xfId="35" applyNumberFormat="1" applyFont="1" applyBorder="1" applyAlignment="1">
      <alignment horizontal="right"/>
    </xf>
    <xf numFmtId="180" fontId="95" fillId="0" borderId="0" xfId="42" applyNumberFormat="1" applyFont="1" applyAlignment="1">
      <alignment horizontal="center"/>
    </xf>
    <xf numFmtId="0" fontId="95" fillId="0" borderId="0" xfId="42" applyFont="1"/>
    <xf numFmtId="0" fontId="96" fillId="0" borderId="0" xfId="42" applyFont="1"/>
    <xf numFmtId="209" fontId="95" fillId="0" borderId="0" xfId="43" applyNumberFormat="1" applyFont="1" applyAlignment="1">
      <alignment horizontal="left" vertical="center"/>
    </xf>
    <xf numFmtId="0" fontId="97" fillId="26" borderId="6" xfId="42" applyFont="1" applyFill="1" applyBorder="1" applyAlignment="1">
      <alignment horizontal="centerContinuous"/>
    </xf>
    <xf numFmtId="180" fontId="98" fillId="26" borderId="28" xfId="42" applyNumberFormat="1" applyFont="1" applyFill="1" applyBorder="1" applyAlignment="1">
      <alignment horizontal="centerContinuous"/>
    </xf>
    <xf numFmtId="0" fontId="98" fillId="26" borderId="28" xfId="42" applyFont="1" applyFill="1" applyBorder="1" applyAlignment="1">
      <alignment horizontal="centerContinuous"/>
    </xf>
    <xf numFmtId="0" fontId="98" fillId="26" borderId="28" xfId="43" applyFont="1" applyFill="1" applyBorder="1" applyAlignment="1">
      <alignment horizontal="centerContinuous"/>
    </xf>
    <xf numFmtId="0" fontId="98" fillId="26" borderId="32" xfId="42" applyFont="1" applyFill="1" applyBorder="1" applyAlignment="1">
      <alignment horizontal="centerContinuous"/>
    </xf>
    <xf numFmtId="180" fontId="96" fillId="5" borderId="8" xfId="42" applyNumberFormat="1" applyFont="1" applyFill="1" applyBorder="1" applyAlignment="1">
      <alignment horizontal="left"/>
    </xf>
    <xf numFmtId="0" fontId="96" fillId="5" borderId="0" xfId="42" applyFont="1" applyFill="1" applyAlignment="1">
      <alignment horizontal="center"/>
    </xf>
    <xf numFmtId="0" fontId="96" fillId="5" borderId="35" xfId="42" applyFont="1" applyFill="1" applyBorder="1"/>
    <xf numFmtId="180" fontId="96" fillId="0" borderId="19" xfId="42" applyNumberFormat="1" applyFont="1" applyBorder="1" applyAlignment="1">
      <alignment horizontal="left"/>
    </xf>
    <xf numFmtId="180" fontId="96" fillId="0" borderId="21" xfId="44" applyNumberFormat="1" applyFont="1" applyFill="1" applyBorder="1" applyAlignment="1"/>
    <xf numFmtId="180" fontId="96" fillId="0" borderId="15" xfId="42" applyNumberFormat="1" applyFont="1" applyBorder="1"/>
    <xf numFmtId="180" fontId="100" fillId="0" borderId="8" xfId="42" applyNumberFormat="1" applyFont="1" applyBorder="1" applyAlignment="1">
      <alignment horizontal="left" indent="1"/>
    </xf>
    <xf numFmtId="180" fontId="100" fillId="0" borderId="0" xfId="44" applyNumberFormat="1" applyFont="1" applyFill="1" applyBorder="1" applyAlignment="1"/>
    <xf numFmtId="180" fontId="100" fillId="0" borderId="35" xfId="42" applyNumberFormat="1" applyFont="1" applyBorder="1"/>
    <xf numFmtId="180" fontId="101" fillId="0" borderId="0" xfId="44" applyNumberFormat="1" applyFont="1" applyFill="1" applyBorder="1" applyAlignment="1"/>
    <xf numFmtId="180" fontId="100" fillId="0" borderId="10" xfId="42" applyNumberFormat="1" applyFont="1" applyBorder="1" applyAlignment="1">
      <alignment horizontal="left" indent="1"/>
    </xf>
    <xf numFmtId="180" fontId="100" fillId="0" borderId="11" xfId="44" applyNumberFormat="1" applyFont="1" applyFill="1" applyBorder="1" applyAlignment="1"/>
    <xf numFmtId="180" fontId="100" fillId="0" borderId="36" xfId="42" applyNumberFormat="1" applyFont="1" applyBorder="1"/>
    <xf numFmtId="180" fontId="100" fillId="0" borderId="0" xfId="42" applyNumberFormat="1" applyFont="1" applyAlignment="1">
      <alignment horizontal="center"/>
    </xf>
    <xf numFmtId="169" fontId="95" fillId="0" borderId="0" xfId="42" applyNumberFormat="1" applyFont="1" applyAlignment="1">
      <alignment horizontal="center"/>
    </xf>
    <xf numFmtId="169" fontId="95" fillId="0" borderId="0" xfId="42" applyNumberFormat="1" applyFont="1"/>
    <xf numFmtId="169" fontId="96" fillId="0" borderId="0" xfId="42" applyNumberFormat="1" applyFont="1"/>
    <xf numFmtId="14" fontId="95" fillId="0" borderId="0" xfId="42" applyNumberFormat="1" applyFont="1"/>
    <xf numFmtId="0" fontId="1" fillId="0" borderId="0" xfId="42"/>
    <xf numFmtId="14" fontId="1" fillId="0" borderId="0" xfId="42" applyNumberFormat="1"/>
    <xf numFmtId="182" fontId="1" fillId="0" borderId="0" xfId="42" applyNumberFormat="1"/>
    <xf numFmtId="0" fontId="96" fillId="33" borderId="0" xfId="42" applyFont="1" applyFill="1"/>
    <xf numFmtId="0" fontId="95" fillId="33" borderId="0" xfId="42" applyFont="1" applyFill="1"/>
    <xf numFmtId="14" fontId="95" fillId="33" borderId="0" xfId="42" applyNumberFormat="1" applyFont="1" applyFill="1"/>
    <xf numFmtId="0" fontId="95" fillId="0" borderId="0" xfId="43" applyFont="1"/>
    <xf numFmtId="209" fontId="95" fillId="17" borderId="53" xfId="43" applyNumberFormat="1" applyFont="1" applyFill="1" applyBorder="1" applyAlignment="1">
      <alignment horizontal="left" vertical="center"/>
    </xf>
    <xf numFmtId="0" fontId="96" fillId="9" borderId="15" xfId="42" applyFont="1" applyFill="1" applyBorder="1" applyAlignment="1">
      <alignment horizontal="center"/>
    </xf>
    <xf numFmtId="218" fontId="95" fillId="0" borderId="0" xfId="45" applyNumberFormat="1" applyFont="1" applyAlignment="1">
      <alignment horizontal="center"/>
    </xf>
    <xf numFmtId="219" fontId="95" fillId="0" borderId="0" xfId="42" applyNumberFormat="1" applyFont="1"/>
    <xf numFmtId="220" fontId="102" fillId="0" borderId="0" xfId="46" applyNumberFormat="1" applyFont="1" applyAlignment="1">
      <alignment horizontal="center" vertical="center"/>
    </xf>
    <xf numFmtId="0" fontId="96" fillId="0" borderId="9" xfId="42" applyFont="1" applyBorder="1" applyAlignment="1">
      <alignment horizontal="center"/>
    </xf>
    <xf numFmtId="0" fontId="96" fillId="0" borderId="0" xfId="42" applyFont="1" applyAlignment="1">
      <alignment horizontal="center"/>
    </xf>
    <xf numFmtId="0" fontId="100" fillId="0" borderId="0" xfId="42" applyFont="1" applyAlignment="1">
      <alignment horizontal="center"/>
    </xf>
    <xf numFmtId="180" fontId="95" fillId="0" borderId="9" xfId="42" applyNumberFormat="1" applyFont="1" applyBorder="1" applyAlignment="1">
      <alignment horizontal="center"/>
    </xf>
    <xf numFmtId="219" fontId="95" fillId="0" borderId="9" xfId="42" applyNumberFormat="1" applyFont="1" applyBorder="1" applyAlignment="1">
      <alignment horizontal="center"/>
    </xf>
    <xf numFmtId="219" fontId="95" fillId="0" borderId="0" xfId="42" applyNumberFormat="1" applyFont="1" applyAlignment="1">
      <alignment horizontal="center"/>
    </xf>
    <xf numFmtId="221" fontId="95" fillId="0" borderId="0" xfId="42" applyNumberFormat="1" applyFont="1" applyAlignment="1">
      <alignment horizontal="center"/>
    </xf>
    <xf numFmtId="221" fontId="95" fillId="0" borderId="9" xfId="42" applyNumberFormat="1" applyFont="1" applyBorder="1" applyAlignment="1">
      <alignment horizontal="center"/>
    </xf>
    <xf numFmtId="219" fontId="96" fillId="0" borderId="9" xfId="42" applyNumberFormat="1" applyFont="1" applyBorder="1" applyAlignment="1">
      <alignment horizontal="center"/>
    </xf>
    <xf numFmtId="222" fontId="95" fillId="0" borderId="9" xfId="42" applyNumberFormat="1" applyFont="1" applyBorder="1" applyAlignment="1">
      <alignment horizontal="center"/>
    </xf>
    <xf numFmtId="222" fontId="95" fillId="0" borderId="0" xfId="42" applyNumberFormat="1" applyFont="1" applyAlignment="1">
      <alignment horizontal="center"/>
    </xf>
    <xf numFmtId="165" fontId="95" fillId="0" borderId="0" xfId="42" applyNumberFormat="1" applyFont="1"/>
    <xf numFmtId="0" fontId="95" fillId="34" borderId="0" xfId="42" applyFont="1" applyFill="1"/>
    <xf numFmtId="0" fontId="102" fillId="34" borderId="0" xfId="42" applyFont="1" applyFill="1" applyAlignment="1">
      <alignment horizontal="center"/>
    </xf>
    <xf numFmtId="0" fontId="103" fillId="0" borderId="54" xfId="42" applyFont="1" applyBorder="1" applyAlignment="1">
      <alignment horizontal="center"/>
    </xf>
    <xf numFmtId="0" fontId="104" fillId="0" borderId="0" xfId="42" applyFont="1"/>
    <xf numFmtId="0" fontId="48" fillId="0" borderId="0" xfId="42" applyFont="1" applyAlignment="1">
      <alignment horizontal="center"/>
    </xf>
    <xf numFmtId="0" fontId="105" fillId="0" borderId="55" xfId="42" quotePrefix="1" applyFont="1" applyBorder="1" applyAlignment="1">
      <alignment horizontal="left"/>
    </xf>
    <xf numFmtId="0" fontId="43" fillId="0" borderId="0" xfId="42" quotePrefix="1" applyFont="1" applyAlignment="1">
      <alignment horizontal="center"/>
    </xf>
    <xf numFmtId="0" fontId="102" fillId="0" borderId="0" xfId="42" quotePrefix="1" applyFont="1" applyAlignment="1">
      <alignment horizontal="center"/>
    </xf>
    <xf numFmtId="0" fontId="105" fillId="0" borderId="0" xfId="42" quotePrefix="1" applyFont="1" applyAlignment="1">
      <alignment horizontal="center"/>
    </xf>
    <xf numFmtId="0" fontId="48" fillId="0" borderId="55" xfId="42" applyFont="1" applyBorder="1"/>
    <xf numFmtId="14" fontId="43" fillId="0" borderId="11" xfId="42" applyNumberFormat="1" applyFont="1" applyBorder="1" applyAlignment="1">
      <alignment horizontal="center"/>
    </xf>
    <xf numFmtId="223" fontId="102" fillId="0" borderId="11" xfId="42" applyNumberFormat="1" applyFont="1" applyBorder="1" applyAlignment="1">
      <alignment horizontal="center"/>
    </xf>
    <xf numFmtId="223" fontId="106" fillId="0" borderId="0" xfId="42" applyNumberFormat="1" applyFont="1" applyAlignment="1">
      <alignment horizontal="center"/>
    </xf>
    <xf numFmtId="0" fontId="48" fillId="0" borderId="11" xfId="42" applyFont="1" applyBorder="1" applyAlignment="1">
      <alignment horizontal="center"/>
    </xf>
    <xf numFmtId="224" fontId="107" fillId="0" borderId="56" xfId="45" applyNumberFormat="1" applyFont="1" applyBorder="1" applyAlignment="1">
      <alignment horizontal="left"/>
    </xf>
    <xf numFmtId="0" fontId="11" fillId="0" borderId="0" xfId="47" applyFont="1"/>
    <xf numFmtId="37" fontId="108" fillId="0" borderId="0" xfId="42" applyNumberFormat="1" applyFont="1" applyAlignment="1">
      <alignment horizontal="center"/>
    </xf>
    <xf numFmtId="221" fontId="48" fillId="0" borderId="0" xfId="45" applyNumberFormat="1" applyFont="1" applyFill="1" applyAlignment="1">
      <alignment horizontal="center"/>
    </xf>
    <xf numFmtId="224" fontId="95" fillId="0" borderId="0" xfId="45" applyNumberFormat="1" applyFont="1" applyAlignment="1">
      <alignment horizontal="center"/>
    </xf>
    <xf numFmtId="224" fontId="95" fillId="0" borderId="0" xfId="42" applyNumberFormat="1" applyFont="1"/>
    <xf numFmtId="221" fontId="48" fillId="0" borderId="0" xfId="42" applyNumberFormat="1" applyFont="1"/>
    <xf numFmtId="210" fontId="95" fillId="0" borderId="0" xfId="45" applyNumberFormat="1" applyFont="1" applyAlignment="1">
      <alignment horizontal="center"/>
    </xf>
    <xf numFmtId="224" fontId="95" fillId="0" borderId="0" xfId="45" applyNumberFormat="1" applyFont="1" applyAlignment="1">
      <alignment horizontal="left"/>
    </xf>
    <xf numFmtId="37" fontId="95" fillId="0" borderId="0" xfId="42" applyNumberFormat="1" applyFont="1" applyAlignment="1">
      <alignment horizontal="center"/>
    </xf>
    <xf numFmtId="221" fontId="95" fillId="0" borderId="0" xfId="45" applyNumberFormat="1" applyFont="1" applyFill="1" applyAlignment="1">
      <alignment horizontal="center"/>
    </xf>
    <xf numFmtId="180" fontId="95" fillId="0" borderId="0" xfId="42" applyNumberFormat="1" applyFont="1"/>
    <xf numFmtId="39" fontId="105" fillId="0" borderId="0" xfId="42" applyNumberFormat="1" applyFont="1" applyAlignment="1">
      <alignment horizontal="center"/>
    </xf>
    <xf numFmtId="219" fontId="48" fillId="0" borderId="0" xfId="45" applyNumberFormat="1" applyFont="1" applyFill="1" applyAlignment="1">
      <alignment horizontal="center"/>
    </xf>
    <xf numFmtId="182" fontId="108" fillId="0" borderId="0" xfId="42" applyNumberFormat="1" applyFont="1" applyAlignment="1">
      <alignment horizontal="center"/>
    </xf>
    <xf numFmtId="0" fontId="109" fillId="0" borderId="0" xfId="42" applyFont="1"/>
    <xf numFmtId="0" fontId="110" fillId="0" borderId="0" xfId="42" applyFont="1"/>
    <xf numFmtId="49" fontId="82" fillId="35" borderId="0" xfId="43" applyNumberFormat="1" applyFont="1" applyFill="1"/>
    <xf numFmtId="49" fontId="1" fillId="0" borderId="0" xfId="43" applyNumberFormat="1"/>
    <xf numFmtId="0" fontId="1" fillId="0" borderId="0" xfId="43"/>
    <xf numFmtId="37" fontId="41" fillId="0" borderId="0" xfId="42" applyNumberFormat="1" applyFont="1" applyAlignment="1">
      <alignment horizontal="center"/>
    </xf>
    <xf numFmtId="224" fontId="109" fillId="0" borderId="0" xfId="45" applyNumberFormat="1" applyFont="1" applyAlignment="1">
      <alignment horizontal="center"/>
    </xf>
    <xf numFmtId="0" fontId="48" fillId="0" borderId="0" xfId="42" applyFont="1"/>
    <xf numFmtId="0" fontId="111" fillId="0" borderId="0" xfId="43" applyFont="1"/>
    <xf numFmtId="169" fontId="105" fillId="0" borderId="0" xfId="42" applyNumberFormat="1" applyFont="1" applyAlignment="1">
      <alignment horizontal="center"/>
    </xf>
    <xf numFmtId="0" fontId="112" fillId="0" borderId="0" xfId="48" applyFont="1"/>
    <xf numFmtId="225" fontId="95" fillId="0" borderId="0" xfId="42" applyNumberFormat="1" applyFont="1" applyAlignment="1">
      <alignment horizontal="center"/>
    </xf>
    <xf numFmtId="0" fontId="113" fillId="0" borderId="0" xfId="43" applyFont="1"/>
    <xf numFmtId="0" fontId="114" fillId="36" borderId="0" xfId="43" applyFont="1" applyFill="1" applyAlignment="1">
      <alignment vertical="center" wrapText="1"/>
    </xf>
    <xf numFmtId="226" fontId="96" fillId="0" borderId="0" xfId="43" applyNumberFormat="1" applyFont="1" applyAlignment="1">
      <alignment horizontal="left"/>
    </xf>
    <xf numFmtId="2" fontId="115" fillId="0" borderId="0" xfId="43" applyNumberFormat="1" applyFont="1"/>
    <xf numFmtId="2" fontId="95" fillId="0" borderId="0" xfId="43" applyNumberFormat="1" applyFont="1"/>
    <xf numFmtId="0" fontId="116" fillId="0" borderId="0" xfId="43" applyFont="1" applyAlignment="1">
      <alignment horizontal="left" vertical="center" indent="1"/>
    </xf>
    <xf numFmtId="227" fontId="117" fillId="0" borderId="0" xfId="43" applyNumberFormat="1" applyFont="1"/>
    <xf numFmtId="227" fontId="48" fillId="0" borderId="0" xfId="43" applyNumberFormat="1" applyFont="1"/>
    <xf numFmtId="219" fontId="95" fillId="0" borderId="0" xfId="45" applyNumberFormat="1" applyFont="1" applyFill="1" applyAlignment="1">
      <alignment horizontal="center"/>
    </xf>
    <xf numFmtId="228" fontId="95" fillId="0" borderId="0" xfId="42" applyNumberFormat="1" applyFont="1"/>
    <xf numFmtId="15" fontId="113" fillId="0" borderId="0" xfId="43" applyNumberFormat="1" applyFont="1"/>
    <xf numFmtId="219" fontId="41" fillId="0" borderId="0" xfId="45" applyNumberFormat="1" applyFont="1" applyAlignment="1">
      <alignment horizontal="center"/>
    </xf>
    <xf numFmtId="209" fontId="114" fillId="0" borderId="0" xfId="43" applyNumberFormat="1" applyFont="1" applyAlignment="1">
      <alignment vertical="center" wrapText="1"/>
    </xf>
    <xf numFmtId="14" fontId="113" fillId="0" borderId="0" xfId="43" applyNumberFormat="1" applyFont="1"/>
    <xf numFmtId="224" fontId="105" fillId="0" borderId="0" xfId="45" quotePrefix="1" applyNumberFormat="1" applyFont="1" applyAlignment="1">
      <alignment horizontal="left"/>
    </xf>
    <xf numFmtId="226" fontId="95" fillId="0" borderId="60" xfId="43" applyNumberFormat="1" applyFont="1" applyBorder="1" applyAlignment="1">
      <alignment horizontal="left"/>
    </xf>
    <xf numFmtId="0" fontId="48" fillId="0" borderId="0" xfId="43" applyFont="1"/>
    <xf numFmtId="0" fontId="120" fillId="0" borderId="0" xfId="42" applyFont="1"/>
    <xf numFmtId="226" fontId="95" fillId="0" borderId="0" xfId="43" applyNumberFormat="1" applyFont="1" applyAlignment="1">
      <alignment horizontal="left"/>
    </xf>
    <xf numFmtId="2" fontId="48" fillId="0" borderId="0" xfId="43" applyNumberFormat="1" applyFont="1"/>
    <xf numFmtId="221" fontId="48" fillId="0" borderId="0" xfId="42" applyNumberFormat="1" applyFont="1" applyAlignment="1">
      <alignment horizontal="center"/>
    </xf>
    <xf numFmtId="0" fontId="1" fillId="0" borderId="0" xfId="43" quotePrefix="1"/>
    <xf numFmtId="2" fontId="48" fillId="0" borderId="49" xfId="43" applyNumberFormat="1" applyFont="1" applyBorder="1" applyAlignment="1">
      <alignment horizontal="left" wrapText="1"/>
    </xf>
    <xf numFmtId="2" fontId="121" fillId="0" borderId="49" xfId="43" applyNumberFormat="1" applyFont="1" applyBorder="1" applyAlignment="1">
      <alignment horizontal="right"/>
    </xf>
    <xf numFmtId="2" fontId="121" fillId="0" borderId="49" xfId="43" applyNumberFormat="1" applyFont="1" applyBorder="1" applyAlignment="1">
      <alignment horizontal="left"/>
    </xf>
    <xf numFmtId="2" fontId="48" fillId="0" borderId="0" xfId="43" applyNumberFormat="1" applyFont="1" applyAlignment="1">
      <alignment horizontal="left" wrapText="1"/>
    </xf>
    <xf numFmtId="2" fontId="117" fillId="0" borderId="0" xfId="43" applyNumberFormat="1" applyFont="1" applyAlignment="1">
      <alignment horizontal="right"/>
    </xf>
    <xf numFmtId="2" fontId="117" fillId="0" borderId="0" xfId="43" applyNumberFormat="1" applyFont="1" applyAlignment="1">
      <alignment horizontal="left"/>
    </xf>
    <xf numFmtId="209" fontId="114" fillId="36" borderId="0" xfId="43" applyNumberFormat="1" applyFont="1" applyFill="1" applyAlignment="1">
      <alignment vertical="center" wrapText="1"/>
    </xf>
    <xf numFmtId="0" fontId="48" fillId="0" borderId="0" xfId="42" applyFont="1" applyAlignment="1">
      <alignment horizontal="left" indent="1"/>
    </xf>
    <xf numFmtId="14" fontId="96" fillId="9" borderId="15" xfId="42" applyNumberFormat="1" applyFont="1" applyFill="1" applyBorder="1"/>
    <xf numFmtId="14" fontId="95" fillId="0" borderId="0" xfId="43" applyNumberFormat="1" applyFont="1"/>
    <xf numFmtId="2" fontId="122" fillId="0" borderId="0" xfId="43" applyNumberFormat="1" applyFont="1"/>
    <xf numFmtId="0" fontId="122" fillId="0" borderId="0" xfId="43" applyFont="1"/>
    <xf numFmtId="0" fontId="123" fillId="0" borderId="0" xfId="42" applyFont="1"/>
    <xf numFmtId="229" fontId="95" fillId="0" borderId="0" xfId="42" applyNumberFormat="1" applyFont="1"/>
    <xf numFmtId="14" fontId="124" fillId="0" borderId="0" xfId="48" applyNumberFormat="1" applyFont="1" applyAlignment="1">
      <alignment horizontal="left" vertical="center" wrapText="1"/>
    </xf>
    <xf numFmtId="0" fontId="125" fillId="0" borderId="0" xfId="48" applyFont="1" applyAlignment="1">
      <alignment horizontal="left" vertical="center" wrapText="1"/>
    </xf>
    <xf numFmtId="165" fontId="125" fillId="0" borderId="0" xfId="48" applyNumberFormat="1" applyFont="1" applyAlignment="1">
      <alignment horizontal="left" vertical="center" wrapText="1"/>
    </xf>
    <xf numFmtId="14" fontId="125" fillId="0" borderId="0" xfId="48" applyNumberFormat="1" applyFont="1" applyAlignment="1">
      <alignment horizontal="left" vertical="center" wrapText="1"/>
    </xf>
    <xf numFmtId="39" fontId="95" fillId="0" borderId="0" xfId="42" applyNumberFormat="1" applyFont="1"/>
    <xf numFmtId="230" fontId="125" fillId="0" borderId="0" xfId="48" applyNumberFormat="1" applyFont="1" applyAlignment="1">
      <alignment horizontal="left" vertical="center" wrapText="1"/>
    </xf>
    <xf numFmtId="169" fontId="29" fillId="0" borderId="9" xfId="9" applyNumberFormat="1" applyFont="1" applyBorder="1"/>
    <xf numFmtId="169" fontId="13" fillId="0" borderId="0" xfId="9" applyNumberFormat="1" applyFont="1"/>
    <xf numFmtId="169" fontId="13" fillId="0" borderId="9" xfId="9" applyNumberFormat="1" applyFont="1" applyBorder="1"/>
    <xf numFmtId="169" fontId="13" fillId="0" borderId="0" xfId="8" applyNumberFormat="1" applyFont="1"/>
    <xf numFmtId="169" fontId="31" fillId="0" borderId="9" xfId="8" applyNumberFormat="1" applyFont="1" applyBorder="1"/>
    <xf numFmtId="180" fontId="126" fillId="0" borderId="11" xfId="9" applyNumberFormat="1" applyFont="1" applyBorder="1"/>
    <xf numFmtId="180" fontId="126" fillId="0" borderId="12" xfId="9" applyNumberFormat="1" applyFont="1" applyBorder="1"/>
    <xf numFmtId="189" fontId="29" fillId="0" borderId="7" xfId="9" applyNumberFormat="1" applyFont="1" applyBorder="1" applyAlignment="1">
      <alignment horizontal="center"/>
    </xf>
    <xf numFmtId="189" fontId="29" fillId="0" borderId="9" xfId="9" applyNumberFormat="1" applyFont="1" applyBorder="1" applyAlignment="1">
      <alignment horizontal="center"/>
    </xf>
    <xf numFmtId="189" fontId="29" fillId="0" borderId="12" xfId="9" applyNumberFormat="1" applyFont="1" applyBorder="1" applyAlignment="1">
      <alignment horizontal="center"/>
    </xf>
    <xf numFmtId="180" fontId="13" fillId="0" borderId="9" xfId="9" applyNumberFormat="1" applyFont="1" applyBorder="1"/>
    <xf numFmtId="180" fontId="13" fillId="0" borderId="12" xfId="9" applyNumberFormat="1" applyFont="1" applyBorder="1"/>
    <xf numFmtId="180" fontId="29" fillId="0" borderId="9" xfId="9" applyNumberFormat="1" applyFont="1" applyBorder="1" applyAlignment="1">
      <alignment horizontal="right"/>
    </xf>
    <xf numFmtId="180" fontId="29" fillId="0" borderId="12" xfId="9" applyNumberFormat="1" applyFont="1" applyBorder="1" applyAlignment="1">
      <alignment horizontal="right"/>
    </xf>
    <xf numFmtId="182" fontId="13" fillId="0" borderId="9" xfId="9" applyNumberFormat="1" applyFont="1" applyBorder="1" applyAlignment="1">
      <alignment horizontal="right"/>
    </xf>
    <xf numFmtId="0" fontId="29" fillId="0" borderId="9" xfId="9" applyFont="1" applyBorder="1" applyAlignment="1">
      <alignment horizontal="right"/>
    </xf>
    <xf numFmtId="0" fontId="29" fillId="0" borderId="7" xfId="9" applyFont="1" applyBorder="1" applyAlignment="1">
      <alignment horizontal="right"/>
    </xf>
    <xf numFmtId="180" fontId="13" fillId="0" borderId="9" xfId="9" applyNumberFormat="1" applyFont="1" applyBorder="1" applyAlignment="1">
      <alignment horizontal="right"/>
    </xf>
    <xf numFmtId="180" fontId="29" fillId="0" borderId="7" xfId="9" applyNumberFormat="1" applyFont="1" applyBorder="1"/>
    <xf numFmtId="14" fontId="37" fillId="0" borderId="9" xfId="9" applyNumberFormat="1" applyFont="1" applyBorder="1"/>
    <xf numFmtId="0" fontId="12" fillId="0" borderId="8" xfId="12" applyFont="1" applyBorder="1"/>
    <xf numFmtId="182" fontId="37" fillId="0" borderId="9" xfId="9" applyNumberFormat="1" applyFont="1" applyBorder="1"/>
    <xf numFmtId="189" fontId="37" fillId="0" borderId="12" xfId="9" applyNumberFormat="1" applyFont="1" applyBorder="1"/>
    <xf numFmtId="169" fontId="37" fillId="0" borderId="12" xfId="9" applyNumberFormat="1" applyFont="1" applyBorder="1"/>
    <xf numFmtId="0" fontId="12" fillId="0" borderId="8" xfId="9" applyFont="1" applyBorder="1" applyAlignment="1">
      <alignment horizontal="left" indent="1"/>
    </xf>
    <xf numFmtId="0" fontId="10" fillId="0" borderId="8" xfId="9" applyFont="1" applyBorder="1" applyAlignment="1">
      <alignment horizontal="left" indent="2"/>
    </xf>
    <xf numFmtId="182" fontId="59" fillId="0" borderId="9" xfId="9" applyNumberFormat="1" applyFont="1" applyBorder="1"/>
    <xf numFmtId="0" fontId="10" fillId="0" borderId="8" xfId="9" applyFont="1" applyBorder="1"/>
    <xf numFmtId="180" fontId="37" fillId="0" borderId="9" xfId="13" applyNumberFormat="1" applyFont="1" applyBorder="1"/>
    <xf numFmtId="164" fontId="37" fillId="0" borderId="9" xfId="9" applyNumberFormat="1" applyFont="1" applyBorder="1"/>
    <xf numFmtId="180" fontId="12" fillId="0" borderId="12" xfId="13" applyNumberFormat="1" applyFont="1" applyBorder="1" applyAlignment="1">
      <alignment horizontal="right"/>
    </xf>
    <xf numFmtId="0" fontId="127" fillId="0" borderId="0" xfId="0" applyFont="1"/>
    <xf numFmtId="0" fontId="10" fillId="13" borderId="28" xfId="8" applyFont="1" applyFill="1" applyBorder="1" applyAlignment="1">
      <alignment horizontal="left" indent="1"/>
    </xf>
    <xf numFmtId="0" fontId="12" fillId="13" borderId="28" xfId="8" applyFill="1" applyBorder="1"/>
    <xf numFmtId="188" fontId="12" fillId="13" borderId="28" xfId="8" applyNumberFormat="1" applyFill="1" applyBorder="1"/>
    <xf numFmtId="189" fontId="10" fillId="13" borderId="28" xfId="8" applyNumberFormat="1" applyFont="1" applyFill="1" applyBorder="1"/>
    <xf numFmtId="4" fontId="10" fillId="13" borderId="28" xfId="8" applyNumberFormat="1" applyFont="1" applyFill="1" applyBorder="1"/>
    <xf numFmtId="4" fontId="12" fillId="13" borderId="28" xfId="8" applyNumberFormat="1" applyFill="1" applyBorder="1"/>
    <xf numFmtId="191" fontId="10" fillId="13" borderId="28" xfId="8" applyNumberFormat="1" applyFont="1" applyFill="1" applyBorder="1" applyAlignment="1">
      <alignment horizontal="right"/>
    </xf>
    <xf numFmtId="189" fontId="10" fillId="13" borderId="28" xfId="8" applyNumberFormat="1" applyFont="1" applyFill="1" applyBorder="1" applyAlignment="1">
      <alignment horizontal="right"/>
    </xf>
    <xf numFmtId="180" fontId="10" fillId="13" borderId="28" xfId="8" applyNumberFormat="1" applyFont="1" applyFill="1" applyBorder="1"/>
    <xf numFmtId="0" fontId="10" fillId="0" borderId="28" xfId="20" applyFont="1" applyBorder="1"/>
    <xf numFmtId="0" fontId="12" fillId="0" borderId="28" xfId="20" applyFont="1" applyBorder="1"/>
    <xf numFmtId="0" fontId="62" fillId="0" borderId="30" xfId="0" applyFont="1" applyBorder="1" applyAlignment="1">
      <alignment horizontal="left" vertical="center" indent="2"/>
    </xf>
    <xf numFmtId="0" fontId="62" fillId="0" borderId="30" xfId="0" applyFont="1" applyBorder="1" applyAlignment="1">
      <alignment horizontal="center" vertical="center"/>
    </xf>
    <xf numFmtId="17" fontId="63" fillId="0" borderId="30" xfId="0" applyNumberFormat="1" applyFont="1" applyBorder="1" applyAlignment="1">
      <alignment horizontal="left" vertical="center" indent="2"/>
    </xf>
    <xf numFmtId="17" fontId="63" fillId="23" borderId="0" xfId="0" applyNumberFormat="1" applyFont="1" applyFill="1" applyAlignment="1">
      <alignment horizontal="left" vertical="center" indent="2"/>
    </xf>
    <xf numFmtId="180" fontId="19" fillId="0" borderId="0" xfId="8" applyNumberFormat="1" applyFont="1" applyAlignment="1">
      <alignment horizontal="right" vertical="center"/>
    </xf>
    <xf numFmtId="209" fontId="95" fillId="0" borderId="0" xfId="43" applyNumberFormat="1" applyFont="1" applyAlignment="1">
      <alignment horizontal="left" vertical="center"/>
    </xf>
    <xf numFmtId="226" fontId="119" fillId="0" borderId="0" xfId="49" applyNumberFormat="1" applyFont="1" applyBorder="1" applyAlignment="1" applyProtection="1">
      <alignment horizontal="center"/>
    </xf>
    <xf numFmtId="209" fontId="95" fillId="17" borderId="53" xfId="43" applyNumberFormat="1" applyFont="1" applyFill="1" applyBorder="1" applyAlignment="1">
      <alignment horizontal="left" vertical="center"/>
    </xf>
    <xf numFmtId="209" fontId="95" fillId="17" borderId="57" xfId="43" applyNumberFormat="1" applyFont="1" applyFill="1" applyBorder="1" applyAlignment="1">
      <alignment horizontal="left" vertical="center"/>
    </xf>
    <xf numFmtId="209" fontId="95" fillId="20" borderId="58" xfId="43" applyNumberFormat="1" applyFont="1" applyFill="1" applyBorder="1" applyAlignment="1">
      <alignment horizontal="left" vertical="center"/>
    </xf>
    <xf numFmtId="209" fontId="95" fillId="20" borderId="59" xfId="43" applyNumberFormat="1" applyFont="1" applyFill="1" applyBorder="1" applyAlignment="1">
      <alignment horizontal="left" vertical="center"/>
    </xf>
  </cellXfs>
  <cellStyles count="50">
    <cellStyle name="AFE" xfId="21" xr:uid="{91D3CB4A-8226-44CD-AAF5-22CA2F50B3BF}"/>
    <cellStyle name="Comma 2" xfId="41" xr:uid="{02CE8DF0-6352-4AD3-A653-89420A6543AB}"/>
    <cellStyle name="Comma 2 2 2" xfId="24" xr:uid="{64330B40-4CFC-4379-86FA-491E1EEB7214}"/>
    <cellStyle name="Currency 2" xfId="40" xr:uid="{F6E0551A-311D-42D5-B045-8484CB630098}"/>
    <cellStyle name="Currency 2 2" xfId="26" xr:uid="{2BABFD72-653F-4EB2-9603-78A29AF7C656}"/>
    <cellStyle name="Gen_Black_pD" xfId="37" xr:uid="{DD63ED9C-A6A2-41E7-8891-630BDC0FE9A7}"/>
    <cellStyle name="Hyperlink" xfId="33" builtinId="8"/>
    <cellStyle name="Hyperlink 2" xfId="4" xr:uid="{B1FE8D89-C491-4B22-8168-8F7ECC5BD977}"/>
    <cellStyle name="Hyperlink 3" xfId="31" xr:uid="{31820F63-2C2A-4AE6-83D3-8BF5B8BA9B1A}"/>
    <cellStyle name="Hyperlink 4" xfId="49" xr:uid="{FDE59C49-4CFA-4D55-A2F8-C2B8FA64FD00}"/>
    <cellStyle name="Normal" xfId="0" builtinId="0"/>
    <cellStyle name="Normal 12" xfId="42" xr:uid="{7F47D4C9-6FB1-45D7-B7BE-AC3F2F3D298C}"/>
    <cellStyle name="Normal 13" xfId="43" xr:uid="{04DF4114-9223-4E32-869C-BDEAB98383B3}"/>
    <cellStyle name="Normal 2" xfId="1" xr:uid="{C33DF645-0851-45EB-9391-DFCBAD652DDF}"/>
    <cellStyle name="Normal 2 2" xfId="3" xr:uid="{51B1E32A-41C3-4169-8B28-8D69CF9C2CF8}"/>
    <cellStyle name="Normal 2 2 2" xfId="12" xr:uid="{800B3F9B-8D62-4F8B-B5D6-EF458803C8B4}"/>
    <cellStyle name="Normal 2 2 2 2" xfId="29" xr:uid="{41AC02CC-786E-48D4-9FC7-BF84005C3629}"/>
    <cellStyle name="Normal 2 2 3" xfId="28" xr:uid="{2E094A15-F2EA-476D-AA09-0BC32F26A2AF}"/>
    <cellStyle name="Normal 2 2 4" xfId="35" xr:uid="{5E1625CC-43E6-48ED-8B8A-147391001349}"/>
    <cellStyle name="Normal 2 3" xfId="7" xr:uid="{C159F859-9B2C-49F5-8D1A-6EA8C4846610}"/>
    <cellStyle name="Normal 2 3 2" xfId="13" xr:uid="{A5F4DA63-E619-4163-B7D2-F2F9ABDBB866}"/>
    <cellStyle name="Normal 2 3 3" xfId="27" xr:uid="{62EDA84E-D4B7-4359-A761-216F2C45EF2D}"/>
    <cellStyle name="Normal 2 4" xfId="11" xr:uid="{B0F97E23-E897-4A89-99C6-7C94FB214FC3}"/>
    <cellStyle name="Normal 2 4 2" xfId="19" xr:uid="{4158E0E3-956F-44DD-9BF1-BEAFEF1A706F}"/>
    <cellStyle name="Normal 2 5" xfId="34" xr:uid="{FAB57160-C530-4355-979C-48C0E21368DD}"/>
    <cellStyle name="Normal 2 5 2" xfId="46" xr:uid="{767F225C-2669-4DAF-8C27-A8BD71FAC1CE}"/>
    <cellStyle name="Normal 3" xfId="2" xr:uid="{DB11E67A-9ECA-4DC3-A4D3-6D1C7C8DBB3D}"/>
    <cellStyle name="Normal 3 2" xfId="9" xr:uid="{D19B2647-1F39-4156-9BEA-9D7383D78529}"/>
    <cellStyle name="Normal 3 2 2 2" xfId="22" xr:uid="{9DA8E142-4EE6-44DA-B8B1-099C87FC0C88}"/>
    <cellStyle name="Normal 3 3" xfId="48" xr:uid="{06D168E7-2434-44AA-BF99-03D81FAD8848}"/>
    <cellStyle name="Normal 33" xfId="23" xr:uid="{7F742107-BF33-4C4B-9054-7C2CEC8955F0}"/>
    <cellStyle name="Normal 4" xfId="5" xr:uid="{6D252BD8-7734-4D79-B7A0-83BD90C37235}"/>
    <cellStyle name="Normal 4 2" xfId="18" xr:uid="{23B17180-45DC-48EF-8904-43A94E65551F}"/>
    <cellStyle name="Normal 4 3" xfId="38" xr:uid="{071E9C4E-8962-450C-AB29-E3CBF8B0249A}"/>
    <cellStyle name="Normal 5" xfId="10" xr:uid="{216034ED-3D9F-4D13-9575-18CE41F3554A}"/>
    <cellStyle name="Normal 6" xfId="36" xr:uid="{8B021DD5-47A8-4211-B6C1-07D05F359119}"/>
    <cellStyle name="Normal 6 2" xfId="20" xr:uid="{3C5D299E-1FFB-429D-BDA5-519AF630D942}"/>
    <cellStyle name="Normal 6 2 2" xfId="47" xr:uid="{C65DB6E7-2F15-40B8-8090-AB50923BE6DB}"/>
    <cellStyle name="Normal 7" xfId="14" xr:uid="{28FA5998-AF96-426B-A939-FCF62D12DBAD}"/>
    <cellStyle name="Normal 8" xfId="8" xr:uid="{E619C2F0-399B-4335-8B64-BFDA39D0DB79}"/>
    <cellStyle name="Note" xfId="6" builtinId="10" customBuiltin="1"/>
    <cellStyle name="Note 2" xfId="30" xr:uid="{700DCBFA-7350-417D-B88B-BDE508628CF3}"/>
    <cellStyle name="Note 3" xfId="39" xr:uid="{0CC005A9-660F-460D-9A8E-0E107A5F3802}"/>
    <cellStyle name="Percent 2" xfId="32" xr:uid="{9C9BF549-91EC-4108-A440-CD362FBEB504}"/>
    <cellStyle name="Percent 2 2" xfId="44" xr:uid="{2C36EAA7-3AF6-4F54-B258-DA99CB57C471}"/>
    <cellStyle name="Percent 2 2 2" xfId="25" xr:uid="{6507131A-208C-41F9-B818-1DAA448EA6A3}"/>
    <cellStyle name="Percent 2 2 3" xfId="45" xr:uid="{2BE6CBF1-D3D6-43F5-BF30-8478EA924AAF}"/>
    <cellStyle name="TR_InputData" xfId="15" xr:uid="{7E1C439D-6E13-470A-B58B-AED28BF3CE31}"/>
    <cellStyle name="TR_OutputData1" xfId="17" xr:uid="{B6483BA4-C497-4C5C-AF00-3A59EA6F012E}"/>
    <cellStyle name="TR_Title1" xfId="16" xr:uid="{608F02F9-04FF-4D47-BB66-C473C47FDD6A}"/>
  </cellStyles>
  <dxfs count="39">
    <dxf>
      <border>
        <top style="thin">
          <color theme="0" tint="-0.499984740745262"/>
        </top>
        <bottom style="thin">
          <color theme="0" tint="-0.499984740745262"/>
        </bottom>
        <vertical/>
        <horizontal/>
      </border>
    </dxf>
    <dxf>
      <font>
        <color theme="0"/>
      </font>
      <fill>
        <patternFill>
          <bgColor theme="0"/>
        </patternFill>
      </fill>
      <border>
        <left/>
        <right/>
        <top/>
        <bottom/>
        <vertical/>
        <horizontal/>
      </border>
    </dxf>
    <dxf>
      <border>
        <top style="thin">
          <color theme="0" tint="-0.499984740745262"/>
        </top>
        <bottom style="thin">
          <color theme="0" tint="-0.499984740745262"/>
        </bottom>
        <vertical/>
        <horizontal/>
      </border>
    </dxf>
    <dxf>
      <border>
        <left/>
        <right/>
        <top/>
        <bottom/>
        <vertical/>
        <horizontal/>
      </border>
    </dxf>
    <dxf>
      <font>
        <color theme="0"/>
      </font>
      <fill>
        <patternFill>
          <bgColor theme="0"/>
        </patternFill>
      </fill>
      <border>
        <left/>
        <right/>
        <top/>
        <bottom/>
        <vertical/>
        <horizontal/>
      </border>
    </dxf>
    <dxf>
      <border>
        <left/>
        <right/>
        <top/>
        <bottom/>
        <vertical/>
        <horizontal/>
      </border>
    </dxf>
    <dxf>
      <border>
        <top style="thin">
          <color theme="0" tint="-0.499984740745262"/>
        </top>
        <bottom style="thin">
          <color theme="0" tint="-0.499984740745262"/>
        </bottom>
        <vertical/>
        <horizontal/>
      </border>
    </dxf>
    <dxf>
      <border>
        <left/>
        <right/>
        <top/>
        <bottom/>
        <vertical/>
        <horizontal/>
      </border>
    </dxf>
    <dxf>
      <border>
        <top style="thin">
          <color theme="0" tint="-0.499984740745262"/>
        </top>
        <bottom style="thin">
          <color theme="0" tint="-0.499984740745262"/>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top style="thin">
          <color theme="0" tint="-0.499984740745262"/>
        </top>
        <bottom style="thin">
          <color theme="0" tint="-0.499984740745262"/>
        </bottom>
        <vertical/>
        <horizontal/>
      </border>
    </dxf>
    <dxf>
      <border>
        <left/>
        <right/>
        <top/>
        <bottom/>
        <vertical/>
        <horizontal/>
      </border>
    </dxf>
    <dxf>
      <border>
        <top style="thin">
          <color theme="0" tint="-0.499984740745262"/>
        </top>
        <bottom style="thin">
          <color theme="0" tint="-0.499984740745262"/>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rgb="FF99A5FF"/>
        </top>
        <bottom/>
        <vertical/>
        <horizontal/>
      </border>
    </dxf>
    <dxf>
      <font>
        <color auto="1"/>
      </font>
      <fill>
        <patternFill>
          <bgColor rgb="FFCCCCFF"/>
        </patternFill>
      </fill>
      <border>
        <left style="thin">
          <color rgb="FF99A5FF"/>
        </left>
        <right style="thin">
          <color rgb="FF99A5FF"/>
        </right>
        <top style="thin">
          <color rgb="FF99A5FF"/>
        </top>
        <bottom style="thin">
          <color rgb="FF99A5FF"/>
        </bottom>
        <vertical/>
        <horizontal/>
      </border>
    </dxf>
    <dxf>
      <border>
        <top style="thin">
          <color theme="0" tint="-0.499984740745262"/>
        </top>
        <bottom style="thin">
          <color theme="0" tint="-0.499984740745262"/>
        </bottom>
        <vertical/>
        <horizontal/>
      </border>
    </dxf>
    <dxf>
      <border>
        <left/>
        <right/>
        <top/>
        <bottom/>
        <vertical/>
        <horizontal/>
      </border>
    </dxf>
    <dxf>
      <font>
        <color auto="1"/>
      </font>
    </dxf>
    <dxf>
      <font>
        <color theme="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0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0000"/>
      </font>
    </dxf>
    <dxf>
      <fill>
        <patternFill>
          <bgColor theme="0" tint="-4.9989318521683403E-2"/>
        </patternFill>
      </fill>
    </dxf>
    <dxf>
      <fill>
        <patternFill>
          <bgColor rgb="FFCCCCFF"/>
        </patternFill>
      </fill>
    </dxf>
    <dxf>
      <fill>
        <patternFill>
          <bgColor rgb="FFCCCCFF"/>
        </patternFill>
      </fill>
    </dxf>
    <dxf>
      <fill>
        <patternFill>
          <bgColor rgb="FF88CE9A"/>
        </patternFill>
      </fill>
    </dxf>
    <dxf>
      <fill>
        <patternFill>
          <bgColor rgb="FFF9878A"/>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327B"/>
      <color rgb="FFF6B343"/>
      <color rgb="FFEFF5FE"/>
      <color rgb="FF71A5F9"/>
      <color rgb="FF1A4788"/>
      <color rgb="FFFFCC99"/>
      <color rgb="FF335B95"/>
      <color rgb="FFFF6600"/>
      <color rgb="FF1F4E78"/>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AMD's share gain impacting</a:t>
            </a:r>
            <a:r>
              <a:rPr lang="en-US" baseline="0"/>
              <a:t> INTC's gross margins</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'Market Share'!$C$86</c:f>
              <c:strCache>
                <c:ptCount val="1"/>
                <c:pt idx="0">
                  <c:v>AMD's Share</c:v>
                </c:pt>
              </c:strCache>
            </c:strRef>
          </c:tx>
          <c:spPr>
            <a:solidFill>
              <a:srgbClr val="00327B"/>
            </a:solidFill>
            <a:ln>
              <a:noFill/>
            </a:ln>
            <a:effectLst/>
          </c:spPr>
          <c:invertIfNegative val="0"/>
          <c:cat>
            <c:strRef>
              <c:f>'Market Share'!$D$85:$Q$85</c:f>
              <c:strCache>
                <c:ptCount val="14"/>
                <c:pt idx="0">
                  <c:v>3Q18</c:v>
                </c:pt>
                <c:pt idx="1">
                  <c:v>4Q18</c:v>
                </c:pt>
                <c:pt idx="2">
                  <c:v>1Q19</c:v>
                </c:pt>
                <c:pt idx="3">
                  <c:v>2Q19</c:v>
                </c:pt>
                <c:pt idx="4">
                  <c:v>3Q19</c:v>
                </c:pt>
                <c:pt idx="5">
                  <c:v>4Q19</c:v>
                </c:pt>
                <c:pt idx="6">
                  <c:v>1Q20</c:v>
                </c:pt>
                <c:pt idx="7">
                  <c:v>2Q20</c:v>
                </c:pt>
                <c:pt idx="8">
                  <c:v>3Q20</c:v>
                </c:pt>
                <c:pt idx="9">
                  <c:v>4Q20</c:v>
                </c:pt>
                <c:pt idx="10">
                  <c:v>1Q21</c:v>
                </c:pt>
                <c:pt idx="11">
                  <c:v>2Q21</c:v>
                </c:pt>
                <c:pt idx="12">
                  <c:v>3Q21</c:v>
                </c:pt>
                <c:pt idx="13">
                  <c:v>4Q21</c:v>
                </c:pt>
              </c:strCache>
            </c:strRef>
          </c:cat>
          <c:val>
            <c:numRef>
              <c:f>'Market Share'!$D$86:$Q$86</c:f>
              <c:numCache>
                <c:formatCode>0.0%_);\(0.0%\)</c:formatCode>
                <c:ptCount val="14"/>
                <c:pt idx="0">
                  <c:v>0.106</c:v>
                </c:pt>
                <c:pt idx="1">
                  <c:v>0.123</c:v>
                </c:pt>
                <c:pt idx="2">
                  <c:v>0.13200000000000001</c:v>
                </c:pt>
                <c:pt idx="3">
                  <c:v>0.13900000000000001</c:v>
                </c:pt>
                <c:pt idx="4">
                  <c:v>0.14599999999999999</c:v>
                </c:pt>
                <c:pt idx="5">
                  <c:v>0.151</c:v>
                </c:pt>
                <c:pt idx="6">
                  <c:v>0.14799999999999999</c:v>
                </c:pt>
                <c:pt idx="7">
                  <c:v>0.183</c:v>
                </c:pt>
                <c:pt idx="8">
                  <c:v>0.224</c:v>
                </c:pt>
                <c:pt idx="9">
                  <c:v>0.217</c:v>
                </c:pt>
                <c:pt idx="10">
                  <c:v>0.20699999999999999</c:v>
                </c:pt>
                <c:pt idx="11">
                  <c:v>0.22500000000000001</c:v>
                </c:pt>
                <c:pt idx="12">
                  <c:v>0.246</c:v>
                </c:pt>
                <c:pt idx="13">
                  <c:v>0.25600000000000001</c:v>
                </c:pt>
              </c:numCache>
            </c:numRef>
          </c:val>
          <c:extLst>
            <c:ext xmlns:c16="http://schemas.microsoft.com/office/drawing/2014/chart" uri="{C3380CC4-5D6E-409C-BE32-E72D297353CC}">
              <c16:uniqueId val="{00000000-790D-4855-91BA-383BCD2274C9}"/>
            </c:ext>
          </c:extLst>
        </c:ser>
        <c:dLbls>
          <c:showLegendKey val="0"/>
          <c:showVal val="0"/>
          <c:showCatName val="0"/>
          <c:showSerName val="0"/>
          <c:showPercent val="0"/>
          <c:showBubbleSize val="0"/>
        </c:dLbls>
        <c:gapWidth val="219"/>
        <c:overlap val="-27"/>
        <c:axId val="1203598191"/>
        <c:axId val="1203584751"/>
      </c:barChart>
      <c:lineChart>
        <c:grouping val="standard"/>
        <c:varyColors val="0"/>
        <c:ser>
          <c:idx val="1"/>
          <c:order val="1"/>
          <c:tx>
            <c:strRef>
              <c:f>'Market Share'!$C$87</c:f>
              <c:strCache>
                <c:ptCount val="1"/>
                <c:pt idx="0">
                  <c:v>INTC's GM</c:v>
                </c:pt>
              </c:strCache>
            </c:strRef>
          </c:tx>
          <c:spPr>
            <a:ln w="28575" cap="rnd">
              <a:solidFill>
                <a:srgbClr val="F6B343"/>
              </a:solidFill>
              <a:round/>
            </a:ln>
            <a:effectLst/>
          </c:spPr>
          <c:marker>
            <c:symbol val="none"/>
          </c:marker>
          <c:cat>
            <c:strRef>
              <c:f>'Market Share'!$D$85:$Q$85</c:f>
              <c:strCache>
                <c:ptCount val="14"/>
                <c:pt idx="0">
                  <c:v>3Q18</c:v>
                </c:pt>
                <c:pt idx="1">
                  <c:v>4Q18</c:v>
                </c:pt>
                <c:pt idx="2">
                  <c:v>1Q19</c:v>
                </c:pt>
                <c:pt idx="3">
                  <c:v>2Q19</c:v>
                </c:pt>
                <c:pt idx="4">
                  <c:v>3Q19</c:v>
                </c:pt>
                <c:pt idx="5">
                  <c:v>4Q19</c:v>
                </c:pt>
                <c:pt idx="6">
                  <c:v>1Q20</c:v>
                </c:pt>
                <c:pt idx="7">
                  <c:v>2Q20</c:v>
                </c:pt>
                <c:pt idx="8">
                  <c:v>3Q20</c:v>
                </c:pt>
                <c:pt idx="9">
                  <c:v>4Q20</c:v>
                </c:pt>
                <c:pt idx="10">
                  <c:v>1Q21</c:v>
                </c:pt>
                <c:pt idx="11">
                  <c:v>2Q21</c:v>
                </c:pt>
                <c:pt idx="12">
                  <c:v>3Q21</c:v>
                </c:pt>
                <c:pt idx="13">
                  <c:v>4Q21</c:v>
                </c:pt>
              </c:strCache>
            </c:strRef>
          </c:cat>
          <c:val>
            <c:numRef>
              <c:f>'Market Share'!$D$87:$Q$87</c:f>
              <c:numCache>
                <c:formatCode>0.0%_);\(0.0%\)</c:formatCode>
                <c:ptCount val="14"/>
                <c:pt idx="0">
                  <c:v>0.65939571048374468</c:v>
                </c:pt>
                <c:pt idx="1">
                  <c:v>0.6167122259741652</c:v>
                </c:pt>
                <c:pt idx="2">
                  <c:v>0.58340078450905919</c:v>
                </c:pt>
                <c:pt idx="3">
                  <c:v>0.61587397758255069</c:v>
                </c:pt>
                <c:pt idx="4">
                  <c:v>0.60359562272016676</c:v>
                </c:pt>
                <c:pt idx="5">
                  <c:v>0.60101934781532984</c:v>
                </c:pt>
                <c:pt idx="6">
                  <c:v>0.64496691235809978</c:v>
                </c:pt>
                <c:pt idx="7">
                  <c:v>0.56329740431148267</c:v>
                </c:pt>
                <c:pt idx="8">
                  <c:v>0.56457778292598171</c:v>
                </c:pt>
                <c:pt idx="9">
                  <c:v>0.60011663044054497</c:v>
                </c:pt>
                <c:pt idx="10">
                  <c:v>0.58434773241409033</c:v>
                </c:pt>
                <c:pt idx="11">
                  <c:v>0.5922408676415043</c:v>
                </c:pt>
                <c:pt idx="12">
                  <c:v>0.57787361088074307</c:v>
                </c:pt>
                <c:pt idx="13">
                  <c:v>0.55426991603522424</c:v>
                </c:pt>
              </c:numCache>
            </c:numRef>
          </c:val>
          <c:smooth val="0"/>
          <c:extLst>
            <c:ext xmlns:c16="http://schemas.microsoft.com/office/drawing/2014/chart" uri="{C3380CC4-5D6E-409C-BE32-E72D297353CC}">
              <c16:uniqueId val="{00000001-790D-4855-91BA-383BCD2274C9}"/>
            </c:ext>
          </c:extLst>
        </c:ser>
        <c:dLbls>
          <c:showLegendKey val="0"/>
          <c:showVal val="0"/>
          <c:showCatName val="0"/>
          <c:showSerName val="0"/>
          <c:showPercent val="0"/>
          <c:showBubbleSize val="0"/>
        </c:dLbls>
        <c:marker val="1"/>
        <c:smooth val="0"/>
        <c:axId val="1203586671"/>
        <c:axId val="1203580911"/>
      </c:lineChart>
      <c:catAx>
        <c:axId val="1203598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03584751"/>
        <c:crosses val="autoZero"/>
        <c:auto val="1"/>
        <c:lblAlgn val="ctr"/>
        <c:lblOffset val="100"/>
        <c:noMultiLvlLbl val="0"/>
      </c:catAx>
      <c:valAx>
        <c:axId val="1203584751"/>
        <c:scaling>
          <c:orientation val="minMax"/>
        </c:scaling>
        <c:delete val="0"/>
        <c:axPos val="l"/>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03598191"/>
        <c:crosses val="autoZero"/>
        <c:crossBetween val="between"/>
      </c:valAx>
      <c:valAx>
        <c:axId val="1203580911"/>
        <c:scaling>
          <c:orientation val="minMax"/>
        </c:scaling>
        <c:delete val="0"/>
        <c:axPos val="r"/>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03586671"/>
        <c:crosses val="max"/>
        <c:crossBetween val="between"/>
      </c:valAx>
      <c:catAx>
        <c:axId val="1203586671"/>
        <c:scaling>
          <c:orientation val="minMax"/>
        </c:scaling>
        <c:delete val="1"/>
        <c:axPos val="b"/>
        <c:numFmt formatCode="General" sourceLinked="1"/>
        <c:majorTickMark val="out"/>
        <c:minorTickMark val="none"/>
        <c:tickLblPos val="nextTo"/>
        <c:crossAx val="120358091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EV-EBITDA'!$I$11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EV-EBITDA'!$I$11</c:f>
              <c:strCache>
                <c:ptCount val="1"/>
                <c:pt idx="0">
                  <c:v>#NAME?</c:v>
                </c:pt>
              </c:strCache>
            </c:strRef>
          </c:tx>
          <c:spPr>
            <a:ln w="28575" cap="rnd">
              <a:solidFill>
                <a:srgbClr val="0070C0"/>
              </a:solidFill>
              <a:round/>
            </a:ln>
            <a:effectLst/>
          </c:spPr>
          <c:marker>
            <c:symbol val="none"/>
          </c:marker>
          <c:cat>
            <c:numRef>
              <c:f>'Forward EV-EBITDA'!$C$20:$D$60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EV-EBITDA'!$I$20:$I$60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CA5A-48D1-A7D9-065B5EB7335B}"/>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CA5A-48D1-A7D9-065B5EB7335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EV-EBITDA'!$I$16,'Forward EV-EBITDA'!$I$16)</c:f>
              <c:numCache>
                <c:formatCode>0.0\x_);\(0.0\x\);\-\ </c:formatCode>
                <c:ptCount val="2"/>
                <c:pt idx="0">
                  <c:v>0</c:v>
                </c:pt>
                <c:pt idx="1">
                  <c:v>0</c:v>
                </c:pt>
              </c:numCache>
            </c:numRef>
          </c:yVal>
          <c:smooth val="1"/>
          <c:extLst>
            <c:ext xmlns:c16="http://schemas.microsoft.com/office/drawing/2014/chart" uri="{C3380CC4-5D6E-409C-BE32-E72D297353CC}">
              <c16:uniqueId val="{00000002-CA5A-48D1-A7D9-065B5EB7335B}"/>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CA5A-48D1-A7D9-065B5EB7335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EV-EBITDA'!$I$17,'Forward EV-EBITDA'!$I$17)</c:f>
              <c:numCache>
                <c:formatCode>0.0\x_);\(0.0\x\);\-\ </c:formatCode>
                <c:ptCount val="2"/>
                <c:pt idx="0">
                  <c:v>0</c:v>
                </c:pt>
                <c:pt idx="1">
                  <c:v>0</c:v>
                </c:pt>
              </c:numCache>
            </c:numRef>
          </c:yVal>
          <c:smooth val="1"/>
          <c:extLst>
            <c:ext xmlns:c16="http://schemas.microsoft.com/office/drawing/2014/chart" uri="{C3380CC4-5D6E-409C-BE32-E72D297353CC}">
              <c16:uniqueId val="{00000004-CA5A-48D1-A7D9-065B5EB7335B}"/>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CA5A-48D1-A7D9-065B5EB7335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EV-EBITDA'!$I$18,'Forward EV-EBITDA'!$I$18)</c:f>
              <c:numCache>
                <c:formatCode>0.0\x_);\(0.0\x\);\-\ </c:formatCode>
                <c:ptCount val="2"/>
                <c:pt idx="0">
                  <c:v>0</c:v>
                </c:pt>
                <c:pt idx="1">
                  <c:v>0</c:v>
                </c:pt>
              </c:numCache>
            </c:numRef>
          </c:yVal>
          <c:smooth val="1"/>
          <c:extLst>
            <c:ext xmlns:c16="http://schemas.microsoft.com/office/drawing/2014/chart" uri="{C3380CC4-5D6E-409C-BE32-E72D297353CC}">
              <c16:uniqueId val="{00000006-CA5A-48D1-A7D9-065B5EB7335B}"/>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EV-EBITDA'!$J$11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EV-EBITDA'!$J$11</c:f>
              <c:strCache>
                <c:ptCount val="1"/>
                <c:pt idx="0">
                  <c:v>#NAME?</c:v>
                </c:pt>
              </c:strCache>
            </c:strRef>
          </c:tx>
          <c:spPr>
            <a:ln w="28575" cap="rnd">
              <a:solidFill>
                <a:srgbClr val="0070C0"/>
              </a:solidFill>
              <a:round/>
            </a:ln>
            <a:effectLst/>
          </c:spPr>
          <c:marker>
            <c:symbol val="none"/>
          </c:marker>
          <c:cat>
            <c:numRef>
              <c:f>'Forward EV-EBITDA'!$C$20:$D$60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EV-EBITDA'!$J$20:$J$60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7EFE-4555-927B-7B2E05B82890}"/>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7EFE-4555-927B-7B2E05B8289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EV-EBITDA'!$J$16,'Forward EV-EBITDA'!$J$16)</c:f>
              <c:numCache>
                <c:formatCode>0.0\x_);\(0.0\x\);\-\ </c:formatCode>
                <c:ptCount val="2"/>
                <c:pt idx="0">
                  <c:v>0</c:v>
                </c:pt>
                <c:pt idx="1">
                  <c:v>0</c:v>
                </c:pt>
              </c:numCache>
            </c:numRef>
          </c:yVal>
          <c:smooth val="1"/>
          <c:extLst>
            <c:ext xmlns:c16="http://schemas.microsoft.com/office/drawing/2014/chart" uri="{C3380CC4-5D6E-409C-BE32-E72D297353CC}">
              <c16:uniqueId val="{00000002-7EFE-4555-927B-7B2E05B82890}"/>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7EFE-4555-927B-7B2E05B8289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EV-EBITDA'!$J$17,'Forward EV-EBITDA'!$J$17)</c:f>
              <c:numCache>
                <c:formatCode>0.0\x_);\(0.0\x\);\-\ </c:formatCode>
                <c:ptCount val="2"/>
                <c:pt idx="0">
                  <c:v>0</c:v>
                </c:pt>
                <c:pt idx="1">
                  <c:v>0</c:v>
                </c:pt>
              </c:numCache>
            </c:numRef>
          </c:yVal>
          <c:smooth val="1"/>
          <c:extLst>
            <c:ext xmlns:c16="http://schemas.microsoft.com/office/drawing/2014/chart" uri="{C3380CC4-5D6E-409C-BE32-E72D297353CC}">
              <c16:uniqueId val="{00000004-7EFE-4555-927B-7B2E05B82890}"/>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7EFE-4555-927B-7B2E05B8289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EV-EBITDA'!$J$18,'Forward EV-EBITDA'!$J$18)</c:f>
              <c:numCache>
                <c:formatCode>0.0\x_);\(0.0\x\);\-\ </c:formatCode>
                <c:ptCount val="2"/>
                <c:pt idx="0">
                  <c:v>0</c:v>
                </c:pt>
                <c:pt idx="1">
                  <c:v>0</c:v>
                </c:pt>
              </c:numCache>
            </c:numRef>
          </c:yVal>
          <c:smooth val="1"/>
          <c:extLst>
            <c:ext xmlns:c16="http://schemas.microsoft.com/office/drawing/2014/chart" uri="{C3380CC4-5D6E-409C-BE32-E72D297353CC}">
              <c16:uniqueId val="{00000006-7EFE-4555-927B-7B2E05B82890}"/>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EV-EBITDA'!$K$11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EV-EBITDA'!$K$11</c:f>
              <c:strCache>
                <c:ptCount val="1"/>
                <c:pt idx="0">
                  <c:v>#NAME?</c:v>
                </c:pt>
              </c:strCache>
            </c:strRef>
          </c:tx>
          <c:spPr>
            <a:ln w="28575" cap="rnd">
              <a:solidFill>
                <a:srgbClr val="0070C0"/>
              </a:solidFill>
              <a:round/>
            </a:ln>
            <a:effectLst/>
          </c:spPr>
          <c:marker>
            <c:symbol val="none"/>
          </c:marker>
          <c:cat>
            <c:numRef>
              <c:f>'Forward EV-EBITDA'!$C$20:$D$60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EV-EBITDA'!$K$20:$K$60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274E-43C6-9C0A-1805376E12F5}"/>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274E-43C6-9C0A-1805376E12F5}"/>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EV-EBITDA'!$K$16,'Forward EV-EBITDA'!$K$16)</c:f>
              <c:numCache>
                <c:formatCode>0.0\x_);\(0.0\x\);\-\ </c:formatCode>
                <c:ptCount val="2"/>
                <c:pt idx="0">
                  <c:v>0</c:v>
                </c:pt>
                <c:pt idx="1">
                  <c:v>0</c:v>
                </c:pt>
              </c:numCache>
            </c:numRef>
          </c:yVal>
          <c:smooth val="1"/>
          <c:extLst>
            <c:ext xmlns:c16="http://schemas.microsoft.com/office/drawing/2014/chart" uri="{C3380CC4-5D6E-409C-BE32-E72D297353CC}">
              <c16:uniqueId val="{00000002-274E-43C6-9C0A-1805376E12F5}"/>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274E-43C6-9C0A-1805376E12F5}"/>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EV-EBITDA'!$K$17,'Forward EV-EBITDA'!$K$17)</c:f>
              <c:numCache>
                <c:formatCode>0.0\x_);\(0.0\x\);\-\ </c:formatCode>
                <c:ptCount val="2"/>
                <c:pt idx="0">
                  <c:v>0</c:v>
                </c:pt>
                <c:pt idx="1">
                  <c:v>0</c:v>
                </c:pt>
              </c:numCache>
            </c:numRef>
          </c:yVal>
          <c:smooth val="1"/>
          <c:extLst>
            <c:ext xmlns:c16="http://schemas.microsoft.com/office/drawing/2014/chart" uri="{C3380CC4-5D6E-409C-BE32-E72D297353CC}">
              <c16:uniqueId val="{00000004-274E-43C6-9C0A-1805376E12F5}"/>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274E-43C6-9C0A-1805376E12F5}"/>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EV-EBITDA'!$K$18,'Forward EV-EBITDA'!$K$18)</c:f>
              <c:numCache>
                <c:formatCode>0.0\x_);\(0.0\x\);\-\ </c:formatCode>
                <c:ptCount val="2"/>
                <c:pt idx="0">
                  <c:v>0</c:v>
                </c:pt>
                <c:pt idx="1">
                  <c:v>0</c:v>
                </c:pt>
              </c:numCache>
            </c:numRef>
          </c:yVal>
          <c:smooth val="1"/>
          <c:extLst>
            <c:ext xmlns:c16="http://schemas.microsoft.com/office/drawing/2014/chart" uri="{C3380CC4-5D6E-409C-BE32-E72D297353CC}">
              <c16:uniqueId val="{00000006-274E-43C6-9C0A-1805376E12F5}"/>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'Historical EBITDA Est'!$X$32:$AM$32</c:f>
              <c:numCache>
                <c:formatCode>[$-409]mmm\-yy;@</c:formatCode>
                <c:ptCount val="16"/>
                <c:pt idx="0">
                  <c:v>43110</c:v>
                </c:pt>
                <c:pt idx="1">
                  <c:v>43220</c:v>
                </c:pt>
                <c:pt idx="2">
                  <c:v>43312</c:v>
                </c:pt>
                <c:pt idx="3">
                  <c:v>43404</c:v>
                </c:pt>
                <c:pt idx="4">
                  <c:v>43496</c:v>
                </c:pt>
                <c:pt idx="5">
                  <c:v>43585</c:v>
                </c:pt>
                <c:pt idx="6">
                  <c:v>43677</c:v>
                </c:pt>
                <c:pt idx="7">
                  <c:v>43769</c:v>
                </c:pt>
                <c:pt idx="8">
                  <c:v>43861</c:v>
                </c:pt>
                <c:pt idx="9">
                  <c:v>43951</c:v>
                </c:pt>
                <c:pt idx="10">
                  <c:v>44043</c:v>
                </c:pt>
                <c:pt idx="11">
                  <c:v>44135</c:v>
                </c:pt>
                <c:pt idx="12">
                  <c:v>44227</c:v>
                </c:pt>
                <c:pt idx="13">
                  <c:v>44316</c:v>
                </c:pt>
                <c:pt idx="14">
                  <c:v>44408</c:v>
                </c:pt>
                <c:pt idx="15">
                  <c:v>44500</c:v>
                </c:pt>
              </c:numCache>
            </c:numRef>
          </c:cat>
          <c:val>
            <c:numRef>
              <c:f>'Historical EBITDA Est'!$X$33:$AM$33</c:f>
              <c:numCache>
                <c:formatCode>#,##0.0_);\(#,##0.0\);\-\ </c:formatCode>
                <c:ptCount val="16"/>
                <c:pt idx="0">
                  <c:v>465.94299999999998</c:v>
                </c:pt>
                <c:pt idx="1">
                  <c:v>486.26510500000001</c:v>
                </c:pt>
                <c:pt idx="2">
                  <c:v>509.21266666666696</c:v>
                </c:pt>
                <c:pt idx="3">
                  <c:v>518.82902833333299</c:v>
                </c:pt>
                <c:pt idx="4">
                  <c:v>544.41687833333299</c:v>
                </c:pt>
                <c:pt idx="5">
                  <c:v>575.17589833333307</c:v>
                </c:pt>
                <c:pt idx="6">
                  <c:v>605.68251666666697</c:v>
                </c:pt>
                <c:pt idx="7">
                  <c:v>607.58377083333301</c:v>
                </c:pt>
                <c:pt idx="8">
                  <c:v>615.53220499999998</c:v>
                </c:pt>
                <c:pt idx="9">
                  <c:v>478.2906375</c:v>
                </c:pt>
                <c:pt idx="10">
                  <c:v>480.87855666666701</c:v>
                </c:pt>
                <c:pt idx="11">
                  <c:v>513.56198333333305</c:v>
                </c:pt>
                <c:pt idx="12">
                  <c:v>536.17822166666701</c:v>
                </c:pt>
                <c:pt idx="13">
                  <c:v>572.49630916666695</c:v>
                </c:pt>
                <c:pt idx="14">
                  <c:v>615.90473999999995</c:v>
                </c:pt>
                <c:pt idx="15">
                  <c:v>611.24283333333301</c:v>
                </c:pt>
              </c:numCache>
            </c:numRef>
          </c:val>
          <c:smooth val="0"/>
          <c:extLst>
            <c:ext xmlns:c16="http://schemas.microsoft.com/office/drawing/2014/chart" uri="{C3380CC4-5D6E-409C-BE32-E72D297353CC}">
              <c16:uniqueId val="{00000000-F560-4044-A05C-F6B4C6886936}"/>
            </c:ext>
          </c:extLst>
        </c:ser>
        <c:ser>
          <c:idx val="1"/>
          <c:order val="1"/>
          <c:spPr>
            <a:ln w="28575" cap="rnd">
              <a:solidFill>
                <a:schemeClr val="accent2"/>
              </a:solidFill>
              <a:round/>
            </a:ln>
            <a:effectLst/>
          </c:spPr>
          <c:marker>
            <c:symbol val="none"/>
          </c:marker>
          <c:cat>
            <c:numRef>
              <c:f>'Historical EBITDA Est'!$X$32:$AM$32</c:f>
              <c:numCache>
                <c:formatCode>[$-409]mmm\-yy;@</c:formatCode>
                <c:ptCount val="16"/>
                <c:pt idx="0">
                  <c:v>43110</c:v>
                </c:pt>
                <c:pt idx="1">
                  <c:v>43220</c:v>
                </c:pt>
                <c:pt idx="2">
                  <c:v>43312</c:v>
                </c:pt>
                <c:pt idx="3">
                  <c:v>43404</c:v>
                </c:pt>
                <c:pt idx="4">
                  <c:v>43496</c:v>
                </c:pt>
                <c:pt idx="5">
                  <c:v>43585</c:v>
                </c:pt>
                <c:pt idx="6">
                  <c:v>43677</c:v>
                </c:pt>
                <c:pt idx="7">
                  <c:v>43769</c:v>
                </c:pt>
                <c:pt idx="8">
                  <c:v>43861</c:v>
                </c:pt>
                <c:pt idx="9">
                  <c:v>43951</c:v>
                </c:pt>
                <c:pt idx="10">
                  <c:v>44043</c:v>
                </c:pt>
                <c:pt idx="11">
                  <c:v>44135</c:v>
                </c:pt>
                <c:pt idx="12">
                  <c:v>44227</c:v>
                </c:pt>
                <c:pt idx="13">
                  <c:v>44316</c:v>
                </c:pt>
                <c:pt idx="14">
                  <c:v>44408</c:v>
                </c:pt>
                <c:pt idx="15">
                  <c:v>44500</c:v>
                </c:pt>
              </c:numCache>
            </c:numRef>
          </c:cat>
          <c:val>
            <c:numRef>
              <c:f>'Historical EBITDA Est'!$X$34:$AM$34</c:f>
              <c:numCache>
                <c:formatCode>#,##0.0_);\(#,##0.0\);\-\ </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F560-4044-A05C-F6B4C6886936}"/>
            </c:ext>
          </c:extLst>
        </c:ser>
        <c:dLbls>
          <c:showLegendKey val="0"/>
          <c:showVal val="0"/>
          <c:showCatName val="0"/>
          <c:showSerName val="0"/>
          <c:showPercent val="0"/>
          <c:showBubbleSize val="0"/>
        </c:dLbls>
        <c:smooth val="0"/>
        <c:axId val="397877775"/>
        <c:axId val="397880687"/>
      </c:lineChart>
      <c:dateAx>
        <c:axId val="397877775"/>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880687"/>
        <c:crosses val="autoZero"/>
        <c:auto val="1"/>
        <c:lblOffset val="100"/>
        <c:baseTimeUnit val="months"/>
      </c:dateAx>
      <c:valAx>
        <c:axId val="397880687"/>
        <c:scaling>
          <c:orientation val="minMax"/>
        </c:scaling>
        <c:delete val="0"/>
        <c:axPos val="l"/>
        <c:majorGridlines>
          <c:spPr>
            <a:ln w="9525" cap="flat" cmpd="sng" algn="ctr">
              <a:solidFill>
                <a:schemeClr val="tx1">
                  <a:lumMod val="15000"/>
                  <a:lumOff val="85000"/>
                </a:schemeClr>
              </a:solidFill>
              <a:round/>
            </a:ln>
            <a:effectLst/>
          </c:spPr>
        </c:majorGridlines>
        <c:numFmt formatCode="#,##0.0_);\(#,##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877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none"/>
          </c:marker>
          <c:cat>
            <c:numRef>
              <c:f>'Historical EBITDA Est'!$X$32:$AN$32</c:f>
              <c:numCache>
                <c:formatCode>[$-409]mmm\-yy;@</c:formatCode>
                <c:ptCount val="17"/>
                <c:pt idx="0">
                  <c:v>43110</c:v>
                </c:pt>
                <c:pt idx="1">
                  <c:v>43220</c:v>
                </c:pt>
                <c:pt idx="2">
                  <c:v>43312</c:v>
                </c:pt>
                <c:pt idx="3">
                  <c:v>43404</c:v>
                </c:pt>
                <c:pt idx="4">
                  <c:v>43496</c:v>
                </c:pt>
                <c:pt idx="5">
                  <c:v>43585</c:v>
                </c:pt>
                <c:pt idx="6">
                  <c:v>43677</c:v>
                </c:pt>
                <c:pt idx="7">
                  <c:v>43769</c:v>
                </c:pt>
                <c:pt idx="8">
                  <c:v>43861</c:v>
                </c:pt>
                <c:pt idx="9">
                  <c:v>43951</c:v>
                </c:pt>
                <c:pt idx="10">
                  <c:v>44043</c:v>
                </c:pt>
                <c:pt idx="11">
                  <c:v>44135</c:v>
                </c:pt>
                <c:pt idx="12">
                  <c:v>44227</c:v>
                </c:pt>
                <c:pt idx="13">
                  <c:v>44316</c:v>
                </c:pt>
                <c:pt idx="14">
                  <c:v>44408</c:v>
                </c:pt>
                <c:pt idx="15">
                  <c:v>44500</c:v>
                </c:pt>
                <c:pt idx="16">
                  <c:v>44592</c:v>
                </c:pt>
              </c:numCache>
            </c:numRef>
          </c:cat>
          <c:val>
            <c:numRef>
              <c:f>'Historical EBITDA Est'!$X$34:$AN$34</c:f>
              <c:numCache>
                <c:formatCode>#,##0.0_);\(#,##0.0\);\-\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1-4C86-40C2-9F98-B1CE89D67845}"/>
            </c:ext>
          </c:extLst>
        </c:ser>
        <c:dLbls>
          <c:showLegendKey val="0"/>
          <c:showVal val="0"/>
          <c:showCatName val="0"/>
          <c:showSerName val="0"/>
          <c:showPercent val="0"/>
          <c:showBubbleSize val="0"/>
        </c:dLbls>
        <c:marker val="1"/>
        <c:smooth val="0"/>
        <c:axId val="450718767"/>
        <c:axId val="450704207"/>
      </c:lineChart>
      <c:lineChart>
        <c:grouping val="standard"/>
        <c:varyColors val="0"/>
        <c:ser>
          <c:idx val="2"/>
          <c:order val="1"/>
          <c:spPr>
            <a:ln w="28575" cap="rnd">
              <a:solidFill>
                <a:schemeClr val="accent3"/>
              </a:solidFill>
              <a:round/>
            </a:ln>
            <a:effectLst/>
          </c:spPr>
          <c:marker>
            <c:symbol val="none"/>
          </c:marker>
          <c:cat>
            <c:numRef>
              <c:f>'Historical EBITDA Est'!$X$32:$AN$32</c:f>
              <c:numCache>
                <c:formatCode>[$-409]mmm\-yy;@</c:formatCode>
                <c:ptCount val="17"/>
                <c:pt idx="0">
                  <c:v>43110</c:v>
                </c:pt>
                <c:pt idx="1">
                  <c:v>43220</c:v>
                </c:pt>
                <c:pt idx="2">
                  <c:v>43312</c:v>
                </c:pt>
                <c:pt idx="3">
                  <c:v>43404</c:v>
                </c:pt>
                <c:pt idx="4">
                  <c:v>43496</c:v>
                </c:pt>
                <c:pt idx="5">
                  <c:v>43585</c:v>
                </c:pt>
                <c:pt idx="6">
                  <c:v>43677</c:v>
                </c:pt>
                <c:pt idx="7">
                  <c:v>43769</c:v>
                </c:pt>
                <c:pt idx="8">
                  <c:v>43861</c:v>
                </c:pt>
                <c:pt idx="9">
                  <c:v>43951</c:v>
                </c:pt>
                <c:pt idx="10">
                  <c:v>44043</c:v>
                </c:pt>
                <c:pt idx="11">
                  <c:v>44135</c:v>
                </c:pt>
                <c:pt idx="12">
                  <c:v>44227</c:v>
                </c:pt>
                <c:pt idx="13">
                  <c:v>44316</c:v>
                </c:pt>
                <c:pt idx="14">
                  <c:v>44408</c:v>
                </c:pt>
                <c:pt idx="15">
                  <c:v>44500</c:v>
                </c:pt>
                <c:pt idx="16">
                  <c:v>44592</c:v>
                </c:pt>
              </c:numCache>
            </c:numRef>
          </c:cat>
          <c:val>
            <c:numRef>
              <c:f>'Historical EBITDA Est'!$X$35:$AN$35</c:f>
              <c:numCache>
                <c:formatCode>#,##0.0_);\(#,##0.0\);\-\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2-4C86-40C2-9F98-B1CE89D67845}"/>
            </c:ext>
          </c:extLst>
        </c:ser>
        <c:dLbls>
          <c:showLegendKey val="0"/>
          <c:showVal val="0"/>
          <c:showCatName val="0"/>
          <c:showSerName val="0"/>
          <c:showPercent val="0"/>
          <c:showBubbleSize val="0"/>
        </c:dLbls>
        <c:marker val="1"/>
        <c:smooth val="0"/>
        <c:axId val="191241871"/>
        <c:axId val="191242703"/>
      </c:lineChart>
      <c:dateAx>
        <c:axId val="450718767"/>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0704207"/>
        <c:crosses val="autoZero"/>
        <c:auto val="1"/>
        <c:lblOffset val="100"/>
        <c:baseTimeUnit val="months"/>
      </c:dateAx>
      <c:valAx>
        <c:axId val="450704207"/>
        <c:scaling>
          <c:orientation val="minMax"/>
        </c:scaling>
        <c:delete val="0"/>
        <c:axPos val="l"/>
        <c:majorGridlines>
          <c:spPr>
            <a:ln w="9525" cap="flat" cmpd="sng" algn="ctr">
              <a:solidFill>
                <a:schemeClr val="tx1">
                  <a:lumMod val="15000"/>
                  <a:lumOff val="85000"/>
                </a:schemeClr>
              </a:solidFill>
              <a:round/>
            </a:ln>
            <a:effectLst/>
          </c:spPr>
        </c:majorGridlines>
        <c:numFmt formatCode="#,##0.0_);\(#,##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0718767"/>
        <c:crosses val="autoZero"/>
        <c:crossBetween val="between"/>
      </c:valAx>
      <c:valAx>
        <c:axId val="191242703"/>
        <c:scaling>
          <c:orientation val="minMax"/>
        </c:scaling>
        <c:delete val="0"/>
        <c:axPos val="r"/>
        <c:numFmt formatCode="#,##0.0_);\(#,##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241871"/>
        <c:crosses val="max"/>
        <c:crossBetween val="between"/>
      </c:valAx>
      <c:dateAx>
        <c:axId val="191241871"/>
        <c:scaling>
          <c:orientation val="minMax"/>
        </c:scaling>
        <c:delete val="1"/>
        <c:axPos val="b"/>
        <c:numFmt formatCode="[$-409]mmm\-yy;@" sourceLinked="1"/>
        <c:majorTickMark val="out"/>
        <c:minorTickMark val="none"/>
        <c:tickLblPos val="nextTo"/>
        <c:crossAx val="191242703"/>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0">
                <a:solidFill>
                  <a:sysClr val="windowText" lastClr="000000"/>
                </a:solidFill>
              </a:rPr>
              <a:t>NTM EV/EBITDA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'Forward EV-EBITDA'!$R$19</c:f>
              <c:strCache>
                <c:ptCount val="1"/>
                <c:pt idx="0">
                  <c:v>Intel</c:v>
                </c:pt>
              </c:strCache>
            </c:strRef>
          </c:tx>
          <c:spPr>
            <a:ln w="19050" cap="rnd">
              <a:solidFill>
                <a:srgbClr val="00327B"/>
              </a:solidFill>
              <a:round/>
            </a:ln>
            <a:effectLst/>
          </c:spPr>
          <c:marker>
            <c:symbol val="none"/>
          </c:marker>
          <c:dLbls>
            <c:dLbl>
              <c:idx val="40"/>
              <c:dLblPos val="b"/>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A388-430C-BBD3-D843D5AAB4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'Forward EV-EBITDA'!$Q$20:$Q$60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EV-EBITDA'!$R$20:$R$60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A388-430C-BBD3-D843D5AAB489}"/>
            </c:ext>
          </c:extLst>
        </c:ser>
        <c:ser>
          <c:idx val="1"/>
          <c:order val="1"/>
          <c:tx>
            <c:strRef>
              <c:f>'Forward EV-EBITDA'!$S$19</c:f>
              <c:strCache>
                <c:ptCount val="1"/>
                <c:pt idx="0">
                  <c:v>Nvidia</c:v>
                </c:pt>
              </c:strCache>
            </c:strRef>
          </c:tx>
          <c:spPr>
            <a:ln w="19050" cap="rnd">
              <a:solidFill>
                <a:srgbClr val="71A5F9"/>
              </a:solidFill>
              <a:round/>
            </a:ln>
            <a:effectLst/>
          </c:spPr>
          <c:marker>
            <c:symbol val="none"/>
          </c:marker>
          <c:dLbls>
            <c:dLbl>
              <c:idx val="40"/>
              <c:dLblPos val="b"/>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A388-430C-BBD3-D843D5AAB4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'Forward EV-EBITDA'!$Q$20:$Q$60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EV-EBITDA'!$S$20:$S$60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1-A388-430C-BBD3-D843D5AAB489}"/>
            </c:ext>
          </c:extLst>
        </c:ser>
        <c:ser>
          <c:idx val="2"/>
          <c:order val="2"/>
          <c:tx>
            <c:strRef>
              <c:f>'Forward EV-EBITDA'!$T$19</c:f>
              <c:strCache>
                <c:ptCount val="1"/>
                <c:pt idx="0">
                  <c:v>AMD</c:v>
                </c:pt>
              </c:strCache>
            </c:strRef>
          </c:tx>
          <c:spPr>
            <a:ln w="19050" cap="rnd">
              <a:solidFill>
                <a:schemeClr val="accent1">
                  <a:lumMod val="20000"/>
                  <a:lumOff val="80000"/>
                </a:schemeClr>
              </a:solidFill>
              <a:round/>
            </a:ln>
            <a:effectLst/>
          </c:spPr>
          <c:marker>
            <c:symbol val="none"/>
          </c:marker>
          <c:dLbls>
            <c:dLbl>
              <c:idx val="40"/>
              <c:dLblPos val="b"/>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388-430C-BBD3-D843D5AAB4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'Forward EV-EBITDA'!$Q$20:$Q$60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EV-EBITDA'!$T$20:$T$60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2-A388-430C-BBD3-D843D5AAB489}"/>
            </c:ext>
          </c:extLst>
        </c:ser>
        <c:dLbls>
          <c:showLegendKey val="0"/>
          <c:showVal val="0"/>
          <c:showCatName val="0"/>
          <c:showSerName val="0"/>
          <c:showPercent val="0"/>
          <c:showBubbleSize val="0"/>
        </c:dLbls>
        <c:smooth val="0"/>
        <c:axId val="485245088"/>
        <c:axId val="485245568"/>
      </c:lineChart>
      <c:dateAx>
        <c:axId val="485245088"/>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85245568"/>
        <c:crosses val="autoZero"/>
        <c:auto val="1"/>
        <c:lblOffset val="100"/>
        <c:baseTimeUnit val="months"/>
        <c:majorUnit val="12"/>
        <c:majorTimeUnit val="months"/>
      </c:dateAx>
      <c:valAx>
        <c:axId val="485245568"/>
        <c:scaling>
          <c:orientation val="minMax"/>
          <c:max val="40"/>
        </c:scaling>
        <c:delete val="0"/>
        <c:axPos val="l"/>
        <c:numFmt formatCode="0.0\x_);\(0.0\x\);\-\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85245088"/>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Indexed!$C$3</c:f>
              <c:strCache>
                <c:ptCount val="1"/>
                <c:pt idx="0">
                  <c:v>Intel</c:v>
                </c:pt>
              </c:strCache>
            </c:strRef>
          </c:tx>
          <c:spPr>
            <a:ln w="28575" cap="rnd">
              <a:solidFill>
                <a:schemeClr val="accent1"/>
              </a:solidFill>
              <a:round/>
            </a:ln>
            <a:effectLst/>
          </c:spPr>
          <c:marker>
            <c:symbol val="none"/>
          </c:marker>
          <c:cat>
            <c:numRef>
              <c:f>Indexed!$B$4:$B$1830</c:f>
              <c:numCache>
                <c:formatCode>[$-14009]dddd\,\ d\ mmmm\,\ yyyy;@</c:formatCode>
                <c:ptCount val="1827"/>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formatCode="m/d/yyyy">
                  <c:v>43351</c:v>
                </c:pt>
                <c:pt idx="1257" formatCode="m/d/yyyy">
                  <c:v>43350</c:v>
                </c:pt>
                <c:pt idx="1258" formatCode="m/d/yyyy">
                  <c:v>43349</c:v>
                </c:pt>
                <c:pt idx="1259" formatCode="m/d/yyyy">
                  <c:v>43348</c:v>
                </c:pt>
                <c:pt idx="1260" formatCode="m/d/yyyy">
                  <c:v>43347</c:v>
                </c:pt>
                <c:pt idx="1261" formatCode="m/d/yyyy">
                  <c:v>43346</c:v>
                </c:pt>
                <c:pt idx="1262" formatCode="m/d/yyyy">
                  <c:v>43345</c:v>
                </c:pt>
                <c:pt idx="1263" formatCode="m/d/yyyy">
                  <c:v>43344</c:v>
                </c:pt>
                <c:pt idx="1264" formatCode="m/d/yyyy">
                  <c:v>43343</c:v>
                </c:pt>
                <c:pt idx="1265" formatCode="m/d/yyyy">
                  <c:v>43342</c:v>
                </c:pt>
                <c:pt idx="1266" formatCode="m/d/yyyy">
                  <c:v>43341</c:v>
                </c:pt>
                <c:pt idx="1267" formatCode="m/d/yyyy">
                  <c:v>43340</c:v>
                </c:pt>
                <c:pt idx="1268" formatCode="m/d/yyyy">
                  <c:v>43339</c:v>
                </c:pt>
                <c:pt idx="1269" formatCode="m/d/yyyy">
                  <c:v>43338</c:v>
                </c:pt>
                <c:pt idx="1270" formatCode="m/d/yyyy">
                  <c:v>43337</c:v>
                </c:pt>
                <c:pt idx="1271" formatCode="m/d/yyyy">
                  <c:v>43336</c:v>
                </c:pt>
                <c:pt idx="1272" formatCode="m/d/yyyy">
                  <c:v>43335</c:v>
                </c:pt>
                <c:pt idx="1273" formatCode="m/d/yyyy">
                  <c:v>43334</c:v>
                </c:pt>
                <c:pt idx="1274" formatCode="m/d/yyyy">
                  <c:v>43333</c:v>
                </c:pt>
                <c:pt idx="1275" formatCode="m/d/yyyy">
                  <c:v>43332</c:v>
                </c:pt>
                <c:pt idx="1276" formatCode="m/d/yyyy">
                  <c:v>43331</c:v>
                </c:pt>
                <c:pt idx="1277" formatCode="m/d/yyyy">
                  <c:v>43330</c:v>
                </c:pt>
                <c:pt idx="1278" formatCode="m/d/yyyy">
                  <c:v>43329</c:v>
                </c:pt>
                <c:pt idx="1279" formatCode="m/d/yyyy">
                  <c:v>43328</c:v>
                </c:pt>
                <c:pt idx="1280" formatCode="m/d/yyyy">
                  <c:v>43327</c:v>
                </c:pt>
                <c:pt idx="1281" formatCode="m/d/yyyy">
                  <c:v>43326</c:v>
                </c:pt>
                <c:pt idx="1282" formatCode="m/d/yyyy">
                  <c:v>43325</c:v>
                </c:pt>
                <c:pt idx="1283" formatCode="m/d/yyyy">
                  <c:v>43324</c:v>
                </c:pt>
                <c:pt idx="1284" formatCode="m/d/yyyy">
                  <c:v>43323</c:v>
                </c:pt>
                <c:pt idx="1285" formatCode="m/d/yyyy">
                  <c:v>43322</c:v>
                </c:pt>
                <c:pt idx="1286" formatCode="m/d/yyyy">
                  <c:v>43321</c:v>
                </c:pt>
                <c:pt idx="1287" formatCode="m/d/yyyy">
                  <c:v>43320</c:v>
                </c:pt>
                <c:pt idx="1288" formatCode="m/d/yyyy">
                  <c:v>43319</c:v>
                </c:pt>
                <c:pt idx="1289" formatCode="m/d/yyyy">
                  <c:v>43318</c:v>
                </c:pt>
                <c:pt idx="1290" formatCode="m/d/yyyy">
                  <c:v>43317</c:v>
                </c:pt>
                <c:pt idx="1291" formatCode="m/d/yyyy">
                  <c:v>43316</c:v>
                </c:pt>
                <c:pt idx="1292" formatCode="m/d/yyyy">
                  <c:v>43315</c:v>
                </c:pt>
                <c:pt idx="1293" formatCode="m/d/yyyy">
                  <c:v>43314</c:v>
                </c:pt>
                <c:pt idx="1294" formatCode="m/d/yyyy">
                  <c:v>43313</c:v>
                </c:pt>
                <c:pt idx="1295" formatCode="m/d/yyyy">
                  <c:v>43312</c:v>
                </c:pt>
                <c:pt idx="1296" formatCode="m/d/yyyy">
                  <c:v>43311</c:v>
                </c:pt>
                <c:pt idx="1297" formatCode="m/d/yyyy">
                  <c:v>43310</c:v>
                </c:pt>
                <c:pt idx="1298" formatCode="m/d/yyyy">
                  <c:v>43309</c:v>
                </c:pt>
                <c:pt idx="1299" formatCode="m/d/yyyy">
                  <c:v>43308</c:v>
                </c:pt>
                <c:pt idx="1300" formatCode="m/d/yyyy">
                  <c:v>43307</c:v>
                </c:pt>
                <c:pt idx="1301" formatCode="m/d/yyyy">
                  <c:v>43306</c:v>
                </c:pt>
                <c:pt idx="1302" formatCode="m/d/yyyy">
                  <c:v>43305</c:v>
                </c:pt>
                <c:pt idx="1303" formatCode="m/d/yyyy">
                  <c:v>43304</c:v>
                </c:pt>
                <c:pt idx="1304" formatCode="m/d/yyyy">
                  <c:v>43303</c:v>
                </c:pt>
                <c:pt idx="1305" formatCode="m/d/yyyy">
                  <c:v>43302</c:v>
                </c:pt>
                <c:pt idx="1306" formatCode="m/d/yyyy">
                  <c:v>43301</c:v>
                </c:pt>
                <c:pt idx="1307" formatCode="m/d/yyyy">
                  <c:v>43300</c:v>
                </c:pt>
                <c:pt idx="1308" formatCode="m/d/yyyy">
                  <c:v>43299</c:v>
                </c:pt>
                <c:pt idx="1309" formatCode="m/d/yyyy">
                  <c:v>43298</c:v>
                </c:pt>
                <c:pt idx="1310" formatCode="m/d/yyyy">
                  <c:v>43297</c:v>
                </c:pt>
                <c:pt idx="1311" formatCode="m/d/yyyy">
                  <c:v>43296</c:v>
                </c:pt>
                <c:pt idx="1312" formatCode="m/d/yyyy">
                  <c:v>43295</c:v>
                </c:pt>
                <c:pt idx="1313" formatCode="m/d/yyyy">
                  <c:v>43294</c:v>
                </c:pt>
                <c:pt idx="1314" formatCode="m/d/yyyy">
                  <c:v>43293</c:v>
                </c:pt>
                <c:pt idx="1315" formatCode="m/d/yyyy">
                  <c:v>43292</c:v>
                </c:pt>
                <c:pt idx="1316" formatCode="m/d/yyyy">
                  <c:v>43291</c:v>
                </c:pt>
                <c:pt idx="1317" formatCode="m/d/yyyy">
                  <c:v>43290</c:v>
                </c:pt>
                <c:pt idx="1318" formatCode="m/d/yyyy">
                  <c:v>43289</c:v>
                </c:pt>
                <c:pt idx="1319" formatCode="m/d/yyyy">
                  <c:v>43288</c:v>
                </c:pt>
                <c:pt idx="1320" formatCode="m/d/yyyy">
                  <c:v>43287</c:v>
                </c:pt>
                <c:pt idx="1321" formatCode="m/d/yyyy">
                  <c:v>43286</c:v>
                </c:pt>
                <c:pt idx="1322" formatCode="m/d/yyyy">
                  <c:v>43285</c:v>
                </c:pt>
                <c:pt idx="1323" formatCode="m/d/yyyy">
                  <c:v>43284</c:v>
                </c:pt>
                <c:pt idx="1324" formatCode="m/d/yyyy">
                  <c:v>43283</c:v>
                </c:pt>
                <c:pt idx="1325" formatCode="m/d/yyyy">
                  <c:v>43282</c:v>
                </c:pt>
                <c:pt idx="1326" formatCode="m/d/yyyy">
                  <c:v>43281</c:v>
                </c:pt>
                <c:pt idx="1327" formatCode="m/d/yyyy">
                  <c:v>43280</c:v>
                </c:pt>
                <c:pt idx="1328" formatCode="m/d/yyyy">
                  <c:v>43279</c:v>
                </c:pt>
                <c:pt idx="1329" formatCode="m/d/yyyy">
                  <c:v>43278</c:v>
                </c:pt>
                <c:pt idx="1330" formatCode="m/d/yyyy">
                  <c:v>43277</c:v>
                </c:pt>
                <c:pt idx="1331" formatCode="m/d/yyyy">
                  <c:v>43276</c:v>
                </c:pt>
                <c:pt idx="1332" formatCode="m/d/yyyy">
                  <c:v>43275</c:v>
                </c:pt>
                <c:pt idx="1333" formatCode="m/d/yyyy">
                  <c:v>43274</c:v>
                </c:pt>
                <c:pt idx="1334" formatCode="m/d/yyyy">
                  <c:v>43273</c:v>
                </c:pt>
                <c:pt idx="1335" formatCode="m/d/yyyy">
                  <c:v>43272</c:v>
                </c:pt>
                <c:pt idx="1336" formatCode="m/d/yyyy">
                  <c:v>43271</c:v>
                </c:pt>
                <c:pt idx="1337" formatCode="m/d/yyyy">
                  <c:v>43270</c:v>
                </c:pt>
                <c:pt idx="1338" formatCode="m/d/yyyy">
                  <c:v>43269</c:v>
                </c:pt>
                <c:pt idx="1339" formatCode="m/d/yyyy">
                  <c:v>43268</c:v>
                </c:pt>
                <c:pt idx="1340" formatCode="m/d/yyyy">
                  <c:v>43267</c:v>
                </c:pt>
                <c:pt idx="1341" formatCode="m/d/yyyy">
                  <c:v>43266</c:v>
                </c:pt>
                <c:pt idx="1342" formatCode="m/d/yyyy">
                  <c:v>43265</c:v>
                </c:pt>
                <c:pt idx="1343" formatCode="m/d/yyyy">
                  <c:v>43264</c:v>
                </c:pt>
                <c:pt idx="1344" formatCode="m/d/yyyy">
                  <c:v>43263</c:v>
                </c:pt>
                <c:pt idx="1345" formatCode="m/d/yyyy">
                  <c:v>43262</c:v>
                </c:pt>
                <c:pt idx="1346" formatCode="m/d/yyyy">
                  <c:v>43261</c:v>
                </c:pt>
                <c:pt idx="1347" formatCode="m/d/yyyy">
                  <c:v>43260</c:v>
                </c:pt>
                <c:pt idx="1348" formatCode="m/d/yyyy">
                  <c:v>43259</c:v>
                </c:pt>
                <c:pt idx="1349" formatCode="m/d/yyyy">
                  <c:v>43258</c:v>
                </c:pt>
                <c:pt idx="1350" formatCode="m/d/yyyy">
                  <c:v>43257</c:v>
                </c:pt>
                <c:pt idx="1351" formatCode="m/d/yyyy">
                  <c:v>43256</c:v>
                </c:pt>
                <c:pt idx="1352" formatCode="m/d/yyyy">
                  <c:v>43255</c:v>
                </c:pt>
                <c:pt idx="1353" formatCode="m/d/yyyy">
                  <c:v>43254</c:v>
                </c:pt>
                <c:pt idx="1354" formatCode="m/d/yyyy">
                  <c:v>43253</c:v>
                </c:pt>
                <c:pt idx="1355" formatCode="m/d/yyyy">
                  <c:v>43252</c:v>
                </c:pt>
                <c:pt idx="1356" formatCode="m/d/yyyy">
                  <c:v>43251</c:v>
                </c:pt>
                <c:pt idx="1357" formatCode="m/d/yyyy">
                  <c:v>43250</c:v>
                </c:pt>
                <c:pt idx="1358" formatCode="m/d/yyyy">
                  <c:v>43249</c:v>
                </c:pt>
                <c:pt idx="1359" formatCode="m/d/yyyy">
                  <c:v>43248</c:v>
                </c:pt>
                <c:pt idx="1360" formatCode="m/d/yyyy">
                  <c:v>43247</c:v>
                </c:pt>
                <c:pt idx="1361" formatCode="m/d/yyyy">
                  <c:v>43246</c:v>
                </c:pt>
                <c:pt idx="1362" formatCode="m/d/yyyy">
                  <c:v>43245</c:v>
                </c:pt>
                <c:pt idx="1363" formatCode="m/d/yyyy">
                  <c:v>43244</c:v>
                </c:pt>
                <c:pt idx="1364" formatCode="m/d/yyyy">
                  <c:v>43243</c:v>
                </c:pt>
                <c:pt idx="1365" formatCode="m/d/yyyy">
                  <c:v>43242</c:v>
                </c:pt>
                <c:pt idx="1366" formatCode="m/d/yyyy">
                  <c:v>43241</c:v>
                </c:pt>
                <c:pt idx="1367" formatCode="m/d/yyyy">
                  <c:v>43240</c:v>
                </c:pt>
                <c:pt idx="1368" formatCode="m/d/yyyy">
                  <c:v>43239</c:v>
                </c:pt>
                <c:pt idx="1369" formatCode="m/d/yyyy">
                  <c:v>43238</c:v>
                </c:pt>
                <c:pt idx="1370" formatCode="m/d/yyyy">
                  <c:v>43237</c:v>
                </c:pt>
                <c:pt idx="1371" formatCode="m/d/yyyy">
                  <c:v>43236</c:v>
                </c:pt>
                <c:pt idx="1372" formatCode="m/d/yyyy">
                  <c:v>43235</c:v>
                </c:pt>
                <c:pt idx="1373" formatCode="m/d/yyyy">
                  <c:v>43234</c:v>
                </c:pt>
                <c:pt idx="1374" formatCode="m/d/yyyy">
                  <c:v>43233</c:v>
                </c:pt>
                <c:pt idx="1375" formatCode="m/d/yyyy">
                  <c:v>43232</c:v>
                </c:pt>
                <c:pt idx="1376" formatCode="m/d/yyyy">
                  <c:v>43231</c:v>
                </c:pt>
                <c:pt idx="1377" formatCode="m/d/yyyy">
                  <c:v>43230</c:v>
                </c:pt>
                <c:pt idx="1378" formatCode="m/d/yyyy">
                  <c:v>43229</c:v>
                </c:pt>
                <c:pt idx="1379" formatCode="m/d/yyyy">
                  <c:v>43228</c:v>
                </c:pt>
                <c:pt idx="1380" formatCode="m/d/yyyy">
                  <c:v>43227</c:v>
                </c:pt>
                <c:pt idx="1381" formatCode="m/d/yyyy">
                  <c:v>43226</c:v>
                </c:pt>
                <c:pt idx="1382" formatCode="m/d/yyyy">
                  <c:v>43225</c:v>
                </c:pt>
                <c:pt idx="1383" formatCode="m/d/yyyy">
                  <c:v>43224</c:v>
                </c:pt>
                <c:pt idx="1384" formatCode="m/d/yyyy">
                  <c:v>43223</c:v>
                </c:pt>
                <c:pt idx="1385" formatCode="m/d/yyyy">
                  <c:v>43222</c:v>
                </c:pt>
                <c:pt idx="1386" formatCode="m/d/yyyy">
                  <c:v>43221</c:v>
                </c:pt>
                <c:pt idx="1387" formatCode="m/d/yyyy">
                  <c:v>43220</c:v>
                </c:pt>
                <c:pt idx="1388" formatCode="m/d/yyyy">
                  <c:v>43219</c:v>
                </c:pt>
                <c:pt idx="1389" formatCode="m/d/yyyy">
                  <c:v>43218</c:v>
                </c:pt>
                <c:pt idx="1390" formatCode="m/d/yyyy">
                  <c:v>43217</c:v>
                </c:pt>
                <c:pt idx="1391" formatCode="m/d/yyyy">
                  <c:v>43216</c:v>
                </c:pt>
                <c:pt idx="1392" formatCode="m/d/yyyy">
                  <c:v>43215</c:v>
                </c:pt>
                <c:pt idx="1393" formatCode="m/d/yyyy">
                  <c:v>43214</c:v>
                </c:pt>
                <c:pt idx="1394" formatCode="m/d/yyyy">
                  <c:v>43213</c:v>
                </c:pt>
                <c:pt idx="1395" formatCode="m/d/yyyy">
                  <c:v>43212</c:v>
                </c:pt>
                <c:pt idx="1396" formatCode="m/d/yyyy">
                  <c:v>43211</c:v>
                </c:pt>
                <c:pt idx="1397" formatCode="m/d/yyyy">
                  <c:v>43210</c:v>
                </c:pt>
                <c:pt idx="1398" formatCode="m/d/yyyy">
                  <c:v>43209</c:v>
                </c:pt>
                <c:pt idx="1399" formatCode="m/d/yyyy">
                  <c:v>43208</c:v>
                </c:pt>
                <c:pt idx="1400" formatCode="m/d/yyyy">
                  <c:v>43207</c:v>
                </c:pt>
                <c:pt idx="1401" formatCode="m/d/yyyy">
                  <c:v>43206</c:v>
                </c:pt>
                <c:pt idx="1402" formatCode="m/d/yyyy">
                  <c:v>43205</c:v>
                </c:pt>
                <c:pt idx="1403" formatCode="m/d/yyyy">
                  <c:v>43204</c:v>
                </c:pt>
                <c:pt idx="1404" formatCode="m/d/yyyy">
                  <c:v>43203</c:v>
                </c:pt>
                <c:pt idx="1405" formatCode="m/d/yyyy">
                  <c:v>43202</c:v>
                </c:pt>
                <c:pt idx="1406" formatCode="m/d/yyyy">
                  <c:v>43201</c:v>
                </c:pt>
                <c:pt idx="1407" formatCode="m/d/yyyy">
                  <c:v>43200</c:v>
                </c:pt>
                <c:pt idx="1408" formatCode="m/d/yyyy">
                  <c:v>43199</c:v>
                </c:pt>
                <c:pt idx="1409" formatCode="m/d/yyyy">
                  <c:v>43198</c:v>
                </c:pt>
                <c:pt idx="1410" formatCode="m/d/yyyy">
                  <c:v>43197</c:v>
                </c:pt>
                <c:pt idx="1411" formatCode="m/d/yyyy">
                  <c:v>43196</c:v>
                </c:pt>
                <c:pt idx="1412" formatCode="m/d/yyyy">
                  <c:v>43195</c:v>
                </c:pt>
                <c:pt idx="1413" formatCode="m/d/yyyy">
                  <c:v>43194</c:v>
                </c:pt>
                <c:pt idx="1414" formatCode="m/d/yyyy">
                  <c:v>43193</c:v>
                </c:pt>
                <c:pt idx="1415" formatCode="m/d/yyyy">
                  <c:v>43192</c:v>
                </c:pt>
                <c:pt idx="1416" formatCode="m/d/yyyy">
                  <c:v>43191</c:v>
                </c:pt>
                <c:pt idx="1417" formatCode="m/d/yyyy">
                  <c:v>43190</c:v>
                </c:pt>
                <c:pt idx="1418" formatCode="m/d/yyyy">
                  <c:v>43189</c:v>
                </c:pt>
                <c:pt idx="1419" formatCode="m/d/yyyy">
                  <c:v>43188</c:v>
                </c:pt>
                <c:pt idx="1420" formatCode="m/d/yyyy">
                  <c:v>43187</c:v>
                </c:pt>
                <c:pt idx="1421" formatCode="m/d/yyyy">
                  <c:v>43186</c:v>
                </c:pt>
                <c:pt idx="1422" formatCode="m/d/yyyy">
                  <c:v>43185</c:v>
                </c:pt>
                <c:pt idx="1423" formatCode="m/d/yyyy">
                  <c:v>43184</c:v>
                </c:pt>
                <c:pt idx="1424" formatCode="m/d/yyyy">
                  <c:v>43183</c:v>
                </c:pt>
                <c:pt idx="1425" formatCode="m/d/yyyy">
                  <c:v>43182</c:v>
                </c:pt>
                <c:pt idx="1426" formatCode="m/d/yyyy">
                  <c:v>43181</c:v>
                </c:pt>
                <c:pt idx="1427" formatCode="m/d/yyyy">
                  <c:v>43180</c:v>
                </c:pt>
                <c:pt idx="1428" formatCode="m/d/yyyy">
                  <c:v>43179</c:v>
                </c:pt>
                <c:pt idx="1429" formatCode="m/d/yyyy">
                  <c:v>43178</c:v>
                </c:pt>
                <c:pt idx="1430" formatCode="m/d/yyyy">
                  <c:v>43177</c:v>
                </c:pt>
                <c:pt idx="1431" formatCode="m/d/yyyy">
                  <c:v>43176</c:v>
                </c:pt>
                <c:pt idx="1432" formatCode="m/d/yyyy">
                  <c:v>43175</c:v>
                </c:pt>
                <c:pt idx="1433" formatCode="m/d/yyyy">
                  <c:v>43174</c:v>
                </c:pt>
                <c:pt idx="1434" formatCode="m/d/yyyy">
                  <c:v>43173</c:v>
                </c:pt>
                <c:pt idx="1435" formatCode="m/d/yyyy">
                  <c:v>43172</c:v>
                </c:pt>
                <c:pt idx="1436" formatCode="m/d/yyyy">
                  <c:v>43171</c:v>
                </c:pt>
                <c:pt idx="1437" formatCode="m/d/yyyy">
                  <c:v>43170</c:v>
                </c:pt>
                <c:pt idx="1438" formatCode="m/d/yyyy">
                  <c:v>43169</c:v>
                </c:pt>
                <c:pt idx="1439" formatCode="m/d/yyyy">
                  <c:v>43168</c:v>
                </c:pt>
                <c:pt idx="1440" formatCode="m/d/yyyy">
                  <c:v>43167</c:v>
                </c:pt>
                <c:pt idx="1441" formatCode="m/d/yyyy">
                  <c:v>43166</c:v>
                </c:pt>
                <c:pt idx="1442" formatCode="m/d/yyyy">
                  <c:v>43165</c:v>
                </c:pt>
                <c:pt idx="1443" formatCode="m/d/yyyy">
                  <c:v>43164</c:v>
                </c:pt>
                <c:pt idx="1444" formatCode="m/d/yyyy">
                  <c:v>43163</c:v>
                </c:pt>
                <c:pt idx="1445" formatCode="m/d/yyyy">
                  <c:v>43162</c:v>
                </c:pt>
                <c:pt idx="1446" formatCode="m/d/yyyy">
                  <c:v>43161</c:v>
                </c:pt>
                <c:pt idx="1447" formatCode="m/d/yyyy">
                  <c:v>43160</c:v>
                </c:pt>
                <c:pt idx="1448" formatCode="m/d/yyyy">
                  <c:v>43159</c:v>
                </c:pt>
                <c:pt idx="1449" formatCode="m/d/yyyy">
                  <c:v>43158</c:v>
                </c:pt>
                <c:pt idx="1450" formatCode="m/d/yyyy">
                  <c:v>43157</c:v>
                </c:pt>
                <c:pt idx="1451" formatCode="m/d/yyyy">
                  <c:v>43156</c:v>
                </c:pt>
                <c:pt idx="1452" formatCode="m/d/yyyy">
                  <c:v>43155</c:v>
                </c:pt>
                <c:pt idx="1453" formatCode="m/d/yyyy">
                  <c:v>43154</c:v>
                </c:pt>
                <c:pt idx="1454" formatCode="m/d/yyyy">
                  <c:v>43153</c:v>
                </c:pt>
                <c:pt idx="1455" formatCode="m/d/yyyy">
                  <c:v>43152</c:v>
                </c:pt>
                <c:pt idx="1456" formatCode="m/d/yyyy">
                  <c:v>43151</c:v>
                </c:pt>
                <c:pt idx="1457" formatCode="m/d/yyyy">
                  <c:v>43150</c:v>
                </c:pt>
                <c:pt idx="1458" formatCode="m/d/yyyy">
                  <c:v>43149</c:v>
                </c:pt>
                <c:pt idx="1459" formatCode="m/d/yyyy">
                  <c:v>43148</c:v>
                </c:pt>
                <c:pt idx="1460" formatCode="m/d/yyyy">
                  <c:v>43147</c:v>
                </c:pt>
                <c:pt idx="1461" formatCode="m/d/yyyy">
                  <c:v>43146</c:v>
                </c:pt>
                <c:pt idx="1462" formatCode="m/d/yyyy">
                  <c:v>43145</c:v>
                </c:pt>
                <c:pt idx="1463" formatCode="m/d/yyyy">
                  <c:v>43144</c:v>
                </c:pt>
                <c:pt idx="1464" formatCode="m/d/yyyy">
                  <c:v>43143</c:v>
                </c:pt>
                <c:pt idx="1465" formatCode="m/d/yyyy">
                  <c:v>43142</c:v>
                </c:pt>
                <c:pt idx="1466" formatCode="m/d/yyyy">
                  <c:v>43141</c:v>
                </c:pt>
                <c:pt idx="1467" formatCode="m/d/yyyy">
                  <c:v>43140</c:v>
                </c:pt>
                <c:pt idx="1468" formatCode="m/d/yyyy">
                  <c:v>43139</c:v>
                </c:pt>
                <c:pt idx="1469" formatCode="m/d/yyyy">
                  <c:v>43138</c:v>
                </c:pt>
                <c:pt idx="1470" formatCode="m/d/yyyy">
                  <c:v>43137</c:v>
                </c:pt>
                <c:pt idx="1471" formatCode="m/d/yyyy">
                  <c:v>43136</c:v>
                </c:pt>
                <c:pt idx="1472" formatCode="m/d/yyyy">
                  <c:v>43135</c:v>
                </c:pt>
                <c:pt idx="1473" formatCode="m/d/yyyy">
                  <c:v>43134</c:v>
                </c:pt>
                <c:pt idx="1474" formatCode="m/d/yyyy">
                  <c:v>43133</c:v>
                </c:pt>
                <c:pt idx="1475" formatCode="m/d/yyyy">
                  <c:v>43132</c:v>
                </c:pt>
                <c:pt idx="1476" formatCode="m/d/yyyy">
                  <c:v>43131</c:v>
                </c:pt>
                <c:pt idx="1477" formatCode="m/d/yyyy">
                  <c:v>43130</c:v>
                </c:pt>
                <c:pt idx="1478" formatCode="m/d/yyyy">
                  <c:v>43129</c:v>
                </c:pt>
                <c:pt idx="1479" formatCode="m/d/yyyy">
                  <c:v>43128</c:v>
                </c:pt>
                <c:pt idx="1480" formatCode="m/d/yyyy">
                  <c:v>43127</c:v>
                </c:pt>
                <c:pt idx="1481" formatCode="m/d/yyyy">
                  <c:v>43126</c:v>
                </c:pt>
                <c:pt idx="1482" formatCode="m/d/yyyy">
                  <c:v>43125</c:v>
                </c:pt>
                <c:pt idx="1483" formatCode="m/d/yyyy">
                  <c:v>43124</c:v>
                </c:pt>
                <c:pt idx="1484" formatCode="m/d/yyyy">
                  <c:v>43123</c:v>
                </c:pt>
                <c:pt idx="1485" formatCode="m/d/yyyy">
                  <c:v>43122</c:v>
                </c:pt>
                <c:pt idx="1486" formatCode="m/d/yyyy">
                  <c:v>43121</c:v>
                </c:pt>
                <c:pt idx="1487" formatCode="m/d/yyyy">
                  <c:v>43120</c:v>
                </c:pt>
                <c:pt idx="1488" formatCode="m/d/yyyy">
                  <c:v>43119</c:v>
                </c:pt>
                <c:pt idx="1489" formatCode="m/d/yyyy">
                  <c:v>43118</c:v>
                </c:pt>
                <c:pt idx="1490" formatCode="m/d/yyyy">
                  <c:v>43117</c:v>
                </c:pt>
                <c:pt idx="1491" formatCode="m/d/yyyy">
                  <c:v>43116</c:v>
                </c:pt>
                <c:pt idx="1492" formatCode="m/d/yyyy">
                  <c:v>43115</c:v>
                </c:pt>
                <c:pt idx="1493" formatCode="m/d/yyyy">
                  <c:v>43114</c:v>
                </c:pt>
                <c:pt idx="1494" formatCode="m/d/yyyy">
                  <c:v>43113</c:v>
                </c:pt>
                <c:pt idx="1495" formatCode="m/d/yyyy">
                  <c:v>43112</c:v>
                </c:pt>
                <c:pt idx="1496" formatCode="m/d/yyyy">
                  <c:v>43111</c:v>
                </c:pt>
                <c:pt idx="1497" formatCode="m/d/yyyy">
                  <c:v>43110</c:v>
                </c:pt>
                <c:pt idx="1498" formatCode="m/d/yyyy">
                  <c:v>43109</c:v>
                </c:pt>
                <c:pt idx="1499" formatCode="m/d/yyyy">
                  <c:v>43108</c:v>
                </c:pt>
                <c:pt idx="1500" formatCode="m/d/yyyy">
                  <c:v>43107</c:v>
                </c:pt>
                <c:pt idx="1501" formatCode="m/d/yyyy">
                  <c:v>43106</c:v>
                </c:pt>
                <c:pt idx="1502" formatCode="m/d/yyyy">
                  <c:v>43105</c:v>
                </c:pt>
                <c:pt idx="1503" formatCode="m/d/yyyy">
                  <c:v>43104</c:v>
                </c:pt>
                <c:pt idx="1504" formatCode="m/d/yyyy">
                  <c:v>43103</c:v>
                </c:pt>
                <c:pt idx="1505" formatCode="m/d/yyyy">
                  <c:v>43102</c:v>
                </c:pt>
                <c:pt idx="1506" formatCode="m/d/yyyy">
                  <c:v>43101</c:v>
                </c:pt>
                <c:pt idx="1507" formatCode="m/d/yyyy">
                  <c:v>43100</c:v>
                </c:pt>
                <c:pt idx="1508" formatCode="m/d/yyyy">
                  <c:v>43099</c:v>
                </c:pt>
                <c:pt idx="1509" formatCode="m/d/yyyy">
                  <c:v>43098</c:v>
                </c:pt>
                <c:pt idx="1510" formatCode="m/d/yyyy">
                  <c:v>43097</c:v>
                </c:pt>
                <c:pt idx="1511" formatCode="m/d/yyyy">
                  <c:v>43096</c:v>
                </c:pt>
                <c:pt idx="1512" formatCode="m/d/yyyy">
                  <c:v>43095</c:v>
                </c:pt>
                <c:pt idx="1513" formatCode="m/d/yyyy">
                  <c:v>43094</c:v>
                </c:pt>
                <c:pt idx="1514" formatCode="m/d/yyyy">
                  <c:v>43093</c:v>
                </c:pt>
                <c:pt idx="1515" formatCode="m/d/yyyy">
                  <c:v>43092</c:v>
                </c:pt>
                <c:pt idx="1516" formatCode="m/d/yyyy">
                  <c:v>43091</c:v>
                </c:pt>
                <c:pt idx="1517" formatCode="m/d/yyyy">
                  <c:v>43090</c:v>
                </c:pt>
                <c:pt idx="1518" formatCode="m/d/yyyy">
                  <c:v>43089</c:v>
                </c:pt>
                <c:pt idx="1519" formatCode="m/d/yyyy">
                  <c:v>43088</c:v>
                </c:pt>
                <c:pt idx="1520" formatCode="m/d/yyyy">
                  <c:v>43087</c:v>
                </c:pt>
                <c:pt idx="1521" formatCode="m/d/yyyy">
                  <c:v>43086</c:v>
                </c:pt>
                <c:pt idx="1522" formatCode="m/d/yyyy">
                  <c:v>43085</c:v>
                </c:pt>
                <c:pt idx="1523" formatCode="m/d/yyyy">
                  <c:v>43084</c:v>
                </c:pt>
                <c:pt idx="1524" formatCode="m/d/yyyy">
                  <c:v>43083</c:v>
                </c:pt>
                <c:pt idx="1525" formatCode="m/d/yyyy">
                  <c:v>43082</c:v>
                </c:pt>
                <c:pt idx="1526" formatCode="m/d/yyyy">
                  <c:v>43081</c:v>
                </c:pt>
                <c:pt idx="1527" formatCode="m/d/yyyy">
                  <c:v>43080</c:v>
                </c:pt>
                <c:pt idx="1528" formatCode="m/d/yyyy">
                  <c:v>43079</c:v>
                </c:pt>
                <c:pt idx="1529" formatCode="m/d/yyyy">
                  <c:v>43078</c:v>
                </c:pt>
                <c:pt idx="1530" formatCode="m/d/yyyy">
                  <c:v>43077</c:v>
                </c:pt>
                <c:pt idx="1531" formatCode="m/d/yyyy">
                  <c:v>43076</c:v>
                </c:pt>
                <c:pt idx="1532" formatCode="m/d/yyyy">
                  <c:v>43075</c:v>
                </c:pt>
                <c:pt idx="1533" formatCode="m/d/yyyy">
                  <c:v>43074</c:v>
                </c:pt>
                <c:pt idx="1534" formatCode="m/d/yyyy">
                  <c:v>43073</c:v>
                </c:pt>
                <c:pt idx="1535" formatCode="m/d/yyyy">
                  <c:v>43072</c:v>
                </c:pt>
                <c:pt idx="1536" formatCode="m/d/yyyy">
                  <c:v>43071</c:v>
                </c:pt>
                <c:pt idx="1537" formatCode="m/d/yyyy">
                  <c:v>43070</c:v>
                </c:pt>
                <c:pt idx="1538" formatCode="m/d/yyyy">
                  <c:v>43069</c:v>
                </c:pt>
                <c:pt idx="1539" formatCode="m/d/yyyy">
                  <c:v>43068</c:v>
                </c:pt>
                <c:pt idx="1540" formatCode="m/d/yyyy">
                  <c:v>43067</c:v>
                </c:pt>
                <c:pt idx="1541" formatCode="m/d/yyyy">
                  <c:v>43066</c:v>
                </c:pt>
                <c:pt idx="1542" formatCode="m/d/yyyy">
                  <c:v>43065</c:v>
                </c:pt>
                <c:pt idx="1543" formatCode="m/d/yyyy">
                  <c:v>43064</c:v>
                </c:pt>
                <c:pt idx="1544" formatCode="m/d/yyyy">
                  <c:v>43063</c:v>
                </c:pt>
                <c:pt idx="1545" formatCode="m/d/yyyy">
                  <c:v>43062</c:v>
                </c:pt>
                <c:pt idx="1546" formatCode="m/d/yyyy">
                  <c:v>43061</c:v>
                </c:pt>
                <c:pt idx="1547" formatCode="m/d/yyyy">
                  <c:v>43060</c:v>
                </c:pt>
                <c:pt idx="1548" formatCode="m/d/yyyy">
                  <c:v>43059</c:v>
                </c:pt>
                <c:pt idx="1549" formatCode="m/d/yyyy">
                  <c:v>43058</c:v>
                </c:pt>
                <c:pt idx="1550" formatCode="m/d/yyyy">
                  <c:v>43057</c:v>
                </c:pt>
                <c:pt idx="1551" formatCode="m/d/yyyy">
                  <c:v>43056</c:v>
                </c:pt>
                <c:pt idx="1552" formatCode="m/d/yyyy">
                  <c:v>43055</c:v>
                </c:pt>
                <c:pt idx="1553" formatCode="m/d/yyyy">
                  <c:v>43054</c:v>
                </c:pt>
                <c:pt idx="1554" formatCode="m/d/yyyy">
                  <c:v>43053</c:v>
                </c:pt>
                <c:pt idx="1555" formatCode="m/d/yyyy">
                  <c:v>43052</c:v>
                </c:pt>
                <c:pt idx="1556" formatCode="m/d/yyyy">
                  <c:v>43051</c:v>
                </c:pt>
                <c:pt idx="1557" formatCode="m/d/yyyy">
                  <c:v>43050</c:v>
                </c:pt>
                <c:pt idx="1558" formatCode="m/d/yyyy">
                  <c:v>43049</c:v>
                </c:pt>
                <c:pt idx="1559" formatCode="m/d/yyyy">
                  <c:v>43048</c:v>
                </c:pt>
                <c:pt idx="1560" formatCode="m/d/yyyy">
                  <c:v>43047</c:v>
                </c:pt>
                <c:pt idx="1561" formatCode="m/d/yyyy">
                  <c:v>43046</c:v>
                </c:pt>
                <c:pt idx="1562" formatCode="m/d/yyyy">
                  <c:v>43045</c:v>
                </c:pt>
                <c:pt idx="1563" formatCode="m/d/yyyy">
                  <c:v>43044</c:v>
                </c:pt>
                <c:pt idx="1564" formatCode="m/d/yyyy">
                  <c:v>43043</c:v>
                </c:pt>
                <c:pt idx="1565" formatCode="m/d/yyyy">
                  <c:v>43042</c:v>
                </c:pt>
                <c:pt idx="1566" formatCode="m/d/yyyy">
                  <c:v>43041</c:v>
                </c:pt>
                <c:pt idx="1567" formatCode="m/d/yyyy">
                  <c:v>43040</c:v>
                </c:pt>
                <c:pt idx="1568" formatCode="m/d/yyyy">
                  <c:v>43039</c:v>
                </c:pt>
                <c:pt idx="1569" formatCode="m/d/yyyy">
                  <c:v>43038</c:v>
                </c:pt>
                <c:pt idx="1570" formatCode="m/d/yyyy">
                  <c:v>43037</c:v>
                </c:pt>
                <c:pt idx="1571" formatCode="m/d/yyyy">
                  <c:v>43036</c:v>
                </c:pt>
                <c:pt idx="1572" formatCode="m/d/yyyy">
                  <c:v>43035</c:v>
                </c:pt>
                <c:pt idx="1573" formatCode="m/d/yyyy">
                  <c:v>43034</c:v>
                </c:pt>
                <c:pt idx="1574" formatCode="m/d/yyyy">
                  <c:v>43033</c:v>
                </c:pt>
                <c:pt idx="1575" formatCode="m/d/yyyy">
                  <c:v>43032</c:v>
                </c:pt>
                <c:pt idx="1576" formatCode="m/d/yyyy">
                  <c:v>43031</c:v>
                </c:pt>
                <c:pt idx="1577" formatCode="m/d/yyyy">
                  <c:v>43030</c:v>
                </c:pt>
                <c:pt idx="1578" formatCode="m/d/yyyy">
                  <c:v>43029</c:v>
                </c:pt>
                <c:pt idx="1579" formatCode="m/d/yyyy">
                  <c:v>43028</c:v>
                </c:pt>
                <c:pt idx="1580" formatCode="m/d/yyyy">
                  <c:v>43027</c:v>
                </c:pt>
                <c:pt idx="1581" formatCode="m/d/yyyy">
                  <c:v>43026</c:v>
                </c:pt>
                <c:pt idx="1582" formatCode="m/d/yyyy">
                  <c:v>43025</c:v>
                </c:pt>
                <c:pt idx="1583" formatCode="m/d/yyyy">
                  <c:v>43024</c:v>
                </c:pt>
                <c:pt idx="1584" formatCode="m/d/yyyy">
                  <c:v>43023</c:v>
                </c:pt>
                <c:pt idx="1585" formatCode="m/d/yyyy">
                  <c:v>43022</c:v>
                </c:pt>
                <c:pt idx="1586" formatCode="m/d/yyyy">
                  <c:v>43021</c:v>
                </c:pt>
                <c:pt idx="1587" formatCode="m/d/yyyy">
                  <c:v>43020</c:v>
                </c:pt>
                <c:pt idx="1588" formatCode="m/d/yyyy">
                  <c:v>43019</c:v>
                </c:pt>
                <c:pt idx="1589" formatCode="m/d/yyyy">
                  <c:v>43018</c:v>
                </c:pt>
                <c:pt idx="1590" formatCode="m/d/yyyy">
                  <c:v>43017</c:v>
                </c:pt>
                <c:pt idx="1591" formatCode="m/d/yyyy">
                  <c:v>43016</c:v>
                </c:pt>
                <c:pt idx="1592" formatCode="m/d/yyyy">
                  <c:v>43015</c:v>
                </c:pt>
                <c:pt idx="1593" formatCode="m/d/yyyy">
                  <c:v>43014</c:v>
                </c:pt>
                <c:pt idx="1594" formatCode="m/d/yyyy">
                  <c:v>43013</c:v>
                </c:pt>
                <c:pt idx="1595" formatCode="m/d/yyyy">
                  <c:v>43012</c:v>
                </c:pt>
                <c:pt idx="1596" formatCode="m/d/yyyy">
                  <c:v>43011</c:v>
                </c:pt>
                <c:pt idx="1597" formatCode="m/d/yyyy">
                  <c:v>43010</c:v>
                </c:pt>
                <c:pt idx="1598" formatCode="m/d/yyyy">
                  <c:v>43009</c:v>
                </c:pt>
                <c:pt idx="1599" formatCode="m/d/yyyy">
                  <c:v>43008</c:v>
                </c:pt>
                <c:pt idx="1600" formatCode="m/d/yyyy">
                  <c:v>43007</c:v>
                </c:pt>
                <c:pt idx="1601" formatCode="m/d/yyyy">
                  <c:v>43006</c:v>
                </c:pt>
                <c:pt idx="1602" formatCode="m/d/yyyy">
                  <c:v>43005</c:v>
                </c:pt>
                <c:pt idx="1603" formatCode="m/d/yyyy">
                  <c:v>43004</c:v>
                </c:pt>
                <c:pt idx="1604" formatCode="m/d/yyyy">
                  <c:v>43003</c:v>
                </c:pt>
                <c:pt idx="1605" formatCode="m/d/yyyy">
                  <c:v>43002</c:v>
                </c:pt>
                <c:pt idx="1606" formatCode="m/d/yyyy">
                  <c:v>43001</c:v>
                </c:pt>
                <c:pt idx="1607" formatCode="m/d/yyyy">
                  <c:v>43000</c:v>
                </c:pt>
                <c:pt idx="1608" formatCode="m/d/yyyy">
                  <c:v>42999</c:v>
                </c:pt>
                <c:pt idx="1609" formatCode="m/d/yyyy">
                  <c:v>42998</c:v>
                </c:pt>
                <c:pt idx="1610" formatCode="m/d/yyyy">
                  <c:v>42997</c:v>
                </c:pt>
                <c:pt idx="1611" formatCode="m/d/yyyy">
                  <c:v>42996</c:v>
                </c:pt>
                <c:pt idx="1612" formatCode="m/d/yyyy">
                  <c:v>42995</c:v>
                </c:pt>
                <c:pt idx="1613" formatCode="m/d/yyyy">
                  <c:v>42994</c:v>
                </c:pt>
                <c:pt idx="1614" formatCode="m/d/yyyy">
                  <c:v>42993</c:v>
                </c:pt>
                <c:pt idx="1615" formatCode="m/d/yyyy">
                  <c:v>42992</c:v>
                </c:pt>
                <c:pt idx="1616" formatCode="m/d/yyyy">
                  <c:v>42991</c:v>
                </c:pt>
                <c:pt idx="1617" formatCode="m/d/yyyy">
                  <c:v>42990</c:v>
                </c:pt>
                <c:pt idx="1618" formatCode="m/d/yyyy">
                  <c:v>42989</c:v>
                </c:pt>
                <c:pt idx="1619" formatCode="m/d/yyyy">
                  <c:v>42988</c:v>
                </c:pt>
                <c:pt idx="1620" formatCode="m/d/yyyy">
                  <c:v>42987</c:v>
                </c:pt>
                <c:pt idx="1621" formatCode="m/d/yyyy">
                  <c:v>42986</c:v>
                </c:pt>
                <c:pt idx="1622" formatCode="m/d/yyyy">
                  <c:v>42985</c:v>
                </c:pt>
                <c:pt idx="1623" formatCode="m/d/yyyy">
                  <c:v>42984</c:v>
                </c:pt>
                <c:pt idx="1624" formatCode="m/d/yyyy">
                  <c:v>42983</c:v>
                </c:pt>
                <c:pt idx="1625" formatCode="m/d/yyyy">
                  <c:v>42982</c:v>
                </c:pt>
                <c:pt idx="1626" formatCode="m/d/yyyy">
                  <c:v>42981</c:v>
                </c:pt>
                <c:pt idx="1627" formatCode="m/d/yyyy">
                  <c:v>42980</c:v>
                </c:pt>
                <c:pt idx="1628" formatCode="m/d/yyyy">
                  <c:v>42979</c:v>
                </c:pt>
                <c:pt idx="1629" formatCode="m/d/yyyy">
                  <c:v>42978</c:v>
                </c:pt>
                <c:pt idx="1630" formatCode="m/d/yyyy">
                  <c:v>42977</c:v>
                </c:pt>
                <c:pt idx="1631" formatCode="m/d/yyyy">
                  <c:v>42976</c:v>
                </c:pt>
                <c:pt idx="1632" formatCode="m/d/yyyy">
                  <c:v>42975</c:v>
                </c:pt>
                <c:pt idx="1633" formatCode="m/d/yyyy">
                  <c:v>42974</c:v>
                </c:pt>
                <c:pt idx="1634" formatCode="m/d/yyyy">
                  <c:v>42973</c:v>
                </c:pt>
                <c:pt idx="1635" formatCode="m/d/yyyy">
                  <c:v>42972</c:v>
                </c:pt>
                <c:pt idx="1636" formatCode="m/d/yyyy">
                  <c:v>42971</c:v>
                </c:pt>
                <c:pt idx="1637" formatCode="m/d/yyyy">
                  <c:v>42970</c:v>
                </c:pt>
                <c:pt idx="1638" formatCode="m/d/yyyy">
                  <c:v>42969</c:v>
                </c:pt>
                <c:pt idx="1639" formatCode="m/d/yyyy">
                  <c:v>42968</c:v>
                </c:pt>
                <c:pt idx="1640" formatCode="m/d/yyyy">
                  <c:v>42967</c:v>
                </c:pt>
                <c:pt idx="1641" formatCode="m/d/yyyy">
                  <c:v>42966</c:v>
                </c:pt>
                <c:pt idx="1642" formatCode="m/d/yyyy">
                  <c:v>42965</c:v>
                </c:pt>
                <c:pt idx="1643" formatCode="m/d/yyyy">
                  <c:v>42964</c:v>
                </c:pt>
                <c:pt idx="1644" formatCode="m/d/yyyy">
                  <c:v>42963</c:v>
                </c:pt>
                <c:pt idx="1645" formatCode="m/d/yyyy">
                  <c:v>42962</c:v>
                </c:pt>
                <c:pt idx="1646" formatCode="m/d/yyyy">
                  <c:v>42961</c:v>
                </c:pt>
                <c:pt idx="1647" formatCode="m/d/yyyy">
                  <c:v>42960</c:v>
                </c:pt>
                <c:pt idx="1648" formatCode="m/d/yyyy">
                  <c:v>42959</c:v>
                </c:pt>
                <c:pt idx="1649" formatCode="m/d/yyyy">
                  <c:v>42958</c:v>
                </c:pt>
                <c:pt idx="1650" formatCode="m/d/yyyy">
                  <c:v>42957</c:v>
                </c:pt>
                <c:pt idx="1651" formatCode="m/d/yyyy">
                  <c:v>42956</c:v>
                </c:pt>
                <c:pt idx="1652" formatCode="m/d/yyyy">
                  <c:v>42955</c:v>
                </c:pt>
                <c:pt idx="1653" formatCode="m/d/yyyy">
                  <c:v>42954</c:v>
                </c:pt>
                <c:pt idx="1654" formatCode="m/d/yyyy">
                  <c:v>42953</c:v>
                </c:pt>
                <c:pt idx="1655" formatCode="m/d/yyyy">
                  <c:v>42952</c:v>
                </c:pt>
                <c:pt idx="1656" formatCode="m/d/yyyy">
                  <c:v>42951</c:v>
                </c:pt>
                <c:pt idx="1657" formatCode="m/d/yyyy">
                  <c:v>42950</c:v>
                </c:pt>
                <c:pt idx="1658" formatCode="m/d/yyyy">
                  <c:v>42949</c:v>
                </c:pt>
                <c:pt idx="1659" formatCode="m/d/yyyy">
                  <c:v>42948</c:v>
                </c:pt>
                <c:pt idx="1660" formatCode="m/d/yyyy">
                  <c:v>42947</c:v>
                </c:pt>
                <c:pt idx="1661" formatCode="m/d/yyyy">
                  <c:v>42946</c:v>
                </c:pt>
                <c:pt idx="1662" formatCode="m/d/yyyy">
                  <c:v>42945</c:v>
                </c:pt>
                <c:pt idx="1663" formatCode="m/d/yyyy">
                  <c:v>42944</c:v>
                </c:pt>
                <c:pt idx="1664" formatCode="m/d/yyyy">
                  <c:v>42943</c:v>
                </c:pt>
                <c:pt idx="1665" formatCode="m/d/yyyy">
                  <c:v>42942</c:v>
                </c:pt>
                <c:pt idx="1666" formatCode="m/d/yyyy">
                  <c:v>42941</c:v>
                </c:pt>
                <c:pt idx="1667" formatCode="m/d/yyyy">
                  <c:v>42940</c:v>
                </c:pt>
                <c:pt idx="1668" formatCode="m/d/yyyy">
                  <c:v>42939</c:v>
                </c:pt>
                <c:pt idx="1669" formatCode="m/d/yyyy">
                  <c:v>42938</c:v>
                </c:pt>
                <c:pt idx="1670" formatCode="m/d/yyyy">
                  <c:v>42937</c:v>
                </c:pt>
                <c:pt idx="1671" formatCode="m/d/yyyy">
                  <c:v>42936</c:v>
                </c:pt>
                <c:pt idx="1672" formatCode="m/d/yyyy">
                  <c:v>42935</c:v>
                </c:pt>
                <c:pt idx="1673" formatCode="m/d/yyyy">
                  <c:v>42934</c:v>
                </c:pt>
                <c:pt idx="1674" formatCode="m/d/yyyy">
                  <c:v>42933</c:v>
                </c:pt>
                <c:pt idx="1675" formatCode="m/d/yyyy">
                  <c:v>42932</c:v>
                </c:pt>
                <c:pt idx="1676" formatCode="m/d/yyyy">
                  <c:v>42931</c:v>
                </c:pt>
                <c:pt idx="1677" formatCode="m/d/yyyy">
                  <c:v>42930</c:v>
                </c:pt>
                <c:pt idx="1678" formatCode="m/d/yyyy">
                  <c:v>42929</c:v>
                </c:pt>
                <c:pt idx="1679" formatCode="m/d/yyyy">
                  <c:v>42928</c:v>
                </c:pt>
                <c:pt idx="1680" formatCode="m/d/yyyy">
                  <c:v>42927</c:v>
                </c:pt>
                <c:pt idx="1681" formatCode="m/d/yyyy">
                  <c:v>42926</c:v>
                </c:pt>
                <c:pt idx="1682" formatCode="m/d/yyyy">
                  <c:v>42925</c:v>
                </c:pt>
                <c:pt idx="1683" formatCode="m/d/yyyy">
                  <c:v>42924</c:v>
                </c:pt>
                <c:pt idx="1684" formatCode="m/d/yyyy">
                  <c:v>42923</c:v>
                </c:pt>
                <c:pt idx="1685" formatCode="m/d/yyyy">
                  <c:v>42922</c:v>
                </c:pt>
                <c:pt idx="1686" formatCode="m/d/yyyy">
                  <c:v>42921</c:v>
                </c:pt>
                <c:pt idx="1687" formatCode="m/d/yyyy">
                  <c:v>42920</c:v>
                </c:pt>
                <c:pt idx="1688" formatCode="m/d/yyyy">
                  <c:v>42919</c:v>
                </c:pt>
                <c:pt idx="1689" formatCode="m/d/yyyy">
                  <c:v>42918</c:v>
                </c:pt>
                <c:pt idx="1690" formatCode="m/d/yyyy">
                  <c:v>42917</c:v>
                </c:pt>
                <c:pt idx="1691" formatCode="m/d/yyyy">
                  <c:v>42916</c:v>
                </c:pt>
                <c:pt idx="1692" formatCode="m/d/yyyy">
                  <c:v>42915</c:v>
                </c:pt>
                <c:pt idx="1693" formatCode="m/d/yyyy">
                  <c:v>42914</c:v>
                </c:pt>
                <c:pt idx="1694" formatCode="m/d/yyyy">
                  <c:v>42913</c:v>
                </c:pt>
                <c:pt idx="1695" formatCode="m/d/yyyy">
                  <c:v>42912</c:v>
                </c:pt>
                <c:pt idx="1696" formatCode="m/d/yyyy">
                  <c:v>42911</c:v>
                </c:pt>
                <c:pt idx="1697" formatCode="m/d/yyyy">
                  <c:v>42910</c:v>
                </c:pt>
                <c:pt idx="1698" formatCode="m/d/yyyy">
                  <c:v>42909</c:v>
                </c:pt>
                <c:pt idx="1699" formatCode="m/d/yyyy">
                  <c:v>42908</c:v>
                </c:pt>
                <c:pt idx="1700" formatCode="m/d/yyyy">
                  <c:v>42907</c:v>
                </c:pt>
                <c:pt idx="1701" formatCode="m/d/yyyy">
                  <c:v>42906</c:v>
                </c:pt>
                <c:pt idx="1702" formatCode="m/d/yyyy">
                  <c:v>42905</c:v>
                </c:pt>
                <c:pt idx="1703" formatCode="m/d/yyyy">
                  <c:v>42904</c:v>
                </c:pt>
                <c:pt idx="1704" formatCode="m/d/yyyy">
                  <c:v>42903</c:v>
                </c:pt>
                <c:pt idx="1705" formatCode="m/d/yyyy">
                  <c:v>42902</c:v>
                </c:pt>
                <c:pt idx="1706" formatCode="m/d/yyyy">
                  <c:v>42901</c:v>
                </c:pt>
                <c:pt idx="1707" formatCode="m/d/yyyy">
                  <c:v>42900</c:v>
                </c:pt>
                <c:pt idx="1708" formatCode="m/d/yyyy">
                  <c:v>42899</c:v>
                </c:pt>
                <c:pt idx="1709" formatCode="m/d/yyyy">
                  <c:v>42898</c:v>
                </c:pt>
                <c:pt idx="1710" formatCode="m/d/yyyy">
                  <c:v>42897</c:v>
                </c:pt>
                <c:pt idx="1711" formatCode="m/d/yyyy">
                  <c:v>42896</c:v>
                </c:pt>
                <c:pt idx="1712" formatCode="m/d/yyyy">
                  <c:v>42895</c:v>
                </c:pt>
                <c:pt idx="1713" formatCode="m/d/yyyy">
                  <c:v>42894</c:v>
                </c:pt>
                <c:pt idx="1714" formatCode="m/d/yyyy">
                  <c:v>42893</c:v>
                </c:pt>
                <c:pt idx="1715" formatCode="m/d/yyyy">
                  <c:v>42892</c:v>
                </c:pt>
                <c:pt idx="1716" formatCode="m/d/yyyy">
                  <c:v>42891</c:v>
                </c:pt>
                <c:pt idx="1717" formatCode="m/d/yyyy">
                  <c:v>42890</c:v>
                </c:pt>
                <c:pt idx="1718" formatCode="m/d/yyyy">
                  <c:v>42889</c:v>
                </c:pt>
                <c:pt idx="1719" formatCode="m/d/yyyy">
                  <c:v>42888</c:v>
                </c:pt>
                <c:pt idx="1720" formatCode="m/d/yyyy">
                  <c:v>42887</c:v>
                </c:pt>
                <c:pt idx="1721" formatCode="m/d/yyyy">
                  <c:v>42886</c:v>
                </c:pt>
                <c:pt idx="1722" formatCode="m/d/yyyy">
                  <c:v>42885</c:v>
                </c:pt>
                <c:pt idx="1723" formatCode="m/d/yyyy">
                  <c:v>42884</c:v>
                </c:pt>
                <c:pt idx="1724" formatCode="m/d/yyyy">
                  <c:v>42883</c:v>
                </c:pt>
                <c:pt idx="1725" formatCode="m/d/yyyy">
                  <c:v>42882</c:v>
                </c:pt>
                <c:pt idx="1726" formatCode="m/d/yyyy">
                  <c:v>42881</c:v>
                </c:pt>
                <c:pt idx="1727" formatCode="m/d/yyyy">
                  <c:v>42880</c:v>
                </c:pt>
                <c:pt idx="1728" formatCode="m/d/yyyy">
                  <c:v>42879</c:v>
                </c:pt>
                <c:pt idx="1729" formatCode="m/d/yyyy">
                  <c:v>42878</c:v>
                </c:pt>
                <c:pt idx="1730" formatCode="m/d/yyyy">
                  <c:v>42877</c:v>
                </c:pt>
                <c:pt idx="1731" formatCode="m/d/yyyy">
                  <c:v>42876</c:v>
                </c:pt>
                <c:pt idx="1732" formatCode="m/d/yyyy">
                  <c:v>42875</c:v>
                </c:pt>
                <c:pt idx="1733" formatCode="m/d/yyyy">
                  <c:v>42874</c:v>
                </c:pt>
                <c:pt idx="1734" formatCode="m/d/yyyy">
                  <c:v>42873</c:v>
                </c:pt>
                <c:pt idx="1735" formatCode="m/d/yyyy">
                  <c:v>42872</c:v>
                </c:pt>
                <c:pt idx="1736" formatCode="m/d/yyyy">
                  <c:v>42871</c:v>
                </c:pt>
                <c:pt idx="1737" formatCode="m/d/yyyy">
                  <c:v>42870</c:v>
                </c:pt>
                <c:pt idx="1738" formatCode="m/d/yyyy">
                  <c:v>42869</c:v>
                </c:pt>
                <c:pt idx="1739" formatCode="m/d/yyyy">
                  <c:v>42868</c:v>
                </c:pt>
                <c:pt idx="1740" formatCode="m/d/yyyy">
                  <c:v>42867</c:v>
                </c:pt>
                <c:pt idx="1741" formatCode="m/d/yyyy">
                  <c:v>42866</c:v>
                </c:pt>
                <c:pt idx="1742" formatCode="m/d/yyyy">
                  <c:v>42865</c:v>
                </c:pt>
                <c:pt idx="1743" formatCode="m/d/yyyy">
                  <c:v>42864</c:v>
                </c:pt>
                <c:pt idx="1744" formatCode="m/d/yyyy">
                  <c:v>42863</c:v>
                </c:pt>
                <c:pt idx="1745" formatCode="m/d/yyyy">
                  <c:v>42862</c:v>
                </c:pt>
                <c:pt idx="1746" formatCode="m/d/yyyy">
                  <c:v>42861</c:v>
                </c:pt>
                <c:pt idx="1747" formatCode="m/d/yyyy">
                  <c:v>42860</c:v>
                </c:pt>
                <c:pt idx="1748" formatCode="m/d/yyyy">
                  <c:v>42859</c:v>
                </c:pt>
                <c:pt idx="1749" formatCode="m/d/yyyy">
                  <c:v>42858</c:v>
                </c:pt>
                <c:pt idx="1750" formatCode="m/d/yyyy">
                  <c:v>42857</c:v>
                </c:pt>
                <c:pt idx="1751" formatCode="m/d/yyyy">
                  <c:v>42856</c:v>
                </c:pt>
                <c:pt idx="1752" formatCode="m/d/yyyy">
                  <c:v>42855</c:v>
                </c:pt>
                <c:pt idx="1753" formatCode="m/d/yyyy">
                  <c:v>42854</c:v>
                </c:pt>
                <c:pt idx="1754" formatCode="m/d/yyyy">
                  <c:v>42853</c:v>
                </c:pt>
                <c:pt idx="1755" formatCode="m/d/yyyy">
                  <c:v>42852</c:v>
                </c:pt>
                <c:pt idx="1756" formatCode="m/d/yyyy">
                  <c:v>42851</c:v>
                </c:pt>
                <c:pt idx="1757" formatCode="m/d/yyyy">
                  <c:v>42850</c:v>
                </c:pt>
                <c:pt idx="1758" formatCode="m/d/yyyy">
                  <c:v>42849</c:v>
                </c:pt>
                <c:pt idx="1759" formatCode="m/d/yyyy">
                  <c:v>42848</c:v>
                </c:pt>
                <c:pt idx="1760" formatCode="m/d/yyyy">
                  <c:v>42847</c:v>
                </c:pt>
                <c:pt idx="1761" formatCode="m/d/yyyy">
                  <c:v>42846</c:v>
                </c:pt>
                <c:pt idx="1762" formatCode="m/d/yyyy">
                  <c:v>42845</c:v>
                </c:pt>
                <c:pt idx="1763" formatCode="m/d/yyyy">
                  <c:v>42844</c:v>
                </c:pt>
                <c:pt idx="1764" formatCode="m/d/yyyy">
                  <c:v>42843</c:v>
                </c:pt>
                <c:pt idx="1765" formatCode="m/d/yyyy">
                  <c:v>42842</c:v>
                </c:pt>
                <c:pt idx="1766" formatCode="m/d/yyyy">
                  <c:v>42841</c:v>
                </c:pt>
                <c:pt idx="1767" formatCode="m/d/yyyy">
                  <c:v>42840</c:v>
                </c:pt>
                <c:pt idx="1768" formatCode="m/d/yyyy">
                  <c:v>42839</c:v>
                </c:pt>
                <c:pt idx="1769" formatCode="m/d/yyyy">
                  <c:v>42838</c:v>
                </c:pt>
                <c:pt idx="1770" formatCode="m/d/yyyy">
                  <c:v>42837</c:v>
                </c:pt>
                <c:pt idx="1771" formatCode="m/d/yyyy">
                  <c:v>42836</c:v>
                </c:pt>
                <c:pt idx="1772" formatCode="m/d/yyyy">
                  <c:v>42835</c:v>
                </c:pt>
                <c:pt idx="1773" formatCode="m/d/yyyy">
                  <c:v>42834</c:v>
                </c:pt>
                <c:pt idx="1774" formatCode="m/d/yyyy">
                  <c:v>42833</c:v>
                </c:pt>
                <c:pt idx="1775" formatCode="m/d/yyyy">
                  <c:v>42832</c:v>
                </c:pt>
                <c:pt idx="1776" formatCode="m/d/yyyy">
                  <c:v>42831</c:v>
                </c:pt>
                <c:pt idx="1777" formatCode="m/d/yyyy">
                  <c:v>42830</c:v>
                </c:pt>
                <c:pt idx="1778" formatCode="m/d/yyyy">
                  <c:v>42829</c:v>
                </c:pt>
                <c:pt idx="1779" formatCode="m/d/yyyy">
                  <c:v>42828</c:v>
                </c:pt>
                <c:pt idx="1780" formatCode="m/d/yyyy">
                  <c:v>42827</c:v>
                </c:pt>
                <c:pt idx="1781" formatCode="m/d/yyyy">
                  <c:v>42826</c:v>
                </c:pt>
                <c:pt idx="1782" formatCode="m/d/yyyy">
                  <c:v>42825</c:v>
                </c:pt>
                <c:pt idx="1783" formatCode="m/d/yyyy">
                  <c:v>42824</c:v>
                </c:pt>
                <c:pt idx="1784" formatCode="m/d/yyyy">
                  <c:v>42823</c:v>
                </c:pt>
                <c:pt idx="1785" formatCode="m/d/yyyy">
                  <c:v>42822</c:v>
                </c:pt>
                <c:pt idx="1786" formatCode="m/d/yyyy">
                  <c:v>42821</c:v>
                </c:pt>
                <c:pt idx="1787" formatCode="m/d/yyyy">
                  <c:v>42820</c:v>
                </c:pt>
                <c:pt idx="1788" formatCode="m/d/yyyy">
                  <c:v>42819</c:v>
                </c:pt>
                <c:pt idx="1789" formatCode="m/d/yyyy">
                  <c:v>42818</c:v>
                </c:pt>
                <c:pt idx="1790" formatCode="m/d/yyyy">
                  <c:v>42817</c:v>
                </c:pt>
                <c:pt idx="1791" formatCode="m/d/yyyy">
                  <c:v>42816</c:v>
                </c:pt>
                <c:pt idx="1792" formatCode="m/d/yyyy">
                  <c:v>42815</c:v>
                </c:pt>
                <c:pt idx="1793" formatCode="m/d/yyyy">
                  <c:v>42814</c:v>
                </c:pt>
                <c:pt idx="1794" formatCode="m/d/yyyy">
                  <c:v>42813</c:v>
                </c:pt>
                <c:pt idx="1795" formatCode="m/d/yyyy">
                  <c:v>42812</c:v>
                </c:pt>
                <c:pt idx="1796" formatCode="m/d/yyyy">
                  <c:v>42811</c:v>
                </c:pt>
                <c:pt idx="1797" formatCode="m/d/yyyy">
                  <c:v>42810</c:v>
                </c:pt>
                <c:pt idx="1798" formatCode="m/d/yyyy">
                  <c:v>42809</c:v>
                </c:pt>
                <c:pt idx="1799" formatCode="m/d/yyyy">
                  <c:v>42808</c:v>
                </c:pt>
                <c:pt idx="1800" formatCode="m/d/yyyy">
                  <c:v>42807</c:v>
                </c:pt>
                <c:pt idx="1801" formatCode="m/d/yyyy">
                  <c:v>42806</c:v>
                </c:pt>
                <c:pt idx="1802" formatCode="m/d/yyyy">
                  <c:v>42805</c:v>
                </c:pt>
                <c:pt idx="1803" formatCode="m/d/yyyy">
                  <c:v>42804</c:v>
                </c:pt>
                <c:pt idx="1804" formatCode="m/d/yyyy">
                  <c:v>42803</c:v>
                </c:pt>
                <c:pt idx="1805" formatCode="m/d/yyyy">
                  <c:v>42802</c:v>
                </c:pt>
                <c:pt idx="1806" formatCode="m/d/yyyy">
                  <c:v>42801</c:v>
                </c:pt>
                <c:pt idx="1807" formatCode="m/d/yyyy">
                  <c:v>42800</c:v>
                </c:pt>
                <c:pt idx="1808" formatCode="m/d/yyyy">
                  <c:v>42799</c:v>
                </c:pt>
                <c:pt idx="1809" formatCode="m/d/yyyy">
                  <c:v>42798</c:v>
                </c:pt>
                <c:pt idx="1810" formatCode="m/d/yyyy">
                  <c:v>42797</c:v>
                </c:pt>
                <c:pt idx="1811" formatCode="m/d/yyyy">
                  <c:v>42796</c:v>
                </c:pt>
                <c:pt idx="1812" formatCode="m/d/yyyy">
                  <c:v>42795</c:v>
                </c:pt>
                <c:pt idx="1813" formatCode="m/d/yyyy">
                  <c:v>42794</c:v>
                </c:pt>
                <c:pt idx="1814" formatCode="m/d/yyyy">
                  <c:v>42793</c:v>
                </c:pt>
                <c:pt idx="1815" formatCode="m/d/yyyy">
                  <c:v>42792</c:v>
                </c:pt>
                <c:pt idx="1816" formatCode="m/d/yyyy">
                  <c:v>42791</c:v>
                </c:pt>
                <c:pt idx="1817" formatCode="m/d/yyyy">
                  <c:v>42790</c:v>
                </c:pt>
                <c:pt idx="1818" formatCode="m/d/yyyy">
                  <c:v>42789</c:v>
                </c:pt>
                <c:pt idx="1819" formatCode="m/d/yyyy">
                  <c:v>42788</c:v>
                </c:pt>
                <c:pt idx="1820" formatCode="m/d/yyyy">
                  <c:v>42787</c:v>
                </c:pt>
                <c:pt idx="1821" formatCode="m/d/yyyy">
                  <c:v>42786</c:v>
                </c:pt>
                <c:pt idx="1822" formatCode="m/d/yyyy">
                  <c:v>42785</c:v>
                </c:pt>
                <c:pt idx="1823" formatCode="m/d/yyyy">
                  <c:v>42784</c:v>
                </c:pt>
                <c:pt idx="1824" formatCode="m/d/yyyy">
                  <c:v>42783</c:v>
                </c:pt>
                <c:pt idx="1825" formatCode="m/d/yyyy">
                  <c:v>42782</c:v>
                </c:pt>
                <c:pt idx="1826" formatCode="m/d/yyyy">
                  <c:v>42781</c:v>
                </c:pt>
              </c:numCache>
            </c:numRef>
          </c:cat>
          <c:val>
            <c:numRef>
              <c:f>Indexed!$C$4:$C$1830</c:f>
              <c:numCache>
                <c:formatCode>0</c:formatCode>
                <c:ptCount val="1827"/>
                <c:pt idx="0">
                  <c:v>0</c:v>
                </c:pt>
                <c:pt idx="1">
                  <c:v>131.98335644937586</c:v>
                </c:pt>
                <c:pt idx="2">
                  <c:v>132.12205270457699</c:v>
                </c:pt>
                <c:pt idx="3">
                  <c:v>132.12205270457699</c:v>
                </c:pt>
                <c:pt idx="4">
                  <c:v>132.12205270457699</c:v>
                </c:pt>
                <c:pt idx="5">
                  <c:v>135.53398058252429</c:v>
                </c:pt>
                <c:pt idx="6">
                  <c:v>138.44660194174759</c:v>
                </c:pt>
                <c:pt idx="7">
                  <c:v>135.39528432732317</c:v>
                </c:pt>
                <c:pt idx="8">
                  <c:v>133.6477115117892</c:v>
                </c:pt>
                <c:pt idx="9">
                  <c:v>133.17614424410542</c:v>
                </c:pt>
                <c:pt idx="10">
                  <c:v>133.17614424410542</c:v>
                </c:pt>
                <c:pt idx="11">
                  <c:v>133.17614424410542</c:v>
                </c:pt>
                <c:pt idx="12">
                  <c:v>133.92510402219142</c:v>
                </c:pt>
                <c:pt idx="13">
                  <c:v>137.3370319001387</c:v>
                </c:pt>
                <c:pt idx="14">
                  <c:v>135.78363384188629</c:v>
                </c:pt>
                <c:pt idx="15">
                  <c:v>135.4230235783634</c:v>
                </c:pt>
                <c:pt idx="16">
                  <c:v>132.39944521497918</c:v>
                </c:pt>
                <c:pt idx="17">
                  <c:v>132.39944521497918</c:v>
                </c:pt>
                <c:pt idx="18">
                  <c:v>132.39944521497918</c:v>
                </c:pt>
                <c:pt idx="19">
                  <c:v>133.28710124826631</c:v>
                </c:pt>
                <c:pt idx="20">
                  <c:v>143.38418862690708</c:v>
                </c:pt>
                <c:pt idx="21">
                  <c:v>141.47018030513178</c:v>
                </c:pt>
                <c:pt idx="22">
                  <c:v>144.07766990291262</c:v>
                </c:pt>
                <c:pt idx="23">
                  <c:v>144.35506241331484</c:v>
                </c:pt>
                <c:pt idx="24">
                  <c:v>144.35506241331484</c:v>
                </c:pt>
                <c:pt idx="25">
                  <c:v>144.35506241331484</c:v>
                </c:pt>
                <c:pt idx="26">
                  <c:v>144.35506241331484</c:v>
                </c:pt>
                <c:pt idx="27">
                  <c:v>148.73786407766991</c:v>
                </c:pt>
                <c:pt idx="28">
                  <c:v>151.9001386962552</c:v>
                </c:pt>
                <c:pt idx="29">
                  <c:v>154.50762829403607</c:v>
                </c:pt>
                <c:pt idx="30">
                  <c:v>154.50762829403607</c:v>
                </c:pt>
                <c:pt idx="31">
                  <c:v>154.50762829403607</c:v>
                </c:pt>
                <c:pt idx="32">
                  <c:v>154.50762829403607</c:v>
                </c:pt>
                <c:pt idx="33">
                  <c:v>152.39944521497921</c:v>
                </c:pt>
                <c:pt idx="34">
                  <c:v>154.61858529819696</c:v>
                </c:pt>
                <c:pt idx="35">
                  <c:v>155.09015256588071</c:v>
                </c:pt>
                <c:pt idx="36">
                  <c:v>153.14840499306521</c:v>
                </c:pt>
                <c:pt idx="37">
                  <c:v>148.2385575589459</c:v>
                </c:pt>
                <c:pt idx="38">
                  <c:v>148.2385575589459</c:v>
                </c:pt>
                <c:pt idx="39">
                  <c:v>148.2385575589459</c:v>
                </c:pt>
                <c:pt idx="40">
                  <c:v>149.81969486823857</c:v>
                </c:pt>
                <c:pt idx="41">
                  <c:v>149.43134535367545</c:v>
                </c:pt>
                <c:pt idx="42">
                  <c:v>147.40638002773926</c:v>
                </c:pt>
                <c:pt idx="43">
                  <c:v>147.60055478502082</c:v>
                </c:pt>
                <c:pt idx="44">
                  <c:v>142.85714285714286</c:v>
                </c:pt>
                <c:pt idx="45">
                  <c:v>142.85714285714286</c:v>
                </c:pt>
                <c:pt idx="46">
                  <c:v>142.85714285714286</c:v>
                </c:pt>
                <c:pt idx="47">
                  <c:v>143.5228848821082</c:v>
                </c:pt>
                <c:pt idx="48">
                  <c:v>143.77253814147019</c:v>
                </c:pt>
                <c:pt idx="49">
                  <c:v>143.57836338418863</c:v>
                </c:pt>
                <c:pt idx="50">
                  <c:v>144.07766990291262</c:v>
                </c:pt>
                <c:pt idx="51">
                  <c:v>142.33009708737865</c:v>
                </c:pt>
                <c:pt idx="52">
                  <c:v>142.33009708737865</c:v>
                </c:pt>
                <c:pt idx="53">
                  <c:v>142.33009708737865</c:v>
                </c:pt>
                <c:pt idx="54">
                  <c:v>142.33009708737865</c:v>
                </c:pt>
                <c:pt idx="55">
                  <c:v>141.38696255201111</c:v>
                </c:pt>
                <c:pt idx="56">
                  <c:v>140.83217753120667</c:v>
                </c:pt>
                <c:pt idx="57">
                  <c:v>137.58668515950069</c:v>
                </c:pt>
                <c:pt idx="58">
                  <c:v>140.41608876560335</c:v>
                </c:pt>
                <c:pt idx="59">
                  <c:v>140.41608876560335</c:v>
                </c:pt>
                <c:pt idx="60">
                  <c:v>140.41608876560335</c:v>
                </c:pt>
                <c:pt idx="61">
                  <c:v>140.998613037448</c:v>
                </c:pt>
                <c:pt idx="62">
                  <c:v>140.55478502080445</c:v>
                </c:pt>
                <c:pt idx="63">
                  <c:v>137.86407766990294</c:v>
                </c:pt>
                <c:pt idx="64">
                  <c:v>138.69625520110958</c:v>
                </c:pt>
                <c:pt idx="65">
                  <c:v>140.33287101248268</c:v>
                </c:pt>
                <c:pt idx="66">
                  <c:v>140.33287101248268</c:v>
                </c:pt>
                <c:pt idx="67">
                  <c:v>140.33287101248268</c:v>
                </c:pt>
                <c:pt idx="68">
                  <c:v>140.02773925104023</c:v>
                </c:pt>
                <c:pt idx="69">
                  <c:v>143.5506241331484</c:v>
                </c:pt>
                <c:pt idx="70">
                  <c:v>145.82524271844662</c:v>
                </c:pt>
                <c:pt idx="71">
                  <c:v>141.44244105409157</c:v>
                </c:pt>
                <c:pt idx="72">
                  <c:v>136.61581137309292</c:v>
                </c:pt>
                <c:pt idx="73">
                  <c:v>136.61581137309292</c:v>
                </c:pt>
                <c:pt idx="74">
                  <c:v>136.61581137309292</c:v>
                </c:pt>
                <c:pt idx="75">
                  <c:v>137.30929264909847</c:v>
                </c:pt>
                <c:pt idx="76">
                  <c:v>134.81276005547852</c:v>
                </c:pt>
                <c:pt idx="77">
                  <c:v>136.47711511789186</c:v>
                </c:pt>
                <c:pt idx="78">
                  <c:v>138.69625520110958</c:v>
                </c:pt>
                <c:pt idx="79">
                  <c:v>135.3120665742025</c:v>
                </c:pt>
                <c:pt idx="80">
                  <c:v>135.3120665742025</c:v>
                </c:pt>
                <c:pt idx="81">
                  <c:v>135.3120665742025</c:v>
                </c:pt>
                <c:pt idx="82">
                  <c:v>138.03051317614427</c:v>
                </c:pt>
                <c:pt idx="83">
                  <c:v>138.03051317614427</c:v>
                </c:pt>
                <c:pt idx="84">
                  <c:v>136.1997226074896</c:v>
                </c:pt>
                <c:pt idx="85">
                  <c:v>138.2246879334258</c:v>
                </c:pt>
                <c:pt idx="86">
                  <c:v>137.36477115117893</c:v>
                </c:pt>
                <c:pt idx="87">
                  <c:v>137.36477115117893</c:v>
                </c:pt>
                <c:pt idx="88">
                  <c:v>137.36477115117893</c:v>
                </c:pt>
                <c:pt idx="89">
                  <c:v>137.80859916782248</c:v>
                </c:pt>
                <c:pt idx="90">
                  <c:v>139.33425797503466</c:v>
                </c:pt>
                <c:pt idx="91">
                  <c:v>140.38834951456312</c:v>
                </c:pt>
                <c:pt idx="92">
                  <c:v>139.58391123439668</c:v>
                </c:pt>
                <c:pt idx="93">
                  <c:v>139.55617198335645</c:v>
                </c:pt>
                <c:pt idx="94">
                  <c:v>139.55617198335645</c:v>
                </c:pt>
                <c:pt idx="95">
                  <c:v>139.55617198335645</c:v>
                </c:pt>
                <c:pt idx="96">
                  <c:v>140.16643550624136</c:v>
                </c:pt>
                <c:pt idx="97">
                  <c:v>140.80443828016644</c:v>
                </c:pt>
                <c:pt idx="98">
                  <c:v>142.02496532593622</c:v>
                </c:pt>
                <c:pt idx="99">
                  <c:v>142.99583911234396</c:v>
                </c:pt>
                <c:pt idx="100">
                  <c:v>141.24826629680999</c:v>
                </c:pt>
                <c:pt idx="101">
                  <c:v>141.24826629680999</c:v>
                </c:pt>
                <c:pt idx="102">
                  <c:v>141.24826629680999</c:v>
                </c:pt>
                <c:pt idx="103">
                  <c:v>139.55617198335645</c:v>
                </c:pt>
                <c:pt idx="104">
                  <c:v>139.77808599167824</c:v>
                </c:pt>
                <c:pt idx="105">
                  <c:v>138.30790568654646</c:v>
                </c:pt>
                <c:pt idx="106">
                  <c:v>137.44798890429959</c:v>
                </c:pt>
                <c:pt idx="107">
                  <c:v>135.92233009708738</c:v>
                </c:pt>
                <c:pt idx="108">
                  <c:v>135.92233009708738</c:v>
                </c:pt>
                <c:pt idx="109">
                  <c:v>135.92233009708738</c:v>
                </c:pt>
                <c:pt idx="110">
                  <c:v>133.37031900138697</c:v>
                </c:pt>
                <c:pt idx="111">
                  <c:v>132.84327323162276</c:v>
                </c:pt>
                <c:pt idx="112">
                  <c:v>133.92510402219142</c:v>
                </c:pt>
                <c:pt idx="113">
                  <c:v>137.05963938973647</c:v>
                </c:pt>
                <c:pt idx="114">
                  <c:v>137.1983356449376</c:v>
                </c:pt>
                <c:pt idx="115">
                  <c:v>137.1983356449376</c:v>
                </c:pt>
                <c:pt idx="116">
                  <c:v>137.1983356449376</c:v>
                </c:pt>
                <c:pt idx="117">
                  <c:v>155.33980582524273</c:v>
                </c:pt>
                <c:pt idx="118">
                  <c:v>153.59223300970874</c:v>
                </c:pt>
                <c:pt idx="119">
                  <c:v>153.14840499306521</c:v>
                </c:pt>
                <c:pt idx="120">
                  <c:v>151.09570041608876</c:v>
                </c:pt>
                <c:pt idx="121">
                  <c:v>151.06796116504856</c:v>
                </c:pt>
                <c:pt idx="122">
                  <c:v>151.06796116504856</c:v>
                </c:pt>
                <c:pt idx="123">
                  <c:v>151.06796116504856</c:v>
                </c:pt>
                <c:pt idx="124">
                  <c:v>149.51456310679612</c:v>
                </c:pt>
                <c:pt idx="125">
                  <c:v>144.96532593619972</c:v>
                </c:pt>
                <c:pt idx="126">
                  <c:v>144.71567267683773</c:v>
                </c:pt>
                <c:pt idx="127">
                  <c:v>148.2385575589459</c:v>
                </c:pt>
                <c:pt idx="128">
                  <c:v>149.26490984743415</c:v>
                </c:pt>
                <c:pt idx="129">
                  <c:v>149.26490984743415</c:v>
                </c:pt>
                <c:pt idx="130">
                  <c:v>149.26490984743415</c:v>
                </c:pt>
                <c:pt idx="131">
                  <c:v>150.29126213592235</c:v>
                </c:pt>
                <c:pt idx="132">
                  <c:v>149.73647711511791</c:v>
                </c:pt>
                <c:pt idx="133">
                  <c:v>149.65325936199724</c:v>
                </c:pt>
                <c:pt idx="134">
                  <c:v>148.32177531206659</c:v>
                </c:pt>
                <c:pt idx="135">
                  <c:v>149.40360610263522</c:v>
                </c:pt>
                <c:pt idx="136">
                  <c:v>149.40360610263522</c:v>
                </c:pt>
                <c:pt idx="137">
                  <c:v>149.40360610263522</c:v>
                </c:pt>
                <c:pt idx="138">
                  <c:v>147.79472954230238</c:v>
                </c:pt>
                <c:pt idx="139">
                  <c:v>148.37725381414702</c:v>
                </c:pt>
                <c:pt idx="140">
                  <c:v>149.79195561719837</c:v>
                </c:pt>
                <c:pt idx="141">
                  <c:v>151.62274618585298</c:v>
                </c:pt>
                <c:pt idx="142">
                  <c:v>150.40221914008322</c:v>
                </c:pt>
                <c:pt idx="143">
                  <c:v>150.40221914008322</c:v>
                </c:pt>
                <c:pt idx="144">
                  <c:v>150.40221914008322</c:v>
                </c:pt>
                <c:pt idx="145">
                  <c:v>149.875173370319</c:v>
                </c:pt>
                <c:pt idx="146">
                  <c:v>148.40499306518723</c:v>
                </c:pt>
                <c:pt idx="147">
                  <c:v>146.65742024965326</c:v>
                </c:pt>
                <c:pt idx="148">
                  <c:v>146.96255201109568</c:v>
                </c:pt>
                <c:pt idx="149">
                  <c:v>150.51317614424411</c:v>
                </c:pt>
                <c:pt idx="150">
                  <c:v>150.51317614424411</c:v>
                </c:pt>
                <c:pt idx="151">
                  <c:v>150.51317614424411</c:v>
                </c:pt>
                <c:pt idx="152">
                  <c:v>152.09431345353676</c:v>
                </c:pt>
                <c:pt idx="153">
                  <c:v>152.89875173370319</c:v>
                </c:pt>
                <c:pt idx="154">
                  <c:v>151.23439667128991</c:v>
                </c:pt>
                <c:pt idx="155">
                  <c:v>152.53814147018034</c:v>
                </c:pt>
                <c:pt idx="156">
                  <c:v>149.34812760055479</c:v>
                </c:pt>
                <c:pt idx="157">
                  <c:v>149.34812760055479</c:v>
                </c:pt>
                <c:pt idx="158">
                  <c:v>149.34812760055479</c:v>
                </c:pt>
                <c:pt idx="159">
                  <c:v>148.12760055478503</c:v>
                </c:pt>
                <c:pt idx="160">
                  <c:v>148.59916782246881</c:v>
                </c:pt>
                <c:pt idx="161">
                  <c:v>148.82108183079058</c:v>
                </c:pt>
                <c:pt idx="162">
                  <c:v>148.43273231622746</c:v>
                </c:pt>
                <c:pt idx="163">
                  <c:v>148.43273231622746</c:v>
                </c:pt>
                <c:pt idx="164">
                  <c:v>148.43273231622746</c:v>
                </c:pt>
                <c:pt idx="165">
                  <c:v>148.43273231622746</c:v>
                </c:pt>
                <c:pt idx="166">
                  <c:v>149.04299583911236</c:v>
                </c:pt>
                <c:pt idx="167">
                  <c:v>148.87656033287101</c:v>
                </c:pt>
                <c:pt idx="168">
                  <c:v>149.9583911234397</c:v>
                </c:pt>
                <c:pt idx="169">
                  <c:v>149.62552011095701</c:v>
                </c:pt>
                <c:pt idx="170">
                  <c:v>149.48682385575592</c:v>
                </c:pt>
                <c:pt idx="171">
                  <c:v>149.48682385575592</c:v>
                </c:pt>
                <c:pt idx="172">
                  <c:v>149.48682385575592</c:v>
                </c:pt>
                <c:pt idx="173">
                  <c:v>147.37864077669906</c:v>
                </c:pt>
                <c:pt idx="174">
                  <c:v>149.26490984743415</c:v>
                </c:pt>
                <c:pt idx="175">
                  <c:v>149.26490984743415</c:v>
                </c:pt>
                <c:pt idx="176">
                  <c:v>147.65603328710125</c:v>
                </c:pt>
                <c:pt idx="177">
                  <c:v>144.27184466019418</c:v>
                </c:pt>
                <c:pt idx="178">
                  <c:v>144.27184466019418</c:v>
                </c:pt>
                <c:pt idx="179">
                  <c:v>144.27184466019418</c:v>
                </c:pt>
                <c:pt idx="180">
                  <c:v>145.4646324549237</c:v>
                </c:pt>
                <c:pt idx="181">
                  <c:v>144.77115117891816</c:v>
                </c:pt>
                <c:pt idx="182">
                  <c:v>146.15811373092927</c:v>
                </c:pt>
                <c:pt idx="183">
                  <c:v>148.32177531206659</c:v>
                </c:pt>
                <c:pt idx="184">
                  <c:v>148.37725381414702</c:v>
                </c:pt>
                <c:pt idx="185">
                  <c:v>148.37725381414702</c:v>
                </c:pt>
                <c:pt idx="186">
                  <c:v>148.37725381414702</c:v>
                </c:pt>
                <c:pt idx="187">
                  <c:v>148.51595006934815</c:v>
                </c:pt>
                <c:pt idx="188">
                  <c:v>150.18030513176146</c:v>
                </c:pt>
                <c:pt idx="189">
                  <c:v>149.62552011095701</c:v>
                </c:pt>
                <c:pt idx="190">
                  <c:v>149.93065187239944</c:v>
                </c:pt>
                <c:pt idx="191">
                  <c:v>149.57004160887658</c:v>
                </c:pt>
                <c:pt idx="192">
                  <c:v>149.57004160887658</c:v>
                </c:pt>
                <c:pt idx="193">
                  <c:v>149.57004160887658</c:v>
                </c:pt>
                <c:pt idx="194">
                  <c:v>149.48682385575592</c:v>
                </c:pt>
                <c:pt idx="195">
                  <c:v>149.51456310679612</c:v>
                </c:pt>
                <c:pt idx="196">
                  <c:v>149.9583911234397</c:v>
                </c:pt>
                <c:pt idx="197">
                  <c:v>148.90429958391124</c:v>
                </c:pt>
                <c:pt idx="198">
                  <c:v>149.01525658807213</c:v>
                </c:pt>
                <c:pt idx="199">
                  <c:v>149.01525658807213</c:v>
                </c:pt>
                <c:pt idx="200">
                  <c:v>149.01525658807213</c:v>
                </c:pt>
                <c:pt idx="201">
                  <c:v>148.9597780859917</c:v>
                </c:pt>
                <c:pt idx="202">
                  <c:v>147.2122052704577</c:v>
                </c:pt>
                <c:pt idx="203">
                  <c:v>147.51733703190015</c:v>
                </c:pt>
                <c:pt idx="204">
                  <c:v>150.65187239944524</c:v>
                </c:pt>
                <c:pt idx="205">
                  <c:v>147.01803051317614</c:v>
                </c:pt>
                <c:pt idx="206">
                  <c:v>147.01803051317614</c:v>
                </c:pt>
                <c:pt idx="207">
                  <c:v>147.01803051317614</c:v>
                </c:pt>
                <c:pt idx="208">
                  <c:v>155.22884882108187</c:v>
                </c:pt>
                <c:pt idx="209">
                  <c:v>155.97780859916784</c:v>
                </c:pt>
                <c:pt idx="210">
                  <c:v>153.23162274618588</c:v>
                </c:pt>
                <c:pt idx="211">
                  <c:v>151.56726768377254</c:v>
                </c:pt>
                <c:pt idx="212">
                  <c:v>152.48266296809987</c:v>
                </c:pt>
                <c:pt idx="213">
                  <c:v>152.48266296809987</c:v>
                </c:pt>
                <c:pt idx="214">
                  <c:v>152.48266296809987</c:v>
                </c:pt>
                <c:pt idx="215">
                  <c:v>154.81276005547852</c:v>
                </c:pt>
                <c:pt idx="216">
                  <c:v>156.78224687933428</c:v>
                </c:pt>
                <c:pt idx="217">
                  <c:v>157.75312066574202</c:v>
                </c:pt>
                <c:pt idx="218">
                  <c:v>157.36477115117893</c:v>
                </c:pt>
                <c:pt idx="219">
                  <c:v>155.3120665742025</c:v>
                </c:pt>
                <c:pt idx="220">
                  <c:v>155.3120665742025</c:v>
                </c:pt>
                <c:pt idx="221">
                  <c:v>155.3120665742025</c:v>
                </c:pt>
                <c:pt idx="222">
                  <c:v>153.6477115117892</c:v>
                </c:pt>
                <c:pt idx="223">
                  <c:v>155.22884882108187</c:v>
                </c:pt>
                <c:pt idx="224">
                  <c:v>155.58945908460473</c:v>
                </c:pt>
                <c:pt idx="225">
                  <c:v>157.44798890429959</c:v>
                </c:pt>
                <c:pt idx="226">
                  <c:v>157.44798890429959</c:v>
                </c:pt>
                <c:pt idx="227">
                  <c:v>157.44798890429959</c:v>
                </c:pt>
                <c:pt idx="228">
                  <c:v>157.44798890429959</c:v>
                </c:pt>
                <c:pt idx="229">
                  <c:v>155.36754507628294</c:v>
                </c:pt>
                <c:pt idx="230">
                  <c:v>155.72815533980585</c:v>
                </c:pt>
                <c:pt idx="231">
                  <c:v>157.42024965325939</c:v>
                </c:pt>
                <c:pt idx="232">
                  <c:v>159.44521497919558</c:v>
                </c:pt>
                <c:pt idx="233">
                  <c:v>155.09015256588071</c:v>
                </c:pt>
                <c:pt idx="234">
                  <c:v>155.09015256588071</c:v>
                </c:pt>
                <c:pt idx="235">
                  <c:v>155.09015256588071</c:v>
                </c:pt>
                <c:pt idx="236">
                  <c:v>155.53398058252426</c:v>
                </c:pt>
                <c:pt idx="237">
                  <c:v>153.28710124826631</c:v>
                </c:pt>
                <c:pt idx="238">
                  <c:v>154.97919556171985</c:v>
                </c:pt>
                <c:pt idx="239">
                  <c:v>154.97919556171985</c:v>
                </c:pt>
                <c:pt idx="240">
                  <c:v>154.4244105409154</c:v>
                </c:pt>
                <c:pt idx="241">
                  <c:v>154.4244105409154</c:v>
                </c:pt>
                <c:pt idx="242">
                  <c:v>154.4244105409154</c:v>
                </c:pt>
                <c:pt idx="243">
                  <c:v>158.61303744798892</c:v>
                </c:pt>
                <c:pt idx="244">
                  <c:v>158.72399445214981</c:v>
                </c:pt>
                <c:pt idx="245">
                  <c:v>160.8599167822469</c:v>
                </c:pt>
                <c:pt idx="246">
                  <c:v>161.41470180305134</c:v>
                </c:pt>
                <c:pt idx="247">
                  <c:v>160.47156726768378</c:v>
                </c:pt>
                <c:pt idx="248">
                  <c:v>160.47156726768378</c:v>
                </c:pt>
                <c:pt idx="249">
                  <c:v>160.47156726768378</c:v>
                </c:pt>
                <c:pt idx="250">
                  <c:v>159.16782246879336</c:v>
                </c:pt>
                <c:pt idx="251">
                  <c:v>158.11373092926493</c:v>
                </c:pt>
                <c:pt idx="252">
                  <c:v>158.11373092926493</c:v>
                </c:pt>
                <c:pt idx="253">
                  <c:v>158.36338418862692</c:v>
                </c:pt>
                <c:pt idx="254">
                  <c:v>159.14008321775313</c:v>
                </c:pt>
                <c:pt idx="255">
                  <c:v>159.14008321775313</c:v>
                </c:pt>
                <c:pt idx="256">
                  <c:v>159.14008321775313</c:v>
                </c:pt>
                <c:pt idx="257">
                  <c:v>156.00554785020805</c:v>
                </c:pt>
                <c:pt idx="258">
                  <c:v>159.44521497919558</c:v>
                </c:pt>
                <c:pt idx="259">
                  <c:v>157.80859916782248</c:v>
                </c:pt>
                <c:pt idx="260">
                  <c:v>158.44660194174759</c:v>
                </c:pt>
                <c:pt idx="261">
                  <c:v>158.44660194174759</c:v>
                </c:pt>
                <c:pt idx="262">
                  <c:v>158.44660194174759</c:v>
                </c:pt>
                <c:pt idx="263">
                  <c:v>158.44660194174759</c:v>
                </c:pt>
                <c:pt idx="264">
                  <c:v>160.13869625520113</c:v>
                </c:pt>
                <c:pt idx="265">
                  <c:v>157.89181692094317</c:v>
                </c:pt>
                <c:pt idx="266">
                  <c:v>157.75312066574202</c:v>
                </c:pt>
                <c:pt idx="267">
                  <c:v>158.00277392510404</c:v>
                </c:pt>
                <c:pt idx="268">
                  <c:v>155.5617198335645</c:v>
                </c:pt>
                <c:pt idx="269">
                  <c:v>155.5617198335645</c:v>
                </c:pt>
                <c:pt idx="270">
                  <c:v>155.5617198335645</c:v>
                </c:pt>
                <c:pt idx="271">
                  <c:v>155.20110957004164</c:v>
                </c:pt>
                <c:pt idx="272">
                  <c:v>153.5644937586685</c:v>
                </c:pt>
                <c:pt idx="273">
                  <c:v>152.12205270457699</c:v>
                </c:pt>
                <c:pt idx="274">
                  <c:v>153.48127600554787</c:v>
                </c:pt>
                <c:pt idx="275">
                  <c:v>153.5367545076283</c:v>
                </c:pt>
                <c:pt idx="276">
                  <c:v>153.5367545076283</c:v>
                </c:pt>
                <c:pt idx="277">
                  <c:v>153.5367545076283</c:v>
                </c:pt>
                <c:pt idx="278">
                  <c:v>149.81969486823857</c:v>
                </c:pt>
                <c:pt idx="279">
                  <c:v>148.73786407766991</c:v>
                </c:pt>
                <c:pt idx="280">
                  <c:v>152.67683772538143</c:v>
                </c:pt>
                <c:pt idx="281">
                  <c:v>155.25658807212207</c:v>
                </c:pt>
                <c:pt idx="282">
                  <c:v>159.9722607489598</c:v>
                </c:pt>
                <c:pt idx="283">
                  <c:v>159.9722607489598</c:v>
                </c:pt>
                <c:pt idx="284">
                  <c:v>159.9722607489598</c:v>
                </c:pt>
                <c:pt idx="285">
                  <c:v>158.64077669902915</c:v>
                </c:pt>
                <c:pt idx="286">
                  <c:v>157.69764216366161</c:v>
                </c:pt>
                <c:pt idx="287">
                  <c:v>157.83633841886271</c:v>
                </c:pt>
                <c:pt idx="288">
                  <c:v>158.83495145631068</c:v>
                </c:pt>
                <c:pt idx="289">
                  <c:v>159.58391123439668</c:v>
                </c:pt>
                <c:pt idx="290">
                  <c:v>159.58391123439668</c:v>
                </c:pt>
                <c:pt idx="291">
                  <c:v>159.58391123439668</c:v>
                </c:pt>
                <c:pt idx="292">
                  <c:v>161.66435506241334</c:v>
                </c:pt>
                <c:pt idx="293">
                  <c:v>159.83356449375867</c:v>
                </c:pt>
                <c:pt idx="294">
                  <c:v>160.80443828016644</c:v>
                </c:pt>
                <c:pt idx="295">
                  <c:v>162.99583911234396</c:v>
                </c:pt>
                <c:pt idx="296">
                  <c:v>164.32732316227464</c:v>
                </c:pt>
                <c:pt idx="297">
                  <c:v>164.32732316227464</c:v>
                </c:pt>
                <c:pt idx="298">
                  <c:v>164.32732316227464</c:v>
                </c:pt>
                <c:pt idx="299">
                  <c:v>173.56449375866853</c:v>
                </c:pt>
                <c:pt idx="300">
                  <c:v>176.69902912621362</c:v>
                </c:pt>
                <c:pt idx="301">
                  <c:v>173.92510402219142</c:v>
                </c:pt>
                <c:pt idx="302">
                  <c:v>176.50485436893206</c:v>
                </c:pt>
                <c:pt idx="303">
                  <c:v>179.61165048543691</c:v>
                </c:pt>
                <c:pt idx="304">
                  <c:v>179.61165048543691</c:v>
                </c:pt>
                <c:pt idx="305">
                  <c:v>179.61165048543691</c:v>
                </c:pt>
                <c:pt idx="306">
                  <c:v>180.36061026352289</c:v>
                </c:pt>
                <c:pt idx="307">
                  <c:v>178.05825242718447</c:v>
                </c:pt>
                <c:pt idx="308">
                  <c:v>180.91539528432733</c:v>
                </c:pt>
                <c:pt idx="309">
                  <c:v>181.42857142857144</c:v>
                </c:pt>
                <c:pt idx="310">
                  <c:v>189.34812760055482</c:v>
                </c:pt>
                <c:pt idx="311">
                  <c:v>189.34812760055482</c:v>
                </c:pt>
                <c:pt idx="312">
                  <c:v>189.34812760055482</c:v>
                </c:pt>
                <c:pt idx="313">
                  <c:v>185.99167822468794</c:v>
                </c:pt>
                <c:pt idx="314">
                  <c:v>183.77253814147019</c:v>
                </c:pt>
                <c:pt idx="315">
                  <c:v>181.85852981969489</c:v>
                </c:pt>
                <c:pt idx="316">
                  <c:v>184.57697642163663</c:v>
                </c:pt>
                <c:pt idx="317">
                  <c:v>179.05686546463247</c:v>
                </c:pt>
                <c:pt idx="318">
                  <c:v>179.05686546463247</c:v>
                </c:pt>
                <c:pt idx="319">
                  <c:v>179.05686546463247</c:v>
                </c:pt>
                <c:pt idx="320">
                  <c:v>179.05686546463247</c:v>
                </c:pt>
                <c:pt idx="321">
                  <c:v>177.53120665742026</c:v>
                </c:pt>
                <c:pt idx="322">
                  <c:v>176.89320388349518</c:v>
                </c:pt>
                <c:pt idx="323">
                  <c:v>178.91816920943137</c:v>
                </c:pt>
                <c:pt idx="324">
                  <c:v>179.94452149791957</c:v>
                </c:pt>
                <c:pt idx="325">
                  <c:v>179.94452149791957</c:v>
                </c:pt>
                <c:pt idx="326">
                  <c:v>179.94452149791957</c:v>
                </c:pt>
                <c:pt idx="327">
                  <c:v>172.03883495145632</c:v>
                </c:pt>
                <c:pt idx="328">
                  <c:v>172.09431345353676</c:v>
                </c:pt>
                <c:pt idx="329">
                  <c:v>176.08876560332871</c:v>
                </c:pt>
                <c:pt idx="330">
                  <c:v>182.05270457697642</c:v>
                </c:pt>
                <c:pt idx="331">
                  <c:v>176.86546463245494</c:v>
                </c:pt>
                <c:pt idx="332">
                  <c:v>176.86546463245494</c:v>
                </c:pt>
                <c:pt idx="333">
                  <c:v>176.86546463245494</c:v>
                </c:pt>
                <c:pt idx="334">
                  <c:v>176.76837725381415</c:v>
                </c:pt>
                <c:pt idx="335">
                  <c:v>182.46879334257977</c:v>
                </c:pt>
                <c:pt idx="336">
                  <c:v>179.69486823855758</c:v>
                </c:pt>
                <c:pt idx="337">
                  <c:v>176.94868238557561</c:v>
                </c:pt>
                <c:pt idx="338">
                  <c:v>174.47988904299586</c:v>
                </c:pt>
                <c:pt idx="339">
                  <c:v>174.47988904299586</c:v>
                </c:pt>
                <c:pt idx="340">
                  <c:v>174.47988904299586</c:v>
                </c:pt>
                <c:pt idx="341">
                  <c:v>175.61719833564496</c:v>
                </c:pt>
                <c:pt idx="342">
                  <c:v>172.67683772538143</c:v>
                </c:pt>
                <c:pt idx="343">
                  <c:v>173.84188626907076</c:v>
                </c:pt>
                <c:pt idx="344">
                  <c:v>166.01941747572818</c:v>
                </c:pt>
                <c:pt idx="345">
                  <c:v>168.48821081830792</c:v>
                </c:pt>
                <c:pt idx="346">
                  <c:v>168.48821081830792</c:v>
                </c:pt>
                <c:pt idx="347">
                  <c:v>168.48821081830792</c:v>
                </c:pt>
                <c:pt idx="348">
                  <c:v>161.80305131761443</c:v>
                </c:pt>
                <c:pt idx="349">
                  <c:v>166.15811373092927</c:v>
                </c:pt>
                <c:pt idx="350">
                  <c:v>169.875173370319</c:v>
                </c:pt>
                <c:pt idx="351">
                  <c:v>174.42441054091543</c:v>
                </c:pt>
                <c:pt idx="352">
                  <c:v>168.59916782246881</c:v>
                </c:pt>
                <c:pt idx="353">
                  <c:v>168.59916782246881</c:v>
                </c:pt>
                <c:pt idx="354">
                  <c:v>168.59916782246881</c:v>
                </c:pt>
                <c:pt idx="355">
                  <c:v>167.54507628294039</c:v>
                </c:pt>
                <c:pt idx="356">
                  <c:v>175.28432732316227</c:v>
                </c:pt>
                <c:pt idx="357">
                  <c:v>169.54230235783635</c:v>
                </c:pt>
                <c:pt idx="358">
                  <c:v>168.40499306518726</c:v>
                </c:pt>
                <c:pt idx="359">
                  <c:v>174.78502080443829</c:v>
                </c:pt>
                <c:pt idx="360">
                  <c:v>174.78502080443829</c:v>
                </c:pt>
                <c:pt idx="361">
                  <c:v>174.78502080443829</c:v>
                </c:pt>
                <c:pt idx="362">
                  <c:v>170.90152565880723</c:v>
                </c:pt>
                <c:pt idx="363">
                  <c:v>171.56726768377254</c:v>
                </c:pt>
                <c:pt idx="364">
                  <c:v>173.28710124826631</c:v>
                </c:pt>
                <c:pt idx="365">
                  <c:v>171.45631067961168</c:v>
                </c:pt>
                <c:pt idx="366">
                  <c:v>171.45631067961168</c:v>
                </c:pt>
                <c:pt idx="367">
                  <c:v>171.45631067961168</c:v>
                </c:pt>
                <c:pt idx="368">
                  <c:v>171.45631067961168</c:v>
                </c:pt>
                <c:pt idx="369">
                  <c:v>168.26629680998613</c:v>
                </c:pt>
                <c:pt idx="370">
                  <c:v>163.27323162274621</c:v>
                </c:pt>
                <c:pt idx="371">
                  <c:v>163.05131761442442</c:v>
                </c:pt>
                <c:pt idx="372">
                  <c:v>164.10540915395285</c:v>
                </c:pt>
                <c:pt idx="373">
                  <c:v>161.38696255201111</c:v>
                </c:pt>
                <c:pt idx="374">
                  <c:v>161.38696255201111</c:v>
                </c:pt>
                <c:pt idx="375">
                  <c:v>161.38696255201111</c:v>
                </c:pt>
                <c:pt idx="376">
                  <c:v>163.07905686546465</c:v>
                </c:pt>
                <c:pt idx="377">
                  <c:v>160</c:v>
                </c:pt>
                <c:pt idx="378">
                  <c:v>160.88765603328713</c:v>
                </c:pt>
                <c:pt idx="379">
                  <c:v>157.25381414701803</c:v>
                </c:pt>
                <c:pt idx="380">
                  <c:v>153.98058252427185</c:v>
                </c:pt>
                <c:pt idx="381">
                  <c:v>153.98058252427185</c:v>
                </c:pt>
                <c:pt idx="382">
                  <c:v>153.98058252427185</c:v>
                </c:pt>
                <c:pt idx="383">
                  <c:v>155.52011095700416</c:v>
                </c:pt>
                <c:pt idx="384">
                  <c:v>148.65464632454925</c:v>
                </c:pt>
                <c:pt idx="385">
                  <c:v>153.14840499306521</c:v>
                </c:pt>
                <c:pt idx="386">
                  <c:v>153.78640776699029</c:v>
                </c:pt>
                <c:pt idx="387">
                  <c:v>157.17059639389737</c:v>
                </c:pt>
                <c:pt idx="388">
                  <c:v>157.17059639389737</c:v>
                </c:pt>
                <c:pt idx="389">
                  <c:v>157.17059639389737</c:v>
                </c:pt>
                <c:pt idx="390">
                  <c:v>173.25936199722608</c:v>
                </c:pt>
                <c:pt idx="391">
                  <c:v>162.74618585298199</c:v>
                </c:pt>
                <c:pt idx="392">
                  <c:v>160.8599167822469</c:v>
                </c:pt>
                <c:pt idx="393">
                  <c:v>159.72260748959778</c:v>
                </c:pt>
                <c:pt idx="394">
                  <c:v>159.72260748959778</c:v>
                </c:pt>
                <c:pt idx="395">
                  <c:v>159.72260748959778</c:v>
                </c:pt>
                <c:pt idx="396">
                  <c:v>159.72260748959778</c:v>
                </c:pt>
                <c:pt idx="397">
                  <c:v>164.35506241331487</c:v>
                </c:pt>
                <c:pt idx="398">
                  <c:v>157.97503467406381</c:v>
                </c:pt>
                <c:pt idx="399">
                  <c:v>147.68377253814148</c:v>
                </c:pt>
                <c:pt idx="400">
                  <c:v>142.96809986130376</c:v>
                </c:pt>
                <c:pt idx="401">
                  <c:v>143.27323162274618</c:v>
                </c:pt>
                <c:pt idx="402">
                  <c:v>143.27323162274618</c:v>
                </c:pt>
                <c:pt idx="403">
                  <c:v>143.27323162274618</c:v>
                </c:pt>
                <c:pt idx="404">
                  <c:v>144.77115117891816</c:v>
                </c:pt>
                <c:pt idx="405">
                  <c:v>141.747572815534</c:v>
                </c:pt>
                <c:pt idx="406">
                  <c:v>140.38834951456312</c:v>
                </c:pt>
                <c:pt idx="407">
                  <c:v>137.78085991678225</c:v>
                </c:pt>
                <c:pt idx="408">
                  <c:v>138.1969486823856</c:v>
                </c:pt>
                <c:pt idx="409">
                  <c:v>138.1969486823856</c:v>
                </c:pt>
                <c:pt idx="410">
                  <c:v>138.1969486823856</c:v>
                </c:pt>
                <c:pt idx="411">
                  <c:v>138.1969486823856</c:v>
                </c:pt>
                <c:pt idx="412">
                  <c:v>135.22884882108184</c:v>
                </c:pt>
                <c:pt idx="413">
                  <c:v>137.00416088765604</c:v>
                </c:pt>
                <c:pt idx="414">
                  <c:v>130.56865464632457</c:v>
                </c:pt>
                <c:pt idx="415">
                  <c:v>130.56865464632457</c:v>
                </c:pt>
                <c:pt idx="416">
                  <c:v>130.56865464632457</c:v>
                </c:pt>
                <c:pt idx="417">
                  <c:v>130.56865464632457</c:v>
                </c:pt>
                <c:pt idx="418">
                  <c:v>130.56865464632457</c:v>
                </c:pt>
                <c:pt idx="419">
                  <c:v>129.18169209431346</c:v>
                </c:pt>
                <c:pt idx="420">
                  <c:v>128.0721220527046</c:v>
                </c:pt>
                <c:pt idx="421">
                  <c:v>128.59916782246881</c:v>
                </c:pt>
                <c:pt idx="422">
                  <c:v>131.65048543689321</c:v>
                </c:pt>
                <c:pt idx="423">
                  <c:v>131.65048543689321</c:v>
                </c:pt>
                <c:pt idx="424">
                  <c:v>131.65048543689321</c:v>
                </c:pt>
                <c:pt idx="425">
                  <c:v>140.49930651872401</c:v>
                </c:pt>
                <c:pt idx="426">
                  <c:v>141.80305131761443</c:v>
                </c:pt>
                <c:pt idx="427">
                  <c:v>140.54091539528432</c:v>
                </c:pt>
                <c:pt idx="428">
                  <c:v>140</c:v>
                </c:pt>
                <c:pt idx="429">
                  <c:v>137.94729542302358</c:v>
                </c:pt>
                <c:pt idx="430">
                  <c:v>137.94729542302358</c:v>
                </c:pt>
                <c:pt idx="431">
                  <c:v>137.94729542302358</c:v>
                </c:pt>
                <c:pt idx="432">
                  <c:v>139.41747572815535</c:v>
                </c:pt>
                <c:pt idx="433">
                  <c:v>138.89042995839114</c:v>
                </c:pt>
                <c:pt idx="434">
                  <c:v>140.61026352288488</c:v>
                </c:pt>
                <c:pt idx="435">
                  <c:v>139.25104022191402</c:v>
                </c:pt>
                <c:pt idx="436">
                  <c:v>144.20249653259361</c:v>
                </c:pt>
                <c:pt idx="437">
                  <c:v>144.20249653259361</c:v>
                </c:pt>
                <c:pt idx="438">
                  <c:v>144.20249653259361</c:v>
                </c:pt>
                <c:pt idx="439">
                  <c:v>141.44244105409157</c:v>
                </c:pt>
                <c:pt idx="440">
                  <c:v>138.41886269070736</c:v>
                </c:pt>
                <c:pt idx="441">
                  <c:v>137.47572815533982</c:v>
                </c:pt>
                <c:pt idx="442">
                  <c:v>134.11927877947295</c:v>
                </c:pt>
                <c:pt idx="443">
                  <c:v>131.622746185853</c:v>
                </c:pt>
                <c:pt idx="444">
                  <c:v>131.622746185853</c:v>
                </c:pt>
                <c:pt idx="445">
                  <c:v>131.622746185853</c:v>
                </c:pt>
                <c:pt idx="446">
                  <c:v>130.51317614424411</c:v>
                </c:pt>
                <c:pt idx="447">
                  <c:v>130.51317614424411</c:v>
                </c:pt>
                <c:pt idx="448">
                  <c:v>130.40221914008322</c:v>
                </c:pt>
                <c:pt idx="449">
                  <c:v>127.76699029126215</c:v>
                </c:pt>
                <c:pt idx="450">
                  <c:v>125.90846047156728</c:v>
                </c:pt>
                <c:pt idx="451">
                  <c:v>125.90846047156728</c:v>
                </c:pt>
                <c:pt idx="452">
                  <c:v>125.90846047156728</c:v>
                </c:pt>
                <c:pt idx="453">
                  <c:v>126.54646324549236</c:v>
                </c:pt>
                <c:pt idx="454">
                  <c:v>124.99306518723996</c:v>
                </c:pt>
                <c:pt idx="455">
                  <c:v>126.2968099861304</c:v>
                </c:pt>
                <c:pt idx="456">
                  <c:v>128.12760055478503</c:v>
                </c:pt>
                <c:pt idx="457">
                  <c:v>126.10263522884884</c:v>
                </c:pt>
                <c:pt idx="458">
                  <c:v>126.10263522884884</c:v>
                </c:pt>
                <c:pt idx="459">
                  <c:v>126.10263522884884</c:v>
                </c:pt>
                <c:pt idx="460">
                  <c:v>124.68793342579751</c:v>
                </c:pt>
                <c:pt idx="461">
                  <c:v>128.57142857142858</c:v>
                </c:pt>
                <c:pt idx="462">
                  <c:v>126.04715672676838</c:v>
                </c:pt>
                <c:pt idx="463">
                  <c:v>126.49098474341194</c:v>
                </c:pt>
                <c:pt idx="464">
                  <c:v>125.90846047156728</c:v>
                </c:pt>
                <c:pt idx="465">
                  <c:v>125.90846047156728</c:v>
                </c:pt>
                <c:pt idx="466">
                  <c:v>125.90846047156728</c:v>
                </c:pt>
                <c:pt idx="467">
                  <c:v>126.7128987517337</c:v>
                </c:pt>
                <c:pt idx="468">
                  <c:v>126.76837725381415</c:v>
                </c:pt>
                <c:pt idx="469">
                  <c:v>124.4105409153953</c:v>
                </c:pt>
                <c:pt idx="470">
                  <c:v>123.32871012482664</c:v>
                </c:pt>
                <c:pt idx="471">
                  <c:v>122.82940360610264</c:v>
                </c:pt>
                <c:pt idx="472">
                  <c:v>122.82940360610264</c:v>
                </c:pt>
                <c:pt idx="473">
                  <c:v>122.82940360610264</c:v>
                </c:pt>
                <c:pt idx="474">
                  <c:v>122.35783633841888</c:v>
                </c:pt>
                <c:pt idx="475">
                  <c:v>122.74618585298198</c:v>
                </c:pt>
                <c:pt idx="476">
                  <c:v>126.60194174757282</c:v>
                </c:pt>
                <c:pt idx="477">
                  <c:v>129.59778085991681</c:v>
                </c:pt>
                <c:pt idx="478">
                  <c:v>133.70319001386966</c:v>
                </c:pt>
                <c:pt idx="479">
                  <c:v>133.70319001386966</c:v>
                </c:pt>
                <c:pt idx="480">
                  <c:v>133.70319001386966</c:v>
                </c:pt>
                <c:pt idx="481">
                  <c:v>149.51456310679612</c:v>
                </c:pt>
                <c:pt idx="482">
                  <c:v>148.40499306518723</c:v>
                </c:pt>
                <c:pt idx="483">
                  <c:v>148.2108183079057</c:v>
                </c:pt>
                <c:pt idx="484">
                  <c:v>151.40083217753121</c:v>
                </c:pt>
                <c:pt idx="485">
                  <c:v>150.23578363384189</c:v>
                </c:pt>
                <c:pt idx="486">
                  <c:v>150.23578363384189</c:v>
                </c:pt>
                <c:pt idx="487">
                  <c:v>150.23578363384189</c:v>
                </c:pt>
                <c:pt idx="488">
                  <c:v>149.37586685159502</c:v>
                </c:pt>
                <c:pt idx="489">
                  <c:v>148.54368932038835</c:v>
                </c:pt>
                <c:pt idx="490">
                  <c:v>149.32038834951459</c:v>
                </c:pt>
                <c:pt idx="491">
                  <c:v>149.45908460471568</c:v>
                </c:pt>
                <c:pt idx="492">
                  <c:v>146.51872399445216</c:v>
                </c:pt>
                <c:pt idx="493">
                  <c:v>146.51872399445216</c:v>
                </c:pt>
                <c:pt idx="494">
                  <c:v>146.51872399445216</c:v>
                </c:pt>
                <c:pt idx="495">
                  <c:v>148.04438280166437</c:v>
                </c:pt>
                <c:pt idx="496">
                  <c:v>146.10263522884884</c:v>
                </c:pt>
                <c:pt idx="497">
                  <c:v>142.49653259361997</c:v>
                </c:pt>
                <c:pt idx="498">
                  <c:v>143.38418862690708</c:v>
                </c:pt>
                <c:pt idx="499">
                  <c:v>141.49791955617198</c:v>
                </c:pt>
                <c:pt idx="500">
                  <c:v>141.49791955617198</c:v>
                </c:pt>
                <c:pt idx="501">
                  <c:v>141.49791955617198</c:v>
                </c:pt>
                <c:pt idx="502">
                  <c:v>144.90984743411929</c:v>
                </c:pt>
                <c:pt idx="503">
                  <c:v>143.6338418862691</c:v>
                </c:pt>
                <c:pt idx="504">
                  <c:v>141.99722607489599</c:v>
                </c:pt>
                <c:pt idx="505">
                  <c:v>142.66296809986133</c:v>
                </c:pt>
                <c:pt idx="506">
                  <c:v>138.52981969486825</c:v>
                </c:pt>
                <c:pt idx="507">
                  <c:v>138.52981969486825</c:v>
                </c:pt>
                <c:pt idx="508">
                  <c:v>138.52981969486825</c:v>
                </c:pt>
                <c:pt idx="509">
                  <c:v>136.36615811373093</c:v>
                </c:pt>
                <c:pt idx="510">
                  <c:v>135.4230235783634</c:v>
                </c:pt>
                <c:pt idx="511">
                  <c:v>138.55755894590848</c:v>
                </c:pt>
                <c:pt idx="512">
                  <c:v>137.91955617198337</c:v>
                </c:pt>
                <c:pt idx="513">
                  <c:v>138.39112343966715</c:v>
                </c:pt>
                <c:pt idx="514">
                  <c:v>138.39112343966715</c:v>
                </c:pt>
                <c:pt idx="515">
                  <c:v>138.39112343966715</c:v>
                </c:pt>
                <c:pt idx="516">
                  <c:v>139.58391123439668</c:v>
                </c:pt>
                <c:pt idx="517">
                  <c:v>139.72260748959781</c:v>
                </c:pt>
                <c:pt idx="518">
                  <c:v>138.69625520110958</c:v>
                </c:pt>
                <c:pt idx="519">
                  <c:v>137.05963938973647</c:v>
                </c:pt>
                <c:pt idx="520">
                  <c:v>136.69902912621362</c:v>
                </c:pt>
                <c:pt idx="521">
                  <c:v>136.69902912621362</c:v>
                </c:pt>
                <c:pt idx="522">
                  <c:v>136.69902912621362</c:v>
                </c:pt>
                <c:pt idx="523">
                  <c:v>135.81137309292649</c:v>
                </c:pt>
                <c:pt idx="524">
                  <c:v>137.64216366158115</c:v>
                </c:pt>
                <c:pt idx="525">
                  <c:v>135.67267683772539</c:v>
                </c:pt>
                <c:pt idx="526">
                  <c:v>138.91816920943134</c:v>
                </c:pt>
                <c:pt idx="527">
                  <c:v>138.91816920943134</c:v>
                </c:pt>
                <c:pt idx="528">
                  <c:v>138.91816920943134</c:v>
                </c:pt>
                <c:pt idx="529">
                  <c:v>138.91816920943134</c:v>
                </c:pt>
                <c:pt idx="530">
                  <c:v>139.77808599167824</c:v>
                </c:pt>
                <c:pt idx="531">
                  <c:v>144.93758668515952</c:v>
                </c:pt>
                <c:pt idx="532">
                  <c:v>140.8876560332871</c:v>
                </c:pt>
                <c:pt idx="533">
                  <c:v>141.33148404993068</c:v>
                </c:pt>
                <c:pt idx="534">
                  <c:v>139.88904299583913</c:v>
                </c:pt>
                <c:pt idx="535">
                  <c:v>139.88904299583913</c:v>
                </c:pt>
                <c:pt idx="536">
                  <c:v>139.88904299583913</c:v>
                </c:pt>
                <c:pt idx="537">
                  <c:v>137.03190013869627</c:v>
                </c:pt>
                <c:pt idx="538">
                  <c:v>137.44798890429959</c:v>
                </c:pt>
                <c:pt idx="539">
                  <c:v>137.11511789181694</c:v>
                </c:pt>
                <c:pt idx="540">
                  <c:v>136.3106796116505</c:v>
                </c:pt>
                <c:pt idx="541">
                  <c:v>136.69902912621362</c:v>
                </c:pt>
                <c:pt idx="542">
                  <c:v>136.69902912621362</c:v>
                </c:pt>
                <c:pt idx="543">
                  <c:v>136.69902912621362</c:v>
                </c:pt>
                <c:pt idx="544">
                  <c:v>136.39389736477116</c:v>
                </c:pt>
                <c:pt idx="545">
                  <c:v>134.06380027739252</c:v>
                </c:pt>
                <c:pt idx="546">
                  <c:v>134.95145631067962</c:v>
                </c:pt>
                <c:pt idx="547">
                  <c:v>135.72815533980585</c:v>
                </c:pt>
                <c:pt idx="548">
                  <c:v>135.61719833564493</c:v>
                </c:pt>
                <c:pt idx="549">
                  <c:v>135.61719833564493</c:v>
                </c:pt>
                <c:pt idx="550">
                  <c:v>135.61719833564493</c:v>
                </c:pt>
                <c:pt idx="551">
                  <c:v>134.70180305131763</c:v>
                </c:pt>
                <c:pt idx="552">
                  <c:v>136.4493758668516</c:v>
                </c:pt>
                <c:pt idx="553">
                  <c:v>133.6754507628294</c:v>
                </c:pt>
                <c:pt idx="554">
                  <c:v>136.53259361997229</c:v>
                </c:pt>
                <c:pt idx="555">
                  <c:v>133.23162274618588</c:v>
                </c:pt>
                <c:pt idx="556">
                  <c:v>133.23162274618588</c:v>
                </c:pt>
                <c:pt idx="557">
                  <c:v>133.23162274618588</c:v>
                </c:pt>
                <c:pt idx="558">
                  <c:v>134.72954230235786</c:v>
                </c:pt>
                <c:pt idx="559">
                  <c:v>135.70041608876562</c:v>
                </c:pt>
                <c:pt idx="560">
                  <c:v>136.28294036061027</c:v>
                </c:pt>
                <c:pt idx="561">
                  <c:v>133.98058252427185</c:v>
                </c:pt>
                <c:pt idx="562">
                  <c:v>132.39944521497918</c:v>
                </c:pt>
                <c:pt idx="563">
                  <c:v>132.39944521497918</c:v>
                </c:pt>
                <c:pt idx="564">
                  <c:v>132.39944521497918</c:v>
                </c:pt>
                <c:pt idx="565">
                  <c:v>133.12066574202498</c:v>
                </c:pt>
                <c:pt idx="566">
                  <c:v>133.34257975034674</c:v>
                </c:pt>
                <c:pt idx="567">
                  <c:v>136.58807212205272</c:v>
                </c:pt>
                <c:pt idx="568">
                  <c:v>137.50346740638005</c:v>
                </c:pt>
                <c:pt idx="569">
                  <c:v>140.33287101248268</c:v>
                </c:pt>
                <c:pt idx="570">
                  <c:v>140.33287101248268</c:v>
                </c:pt>
                <c:pt idx="571">
                  <c:v>140.33287101248268</c:v>
                </c:pt>
                <c:pt idx="572">
                  <c:v>167.54507628294039</c:v>
                </c:pt>
                <c:pt idx="573">
                  <c:v>169.34812760055479</c:v>
                </c:pt>
                <c:pt idx="574">
                  <c:v>168.37725381414702</c:v>
                </c:pt>
                <c:pt idx="575">
                  <c:v>169.62552011095701</c:v>
                </c:pt>
                <c:pt idx="576">
                  <c:v>166.4355062413315</c:v>
                </c:pt>
                <c:pt idx="577">
                  <c:v>166.4355062413315</c:v>
                </c:pt>
                <c:pt idx="578">
                  <c:v>166.4355062413315</c:v>
                </c:pt>
                <c:pt idx="579">
                  <c:v>164.04993065187242</c:v>
                </c:pt>
                <c:pt idx="580">
                  <c:v>163.74479889042996</c:v>
                </c:pt>
                <c:pt idx="581">
                  <c:v>163.60610263522886</c:v>
                </c:pt>
                <c:pt idx="582">
                  <c:v>162.49653259361997</c:v>
                </c:pt>
                <c:pt idx="583">
                  <c:v>165.13176144244107</c:v>
                </c:pt>
                <c:pt idx="584">
                  <c:v>165.13176144244107</c:v>
                </c:pt>
                <c:pt idx="585">
                  <c:v>165.13176144244107</c:v>
                </c:pt>
                <c:pt idx="586">
                  <c:v>162.05270457697645</c:v>
                </c:pt>
                <c:pt idx="587">
                  <c:v>162.57975034674067</c:v>
                </c:pt>
                <c:pt idx="588">
                  <c:v>161.747572815534</c:v>
                </c:pt>
                <c:pt idx="589">
                  <c:v>165.15950069348128</c:v>
                </c:pt>
                <c:pt idx="590">
                  <c:v>164.02219140083221</c:v>
                </c:pt>
                <c:pt idx="591">
                  <c:v>164.02219140083221</c:v>
                </c:pt>
                <c:pt idx="592">
                  <c:v>164.02219140083221</c:v>
                </c:pt>
                <c:pt idx="593">
                  <c:v>164.02219140083221</c:v>
                </c:pt>
                <c:pt idx="594">
                  <c:v>163.13453536754508</c:v>
                </c:pt>
                <c:pt idx="595">
                  <c:v>165.96393897364771</c:v>
                </c:pt>
                <c:pt idx="596">
                  <c:v>161.63661581137313</c:v>
                </c:pt>
                <c:pt idx="597">
                  <c:v>159.50069348127602</c:v>
                </c:pt>
                <c:pt idx="598">
                  <c:v>159.50069348127602</c:v>
                </c:pt>
                <c:pt idx="599">
                  <c:v>159.50069348127602</c:v>
                </c:pt>
                <c:pt idx="600">
                  <c:v>162.30235783633842</c:v>
                </c:pt>
                <c:pt idx="601">
                  <c:v>163.91123439667129</c:v>
                </c:pt>
                <c:pt idx="602">
                  <c:v>166.21359223300973</c:v>
                </c:pt>
                <c:pt idx="603">
                  <c:v>166.68515950069352</c:v>
                </c:pt>
                <c:pt idx="604">
                  <c:v>165.38141470180307</c:v>
                </c:pt>
                <c:pt idx="605">
                  <c:v>165.38141470180307</c:v>
                </c:pt>
                <c:pt idx="606">
                  <c:v>165.38141470180307</c:v>
                </c:pt>
                <c:pt idx="607">
                  <c:v>166.65742024965326</c:v>
                </c:pt>
                <c:pt idx="608">
                  <c:v>167.79472954230238</c:v>
                </c:pt>
                <c:pt idx="609">
                  <c:v>167.54507628294039</c:v>
                </c:pt>
                <c:pt idx="610">
                  <c:v>166.71289875173372</c:v>
                </c:pt>
                <c:pt idx="611">
                  <c:v>164.57697642163663</c:v>
                </c:pt>
                <c:pt idx="612">
                  <c:v>164.57697642163663</c:v>
                </c:pt>
                <c:pt idx="613">
                  <c:v>164.57697642163663</c:v>
                </c:pt>
                <c:pt idx="614">
                  <c:v>165.60332871012486</c:v>
                </c:pt>
                <c:pt idx="615">
                  <c:v>177.17059639389737</c:v>
                </c:pt>
                <c:pt idx="616">
                  <c:v>174.86823855755895</c:v>
                </c:pt>
                <c:pt idx="617">
                  <c:v>176.61581137309295</c:v>
                </c:pt>
                <c:pt idx="618">
                  <c:v>178.47434119278782</c:v>
                </c:pt>
                <c:pt idx="619">
                  <c:v>178.47434119278782</c:v>
                </c:pt>
                <c:pt idx="620">
                  <c:v>178.47434119278782</c:v>
                </c:pt>
                <c:pt idx="621">
                  <c:v>174.67406380027742</c:v>
                </c:pt>
                <c:pt idx="622">
                  <c:v>171.7891816920943</c:v>
                </c:pt>
                <c:pt idx="623">
                  <c:v>172.31622746185852</c:v>
                </c:pt>
                <c:pt idx="624">
                  <c:v>171.59500693481277</c:v>
                </c:pt>
                <c:pt idx="625">
                  <c:v>174.5631067961165</c:v>
                </c:pt>
                <c:pt idx="626">
                  <c:v>174.5631067961165</c:v>
                </c:pt>
                <c:pt idx="627">
                  <c:v>174.5631067961165</c:v>
                </c:pt>
                <c:pt idx="628">
                  <c:v>171.15117891816922</c:v>
                </c:pt>
                <c:pt idx="629">
                  <c:v>176.3106796116505</c:v>
                </c:pt>
                <c:pt idx="630">
                  <c:v>172.92649098474345</c:v>
                </c:pt>
                <c:pt idx="631">
                  <c:v>172.69070735090156</c:v>
                </c:pt>
                <c:pt idx="632">
                  <c:v>172.69070735090156</c:v>
                </c:pt>
                <c:pt idx="633">
                  <c:v>172.69070735090156</c:v>
                </c:pt>
                <c:pt idx="634">
                  <c:v>172.69070735090156</c:v>
                </c:pt>
                <c:pt idx="635">
                  <c:v>171.92787794729543</c:v>
                </c:pt>
                <c:pt idx="636">
                  <c:v>175.03467406380028</c:v>
                </c:pt>
                <c:pt idx="637">
                  <c:v>167.23994452149793</c:v>
                </c:pt>
                <c:pt idx="638">
                  <c:v>166.21359223300973</c:v>
                </c:pt>
                <c:pt idx="639">
                  <c:v>161.66435506241334</c:v>
                </c:pt>
                <c:pt idx="640">
                  <c:v>161.66435506241334</c:v>
                </c:pt>
                <c:pt idx="641">
                  <c:v>161.66435506241334</c:v>
                </c:pt>
                <c:pt idx="642">
                  <c:v>163.88349514563109</c:v>
                </c:pt>
                <c:pt idx="643">
                  <c:v>160.16643550624136</c:v>
                </c:pt>
                <c:pt idx="644">
                  <c:v>161.96948682385576</c:v>
                </c:pt>
                <c:pt idx="645">
                  <c:v>166.79611650485441</c:v>
                </c:pt>
                <c:pt idx="646">
                  <c:v>165.52011095700419</c:v>
                </c:pt>
                <c:pt idx="647">
                  <c:v>165.52011095700419</c:v>
                </c:pt>
                <c:pt idx="648">
                  <c:v>165.52011095700419</c:v>
                </c:pt>
                <c:pt idx="649">
                  <c:v>164.13314840499308</c:v>
                </c:pt>
                <c:pt idx="650">
                  <c:v>164.16088765603328</c:v>
                </c:pt>
                <c:pt idx="651">
                  <c:v>162.96809986130376</c:v>
                </c:pt>
                <c:pt idx="652">
                  <c:v>160.8599167822469</c:v>
                </c:pt>
                <c:pt idx="653">
                  <c:v>159.41747572815535</c:v>
                </c:pt>
                <c:pt idx="654">
                  <c:v>159.41747572815535</c:v>
                </c:pt>
                <c:pt idx="655">
                  <c:v>159.41747572815535</c:v>
                </c:pt>
                <c:pt idx="656">
                  <c:v>166.38002773925103</c:v>
                </c:pt>
                <c:pt idx="657">
                  <c:v>171.42857142857144</c:v>
                </c:pt>
                <c:pt idx="658">
                  <c:v>162.96809986130376</c:v>
                </c:pt>
                <c:pt idx="659">
                  <c:v>164.96532593619972</c:v>
                </c:pt>
                <c:pt idx="660">
                  <c:v>164.38280166435507</c:v>
                </c:pt>
                <c:pt idx="661">
                  <c:v>164.38280166435507</c:v>
                </c:pt>
                <c:pt idx="662">
                  <c:v>164.38280166435507</c:v>
                </c:pt>
                <c:pt idx="663">
                  <c:v>163.77253814147019</c:v>
                </c:pt>
                <c:pt idx="664">
                  <c:v>166.71289875173372</c:v>
                </c:pt>
                <c:pt idx="665">
                  <c:v>156.3384188626907</c:v>
                </c:pt>
                <c:pt idx="666">
                  <c:v>164.16088765603328</c:v>
                </c:pt>
                <c:pt idx="667">
                  <c:v>167.43411927877949</c:v>
                </c:pt>
                <c:pt idx="668">
                  <c:v>167.43411927877949</c:v>
                </c:pt>
                <c:pt idx="669">
                  <c:v>167.43411927877949</c:v>
                </c:pt>
                <c:pt idx="670">
                  <c:v>168.62690707350902</c:v>
                </c:pt>
                <c:pt idx="671">
                  <c:v>163.30097087378641</c:v>
                </c:pt>
                <c:pt idx="672">
                  <c:v>168.26629680998613</c:v>
                </c:pt>
                <c:pt idx="673">
                  <c:v>162.82940360610266</c:v>
                </c:pt>
                <c:pt idx="674">
                  <c:v>158.50208044382802</c:v>
                </c:pt>
                <c:pt idx="675">
                  <c:v>158.50208044382802</c:v>
                </c:pt>
                <c:pt idx="676">
                  <c:v>158.50208044382802</c:v>
                </c:pt>
                <c:pt idx="677">
                  <c:v>158.50208044382802</c:v>
                </c:pt>
                <c:pt idx="678">
                  <c:v>163.60610263522886</c:v>
                </c:pt>
                <c:pt idx="679">
                  <c:v>161.99722607489599</c:v>
                </c:pt>
                <c:pt idx="680">
                  <c:v>162.08044382801666</c:v>
                </c:pt>
                <c:pt idx="681">
                  <c:v>150.15256588072123</c:v>
                </c:pt>
                <c:pt idx="682">
                  <c:v>150.15256588072123</c:v>
                </c:pt>
                <c:pt idx="683">
                  <c:v>150.15256588072123</c:v>
                </c:pt>
                <c:pt idx="684">
                  <c:v>150.76282940360613</c:v>
                </c:pt>
                <c:pt idx="685">
                  <c:v>143.91123439667132</c:v>
                </c:pt>
                <c:pt idx="686">
                  <c:v>150.124826629681</c:v>
                </c:pt>
                <c:pt idx="687">
                  <c:v>153.92510402219142</c:v>
                </c:pt>
                <c:pt idx="688">
                  <c:v>145.27045769764217</c:v>
                </c:pt>
                <c:pt idx="689">
                  <c:v>145.27045769764217</c:v>
                </c:pt>
                <c:pt idx="690">
                  <c:v>145.27045769764217</c:v>
                </c:pt>
                <c:pt idx="691">
                  <c:v>154.06380027739252</c:v>
                </c:pt>
                <c:pt idx="692">
                  <c:v>142.19140083217755</c:v>
                </c:pt>
                <c:pt idx="693">
                  <c:v>145.35367545076284</c:v>
                </c:pt>
                <c:pt idx="694">
                  <c:v>137.53120665742026</c:v>
                </c:pt>
                <c:pt idx="695">
                  <c:v>127.12898751733704</c:v>
                </c:pt>
                <c:pt idx="696">
                  <c:v>127.12898751733704</c:v>
                </c:pt>
                <c:pt idx="697">
                  <c:v>127.12898751733704</c:v>
                </c:pt>
                <c:pt idx="698">
                  <c:v>127.43411927877948</c:v>
                </c:pt>
                <c:pt idx="699">
                  <c:v>132.06657420249655</c:v>
                </c:pt>
                <c:pt idx="700">
                  <c:v>138.91816920943134</c:v>
                </c:pt>
                <c:pt idx="701">
                  <c:v>123.74479889042998</c:v>
                </c:pt>
                <c:pt idx="702">
                  <c:v>150.98474341192789</c:v>
                </c:pt>
                <c:pt idx="703">
                  <c:v>150.98474341192789</c:v>
                </c:pt>
                <c:pt idx="704">
                  <c:v>150.98474341192789</c:v>
                </c:pt>
                <c:pt idx="705">
                  <c:v>126.3245492371706</c:v>
                </c:pt>
                <c:pt idx="706">
                  <c:v>143.30097087378641</c:v>
                </c:pt>
                <c:pt idx="707">
                  <c:v>149.73647711511791</c:v>
                </c:pt>
                <c:pt idx="708">
                  <c:v>141.05409153952843</c:v>
                </c:pt>
                <c:pt idx="709">
                  <c:v>154.70180305131765</c:v>
                </c:pt>
                <c:pt idx="710">
                  <c:v>154.70180305131765</c:v>
                </c:pt>
                <c:pt idx="711">
                  <c:v>154.70180305131765</c:v>
                </c:pt>
                <c:pt idx="712">
                  <c:v>158.00277392510404</c:v>
                </c:pt>
                <c:pt idx="713">
                  <c:v>162.7739251040222</c:v>
                </c:pt>
                <c:pt idx="714">
                  <c:v>155.25658807212207</c:v>
                </c:pt>
                <c:pt idx="715">
                  <c:v>161.38696255201111</c:v>
                </c:pt>
                <c:pt idx="716">
                  <c:v>154.00832177531208</c:v>
                </c:pt>
                <c:pt idx="717">
                  <c:v>154.00832177531208</c:v>
                </c:pt>
                <c:pt idx="718">
                  <c:v>154.00832177531208</c:v>
                </c:pt>
                <c:pt idx="719">
                  <c:v>154.86823855755895</c:v>
                </c:pt>
                <c:pt idx="720">
                  <c:v>165.46463245492373</c:v>
                </c:pt>
                <c:pt idx="721">
                  <c:v>165.68654646324549</c:v>
                </c:pt>
                <c:pt idx="722">
                  <c:v>171.31761442441055</c:v>
                </c:pt>
                <c:pt idx="723">
                  <c:v>178.47434119278782</c:v>
                </c:pt>
                <c:pt idx="724">
                  <c:v>178.47434119278782</c:v>
                </c:pt>
                <c:pt idx="725">
                  <c:v>178.47434119278782</c:v>
                </c:pt>
                <c:pt idx="726">
                  <c:v>181.55339805825247</c:v>
                </c:pt>
                <c:pt idx="727">
                  <c:v>186.15811373092927</c:v>
                </c:pt>
                <c:pt idx="728">
                  <c:v>183.46740638002777</c:v>
                </c:pt>
                <c:pt idx="729">
                  <c:v>186.60194174757279</c:v>
                </c:pt>
                <c:pt idx="730">
                  <c:v>186.60194174757279</c:v>
                </c:pt>
                <c:pt idx="731">
                  <c:v>186.60194174757279</c:v>
                </c:pt>
                <c:pt idx="732">
                  <c:v>186.60194174757279</c:v>
                </c:pt>
                <c:pt idx="733">
                  <c:v>187.07350901525658</c:v>
                </c:pt>
                <c:pt idx="734">
                  <c:v>187.12898751733701</c:v>
                </c:pt>
                <c:pt idx="735">
                  <c:v>186.99029126213594</c:v>
                </c:pt>
                <c:pt idx="736">
                  <c:v>184.16088765603331</c:v>
                </c:pt>
                <c:pt idx="737">
                  <c:v>183.13453536754508</c:v>
                </c:pt>
                <c:pt idx="738">
                  <c:v>183.13453536754508</c:v>
                </c:pt>
                <c:pt idx="739">
                  <c:v>183.13453536754508</c:v>
                </c:pt>
                <c:pt idx="740">
                  <c:v>186.10263522884884</c:v>
                </c:pt>
                <c:pt idx="741">
                  <c:v>186.79611650485438</c:v>
                </c:pt>
                <c:pt idx="742">
                  <c:v>181.58113730929264</c:v>
                </c:pt>
                <c:pt idx="743">
                  <c:v>178.69625520110958</c:v>
                </c:pt>
                <c:pt idx="744">
                  <c:v>177.33703190013873</c:v>
                </c:pt>
                <c:pt idx="745">
                  <c:v>177.33703190013873</c:v>
                </c:pt>
                <c:pt idx="746">
                  <c:v>177.33703190013873</c:v>
                </c:pt>
                <c:pt idx="747">
                  <c:v>184.38280166435507</c:v>
                </c:pt>
                <c:pt idx="748">
                  <c:v>183.99445214979198</c:v>
                </c:pt>
                <c:pt idx="749">
                  <c:v>186.71289875173372</c:v>
                </c:pt>
                <c:pt idx="750">
                  <c:v>182.21914008321775</c:v>
                </c:pt>
                <c:pt idx="751">
                  <c:v>189.93065187239947</c:v>
                </c:pt>
                <c:pt idx="752">
                  <c:v>189.93065187239947</c:v>
                </c:pt>
                <c:pt idx="753">
                  <c:v>189.93065187239947</c:v>
                </c:pt>
                <c:pt idx="754">
                  <c:v>175.64493758668519</c:v>
                </c:pt>
                <c:pt idx="755">
                  <c:v>174.00832177531208</c:v>
                </c:pt>
                <c:pt idx="756">
                  <c:v>167.96116504854371</c:v>
                </c:pt>
                <c:pt idx="757">
                  <c:v>165.32593619972263</c:v>
                </c:pt>
                <c:pt idx="758">
                  <c:v>165.32593619972263</c:v>
                </c:pt>
                <c:pt idx="759">
                  <c:v>165.32593619972263</c:v>
                </c:pt>
                <c:pt idx="760">
                  <c:v>165.32593619972263</c:v>
                </c:pt>
                <c:pt idx="761">
                  <c:v>165.49237170596393</c:v>
                </c:pt>
                <c:pt idx="762">
                  <c:v>163.49514563106797</c:v>
                </c:pt>
                <c:pt idx="763">
                  <c:v>164.85436893203885</c:v>
                </c:pt>
                <c:pt idx="764">
                  <c:v>165.29819694868243</c:v>
                </c:pt>
                <c:pt idx="765">
                  <c:v>163.49514563106797</c:v>
                </c:pt>
                <c:pt idx="766">
                  <c:v>163.49514563106797</c:v>
                </c:pt>
                <c:pt idx="767">
                  <c:v>163.49514563106797</c:v>
                </c:pt>
                <c:pt idx="768">
                  <c:v>164.49375866851597</c:v>
                </c:pt>
                <c:pt idx="769">
                  <c:v>163.57836338418863</c:v>
                </c:pt>
                <c:pt idx="770">
                  <c:v>163.46740638002774</c:v>
                </c:pt>
                <c:pt idx="771">
                  <c:v>166.24133148404994</c:v>
                </c:pt>
                <c:pt idx="772">
                  <c:v>166.71289875173372</c:v>
                </c:pt>
                <c:pt idx="773">
                  <c:v>166.71289875173372</c:v>
                </c:pt>
                <c:pt idx="774">
                  <c:v>166.71289875173372</c:v>
                </c:pt>
                <c:pt idx="775">
                  <c:v>168.76560332871014</c:v>
                </c:pt>
                <c:pt idx="776">
                  <c:v>166.01941747572818</c:v>
                </c:pt>
                <c:pt idx="777">
                  <c:v>166.01941747572818</c:v>
                </c:pt>
                <c:pt idx="778">
                  <c:v>165.38141470180307</c:v>
                </c:pt>
                <c:pt idx="779">
                  <c:v>166.65742024965326</c:v>
                </c:pt>
                <c:pt idx="780">
                  <c:v>166.65742024965326</c:v>
                </c:pt>
                <c:pt idx="781">
                  <c:v>166.65742024965326</c:v>
                </c:pt>
                <c:pt idx="782">
                  <c:v>165.93619972260751</c:v>
                </c:pt>
                <c:pt idx="783">
                  <c:v>164.79889042995839</c:v>
                </c:pt>
                <c:pt idx="784">
                  <c:v>164.79889042995839</c:v>
                </c:pt>
                <c:pt idx="785">
                  <c:v>164.29958391123441</c:v>
                </c:pt>
                <c:pt idx="786">
                  <c:v>163.5228848821082</c:v>
                </c:pt>
                <c:pt idx="787">
                  <c:v>163.5228848821082</c:v>
                </c:pt>
                <c:pt idx="788">
                  <c:v>163.5228848821082</c:v>
                </c:pt>
                <c:pt idx="789">
                  <c:v>160.77669902912623</c:v>
                </c:pt>
                <c:pt idx="790">
                  <c:v>158.58529819694871</c:v>
                </c:pt>
                <c:pt idx="791">
                  <c:v>158.94590846047157</c:v>
                </c:pt>
                <c:pt idx="792">
                  <c:v>160.05547850208046</c:v>
                </c:pt>
                <c:pt idx="793">
                  <c:v>160.30513176144245</c:v>
                </c:pt>
                <c:pt idx="794">
                  <c:v>160.30513176144245</c:v>
                </c:pt>
                <c:pt idx="795">
                  <c:v>160.30513176144245</c:v>
                </c:pt>
                <c:pt idx="796">
                  <c:v>159.63938973647711</c:v>
                </c:pt>
                <c:pt idx="797">
                  <c:v>158.30790568654646</c:v>
                </c:pt>
                <c:pt idx="798">
                  <c:v>156.97642163661584</c:v>
                </c:pt>
                <c:pt idx="799">
                  <c:v>156.80998613037448</c:v>
                </c:pt>
                <c:pt idx="800">
                  <c:v>157.58668515950072</c:v>
                </c:pt>
                <c:pt idx="801">
                  <c:v>157.58668515950072</c:v>
                </c:pt>
                <c:pt idx="802">
                  <c:v>157.58668515950072</c:v>
                </c:pt>
                <c:pt idx="803">
                  <c:v>155.5617198335645</c:v>
                </c:pt>
                <c:pt idx="804">
                  <c:v>155.3952843273232</c:v>
                </c:pt>
                <c:pt idx="805">
                  <c:v>155.53398058252426</c:v>
                </c:pt>
                <c:pt idx="806">
                  <c:v>159.94452149791957</c:v>
                </c:pt>
                <c:pt idx="807">
                  <c:v>161.0263522884882</c:v>
                </c:pt>
                <c:pt idx="808">
                  <c:v>161.0263522884882</c:v>
                </c:pt>
                <c:pt idx="809">
                  <c:v>161.0263522884882</c:v>
                </c:pt>
                <c:pt idx="810">
                  <c:v>162.30235783633842</c:v>
                </c:pt>
                <c:pt idx="811">
                  <c:v>162.30235783633842</c:v>
                </c:pt>
                <c:pt idx="812">
                  <c:v>163.38418862690708</c:v>
                </c:pt>
                <c:pt idx="813">
                  <c:v>163.13453536754508</c:v>
                </c:pt>
                <c:pt idx="814">
                  <c:v>159.80582524271844</c:v>
                </c:pt>
                <c:pt idx="815">
                  <c:v>159.80582524271844</c:v>
                </c:pt>
                <c:pt idx="816">
                  <c:v>159.80582524271844</c:v>
                </c:pt>
                <c:pt idx="817">
                  <c:v>161.49791955617198</c:v>
                </c:pt>
                <c:pt idx="818">
                  <c:v>160.61026352288491</c:v>
                </c:pt>
                <c:pt idx="819">
                  <c:v>161.85852981969489</c:v>
                </c:pt>
                <c:pt idx="820">
                  <c:v>161.58113730929267</c:v>
                </c:pt>
                <c:pt idx="821">
                  <c:v>160.77669902912623</c:v>
                </c:pt>
                <c:pt idx="822">
                  <c:v>160.77669902912623</c:v>
                </c:pt>
                <c:pt idx="823">
                  <c:v>160.77669902912623</c:v>
                </c:pt>
                <c:pt idx="824">
                  <c:v>160.36061026352291</c:v>
                </c:pt>
                <c:pt idx="825">
                  <c:v>160.58252427184468</c:v>
                </c:pt>
                <c:pt idx="826">
                  <c:v>161.44244105409155</c:v>
                </c:pt>
                <c:pt idx="827">
                  <c:v>161.85852981969489</c:v>
                </c:pt>
                <c:pt idx="828">
                  <c:v>161.63661581137313</c:v>
                </c:pt>
                <c:pt idx="829">
                  <c:v>161.63661581137313</c:v>
                </c:pt>
                <c:pt idx="830">
                  <c:v>161.63661581137313</c:v>
                </c:pt>
                <c:pt idx="831">
                  <c:v>161.0263522884882</c:v>
                </c:pt>
                <c:pt idx="832">
                  <c:v>159.77808599167824</c:v>
                </c:pt>
                <c:pt idx="833">
                  <c:v>159.63938973647711</c:v>
                </c:pt>
                <c:pt idx="834">
                  <c:v>159.80582524271844</c:v>
                </c:pt>
                <c:pt idx="835">
                  <c:v>156.75450762829405</c:v>
                </c:pt>
                <c:pt idx="836">
                  <c:v>156.75450762829405</c:v>
                </c:pt>
                <c:pt idx="837">
                  <c:v>156.75450762829405</c:v>
                </c:pt>
                <c:pt idx="838">
                  <c:v>156.80998613037448</c:v>
                </c:pt>
                <c:pt idx="839">
                  <c:v>157.00416088765604</c:v>
                </c:pt>
                <c:pt idx="840">
                  <c:v>156.28294036061027</c:v>
                </c:pt>
                <c:pt idx="841">
                  <c:v>157.44798890429959</c:v>
                </c:pt>
                <c:pt idx="842">
                  <c:v>156.61581137309295</c:v>
                </c:pt>
                <c:pt idx="843">
                  <c:v>156.61581137309295</c:v>
                </c:pt>
                <c:pt idx="844">
                  <c:v>156.61581137309295</c:v>
                </c:pt>
                <c:pt idx="845">
                  <c:v>144.88210818307905</c:v>
                </c:pt>
                <c:pt idx="846">
                  <c:v>143.46740638002774</c:v>
                </c:pt>
                <c:pt idx="847">
                  <c:v>144.27184466019418</c:v>
                </c:pt>
                <c:pt idx="848">
                  <c:v>144.60471567267686</c:v>
                </c:pt>
                <c:pt idx="849">
                  <c:v>142.46879334257977</c:v>
                </c:pt>
                <c:pt idx="850">
                  <c:v>142.46879334257977</c:v>
                </c:pt>
                <c:pt idx="851">
                  <c:v>142.46879334257977</c:v>
                </c:pt>
                <c:pt idx="852">
                  <c:v>143.85575589459086</c:v>
                </c:pt>
                <c:pt idx="853">
                  <c:v>145.47850208044383</c:v>
                </c:pt>
                <c:pt idx="854">
                  <c:v>146.04715672676838</c:v>
                </c:pt>
                <c:pt idx="855">
                  <c:v>143.24549237170598</c:v>
                </c:pt>
                <c:pt idx="856">
                  <c:v>144.49375866851597</c:v>
                </c:pt>
                <c:pt idx="857">
                  <c:v>144.49375866851597</c:v>
                </c:pt>
                <c:pt idx="858">
                  <c:v>144.49375866851597</c:v>
                </c:pt>
                <c:pt idx="859">
                  <c:v>141.7753120665742</c:v>
                </c:pt>
                <c:pt idx="860">
                  <c:v>140.02773925104023</c:v>
                </c:pt>
                <c:pt idx="861">
                  <c:v>137.93342579750347</c:v>
                </c:pt>
                <c:pt idx="862">
                  <c:v>140.41608876560335</c:v>
                </c:pt>
                <c:pt idx="863">
                  <c:v>141.24826629680999</c:v>
                </c:pt>
                <c:pt idx="864">
                  <c:v>141.24826629680999</c:v>
                </c:pt>
                <c:pt idx="865">
                  <c:v>141.24826629680999</c:v>
                </c:pt>
                <c:pt idx="866">
                  <c:v>138.77947295423024</c:v>
                </c:pt>
                <c:pt idx="867">
                  <c:v>137.00416088765604</c:v>
                </c:pt>
                <c:pt idx="868">
                  <c:v>140.80443828016644</c:v>
                </c:pt>
                <c:pt idx="869">
                  <c:v>142.94036061026355</c:v>
                </c:pt>
                <c:pt idx="870">
                  <c:v>140.8599167822469</c:v>
                </c:pt>
                <c:pt idx="871">
                  <c:v>140.8599167822469</c:v>
                </c:pt>
                <c:pt idx="872">
                  <c:v>140.8599167822469</c:v>
                </c:pt>
                <c:pt idx="873">
                  <c:v>141.24826629680999</c:v>
                </c:pt>
                <c:pt idx="874">
                  <c:v>141.52565880721221</c:v>
                </c:pt>
                <c:pt idx="875">
                  <c:v>138.1969486823856</c:v>
                </c:pt>
                <c:pt idx="876">
                  <c:v>141.19278779472955</c:v>
                </c:pt>
                <c:pt idx="877">
                  <c:v>140.69348127600557</c:v>
                </c:pt>
                <c:pt idx="878">
                  <c:v>140.69348127600557</c:v>
                </c:pt>
                <c:pt idx="879">
                  <c:v>140.69348127600557</c:v>
                </c:pt>
                <c:pt idx="880">
                  <c:v>143.05131761442442</c:v>
                </c:pt>
                <c:pt idx="881">
                  <c:v>143.5228848821082</c:v>
                </c:pt>
                <c:pt idx="882">
                  <c:v>144.10540915395288</c:v>
                </c:pt>
                <c:pt idx="883">
                  <c:v>144.79889042995842</c:v>
                </c:pt>
                <c:pt idx="884">
                  <c:v>145.74202496532595</c:v>
                </c:pt>
                <c:pt idx="885">
                  <c:v>145.74202496532595</c:v>
                </c:pt>
                <c:pt idx="886">
                  <c:v>145.74202496532595</c:v>
                </c:pt>
                <c:pt idx="887">
                  <c:v>147.04576976421637</c:v>
                </c:pt>
                <c:pt idx="888">
                  <c:v>146.4355062413315</c:v>
                </c:pt>
                <c:pt idx="889">
                  <c:v>143.74479889042996</c:v>
                </c:pt>
                <c:pt idx="890">
                  <c:v>143.10679611650488</c:v>
                </c:pt>
                <c:pt idx="891">
                  <c:v>141.24826629680999</c:v>
                </c:pt>
                <c:pt idx="892">
                  <c:v>141.24826629680999</c:v>
                </c:pt>
                <c:pt idx="893">
                  <c:v>141.24826629680999</c:v>
                </c:pt>
                <c:pt idx="894">
                  <c:v>138.9736477115118</c:v>
                </c:pt>
                <c:pt idx="895">
                  <c:v>135.70041608876562</c:v>
                </c:pt>
                <c:pt idx="896">
                  <c:v>130.31900138696255</c:v>
                </c:pt>
                <c:pt idx="897">
                  <c:v>131.51178918169208</c:v>
                </c:pt>
                <c:pt idx="898">
                  <c:v>131.51178918169208</c:v>
                </c:pt>
                <c:pt idx="899">
                  <c:v>131.51178918169208</c:v>
                </c:pt>
                <c:pt idx="900">
                  <c:v>131.51178918169208</c:v>
                </c:pt>
                <c:pt idx="901">
                  <c:v>130.0138696255201</c:v>
                </c:pt>
                <c:pt idx="902">
                  <c:v>127.01803051317614</c:v>
                </c:pt>
                <c:pt idx="903">
                  <c:v>127.01803051317614</c:v>
                </c:pt>
                <c:pt idx="904">
                  <c:v>126.38002773925106</c:v>
                </c:pt>
                <c:pt idx="905">
                  <c:v>124.71567267683774</c:v>
                </c:pt>
                <c:pt idx="906">
                  <c:v>124.71567267683774</c:v>
                </c:pt>
                <c:pt idx="907">
                  <c:v>124.71567267683774</c:v>
                </c:pt>
                <c:pt idx="908">
                  <c:v>129.76421636615814</c:v>
                </c:pt>
                <c:pt idx="909">
                  <c:v>130.79056865464634</c:v>
                </c:pt>
                <c:pt idx="910">
                  <c:v>129.26490984743413</c:v>
                </c:pt>
                <c:pt idx="911">
                  <c:v>131.0124826629681</c:v>
                </c:pt>
                <c:pt idx="912">
                  <c:v>128.9875173370319</c:v>
                </c:pt>
                <c:pt idx="913">
                  <c:v>128.9875173370319</c:v>
                </c:pt>
                <c:pt idx="914">
                  <c:v>128.9875173370319</c:v>
                </c:pt>
                <c:pt idx="915">
                  <c:v>126.76837725381415</c:v>
                </c:pt>
                <c:pt idx="916">
                  <c:v>127.23994452149792</c:v>
                </c:pt>
                <c:pt idx="917">
                  <c:v>129.93065187239947</c:v>
                </c:pt>
                <c:pt idx="918">
                  <c:v>126.49098474341194</c:v>
                </c:pt>
                <c:pt idx="919">
                  <c:v>127.54507628294036</c:v>
                </c:pt>
                <c:pt idx="920">
                  <c:v>127.54507628294036</c:v>
                </c:pt>
                <c:pt idx="921">
                  <c:v>127.54507628294036</c:v>
                </c:pt>
                <c:pt idx="922">
                  <c:v>130.8460471567268</c:v>
                </c:pt>
                <c:pt idx="923">
                  <c:v>129.62552011095701</c:v>
                </c:pt>
                <c:pt idx="924">
                  <c:v>130.26352288488212</c:v>
                </c:pt>
                <c:pt idx="925">
                  <c:v>130.29126213592235</c:v>
                </c:pt>
                <c:pt idx="926">
                  <c:v>135.03467406380031</c:v>
                </c:pt>
                <c:pt idx="927">
                  <c:v>135.03467406380031</c:v>
                </c:pt>
                <c:pt idx="928">
                  <c:v>135.03467406380031</c:v>
                </c:pt>
                <c:pt idx="929">
                  <c:v>137.30929264909847</c:v>
                </c:pt>
                <c:pt idx="930">
                  <c:v>140.22191400832179</c:v>
                </c:pt>
                <c:pt idx="931">
                  <c:v>143.41192787794733</c:v>
                </c:pt>
                <c:pt idx="932">
                  <c:v>145.65880721220529</c:v>
                </c:pt>
                <c:pt idx="933">
                  <c:v>143.10679611650488</c:v>
                </c:pt>
                <c:pt idx="934">
                  <c:v>143.10679611650488</c:v>
                </c:pt>
                <c:pt idx="935">
                  <c:v>143.10679611650488</c:v>
                </c:pt>
                <c:pt idx="936">
                  <c:v>144.6879334257975</c:v>
                </c:pt>
                <c:pt idx="937">
                  <c:v>146.79611650485438</c:v>
                </c:pt>
                <c:pt idx="938">
                  <c:v>143.5506241331484</c:v>
                </c:pt>
                <c:pt idx="939">
                  <c:v>142.44105409153954</c:v>
                </c:pt>
                <c:pt idx="940">
                  <c:v>139.44521497919558</c:v>
                </c:pt>
                <c:pt idx="941">
                  <c:v>139.44521497919558</c:v>
                </c:pt>
                <c:pt idx="942">
                  <c:v>139.44521497919558</c:v>
                </c:pt>
                <c:pt idx="943">
                  <c:v>138.52981969486825</c:v>
                </c:pt>
                <c:pt idx="944">
                  <c:v>137.00416088765604</c:v>
                </c:pt>
                <c:pt idx="945">
                  <c:v>136.39389736477116</c:v>
                </c:pt>
                <c:pt idx="946">
                  <c:v>139.02912621359224</c:v>
                </c:pt>
                <c:pt idx="947">
                  <c:v>138.47434119278782</c:v>
                </c:pt>
                <c:pt idx="948">
                  <c:v>138.47434119278782</c:v>
                </c:pt>
                <c:pt idx="949">
                  <c:v>138.47434119278782</c:v>
                </c:pt>
                <c:pt idx="950">
                  <c:v>134.81276005547852</c:v>
                </c:pt>
                <c:pt idx="951">
                  <c:v>133.73092926490986</c:v>
                </c:pt>
                <c:pt idx="952">
                  <c:v>132.45492371705964</c:v>
                </c:pt>
                <c:pt idx="953">
                  <c:v>132.6490984743412</c:v>
                </c:pt>
                <c:pt idx="954">
                  <c:v>133.37031900138697</c:v>
                </c:pt>
                <c:pt idx="955">
                  <c:v>133.37031900138697</c:v>
                </c:pt>
                <c:pt idx="956">
                  <c:v>133.37031900138697</c:v>
                </c:pt>
                <c:pt idx="957">
                  <c:v>134.59084604715673</c:v>
                </c:pt>
                <c:pt idx="958">
                  <c:v>134.59084604715673</c:v>
                </c:pt>
                <c:pt idx="959">
                  <c:v>133.48127600554784</c:v>
                </c:pt>
                <c:pt idx="960">
                  <c:v>133.28710124826631</c:v>
                </c:pt>
                <c:pt idx="961">
                  <c:v>132.7877947295423</c:v>
                </c:pt>
                <c:pt idx="962">
                  <c:v>132.7877947295423</c:v>
                </c:pt>
                <c:pt idx="963">
                  <c:v>132.7877947295423</c:v>
                </c:pt>
                <c:pt idx="964">
                  <c:v>131.65048543689321</c:v>
                </c:pt>
                <c:pt idx="965">
                  <c:v>133.6754507628294</c:v>
                </c:pt>
                <c:pt idx="966">
                  <c:v>129.95839112343967</c:v>
                </c:pt>
                <c:pt idx="967">
                  <c:v>132.12205270457699</c:v>
                </c:pt>
                <c:pt idx="968">
                  <c:v>131.65048543689321</c:v>
                </c:pt>
                <c:pt idx="969">
                  <c:v>131.65048543689321</c:v>
                </c:pt>
                <c:pt idx="970">
                  <c:v>131.65048543689321</c:v>
                </c:pt>
                <c:pt idx="971">
                  <c:v>130.9015256588072</c:v>
                </c:pt>
                <c:pt idx="972">
                  <c:v>130.56865464632457</c:v>
                </c:pt>
                <c:pt idx="973">
                  <c:v>131.40083217753121</c:v>
                </c:pt>
                <c:pt idx="974">
                  <c:v>127.96116504854371</c:v>
                </c:pt>
                <c:pt idx="975">
                  <c:v>128.12760055478503</c:v>
                </c:pt>
                <c:pt idx="976">
                  <c:v>128.12760055478503</c:v>
                </c:pt>
                <c:pt idx="977">
                  <c:v>128.12760055478503</c:v>
                </c:pt>
                <c:pt idx="978">
                  <c:v>129.54230235783635</c:v>
                </c:pt>
                <c:pt idx="979">
                  <c:v>128.48821081830792</c:v>
                </c:pt>
                <c:pt idx="980">
                  <c:v>129.95839112343967</c:v>
                </c:pt>
                <c:pt idx="981">
                  <c:v>129.81969486823857</c:v>
                </c:pt>
                <c:pt idx="982">
                  <c:v>127.6837725381415</c:v>
                </c:pt>
                <c:pt idx="983">
                  <c:v>127.6837725381415</c:v>
                </c:pt>
                <c:pt idx="984">
                  <c:v>127.6837725381415</c:v>
                </c:pt>
                <c:pt idx="985">
                  <c:v>125.10402219140084</c:v>
                </c:pt>
                <c:pt idx="986">
                  <c:v>123.57836338418863</c:v>
                </c:pt>
                <c:pt idx="987">
                  <c:v>124.24410540915396</c:v>
                </c:pt>
                <c:pt idx="988">
                  <c:v>120.55478502080446</c:v>
                </c:pt>
                <c:pt idx="989">
                  <c:v>122.16366158113732</c:v>
                </c:pt>
                <c:pt idx="990">
                  <c:v>122.16366158113732</c:v>
                </c:pt>
                <c:pt idx="991">
                  <c:v>122.16366158113732</c:v>
                </c:pt>
                <c:pt idx="992">
                  <c:v>124.07766990291262</c:v>
                </c:pt>
                <c:pt idx="993">
                  <c:v>122.69070735090153</c:v>
                </c:pt>
                <c:pt idx="994">
                  <c:v>120.85991678224688</c:v>
                </c:pt>
                <c:pt idx="995">
                  <c:v>123.6338418862691</c:v>
                </c:pt>
                <c:pt idx="996">
                  <c:v>123.6338418862691</c:v>
                </c:pt>
                <c:pt idx="997">
                  <c:v>123.6338418862691</c:v>
                </c:pt>
                <c:pt idx="998">
                  <c:v>123.6338418862691</c:v>
                </c:pt>
                <c:pt idx="999">
                  <c:v>123.52288488210819</c:v>
                </c:pt>
                <c:pt idx="1000">
                  <c:v>122.05270457697644</c:v>
                </c:pt>
                <c:pt idx="1001">
                  <c:v>123.32871012482664</c:v>
                </c:pt>
                <c:pt idx="1002">
                  <c:v>120.83217753120667</c:v>
                </c:pt>
                <c:pt idx="1003">
                  <c:v>124.52149791955618</c:v>
                </c:pt>
                <c:pt idx="1004">
                  <c:v>124.52149791955618</c:v>
                </c:pt>
                <c:pt idx="1005">
                  <c:v>124.52149791955618</c:v>
                </c:pt>
                <c:pt idx="1006">
                  <c:v>126.2968099861304</c:v>
                </c:pt>
                <c:pt idx="1007">
                  <c:v>126.54646324549236</c:v>
                </c:pt>
                <c:pt idx="1008">
                  <c:v>125.2981969486824</c:v>
                </c:pt>
                <c:pt idx="1009">
                  <c:v>124.16088765603328</c:v>
                </c:pt>
                <c:pt idx="1010">
                  <c:v>128.15533980582526</c:v>
                </c:pt>
                <c:pt idx="1011">
                  <c:v>128.15533980582526</c:v>
                </c:pt>
                <c:pt idx="1012">
                  <c:v>128.15533980582526</c:v>
                </c:pt>
                <c:pt idx="1013">
                  <c:v>129.32038834951456</c:v>
                </c:pt>
                <c:pt idx="1014">
                  <c:v>136.58807212205272</c:v>
                </c:pt>
                <c:pt idx="1015">
                  <c:v>140.02773925104023</c:v>
                </c:pt>
                <c:pt idx="1016">
                  <c:v>142.08044382801666</c:v>
                </c:pt>
                <c:pt idx="1017">
                  <c:v>143.5506241331484</c:v>
                </c:pt>
                <c:pt idx="1018">
                  <c:v>143.5506241331484</c:v>
                </c:pt>
                <c:pt idx="1019">
                  <c:v>143.5506241331484</c:v>
                </c:pt>
                <c:pt idx="1020">
                  <c:v>140.22191400832179</c:v>
                </c:pt>
                <c:pt idx="1021">
                  <c:v>140.80443828016644</c:v>
                </c:pt>
                <c:pt idx="1022">
                  <c:v>141.58113730929264</c:v>
                </c:pt>
                <c:pt idx="1023">
                  <c:v>141.7753120665742</c:v>
                </c:pt>
                <c:pt idx="1024">
                  <c:v>145.4368932038835</c:v>
                </c:pt>
                <c:pt idx="1025">
                  <c:v>145.4368932038835</c:v>
                </c:pt>
                <c:pt idx="1026">
                  <c:v>145.4368932038835</c:v>
                </c:pt>
                <c:pt idx="1027">
                  <c:v>159.80582524271844</c:v>
                </c:pt>
                <c:pt idx="1028">
                  <c:v>162.88488210818309</c:v>
                </c:pt>
                <c:pt idx="1029">
                  <c:v>163.05131761442442</c:v>
                </c:pt>
                <c:pt idx="1030">
                  <c:v>163.16227461858531</c:v>
                </c:pt>
                <c:pt idx="1031">
                  <c:v>162.24687933425798</c:v>
                </c:pt>
                <c:pt idx="1032">
                  <c:v>162.24687933425798</c:v>
                </c:pt>
                <c:pt idx="1033">
                  <c:v>162.24687933425798</c:v>
                </c:pt>
                <c:pt idx="1034">
                  <c:v>162.24687933425798</c:v>
                </c:pt>
                <c:pt idx="1035">
                  <c:v>162.44105409153954</c:v>
                </c:pt>
                <c:pt idx="1036">
                  <c:v>157.3092926490985</c:v>
                </c:pt>
                <c:pt idx="1037">
                  <c:v>156.11650485436894</c:v>
                </c:pt>
                <c:pt idx="1038">
                  <c:v>156.50485436893206</c:v>
                </c:pt>
                <c:pt idx="1039">
                  <c:v>156.50485436893206</c:v>
                </c:pt>
                <c:pt idx="1040">
                  <c:v>156.50485436893206</c:v>
                </c:pt>
                <c:pt idx="1041">
                  <c:v>154.78502080443829</c:v>
                </c:pt>
                <c:pt idx="1042">
                  <c:v>154.64632454923719</c:v>
                </c:pt>
                <c:pt idx="1043">
                  <c:v>153.45353675450764</c:v>
                </c:pt>
                <c:pt idx="1044">
                  <c:v>154.45214979195563</c:v>
                </c:pt>
                <c:pt idx="1045">
                  <c:v>154.23023578363387</c:v>
                </c:pt>
                <c:pt idx="1046">
                  <c:v>154.23023578363387</c:v>
                </c:pt>
                <c:pt idx="1047">
                  <c:v>154.23023578363387</c:v>
                </c:pt>
                <c:pt idx="1048">
                  <c:v>155.11789181692095</c:v>
                </c:pt>
                <c:pt idx="1049">
                  <c:v>153.89736477115119</c:v>
                </c:pt>
                <c:pt idx="1050">
                  <c:v>150.79056865464634</c:v>
                </c:pt>
                <c:pt idx="1051">
                  <c:v>151.20665742024966</c:v>
                </c:pt>
                <c:pt idx="1052">
                  <c:v>148.9597780859917</c:v>
                </c:pt>
                <c:pt idx="1053">
                  <c:v>148.9597780859917</c:v>
                </c:pt>
                <c:pt idx="1054">
                  <c:v>148.9597780859917</c:v>
                </c:pt>
                <c:pt idx="1055">
                  <c:v>147.3231622746186</c:v>
                </c:pt>
                <c:pt idx="1056">
                  <c:v>147.46185852981969</c:v>
                </c:pt>
                <c:pt idx="1057">
                  <c:v>148.2385575589459</c:v>
                </c:pt>
                <c:pt idx="1058">
                  <c:v>146.40776699029126</c:v>
                </c:pt>
                <c:pt idx="1059">
                  <c:v>147.73925104022192</c:v>
                </c:pt>
                <c:pt idx="1060">
                  <c:v>147.73925104022192</c:v>
                </c:pt>
                <c:pt idx="1061">
                  <c:v>147.73925104022192</c:v>
                </c:pt>
                <c:pt idx="1062">
                  <c:v>151.56726768377254</c:v>
                </c:pt>
                <c:pt idx="1063">
                  <c:v>149.29264909847436</c:v>
                </c:pt>
                <c:pt idx="1064">
                  <c:v>150.26352288488212</c:v>
                </c:pt>
                <c:pt idx="1065">
                  <c:v>150.06934812760056</c:v>
                </c:pt>
                <c:pt idx="1066">
                  <c:v>150.70735090152567</c:v>
                </c:pt>
                <c:pt idx="1067">
                  <c:v>150.70735090152567</c:v>
                </c:pt>
                <c:pt idx="1068">
                  <c:v>150.70735090152567</c:v>
                </c:pt>
                <c:pt idx="1069">
                  <c:v>148.2385575589459</c:v>
                </c:pt>
                <c:pt idx="1070">
                  <c:v>150.81830790568657</c:v>
                </c:pt>
                <c:pt idx="1071">
                  <c:v>148.59916782246881</c:v>
                </c:pt>
                <c:pt idx="1072">
                  <c:v>147.98890429958394</c:v>
                </c:pt>
                <c:pt idx="1073">
                  <c:v>145.5755894590846</c:v>
                </c:pt>
                <c:pt idx="1074">
                  <c:v>145.5755894590846</c:v>
                </c:pt>
                <c:pt idx="1075">
                  <c:v>145.5755894590846</c:v>
                </c:pt>
                <c:pt idx="1076">
                  <c:v>145.90846047156728</c:v>
                </c:pt>
                <c:pt idx="1077">
                  <c:v>146.87933425797505</c:v>
                </c:pt>
                <c:pt idx="1078">
                  <c:v>148.90429958391124</c:v>
                </c:pt>
                <c:pt idx="1079">
                  <c:v>149.62552011095701</c:v>
                </c:pt>
                <c:pt idx="1080">
                  <c:v>147.85020804438281</c:v>
                </c:pt>
                <c:pt idx="1081">
                  <c:v>147.85020804438281</c:v>
                </c:pt>
                <c:pt idx="1082">
                  <c:v>147.85020804438281</c:v>
                </c:pt>
                <c:pt idx="1083">
                  <c:v>146.90707350901528</c:v>
                </c:pt>
                <c:pt idx="1084">
                  <c:v>147.68377253814148</c:v>
                </c:pt>
                <c:pt idx="1085">
                  <c:v>147.65603328710125</c:v>
                </c:pt>
                <c:pt idx="1086">
                  <c:v>147.29542302357839</c:v>
                </c:pt>
                <c:pt idx="1087">
                  <c:v>145.60332871012486</c:v>
                </c:pt>
                <c:pt idx="1088">
                  <c:v>145.60332871012486</c:v>
                </c:pt>
                <c:pt idx="1089">
                  <c:v>145.60332871012486</c:v>
                </c:pt>
                <c:pt idx="1090">
                  <c:v>142.60748959778087</c:v>
                </c:pt>
                <c:pt idx="1091">
                  <c:v>142.55201109570044</c:v>
                </c:pt>
                <c:pt idx="1092">
                  <c:v>142.57975034674064</c:v>
                </c:pt>
                <c:pt idx="1093">
                  <c:v>143.30097087378641</c:v>
                </c:pt>
                <c:pt idx="1094">
                  <c:v>143.30097087378641</c:v>
                </c:pt>
                <c:pt idx="1095">
                  <c:v>143.30097087378641</c:v>
                </c:pt>
                <c:pt idx="1096">
                  <c:v>143.30097087378641</c:v>
                </c:pt>
                <c:pt idx="1097">
                  <c:v>140.94313453536756</c:v>
                </c:pt>
                <c:pt idx="1098">
                  <c:v>140</c:v>
                </c:pt>
                <c:pt idx="1099">
                  <c:v>138.72399445214981</c:v>
                </c:pt>
                <c:pt idx="1100">
                  <c:v>135.2843273231623</c:v>
                </c:pt>
                <c:pt idx="1101">
                  <c:v>135.47850208044386</c:v>
                </c:pt>
                <c:pt idx="1102">
                  <c:v>135.47850208044386</c:v>
                </c:pt>
                <c:pt idx="1103">
                  <c:v>135.47850208044386</c:v>
                </c:pt>
                <c:pt idx="1104">
                  <c:v>136.56033287101249</c:v>
                </c:pt>
                <c:pt idx="1105">
                  <c:v>138.41886269070736</c:v>
                </c:pt>
                <c:pt idx="1106">
                  <c:v>138.72399445214981</c:v>
                </c:pt>
                <c:pt idx="1107">
                  <c:v>136.53259361997229</c:v>
                </c:pt>
                <c:pt idx="1108">
                  <c:v>135.17337031900138</c:v>
                </c:pt>
                <c:pt idx="1109">
                  <c:v>135.17337031900138</c:v>
                </c:pt>
                <c:pt idx="1110">
                  <c:v>135.17337031900138</c:v>
                </c:pt>
                <c:pt idx="1111">
                  <c:v>130.70735090152564</c:v>
                </c:pt>
                <c:pt idx="1112">
                  <c:v>131.872399445215</c:v>
                </c:pt>
                <c:pt idx="1113">
                  <c:v>129.0984743411928</c:v>
                </c:pt>
                <c:pt idx="1114">
                  <c:v>129.57004160887658</c:v>
                </c:pt>
                <c:pt idx="1115">
                  <c:v>130.48543689320388</c:v>
                </c:pt>
                <c:pt idx="1116">
                  <c:v>130.48543689320388</c:v>
                </c:pt>
                <c:pt idx="1117">
                  <c:v>130.48543689320388</c:v>
                </c:pt>
                <c:pt idx="1118">
                  <c:v>138.03051317614427</c:v>
                </c:pt>
                <c:pt idx="1119">
                  <c:v>132.98196948682386</c:v>
                </c:pt>
                <c:pt idx="1120">
                  <c:v>133.89736477115119</c:v>
                </c:pt>
                <c:pt idx="1121">
                  <c:v>136.4493758668516</c:v>
                </c:pt>
                <c:pt idx="1122">
                  <c:v>136.4493758668516</c:v>
                </c:pt>
                <c:pt idx="1123">
                  <c:v>136.4493758668516</c:v>
                </c:pt>
                <c:pt idx="1124">
                  <c:v>136.4493758668516</c:v>
                </c:pt>
                <c:pt idx="1125">
                  <c:v>134.45214979195563</c:v>
                </c:pt>
                <c:pt idx="1126">
                  <c:v>133.5090152565881</c:v>
                </c:pt>
                <c:pt idx="1127">
                  <c:v>134.81276005547852</c:v>
                </c:pt>
                <c:pt idx="1128">
                  <c:v>134.11927877947295</c:v>
                </c:pt>
                <c:pt idx="1129">
                  <c:v>135.72815533980585</c:v>
                </c:pt>
                <c:pt idx="1130">
                  <c:v>135.72815533980585</c:v>
                </c:pt>
                <c:pt idx="1131">
                  <c:v>135.72815533980585</c:v>
                </c:pt>
                <c:pt idx="1132">
                  <c:v>134.70180305131763</c:v>
                </c:pt>
                <c:pt idx="1133">
                  <c:v>133.17614424410542</c:v>
                </c:pt>
                <c:pt idx="1134">
                  <c:v>132.42718446601944</c:v>
                </c:pt>
                <c:pt idx="1135">
                  <c:v>131.59500693481277</c:v>
                </c:pt>
                <c:pt idx="1136">
                  <c:v>130.98474341192789</c:v>
                </c:pt>
                <c:pt idx="1137">
                  <c:v>130.98474341192789</c:v>
                </c:pt>
                <c:pt idx="1138">
                  <c:v>130.98474341192789</c:v>
                </c:pt>
                <c:pt idx="1139">
                  <c:v>123.41192787794731</c:v>
                </c:pt>
                <c:pt idx="1140">
                  <c:v>130.59639389736478</c:v>
                </c:pt>
                <c:pt idx="1141">
                  <c:v>130.18030513176143</c:v>
                </c:pt>
                <c:pt idx="1142">
                  <c:v>130.18030513176143</c:v>
                </c:pt>
                <c:pt idx="1143">
                  <c:v>129.68099861303745</c:v>
                </c:pt>
                <c:pt idx="1144">
                  <c:v>129.68099861303745</c:v>
                </c:pt>
                <c:pt idx="1145">
                  <c:v>129.68099861303745</c:v>
                </c:pt>
                <c:pt idx="1146">
                  <c:v>128.59916782246881</c:v>
                </c:pt>
                <c:pt idx="1147">
                  <c:v>128.12760055478503</c:v>
                </c:pt>
                <c:pt idx="1148">
                  <c:v>120.91539528432733</c:v>
                </c:pt>
                <c:pt idx="1149">
                  <c:v>120.91539528432733</c:v>
                </c:pt>
                <c:pt idx="1150">
                  <c:v>124.38280166435509</c:v>
                </c:pt>
                <c:pt idx="1151">
                  <c:v>124.38280166435509</c:v>
                </c:pt>
                <c:pt idx="1152">
                  <c:v>124.38280166435509</c:v>
                </c:pt>
                <c:pt idx="1153">
                  <c:v>126.3245492371706</c:v>
                </c:pt>
                <c:pt idx="1154">
                  <c:v>126.40776699029128</c:v>
                </c:pt>
                <c:pt idx="1155">
                  <c:v>132.42718446601944</c:v>
                </c:pt>
                <c:pt idx="1156">
                  <c:v>130.59639389736478</c:v>
                </c:pt>
                <c:pt idx="1157">
                  <c:v>132.7600554785021</c:v>
                </c:pt>
                <c:pt idx="1158">
                  <c:v>132.7600554785021</c:v>
                </c:pt>
                <c:pt idx="1159">
                  <c:v>132.7600554785021</c:v>
                </c:pt>
                <c:pt idx="1160">
                  <c:v>133.95284327323162</c:v>
                </c:pt>
                <c:pt idx="1161">
                  <c:v>132.6768377253814</c:v>
                </c:pt>
                <c:pt idx="1162">
                  <c:v>131.42857142857144</c:v>
                </c:pt>
                <c:pt idx="1163">
                  <c:v>130.95700416088766</c:v>
                </c:pt>
                <c:pt idx="1164">
                  <c:v>128.26629680998613</c:v>
                </c:pt>
                <c:pt idx="1165">
                  <c:v>128.26629680998613</c:v>
                </c:pt>
                <c:pt idx="1166">
                  <c:v>128.26629680998613</c:v>
                </c:pt>
                <c:pt idx="1167">
                  <c:v>134.17475728155338</c:v>
                </c:pt>
                <c:pt idx="1168">
                  <c:v>132.45492371705964</c:v>
                </c:pt>
                <c:pt idx="1169">
                  <c:v>132.45492371705964</c:v>
                </c:pt>
                <c:pt idx="1170">
                  <c:v>139.05686546463247</c:v>
                </c:pt>
                <c:pt idx="1171">
                  <c:v>136.78224687933428</c:v>
                </c:pt>
                <c:pt idx="1172">
                  <c:v>136.78224687933428</c:v>
                </c:pt>
                <c:pt idx="1173">
                  <c:v>136.78224687933428</c:v>
                </c:pt>
                <c:pt idx="1174">
                  <c:v>132.31622746185855</c:v>
                </c:pt>
                <c:pt idx="1175">
                  <c:v>135.53398058252429</c:v>
                </c:pt>
                <c:pt idx="1176">
                  <c:v>133.34257975034674</c:v>
                </c:pt>
                <c:pt idx="1177">
                  <c:v>131.622746185853</c:v>
                </c:pt>
                <c:pt idx="1178">
                  <c:v>129.0984743411928</c:v>
                </c:pt>
                <c:pt idx="1179">
                  <c:v>129.0984743411928</c:v>
                </c:pt>
                <c:pt idx="1180">
                  <c:v>129.0984743411928</c:v>
                </c:pt>
                <c:pt idx="1181">
                  <c:v>130.45769764216368</c:v>
                </c:pt>
                <c:pt idx="1182">
                  <c:v>130.45769764216368</c:v>
                </c:pt>
                <c:pt idx="1183">
                  <c:v>131.45631067961165</c:v>
                </c:pt>
                <c:pt idx="1184">
                  <c:v>133.14840499306518</c:v>
                </c:pt>
                <c:pt idx="1185">
                  <c:v>135.4507628294036</c:v>
                </c:pt>
                <c:pt idx="1186">
                  <c:v>135.4507628294036</c:v>
                </c:pt>
                <c:pt idx="1187">
                  <c:v>135.4507628294036</c:v>
                </c:pt>
                <c:pt idx="1188">
                  <c:v>133.45353675450764</c:v>
                </c:pt>
                <c:pt idx="1189">
                  <c:v>130.62413314840501</c:v>
                </c:pt>
                <c:pt idx="1190">
                  <c:v>131.45631067961165</c:v>
                </c:pt>
                <c:pt idx="1191">
                  <c:v>129.40360610263525</c:v>
                </c:pt>
                <c:pt idx="1192">
                  <c:v>133.45353675450764</c:v>
                </c:pt>
                <c:pt idx="1193">
                  <c:v>133.45353675450764</c:v>
                </c:pt>
                <c:pt idx="1194">
                  <c:v>133.45353675450764</c:v>
                </c:pt>
                <c:pt idx="1195">
                  <c:v>135.89459084604718</c:v>
                </c:pt>
                <c:pt idx="1196">
                  <c:v>135.14563106796118</c:v>
                </c:pt>
                <c:pt idx="1197">
                  <c:v>131.06796116504856</c:v>
                </c:pt>
                <c:pt idx="1198">
                  <c:v>133.06518723994455</c:v>
                </c:pt>
                <c:pt idx="1199">
                  <c:v>130.67961165048544</c:v>
                </c:pt>
                <c:pt idx="1200">
                  <c:v>130.67961165048544</c:v>
                </c:pt>
                <c:pt idx="1201">
                  <c:v>130.67961165048544</c:v>
                </c:pt>
                <c:pt idx="1202">
                  <c:v>133.75866851595009</c:v>
                </c:pt>
                <c:pt idx="1203">
                  <c:v>130.04160887656036</c:v>
                </c:pt>
                <c:pt idx="1204">
                  <c:v>132.48266296809987</c:v>
                </c:pt>
                <c:pt idx="1205">
                  <c:v>125.9361997226075</c:v>
                </c:pt>
                <c:pt idx="1206">
                  <c:v>126.74063800277393</c:v>
                </c:pt>
                <c:pt idx="1207">
                  <c:v>126.74063800277393</c:v>
                </c:pt>
                <c:pt idx="1208">
                  <c:v>126.74063800277393</c:v>
                </c:pt>
                <c:pt idx="1209">
                  <c:v>122.91262135922332</c:v>
                </c:pt>
                <c:pt idx="1210">
                  <c:v>117.66990291262138</c:v>
                </c:pt>
                <c:pt idx="1211">
                  <c:v>123.43966712898752</c:v>
                </c:pt>
                <c:pt idx="1212">
                  <c:v>124.85436893203882</c:v>
                </c:pt>
                <c:pt idx="1213">
                  <c:v>122.05270457697644</c:v>
                </c:pt>
                <c:pt idx="1214">
                  <c:v>122.05270457697644</c:v>
                </c:pt>
                <c:pt idx="1215">
                  <c:v>122.05270457697644</c:v>
                </c:pt>
                <c:pt idx="1216">
                  <c:v>124.74341192787794</c:v>
                </c:pt>
                <c:pt idx="1217">
                  <c:v>127.29542302357837</c:v>
                </c:pt>
                <c:pt idx="1218">
                  <c:v>127.43411927877948</c:v>
                </c:pt>
                <c:pt idx="1219">
                  <c:v>123.52288488210819</c:v>
                </c:pt>
                <c:pt idx="1220">
                  <c:v>124.49375866851598</c:v>
                </c:pt>
                <c:pt idx="1221">
                  <c:v>124.49375866851598</c:v>
                </c:pt>
                <c:pt idx="1222">
                  <c:v>124.49375866851598</c:v>
                </c:pt>
                <c:pt idx="1223">
                  <c:v>122.69070735090153</c:v>
                </c:pt>
                <c:pt idx="1224">
                  <c:v>124.27184466019419</c:v>
                </c:pt>
                <c:pt idx="1225">
                  <c:v>129.12621359223303</c:v>
                </c:pt>
                <c:pt idx="1226">
                  <c:v>130.45769764216368</c:v>
                </c:pt>
                <c:pt idx="1227">
                  <c:v>130.45769764216368</c:v>
                </c:pt>
                <c:pt idx="1228">
                  <c:v>130.45769764216368</c:v>
                </c:pt>
                <c:pt idx="1229">
                  <c:v>130.45769764216368</c:v>
                </c:pt>
                <c:pt idx="1230">
                  <c:v>133.5090152565881</c:v>
                </c:pt>
                <c:pt idx="1231">
                  <c:v>135.25658807212207</c:v>
                </c:pt>
                <c:pt idx="1232">
                  <c:v>133.42579750346741</c:v>
                </c:pt>
                <c:pt idx="1233">
                  <c:v>128.84882108183081</c:v>
                </c:pt>
                <c:pt idx="1234">
                  <c:v>131.17891816920942</c:v>
                </c:pt>
                <c:pt idx="1235">
                  <c:v>131.17891816920942</c:v>
                </c:pt>
                <c:pt idx="1236">
                  <c:v>131.17891816920942</c:v>
                </c:pt>
                <c:pt idx="1237">
                  <c:v>127.26768377253816</c:v>
                </c:pt>
                <c:pt idx="1238">
                  <c:v>126.76837725381415</c:v>
                </c:pt>
                <c:pt idx="1239">
                  <c:v>127.3509015256588</c:v>
                </c:pt>
                <c:pt idx="1240">
                  <c:v>130.124826629681</c:v>
                </c:pt>
                <c:pt idx="1241">
                  <c:v>129.43134535367545</c:v>
                </c:pt>
                <c:pt idx="1242">
                  <c:v>129.43134535367545</c:v>
                </c:pt>
                <c:pt idx="1243">
                  <c:v>129.43134535367545</c:v>
                </c:pt>
                <c:pt idx="1244">
                  <c:v>130.92926490984743</c:v>
                </c:pt>
                <c:pt idx="1245">
                  <c:v>128.01664355062414</c:v>
                </c:pt>
                <c:pt idx="1246">
                  <c:v>127.87794729542303</c:v>
                </c:pt>
                <c:pt idx="1247">
                  <c:v>125.99167822468796</c:v>
                </c:pt>
                <c:pt idx="1248">
                  <c:v>126.3245492371706</c:v>
                </c:pt>
                <c:pt idx="1249">
                  <c:v>126.3245492371706</c:v>
                </c:pt>
                <c:pt idx="1250">
                  <c:v>126.3245492371706</c:v>
                </c:pt>
                <c:pt idx="1251">
                  <c:v>126.40776699029128</c:v>
                </c:pt>
                <c:pt idx="1252">
                  <c:v>124.63245492371706</c:v>
                </c:pt>
                <c:pt idx="1253">
                  <c:v>124.63245492371706</c:v>
                </c:pt>
                <c:pt idx="1254">
                  <c:v>128.43273231622746</c:v>
                </c:pt>
                <c:pt idx="1255">
                  <c:v>128.84882108183081</c:v>
                </c:pt>
                <c:pt idx="1256">
                  <c:v>128.84882108183081</c:v>
                </c:pt>
                <c:pt idx="1257">
                  <c:v>128.84882108183081</c:v>
                </c:pt>
                <c:pt idx="1258">
                  <c:v>131.09570041608879</c:v>
                </c:pt>
                <c:pt idx="1259">
                  <c:v>132.37170596393898</c:v>
                </c:pt>
                <c:pt idx="1260">
                  <c:v>133.03744798890432</c:v>
                </c:pt>
                <c:pt idx="1261">
                  <c:v>134.34119278779474</c:v>
                </c:pt>
                <c:pt idx="1262">
                  <c:v>134.34119278779474</c:v>
                </c:pt>
                <c:pt idx="1263">
                  <c:v>134.34119278779474</c:v>
                </c:pt>
                <c:pt idx="1264">
                  <c:v>134.34119278779474</c:v>
                </c:pt>
                <c:pt idx="1265">
                  <c:v>133.81414701803052</c:v>
                </c:pt>
                <c:pt idx="1266">
                  <c:v>135.22884882108184</c:v>
                </c:pt>
                <c:pt idx="1267">
                  <c:v>134.72954230235786</c:v>
                </c:pt>
                <c:pt idx="1268">
                  <c:v>134.11927877947295</c:v>
                </c:pt>
                <c:pt idx="1269">
                  <c:v>132.20527045769762</c:v>
                </c:pt>
                <c:pt idx="1270">
                  <c:v>132.20527045769762</c:v>
                </c:pt>
                <c:pt idx="1271">
                  <c:v>132.20527045769762</c:v>
                </c:pt>
                <c:pt idx="1272">
                  <c:v>130.31900138696255</c:v>
                </c:pt>
                <c:pt idx="1273">
                  <c:v>130.51317614424411</c:v>
                </c:pt>
                <c:pt idx="1274">
                  <c:v>132.09431345353676</c:v>
                </c:pt>
                <c:pt idx="1275">
                  <c:v>128.9875173370319</c:v>
                </c:pt>
                <c:pt idx="1276">
                  <c:v>130.65187239944521</c:v>
                </c:pt>
                <c:pt idx="1277">
                  <c:v>130.65187239944521</c:v>
                </c:pt>
                <c:pt idx="1278">
                  <c:v>130.65187239944521</c:v>
                </c:pt>
                <c:pt idx="1279">
                  <c:v>130.8460471567268</c:v>
                </c:pt>
                <c:pt idx="1280">
                  <c:v>131.65048543689321</c:v>
                </c:pt>
                <c:pt idx="1281">
                  <c:v>133.48127600554784</c:v>
                </c:pt>
                <c:pt idx="1282">
                  <c:v>134.3966712898752</c:v>
                </c:pt>
                <c:pt idx="1283">
                  <c:v>135.50624133148406</c:v>
                </c:pt>
                <c:pt idx="1284">
                  <c:v>135.50624133148406</c:v>
                </c:pt>
                <c:pt idx="1285">
                  <c:v>135.50624133148406</c:v>
                </c:pt>
                <c:pt idx="1286">
                  <c:v>139.0846047156727</c:v>
                </c:pt>
                <c:pt idx="1287">
                  <c:v>138.58529819694868</c:v>
                </c:pt>
                <c:pt idx="1288">
                  <c:v>137.86407766990294</c:v>
                </c:pt>
                <c:pt idx="1289">
                  <c:v>136.75450762829405</c:v>
                </c:pt>
                <c:pt idx="1290">
                  <c:v>137.66990291262138</c:v>
                </c:pt>
                <c:pt idx="1291">
                  <c:v>137.66990291262138</c:v>
                </c:pt>
                <c:pt idx="1292">
                  <c:v>137.66990291262138</c:v>
                </c:pt>
                <c:pt idx="1293">
                  <c:v>137.25381414701803</c:v>
                </c:pt>
                <c:pt idx="1294">
                  <c:v>135.39528432732317</c:v>
                </c:pt>
                <c:pt idx="1295">
                  <c:v>133.42579750346741</c:v>
                </c:pt>
                <c:pt idx="1296">
                  <c:v>132.28848821081831</c:v>
                </c:pt>
                <c:pt idx="1297">
                  <c:v>132.26074895977808</c:v>
                </c:pt>
                <c:pt idx="1298">
                  <c:v>132.26074895977808</c:v>
                </c:pt>
                <c:pt idx="1299">
                  <c:v>132.26074895977808</c:v>
                </c:pt>
                <c:pt idx="1300">
                  <c:v>144.6879334257975</c:v>
                </c:pt>
                <c:pt idx="1301">
                  <c:v>145.4368932038835</c:v>
                </c:pt>
                <c:pt idx="1302">
                  <c:v>144.74341192787796</c:v>
                </c:pt>
                <c:pt idx="1303">
                  <c:v>145.10402219140087</c:v>
                </c:pt>
                <c:pt idx="1304">
                  <c:v>143.99445214979195</c:v>
                </c:pt>
                <c:pt idx="1305">
                  <c:v>143.99445214979195</c:v>
                </c:pt>
                <c:pt idx="1306">
                  <c:v>143.99445214979195</c:v>
                </c:pt>
                <c:pt idx="1307">
                  <c:v>144.18862690707351</c:v>
                </c:pt>
                <c:pt idx="1308">
                  <c:v>143.46740638002774</c:v>
                </c:pt>
                <c:pt idx="1309">
                  <c:v>143.5506241331484</c:v>
                </c:pt>
                <c:pt idx="1310">
                  <c:v>144.27184466019418</c:v>
                </c:pt>
                <c:pt idx="1311">
                  <c:v>144.85436893203885</c:v>
                </c:pt>
                <c:pt idx="1312">
                  <c:v>144.85436893203885</c:v>
                </c:pt>
                <c:pt idx="1313">
                  <c:v>144.85436893203885</c:v>
                </c:pt>
                <c:pt idx="1314">
                  <c:v>145.21497919556174</c:v>
                </c:pt>
                <c:pt idx="1315">
                  <c:v>142.02496532593622</c:v>
                </c:pt>
                <c:pt idx="1316">
                  <c:v>144.6879334257975</c:v>
                </c:pt>
                <c:pt idx="1317">
                  <c:v>143.85575589459086</c:v>
                </c:pt>
                <c:pt idx="1318">
                  <c:v>142.49653259361997</c:v>
                </c:pt>
                <c:pt idx="1319">
                  <c:v>142.49653259361997</c:v>
                </c:pt>
                <c:pt idx="1320">
                  <c:v>142.49653259361997</c:v>
                </c:pt>
                <c:pt idx="1321">
                  <c:v>140.77669902912621</c:v>
                </c:pt>
                <c:pt idx="1322">
                  <c:v>137.22607489597783</c:v>
                </c:pt>
                <c:pt idx="1323">
                  <c:v>137.22607489597783</c:v>
                </c:pt>
                <c:pt idx="1324">
                  <c:v>139.25104022191402</c:v>
                </c:pt>
                <c:pt idx="1325">
                  <c:v>137.89181692094314</c:v>
                </c:pt>
                <c:pt idx="1326">
                  <c:v>137.89181692094314</c:v>
                </c:pt>
                <c:pt idx="1327">
                  <c:v>137.89181692094314</c:v>
                </c:pt>
                <c:pt idx="1328">
                  <c:v>136.61581137309292</c:v>
                </c:pt>
                <c:pt idx="1329">
                  <c:v>135.25658807212207</c:v>
                </c:pt>
                <c:pt idx="1330">
                  <c:v>137.78085991678225</c:v>
                </c:pt>
                <c:pt idx="1331">
                  <c:v>140.66574202496534</c:v>
                </c:pt>
                <c:pt idx="1332">
                  <c:v>145.63106796116506</c:v>
                </c:pt>
                <c:pt idx="1333">
                  <c:v>145.63106796116506</c:v>
                </c:pt>
                <c:pt idx="1334">
                  <c:v>145.63106796116506</c:v>
                </c:pt>
                <c:pt idx="1335">
                  <c:v>144.77115117891816</c:v>
                </c:pt>
                <c:pt idx="1336">
                  <c:v>148.29403606102636</c:v>
                </c:pt>
                <c:pt idx="1337">
                  <c:v>146.82385575589461</c:v>
                </c:pt>
                <c:pt idx="1338">
                  <c:v>147.62829403606105</c:v>
                </c:pt>
                <c:pt idx="1339">
                  <c:v>152.87101248266296</c:v>
                </c:pt>
                <c:pt idx="1340">
                  <c:v>152.87101248266296</c:v>
                </c:pt>
                <c:pt idx="1341">
                  <c:v>152.87101248266296</c:v>
                </c:pt>
                <c:pt idx="1342">
                  <c:v>154.06380027739252</c:v>
                </c:pt>
                <c:pt idx="1343">
                  <c:v>152.6490984743412</c:v>
                </c:pt>
                <c:pt idx="1344">
                  <c:v>152.06657420249655</c:v>
                </c:pt>
                <c:pt idx="1345">
                  <c:v>151.23439667128991</c:v>
                </c:pt>
                <c:pt idx="1346">
                  <c:v>152.70457697642163</c:v>
                </c:pt>
                <c:pt idx="1347">
                  <c:v>152.70457697642163</c:v>
                </c:pt>
                <c:pt idx="1348">
                  <c:v>152.70457697642163</c:v>
                </c:pt>
                <c:pt idx="1349">
                  <c:v>155.00693481276008</c:v>
                </c:pt>
                <c:pt idx="1350">
                  <c:v>158.1969486823856</c:v>
                </c:pt>
                <c:pt idx="1351">
                  <c:v>156.80998613037448</c:v>
                </c:pt>
                <c:pt idx="1352">
                  <c:v>157.64216366158115</c:v>
                </c:pt>
                <c:pt idx="1353">
                  <c:v>158.33564493758669</c:v>
                </c:pt>
                <c:pt idx="1354">
                  <c:v>158.33564493758669</c:v>
                </c:pt>
                <c:pt idx="1355">
                  <c:v>158.33564493758669</c:v>
                </c:pt>
                <c:pt idx="1356">
                  <c:v>153.12066574202498</c:v>
                </c:pt>
                <c:pt idx="1357">
                  <c:v>154.45214979195563</c:v>
                </c:pt>
                <c:pt idx="1358">
                  <c:v>153.45353675450764</c:v>
                </c:pt>
                <c:pt idx="1359">
                  <c:v>153.78640776699029</c:v>
                </c:pt>
                <c:pt idx="1360">
                  <c:v>153.78640776699029</c:v>
                </c:pt>
                <c:pt idx="1361">
                  <c:v>153.78640776699029</c:v>
                </c:pt>
                <c:pt idx="1362">
                  <c:v>153.78640776699029</c:v>
                </c:pt>
                <c:pt idx="1363">
                  <c:v>151.872399445215</c:v>
                </c:pt>
                <c:pt idx="1364">
                  <c:v>153.14840499306521</c:v>
                </c:pt>
                <c:pt idx="1365">
                  <c:v>151.04022191400836</c:v>
                </c:pt>
                <c:pt idx="1366">
                  <c:v>150.67961165048544</c:v>
                </c:pt>
                <c:pt idx="1367">
                  <c:v>148.40499306518723</c:v>
                </c:pt>
                <c:pt idx="1368">
                  <c:v>148.40499306518723</c:v>
                </c:pt>
                <c:pt idx="1369">
                  <c:v>148.40499306518723</c:v>
                </c:pt>
                <c:pt idx="1370">
                  <c:v>152.03883495145632</c:v>
                </c:pt>
                <c:pt idx="1371">
                  <c:v>151.56726768377254</c:v>
                </c:pt>
                <c:pt idx="1372">
                  <c:v>149.57004160887658</c:v>
                </c:pt>
                <c:pt idx="1373">
                  <c:v>152.28848821081831</c:v>
                </c:pt>
                <c:pt idx="1374">
                  <c:v>151.65048543689321</c:v>
                </c:pt>
                <c:pt idx="1375">
                  <c:v>151.65048543689321</c:v>
                </c:pt>
                <c:pt idx="1376">
                  <c:v>151.65048543689321</c:v>
                </c:pt>
                <c:pt idx="1377">
                  <c:v>152.5104022191401</c:v>
                </c:pt>
                <c:pt idx="1378">
                  <c:v>150.7350901525659</c:v>
                </c:pt>
                <c:pt idx="1379">
                  <c:v>148.76560332871014</c:v>
                </c:pt>
                <c:pt idx="1380">
                  <c:v>147.93342579750347</c:v>
                </c:pt>
                <c:pt idx="1381">
                  <c:v>146.40776699029126</c:v>
                </c:pt>
                <c:pt idx="1382">
                  <c:v>146.40776699029126</c:v>
                </c:pt>
                <c:pt idx="1383">
                  <c:v>146.40776699029126</c:v>
                </c:pt>
                <c:pt idx="1384">
                  <c:v>145.02080443828018</c:v>
                </c:pt>
                <c:pt idx="1385">
                  <c:v>145.10402219140087</c:v>
                </c:pt>
                <c:pt idx="1386">
                  <c:v>147.93342579750347</c:v>
                </c:pt>
                <c:pt idx="1387">
                  <c:v>143.19001386962555</c:v>
                </c:pt>
                <c:pt idx="1388">
                  <c:v>146.26907073509014</c:v>
                </c:pt>
                <c:pt idx="1389">
                  <c:v>146.26907073509014</c:v>
                </c:pt>
                <c:pt idx="1390">
                  <c:v>146.26907073509014</c:v>
                </c:pt>
                <c:pt idx="1391">
                  <c:v>147.15672676837727</c:v>
                </c:pt>
                <c:pt idx="1392">
                  <c:v>142.52427184466021</c:v>
                </c:pt>
                <c:pt idx="1393">
                  <c:v>142.71844660194176</c:v>
                </c:pt>
                <c:pt idx="1394">
                  <c:v>141.747572815534</c:v>
                </c:pt>
                <c:pt idx="1395">
                  <c:v>142.94036061026355</c:v>
                </c:pt>
                <c:pt idx="1396">
                  <c:v>142.94036061026355</c:v>
                </c:pt>
                <c:pt idx="1397">
                  <c:v>142.94036061026355</c:v>
                </c:pt>
                <c:pt idx="1398">
                  <c:v>144.85436893203885</c:v>
                </c:pt>
                <c:pt idx="1399">
                  <c:v>148.71012482662968</c:v>
                </c:pt>
                <c:pt idx="1400">
                  <c:v>148.51595006934815</c:v>
                </c:pt>
                <c:pt idx="1401">
                  <c:v>145.35367545076284</c:v>
                </c:pt>
                <c:pt idx="1402">
                  <c:v>143.85575589459086</c:v>
                </c:pt>
                <c:pt idx="1403">
                  <c:v>143.85575589459086</c:v>
                </c:pt>
                <c:pt idx="1404">
                  <c:v>143.85575589459086</c:v>
                </c:pt>
                <c:pt idx="1405">
                  <c:v>146.24133148404994</c:v>
                </c:pt>
                <c:pt idx="1406">
                  <c:v>141.747572815534</c:v>
                </c:pt>
                <c:pt idx="1407">
                  <c:v>142.21914008321775</c:v>
                </c:pt>
                <c:pt idx="1408">
                  <c:v>137.44798890429959</c:v>
                </c:pt>
                <c:pt idx="1409">
                  <c:v>135.33980582524271</c:v>
                </c:pt>
                <c:pt idx="1410">
                  <c:v>135.33980582524271</c:v>
                </c:pt>
                <c:pt idx="1411">
                  <c:v>135.33980582524271</c:v>
                </c:pt>
                <c:pt idx="1412">
                  <c:v>139.75034674063801</c:v>
                </c:pt>
                <c:pt idx="1413">
                  <c:v>138.66851595006938</c:v>
                </c:pt>
                <c:pt idx="1414">
                  <c:v>138.00277392510404</c:v>
                </c:pt>
                <c:pt idx="1415">
                  <c:v>135.70041608876562</c:v>
                </c:pt>
                <c:pt idx="1416">
                  <c:v>144.46601941747574</c:v>
                </c:pt>
                <c:pt idx="1417">
                  <c:v>144.46601941747574</c:v>
                </c:pt>
                <c:pt idx="1418">
                  <c:v>144.46601941747574</c:v>
                </c:pt>
                <c:pt idx="1419">
                  <c:v>144.46601941747574</c:v>
                </c:pt>
                <c:pt idx="1420">
                  <c:v>137.58668515950069</c:v>
                </c:pt>
                <c:pt idx="1421">
                  <c:v>141.99722607489599</c:v>
                </c:pt>
                <c:pt idx="1422">
                  <c:v>145.5755894590846</c:v>
                </c:pt>
                <c:pt idx="1423">
                  <c:v>136.92094313453538</c:v>
                </c:pt>
                <c:pt idx="1424">
                  <c:v>136.92094313453538</c:v>
                </c:pt>
                <c:pt idx="1425">
                  <c:v>136.92094313453538</c:v>
                </c:pt>
                <c:pt idx="1426">
                  <c:v>140.998613037448</c:v>
                </c:pt>
                <c:pt idx="1427">
                  <c:v>143.02357836338419</c:v>
                </c:pt>
                <c:pt idx="1428">
                  <c:v>142.99583911234396</c:v>
                </c:pt>
                <c:pt idx="1429">
                  <c:v>140.998613037448</c:v>
                </c:pt>
                <c:pt idx="1430">
                  <c:v>141.94174757281556</c:v>
                </c:pt>
                <c:pt idx="1431">
                  <c:v>141.94174757281556</c:v>
                </c:pt>
                <c:pt idx="1432">
                  <c:v>141.94174757281556</c:v>
                </c:pt>
                <c:pt idx="1433">
                  <c:v>141.13730929264912</c:v>
                </c:pt>
                <c:pt idx="1434">
                  <c:v>143.85575589459086</c:v>
                </c:pt>
                <c:pt idx="1435">
                  <c:v>143.6338418862691</c:v>
                </c:pt>
                <c:pt idx="1436">
                  <c:v>142.91262135922332</c:v>
                </c:pt>
                <c:pt idx="1437">
                  <c:v>144.77115117891816</c:v>
                </c:pt>
                <c:pt idx="1438">
                  <c:v>144.77115117891816</c:v>
                </c:pt>
                <c:pt idx="1439">
                  <c:v>144.77115117891816</c:v>
                </c:pt>
                <c:pt idx="1440">
                  <c:v>140.748959778086</c:v>
                </c:pt>
                <c:pt idx="1441">
                  <c:v>142.35783633841888</c:v>
                </c:pt>
                <c:pt idx="1442">
                  <c:v>140.66574202496534</c:v>
                </c:pt>
                <c:pt idx="1443">
                  <c:v>138.00277392510404</c:v>
                </c:pt>
                <c:pt idx="1444">
                  <c:v>135.86685159500692</c:v>
                </c:pt>
                <c:pt idx="1445">
                  <c:v>135.86685159500692</c:v>
                </c:pt>
                <c:pt idx="1446">
                  <c:v>135.86685159500692</c:v>
                </c:pt>
                <c:pt idx="1447">
                  <c:v>132.70457697642166</c:v>
                </c:pt>
                <c:pt idx="1448">
                  <c:v>136.72676837725382</c:v>
                </c:pt>
                <c:pt idx="1449">
                  <c:v>138.44660194174759</c:v>
                </c:pt>
                <c:pt idx="1450">
                  <c:v>136.22746185852984</c:v>
                </c:pt>
                <c:pt idx="1451">
                  <c:v>132.39944521497918</c:v>
                </c:pt>
                <c:pt idx="1452">
                  <c:v>132.39944521497918</c:v>
                </c:pt>
                <c:pt idx="1453">
                  <c:v>132.39944521497918</c:v>
                </c:pt>
                <c:pt idx="1454">
                  <c:v>127.04576976421637</c:v>
                </c:pt>
                <c:pt idx="1455">
                  <c:v>127.43411927877948</c:v>
                </c:pt>
                <c:pt idx="1456">
                  <c:v>128.48821081830792</c:v>
                </c:pt>
                <c:pt idx="1457">
                  <c:v>126.38002773925106</c:v>
                </c:pt>
                <c:pt idx="1458">
                  <c:v>126.38002773925106</c:v>
                </c:pt>
                <c:pt idx="1459">
                  <c:v>126.38002773925106</c:v>
                </c:pt>
                <c:pt idx="1460">
                  <c:v>126.38002773925106</c:v>
                </c:pt>
                <c:pt idx="1461">
                  <c:v>127.37864077669904</c:v>
                </c:pt>
                <c:pt idx="1462">
                  <c:v>125.88072122052706</c:v>
                </c:pt>
                <c:pt idx="1463">
                  <c:v>123.32871012482664</c:v>
                </c:pt>
                <c:pt idx="1464">
                  <c:v>124.35506241331484</c:v>
                </c:pt>
                <c:pt idx="1465">
                  <c:v>121.91400832177533</c:v>
                </c:pt>
                <c:pt idx="1466">
                  <c:v>121.91400832177533</c:v>
                </c:pt>
                <c:pt idx="1467">
                  <c:v>121.91400832177533</c:v>
                </c:pt>
                <c:pt idx="1468">
                  <c:v>118.5852981969487</c:v>
                </c:pt>
                <c:pt idx="1469">
                  <c:v>125.38141470180307</c:v>
                </c:pt>
                <c:pt idx="1470">
                  <c:v>124.57697642163662</c:v>
                </c:pt>
                <c:pt idx="1471">
                  <c:v>123.49514563106798</c:v>
                </c:pt>
                <c:pt idx="1472">
                  <c:v>128.01664355062414</c:v>
                </c:pt>
                <c:pt idx="1473">
                  <c:v>128.01664355062414</c:v>
                </c:pt>
                <c:pt idx="1474">
                  <c:v>128.01664355062414</c:v>
                </c:pt>
                <c:pt idx="1475">
                  <c:v>132.17753120665742</c:v>
                </c:pt>
                <c:pt idx="1476">
                  <c:v>133.5367545076283</c:v>
                </c:pt>
                <c:pt idx="1477">
                  <c:v>135.33980582524271</c:v>
                </c:pt>
                <c:pt idx="1478">
                  <c:v>138.64077669902912</c:v>
                </c:pt>
                <c:pt idx="1479">
                  <c:v>138.91816920943134</c:v>
                </c:pt>
                <c:pt idx="1480">
                  <c:v>138.91816920943134</c:v>
                </c:pt>
                <c:pt idx="1481">
                  <c:v>138.91816920943134</c:v>
                </c:pt>
                <c:pt idx="1482">
                  <c:v>125.65880721220528</c:v>
                </c:pt>
                <c:pt idx="1483">
                  <c:v>126.24133148404995</c:v>
                </c:pt>
                <c:pt idx="1484">
                  <c:v>127.76699029126215</c:v>
                </c:pt>
                <c:pt idx="1485">
                  <c:v>126.90707350901526</c:v>
                </c:pt>
                <c:pt idx="1486">
                  <c:v>124.32732316227464</c:v>
                </c:pt>
                <c:pt idx="1487">
                  <c:v>124.32732316227464</c:v>
                </c:pt>
                <c:pt idx="1488">
                  <c:v>124.32732316227464</c:v>
                </c:pt>
                <c:pt idx="1489">
                  <c:v>123.38418862690708</c:v>
                </c:pt>
                <c:pt idx="1490">
                  <c:v>123.13453536754508</c:v>
                </c:pt>
                <c:pt idx="1491">
                  <c:v>119.66712898751734</c:v>
                </c:pt>
                <c:pt idx="1492">
                  <c:v>119.94452149791957</c:v>
                </c:pt>
                <c:pt idx="1493">
                  <c:v>119.94452149791957</c:v>
                </c:pt>
                <c:pt idx="1494">
                  <c:v>119.94452149791957</c:v>
                </c:pt>
                <c:pt idx="1495">
                  <c:v>119.94452149791957</c:v>
                </c:pt>
                <c:pt idx="1496">
                  <c:v>120.41608876560332</c:v>
                </c:pt>
                <c:pt idx="1497">
                  <c:v>117.89181692094314</c:v>
                </c:pt>
                <c:pt idx="1498">
                  <c:v>120.998613037448</c:v>
                </c:pt>
                <c:pt idx="1499">
                  <c:v>124.10540915395285</c:v>
                </c:pt>
                <c:pt idx="1500">
                  <c:v>124.10540915395285</c:v>
                </c:pt>
                <c:pt idx="1501">
                  <c:v>124.10540915395285</c:v>
                </c:pt>
                <c:pt idx="1502">
                  <c:v>124.10540915395285</c:v>
                </c:pt>
                <c:pt idx="1503">
                  <c:v>123.24549237170596</c:v>
                </c:pt>
                <c:pt idx="1504">
                  <c:v>125.54785020804439</c:v>
                </c:pt>
                <c:pt idx="1505">
                  <c:v>129.95839112343967</c:v>
                </c:pt>
                <c:pt idx="1506">
                  <c:v>128.04438280166434</c:v>
                </c:pt>
                <c:pt idx="1507">
                  <c:v>128.04438280166434</c:v>
                </c:pt>
                <c:pt idx="1508">
                  <c:v>128.04438280166434</c:v>
                </c:pt>
                <c:pt idx="1509">
                  <c:v>128.04438280166434</c:v>
                </c:pt>
                <c:pt idx="1510">
                  <c:v>128.2108183079057</c:v>
                </c:pt>
                <c:pt idx="1511">
                  <c:v>127.90568654646326</c:v>
                </c:pt>
                <c:pt idx="1512">
                  <c:v>127.82246879334258</c:v>
                </c:pt>
                <c:pt idx="1513">
                  <c:v>129.54230235783635</c:v>
                </c:pt>
                <c:pt idx="1514">
                  <c:v>129.54230235783635</c:v>
                </c:pt>
                <c:pt idx="1515">
                  <c:v>129.54230235783635</c:v>
                </c:pt>
                <c:pt idx="1516">
                  <c:v>129.54230235783635</c:v>
                </c:pt>
                <c:pt idx="1517">
                  <c:v>129.70873786407768</c:v>
                </c:pt>
                <c:pt idx="1518">
                  <c:v>131.92787794729543</c:v>
                </c:pt>
                <c:pt idx="1519">
                  <c:v>130.48543689320388</c:v>
                </c:pt>
                <c:pt idx="1520">
                  <c:v>128.32177531206659</c:v>
                </c:pt>
                <c:pt idx="1521">
                  <c:v>123.60610263522886</c:v>
                </c:pt>
                <c:pt idx="1522">
                  <c:v>123.60610263522886</c:v>
                </c:pt>
                <c:pt idx="1523">
                  <c:v>123.60610263522886</c:v>
                </c:pt>
                <c:pt idx="1524">
                  <c:v>120</c:v>
                </c:pt>
                <c:pt idx="1525">
                  <c:v>120.22191400832179</c:v>
                </c:pt>
                <c:pt idx="1526">
                  <c:v>120.19417475728156</c:v>
                </c:pt>
                <c:pt idx="1527">
                  <c:v>121.10957004160888</c:v>
                </c:pt>
                <c:pt idx="1528">
                  <c:v>120.24965325936201</c:v>
                </c:pt>
                <c:pt idx="1529">
                  <c:v>120.24965325936201</c:v>
                </c:pt>
                <c:pt idx="1530">
                  <c:v>120.24965325936201</c:v>
                </c:pt>
                <c:pt idx="1531">
                  <c:v>119.50069348127602</c:v>
                </c:pt>
                <c:pt idx="1532">
                  <c:v>120.52704576976423</c:v>
                </c:pt>
                <c:pt idx="1533">
                  <c:v>120.499306518724</c:v>
                </c:pt>
                <c:pt idx="1534">
                  <c:v>123.41192787794731</c:v>
                </c:pt>
                <c:pt idx="1535">
                  <c:v>123.93897364771152</c:v>
                </c:pt>
                <c:pt idx="1536">
                  <c:v>123.93897364771152</c:v>
                </c:pt>
                <c:pt idx="1537">
                  <c:v>123.93897364771152</c:v>
                </c:pt>
                <c:pt idx="1538">
                  <c:v>124.38280166435509</c:v>
                </c:pt>
                <c:pt idx="1539">
                  <c:v>121.91400832177533</c:v>
                </c:pt>
                <c:pt idx="1540">
                  <c:v>124.07766990291262</c:v>
                </c:pt>
                <c:pt idx="1541">
                  <c:v>123.41192787794731</c:v>
                </c:pt>
                <c:pt idx="1542">
                  <c:v>124.13314840499308</c:v>
                </c:pt>
                <c:pt idx="1543">
                  <c:v>124.13314840499308</c:v>
                </c:pt>
                <c:pt idx="1544">
                  <c:v>124.13314840499308</c:v>
                </c:pt>
                <c:pt idx="1545">
                  <c:v>123.85575589459086</c:v>
                </c:pt>
                <c:pt idx="1546">
                  <c:v>123.85575589459086</c:v>
                </c:pt>
                <c:pt idx="1547">
                  <c:v>124.66019417475729</c:v>
                </c:pt>
                <c:pt idx="1548">
                  <c:v>123.77253814147018</c:v>
                </c:pt>
                <c:pt idx="1549">
                  <c:v>123.80027739251042</c:v>
                </c:pt>
                <c:pt idx="1550">
                  <c:v>123.80027739251042</c:v>
                </c:pt>
                <c:pt idx="1551">
                  <c:v>123.80027739251042</c:v>
                </c:pt>
                <c:pt idx="1552">
                  <c:v>126.62968099861305</c:v>
                </c:pt>
                <c:pt idx="1553">
                  <c:v>126.10263522884884</c:v>
                </c:pt>
                <c:pt idx="1554">
                  <c:v>127.21220527045772</c:v>
                </c:pt>
                <c:pt idx="1555">
                  <c:v>126.90707350901526</c:v>
                </c:pt>
                <c:pt idx="1556">
                  <c:v>126.43550624133148</c:v>
                </c:pt>
                <c:pt idx="1557">
                  <c:v>126.43550624133148</c:v>
                </c:pt>
                <c:pt idx="1558">
                  <c:v>126.43550624133148</c:v>
                </c:pt>
                <c:pt idx="1559">
                  <c:v>128.43273231622746</c:v>
                </c:pt>
                <c:pt idx="1560">
                  <c:v>129.54230235783635</c:v>
                </c:pt>
                <c:pt idx="1561">
                  <c:v>129.76421636615814</c:v>
                </c:pt>
                <c:pt idx="1562">
                  <c:v>129.54230235783635</c:v>
                </c:pt>
                <c:pt idx="1563">
                  <c:v>128.54368932038838</c:v>
                </c:pt>
                <c:pt idx="1564">
                  <c:v>128.54368932038838</c:v>
                </c:pt>
                <c:pt idx="1565">
                  <c:v>128.54368932038838</c:v>
                </c:pt>
                <c:pt idx="1566">
                  <c:v>130.65187239944521</c:v>
                </c:pt>
                <c:pt idx="1567">
                  <c:v>129.57004160887658</c:v>
                </c:pt>
                <c:pt idx="1568">
                  <c:v>126.18585298196949</c:v>
                </c:pt>
                <c:pt idx="1569">
                  <c:v>123.07905686546464</c:v>
                </c:pt>
                <c:pt idx="1570">
                  <c:v>123.16227461858531</c:v>
                </c:pt>
                <c:pt idx="1571">
                  <c:v>123.16227461858531</c:v>
                </c:pt>
                <c:pt idx="1572">
                  <c:v>123.16227461858531</c:v>
                </c:pt>
                <c:pt idx="1573">
                  <c:v>114.70180305131763</c:v>
                </c:pt>
                <c:pt idx="1574">
                  <c:v>113.12066574202497</c:v>
                </c:pt>
                <c:pt idx="1575">
                  <c:v>113.59223300970875</c:v>
                </c:pt>
                <c:pt idx="1576">
                  <c:v>113.25936199722608</c:v>
                </c:pt>
                <c:pt idx="1577">
                  <c:v>112.1497919556172</c:v>
                </c:pt>
                <c:pt idx="1578">
                  <c:v>112.1497919556172</c:v>
                </c:pt>
                <c:pt idx="1579">
                  <c:v>112.1497919556172</c:v>
                </c:pt>
                <c:pt idx="1580">
                  <c:v>111.20665742024967</c:v>
                </c:pt>
                <c:pt idx="1581">
                  <c:v>111.65048543689322</c:v>
                </c:pt>
                <c:pt idx="1582">
                  <c:v>110.37447988904302</c:v>
                </c:pt>
                <c:pt idx="1583">
                  <c:v>110.29126213592232</c:v>
                </c:pt>
                <c:pt idx="1584">
                  <c:v>110.04160887656033</c:v>
                </c:pt>
                <c:pt idx="1585">
                  <c:v>110.04160887656033</c:v>
                </c:pt>
                <c:pt idx="1586">
                  <c:v>110.04160887656033</c:v>
                </c:pt>
                <c:pt idx="1587">
                  <c:v>108.71012482662967</c:v>
                </c:pt>
                <c:pt idx="1588">
                  <c:v>109.01525658807212</c:v>
                </c:pt>
                <c:pt idx="1589">
                  <c:v>109.98613037447988</c:v>
                </c:pt>
                <c:pt idx="1590">
                  <c:v>110.56865464632455</c:v>
                </c:pt>
                <c:pt idx="1591">
                  <c:v>109.93065187239945</c:v>
                </c:pt>
                <c:pt idx="1592">
                  <c:v>109.93065187239945</c:v>
                </c:pt>
                <c:pt idx="1593">
                  <c:v>109.93065187239945</c:v>
                </c:pt>
                <c:pt idx="1594">
                  <c:v>109.65325936199723</c:v>
                </c:pt>
                <c:pt idx="1595">
                  <c:v>109.12621359223303</c:v>
                </c:pt>
                <c:pt idx="1596">
                  <c:v>109.23717059639391</c:v>
                </c:pt>
                <c:pt idx="1597">
                  <c:v>108.29403606102636</c:v>
                </c:pt>
                <c:pt idx="1598">
                  <c:v>105.63106796116506</c:v>
                </c:pt>
                <c:pt idx="1599">
                  <c:v>105.63106796116506</c:v>
                </c:pt>
                <c:pt idx="1600">
                  <c:v>105.63106796116506</c:v>
                </c:pt>
                <c:pt idx="1601">
                  <c:v>104.93758668515952</c:v>
                </c:pt>
                <c:pt idx="1602">
                  <c:v>104.13314840499308</c:v>
                </c:pt>
                <c:pt idx="1603">
                  <c:v>103.93897364771152</c:v>
                </c:pt>
                <c:pt idx="1604">
                  <c:v>103.07905686546464</c:v>
                </c:pt>
                <c:pt idx="1605">
                  <c:v>103.13453536754508</c:v>
                </c:pt>
                <c:pt idx="1606">
                  <c:v>103.13453536754508</c:v>
                </c:pt>
                <c:pt idx="1607">
                  <c:v>103.13453536754508</c:v>
                </c:pt>
                <c:pt idx="1608">
                  <c:v>103.19001386962555</c:v>
                </c:pt>
                <c:pt idx="1609">
                  <c:v>102.82940360610264</c:v>
                </c:pt>
                <c:pt idx="1610">
                  <c:v>103.27323162274618</c:v>
                </c:pt>
                <c:pt idx="1611">
                  <c:v>102.63522884882109</c:v>
                </c:pt>
                <c:pt idx="1612">
                  <c:v>102.63522884882109</c:v>
                </c:pt>
                <c:pt idx="1613">
                  <c:v>102.63522884882109</c:v>
                </c:pt>
                <c:pt idx="1614">
                  <c:v>102.63522884882109</c:v>
                </c:pt>
                <c:pt idx="1615">
                  <c:v>101.19278779472953</c:v>
                </c:pt>
                <c:pt idx="1616">
                  <c:v>100.77669902912622</c:v>
                </c:pt>
                <c:pt idx="1617">
                  <c:v>100.11095700416091</c:v>
                </c:pt>
                <c:pt idx="1618">
                  <c:v>99.223300970873808</c:v>
                </c:pt>
                <c:pt idx="1619">
                  <c:v>97.614424410540906</c:v>
                </c:pt>
                <c:pt idx="1620">
                  <c:v>97.614424410540906</c:v>
                </c:pt>
                <c:pt idx="1621">
                  <c:v>97.614424410540906</c:v>
                </c:pt>
                <c:pt idx="1622">
                  <c:v>98.585298196948685</c:v>
                </c:pt>
                <c:pt idx="1623">
                  <c:v>99.195561719833563</c:v>
                </c:pt>
                <c:pt idx="1624">
                  <c:v>97.142857142857167</c:v>
                </c:pt>
                <c:pt idx="1625">
                  <c:v>97.337031900138712</c:v>
                </c:pt>
                <c:pt idx="1626">
                  <c:v>97.337031900138712</c:v>
                </c:pt>
                <c:pt idx="1627">
                  <c:v>97.337031900138712</c:v>
                </c:pt>
                <c:pt idx="1628">
                  <c:v>97.337031900138712</c:v>
                </c:pt>
                <c:pt idx="1629">
                  <c:v>97.281553398058264</c:v>
                </c:pt>
                <c:pt idx="1630">
                  <c:v>96.782246879334267</c:v>
                </c:pt>
                <c:pt idx="1631">
                  <c:v>96.338418862690716</c:v>
                </c:pt>
                <c:pt idx="1632">
                  <c:v>96.116504854368941</c:v>
                </c:pt>
                <c:pt idx="1633">
                  <c:v>96.171983356449388</c:v>
                </c:pt>
                <c:pt idx="1634">
                  <c:v>96.171983356449388</c:v>
                </c:pt>
                <c:pt idx="1635">
                  <c:v>96.171983356449388</c:v>
                </c:pt>
                <c:pt idx="1636">
                  <c:v>96.282940360610269</c:v>
                </c:pt>
                <c:pt idx="1637">
                  <c:v>96.144244105409143</c:v>
                </c:pt>
                <c:pt idx="1638">
                  <c:v>96.116504854368941</c:v>
                </c:pt>
                <c:pt idx="1639">
                  <c:v>96.86546463245493</c:v>
                </c:pt>
                <c:pt idx="1640">
                  <c:v>97.115117891816922</c:v>
                </c:pt>
                <c:pt idx="1641">
                  <c:v>97.115117891816922</c:v>
                </c:pt>
                <c:pt idx="1642">
                  <c:v>97.115117891816922</c:v>
                </c:pt>
                <c:pt idx="1643">
                  <c:v>97.558945908460487</c:v>
                </c:pt>
                <c:pt idx="1644">
                  <c:v>99.334257975034689</c:v>
                </c:pt>
                <c:pt idx="1645">
                  <c:v>99.861303744798903</c:v>
                </c:pt>
                <c:pt idx="1646">
                  <c:v>100.80443828016645</c:v>
                </c:pt>
                <c:pt idx="1647">
                  <c:v>99.500693481276002</c:v>
                </c:pt>
                <c:pt idx="1648">
                  <c:v>99.500693481276002</c:v>
                </c:pt>
                <c:pt idx="1649">
                  <c:v>99.500693481276002</c:v>
                </c:pt>
                <c:pt idx="1650">
                  <c:v>100.24965325936202</c:v>
                </c:pt>
                <c:pt idx="1651">
                  <c:v>101.49791955617201</c:v>
                </c:pt>
                <c:pt idx="1652">
                  <c:v>100.998613037448</c:v>
                </c:pt>
                <c:pt idx="1653">
                  <c:v>101.05409153952844</c:v>
                </c:pt>
                <c:pt idx="1654">
                  <c:v>100.69348127600554</c:v>
                </c:pt>
                <c:pt idx="1655">
                  <c:v>100.69348127600554</c:v>
                </c:pt>
                <c:pt idx="1656">
                  <c:v>100.69348127600554</c:v>
                </c:pt>
                <c:pt idx="1657">
                  <c:v>101.22052704576978</c:v>
                </c:pt>
                <c:pt idx="1658">
                  <c:v>101.6366158113731</c:v>
                </c:pt>
                <c:pt idx="1659">
                  <c:v>100.83217753120668</c:v>
                </c:pt>
                <c:pt idx="1660">
                  <c:v>98.39112343966714</c:v>
                </c:pt>
                <c:pt idx="1661">
                  <c:v>97.94729542302359</c:v>
                </c:pt>
                <c:pt idx="1662">
                  <c:v>97.94729542302359</c:v>
                </c:pt>
                <c:pt idx="1663">
                  <c:v>97.94729542302359</c:v>
                </c:pt>
                <c:pt idx="1664">
                  <c:v>97.004160887656028</c:v>
                </c:pt>
                <c:pt idx="1665">
                  <c:v>96.393897364771163</c:v>
                </c:pt>
                <c:pt idx="1666">
                  <c:v>96.171983356449388</c:v>
                </c:pt>
                <c:pt idx="1667">
                  <c:v>95.700416088765621</c:v>
                </c:pt>
                <c:pt idx="1668">
                  <c:v>96.338418862690716</c:v>
                </c:pt>
                <c:pt idx="1669">
                  <c:v>96.338418862690716</c:v>
                </c:pt>
                <c:pt idx="1670">
                  <c:v>96.338418862690716</c:v>
                </c:pt>
                <c:pt idx="1671">
                  <c:v>96.393897364771163</c:v>
                </c:pt>
                <c:pt idx="1672">
                  <c:v>95.866851595006949</c:v>
                </c:pt>
                <c:pt idx="1673">
                  <c:v>95.783633841886285</c:v>
                </c:pt>
                <c:pt idx="1674">
                  <c:v>95.617198335644943</c:v>
                </c:pt>
                <c:pt idx="1675">
                  <c:v>96.199722607489605</c:v>
                </c:pt>
                <c:pt idx="1676">
                  <c:v>96.199722607489605</c:v>
                </c:pt>
                <c:pt idx="1677">
                  <c:v>96.199722607489605</c:v>
                </c:pt>
                <c:pt idx="1678">
                  <c:v>94.979195561719848</c:v>
                </c:pt>
                <c:pt idx="1679">
                  <c:v>95.006934812760051</c:v>
                </c:pt>
                <c:pt idx="1680">
                  <c:v>94.091539528432747</c:v>
                </c:pt>
                <c:pt idx="1681">
                  <c:v>93.342579750346744</c:v>
                </c:pt>
                <c:pt idx="1682">
                  <c:v>93.980582524271867</c:v>
                </c:pt>
                <c:pt idx="1683">
                  <c:v>93.980582524271867</c:v>
                </c:pt>
                <c:pt idx="1684">
                  <c:v>93.980582524271867</c:v>
                </c:pt>
                <c:pt idx="1685">
                  <c:v>93.28710124826631</c:v>
                </c:pt>
                <c:pt idx="1686">
                  <c:v>95.256588072122071</c:v>
                </c:pt>
                <c:pt idx="1687">
                  <c:v>92.815533980582529</c:v>
                </c:pt>
                <c:pt idx="1688">
                  <c:v>92.815533980582529</c:v>
                </c:pt>
                <c:pt idx="1689">
                  <c:v>93.59223300970875</c:v>
                </c:pt>
                <c:pt idx="1690">
                  <c:v>93.59223300970875</c:v>
                </c:pt>
                <c:pt idx="1691">
                  <c:v>93.59223300970875</c:v>
                </c:pt>
                <c:pt idx="1692">
                  <c:v>93.037447988904304</c:v>
                </c:pt>
                <c:pt idx="1693">
                  <c:v>94.868238557558954</c:v>
                </c:pt>
                <c:pt idx="1694">
                  <c:v>93.342579750346744</c:v>
                </c:pt>
                <c:pt idx="1695">
                  <c:v>94.507628294036067</c:v>
                </c:pt>
                <c:pt idx="1696">
                  <c:v>94.840499306518723</c:v>
                </c:pt>
                <c:pt idx="1697">
                  <c:v>94.840499306518723</c:v>
                </c:pt>
                <c:pt idx="1698">
                  <c:v>94.840499306518723</c:v>
                </c:pt>
                <c:pt idx="1699">
                  <c:v>95.312066574202504</c:v>
                </c:pt>
                <c:pt idx="1700">
                  <c:v>95.922330097087382</c:v>
                </c:pt>
                <c:pt idx="1701">
                  <c:v>96.699029126213603</c:v>
                </c:pt>
                <c:pt idx="1702">
                  <c:v>98.502080443828021</c:v>
                </c:pt>
                <c:pt idx="1703">
                  <c:v>97.669902912621367</c:v>
                </c:pt>
                <c:pt idx="1704">
                  <c:v>97.669902912621367</c:v>
                </c:pt>
                <c:pt idx="1705">
                  <c:v>97.669902912621367</c:v>
                </c:pt>
                <c:pt idx="1706">
                  <c:v>97.94729542302359</c:v>
                </c:pt>
                <c:pt idx="1707">
                  <c:v>98.557558945908468</c:v>
                </c:pt>
                <c:pt idx="1708">
                  <c:v>99.528432732316247</c:v>
                </c:pt>
                <c:pt idx="1709">
                  <c:v>99.112343966712899</c:v>
                </c:pt>
                <c:pt idx="1710">
                  <c:v>99.056865464632466</c:v>
                </c:pt>
                <c:pt idx="1711">
                  <c:v>99.056865464632466</c:v>
                </c:pt>
                <c:pt idx="1712">
                  <c:v>99.056865464632466</c:v>
                </c:pt>
                <c:pt idx="1713">
                  <c:v>101.19278779472953</c:v>
                </c:pt>
                <c:pt idx="1714">
                  <c:v>100.58252427184466</c:v>
                </c:pt>
                <c:pt idx="1715">
                  <c:v>100.22191400832179</c:v>
                </c:pt>
                <c:pt idx="1716">
                  <c:v>100.80443828016645</c:v>
                </c:pt>
                <c:pt idx="1717">
                  <c:v>100.748959778086</c:v>
                </c:pt>
                <c:pt idx="1718">
                  <c:v>100.748959778086</c:v>
                </c:pt>
                <c:pt idx="1719">
                  <c:v>100.748959778086</c:v>
                </c:pt>
                <c:pt idx="1720">
                  <c:v>100.19417475728156</c:v>
                </c:pt>
                <c:pt idx="1721">
                  <c:v>100.16643550624134</c:v>
                </c:pt>
                <c:pt idx="1722">
                  <c:v>100.3606102635229</c:v>
                </c:pt>
                <c:pt idx="1723">
                  <c:v>100.58252427184466</c:v>
                </c:pt>
                <c:pt idx="1724">
                  <c:v>100.58252427184466</c:v>
                </c:pt>
                <c:pt idx="1725">
                  <c:v>100.58252427184466</c:v>
                </c:pt>
                <c:pt idx="1726">
                  <c:v>100.58252427184466</c:v>
                </c:pt>
                <c:pt idx="1727">
                  <c:v>100.58252427184466</c:v>
                </c:pt>
                <c:pt idx="1728">
                  <c:v>100.19417475728156</c:v>
                </c:pt>
                <c:pt idx="1729">
                  <c:v>99.472954230235786</c:v>
                </c:pt>
                <c:pt idx="1730">
                  <c:v>99.223300970873808</c:v>
                </c:pt>
                <c:pt idx="1731">
                  <c:v>98.196948682385582</c:v>
                </c:pt>
                <c:pt idx="1732">
                  <c:v>98.196948682385582</c:v>
                </c:pt>
                <c:pt idx="1733">
                  <c:v>98.196948682385582</c:v>
                </c:pt>
                <c:pt idx="1734">
                  <c:v>97.697642163661584</c:v>
                </c:pt>
                <c:pt idx="1735">
                  <c:v>97.1983356449376</c:v>
                </c:pt>
                <c:pt idx="1736">
                  <c:v>99.361997226074905</c:v>
                </c:pt>
                <c:pt idx="1737">
                  <c:v>98.834951456310691</c:v>
                </c:pt>
                <c:pt idx="1738">
                  <c:v>98.557558945908468</c:v>
                </c:pt>
                <c:pt idx="1739">
                  <c:v>98.557558945908468</c:v>
                </c:pt>
                <c:pt idx="1740">
                  <c:v>98.557558945908468</c:v>
                </c:pt>
                <c:pt idx="1741">
                  <c:v>99.001386962552004</c:v>
                </c:pt>
                <c:pt idx="1742">
                  <c:v>99.889042995839119</c:v>
                </c:pt>
                <c:pt idx="1743">
                  <c:v>100.88765603328712</c:v>
                </c:pt>
                <c:pt idx="1744">
                  <c:v>101.35922330097087</c:v>
                </c:pt>
                <c:pt idx="1745">
                  <c:v>102.13592233009709</c:v>
                </c:pt>
                <c:pt idx="1746">
                  <c:v>102.13592233009709</c:v>
                </c:pt>
                <c:pt idx="1747">
                  <c:v>102.13592233009709</c:v>
                </c:pt>
                <c:pt idx="1748">
                  <c:v>102.21914008321778</c:v>
                </c:pt>
                <c:pt idx="1749">
                  <c:v>102.57975034674062</c:v>
                </c:pt>
                <c:pt idx="1750">
                  <c:v>102.55201109570042</c:v>
                </c:pt>
                <c:pt idx="1751">
                  <c:v>100.72122052704577</c:v>
                </c:pt>
                <c:pt idx="1752">
                  <c:v>100.27739251040222</c:v>
                </c:pt>
                <c:pt idx="1753">
                  <c:v>100.27739251040222</c:v>
                </c:pt>
                <c:pt idx="1754">
                  <c:v>100.27739251040222</c:v>
                </c:pt>
                <c:pt idx="1755">
                  <c:v>103.82801664355064</c:v>
                </c:pt>
                <c:pt idx="1756">
                  <c:v>102.44105409153954</c:v>
                </c:pt>
                <c:pt idx="1757">
                  <c:v>102.2746185852982</c:v>
                </c:pt>
                <c:pt idx="1758">
                  <c:v>101.94174757281553</c:v>
                </c:pt>
                <c:pt idx="1759">
                  <c:v>100.748959778086</c:v>
                </c:pt>
                <c:pt idx="1760">
                  <c:v>100.748959778086</c:v>
                </c:pt>
                <c:pt idx="1761">
                  <c:v>100.748959778086</c:v>
                </c:pt>
                <c:pt idx="1762">
                  <c:v>100.3606102635229</c:v>
                </c:pt>
                <c:pt idx="1763">
                  <c:v>99.611650485436883</c:v>
                </c:pt>
                <c:pt idx="1764">
                  <c:v>99.209431345353678</c:v>
                </c:pt>
                <c:pt idx="1765">
                  <c:v>98.418862690707357</c:v>
                </c:pt>
                <c:pt idx="1766">
                  <c:v>97.780859916782262</c:v>
                </c:pt>
                <c:pt idx="1767">
                  <c:v>97.780859916782262</c:v>
                </c:pt>
                <c:pt idx="1768">
                  <c:v>97.780859916782262</c:v>
                </c:pt>
                <c:pt idx="1769">
                  <c:v>97.780859916782262</c:v>
                </c:pt>
                <c:pt idx="1770">
                  <c:v>98.834951456310691</c:v>
                </c:pt>
                <c:pt idx="1771">
                  <c:v>99.140083217753144</c:v>
                </c:pt>
                <c:pt idx="1772">
                  <c:v>99.306518723994458</c:v>
                </c:pt>
                <c:pt idx="1773">
                  <c:v>99.944521497919567</c:v>
                </c:pt>
                <c:pt idx="1774">
                  <c:v>99.944521497919567</c:v>
                </c:pt>
                <c:pt idx="1775">
                  <c:v>99.944521497919567</c:v>
                </c:pt>
                <c:pt idx="1776">
                  <c:v>99.944521497919567</c:v>
                </c:pt>
                <c:pt idx="1777">
                  <c:v>100.47156726768378</c:v>
                </c:pt>
                <c:pt idx="1778">
                  <c:v>100.63800277392512</c:v>
                </c:pt>
                <c:pt idx="1779">
                  <c:v>100.30513176144244</c:v>
                </c:pt>
                <c:pt idx="1780">
                  <c:v>100.05547850208045</c:v>
                </c:pt>
                <c:pt idx="1781">
                  <c:v>100.05547850208045</c:v>
                </c:pt>
                <c:pt idx="1782">
                  <c:v>100.05547850208045</c:v>
                </c:pt>
                <c:pt idx="1783">
                  <c:v>99.167822468793361</c:v>
                </c:pt>
                <c:pt idx="1784">
                  <c:v>98.668515950069363</c:v>
                </c:pt>
                <c:pt idx="1785">
                  <c:v>98.751733703190027</c:v>
                </c:pt>
                <c:pt idx="1786">
                  <c:v>98.169209431345365</c:v>
                </c:pt>
                <c:pt idx="1787">
                  <c:v>97.531206657420242</c:v>
                </c:pt>
                <c:pt idx="1788">
                  <c:v>97.531206657420242</c:v>
                </c:pt>
                <c:pt idx="1789">
                  <c:v>97.531206657420242</c:v>
                </c:pt>
                <c:pt idx="1790">
                  <c:v>97.836338418862709</c:v>
                </c:pt>
                <c:pt idx="1791">
                  <c:v>98.113730929264904</c:v>
                </c:pt>
                <c:pt idx="1792">
                  <c:v>97.1983356449376</c:v>
                </c:pt>
                <c:pt idx="1793">
                  <c:v>98.280166435506246</c:v>
                </c:pt>
                <c:pt idx="1794">
                  <c:v>97.836338418862709</c:v>
                </c:pt>
                <c:pt idx="1795">
                  <c:v>97.836338418862709</c:v>
                </c:pt>
                <c:pt idx="1796">
                  <c:v>97.836338418862709</c:v>
                </c:pt>
                <c:pt idx="1797">
                  <c:v>97.475728155339809</c:v>
                </c:pt>
                <c:pt idx="1798">
                  <c:v>97.364771151178928</c:v>
                </c:pt>
                <c:pt idx="1799">
                  <c:v>97.586685159500703</c:v>
                </c:pt>
                <c:pt idx="1800">
                  <c:v>97.531206657420242</c:v>
                </c:pt>
                <c:pt idx="1801">
                  <c:v>99.611650485436883</c:v>
                </c:pt>
                <c:pt idx="1802">
                  <c:v>99.611650485436883</c:v>
                </c:pt>
                <c:pt idx="1803">
                  <c:v>99.611650485436883</c:v>
                </c:pt>
                <c:pt idx="1804">
                  <c:v>99.361997226074905</c:v>
                </c:pt>
                <c:pt idx="1805">
                  <c:v>98.80721220527046</c:v>
                </c:pt>
                <c:pt idx="1806">
                  <c:v>99.306518723994458</c:v>
                </c:pt>
                <c:pt idx="1807">
                  <c:v>98.668515950069363</c:v>
                </c:pt>
                <c:pt idx="1808">
                  <c:v>99.583911234396666</c:v>
                </c:pt>
                <c:pt idx="1809">
                  <c:v>99.583911234396666</c:v>
                </c:pt>
                <c:pt idx="1810">
                  <c:v>99.583911234396666</c:v>
                </c:pt>
                <c:pt idx="1811">
                  <c:v>99.611650485436883</c:v>
                </c:pt>
                <c:pt idx="1812">
                  <c:v>99.667128987517344</c:v>
                </c:pt>
                <c:pt idx="1813">
                  <c:v>100.41608876560335</c:v>
                </c:pt>
                <c:pt idx="1814">
                  <c:v>101.27600554785022</c:v>
                </c:pt>
                <c:pt idx="1815">
                  <c:v>101.33148404993067</c:v>
                </c:pt>
                <c:pt idx="1816">
                  <c:v>101.33148404993067</c:v>
                </c:pt>
                <c:pt idx="1817">
                  <c:v>101.33148404993067</c:v>
                </c:pt>
                <c:pt idx="1818">
                  <c:v>100.3606102635229</c:v>
                </c:pt>
                <c:pt idx="1819">
                  <c:v>100.05547850208045</c:v>
                </c:pt>
                <c:pt idx="1820">
                  <c:v>101.30374479889043</c:v>
                </c:pt>
                <c:pt idx="1821">
                  <c:v>101.19278779472953</c:v>
                </c:pt>
                <c:pt idx="1822">
                  <c:v>101.19278779472953</c:v>
                </c:pt>
                <c:pt idx="1823">
                  <c:v>101.19278779472953</c:v>
                </c:pt>
                <c:pt idx="1824">
                  <c:v>101.19278779472953</c:v>
                </c:pt>
                <c:pt idx="1825">
                  <c:v>100.998613037448</c:v>
                </c:pt>
                <c:pt idx="1826">
                  <c:v>100</c:v>
                </c:pt>
              </c:numCache>
            </c:numRef>
          </c:val>
          <c:smooth val="0"/>
          <c:extLst>
            <c:ext xmlns:c16="http://schemas.microsoft.com/office/drawing/2014/chart" uri="{C3380CC4-5D6E-409C-BE32-E72D297353CC}">
              <c16:uniqueId val="{00000000-7F42-4D4F-88A4-F1EFF1B99B9D}"/>
            </c:ext>
          </c:extLst>
        </c:ser>
        <c:ser>
          <c:idx val="1"/>
          <c:order val="1"/>
          <c:tx>
            <c:strRef>
              <c:f>Indexed!$D$3</c:f>
              <c:strCache>
                <c:ptCount val="1"/>
                <c:pt idx="0">
                  <c:v>NVIDIA</c:v>
                </c:pt>
              </c:strCache>
            </c:strRef>
          </c:tx>
          <c:spPr>
            <a:ln w="28575" cap="rnd">
              <a:solidFill>
                <a:schemeClr val="accent2"/>
              </a:solidFill>
              <a:round/>
            </a:ln>
            <a:effectLst/>
          </c:spPr>
          <c:marker>
            <c:symbol val="none"/>
          </c:marker>
          <c:cat>
            <c:numRef>
              <c:f>Indexed!$B$4:$B$1830</c:f>
              <c:numCache>
                <c:formatCode>[$-14009]dddd\,\ d\ mmmm\,\ yyyy;@</c:formatCode>
                <c:ptCount val="1827"/>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formatCode="m/d/yyyy">
                  <c:v>43351</c:v>
                </c:pt>
                <c:pt idx="1257" formatCode="m/d/yyyy">
                  <c:v>43350</c:v>
                </c:pt>
                <c:pt idx="1258" formatCode="m/d/yyyy">
                  <c:v>43349</c:v>
                </c:pt>
                <c:pt idx="1259" formatCode="m/d/yyyy">
                  <c:v>43348</c:v>
                </c:pt>
                <c:pt idx="1260" formatCode="m/d/yyyy">
                  <c:v>43347</c:v>
                </c:pt>
                <c:pt idx="1261" formatCode="m/d/yyyy">
                  <c:v>43346</c:v>
                </c:pt>
                <c:pt idx="1262" formatCode="m/d/yyyy">
                  <c:v>43345</c:v>
                </c:pt>
                <c:pt idx="1263" formatCode="m/d/yyyy">
                  <c:v>43344</c:v>
                </c:pt>
                <c:pt idx="1264" formatCode="m/d/yyyy">
                  <c:v>43343</c:v>
                </c:pt>
                <c:pt idx="1265" formatCode="m/d/yyyy">
                  <c:v>43342</c:v>
                </c:pt>
                <c:pt idx="1266" formatCode="m/d/yyyy">
                  <c:v>43341</c:v>
                </c:pt>
                <c:pt idx="1267" formatCode="m/d/yyyy">
                  <c:v>43340</c:v>
                </c:pt>
                <c:pt idx="1268" formatCode="m/d/yyyy">
                  <c:v>43339</c:v>
                </c:pt>
                <c:pt idx="1269" formatCode="m/d/yyyy">
                  <c:v>43338</c:v>
                </c:pt>
                <c:pt idx="1270" formatCode="m/d/yyyy">
                  <c:v>43337</c:v>
                </c:pt>
                <c:pt idx="1271" formatCode="m/d/yyyy">
                  <c:v>43336</c:v>
                </c:pt>
                <c:pt idx="1272" formatCode="m/d/yyyy">
                  <c:v>43335</c:v>
                </c:pt>
                <c:pt idx="1273" formatCode="m/d/yyyy">
                  <c:v>43334</c:v>
                </c:pt>
                <c:pt idx="1274" formatCode="m/d/yyyy">
                  <c:v>43333</c:v>
                </c:pt>
                <c:pt idx="1275" formatCode="m/d/yyyy">
                  <c:v>43332</c:v>
                </c:pt>
                <c:pt idx="1276" formatCode="m/d/yyyy">
                  <c:v>43331</c:v>
                </c:pt>
                <c:pt idx="1277" formatCode="m/d/yyyy">
                  <c:v>43330</c:v>
                </c:pt>
                <c:pt idx="1278" formatCode="m/d/yyyy">
                  <c:v>43329</c:v>
                </c:pt>
                <c:pt idx="1279" formatCode="m/d/yyyy">
                  <c:v>43328</c:v>
                </c:pt>
                <c:pt idx="1280" formatCode="m/d/yyyy">
                  <c:v>43327</c:v>
                </c:pt>
                <c:pt idx="1281" formatCode="m/d/yyyy">
                  <c:v>43326</c:v>
                </c:pt>
                <c:pt idx="1282" formatCode="m/d/yyyy">
                  <c:v>43325</c:v>
                </c:pt>
                <c:pt idx="1283" formatCode="m/d/yyyy">
                  <c:v>43324</c:v>
                </c:pt>
                <c:pt idx="1284" formatCode="m/d/yyyy">
                  <c:v>43323</c:v>
                </c:pt>
                <c:pt idx="1285" formatCode="m/d/yyyy">
                  <c:v>43322</c:v>
                </c:pt>
                <c:pt idx="1286" formatCode="m/d/yyyy">
                  <c:v>43321</c:v>
                </c:pt>
                <c:pt idx="1287" formatCode="m/d/yyyy">
                  <c:v>43320</c:v>
                </c:pt>
                <c:pt idx="1288" formatCode="m/d/yyyy">
                  <c:v>43319</c:v>
                </c:pt>
                <c:pt idx="1289" formatCode="m/d/yyyy">
                  <c:v>43318</c:v>
                </c:pt>
                <c:pt idx="1290" formatCode="m/d/yyyy">
                  <c:v>43317</c:v>
                </c:pt>
                <c:pt idx="1291" formatCode="m/d/yyyy">
                  <c:v>43316</c:v>
                </c:pt>
                <c:pt idx="1292" formatCode="m/d/yyyy">
                  <c:v>43315</c:v>
                </c:pt>
                <c:pt idx="1293" formatCode="m/d/yyyy">
                  <c:v>43314</c:v>
                </c:pt>
                <c:pt idx="1294" formatCode="m/d/yyyy">
                  <c:v>43313</c:v>
                </c:pt>
                <c:pt idx="1295" formatCode="m/d/yyyy">
                  <c:v>43312</c:v>
                </c:pt>
                <c:pt idx="1296" formatCode="m/d/yyyy">
                  <c:v>43311</c:v>
                </c:pt>
                <c:pt idx="1297" formatCode="m/d/yyyy">
                  <c:v>43310</c:v>
                </c:pt>
                <c:pt idx="1298" formatCode="m/d/yyyy">
                  <c:v>43309</c:v>
                </c:pt>
                <c:pt idx="1299" formatCode="m/d/yyyy">
                  <c:v>43308</c:v>
                </c:pt>
                <c:pt idx="1300" formatCode="m/d/yyyy">
                  <c:v>43307</c:v>
                </c:pt>
                <c:pt idx="1301" formatCode="m/d/yyyy">
                  <c:v>43306</c:v>
                </c:pt>
                <c:pt idx="1302" formatCode="m/d/yyyy">
                  <c:v>43305</c:v>
                </c:pt>
                <c:pt idx="1303" formatCode="m/d/yyyy">
                  <c:v>43304</c:v>
                </c:pt>
                <c:pt idx="1304" formatCode="m/d/yyyy">
                  <c:v>43303</c:v>
                </c:pt>
                <c:pt idx="1305" formatCode="m/d/yyyy">
                  <c:v>43302</c:v>
                </c:pt>
                <c:pt idx="1306" formatCode="m/d/yyyy">
                  <c:v>43301</c:v>
                </c:pt>
                <c:pt idx="1307" formatCode="m/d/yyyy">
                  <c:v>43300</c:v>
                </c:pt>
                <c:pt idx="1308" formatCode="m/d/yyyy">
                  <c:v>43299</c:v>
                </c:pt>
                <c:pt idx="1309" formatCode="m/d/yyyy">
                  <c:v>43298</c:v>
                </c:pt>
                <c:pt idx="1310" formatCode="m/d/yyyy">
                  <c:v>43297</c:v>
                </c:pt>
                <c:pt idx="1311" formatCode="m/d/yyyy">
                  <c:v>43296</c:v>
                </c:pt>
                <c:pt idx="1312" formatCode="m/d/yyyy">
                  <c:v>43295</c:v>
                </c:pt>
                <c:pt idx="1313" formatCode="m/d/yyyy">
                  <c:v>43294</c:v>
                </c:pt>
                <c:pt idx="1314" formatCode="m/d/yyyy">
                  <c:v>43293</c:v>
                </c:pt>
                <c:pt idx="1315" formatCode="m/d/yyyy">
                  <c:v>43292</c:v>
                </c:pt>
                <c:pt idx="1316" formatCode="m/d/yyyy">
                  <c:v>43291</c:v>
                </c:pt>
                <c:pt idx="1317" formatCode="m/d/yyyy">
                  <c:v>43290</c:v>
                </c:pt>
                <c:pt idx="1318" formatCode="m/d/yyyy">
                  <c:v>43289</c:v>
                </c:pt>
                <c:pt idx="1319" formatCode="m/d/yyyy">
                  <c:v>43288</c:v>
                </c:pt>
                <c:pt idx="1320" formatCode="m/d/yyyy">
                  <c:v>43287</c:v>
                </c:pt>
                <c:pt idx="1321" formatCode="m/d/yyyy">
                  <c:v>43286</c:v>
                </c:pt>
                <c:pt idx="1322" formatCode="m/d/yyyy">
                  <c:v>43285</c:v>
                </c:pt>
                <c:pt idx="1323" formatCode="m/d/yyyy">
                  <c:v>43284</c:v>
                </c:pt>
                <c:pt idx="1324" formatCode="m/d/yyyy">
                  <c:v>43283</c:v>
                </c:pt>
                <c:pt idx="1325" formatCode="m/d/yyyy">
                  <c:v>43282</c:v>
                </c:pt>
                <c:pt idx="1326" formatCode="m/d/yyyy">
                  <c:v>43281</c:v>
                </c:pt>
                <c:pt idx="1327" formatCode="m/d/yyyy">
                  <c:v>43280</c:v>
                </c:pt>
                <c:pt idx="1328" formatCode="m/d/yyyy">
                  <c:v>43279</c:v>
                </c:pt>
                <c:pt idx="1329" formatCode="m/d/yyyy">
                  <c:v>43278</c:v>
                </c:pt>
                <c:pt idx="1330" formatCode="m/d/yyyy">
                  <c:v>43277</c:v>
                </c:pt>
                <c:pt idx="1331" formatCode="m/d/yyyy">
                  <c:v>43276</c:v>
                </c:pt>
                <c:pt idx="1332" formatCode="m/d/yyyy">
                  <c:v>43275</c:v>
                </c:pt>
                <c:pt idx="1333" formatCode="m/d/yyyy">
                  <c:v>43274</c:v>
                </c:pt>
                <c:pt idx="1334" formatCode="m/d/yyyy">
                  <c:v>43273</c:v>
                </c:pt>
                <c:pt idx="1335" formatCode="m/d/yyyy">
                  <c:v>43272</c:v>
                </c:pt>
                <c:pt idx="1336" formatCode="m/d/yyyy">
                  <c:v>43271</c:v>
                </c:pt>
                <c:pt idx="1337" formatCode="m/d/yyyy">
                  <c:v>43270</c:v>
                </c:pt>
                <c:pt idx="1338" formatCode="m/d/yyyy">
                  <c:v>43269</c:v>
                </c:pt>
                <c:pt idx="1339" formatCode="m/d/yyyy">
                  <c:v>43268</c:v>
                </c:pt>
                <c:pt idx="1340" formatCode="m/d/yyyy">
                  <c:v>43267</c:v>
                </c:pt>
                <c:pt idx="1341" formatCode="m/d/yyyy">
                  <c:v>43266</c:v>
                </c:pt>
                <c:pt idx="1342" formatCode="m/d/yyyy">
                  <c:v>43265</c:v>
                </c:pt>
                <c:pt idx="1343" formatCode="m/d/yyyy">
                  <c:v>43264</c:v>
                </c:pt>
                <c:pt idx="1344" formatCode="m/d/yyyy">
                  <c:v>43263</c:v>
                </c:pt>
                <c:pt idx="1345" formatCode="m/d/yyyy">
                  <c:v>43262</c:v>
                </c:pt>
                <c:pt idx="1346" formatCode="m/d/yyyy">
                  <c:v>43261</c:v>
                </c:pt>
                <c:pt idx="1347" formatCode="m/d/yyyy">
                  <c:v>43260</c:v>
                </c:pt>
                <c:pt idx="1348" formatCode="m/d/yyyy">
                  <c:v>43259</c:v>
                </c:pt>
                <c:pt idx="1349" formatCode="m/d/yyyy">
                  <c:v>43258</c:v>
                </c:pt>
                <c:pt idx="1350" formatCode="m/d/yyyy">
                  <c:v>43257</c:v>
                </c:pt>
                <c:pt idx="1351" formatCode="m/d/yyyy">
                  <c:v>43256</c:v>
                </c:pt>
                <c:pt idx="1352" formatCode="m/d/yyyy">
                  <c:v>43255</c:v>
                </c:pt>
                <c:pt idx="1353" formatCode="m/d/yyyy">
                  <c:v>43254</c:v>
                </c:pt>
                <c:pt idx="1354" formatCode="m/d/yyyy">
                  <c:v>43253</c:v>
                </c:pt>
                <c:pt idx="1355" formatCode="m/d/yyyy">
                  <c:v>43252</c:v>
                </c:pt>
                <c:pt idx="1356" formatCode="m/d/yyyy">
                  <c:v>43251</c:v>
                </c:pt>
                <c:pt idx="1357" formatCode="m/d/yyyy">
                  <c:v>43250</c:v>
                </c:pt>
                <c:pt idx="1358" formatCode="m/d/yyyy">
                  <c:v>43249</c:v>
                </c:pt>
                <c:pt idx="1359" formatCode="m/d/yyyy">
                  <c:v>43248</c:v>
                </c:pt>
                <c:pt idx="1360" formatCode="m/d/yyyy">
                  <c:v>43247</c:v>
                </c:pt>
                <c:pt idx="1361" formatCode="m/d/yyyy">
                  <c:v>43246</c:v>
                </c:pt>
                <c:pt idx="1362" formatCode="m/d/yyyy">
                  <c:v>43245</c:v>
                </c:pt>
                <c:pt idx="1363" formatCode="m/d/yyyy">
                  <c:v>43244</c:v>
                </c:pt>
                <c:pt idx="1364" formatCode="m/d/yyyy">
                  <c:v>43243</c:v>
                </c:pt>
                <c:pt idx="1365" formatCode="m/d/yyyy">
                  <c:v>43242</c:v>
                </c:pt>
                <c:pt idx="1366" formatCode="m/d/yyyy">
                  <c:v>43241</c:v>
                </c:pt>
                <c:pt idx="1367" formatCode="m/d/yyyy">
                  <c:v>43240</c:v>
                </c:pt>
                <c:pt idx="1368" formatCode="m/d/yyyy">
                  <c:v>43239</c:v>
                </c:pt>
                <c:pt idx="1369" formatCode="m/d/yyyy">
                  <c:v>43238</c:v>
                </c:pt>
                <c:pt idx="1370" formatCode="m/d/yyyy">
                  <c:v>43237</c:v>
                </c:pt>
                <c:pt idx="1371" formatCode="m/d/yyyy">
                  <c:v>43236</c:v>
                </c:pt>
                <c:pt idx="1372" formatCode="m/d/yyyy">
                  <c:v>43235</c:v>
                </c:pt>
                <c:pt idx="1373" formatCode="m/d/yyyy">
                  <c:v>43234</c:v>
                </c:pt>
                <c:pt idx="1374" formatCode="m/d/yyyy">
                  <c:v>43233</c:v>
                </c:pt>
                <c:pt idx="1375" formatCode="m/d/yyyy">
                  <c:v>43232</c:v>
                </c:pt>
                <c:pt idx="1376" formatCode="m/d/yyyy">
                  <c:v>43231</c:v>
                </c:pt>
                <c:pt idx="1377" formatCode="m/d/yyyy">
                  <c:v>43230</c:v>
                </c:pt>
                <c:pt idx="1378" formatCode="m/d/yyyy">
                  <c:v>43229</c:v>
                </c:pt>
                <c:pt idx="1379" formatCode="m/d/yyyy">
                  <c:v>43228</c:v>
                </c:pt>
                <c:pt idx="1380" formatCode="m/d/yyyy">
                  <c:v>43227</c:v>
                </c:pt>
                <c:pt idx="1381" formatCode="m/d/yyyy">
                  <c:v>43226</c:v>
                </c:pt>
                <c:pt idx="1382" formatCode="m/d/yyyy">
                  <c:v>43225</c:v>
                </c:pt>
                <c:pt idx="1383" formatCode="m/d/yyyy">
                  <c:v>43224</c:v>
                </c:pt>
                <c:pt idx="1384" formatCode="m/d/yyyy">
                  <c:v>43223</c:v>
                </c:pt>
                <c:pt idx="1385" formatCode="m/d/yyyy">
                  <c:v>43222</c:v>
                </c:pt>
                <c:pt idx="1386" formatCode="m/d/yyyy">
                  <c:v>43221</c:v>
                </c:pt>
                <c:pt idx="1387" formatCode="m/d/yyyy">
                  <c:v>43220</c:v>
                </c:pt>
                <c:pt idx="1388" formatCode="m/d/yyyy">
                  <c:v>43219</c:v>
                </c:pt>
                <c:pt idx="1389" formatCode="m/d/yyyy">
                  <c:v>43218</c:v>
                </c:pt>
                <c:pt idx="1390" formatCode="m/d/yyyy">
                  <c:v>43217</c:v>
                </c:pt>
                <c:pt idx="1391" formatCode="m/d/yyyy">
                  <c:v>43216</c:v>
                </c:pt>
                <c:pt idx="1392" formatCode="m/d/yyyy">
                  <c:v>43215</c:v>
                </c:pt>
                <c:pt idx="1393" formatCode="m/d/yyyy">
                  <c:v>43214</c:v>
                </c:pt>
                <c:pt idx="1394" formatCode="m/d/yyyy">
                  <c:v>43213</c:v>
                </c:pt>
                <c:pt idx="1395" formatCode="m/d/yyyy">
                  <c:v>43212</c:v>
                </c:pt>
                <c:pt idx="1396" formatCode="m/d/yyyy">
                  <c:v>43211</c:v>
                </c:pt>
                <c:pt idx="1397" formatCode="m/d/yyyy">
                  <c:v>43210</c:v>
                </c:pt>
                <c:pt idx="1398" formatCode="m/d/yyyy">
                  <c:v>43209</c:v>
                </c:pt>
                <c:pt idx="1399" formatCode="m/d/yyyy">
                  <c:v>43208</c:v>
                </c:pt>
                <c:pt idx="1400" formatCode="m/d/yyyy">
                  <c:v>43207</c:v>
                </c:pt>
                <c:pt idx="1401" formatCode="m/d/yyyy">
                  <c:v>43206</c:v>
                </c:pt>
                <c:pt idx="1402" formatCode="m/d/yyyy">
                  <c:v>43205</c:v>
                </c:pt>
                <c:pt idx="1403" formatCode="m/d/yyyy">
                  <c:v>43204</c:v>
                </c:pt>
                <c:pt idx="1404" formatCode="m/d/yyyy">
                  <c:v>43203</c:v>
                </c:pt>
                <c:pt idx="1405" formatCode="m/d/yyyy">
                  <c:v>43202</c:v>
                </c:pt>
                <c:pt idx="1406" formatCode="m/d/yyyy">
                  <c:v>43201</c:v>
                </c:pt>
                <c:pt idx="1407" formatCode="m/d/yyyy">
                  <c:v>43200</c:v>
                </c:pt>
                <c:pt idx="1408" formatCode="m/d/yyyy">
                  <c:v>43199</c:v>
                </c:pt>
                <c:pt idx="1409" formatCode="m/d/yyyy">
                  <c:v>43198</c:v>
                </c:pt>
                <c:pt idx="1410" formatCode="m/d/yyyy">
                  <c:v>43197</c:v>
                </c:pt>
                <c:pt idx="1411" formatCode="m/d/yyyy">
                  <c:v>43196</c:v>
                </c:pt>
                <c:pt idx="1412" formatCode="m/d/yyyy">
                  <c:v>43195</c:v>
                </c:pt>
                <c:pt idx="1413" formatCode="m/d/yyyy">
                  <c:v>43194</c:v>
                </c:pt>
                <c:pt idx="1414" formatCode="m/d/yyyy">
                  <c:v>43193</c:v>
                </c:pt>
                <c:pt idx="1415" formatCode="m/d/yyyy">
                  <c:v>43192</c:v>
                </c:pt>
                <c:pt idx="1416" formatCode="m/d/yyyy">
                  <c:v>43191</c:v>
                </c:pt>
                <c:pt idx="1417" formatCode="m/d/yyyy">
                  <c:v>43190</c:v>
                </c:pt>
                <c:pt idx="1418" formatCode="m/d/yyyy">
                  <c:v>43189</c:v>
                </c:pt>
                <c:pt idx="1419" formatCode="m/d/yyyy">
                  <c:v>43188</c:v>
                </c:pt>
                <c:pt idx="1420" formatCode="m/d/yyyy">
                  <c:v>43187</c:v>
                </c:pt>
                <c:pt idx="1421" formatCode="m/d/yyyy">
                  <c:v>43186</c:v>
                </c:pt>
                <c:pt idx="1422" formatCode="m/d/yyyy">
                  <c:v>43185</c:v>
                </c:pt>
                <c:pt idx="1423" formatCode="m/d/yyyy">
                  <c:v>43184</c:v>
                </c:pt>
                <c:pt idx="1424" formatCode="m/d/yyyy">
                  <c:v>43183</c:v>
                </c:pt>
                <c:pt idx="1425" formatCode="m/d/yyyy">
                  <c:v>43182</c:v>
                </c:pt>
                <c:pt idx="1426" formatCode="m/d/yyyy">
                  <c:v>43181</c:v>
                </c:pt>
                <c:pt idx="1427" formatCode="m/d/yyyy">
                  <c:v>43180</c:v>
                </c:pt>
                <c:pt idx="1428" formatCode="m/d/yyyy">
                  <c:v>43179</c:v>
                </c:pt>
                <c:pt idx="1429" formatCode="m/d/yyyy">
                  <c:v>43178</c:v>
                </c:pt>
                <c:pt idx="1430" formatCode="m/d/yyyy">
                  <c:v>43177</c:v>
                </c:pt>
                <c:pt idx="1431" formatCode="m/d/yyyy">
                  <c:v>43176</c:v>
                </c:pt>
                <c:pt idx="1432" formatCode="m/d/yyyy">
                  <c:v>43175</c:v>
                </c:pt>
                <c:pt idx="1433" formatCode="m/d/yyyy">
                  <c:v>43174</c:v>
                </c:pt>
                <c:pt idx="1434" formatCode="m/d/yyyy">
                  <c:v>43173</c:v>
                </c:pt>
                <c:pt idx="1435" formatCode="m/d/yyyy">
                  <c:v>43172</c:v>
                </c:pt>
                <c:pt idx="1436" formatCode="m/d/yyyy">
                  <c:v>43171</c:v>
                </c:pt>
                <c:pt idx="1437" formatCode="m/d/yyyy">
                  <c:v>43170</c:v>
                </c:pt>
                <c:pt idx="1438" formatCode="m/d/yyyy">
                  <c:v>43169</c:v>
                </c:pt>
                <c:pt idx="1439" formatCode="m/d/yyyy">
                  <c:v>43168</c:v>
                </c:pt>
                <c:pt idx="1440" formatCode="m/d/yyyy">
                  <c:v>43167</c:v>
                </c:pt>
                <c:pt idx="1441" formatCode="m/d/yyyy">
                  <c:v>43166</c:v>
                </c:pt>
                <c:pt idx="1442" formatCode="m/d/yyyy">
                  <c:v>43165</c:v>
                </c:pt>
                <c:pt idx="1443" formatCode="m/d/yyyy">
                  <c:v>43164</c:v>
                </c:pt>
                <c:pt idx="1444" formatCode="m/d/yyyy">
                  <c:v>43163</c:v>
                </c:pt>
                <c:pt idx="1445" formatCode="m/d/yyyy">
                  <c:v>43162</c:v>
                </c:pt>
                <c:pt idx="1446" formatCode="m/d/yyyy">
                  <c:v>43161</c:v>
                </c:pt>
                <c:pt idx="1447" formatCode="m/d/yyyy">
                  <c:v>43160</c:v>
                </c:pt>
                <c:pt idx="1448" formatCode="m/d/yyyy">
                  <c:v>43159</c:v>
                </c:pt>
                <c:pt idx="1449" formatCode="m/d/yyyy">
                  <c:v>43158</c:v>
                </c:pt>
                <c:pt idx="1450" formatCode="m/d/yyyy">
                  <c:v>43157</c:v>
                </c:pt>
                <c:pt idx="1451" formatCode="m/d/yyyy">
                  <c:v>43156</c:v>
                </c:pt>
                <c:pt idx="1452" formatCode="m/d/yyyy">
                  <c:v>43155</c:v>
                </c:pt>
                <c:pt idx="1453" formatCode="m/d/yyyy">
                  <c:v>43154</c:v>
                </c:pt>
                <c:pt idx="1454" formatCode="m/d/yyyy">
                  <c:v>43153</c:v>
                </c:pt>
                <c:pt idx="1455" formatCode="m/d/yyyy">
                  <c:v>43152</c:v>
                </c:pt>
                <c:pt idx="1456" formatCode="m/d/yyyy">
                  <c:v>43151</c:v>
                </c:pt>
                <c:pt idx="1457" formatCode="m/d/yyyy">
                  <c:v>43150</c:v>
                </c:pt>
                <c:pt idx="1458" formatCode="m/d/yyyy">
                  <c:v>43149</c:v>
                </c:pt>
                <c:pt idx="1459" formatCode="m/d/yyyy">
                  <c:v>43148</c:v>
                </c:pt>
                <c:pt idx="1460" formatCode="m/d/yyyy">
                  <c:v>43147</c:v>
                </c:pt>
                <c:pt idx="1461" formatCode="m/d/yyyy">
                  <c:v>43146</c:v>
                </c:pt>
                <c:pt idx="1462" formatCode="m/d/yyyy">
                  <c:v>43145</c:v>
                </c:pt>
                <c:pt idx="1463" formatCode="m/d/yyyy">
                  <c:v>43144</c:v>
                </c:pt>
                <c:pt idx="1464" formatCode="m/d/yyyy">
                  <c:v>43143</c:v>
                </c:pt>
                <c:pt idx="1465" formatCode="m/d/yyyy">
                  <c:v>43142</c:v>
                </c:pt>
                <c:pt idx="1466" formatCode="m/d/yyyy">
                  <c:v>43141</c:v>
                </c:pt>
                <c:pt idx="1467" formatCode="m/d/yyyy">
                  <c:v>43140</c:v>
                </c:pt>
                <c:pt idx="1468" formatCode="m/d/yyyy">
                  <c:v>43139</c:v>
                </c:pt>
                <c:pt idx="1469" formatCode="m/d/yyyy">
                  <c:v>43138</c:v>
                </c:pt>
                <c:pt idx="1470" formatCode="m/d/yyyy">
                  <c:v>43137</c:v>
                </c:pt>
                <c:pt idx="1471" formatCode="m/d/yyyy">
                  <c:v>43136</c:v>
                </c:pt>
                <c:pt idx="1472" formatCode="m/d/yyyy">
                  <c:v>43135</c:v>
                </c:pt>
                <c:pt idx="1473" formatCode="m/d/yyyy">
                  <c:v>43134</c:v>
                </c:pt>
                <c:pt idx="1474" formatCode="m/d/yyyy">
                  <c:v>43133</c:v>
                </c:pt>
                <c:pt idx="1475" formatCode="m/d/yyyy">
                  <c:v>43132</c:v>
                </c:pt>
                <c:pt idx="1476" formatCode="m/d/yyyy">
                  <c:v>43131</c:v>
                </c:pt>
                <c:pt idx="1477" formatCode="m/d/yyyy">
                  <c:v>43130</c:v>
                </c:pt>
                <c:pt idx="1478" formatCode="m/d/yyyy">
                  <c:v>43129</c:v>
                </c:pt>
                <c:pt idx="1479" formatCode="m/d/yyyy">
                  <c:v>43128</c:v>
                </c:pt>
                <c:pt idx="1480" formatCode="m/d/yyyy">
                  <c:v>43127</c:v>
                </c:pt>
                <c:pt idx="1481" formatCode="m/d/yyyy">
                  <c:v>43126</c:v>
                </c:pt>
                <c:pt idx="1482" formatCode="m/d/yyyy">
                  <c:v>43125</c:v>
                </c:pt>
                <c:pt idx="1483" formatCode="m/d/yyyy">
                  <c:v>43124</c:v>
                </c:pt>
                <c:pt idx="1484" formatCode="m/d/yyyy">
                  <c:v>43123</c:v>
                </c:pt>
                <c:pt idx="1485" formatCode="m/d/yyyy">
                  <c:v>43122</c:v>
                </c:pt>
                <c:pt idx="1486" formatCode="m/d/yyyy">
                  <c:v>43121</c:v>
                </c:pt>
                <c:pt idx="1487" formatCode="m/d/yyyy">
                  <c:v>43120</c:v>
                </c:pt>
                <c:pt idx="1488" formatCode="m/d/yyyy">
                  <c:v>43119</c:v>
                </c:pt>
                <c:pt idx="1489" formatCode="m/d/yyyy">
                  <c:v>43118</c:v>
                </c:pt>
                <c:pt idx="1490" formatCode="m/d/yyyy">
                  <c:v>43117</c:v>
                </c:pt>
                <c:pt idx="1491" formatCode="m/d/yyyy">
                  <c:v>43116</c:v>
                </c:pt>
                <c:pt idx="1492" formatCode="m/d/yyyy">
                  <c:v>43115</c:v>
                </c:pt>
                <c:pt idx="1493" formatCode="m/d/yyyy">
                  <c:v>43114</c:v>
                </c:pt>
                <c:pt idx="1494" formatCode="m/d/yyyy">
                  <c:v>43113</c:v>
                </c:pt>
                <c:pt idx="1495" formatCode="m/d/yyyy">
                  <c:v>43112</c:v>
                </c:pt>
                <c:pt idx="1496" formatCode="m/d/yyyy">
                  <c:v>43111</c:v>
                </c:pt>
                <c:pt idx="1497" formatCode="m/d/yyyy">
                  <c:v>43110</c:v>
                </c:pt>
                <c:pt idx="1498" formatCode="m/d/yyyy">
                  <c:v>43109</c:v>
                </c:pt>
                <c:pt idx="1499" formatCode="m/d/yyyy">
                  <c:v>43108</c:v>
                </c:pt>
                <c:pt idx="1500" formatCode="m/d/yyyy">
                  <c:v>43107</c:v>
                </c:pt>
                <c:pt idx="1501" formatCode="m/d/yyyy">
                  <c:v>43106</c:v>
                </c:pt>
                <c:pt idx="1502" formatCode="m/d/yyyy">
                  <c:v>43105</c:v>
                </c:pt>
                <c:pt idx="1503" formatCode="m/d/yyyy">
                  <c:v>43104</c:v>
                </c:pt>
                <c:pt idx="1504" formatCode="m/d/yyyy">
                  <c:v>43103</c:v>
                </c:pt>
                <c:pt idx="1505" formatCode="m/d/yyyy">
                  <c:v>43102</c:v>
                </c:pt>
                <c:pt idx="1506" formatCode="m/d/yyyy">
                  <c:v>43101</c:v>
                </c:pt>
                <c:pt idx="1507" formatCode="m/d/yyyy">
                  <c:v>43100</c:v>
                </c:pt>
                <c:pt idx="1508" formatCode="m/d/yyyy">
                  <c:v>43099</c:v>
                </c:pt>
                <c:pt idx="1509" formatCode="m/d/yyyy">
                  <c:v>43098</c:v>
                </c:pt>
                <c:pt idx="1510" formatCode="m/d/yyyy">
                  <c:v>43097</c:v>
                </c:pt>
                <c:pt idx="1511" formatCode="m/d/yyyy">
                  <c:v>43096</c:v>
                </c:pt>
                <c:pt idx="1512" formatCode="m/d/yyyy">
                  <c:v>43095</c:v>
                </c:pt>
                <c:pt idx="1513" formatCode="m/d/yyyy">
                  <c:v>43094</c:v>
                </c:pt>
                <c:pt idx="1514" formatCode="m/d/yyyy">
                  <c:v>43093</c:v>
                </c:pt>
                <c:pt idx="1515" formatCode="m/d/yyyy">
                  <c:v>43092</c:v>
                </c:pt>
                <c:pt idx="1516" formatCode="m/d/yyyy">
                  <c:v>43091</c:v>
                </c:pt>
                <c:pt idx="1517" formatCode="m/d/yyyy">
                  <c:v>43090</c:v>
                </c:pt>
                <c:pt idx="1518" formatCode="m/d/yyyy">
                  <c:v>43089</c:v>
                </c:pt>
                <c:pt idx="1519" formatCode="m/d/yyyy">
                  <c:v>43088</c:v>
                </c:pt>
                <c:pt idx="1520" formatCode="m/d/yyyy">
                  <c:v>43087</c:v>
                </c:pt>
                <c:pt idx="1521" formatCode="m/d/yyyy">
                  <c:v>43086</c:v>
                </c:pt>
                <c:pt idx="1522" formatCode="m/d/yyyy">
                  <c:v>43085</c:v>
                </c:pt>
                <c:pt idx="1523" formatCode="m/d/yyyy">
                  <c:v>43084</c:v>
                </c:pt>
                <c:pt idx="1524" formatCode="m/d/yyyy">
                  <c:v>43083</c:v>
                </c:pt>
                <c:pt idx="1525" formatCode="m/d/yyyy">
                  <c:v>43082</c:v>
                </c:pt>
                <c:pt idx="1526" formatCode="m/d/yyyy">
                  <c:v>43081</c:v>
                </c:pt>
                <c:pt idx="1527" formatCode="m/d/yyyy">
                  <c:v>43080</c:v>
                </c:pt>
                <c:pt idx="1528" formatCode="m/d/yyyy">
                  <c:v>43079</c:v>
                </c:pt>
                <c:pt idx="1529" formatCode="m/d/yyyy">
                  <c:v>43078</c:v>
                </c:pt>
                <c:pt idx="1530" formatCode="m/d/yyyy">
                  <c:v>43077</c:v>
                </c:pt>
                <c:pt idx="1531" formatCode="m/d/yyyy">
                  <c:v>43076</c:v>
                </c:pt>
                <c:pt idx="1532" formatCode="m/d/yyyy">
                  <c:v>43075</c:v>
                </c:pt>
                <c:pt idx="1533" formatCode="m/d/yyyy">
                  <c:v>43074</c:v>
                </c:pt>
                <c:pt idx="1534" formatCode="m/d/yyyy">
                  <c:v>43073</c:v>
                </c:pt>
                <c:pt idx="1535" formatCode="m/d/yyyy">
                  <c:v>43072</c:v>
                </c:pt>
                <c:pt idx="1536" formatCode="m/d/yyyy">
                  <c:v>43071</c:v>
                </c:pt>
                <c:pt idx="1537" formatCode="m/d/yyyy">
                  <c:v>43070</c:v>
                </c:pt>
                <c:pt idx="1538" formatCode="m/d/yyyy">
                  <c:v>43069</c:v>
                </c:pt>
                <c:pt idx="1539" formatCode="m/d/yyyy">
                  <c:v>43068</c:v>
                </c:pt>
                <c:pt idx="1540" formatCode="m/d/yyyy">
                  <c:v>43067</c:v>
                </c:pt>
                <c:pt idx="1541" formatCode="m/d/yyyy">
                  <c:v>43066</c:v>
                </c:pt>
                <c:pt idx="1542" formatCode="m/d/yyyy">
                  <c:v>43065</c:v>
                </c:pt>
                <c:pt idx="1543" formatCode="m/d/yyyy">
                  <c:v>43064</c:v>
                </c:pt>
                <c:pt idx="1544" formatCode="m/d/yyyy">
                  <c:v>43063</c:v>
                </c:pt>
                <c:pt idx="1545" formatCode="m/d/yyyy">
                  <c:v>43062</c:v>
                </c:pt>
                <c:pt idx="1546" formatCode="m/d/yyyy">
                  <c:v>43061</c:v>
                </c:pt>
                <c:pt idx="1547" formatCode="m/d/yyyy">
                  <c:v>43060</c:v>
                </c:pt>
                <c:pt idx="1548" formatCode="m/d/yyyy">
                  <c:v>43059</c:v>
                </c:pt>
                <c:pt idx="1549" formatCode="m/d/yyyy">
                  <c:v>43058</c:v>
                </c:pt>
                <c:pt idx="1550" formatCode="m/d/yyyy">
                  <c:v>43057</c:v>
                </c:pt>
                <c:pt idx="1551" formatCode="m/d/yyyy">
                  <c:v>43056</c:v>
                </c:pt>
                <c:pt idx="1552" formatCode="m/d/yyyy">
                  <c:v>43055</c:v>
                </c:pt>
                <c:pt idx="1553" formatCode="m/d/yyyy">
                  <c:v>43054</c:v>
                </c:pt>
                <c:pt idx="1554" formatCode="m/d/yyyy">
                  <c:v>43053</c:v>
                </c:pt>
                <c:pt idx="1555" formatCode="m/d/yyyy">
                  <c:v>43052</c:v>
                </c:pt>
                <c:pt idx="1556" formatCode="m/d/yyyy">
                  <c:v>43051</c:v>
                </c:pt>
                <c:pt idx="1557" formatCode="m/d/yyyy">
                  <c:v>43050</c:v>
                </c:pt>
                <c:pt idx="1558" formatCode="m/d/yyyy">
                  <c:v>43049</c:v>
                </c:pt>
                <c:pt idx="1559" formatCode="m/d/yyyy">
                  <c:v>43048</c:v>
                </c:pt>
                <c:pt idx="1560" formatCode="m/d/yyyy">
                  <c:v>43047</c:v>
                </c:pt>
                <c:pt idx="1561" formatCode="m/d/yyyy">
                  <c:v>43046</c:v>
                </c:pt>
                <c:pt idx="1562" formatCode="m/d/yyyy">
                  <c:v>43045</c:v>
                </c:pt>
                <c:pt idx="1563" formatCode="m/d/yyyy">
                  <c:v>43044</c:v>
                </c:pt>
                <c:pt idx="1564" formatCode="m/d/yyyy">
                  <c:v>43043</c:v>
                </c:pt>
                <c:pt idx="1565" formatCode="m/d/yyyy">
                  <c:v>43042</c:v>
                </c:pt>
                <c:pt idx="1566" formatCode="m/d/yyyy">
                  <c:v>43041</c:v>
                </c:pt>
                <c:pt idx="1567" formatCode="m/d/yyyy">
                  <c:v>43040</c:v>
                </c:pt>
                <c:pt idx="1568" formatCode="m/d/yyyy">
                  <c:v>43039</c:v>
                </c:pt>
                <c:pt idx="1569" formatCode="m/d/yyyy">
                  <c:v>43038</c:v>
                </c:pt>
                <c:pt idx="1570" formatCode="m/d/yyyy">
                  <c:v>43037</c:v>
                </c:pt>
                <c:pt idx="1571" formatCode="m/d/yyyy">
                  <c:v>43036</c:v>
                </c:pt>
                <c:pt idx="1572" formatCode="m/d/yyyy">
                  <c:v>43035</c:v>
                </c:pt>
                <c:pt idx="1573" formatCode="m/d/yyyy">
                  <c:v>43034</c:v>
                </c:pt>
                <c:pt idx="1574" formatCode="m/d/yyyy">
                  <c:v>43033</c:v>
                </c:pt>
                <c:pt idx="1575" formatCode="m/d/yyyy">
                  <c:v>43032</c:v>
                </c:pt>
                <c:pt idx="1576" formatCode="m/d/yyyy">
                  <c:v>43031</c:v>
                </c:pt>
                <c:pt idx="1577" formatCode="m/d/yyyy">
                  <c:v>43030</c:v>
                </c:pt>
                <c:pt idx="1578" formatCode="m/d/yyyy">
                  <c:v>43029</c:v>
                </c:pt>
                <c:pt idx="1579" formatCode="m/d/yyyy">
                  <c:v>43028</c:v>
                </c:pt>
                <c:pt idx="1580" formatCode="m/d/yyyy">
                  <c:v>43027</c:v>
                </c:pt>
                <c:pt idx="1581" formatCode="m/d/yyyy">
                  <c:v>43026</c:v>
                </c:pt>
                <c:pt idx="1582" formatCode="m/d/yyyy">
                  <c:v>43025</c:v>
                </c:pt>
                <c:pt idx="1583" formatCode="m/d/yyyy">
                  <c:v>43024</c:v>
                </c:pt>
                <c:pt idx="1584" formatCode="m/d/yyyy">
                  <c:v>43023</c:v>
                </c:pt>
                <c:pt idx="1585" formatCode="m/d/yyyy">
                  <c:v>43022</c:v>
                </c:pt>
                <c:pt idx="1586" formatCode="m/d/yyyy">
                  <c:v>43021</c:v>
                </c:pt>
                <c:pt idx="1587" formatCode="m/d/yyyy">
                  <c:v>43020</c:v>
                </c:pt>
                <c:pt idx="1588" formatCode="m/d/yyyy">
                  <c:v>43019</c:v>
                </c:pt>
                <c:pt idx="1589" formatCode="m/d/yyyy">
                  <c:v>43018</c:v>
                </c:pt>
                <c:pt idx="1590" formatCode="m/d/yyyy">
                  <c:v>43017</c:v>
                </c:pt>
                <c:pt idx="1591" formatCode="m/d/yyyy">
                  <c:v>43016</c:v>
                </c:pt>
                <c:pt idx="1592" formatCode="m/d/yyyy">
                  <c:v>43015</c:v>
                </c:pt>
                <c:pt idx="1593" formatCode="m/d/yyyy">
                  <c:v>43014</c:v>
                </c:pt>
                <c:pt idx="1594" formatCode="m/d/yyyy">
                  <c:v>43013</c:v>
                </c:pt>
                <c:pt idx="1595" formatCode="m/d/yyyy">
                  <c:v>43012</c:v>
                </c:pt>
                <c:pt idx="1596" formatCode="m/d/yyyy">
                  <c:v>43011</c:v>
                </c:pt>
                <c:pt idx="1597" formatCode="m/d/yyyy">
                  <c:v>43010</c:v>
                </c:pt>
                <c:pt idx="1598" formatCode="m/d/yyyy">
                  <c:v>43009</c:v>
                </c:pt>
                <c:pt idx="1599" formatCode="m/d/yyyy">
                  <c:v>43008</c:v>
                </c:pt>
                <c:pt idx="1600" formatCode="m/d/yyyy">
                  <c:v>43007</c:v>
                </c:pt>
                <c:pt idx="1601" formatCode="m/d/yyyy">
                  <c:v>43006</c:v>
                </c:pt>
                <c:pt idx="1602" formatCode="m/d/yyyy">
                  <c:v>43005</c:v>
                </c:pt>
                <c:pt idx="1603" formatCode="m/d/yyyy">
                  <c:v>43004</c:v>
                </c:pt>
                <c:pt idx="1604" formatCode="m/d/yyyy">
                  <c:v>43003</c:v>
                </c:pt>
                <c:pt idx="1605" formatCode="m/d/yyyy">
                  <c:v>43002</c:v>
                </c:pt>
                <c:pt idx="1606" formatCode="m/d/yyyy">
                  <c:v>43001</c:v>
                </c:pt>
                <c:pt idx="1607" formatCode="m/d/yyyy">
                  <c:v>43000</c:v>
                </c:pt>
                <c:pt idx="1608" formatCode="m/d/yyyy">
                  <c:v>42999</c:v>
                </c:pt>
                <c:pt idx="1609" formatCode="m/d/yyyy">
                  <c:v>42998</c:v>
                </c:pt>
                <c:pt idx="1610" formatCode="m/d/yyyy">
                  <c:v>42997</c:v>
                </c:pt>
                <c:pt idx="1611" formatCode="m/d/yyyy">
                  <c:v>42996</c:v>
                </c:pt>
                <c:pt idx="1612" formatCode="m/d/yyyy">
                  <c:v>42995</c:v>
                </c:pt>
                <c:pt idx="1613" formatCode="m/d/yyyy">
                  <c:v>42994</c:v>
                </c:pt>
                <c:pt idx="1614" formatCode="m/d/yyyy">
                  <c:v>42993</c:v>
                </c:pt>
                <c:pt idx="1615" formatCode="m/d/yyyy">
                  <c:v>42992</c:v>
                </c:pt>
                <c:pt idx="1616" formatCode="m/d/yyyy">
                  <c:v>42991</c:v>
                </c:pt>
                <c:pt idx="1617" formatCode="m/d/yyyy">
                  <c:v>42990</c:v>
                </c:pt>
                <c:pt idx="1618" formatCode="m/d/yyyy">
                  <c:v>42989</c:v>
                </c:pt>
                <c:pt idx="1619" formatCode="m/d/yyyy">
                  <c:v>42988</c:v>
                </c:pt>
                <c:pt idx="1620" formatCode="m/d/yyyy">
                  <c:v>42987</c:v>
                </c:pt>
                <c:pt idx="1621" formatCode="m/d/yyyy">
                  <c:v>42986</c:v>
                </c:pt>
                <c:pt idx="1622" formatCode="m/d/yyyy">
                  <c:v>42985</c:v>
                </c:pt>
                <c:pt idx="1623" formatCode="m/d/yyyy">
                  <c:v>42984</c:v>
                </c:pt>
                <c:pt idx="1624" formatCode="m/d/yyyy">
                  <c:v>42983</c:v>
                </c:pt>
                <c:pt idx="1625" formatCode="m/d/yyyy">
                  <c:v>42982</c:v>
                </c:pt>
                <c:pt idx="1626" formatCode="m/d/yyyy">
                  <c:v>42981</c:v>
                </c:pt>
                <c:pt idx="1627" formatCode="m/d/yyyy">
                  <c:v>42980</c:v>
                </c:pt>
                <c:pt idx="1628" formatCode="m/d/yyyy">
                  <c:v>42979</c:v>
                </c:pt>
                <c:pt idx="1629" formatCode="m/d/yyyy">
                  <c:v>42978</c:v>
                </c:pt>
                <c:pt idx="1630" formatCode="m/d/yyyy">
                  <c:v>42977</c:v>
                </c:pt>
                <c:pt idx="1631" formatCode="m/d/yyyy">
                  <c:v>42976</c:v>
                </c:pt>
                <c:pt idx="1632" formatCode="m/d/yyyy">
                  <c:v>42975</c:v>
                </c:pt>
                <c:pt idx="1633" formatCode="m/d/yyyy">
                  <c:v>42974</c:v>
                </c:pt>
                <c:pt idx="1634" formatCode="m/d/yyyy">
                  <c:v>42973</c:v>
                </c:pt>
                <c:pt idx="1635" formatCode="m/d/yyyy">
                  <c:v>42972</c:v>
                </c:pt>
                <c:pt idx="1636" formatCode="m/d/yyyy">
                  <c:v>42971</c:v>
                </c:pt>
                <c:pt idx="1637" formatCode="m/d/yyyy">
                  <c:v>42970</c:v>
                </c:pt>
                <c:pt idx="1638" formatCode="m/d/yyyy">
                  <c:v>42969</c:v>
                </c:pt>
                <c:pt idx="1639" formatCode="m/d/yyyy">
                  <c:v>42968</c:v>
                </c:pt>
                <c:pt idx="1640" formatCode="m/d/yyyy">
                  <c:v>42967</c:v>
                </c:pt>
                <c:pt idx="1641" formatCode="m/d/yyyy">
                  <c:v>42966</c:v>
                </c:pt>
                <c:pt idx="1642" formatCode="m/d/yyyy">
                  <c:v>42965</c:v>
                </c:pt>
                <c:pt idx="1643" formatCode="m/d/yyyy">
                  <c:v>42964</c:v>
                </c:pt>
                <c:pt idx="1644" formatCode="m/d/yyyy">
                  <c:v>42963</c:v>
                </c:pt>
                <c:pt idx="1645" formatCode="m/d/yyyy">
                  <c:v>42962</c:v>
                </c:pt>
                <c:pt idx="1646" formatCode="m/d/yyyy">
                  <c:v>42961</c:v>
                </c:pt>
                <c:pt idx="1647" formatCode="m/d/yyyy">
                  <c:v>42960</c:v>
                </c:pt>
                <c:pt idx="1648" formatCode="m/d/yyyy">
                  <c:v>42959</c:v>
                </c:pt>
                <c:pt idx="1649" formatCode="m/d/yyyy">
                  <c:v>42958</c:v>
                </c:pt>
                <c:pt idx="1650" formatCode="m/d/yyyy">
                  <c:v>42957</c:v>
                </c:pt>
                <c:pt idx="1651" formatCode="m/d/yyyy">
                  <c:v>42956</c:v>
                </c:pt>
                <c:pt idx="1652" formatCode="m/d/yyyy">
                  <c:v>42955</c:v>
                </c:pt>
                <c:pt idx="1653" formatCode="m/d/yyyy">
                  <c:v>42954</c:v>
                </c:pt>
                <c:pt idx="1654" formatCode="m/d/yyyy">
                  <c:v>42953</c:v>
                </c:pt>
                <c:pt idx="1655" formatCode="m/d/yyyy">
                  <c:v>42952</c:v>
                </c:pt>
                <c:pt idx="1656" formatCode="m/d/yyyy">
                  <c:v>42951</c:v>
                </c:pt>
                <c:pt idx="1657" formatCode="m/d/yyyy">
                  <c:v>42950</c:v>
                </c:pt>
                <c:pt idx="1658" formatCode="m/d/yyyy">
                  <c:v>42949</c:v>
                </c:pt>
                <c:pt idx="1659" formatCode="m/d/yyyy">
                  <c:v>42948</c:v>
                </c:pt>
                <c:pt idx="1660" formatCode="m/d/yyyy">
                  <c:v>42947</c:v>
                </c:pt>
                <c:pt idx="1661" formatCode="m/d/yyyy">
                  <c:v>42946</c:v>
                </c:pt>
                <c:pt idx="1662" formatCode="m/d/yyyy">
                  <c:v>42945</c:v>
                </c:pt>
                <c:pt idx="1663" formatCode="m/d/yyyy">
                  <c:v>42944</c:v>
                </c:pt>
                <c:pt idx="1664" formatCode="m/d/yyyy">
                  <c:v>42943</c:v>
                </c:pt>
                <c:pt idx="1665" formatCode="m/d/yyyy">
                  <c:v>42942</c:v>
                </c:pt>
                <c:pt idx="1666" formatCode="m/d/yyyy">
                  <c:v>42941</c:v>
                </c:pt>
                <c:pt idx="1667" formatCode="m/d/yyyy">
                  <c:v>42940</c:v>
                </c:pt>
                <c:pt idx="1668" formatCode="m/d/yyyy">
                  <c:v>42939</c:v>
                </c:pt>
                <c:pt idx="1669" formatCode="m/d/yyyy">
                  <c:v>42938</c:v>
                </c:pt>
                <c:pt idx="1670" formatCode="m/d/yyyy">
                  <c:v>42937</c:v>
                </c:pt>
                <c:pt idx="1671" formatCode="m/d/yyyy">
                  <c:v>42936</c:v>
                </c:pt>
                <c:pt idx="1672" formatCode="m/d/yyyy">
                  <c:v>42935</c:v>
                </c:pt>
                <c:pt idx="1673" formatCode="m/d/yyyy">
                  <c:v>42934</c:v>
                </c:pt>
                <c:pt idx="1674" formatCode="m/d/yyyy">
                  <c:v>42933</c:v>
                </c:pt>
                <c:pt idx="1675" formatCode="m/d/yyyy">
                  <c:v>42932</c:v>
                </c:pt>
                <c:pt idx="1676" formatCode="m/d/yyyy">
                  <c:v>42931</c:v>
                </c:pt>
                <c:pt idx="1677" formatCode="m/d/yyyy">
                  <c:v>42930</c:v>
                </c:pt>
                <c:pt idx="1678" formatCode="m/d/yyyy">
                  <c:v>42929</c:v>
                </c:pt>
                <c:pt idx="1679" formatCode="m/d/yyyy">
                  <c:v>42928</c:v>
                </c:pt>
                <c:pt idx="1680" formatCode="m/d/yyyy">
                  <c:v>42927</c:v>
                </c:pt>
                <c:pt idx="1681" formatCode="m/d/yyyy">
                  <c:v>42926</c:v>
                </c:pt>
                <c:pt idx="1682" formatCode="m/d/yyyy">
                  <c:v>42925</c:v>
                </c:pt>
                <c:pt idx="1683" formatCode="m/d/yyyy">
                  <c:v>42924</c:v>
                </c:pt>
                <c:pt idx="1684" formatCode="m/d/yyyy">
                  <c:v>42923</c:v>
                </c:pt>
                <c:pt idx="1685" formatCode="m/d/yyyy">
                  <c:v>42922</c:v>
                </c:pt>
                <c:pt idx="1686" formatCode="m/d/yyyy">
                  <c:v>42921</c:v>
                </c:pt>
                <c:pt idx="1687" formatCode="m/d/yyyy">
                  <c:v>42920</c:v>
                </c:pt>
                <c:pt idx="1688" formatCode="m/d/yyyy">
                  <c:v>42919</c:v>
                </c:pt>
                <c:pt idx="1689" formatCode="m/d/yyyy">
                  <c:v>42918</c:v>
                </c:pt>
                <c:pt idx="1690" formatCode="m/d/yyyy">
                  <c:v>42917</c:v>
                </c:pt>
                <c:pt idx="1691" formatCode="m/d/yyyy">
                  <c:v>42916</c:v>
                </c:pt>
                <c:pt idx="1692" formatCode="m/d/yyyy">
                  <c:v>42915</c:v>
                </c:pt>
                <c:pt idx="1693" formatCode="m/d/yyyy">
                  <c:v>42914</c:v>
                </c:pt>
                <c:pt idx="1694" formatCode="m/d/yyyy">
                  <c:v>42913</c:v>
                </c:pt>
                <c:pt idx="1695" formatCode="m/d/yyyy">
                  <c:v>42912</c:v>
                </c:pt>
                <c:pt idx="1696" formatCode="m/d/yyyy">
                  <c:v>42911</c:v>
                </c:pt>
                <c:pt idx="1697" formatCode="m/d/yyyy">
                  <c:v>42910</c:v>
                </c:pt>
                <c:pt idx="1698" formatCode="m/d/yyyy">
                  <c:v>42909</c:v>
                </c:pt>
                <c:pt idx="1699" formatCode="m/d/yyyy">
                  <c:v>42908</c:v>
                </c:pt>
                <c:pt idx="1700" formatCode="m/d/yyyy">
                  <c:v>42907</c:v>
                </c:pt>
                <c:pt idx="1701" formatCode="m/d/yyyy">
                  <c:v>42906</c:v>
                </c:pt>
                <c:pt idx="1702" formatCode="m/d/yyyy">
                  <c:v>42905</c:v>
                </c:pt>
                <c:pt idx="1703" formatCode="m/d/yyyy">
                  <c:v>42904</c:v>
                </c:pt>
                <c:pt idx="1704" formatCode="m/d/yyyy">
                  <c:v>42903</c:v>
                </c:pt>
                <c:pt idx="1705" formatCode="m/d/yyyy">
                  <c:v>42902</c:v>
                </c:pt>
                <c:pt idx="1706" formatCode="m/d/yyyy">
                  <c:v>42901</c:v>
                </c:pt>
                <c:pt idx="1707" formatCode="m/d/yyyy">
                  <c:v>42900</c:v>
                </c:pt>
                <c:pt idx="1708" formatCode="m/d/yyyy">
                  <c:v>42899</c:v>
                </c:pt>
                <c:pt idx="1709" formatCode="m/d/yyyy">
                  <c:v>42898</c:v>
                </c:pt>
                <c:pt idx="1710" formatCode="m/d/yyyy">
                  <c:v>42897</c:v>
                </c:pt>
                <c:pt idx="1711" formatCode="m/d/yyyy">
                  <c:v>42896</c:v>
                </c:pt>
                <c:pt idx="1712" formatCode="m/d/yyyy">
                  <c:v>42895</c:v>
                </c:pt>
                <c:pt idx="1713" formatCode="m/d/yyyy">
                  <c:v>42894</c:v>
                </c:pt>
                <c:pt idx="1714" formatCode="m/d/yyyy">
                  <c:v>42893</c:v>
                </c:pt>
                <c:pt idx="1715" formatCode="m/d/yyyy">
                  <c:v>42892</c:v>
                </c:pt>
                <c:pt idx="1716" formatCode="m/d/yyyy">
                  <c:v>42891</c:v>
                </c:pt>
                <c:pt idx="1717" formatCode="m/d/yyyy">
                  <c:v>42890</c:v>
                </c:pt>
                <c:pt idx="1718" formatCode="m/d/yyyy">
                  <c:v>42889</c:v>
                </c:pt>
                <c:pt idx="1719" formatCode="m/d/yyyy">
                  <c:v>42888</c:v>
                </c:pt>
                <c:pt idx="1720" formatCode="m/d/yyyy">
                  <c:v>42887</c:v>
                </c:pt>
                <c:pt idx="1721" formatCode="m/d/yyyy">
                  <c:v>42886</c:v>
                </c:pt>
                <c:pt idx="1722" formatCode="m/d/yyyy">
                  <c:v>42885</c:v>
                </c:pt>
                <c:pt idx="1723" formatCode="m/d/yyyy">
                  <c:v>42884</c:v>
                </c:pt>
                <c:pt idx="1724" formatCode="m/d/yyyy">
                  <c:v>42883</c:v>
                </c:pt>
                <c:pt idx="1725" formatCode="m/d/yyyy">
                  <c:v>42882</c:v>
                </c:pt>
                <c:pt idx="1726" formatCode="m/d/yyyy">
                  <c:v>42881</c:v>
                </c:pt>
                <c:pt idx="1727" formatCode="m/d/yyyy">
                  <c:v>42880</c:v>
                </c:pt>
                <c:pt idx="1728" formatCode="m/d/yyyy">
                  <c:v>42879</c:v>
                </c:pt>
                <c:pt idx="1729" formatCode="m/d/yyyy">
                  <c:v>42878</c:v>
                </c:pt>
                <c:pt idx="1730" formatCode="m/d/yyyy">
                  <c:v>42877</c:v>
                </c:pt>
                <c:pt idx="1731" formatCode="m/d/yyyy">
                  <c:v>42876</c:v>
                </c:pt>
                <c:pt idx="1732" formatCode="m/d/yyyy">
                  <c:v>42875</c:v>
                </c:pt>
                <c:pt idx="1733" formatCode="m/d/yyyy">
                  <c:v>42874</c:v>
                </c:pt>
                <c:pt idx="1734" formatCode="m/d/yyyy">
                  <c:v>42873</c:v>
                </c:pt>
                <c:pt idx="1735" formatCode="m/d/yyyy">
                  <c:v>42872</c:v>
                </c:pt>
                <c:pt idx="1736" formatCode="m/d/yyyy">
                  <c:v>42871</c:v>
                </c:pt>
                <c:pt idx="1737" formatCode="m/d/yyyy">
                  <c:v>42870</c:v>
                </c:pt>
                <c:pt idx="1738" formatCode="m/d/yyyy">
                  <c:v>42869</c:v>
                </c:pt>
                <c:pt idx="1739" formatCode="m/d/yyyy">
                  <c:v>42868</c:v>
                </c:pt>
                <c:pt idx="1740" formatCode="m/d/yyyy">
                  <c:v>42867</c:v>
                </c:pt>
                <c:pt idx="1741" formatCode="m/d/yyyy">
                  <c:v>42866</c:v>
                </c:pt>
                <c:pt idx="1742" formatCode="m/d/yyyy">
                  <c:v>42865</c:v>
                </c:pt>
                <c:pt idx="1743" formatCode="m/d/yyyy">
                  <c:v>42864</c:v>
                </c:pt>
                <c:pt idx="1744" formatCode="m/d/yyyy">
                  <c:v>42863</c:v>
                </c:pt>
                <c:pt idx="1745" formatCode="m/d/yyyy">
                  <c:v>42862</c:v>
                </c:pt>
                <c:pt idx="1746" formatCode="m/d/yyyy">
                  <c:v>42861</c:v>
                </c:pt>
                <c:pt idx="1747" formatCode="m/d/yyyy">
                  <c:v>42860</c:v>
                </c:pt>
                <c:pt idx="1748" formatCode="m/d/yyyy">
                  <c:v>42859</c:v>
                </c:pt>
                <c:pt idx="1749" formatCode="m/d/yyyy">
                  <c:v>42858</c:v>
                </c:pt>
                <c:pt idx="1750" formatCode="m/d/yyyy">
                  <c:v>42857</c:v>
                </c:pt>
                <c:pt idx="1751" formatCode="m/d/yyyy">
                  <c:v>42856</c:v>
                </c:pt>
                <c:pt idx="1752" formatCode="m/d/yyyy">
                  <c:v>42855</c:v>
                </c:pt>
                <c:pt idx="1753" formatCode="m/d/yyyy">
                  <c:v>42854</c:v>
                </c:pt>
                <c:pt idx="1754" formatCode="m/d/yyyy">
                  <c:v>42853</c:v>
                </c:pt>
                <c:pt idx="1755" formatCode="m/d/yyyy">
                  <c:v>42852</c:v>
                </c:pt>
                <c:pt idx="1756" formatCode="m/d/yyyy">
                  <c:v>42851</c:v>
                </c:pt>
                <c:pt idx="1757" formatCode="m/d/yyyy">
                  <c:v>42850</c:v>
                </c:pt>
                <c:pt idx="1758" formatCode="m/d/yyyy">
                  <c:v>42849</c:v>
                </c:pt>
                <c:pt idx="1759" formatCode="m/d/yyyy">
                  <c:v>42848</c:v>
                </c:pt>
                <c:pt idx="1760" formatCode="m/d/yyyy">
                  <c:v>42847</c:v>
                </c:pt>
                <c:pt idx="1761" formatCode="m/d/yyyy">
                  <c:v>42846</c:v>
                </c:pt>
                <c:pt idx="1762" formatCode="m/d/yyyy">
                  <c:v>42845</c:v>
                </c:pt>
                <c:pt idx="1763" formatCode="m/d/yyyy">
                  <c:v>42844</c:v>
                </c:pt>
                <c:pt idx="1764" formatCode="m/d/yyyy">
                  <c:v>42843</c:v>
                </c:pt>
                <c:pt idx="1765" formatCode="m/d/yyyy">
                  <c:v>42842</c:v>
                </c:pt>
                <c:pt idx="1766" formatCode="m/d/yyyy">
                  <c:v>42841</c:v>
                </c:pt>
                <c:pt idx="1767" formatCode="m/d/yyyy">
                  <c:v>42840</c:v>
                </c:pt>
                <c:pt idx="1768" formatCode="m/d/yyyy">
                  <c:v>42839</c:v>
                </c:pt>
                <c:pt idx="1769" formatCode="m/d/yyyy">
                  <c:v>42838</c:v>
                </c:pt>
                <c:pt idx="1770" formatCode="m/d/yyyy">
                  <c:v>42837</c:v>
                </c:pt>
                <c:pt idx="1771" formatCode="m/d/yyyy">
                  <c:v>42836</c:v>
                </c:pt>
                <c:pt idx="1772" formatCode="m/d/yyyy">
                  <c:v>42835</c:v>
                </c:pt>
                <c:pt idx="1773" formatCode="m/d/yyyy">
                  <c:v>42834</c:v>
                </c:pt>
                <c:pt idx="1774" formatCode="m/d/yyyy">
                  <c:v>42833</c:v>
                </c:pt>
                <c:pt idx="1775" formatCode="m/d/yyyy">
                  <c:v>42832</c:v>
                </c:pt>
                <c:pt idx="1776" formatCode="m/d/yyyy">
                  <c:v>42831</c:v>
                </c:pt>
                <c:pt idx="1777" formatCode="m/d/yyyy">
                  <c:v>42830</c:v>
                </c:pt>
                <c:pt idx="1778" formatCode="m/d/yyyy">
                  <c:v>42829</c:v>
                </c:pt>
                <c:pt idx="1779" formatCode="m/d/yyyy">
                  <c:v>42828</c:v>
                </c:pt>
                <c:pt idx="1780" formatCode="m/d/yyyy">
                  <c:v>42827</c:v>
                </c:pt>
                <c:pt idx="1781" formatCode="m/d/yyyy">
                  <c:v>42826</c:v>
                </c:pt>
                <c:pt idx="1782" formatCode="m/d/yyyy">
                  <c:v>42825</c:v>
                </c:pt>
                <c:pt idx="1783" formatCode="m/d/yyyy">
                  <c:v>42824</c:v>
                </c:pt>
                <c:pt idx="1784" formatCode="m/d/yyyy">
                  <c:v>42823</c:v>
                </c:pt>
                <c:pt idx="1785" formatCode="m/d/yyyy">
                  <c:v>42822</c:v>
                </c:pt>
                <c:pt idx="1786" formatCode="m/d/yyyy">
                  <c:v>42821</c:v>
                </c:pt>
                <c:pt idx="1787" formatCode="m/d/yyyy">
                  <c:v>42820</c:v>
                </c:pt>
                <c:pt idx="1788" formatCode="m/d/yyyy">
                  <c:v>42819</c:v>
                </c:pt>
                <c:pt idx="1789" formatCode="m/d/yyyy">
                  <c:v>42818</c:v>
                </c:pt>
                <c:pt idx="1790" formatCode="m/d/yyyy">
                  <c:v>42817</c:v>
                </c:pt>
                <c:pt idx="1791" formatCode="m/d/yyyy">
                  <c:v>42816</c:v>
                </c:pt>
                <c:pt idx="1792" formatCode="m/d/yyyy">
                  <c:v>42815</c:v>
                </c:pt>
                <c:pt idx="1793" formatCode="m/d/yyyy">
                  <c:v>42814</c:v>
                </c:pt>
                <c:pt idx="1794" formatCode="m/d/yyyy">
                  <c:v>42813</c:v>
                </c:pt>
                <c:pt idx="1795" formatCode="m/d/yyyy">
                  <c:v>42812</c:v>
                </c:pt>
                <c:pt idx="1796" formatCode="m/d/yyyy">
                  <c:v>42811</c:v>
                </c:pt>
                <c:pt idx="1797" formatCode="m/d/yyyy">
                  <c:v>42810</c:v>
                </c:pt>
                <c:pt idx="1798" formatCode="m/d/yyyy">
                  <c:v>42809</c:v>
                </c:pt>
                <c:pt idx="1799" formatCode="m/d/yyyy">
                  <c:v>42808</c:v>
                </c:pt>
                <c:pt idx="1800" formatCode="m/d/yyyy">
                  <c:v>42807</c:v>
                </c:pt>
                <c:pt idx="1801" formatCode="m/d/yyyy">
                  <c:v>42806</c:v>
                </c:pt>
                <c:pt idx="1802" formatCode="m/d/yyyy">
                  <c:v>42805</c:v>
                </c:pt>
                <c:pt idx="1803" formatCode="m/d/yyyy">
                  <c:v>42804</c:v>
                </c:pt>
                <c:pt idx="1804" formatCode="m/d/yyyy">
                  <c:v>42803</c:v>
                </c:pt>
                <c:pt idx="1805" formatCode="m/d/yyyy">
                  <c:v>42802</c:v>
                </c:pt>
                <c:pt idx="1806" formatCode="m/d/yyyy">
                  <c:v>42801</c:v>
                </c:pt>
                <c:pt idx="1807" formatCode="m/d/yyyy">
                  <c:v>42800</c:v>
                </c:pt>
                <c:pt idx="1808" formatCode="m/d/yyyy">
                  <c:v>42799</c:v>
                </c:pt>
                <c:pt idx="1809" formatCode="m/d/yyyy">
                  <c:v>42798</c:v>
                </c:pt>
                <c:pt idx="1810" formatCode="m/d/yyyy">
                  <c:v>42797</c:v>
                </c:pt>
                <c:pt idx="1811" formatCode="m/d/yyyy">
                  <c:v>42796</c:v>
                </c:pt>
                <c:pt idx="1812" formatCode="m/d/yyyy">
                  <c:v>42795</c:v>
                </c:pt>
                <c:pt idx="1813" formatCode="m/d/yyyy">
                  <c:v>42794</c:v>
                </c:pt>
                <c:pt idx="1814" formatCode="m/d/yyyy">
                  <c:v>42793</c:v>
                </c:pt>
                <c:pt idx="1815" formatCode="m/d/yyyy">
                  <c:v>42792</c:v>
                </c:pt>
                <c:pt idx="1816" formatCode="m/d/yyyy">
                  <c:v>42791</c:v>
                </c:pt>
                <c:pt idx="1817" formatCode="m/d/yyyy">
                  <c:v>42790</c:v>
                </c:pt>
                <c:pt idx="1818" formatCode="m/d/yyyy">
                  <c:v>42789</c:v>
                </c:pt>
                <c:pt idx="1819" formatCode="m/d/yyyy">
                  <c:v>42788</c:v>
                </c:pt>
                <c:pt idx="1820" formatCode="m/d/yyyy">
                  <c:v>42787</c:v>
                </c:pt>
                <c:pt idx="1821" formatCode="m/d/yyyy">
                  <c:v>42786</c:v>
                </c:pt>
                <c:pt idx="1822" formatCode="m/d/yyyy">
                  <c:v>42785</c:v>
                </c:pt>
                <c:pt idx="1823" formatCode="m/d/yyyy">
                  <c:v>42784</c:v>
                </c:pt>
                <c:pt idx="1824" formatCode="m/d/yyyy">
                  <c:v>42783</c:v>
                </c:pt>
                <c:pt idx="1825" formatCode="m/d/yyyy">
                  <c:v>42782</c:v>
                </c:pt>
                <c:pt idx="1826" formatCode="m/d/yyyy">
                  <c:v>42781</c:v>
                </c:pt>
              </c:numCache>
            </c:numRef>
          </c:cat>
          <c:val>
            <c:numRef>
              <c:f>Indexed!$D$4:$D$1830</c:f>
              <c:numCache>
                <c:formatCode>0</c:formatCode>
                <c:ptCount val="1827"/>
                <c:pt idx="0">
                  <c:v>0</c:v>
                </c:pt>
                <c:pt idx="1">
                  <c:v>890.53211009174311</c:v>
                </c:pt>
                <c:pt idx="2">
                  <c:v>878.86238532110087</c:v>
                </c:pt>
                <c:pt idx="3">
                  <c:v>878.86238532110087</c:v>
                </c:pt>
                <c:pt idx="4">
                  <c:v>878.86238532110087</c:v>
                </c:pt>
                <c:pt idx="5">
                  <c:v>947.66972477064223</c:v>
                </c:pt>
                <c:pt idx="6">
                  <c:v>980.00000000000011</c:v>
                </c:pt>
                <c:pt idx="7">
                  <c:v>921.39449541284398</c:v>
                </c:pt>
                <c:pt idx="8">
                  <c:v>907.44954128440372</c:v>
                </c:pt>
                <c:pt idx="9">
                  <c:v>892.44036697247702</c:v>
                </c:pt>
                <c:pt idx="10">
                  <c:v>892.44036697247702</c:v>
                </c:pt>
                <c:pt idx="11">
                  <c:v>892.44036697247702</c:v>
                </c:pt>
                <c:pt idx="12">
                  <c:v>878.82568807339453</c:v>
                </c:pt>
                <c:pt idx="13">
                  <c:v>926.3119266055046</c:v>
                </c:pt>
                <c:pt idx="14">
                  <c:v>904.1467889908256</c:v>
                </c:pt>
                <c:pt idx="15">
                  <c:v>898.56880733944956</c:v>
                </c:pt>
                <c:pt idx="16">
                  <c:v>838.165137614679</c:v>
                </c:pt>
                <c:pt idx="17">
                  <c:v>838.165137614679</c:v>
                </c:pt>
                <c:pt idx="18">
                  <c:v>838.165137614679</c:v>
                </c:pt>
                <c:pt idx="19">
                  <c:v>805.28440366972484</c:v>
                </c:pt>
                <c:pt idx="20">
                  <c:v>835.66972477064212</c:v>
                </c:pt>
                <c:pt idx="21">
                  <c:v>819.2293577981651</c:v>
                </c:pt>
                <c:pt idx="22">
                  <c:v>857.6880733944954</c:v>
                </c:pt>
                <c:pt idx="23">
                  <c:v>857.76146788990832</c:v>
                </c:pt>
                <c:pt idx="24">
                  <c:v>857.76146788990832</c:v>
                </c:pt>
                <c:pt idx="25">
                  <c:v>857.76146788990832</c:v>
                </c:pt>
                <c:pt idx="26">
                  <c:v>886.2385321100918</c:v>
                </c:pt>
                <c:pt idx="27">
                  <c:v>919.88990825688074</c:v>
                </c:pt>
                <c:pt idx="28">
                  <c:v>950.56880733944945</c:v>
                </c:pt>
                <c:pt idx="29">
                  <c:v>988.6972477064221</c:v>
                </c:pt>
                <c:pt idx="30">
                  <c:v>988.6972477064221</c:v>
                </c:pt>
                <c:pt idx="31">
                  <c:v>988.6972477064221</c:v>
                </c:pt>
                <c:pt idx="32">
                  <c:v>988.6972477064221</c:v>
                </c:pt>
                <c:pt idx="33">
                  <c:v>975.22935779816521</c:v>
                </c:pt>
                <c:pt idx="34">
                  <c:v>1027.4862385321103</c:v>
                </c:pt>
                <c:pt idx="35">
                  <c:v>1020.8073394495412</c:v>
                </c:pt>
                <c:pt idx="36">
                  <c:v>1005.5045871559633</c:v>
                </c:pt>
                <c:pt idx="37">
                  <c:v>999.88990825688086</c:v>
                </c:pt>
                <c:pt idx="38">
                  <c:v>999.88990825688086</c:v>
                </c:pt>
                <c:pt idx="39">
                  <c:v>999.88990825688086</c:v>
                </c:pt>
                <c:pt idx="40">
                  <c:v>1034.0550458715595</c:v>
                </c:pt>
                <c:pt idx="41">
                  <c:v>1012.9908256880734</c:v>
                </c:pt>
                <c:pt idx="42">
                  <c:v>1074.8623853211009</c:v>
                </c:pt>
                <c:pt idx="43">
                  <c:v>1105.3577981651376</c:v>
                </c:pt>
                <c:pt idx="44">
                  <c:v>1079.3027522935781</c:v>
                </c:pt>
                <c:pt idx="45">
                  <c:v>1079.3027522935781</c:v>
                </c:pt>
                <c:pt idx="46">
                  <c:v>1079.3027522935781</c:v>
                </c:pt>
                <c:pt idx="47">
                  <c:v>1085.724770642202</c:v>
                </c:pt>
                <c:pt idx="48">
                  <c:v>1100.954128440367</c:v>
                </c:pt>
                <c:pt idx="49">
                  <c:v>1112.7339449541284</c:v>
                </c:pt>
                <c:pt idx="50">
                  <c:v>1135.5963302752293</c:v>
                </c:pt>
                <c:pt idx="51">
                  <c:v>1087.7064220183483</c:v>
                </c:pt>
                <c:pt idx="52">
                  <c:v>1087.7064220183483</c:v>
                </c:pt>
                <c:pt idx="53">
                  <c:v>1087.7064220183483</c:v>
                </c:pt>
                <c:pt idx="54">
                  <c:v>1087.7064220183483</c:v>
                </c:pt>
                <c:pt idx="55">
                  <c:v>1078.8990825688072</c:v>
                </c:pt>
                <c:pt idx="56">
                  <c:v>1066.9724770642201</c:v>
                </c:pt>
                <c:pt idx="57">
                  <c:v>1017.2110091743119</c:v>
                </c:pt>
                <c:pt idx="58">
                  <c:v>1020.2201834862384</c:v>
                </c:pt>
                <c:pt idx="59">
                  <c:v>1020.2201834862384</c:v>
                </c:pt>
                <c:pt idx="60">
                  <c:v>1020.2201834862384</c:v>
                </c:pt>
                <c:pt idx="61">
                  <c:v>1041.724770642202</c:v>
                </c:pt>
                <c:pt idx="62">
                  <c:v>1117.7614678899081</c:v>
                </c:pt>
                <c:pt idx="63">
                  <c:v>1039.8899082568807</c:v>
                </c:pt>
                <c:pt idx="64">
                  <c:v>1033.4311926605506</c:v>
                </c:pt>
                <c:pt idx="65">
                  <c:v>1108.1834862385322</c:v>
                </c:pt>
                <c:pt idx="66">
                  <c:v>1108.1834862385322</c:v>
                </c:pt>
                <c:pt idx="67">
                  <c:v>1108.1834862385322</c:v>
                </c:pt>
                <c:pt idx="68">
                  <c:v>1118.8990825688072</c:v>
                </c:pt>
                <c:pt idx="69">
                  <c:v>1167.9266055045873</c:v>
                </c:pt>
                <c:pt idx="70">
                  <c:v>1189.9816513761466</c:v>
                </c:pt>
                <c:pt idx="71">
                  <c:v>1102.2752293577983</c:v>
                </c:pt>
                <c:pt idx="72">
                  <c:v>1126.3486238532109</c:v>
                </c:pt>
                <c:pt idx="73">
                  <c:v>1126.3486238532109</c:v>
                </c:pt>
                <c:pt idx="74">
                  <c:v>1126.3486238532109</c:v>
                </c:pt>
                <c:pt idx="75">
                  <c:v>1178.9357798165136</c:v>
                </c:pt>
                <c:pt idx="76">
                  <c:v>1153.5779816513764</c:v>
                </c:pt>
                <c:pt idx="77">
                  <c:v>1199.119266055046</c:v>
                </c:pt>
                <c:pt idx="78">
                  <c:v>1224.8073394495411</c:v>
                </c:pt>
                <c:pt idx="79">
                  <c:v>1156.0733944954129</c:v>
                </c:pt>
                <c:pt idx="80">
                  <c:v>1156.0733944954129</c:v>
                </c:pt>
                <c:pt idx="81">
                  <c:v>1156.0733944954129</c:v>
                </c:pt>
                <c:pt idx="82">
                  <c:v>1199.045871559633</c:v>
                </c:pt>
                <c:pt idx="83">
                  <c:v>1199.045871559633</c:v>
                </c:pt>
                <c:pt idx="84">
                  <c:v>1164.9908256880733</c:v>
                </c:pt>
                <c:pt idx="85">
                  <c:v>1172.6972477064221</c:v>
                </c:pt>
                <c:pt idx="86">
                  <c:v>1210.4587155963304</c:v>
                </c:pt>
                <c:pt idx="87">
                  <c:v>1210.4587155963304</c:v>
                </c:pt>
                <c:pt idx="88">
                  <c:v>1210.4587155963304</c:v>
                </c:pt>
                <c:pt idx="89">
                  <c:v>1162.3853211009175</c:v>
                </c:pt>
                <c:pt idx="90">
                  <c:v>1073.7981651376147</c:v>
                </c:pt>
                <c:pt idx="91">
                  <c:v>1108.3669724770641</c:v>
                </c:pt>
                <c:pt idx="92">
                  <c:v>1101.834862385321</c:v>
                </c:pt>
                <c:pt idx="93">
                  <c:v>1115.229357798165</c:v>
                </c:pt>
                <c:pt idx="94">
                  <c:v>1115.229357798165</c:v>
                </c:pt>
                <c:pt idx="95">
                  <c:v>1115.229357798165</c:v>
                </c:pt>
                <c:pt idx="96">
                  <c:v>1115.229357798165</c:v>
                </c:pt>
                <c:pt idx="97">
                  <c:v>1081.0642201834862</c:v>
                </c:pt>
                <c:pt idx="98">
                  <c:v>1125.0275229357799</c:v>
                </c:pt>
                <c:pt idx="99">
                  <c:v>1130.4220183486239</c:v>
                </c:pt>
                <c:pt idx="100">
                  <c:v>1091.8165137614678</c:v>
                </c:pt>
                <c:pt idx="101">
                  <c:v>1091.8165137614678</c:v>
                </c:pt>
                <c:pt idx="102">
                  <c:v>1091.8165137614678</c:v>
                </c:pt>
                <c:pt idx="103">
                  <c:v>1093.6146788990825</c:v>
                </c:pt>
                <c:pt idx="104">
                  <c:v>976.07339449541291</c:v>
                </c:pt>
                <c:pt idx="105">
                  <c:v>968.8440366972477</c:v>
                </c:pt>
                <c:pt idx="106">
                  <c:v>947.77981651376138</c:v>
                </c:pt>
                <c:pt idx="107">
                  <c:v>938.2385321100918</c:v>
                </c:pt>
                <c:pt idx="108">
                  <c:v>938.2385321100918</c:v>
                </c:pt>
                <c:pt idx="109">
                  <c:v>938.2385321100918</c:v>
                </c:pt>
                <c:pt idx="110">
                  <c:v>915.26605504587155</c:v>
                </c:pt>
                <c:pt idx="111">
                  <c:v>897.28440366972484</c:v>
                </c:pt>
                <c:pt idx="112">
                  <c:v>907.04587155963293</c:v>
                </c:pt>
                <c:pt idx="113">
                  <c:v>850.12844036697254</c:v>
                </c:pt>
                <c:pt idx="114">
                  <c:v>833.98165137614683</c:v>
                </c:pt>
                <c:pt idx="115">
                  <c:v>833.98165137614683</c:v>
                </c:pt>
                <c:pt idx="116">
                  <c:v>833.98165137614683</c:v>
                </c:pt>
                <c:pt idx="117">
                  <c:v>832.73394495412845</c:v>
                </c:pt>
                <c:pt idx="118">
                  <c:v>811.11926605504595</c:v>
                </c:pt>
                <c:pt idx="119">
                  <c:v>817.98165137614683</c:v>
                </c:pt>
                <c:pt idx="120">
                  <c:v>815.48623853211006</c:v>
                </c:pt>
                <c:pt idx="121">
                  <c:v>802.27522935779825</c:v>
                </c:pt>
                <c:pt idx="122">
                  <c:v>802.27522935779825</c:v>
                </c:pt>
                <c:pt idx="123">
                  <c:v>802.27522935779825</c:v>
                </c:pt>
                <c:pt idx="124">
                  <c:v>798.01834862385329</c:v>
                </c:pt>
                <c:pt idx="125">
                  <c:v>768.40366972477057</c:v>
                </c:pt>
                <c:pt idx="126">
                  <c:v>758.56880733944956</c:v>
                </c:pt>
                <c:pt idx="127">
                  <c:v>759.44954128440361</c:v>
                </c:pt>
                <c:pt idx="128">
                  <c:v>764.44036697247702</c:v>
                </c:pt>
                <c:pt idx="129">
                  <c:v>764.44036697247702</c:v>
                </c:pt>
                <c:pt idx="130">
                  <c:v>764.44036697247702</c:v>
                </c:pt>
                <c:pt idx="131">
                  <c:v>773.39449541284409</c:v>
                </c:pt>
                <c:pt idx="132">
                  <c:v>759.63302752293578</c:v>
                </c:pt>
                <c:pt idx="133">
                  <c:v>750.49541284403665</c:v>
                </c:pt>
                <c:pt idx="134">
                  <c:v>724.11009174311926</c:v>
                </c:pt>
                <c:pt idx="135">
                  <c:v>761.17431192660547</c:v>
                </c:pt>
                <c:pt idx="136">
                  <c:v>761.17431192660547</c:v>
                </c:pt>
                <c:pt idx="137">
                  <c:v>761.17431192660547</c:v>
                </c:pt>
                <c:pt idx="138">
                  <c:v>760.22018348623851</c:v>
                </c:pt>
                <c:pt idx="139">
                  <c:v>752.9174311926605</c:v>
                </c:pt>
                <c:pt idx="140">
                  <c:v>759.59633027522932</c:v>
                </c:pt>
                <c:pt idx="141">
                  <c:v>794.86238532110087</c:v>
                </c:pt>
                <c:pt idx="142">
                  <c:v>810.3119266055046</c:v>
                </c:pt>
                <c:pt idx="143">
                  <c:v>810.3119266055046</c:v>
                </c:pt>
                <c:pt idx="144">
                  <c:v>810.3119266055046</c:v>
                </c:pt>
                <c:pt idx="145">
                  <c:v>825.02752293577987</c:v>
                </c:pt>
                <c:pt idx="146">
                  <c:v>805.17431192660547</c:v>
                </c:pt>
                <c:pt idx="147">
                  <c:v>779.66972477064223</c:v>
                </c:pt>
                <c:pt idx="148">
                  <c:v>774.78899082568796</c:v>
                </c:pt>
                <c:pt idx="149">
                  <c:v>803.66972477064223</c:v>
                </c:pt>
                <c:pt idx="150">
                  <c:v>803.66972477064223</c:v>
                </c:pt>
                <c:pt idx="151">
                  <c:v>803.66972477064223</c:v>
                </c:pt>
                <c:pt idx="152">
                  <c:v>816.22018348623851</c:v>
                </c:pt>
                <c:pt idx="153">
                  <c:v>819.8532110091744</c:v>
                </c:pt>
                <c:pt idx="154">
                  <c:v>816.22018348623851</c:v>
                </c:pt>
                <c:pt idx="155">
                  <c:v>812.91743119266062</c:v>
                </c:pt>
                <c:pt idx="156">
                  <c:v>824.88073394495416</c:v>
                </c:pt>
                <c:pt idx="157">
                  <c:v>824.88073394495416</c:v>
                </c:pt>
                <c:pt idx="158">
                  <c:v>824.88073394495416</c:v>
                </c:pt>
                <c:pt idx="159">
                  <c:v>813.83486238532112</c:v>
                </c:pt>
                <c:pt idx="160">
                  <c:v>819.77981651376149</c:v>
                </c:pt>
                <c:pt idx="161">
                  <c:v>831.63302752293578</c:v>
                </c:pt>
                <c:pt idx="162">
                  <c:v>838.27522935779814</c:v>
                </c:pt>
                <c:pt idx="163">
                  <c:v>838.27522935779814</c:v>
                </c:pt>
                <c:pt idx="164">
                  <c:v>838.27522935779814</c:v>
                </c:pt>
                <c:pt idx="165">
                  <c:v>838.27522935779814</c:v>
                </c:pt>
                <c:pt idx="166">
                  <c:v>821.87155963302757</c:v>
                </c:pt>
                <c:pt idx="167">
                  <c:v>823.52293577981652</c:v>
                </c:pt>
                <c:pt idx="168">
                  <c:v>821.46788990825689</c:v>
                </c:pt>
                <c:pt idx="169">
                  <c:v>832.58715596330273</c:v>
                </c:pt>
                <c:pt idx="170">
                  <c:v>830.67889908256893</c:v>
                </c:pt>
                <c:pt idx="171">
                  <c:v>830.67889908256893</c:v>
                </c:pt>
                <c:pt idx="172">
                  <c:v>830.67889908256893</c:v>
                </c:pt>
                <c:pt idx="173">
                  <c:v>809.834862385321</c:v>
                </c:pt>
                <c:pt idx="174">
                  <c:v>815.1559633027523</c:v>
                </c:pt>
                <c:pt idx="175">
                  <c:v>799.74311926605503</c:v>
                </c:pt>
                <c:pt idx="176">
                  <c:v>805.79816513761477</c:v>
                </c:pt>
                <c:pt idx="177">
                  <c:v>763.88990825688074</c:v>
                </c:pt>
                <c:pt idx="178">
                  <c:v>763.88990825688074</c:v>
                </c:pt>
                <c:pt idx="179">
                  <c:v>763.88990825688074</c:v>
                </c:pt>
                <c:pt idx="180">
                  <c:v>726.53211009174311</c:v>
                </c:pt>
                <c:pt idx="181">
                  <c:v>698.71559633027528</c:v>
                </c:pt>
                <c:pt idx="182">
                  <c:v>714.05504587155963</c:v>
                </c:pt>
                <c:pt idx="183">
                  <c:v>732.11009174311926</c:v>
                </c:pt>
                <c:pt idx="184">
                  <c:v>740.8440366972477</c:v>
                </c:pt>
                <c:pt idx="185">
                  <c:v>740.8440366972477</c:v>
                </c:pt>
                <c:pt idx="186">
                  <c:v>740.8440366972477</c:v>
                </c:pt>
                <c:pt idx="187">
                  <c:v>730.45871559633031</c:v>
                </c:pt>
                <c:pt idx="188">
                  <c:v>722.89908256880744</c:v>
                </c:pt>
                <c:pt idx="189">
                  <c:v>731.59633027522943</c:v>
                </c:pt>
                <c:pt idx="190">
                  <c:v>744.77064220183479</c:v>
                </c:pt>
                <c:pt idx="191">
                  <c:v>747.37614678899081</c:v>
                </c:pt>
                <c:pt idx="192">
                  <c:v>747.37614678899081</c:v>
                </c:pt>
                <c:pt idx="193">
                  <c:v>747.37614678899081</c:v>
                </c:pt>
                <c:pt idx="194">
                  <c:v>757.32110091743118</c:v>
                </c:pt>
                <c:pt idx="195">
                  <c:v>744</c:v>
                </c:pt>
                <c:pt idx="196">
                  <c:v>727.1559633027523</c:v>
                </c:pt>
                <c:pt idx="197">
                  <c:v>724.77064220183479</c:v>
                </c:pt>
                <c:pt idx="198">
                  <c:v>715.55963302752298</c:v>
                </c:pt>
                <c:pt idx="199">
                  <c:v>715.55963302752298</c:v>
                </c:pt>
                <c:pt idx="200">
                  <c:v>715.55963302752298</c:v>
                </c:pt>
                <c:pt idx="201">
                  <c:v>721.54128440366969</c:v>
                </c:pt>
                <c:pt idx="202">
                  <c:v>715.70642201834869</c:v>
                </c:pt>
                <c:pt idx="203">
                  <c:v>704.88073394495416</c:v>
                </c:pt>
                <c:pt idx="204">
                  <c:v>708.03669724770634</c:v>
                </c:pt>
                <c:pt idx="205">
                  <c:v>717.72477064220186</c:v>
                </c:pt>
                <c:pt idx="206">
                  <c:v>717.72477064220186</c:v>
                </c:pt>
                <c:pt idx="207">
                  <c:v>717.72477064220186</c:v>
                </c:pt>
                <c:pt idx="208">
                  <c:v>719.04587155963304</c:v>
                </c:pt>
                <c:pt idx="209">
                  <c:v>712.29357798165131</c:v>
                </c:pt>
                <c:pt idx="210">
                  <c:v>683.00917431192659</c:v>
                </c:pt>
                <c:pt idx="211">
                  <c:v>689.165137614679</c:v>
                </c:pt>
                <c:pt idx="212">
                  <c:v>666.45871559633042</c:v>
                </c:pt>
                <c:pt idx="213">
                  <c:v>666.45871559633042</c:v>
                </c:pt>
                <c:pt idx="214">
                  <c:v>666.45871559633042</c:v>
                </c:pt>
                <c:pt idx="215">
                  <c:v>696.00917431192659</c:v>
                </c:pt>
                <c:pt idx="216">
                  <c:v>728.12844036697243</c:v>
                </c:pt>
                <c:pt idx="217">
                  <c:v>743.11926605504595</c:v>
                </c:pt>
                <c:pt idx="218">
                  <c:v>752.75229357798162</c:v>
                </c:pt>
                <c:pt idx="219">
                  <c:v>735.78899082568807</c:v>
                </c:pt>
                <c:pt idx="220">
                  <c:v>735.78899082568807</c:v>
                </c:pt>
                <c:pt idx="221">
                  <c:v>735.78899082568807</c:v>
                </c:pt>
                <c:pt idx="222">
                  <c:v>730.37614678899092</c:v>
                </c:pt>
                <c:pt idx="223">
                  <c:v>747.58715596330273</c:v>
                </c:pt>
                <c:pt idx="224">
                  <c:v>759.57798165137615</c:v>
                </c:pt>
                <c:pt idx="225">
                  <c:v>751.81651376146795</c:v>
                </c:pt>
                <c:pt idx="226">
                  <c:v>751.81651376146795</c:v>
                </c:pt>
                <c:pt idx="227">
                  <c:v>751.81651376146795</c:v>
                </c:pt>
                <c:pt idx="228">
                  <c:v>751.81651376146795</c:v>
                </c:pt>
                <c:pt idx="229">
                  <c:v>741.72477064220186</c:v>
                </c:pt>
                <c:pt idx="230">
                  <c:v>734.03669724770646</c:v>
                </c:pt>
                <c:pt idx="231">
                  <c:v>734.9266055045872</c:v>
                </c:pt>
                <c:pt idx="232">
                  <c:v>733.39449541284398</c:v>
                </c:pt>
                <c:pt idx="233">
                  <c:v>698.38532110091739</c:v>
                </c:pt>
                <c:pt idx="234">
                  <c:v>698.38532110091739</c:v>
                </c:pt>
                <c:pt idx="235">
                  <c:v>698.38532110091739</c:v>
                </c:pt>
                <c:pt idx="236">
                  <c:v>704.78899082568807</c:v>
                </c:pt>
                <c:pt idx="237">
                  <c:v>699.34862385321094</c:v>
                </c:pt>
                <c:pt idx="238">
                  <c:v>693.09174311926608</c:v>
                </c:pt>
                <c:pt idx="239">
                  <c:v>676.22935779816521</c:v>
                </c:pt>
                <c:pt idx="240">
                  <c:v>683.99082568807341</c:v>
                </c:pt>
                <c:pt idx="241">
                  <c:v>683.99082568807341</c:v>
                </c:pt>
                <c:pt idx="242">
                  <c:v>683.99082568807341</c:v>
                </c:pt>
                <c:pt idx="243">
                  <c:v>684.66972477064212</c:v>
                </c:pt>
                <c:pt idx="244">
                  <c:v>653.58715596330273</c:v>
                </c:pt>
                <c:pt idx="245">
                  <c:v>652.78899082568807</c:v>
                </c:pt>
                <c:pt idx="246">
                  <c:v>661.23853211009168</c:v>
                </c:pt>
                <c:pt idx="247">
                  <c:v>654.13761467889901</c:v>
                </c:pt>
                <c:pt idx="248">
                  <c:v>654.13761467889901</c:v>
                </c:pt>
                <c:pt idx="249">
                  <c:v>654.13761467889901</c:v>
                </c:pt>
                <c:pt idx="250">
                  <c:v>639.44954128440361</c:v>
                </c:pt>
                <c:pt idx="251">
                  <c:v>637</c:v>
                </c:pt>
                <c:pt idx="252">
                  <c:v>640.62385321100908</c:v>
                </c:pt>
                <c:pt idx="253">
                  <c:v>646.56880733944945</c:v>
                </c:pt>
                <c:pt idx="254">
                  <c:v>645.07339449541291</c:v>
                </c:pt>
                <c:pt idx="255">
                  <c:v>645.07339449541291</c:v>
                </c:pt>
                <c:pt idx="256">
                  <c:v>645.07339449541291</c:v>
                </c:pt>
                <c:pt idx="257">
                  <c:v>622.74311926605503</c:v>
                </c:pt>
                <c:pt idx="258">
                  <c:v>615.71559633027528</c:v>
                </c:pt>
                <c:pt idx="259">
                  <c:v>596.86238532110099</c:v>
                </c:pt>
                <c:pt idx="260">
                  <c:v>596.12844036697243</c:v>
                </c:pt>
                <c:pt idx="261">
                  <c:v>596.12844036697243</c:v>
                </c:pt>
                <c:pt idx="262">
                  <c:v>596.12844036697243</c:v>
                </c:pt>
                <c:pt idx="263">
                  <c:v>596.12844036697243</c:v>
                </c:pt>
                <c:pt idx="264">
                  <c:v>568.36697247706422</c:v>
                </c:pt>
                <c:pt idx="265">
                  <c:v>576.14678899082571</c:v>
                </c:pt>
                <c:pt idx="266">
                  <c:v>574.2293577981651</c:v>
                </c:pt>
                <c:pt idx="267">
                  <c:v>572.91743119266062</c:v>
                </c:pt>
                <c:pt idx="268">
                  <c:v>550.15596330275218</c:v>
                </c:pt>
                <c:pt idx="269">
                  <c:v>550.15596330275218</c:v>
                </c:pt>
                <c:pt idx="270">
                  <c:v>550.15596330275218</c:v>
                </c:pt>
                <c:pt idx="271">
                  <c:v>536.23853211009168</c:v>
                </c:pt>
                <c:pt idx="272">
                  <c:v>516.17431192660547</c:v>
                </c:pt>
                <c:pt idx="273">
                  <c:v>514.33944954128435</c:v>
                </c:pt>
                <c:pt idx="274">
                  <c:v>519.83486238532112</c:v>
                </c:pt>
                <c:pt idx="275">
                  <c:v>522.67889908256882</c:v>
                </c:pt>
                <c:pt idx="276">
                  <c:v>522.67889908256882</c:v>
                </c:pt>
                <c:pt idx="277">
                  <c:v>522.67889908256882</c:v>
                </c:pt>
                <c:pt idx="278">
                  <c:v>501.47706422018354</c:v>
                </c:pt>
                <c:pt idx="279">
                  <c:v>504.89908256880733</c:v>
                </c:pt>
                <c:pt idx="280">
                  <c:v>525</c:v>
                </c:pt>
                <c:pt idx="281">
                  <c:v>523.51376146788994</c:v>
                </c:pt>
                <c:pt idx="282">
                  <c:v>543.56880733944956</c:v>
                </c:pt>
                <c:pt idx="283">
                  <c:v>543.56880733944956</c:v>
                </c:pt>
                <c:pt idx="284">
                  <c:v>543.56880733944956</c:v>
                </c:pt>
                <c:pt idx="285">
                  <c:v>532.95412844036696</c:v>
                </c:pt>
                <c:pt idx="286">
                  <c:v>530.58715596330273</c:v>
                </c:pt>
                <c:pt idx="287">
                  <c:v>526.65137614678895</c:v>
                </c:pt>
                <c:pt idx="288">
                  <c:v>544.46788990825689</c:v>
                </c:pt>
                <c:pt idx="289">
                  <c:v>550.80733944954125</c:v>
                </c:pt>
                <c:pt idx="290">
                  <c:v>550.80733944954125</c:v>
                </c:pt>
                <c:pt idx="291">
                  <c:v>550.80733944954125</c:v>
                </c:pt>
                <c:pt idx="292">
                  <c:v>562.37614678899081</c:v>
                </c:pt>
                <c:pt idx="293">
                  <c:v>560.61467889908261</c:v>
                </c:pt>
                <c:pt idx="294">
                  <c:v>564.46788990825678</c:v>
                </c:pt>
                <c:pt idx="295">
                  <c:v>568</c:v>
                </c:pt>
                <c:pt idx="296">
                  <c:v>560.19266055045875</c:v>
                </c:pt>
                <c:pt idx="297">
                  <c:v>560.19266055045875</c:v>
                </c:pt>
                <c:pt idx="298">
                  <c:v>560.19266055045875</c:v>
                </c:pt>
                <c:pt idx="299">
                  <c:v>544.96330275229354</c:v>
                </c:pt>
                <c:pt idx="300">
                  <c:v>563.68807339449529</c:v>
                </c:pt>
                <c:pt idx="301">
                  <c:v>556.74311926605503</c:v>
                </c:pt>
                <c:pt idx="302">
                  <c:v>563.73394495412845</c:v>
                </c:pt>
                <c:pt idx="303">
                  <c:v>583.94495412844037</c:v>
                </c:pt>
                <c:pt idx="304">
                  <c:v>583.94495412844037</c:v>
                </c:pt>
                <c:pt idx="305">
                  <c:v>583.94495412844037</c:v>
                </c:pt>
                <c:pt idx="306">
                  <c:v>592.19266055045864</c:v>
                </c:pt>
                <c:pt idx="307">
                  <c:v>560.62385321100919</c:v>
                </c:pt>
                <c:pt idx="308">
                  <c:v>575.39449541284398</c:v>
                </c:pt>
                <c:pt idx="309">
                  <c:v>558.12844036697254</c:v>
                </c:pt>
                <c:pt idx="310">
                  <c:v>528.44036697247714</c:v>
                </c:pt>
                <c:pt idx="311">
                  <c:v>528.44036697247714</c:v>
                </c:pt>
                <c:pt idx="312">
                  <c:v>528.44036697247714</c:v>
                </c:pt>
                <c:pt idx="313">
                  <c:v>525.39449541284398</c:v>
                </c:pt>
                <c:pt idx="314">
                  <c:v>519.02752293577987</c:v>
                </c:pt>
                <c:pt idx="315">
                  <c:v>508.67889908256882</c:v>
                </c:pt>
                <c:pt idx="316">
                  <c:v>513.30275229357801</c:v>
                </c:pt>
                <c:pt idx="317">
                  <c:v>506.85321100917429</c:v>
                </c:pt>
                <c:pt idx="318">
                  <c:v>506.85321100917429</c:v>
                </c:pt>
                <c:pt idx="319">
                  <c:v>506.85321100917429</c:v>
                </c:pt>
                <c:pt idx="320">
                  <c:v>506.85321100917429</c:v>
                </c:pt>
                <c:pt idx="321">
                  <c:v>489.84403669724765</c:v>
                </c:pt>
                <c:pt idx="322">
                  <c:v>472.35779816513758</c:v>
                </c:pt>
                <c:pt idx="323">
                  <c:v>475.16513761467883</c:v>
                </c:pt>
                <c:pt idx="324">
                  <c:v>471.16513761467888</c:v>
                </c:pt>
                <c:pt idx="325">
                  <c:v>471.16513761467888</c:v>
                </c:pt>
                <c:pt idx="326">
                  <c:v>471.16513761467888</c:v>
                </c:pt>
                <c:pt idx="327">
                  <c:v>460.00917431192664</c:v>
                </c:pt>
                <c:pt idx="328">
                  <c:v>463.9633027522936</c:v>
                </c:pt>
                <c:pt idx="329">
                  <c:v>479.66055045871565</c:v>
                </c:pt>
                <c:pt idx="330">
                  <c:v>483.89908256880733</c:v>
                </c:pt>
                <c:pt idx="331">
                  <c:v>471.40366972477068</c:v>
                </c:pt>
                <c:pt idx="332">
                  <c:v>471.40366972477068</c:v>
                </c:pt>
                <c:pt idx="333">
                  <c:v>471.40366972477068</c:v>
                </c:pt>
                <c:pt idx="334">
                  <c:v>466.88073394495416</c:v>
                </c:pt>
                <c:pt idx="335">
                  <c:v>489.58715596330273</c:v>
                </c:pt>
                <c:pt idx="336">
                  <c:v>487.75229357798162</c:v>
                </c:pt>
                <c:pt idx="337">
                  <c:v>484.08256880733944</c:v>
                </c:pt>
                <c:pt idx="338">
                  <c:v>471.77981651376149</c:v>
                </c:pt>
                <c:pt idx="339">
                  <c:v>471.77981651376149</c:v>
                </c:pt>
                <c:pt idx="340">
                  <c:v>471.77981651376149</c:v>
                </c:pt>
                <c:pt idx="341">
                  <c:v>476.82568807339453</c:v>
                </c:pt>
                <c:pt idx="342">
                  <c:v>457.55045871559633</c:v>
                </c:pt>
                <c:pt idx="343">
                  <c:v>459.45871559633025</c:v>
                </c:pt>
                <c:pt idx="344">
                  <c:v>425.44036697247708</c:v>
                </c:pt>
                <c:pt idx="345">
                  <c:v>457.30275229357795</c:v>
                </c:pt>
                <c:pt idx="346">
                  <c:v>457.30275229357795</c:v>
                </c:pt>
                <c:pt idx="347">
                  <c:v>457.30275229357795</c:v>
                </c:pt>
                <c:pt idx="348">
                  <c:v>453.95412844036696</c:v>
                </c:pt>
                <c:pt idx="349">
                  <c:v>469.89908256880739</c:v>
                </c:pt>
                <c:pt idx="350">
                  <c:v>491.97247706422019</c:v>
                </c:pt>
                <c:pt idx="351">
                  <c:v>507.95412844036696</c:v>
                </c:pt>
                <c:pt idx="352">
                  <c:v>503.28440366972478</c:v>
                </c:pt>
                <c:pt idx="353">
                  <c:v>503.28440366972478</c:v>
                </c:pt>
                <c:pt idx="354">
                  <c:v>503.28440366972478</c:v>
                </c:pt>
                <c:pt idx="355">
                  <c:v>488.348623853211</c:v>
                </c:pt>
                <c:pt idx="356">
                  <c:v>532.07339449541291</c:v>
                </c:pt>
                <c:pt idx="357">
                  <c:v>518.97247706422013</c:v>
                </c:pt>
                <c:pt idx="358">
                  <c:v>526.81651376146795</c:v>
                </c:pt>
                <c:pt idx="359">
                  <c:v>547.7614678899082</c:v>
                </c:pt>
                <c:pt idx="360">
                  <c:v>547.7614678899082</c:v>
                </c:pt>
                <c:pt idx="361">
                  <c:v>547.7614678899082</c:v>
                </c:pt>
                <c:pt idx="362">
                  <c:v>544.18348623853205</c:v>
                </c:pt>
                <c:pt idx="363">
                  <c:v>547.00917431192659</c:v>
                </c:pt>
                <c:pt idx="364">
                  <c:v>562.57798165137615</c:v>
                </c:pt>
                <c:pt idx="365">
                  <c:v>549.03669724770646</c:v>
                </c:pt>
                <c:pt idx="366">
                  <c:v>549.03669724770646</c:v>
                </c:pt>
                <c:pt idx="367">
                  <c:v>549.03669724770646</c:v>
                </c:pt>
                <c:pt idx="368">
                  <c:v>549.03669724770646</c:v>
                </c:pt>
                <c:pt idx="369">
                  <c:v>559.66055045871553</c:v>
                </c:pt>
                <c:pt idx="370">
                  <c:v>541.80733944954125</c:v>
                </c:pt>
                <c:pt idx="371">
                  <c:v>523.42201834862385</c:v>
                </c:pt>
                <c:pt idx="372">
                  <c:v>529.86238532110087</c:v>
                </c:pt>
                <c:pt idx="373">
                  <c:v>498.75229357798167</c:v>
                </c:pt>
                <c:pt idx="374">
                  <c:v>498.75229357798167</c:v>
                </c:pt>
                <c:pt idx="375">
                  <c:v>498.75229357798167</c:v>
                </c:pt>
                <c:pt idx="376">
                  <c:v>501.44036697247714</c:v>
                </c:pt>
                <c:pt idx="377">
                  <c:v>496.53211009174311</c:v>
                </c:pt>
                <c:pt idx="378">
                  <c:v>497.49541284403671</c:v>
                </c:pt>
                <c:pt idx="379">
                  <c:v>485.76146788990826</c:v>
                </c:pt>
                <c:pt idx="380">
                  <c:v>476.6880733944954</c:v>
                </c:pt>
                <c:pt idx="381">
                  <c:v>476.6880733944954</c:v>
                </c:pt>
                <c:pt idx="382">
                  <c:v>476.6880733944954</c:v>
                </c:pt>
                <c:pt idx="383">
                  <c:v>478.93577981651373</c:v>
                </c:pt>
                <c:pt idx="384">
                  <c:v>474.0458715596331</c:v>
                </c:pt>
                <c:pt idx="385">
                  <c:v>493.03669724770634</c:v>
                </c:pt>
                <c:pt idx="386">
                  <c:v>501.03669724770646</c:v>
                </c:pt>
                <c:pt idx="387">
                  <c:v>503.21100917431193</c:v>
                </c:pt>
                <c:pt idx="388">
                  <c:v>503.21100917431193</c:v>
                </c:pt>
                <c:pt idx="389">
                  <c:v>503.21100917431193</c:v>
                </c:pt>
                <c:pt idx="390">
                  <c:v>508.89908256880733</c:v>
                </c:pt>
                <c:pt idx="391">
                  <c:v>490.48623853211006</c:v>
                </c:pt>
                <c:pt idx="392">
                  <c:v>477.99082568807341</c:v>
                </c:pt>
                <c:pt idx="393">
                  <c:v>471.90825688073392</c:v>
                </c:pt>
                <c:pt idx="394">
                  <c:v>471.90825688073392</c:v>
                </c:pt>
                <c:pt idx="395">
                  <c:v>471.90825688073392</c:v>
                </c:pt>
                <c:pt idx="396">
                  <c:v>471.90825688073392</c:v>
                </c:pt>
                <c:pt idx="397">
                  <c:v>484.41284403669727</c:v>
                </c:pt>
                <c:pt idx="398">
                  <c:v>496.57798165137609</c:v>
                </c:pt>
                <c:pt idx="399">
                  <c:v>494.85321100917429</c:v>
                </c:pt>
                <c:pt idx="400">
                  <c:v>499.87155963302757</c:v>
                </c:pt>
                <c:pt idx="401">
                  <c:v>487.22018348623857</c:v>
                </c:pt>
                <c:pt idx="402">
                  <c:v>487.22018348623857</c:v>
                </c:pt>
                <c:pt idx="403">
                  <c:v>487.22018348623857</c:v>
                </c:pt>
                <c:pt idx="404">
                  <c:v>489.6880733944954</c:v>
                </c:pt>
                <c:pt idx="405">
                  <c:v>462.91743119266056</c:v>
                </c:pt>
                <c:pt idx="406">
                  <c:v>491.91743119266062</c:v>
                </c:pt>
                <c:pt idx="407">
                  <c:v>481.22935779816515</c:v>
                </c:pt>
                <c:pt idx="408">
                  <c:v>479.08256880733944</c:v>
                </c:pt>
                <c:pt idx="409">
                  <c:v>479.08256880733944</c:v>
                </c:pt>
                <c:pt idx="410">
                  <c:v>479.08256880733944</c:v>
                </c:pt>
                <c:pt idx="411">
                  <c:v>479.08256880733944</c:v>
                </c:pt>
                <c:pt idx="412">
                  <c:v>482.41284403669732</c:v>
                </c:pt>
                <c:pt idx="413">
                  <c:v>474.98165137614683</c:v>
                </c:pt>
                <c:pt idx="414">
                  <c:v>473.39449541284404</c:v>
                </c:pt>
                <c:pt idx="415">
                  <c:v>476.83486238532112</c:v>
                </c:pt>
                <c:pt idx="416">
                  <c:v>476.83486238532112</c:v>
                </c:pt>
                <c:pt idx="417">
                  <c:v>476.83486238532112</c:v>
                </c:pt>
                <c:pt idx="418">
                  <c:v>476.83486238532112</c:v>
                </c:pt>
                <c:pt idx="419">
                  <c:v>477.40366972477062</c:v>
                </c:pt>
                <c:pt idx="420">
                  <c:v>487.27522935779814</c:v>
                </c:pt>
                <c:pt idx="421">
                  <c:v>489.25688073394491</c:v>
                </c:pt>
                <c:pt idx="422">
                  <c:v>487.04587155963299</c:v>
                </c:pt>
                <c:pt idx="423">
                  <c:v>487.04587155963299</c:v>
                </c:pt>
                <c:pt idx="424">
                  <c:v>487.04587155963299</c:v>
                </c:pt>
                <c:pt idx="425">
                  <c:v>489.58715596330273</c:v>
                </c:pt>
                <c:pt idx="426">
                  <c:v>485.96330275229366</c:v>
                </c:pt>
                <c:pt idx="427">
                  <c:v>490.29357798165131</c:v>
                </c:pt>
                <c:pt idx="428">
                  <c:v>488.39449541284409</c:v>
                </c:pt>
                <c:pt idx="429">
                  <c:v>477.55045871559628</c:v>
                </c:pt>
                <c:pt idx="430">
                  <c:v>477.55045871559628</c:v>
                </c:pt>
                <c:pt idx="431">
                  <c:v>477.55045871559628</c:v>
                </c:pt>
                <c:pt idx="432">
                  <c:v>476.04587155963304</c:v>
                </c:pt>
                <c:pt idx="433">
                  <c:v>474.52293577981652</c:v>
                </c:pt>
                <c:pt idx="434">
                  <c:v>489.90825688073397</c:v>
                </c:pt>
                <c:pt idx="435">
                  <c:v>499.33027522935777</c:v>
                </c:pt>
                <c:pt idx="436">
                  <c:v>497.55045871559639</c:v>
                </c:pt>
                <c:pt idx="437">
                  <c:v>497.55045871559639</c:v>
                </c:pt>
                <c:pt idx="438">
                  <c:v>497.55045871559639</c:v>
                </c:pt>
                <c:pt idx="439">
                  <c:v>491.59633027522938</c:v>
                </c:pt>
                <c:pt idx="440">
                  <c:v>497.04587155963304</c:v>
                </c:pt>
                <c:pt idx="441">
                  <c:v>491.37614678899081</c:v>
                </c:pt>
                <c:pt idx="442">
                  <c:v>491.7981651376146</c:v>
                </c:pt>
                <c:pt idx="443">
                  <c:v>486.651376146789</c:v>
                </c:pt>
                <c:pt idx="444">
                  <c:v>486.651376146789</c:v>
                </c:pt>
                <c:pt idx="445">
                  <c:v>486.651376146789</c:v>
                </c:pt>
                <c:pt idx="446">
                  <c:v>485.67889908256882</c:v>
                </c:pt>
                <c:pt idx="447">
                  <c:v>485.67889908256882</c:v>
                </c:pt>
                <c:pt idx="448">
                  <c:v>475.51376146788982</c:v>
                </c:pt>
                <c:pt idx="449">
                  <c:v>482.20183486238534</c:v>
                </c:pt>
                <c:pt idx="450">
                  <c:v>480.28440366972472</c:v>
                </c:pt>
                <c:pt idx="451">
                  <c:v>480.28440366972472</c:v>
                </c:pt>
                <c:pt idx="452">
                  <c:v>480.28440366972472</c:v>
                </c:pt>
                <c:pt idx="453">
                  <c:v>493.22018348623857</c:v>
                </c:pt>
                <c:pt idx="454">
                  <c:v>492.79816513761466</c:v>
                </c:pt>
                <c:pt idx="455">
                  <c:v>492.55963302752292</c:v>
                </c:pt>
                <c:pt idx="456">
                  <c:v>495.97247706422019</c:v>
                </c:pt>
                <c:pt idx="457">
                  <c:v>487.9633027522936</c:v>
                </c:pt>
                <c:pt idx="458">
                  <c:v>487.9633027522936</c:v>
                </c:pt>
                <c:pt idx="459">
                  <c:v>487.9633027522936</c:v>
                </c:pt>
                <c:pt idx="460">
                  <c:v>493.82568807339442</c:v>
                </c:pt>
                <c:pt idx="461">
                  <c:v>492.40366972477068</c:v>
                </c:pt>
                <c:pt idx="462">
                  <c:v>468.62385321100913</c:v>
                </c:pt>
                <c:pt idx="463">
                  <c:v>500.21100917431198</c:v>
                </c:pt>
                <c:pt idx="464">
                  <c:v>534.38532110091751</c:v>
                </c:pt>
                <c:pt idx="465">
                  <c:v>534.38532110091751</c:v>
                </c:pt>
                <c:pt idx="466">
                  <c:v>534.38532110091751</c:v>
                </c:pt>
                <c:pt idx="467">
                  <c:v>519.63302752293566</c:v>
                </c:pt>
                <c:pt idx="468">
                  <c:v>506.21100917431193</c:v>
                </c:pt>
                <c:pt idx="469">
                  <c:v>477.77981651376143</c:v>
                </c:pt>
                <c:pt idx="470">
                  <c:v>461.67889908256876</c:v>
                </c:pt>
                <c:pt idx="471">
                  <c:v>459.9633027522936</c:v>
                </c:pt>
                <c:pt idx="472">
                  <c:v>459.9633027522936</c:v>
                </c:pt>
                <c:pt idx="473">
                  <c:v>459.9633027522936</c:v>
                </c:pt>
                <c:pt idx="474">
                  <c:v>477.94495412844037</c:v>
                </c:pt>
                <c:pt idx="475">
                  <c:v>463.37614678899081</c:v>
                </c:pt>
                <c:pt idx="476">
                  <c:v>491.62385321100919</c:v>
                </c:pt>
                <c:pt idx="477">
                  <c:v>482.24770642201833</c:v>
                </c:pt>
                <c:pt idx="478">
                  <c:v>498.72477064220186</c:v>
                </c:pt>
                <c:pt idx="479">
                  <c:v>498.72477064220186</c:v>
                </c:pt>
                <c:pt idx="480">
                  <c:v>498.72477064220186</c:v>
                </c:pt>
                <c:pt idx="481">
                  <c:v>490.31192660550465</c:v>
                </c:pt>
                <c:pt idx="482">
                  <c:v>496.32110091743124</c:v>
                </c:pt>
                <c:pt idx="483">
                  <c:v>500.75229357798167</c:v>
                </c:pt>
                <c:pt idx="484">
                  <c:v>495.33027522935777</c:v>
                </c:pt>
                <c:pt idx="485">
                  <c:v>506.8440366972477</c:v>
                </c:pt>
                <c:pt idx="486">
                  <c:v>506.8440366972477</c:v>
                </c:pt>
                <c:pt idx="487">
                  <c:v>506.8440366972477</c:v>
                </c:pt>
                <c:pt idx="488">
                  <c:v>512.66055045871553</c:v>
                </c:pt>
                <c:pt idx="489">
                  <c:v>517.25688073394485</c:v>
                </c:pt>
                <c:pt idx="490">
                  <c:v>522.87155963302757</c:v>
                </c:pt>
                <c:pt idx="491">
                  <c:v>522.05504587155963</c:v>
                </c:pt>
                <c:pt idx="492">
                  <c:v>505.05504587155963</c:v>
                </c:pt>
                <c:pt idx="493">
                  <c:v>505.05504587155963</c:v>
                </c:pt>
                <c:pt idx="494">
                  <c:v>505.05504587155963</c:v>
                </c:pt>
                <c:pt idx="495">
                  <c:v>507.8440366972477</c:v>
                </c:pt>
                <c:pt idx="496">
                  <c:v>512.44036697247702</c:v>
                </c:pt>
                <c:pt idx="497">
                  <c:v>504.09174311926608</c:v>
                </c:pt>
                <c:pt idx="498">
                  <c:v>500.64220183486248</c:v>
                </c:pt>
                <c:pt idx="499">
                  <c:v>479.348623853211</c:v>
                </c:pt>
                <c:pt idx="500">
                  <c:v>479.348623853211</c:v>
                </c:pt>
                <c:pt idx="501">
                  <c:v>479.348623853211</c:v>
                </c:pt>
                <c:pt idx="502">
                  <c:v>499.61467889908261</c:v>
                </c:pt>
                <c:pt idx="503">
                  <c:v>496.53211009174311</c:v>
                </c:pt>
                <c:pt idx="504">
                  <c:v>485.348623853211</c:v>
                </c:pt>
                <c:pt idx="505">
                  <c:v>478.34862385321094</c:v>
                </c:pt>
                <c:pt idx="506">
                  <c:v>472.43119266055055</c:v>
                </c:pt>
                <c:pt idx="507">
                  <c:v>472.43119266055055</c:v>
                </c:pt>
                <c:pt idx="508">
                  <c:v>472.43119266055055</c:v>
                </c:pt>
                <c:pt idx="509">
                  <c:v>453.13761467889907</c:v>
                </c:pt>
                <c:pt idx="510">
                  <c:v>444.90825688073397</c:v>
                </c:pt>
                <c:pt idx="511">
                  <c:v>463.7706422018349</c:v>
                </c:pt>
                <c:pt idx="512">
                  <c:v>459.348623853211</c:v>
                </c:pt>
                <c:pt idx="513">
                  <c:v>447.3119266055046</c:v>
                </c:pt>
                <c:pt idx="514">
                  <c:v>447.3119266055046</c:v>
                </c:pt>
                <c:pt idx="515">
                  <c:v>447.3119266055046</c:v>
                </c:pt>
                <c:pt idx="516">
                  <c:v>457.37614678899081</c:v>
                </c:pt>
                <c:pt idx="517">
                  <c:v>459.24770642201838</c:v>
                </c:pt>
                <c:pt idx="518">
                  <c:v>476.73394495412839</c:v>
                </c:pt>
                <c:pt idx="519">
                  <c:v>472.37614678899081</c:v>
                </c:pt>
                <c:pt idx="520">
                  <c:v>446.40366972477057</c:v>
                </c:pt>
                <c:pt idx="521">
                  <c:v>446.40366972477057</c:v>
                </c:pt>
                <c:pt idx="522">
                  <c:v>446.40366972477057</c:v>
                </c:pt>
                <c:pt idx="523">
                  <c:v>451.80733944954136</c:v>
                </c:pt>
                <c:pt idx="524">
                  <c:v>466.60550458715602</c:v>
                </c:pt>
                <c:pt idx="525">
                  <c:v>437.17431192660553</c:v>
                </c:pt>
                <c:pt idx="526">
                  <c:v>463.21100917431187</c:v>
                </c:pt>
                <c:pt idx="527">
                  <c:v>463.21100917431187</c:v>
                </c:pt>
                <c:pt idx="528">
                  <c:v>463.21100917431187</c:v>
                </c:pt>
                <c:pt idx="529">
                  <c:v>463.21100917431187</c:v>
                </c:pt>
                <c:pt idx="530">
                  <c:v>477.63302752293583</c:v>
                </c:pt>
                <c:pt idx="531">
                  <c:v>526.47706422018348</c:v>
                </c:pt>
                <c:pt idx="532">
                  <c:v>507.19266055045875</c:v>
                </c:pt>
                <c:pt idx="533">
                  <c:v>490.8073394495413</c:v>
                </c:pt>
                <c:pt idx="534">
                  <c:v>482.48623853211006</c:v>
                </c:pt>
                <c:pt idx="535">
                  <c:v>482.48623853211006</c:v>
                </c:pt>
                <c:pt idx="536">
                  <c:v>482.48623853211006</c:v>
                </c:pt>
                <c:pt idx="537">
                  <c:v>463.42201834862385</c:v>
                </c:pt>
                <c:pt idx="538">
                  <c:v>468.7339449541285</c:v>
                </c:pt>
                <c:pt idx="539">
                  <c:v>467.88990825688074</c:v>
                </c:pt>
                <c:pt idx="540">
                  <c:v>466.79816513761472</c:v>
                </c:pt>
                <c:pt idx="541">
                  <c:v>465.44954128440361</c:v>
                </c:pt>
                <c:pt idx="542">
                  <c:v>465.44954128440361</c:v>
                </c:pt>
                <c:pt idx="543">
                  <c:v>465.44954128440361</c:v>
                </c:pt>
                <c:pt idx="544">
                  <c:v>445.54128440366975</c:v>
                </c:pt>
                <c:pt idx="545">
                  <c:v>445.44954128440367</c:v>
                </c:pt>
                <c:pt idx="546">
                  <c:v>449.93577981651373</c:v>
                </c:pt>
                <c:pt idx="547">
                  <c:v>452.73394495412845</c:v>
                </c:pt>
                <c:pt idx="548">
                  <c:v>424.36697247706422</c:v>
                </c:pt>
                <c:pt idx="549">
                  <c:v>424.36697247706422</c:v>
                </c:pt>
                <c:pt idx="550">
                  <c:v>424.36697247706422</c:v>
                </c:pt>
                <c:pt idx="551">
                  <c:v>419.92660550458714</c:v>
                </c:pt>
                <c:pt idx="552">
                  <c:v>419.82568807339453</c:v>
                </c:pt>
                <c:pt idx="553">
                  <c:v>398.16513761467888</c:v>
                </c:pt>
                <c:pt idx="554">
                  <c:v>409.72477064220192</c:v>
                </c:pt>
                <c:pt idx="555">
                  <c:v>410.99082568807341</c:v>
                </c:pt>
                <c:pt idx="556">
                  <c:v>410.99082568807341</c:v>
                </c:pt>
                <c:pt idx="557">
                  <c:v>410.99082568807341</c:v>
                </c:pt>
                <c:pt idx="558">
                  <c:v>415.98165137614683</c:v>
                </c:pt>
                <c:pt idx="559">
                  <c:v>414.19266055045875</c:v>
                </c:pt>
                <c:pt idx="560">
                  <c:v>412.02752293577981</c:v>
                </c:pt>
                <c:pt idx="561">
                  <c:v>404.0458715596331</c:v>
                </c:pt>
                <c:pt idx="562">
                  <c:v>389.53211009174311</c:v>
                </c:pt>
                <c:pt idx="563">
                  <c:v>389.53211009174311</c:v>
                </c:pt>
                <c:pt idx="564">
                  <c:v>389.53211009174311</c:v>
                </c:pt>
                <c:pt idx="565">
                  <c:v>389.50458715596329</c:v>
                </c:pt>
                <c:pt idx="566">
                  <c:v>384.05504587155963</c:v>
                </c:pt>
                <c:pt idx="567">
                  <c:v>374.8807339449541</c:v>
                </c:pt>
                <c:pt idx="568">
                  <c:v>382.44036697247708</c:v>
                </c:pt>
                <c:pt idx="569">
                  <c:v>374.1100917431192</c:v>
                </c:pt>
                <c:pt idx="570">
                  <c:v>374.1100917431192</c:v>
                </c:pt>
                <c:pt idx="571">
                  <c:v>374.1100917431192</c:v>
                </c:pt>
                <c:pt idx="572">
                  <c:v>371.73394495412845</c:v>
                </c:pt>
                <c:pt idx="573">
                  <c:v>383.07339449541286</c:v>
                </c:pt>
                <c:pt idx="574">
                  <c:v>379.02752293577981</c:v>
                </c:pt>
                <c:pt idx="575">
                  <c:v>385.71559633027522</c:v>
                </c:pt>
                <c:pt idx="576">
                  <c:v>374.36697247706422</c:v>
                </c:pt>
                <c:pt idx="577">
                  <c:v>374.36697247706422</c:v>
                </c:pt>
                <c:pt idx="578">
                  <c:v>374.36697247706422</c:v>
                </c:pt>
                <c:pt idx="579">
                  <c:v>371.9174311926605</c:v>
                </c:pt>
                <c:pt idx="580">
                  <c:v>375.31192660550454</c:v>
                </c:pt>
                <c:pt idx="581">
                  <c:v>380.80733944954125</c:v>
                </c:pt>
                <c:pt idx="582">
                  <c:v>368.88990825688069</c:v>
                </c:pt>
                <c:pt idx="583">
                  <c:v>384.55963302752292</c:v>
                </c:pt>
                <c:pt idx="584">
                  <c:v>384.55963302752292</c:v>
                </c:pt>
                <c:pt idx="585">
                  <c:v>384.55963302752292</c:v>
                </c:pt>
                <c:pt idx="586">
                  <c:v>385.651376146789</c:v>
                </c:pt>
                <c:pt idx="587">
                  <c:v>374.89908256880733</c:v>
                </c:pt>
                <c:pt idx="588">
                  <c:v>362.26605504587155</c:v>
                </c:pt>
                <c:pt idx="589">
                  <c:v>361.07339449541286</c:v>
                </c:pt>
                <c:pt idx="590">
                  <c:v>352.74311926605503</c:v>
                </c:pt>
                <c:pt idx="591">
                  <c:v>352.74311926605503</c:v>
                </c:pt>
                <c:pt idx="592">
                  <c:v>352.74311926605503</c:v>
                </c:pt>
                <c:pt idx="593">
                  <c:v>352.74311926605503</c:v>
                </c:pt>
                <c:pt idx="594">
                  <c:v>349.72477064220186</c:v>
                </c:pt>
                <c:pt idx="595">
                  <c:v>348.54128440366975</c:v>
                </c:pt>
                <c:pt idx="596">
                  <c:v>337.61467889908261</c:v>
                </c:pt>
                <c:pt idx="597">
                  <c:v>335.96330275229354</c:v>
                </c:pt>
                <c:pt idx="598">
                  <c:v>335.96330275229354</c:v>
                </c:pt>
                <c:pt idx="599">
                  <c:v>335.96330275229354</c:v>
                </c:pt>
                <c:pt idx="600">
                  <c:v>348.25688073394497</c:v>
                </c:pt>
                <c:pt idx="601">
                  <c:v>338.91743119266056</c:v>
                </c:pt>
                <c:pt idx="602">
                  <c:v>346.78899082568807</c:v>
                </c:pt>
                <c:pt idx="603">
                  <c:v>349.60550458715596</c:v>
                </c:pt>
                <c:pt idx="604">
                  <c:v>339.86238532110093</c:v>
                </c:pt>
                <c:pt idx="605">
                  <c:v>339.86238532110093</c:v>
                </c:pt>
                <c:pt idx="606">
                  <c:v>339.86238532110093</c:v>
                </c:pt>
                <c:pt idx="607">
                  <c:v>338.2752293577982</c:v>
                </c:pt>
                <c:pt idx="608">
                  <c:v>338.93577981651373</c:v>
                </c:pt>
                <c:pt idx="609">
                  <c:v>332.78899082568807</c:v>
                </c:pt>
                <c:pt idx="610">
                  <c:v>336.651376146789</c:v>
                </c:pt>
                <c:pt idx="611">
                  <c:v>327.79816513761466</c:v>
                </c:pt>
                <c:pt idx="612">
                  <c:v>327.79816513761466</c:v>
                </c:pt>
                <c:pt idx="613">
                  <c:v>327.79816513761466</c:v>
                </c:pt>
                <c:pt idx="614">
                  <c:v>322.79816513761472</c:v>
                </c:pt>
                <c:pt idx="615">
                  <c:v>343.73394495412845</c:v>
                </c:pt>
                <c:pt idx="616">
                  <c:v>331.96330275229354</c:v>
                </c:pt>
                <c:pt idx="617">
                  <c:v>323.11926605504584</c:v>
                </c:pt>
                <c:pt idx="618">
                  <c:v>327.33944954128441</c:v>
                </c:pt>
                <c:pt idx="619">
                  <c:v>327.33944954128441</c:v>
                </c:pt>
                <c:pt idx="620">
                  <c:v>327.33944954128441</c:v>
                </c:pt>
                <c:pt idx="621">
                  <c:v>321.70642201834863</c:v>
                </c:pt>
                <c:pt idx="622">
                  <c:v>321.81651376146789</c:v>
                </c:pt>
                <c:pt idx="623">
                  <c:v>323.86238532110087</c:v>
                </c:pt>
                <c:pt idx="624">
                  <c:v>323.16513761467888</c:v>
                </c:pt>
                <c:pt idx="625">
                  <c:v>325.70642201834863</c:v>
                </c:pt>
                <c:pt idx="626">
                  <c:v>325.70642201834863</c:v>
                </c:pt>
                <c:pt idx="627">
                  <c:v>325.70642201834863</c:v>
                </c:pt>
                <c:pt idx="628">
                  <c:v>311.44954128440372</c:v>
                </c:pt>
                <c:pt idx="629">
                  <c:v>312.85321100917429</c:v>
                </c:pt>
                <c:pt idx="630">
                  <c:v>319.9174311926605</c:v>
                </c:pt>
                <c:pt idx="631">
                  <c:v>331.23853211009174</c:v>
                </c:pt>
                <c:pt idx="632">
                  <c:v>331.23853211009174</c:v>
                </c:pt>
                <c:pt idx="633">
                  <c:v>331.23853211009174</c:v>
                </c:pt>
                <c:pt idx="634">
                  <c:v>331.23853211009174</c:v>
                </c:pt>
                <c:pt idx="635">
                  <c:v>322.02752293577981</c:v>
                </c:pt>
                <c:pt idx="636">
                  <c:v>329.17431192660553</c:v>
                </c:pt>
                <c:pt idx="637">
                  <c:v>323.13761467889913</c:v>
                </c:pt>
                <c:pt idx="638">
                  <c:v>321.11009174311926</c:v>
                </c:pt>
                <c:pt idx="639">
                  <c:v>311.58715596330273</c:v>
                </c:pt>
                <c:pt idx="640">
                  <c:v>311.58715596330273</c:v>
                </c:pt>
                <c:pt idx="641">
                  <c:v>311.58715596330273</c:v>
                </c:pt>
                <c:pt idx="642">
                  <c:v>294.69724770642205</c:v>
                </c:pt>
                <c:pt idx="643">
                  <c:v>285.50458715596329</c:v>
                </c:pt>
                <c:pt idx="644">
                  <c:v>286.33027522935782</c:v>
                </c:pt>
                <c:pt idx="645">
                  <c:v>295.98165137614683</c:v>
                </c:pt>
                <c:pt idx="646">
                  <c:v>286.69724770642205</c:v>
                </c:pt>
                <c:pt idx="647">
                  <c:v>286.69724770642205</c:v>
                </c:pt>
                <c:pt idx="648">
                  <c:v>286.69724770642205</c:v>
                </c:pt>
                <c:pt idx="649">
                  <c:v>279.69724770642205</c:v>
                </c:pt>
                <c:pt idx="650">
                  <c:v>273.20183486238534</c:v>
                </c:pt>
                <c:pt idx="651">
                  <c:v>269.48623853211006</c:v>
                </c:pt>
                <c:pt idx="652">
                  <c:v>267.23394495412845</c:v>
                </c:pt>
                <c:pt idx="653">
                  <c:v>259.43119266055044</c:v>
                </c:pt>
                <c:pt idx="654">
                  <c:v>259.43119266055044</c:v>
                </c:pt>
                <c:pt idx="655">
                  <c:v>259.43119266055044</c:v>
                </c:pt>
                <c:pt idx="656">
                  <c:v>268.14678899082566</c:v>
                </c:pt>
                <c:pt idx="657">
                  <c:v>273.81651376146789</c:v>
                </c:pt>
                <c:pt idx="658">
                  <c:v>267.30275229357801</c:v>
                </c:pt>
                <c:pt idx="659">
                  <c:v>272.55045871559633</c:v>
                </c:pt>
                <c:pt idx="660">
                  <c:v>265.67889908256876</c:v>
                </c:pt>
                <c:pt idx="661">
                  <c:v>265.67889908256876</c:v>
                </c:pt>
                <c:pt idx="662">
                  <c:v>265.67889908256876</c:v>
                </c:pt>
                <c:pt idx="663">
                  <c:v>260.55963302752292</c:v>
                </c:pt>
                <c:pt idx="664">
                  <c:v>262.52293577981646</c:v>
                </c:pt>
                <c:pt idx="665">
                  <c:v>247.25688073394494</c:v>
                </c:pt>
                <c:pt idx="666">
                  <c:v>263.348623853211</c:v>
                </c:pt>
                <c:pt idx="667">
                  <c:v>268.18348623853211</c:v>
                </c:pt>
                <c:pt idx="668">
                  <c:v>268.18348623853211</c:v>
                </c:pt>
                <c:pt idx="669">
                  <c:v>268.18348623853211</c:v>
                </c:pt>
                <c:pt idx="670">
                  <c:v>270.36697247706422</c:v>
                </c:pt>
                <c:pt idx="671">
                  <c:v>257.65137614678895</c:v>
                </c:pt>
                <c:pt idx="672">
                  <c:v>260.50458715596329</c:v>
                </c:pt>
                <c:pt idx="673">
                  <c:v>247.56880733944956</c:v>
                </c:pt>
                <c:pt idx="674">
                  <c:v>241.23853211009174</c:v>
                </c:pt>
                <c:pt idx="675">
                  <c:v>241.23853211009174</c:v>
                </c:pt>
                <c:pt idx="676">
                  <c:v>241.23853211009174</c:v>
                </c:pt>
                <c:pt idx="677">
                  <c:v>241.23853211009174</c:v>
                </c:pt>
                <c:pt idx="678">
                  <c:v>244.90825688073392</c:v>
                </c:pt>
                <c:pt idx="679">
                  <c:v>237.64220183486236</c:v>
                </c:pt>
                <c:pt idx="680">
                  <c:v>246.23853211009171</c:v>
                </c:pt>
                <c:pt idx="681">
                  <c:v>223.77064220183485</c:v>
                </c:pt>
                <c:pt idx="682">
                  <c:v>223.77064220183485</c:v>
                </c:pt>
                <c:pt idx="683">
                  <c:v>223.77064220183485</c:v>
                </c:pt>
                <c:pt idx="684">
                  <c:v>234.37614678899084</c:v>
                </c:pt>
                <c:pt idx="685">
                  <c:v>223</c:v>
                </c:pt>
                <c:pt idx="686">
                  <c:v>241.83486238532112</c:v>
                </c:pt>
                <c:pt idx="687">
                  <c:v>243.66055045871556</c:v>
                </c:pt>
                <c:pt idx="688">
                  <c:v>231.8623853211009</c:v>
                </c:pt>
                <c:pt idx="689">
                  <c:v>231.8623853211009</c:v>
                </c:pt>
                <c:pt idx="690">
                  <c:v>231.8623853211009</c:v>
                </c:pt>
                <c:pt idx="691">
                  <c:v>236</c:v>
                </c:pt>
                <c:pt idx="692">
                  <c:v>225.33944954128441</c:v>
                </c:pt>
                <c:pt idx="693">
                  <c:v>228.60550458715596</c:v>
                </c:pt>
                <c:pt idx="694">
                  <c:v>195.12844036697248</c:v>
                </c:pt>
                <c:pt idx="695">
                  <c:v>188.76146788990826</c:v>
                </c:pt>
                <c:pt idx="696">
                  <c:v>188.76146788990826</c:v>
                </c:pt>
                <c:pt idx="697">
                  <c:v>188.76146788990826</c:v>
                </c:pt>
                <c:pt idx="698">
                  <c:v>195.38532110091742</c:v>
                </c:pt>
                <c:pt idx="699">
                  <c:v>186.07339449541286</c:v>
                </c:pt>
                <c:pt idx="700">
                  <c:v>199.3302752293578</c:v>
                </c:pt>
                <c:pt idx="701">
                  <c:v>180.18348623853211</c:v>
                </c:pt>
                <c:pt idx="702">
                  <c:v>220.95412844036696</c:v>
                </c:pt>
                <c:pt idx="703">
                  <c:v>220.95412844036696</c:v>
                </c:pt>
                <c:pt idx="704">
                  <c:v>220.95412844036696</c:v>
                </c:pt>
                <c:pt idx="705">
                  <c:v>198.44954128440367</c:v>
                </c:pt>
                <c:pt idx="706">
                  <c:v>226.11926605504587</c:v>
                </c:pt>
                <c:pt idx="707">
                  <c:v>239.52293577981649</c:v>
                </c:pt>
                <c:pt idx="708">
                  <c:v>225.1743119266055</c:v>
                </c:pt>
                <c:pt idx="709">
                  <c:v>244.07339449541286</c:v>
                </c:pt>
                <c:pt idx="710">
                  <c:v>244.07339449541286</c:v>
                </c:pt>
                <c:pt idx="711">
                  <c:v>244.07339449541286</c:v>
                </c:pt>
                <c:pt idx="712">
                  <c:v>250.72477064220186</c:v>
                </c:pt>
                <c:pt idx="713">
                  <c:v>261.01834862385323</c:v>
                </c:pt>
                <c:pt idx="714">
                  <c:v>243.93577981651373</c:v>
                </c:pt>
                <c:pt idx="715">
                  <c:v>253.60550458715596</c:v>
                </c:pt>
                <c:pt idx="716">
                  <c:v>247.77064220183487</c:v>
                </c:pt>
                <c:pt idx="717">
                  <c:v>247.77064220183487</c:v>
                </c:pt>
                <c:pt idx="718">
                  <c:v>247.77064220183487</c:v>
                </c:pt>
                <c:pt idx="719">
                  <c:v>231.74311926605503</c:v>
                </c:pt>
                <c:pt idx="720">
                  <c:v>245.55045871559633</c:v>
                </c:pt>
                <c:pt idx="721">
                  <c:v>240.41284403669727</c:v>
                </c:pt>
                <c:pt idx="722">
                  <c:v>250.71559633027522</c:v>
                </c:pt>
                <c:pt idx="723">
                  <c:v>269.78899082568807</c:v>
                </c:pt>
                <c:pt idx="724">
                  <c:v>269.78899082568807</c:v>
                </c:pt>
                <c:pt idx="725">
                  <c:v>269.78899082568807</c:v>
                </c:pt>
                <c:pt idx="726">
                  <c:v>283.21100917431193</c:v>
                </c:pt>
                <c:pt idx="727">
                  <c:v>288.71559633027522</c:v>
                </c:pt>
                <c:pt idx="728">
                  <c:v>272.08256880733944</c:v>
                </c:pt>
                <c:pt idx="729">
                  <c:v>265.86238532110093</c:v>
                </c:pt>
                <c:pt idx="730">
                  <c:v>265.86238532110093</c:v>
                </c:pt>
                <c:pt idx="731">
                  <c:v>265.86238532110093</c:v>
                </c:pt>
                <c:pt idx="732">
                  <c:v>265.86238532110093</c:v>
                </c:pt>
                <c:pt idx="733">
                  <c:v>248.42201834862382</c:v>
                </c:pt>
                <c:pt idx="734">
                  <c:v>250.03669724770643</c:v>
                </c:pt>
                <c:pt idx="735">
                  <c:v>245.77064220183487</c:v>
                </c:pt>
                <c:pt idx="736">
                  <c:v>241.25688073394497</c:v>
                </c:pt>
                <c:pt idx="737">
                  <c:v>230.81651376146789</c:v>
                </c:pt>
                <c:pt idx="738">
                  <c:v>230.81651376146789</c:v>
                </c:pt>
                <c:pt idx="739">
                  <c:v>230.81651376146789</c:v>
                </c:pt>
                <c:pt idx="740">
                  <c:v>233.25229357798167</c:v>
                </c:pt>
                <c:pt idx="741">
                  <c:v>230.0550458715596</c:v>
                </c:pt>
                <c:pt idx="742">
                  <c:v>226.72477064220183</c:v>
                </c:pt>
                <c:pt idx="743">
                  <c:v>220.48623853211012</c:v>
                </c:pt>
                <c:pt idx="744">
                  <c:v>216.90825688073394</c:v>
                </c:pt>
                <c:pt idx="745">
                  <c:v>216.90825688073394</c:v>
                </c:pt>
                <c:pt idx="746">
                  <c:v>216.90825688073394</c:v>
                </c:pt>
                <c:pt idx="747">
                  <c:v>225.51376146788994</c:v>
                </c:pt>
                <c:pt idx="748">
                  <c:v>225.26605504587155</c:v>
                </c:pt>
                <c:pt idx="749">
                  <c:v>227.49541284403671</c:v>
                </c:pt>
                <c:pt idx="750">
                  <c:v>220.36697247706422</c:v>
                </c:pt>
                <c:pt idx="751">
                  <c:v>229.79816513761469</c:v>
                </c:pt>
                <c:pt idx="752">
                  <c:v>229.79816513761469</c:v>
                </c:pt>
                <c:pt idx="753">
                  <c:v>229.79816513761469</c:v>
                </c:pt>
                <c:pt idx="754">
                  <c:v>231.9816513761468</c:v>
                </c:pt>
                <c:pt idx="755">
                  <c:v>229.40366972477065</c:v>
                </c:pt>
                <c:pt idx="756">
                  <c:v>227.46788990825686</c:v>
                </c:pt>
                <c:pt idx="757">
                  <c:v>228.69724770642202</c:v>
                </c:pt>
                <c:pt idx="758">
                  <c:v>228.69724770642202</c:v>
                </c:pt>
                <c:pt idx="759">
                  <c:v>228.69724770642202</c:v>
                </c:pt>
                <c:pt idx="760">
                  <c:v>228.69724770642202</c:v>
                </c:pt>
                <c:pt idx="761">
                  <c:v>228.37614678899084</c:v>
                </c:pt>
                <c:pt idx="762">
                  <c:v>225.29357798165134</c:v>
                </c:pt>
                <c:pt idx="763">
                  <c:v>226.86238532110093</c:v>
                </c:pt>
                <c:pt idx="764">
                  <c:v>231.17431192660553</c:v>
                </c:pt>
                <c:pt idx="765">
                  <c:v>224.14678899082568</c:v>
                </c:pt>
                <c:pt idx="766">
                  <c:v>224.14678899082568</c:v>
                </c:pt>
                <c:pt idx="767">
                  <c:v>224.14678899082568</c:v>
                </c:pt>
                <c:pt idx="768">
                  <c:v>222.95412844036696</c:v>
                </c:pt>
                <c:pt idx="769">
                  <c:v>220.53211009174311</c:v>
                </c:pt>
                <c:pt idx="770">
                  <c:v>220.11926605504587</c:v>
                </c:pt>
                <c:pt idx="771">
                  <c:v>217.48623853211009</c:v>
                </c:pt>
                <c:pt idx="772">
                  <c:v>216.57798165137615</c:v>
                </c:pt>
                <c:pt idx="773">
                  <c:v>216.57798165137615</c:v>
                </c:pt>
                <c:pt idx="774">
                  <c:v>216.57798165137615</c:v>
                </c:pt>
                <c:pt idx="775">
                  <c:v>220.10091743119267</c:v>
                </c:pt>
                <c:pt idx="776">
                  <c:v>215.87155963302754</c:v>
                </c:pt>
                <c:pt idx="777">
                  <c:v>215.87155963302754</c:v>
                </c:pt>
                <c:pt idx="778">
                  <c:v>213.13761467889907</c:v>
                </c:pt>
                <c:pt idx="779">
                  <c:v>217.31192660550457</c:v>
                </c:pt>
                <c:pt idx="780">
                  <c:v>217.31192660550457</c:v>
                </c:pt>
                <c:pt idx="781">
                  <c:v>217.31192660550457</c:v>
                </c:pt>
                <c:pt idx="782">
                  <c:v>219.44036697247705</c:v>
                </c:pt>
                <c:pt idx="783">
                  <c:v>218.91743119266053</c:v>
                </c:pt>
                <c:pt idx="784">
                  <c:v>218.91743119266053</c:v>
                </c:pt>
                <c:pt idx="785">
                  <c:v>219.10091743119264</c:v>
                </c:pt>
                <c:pt idx="786">
                  <c:v>219.60550458715596</c:v>
                </c:pt>
                <c:pt idx="787">
                  <c:v>219.60550458715596</c:v>
                </c:pt>
                <c:pt idx="788">
                  <c:v>219.60550458715596</c:v>
                </c:pt>
                <c:pt idx="789">
                  <c:v>216.0183486238532</c:v>
                </c:pt>
                <c:pt idx="790">
                  <c:v>210.55963302752292</c:v>
                </c:pt>
                <c:pt idx="791">
                  <c:v>209.44036697247705</c:v>
                </c:pt>
                <c:pt idx="792">
                  <c:v>206.55963302752295</c:v>
                </c:pt>
                <c:pt idx="793">
                  <c:v>205.49541284403671</c:v>
                </c:pt>
                <c:pt idx="794">
                  <c:v>205.49541284403671</c:v>
                </c:pt>
                <c:pt idx="795">
                  <c:v>205.49541284403671</c:v>
                </c:pt>
                <c:pt idx="796">
                  <c:v>205.56880733944953</c:v>
                </c:pt>
                <c:pt idx="797">
                  <c:v>199.39449541284404</c:v>
                </c:pt>
                <c:pt idx="798">
                  <c:v>196.3119266055046</c:v>
                </c:pt>
                <c:pt idx="799">
                  <c:v>194.65137614678898</c:v>
                </c:pt>
                <c:pt idx="800">
                  <c:v>194.65137614678898</c:v>
                </c:pt>
                <c:pt idx="801">
                  <c:v>194.65137614678898</c:v>
                </c:pt>
                <c:pt idx="802">
                  <c:v>194.65137614678898</c:v>
                </c:pt>
                <c:pt idx="803">
                  <c:v>191.50458715596329</c:v>
                </c:pt>
                <c:pt idx="804">
                  <c:v>192.12844036697248</c:v>
                </c:pt>
                <c:pt idx="805">
                  <c:v>190.51376146788991</c:v>
                </c:pt>
                <c:pt idx="806">
                  <c:v>191.97247706422019</c:v>
                </c:pt>
                <c:pt idx="807">
                  <c:v>198.8440366972477</c:v>
                </c:pt>
                <c:pt idx="808">
                  <c:v>198.8440366972477</c:v>
                </c:pt>
                <c:pt idx="809">
                  <c:v>198.8440366972477</c:v>
                </c:pt>
                <c:pt idx="810">
                  <c:v>200.22018348623854</c:v>
                </c:pt>
                <c:pt idx="811">
                  <c:v>200.22018348623854</c:v>
                </c:pt>
                <c:pt idx="812">
                  <c:v>199.08256880733944</c:v>
                </c:pt>
                <c:pt idx="813">
                  <c:v>202.94495412844037</c:v>
                </c:pt>
                <c:pt idx="814">
                  <c:v>193.47706422018348</c:v>
                </c:pt>
                <c:pt idx="815">
                  <c:v>193.47706422018348</c:v>
                </c:pt>
                <c:pt idx="816">
                  <c:v>193.47706422018348</c:v>
                </c:pt>
                <c:pt idx="817">
                  <c:v>192.8256880733945</c:v>
                </c:pt>
                <c:pt idx="818">
                  <c:v>193.74311926605506</c:v>
                </c:pt>
                <c:pt idx="819">
                  <c:v>190.81651376146789</c:v>
                </c:pt>
                <c:pt idx="820">
                  <c:v>194.75229357798165</c:v>
                </c:pt>
                <c:pt idx="821">
                  <c:v>187.3302752293578</c:v>
                </c:pt>
                <c:pt idx="822">
                  <c:v>187.3302752293578</c:v>
                </c:pt>
                <c:pt idx="823">
                  <c:v>187.3302752293578</c:v>
                </c:pt>
                <c:pt idx="824">
                  <c:v>192.46788990825686</c:v>
                </c:pt>
                <c:pt idx="825">
                  <c:v>191.348623853211</c:v>
                </c:pt>
                <c:pt idx="826">
                  <c:v>192.30275229357798</c:v>
                </c:pt>
                <c:pt idx="827">
                  <c:v>190.99082568807339</c:v>
                </c:pt>
                <c:pt idx="828">
                  <c:v>190.62385321100916</c:v>
                </c:pt>
                <c:pt idx="829">
                  <c:v>190.62385321100916</c:v>
                </c:pt>
                <c:pt idx="830">
                  <c:v>190.62385321100916</c:v>
                </c:pt>
                <c:pt idx="831">
                  <c:v>191.1376146788991</c:v>
                </c:pt>
                <c:pt idx="832">
                  <c:v>190.48623853211009</c:v>
                </c:pt>
                <c:pt idx="833">
                  <c:v>192.30275229357798</c:v>
                </c:pt>
                <c:pt idx="834">
                  <c:v>193.11926605504587</c:v>
                </c:pt>
                <c:pt idx="835">
                  <c:v>185.86238532110093</c:v>
                </c:pt>
                <c:pt idx="836">
                  <c:v>185.86238532110093</c:v>
                </c:pt>
                <c:pt idx="837">
                  <c:v>185.86238532110093</c:v>
                </c:pt>
                <c:pt idx="838">
                  <c:v>184.42201834862385</c:v>
                </c:pt>
                <c:pt idx="839">
                  <c:v>186.23853211009174</c:v>
                </c:pt>
                <c:pt idx="840">
                  <c:v>186.16513761467888</c:v>
                </c:pt>
                <c:pt idx="841">
                  <c:v>189.71559633027522</c:v>
                </c:pt>
                <c:pt idx="842">
                  <c:v>187.65137614678898</c:v>
                </c:pt>
                <c:pt idx="843">
                  <c:v>187.65137614678898</c:v>
                </c:pt>
                <c:pt idx="844">
                  <c:v>187.65137614678898</c:v>
                </c:pt>
                <c:pt idx="845">
                  <c:v>180.60550458715599</c:v>
                </c:pt>
                <c:pt idx="846">
                  <c:v>178.9816513761468</c:v>
                </c:pt>
                <c:pt idx="847">
                  <c:v>179.45871559633028</c:v>
                </c:pt>
                <c:pt idx="848">
                  <c:v>179.8256880733945</c:v>
                </c:pt>
                <c:pt idx="849">
                  <c:v>174.76146788990826</c:v>
                </c:pt>
                <c:pt idx="850">
                  <c:v>174.76146788990826</c:v>
                </c:pt>
                <c:pt idx="851">
                  <c:v>174.76146788990826</c:v>
                </c:pt>
                <c:pt idx="852">
                  <c:v>178.24770642201835</c:v>
                </c:pt>
                <c:pt idx="853">
                  <c:v>178.1743119266055</c:v>
                </c:pt>
                <c:pt idx="854">
                  <c:v>180.1559633027523</c:v>
                </c:pt>
                <c:pt idx="855">
                  <c:v>171.12844036697248</c:v>
                </c:pt>
                <c:pt idx="856">
                  <c:v>170.63302752293578</c:v>
                </c:pt>
                <c:pt idx="857">
                  <c:v>170.63302752293578</c:v>
                </c:pt>
                <c:pt idx="858">
                  <c:v>170.63302752293578</c:v>
                </c:pt>
                <c:pt idx="859">
                  <c:v>167.91743119266056</c:v>
                </c:pt>
                <c:pt idx="860">
                  <c:v>165.78899082568807</c:v>
                </c:pt>
                <c:pt idx="861">
                  <c:v>162.59633027522935</c:v>
                </c:pt>
                <c:pt idx="862">
                  <c:v>169.11009174311928</c:v>
                </c:pt>
                <c:pt idx="863">
                  <c:v>166.94495412844037</c:v>
                </c:pt>
                <c:pt idx="864">
                  <c:v>166.94495412844037</c:v>
                </c:pt>
                <c:pt idx="865">
                  <c:v>166.94495412844037</c:v>
                </c:pt>
                <c:pt idx="866">
                  <c:v>166.33944954128441</c:v>
                </c:pt>
                <c:pt idx="867">
                  <c:v>158.75229357798165</c:v>
                </c:pt>
                <c:pt idx="868">
                  <c:v>159.63302752293578</c:v>
                </c:pt>
                <c:pt idx="869">
                  <c:v>159.69724770642202</c:v>
                </c:pt>
                <c:pt idx="870">
                  <c:v>157.57798165137612</c:v>
                </c:pt>
                <c:pt idx="871">
                  <c:v>157.57798165137612</c:v>
                </c:pt>
                <c:pt idx="872">
                  <c:v>157.57798165137612</c:v>
                </c:pt>
                <c:pt idx="873">
                  <c:v>162.69724770642202</c:v>
                </c:pt>
                <c:pt idx="874">
                  <c:v>163.51376146788991</c:v>
                </c:pt>
                <c:pt idx="875">
                  <c:v>158.28440366972478</c:v>
                </c:pt>
                <c:pt idx="876">
                  <c:v>160.40366972477065</c:v>
                </c:pt>
                <c:pt idx="877">
                  <c:v>158.43119266055047</c:v>
                </c:pt>
                <c:pt idx="878">
                  <c:v>158.43119266055047</c:v>
                </c:pt>
                <c:pt idx="879">
                  <c:v>158.43119266055047</c:v>
                </c:pt>
                <c:pt idx="880">
                  <c:v>162.3302752293578</c:v>
                </c:pt>
                <c:pt idx="881">
                  <c:v>165.11926605504584</c:v>
                </c:pt>
                <c:pt idx="882">
                  <c:v>166.11926605504584</c:v>
                </c:pt>
                <c:pt idx="883">
                  <c:v>165.33027522935782</c:v>
                </c:pt>
                <c:pt idx="884">
                  <c:v>166.91743119266056</c:v>
                </c:pt>
                <c:pt idx="885">
                  <c:v>166.91743119266056</c:v>
                </c:pt>
                <c:pt idx="886">
                  <c:v>166.91743119266056</c:v>
                </c:pt>
                <c:pt idx="887">
                  <c:v>169.05504587155963</c:v>
                </c:pt>
                <c:pt idx="888">
                  <c:v>169.11009174311928</c:v>
                </c:pt>
                <c:pt idx="889">
                  <c:v>168.05504587155963</c:v>
                </c:pt>
                <c:pt idx="890">
                  <c:v>165.59633027522935</c:v>
                </c:pt>
                <c:pt idx="891">
                  <c:v>163.89908256880733</c:v>
                </c:pt>
                <c:pt idx="892">
                  <c:v>163.89908256880733</c:v>
                </c:pt>
                <c:pt idx="893">
                  <c:v>163.89908256880733</c:v>
                </c:pt>
                <c:pt idx="894">
                  <c:v>164.89908256880733</c:v>
                </c:pt>
                <c:pt idx="895">
                  <c:v>154.8256880733945</c:v>
                </c:pt>
                <c:pt idx="896">
                  <c:v>150.61467889908255</c:v>
                </c:pt>
                <c:pt idx="897">
                  <c:v>153.67889908256879</c:v>
                </c:pt>
                <c:pt idx="898">
                  <c:v>153.67889908256879</c:v>
                </c:pt>
                <c:pt idx="899">
                  <c:v>153.67889908256879</c:v>
                </c:pt>
                <c:pt idx="900">
                  <c:v>153.67889908256879</c:v>
                </c:pt>
                <c:pt idx="901">
                  <c:v>153.21100917431193</c:v>
                </c:pt>
                <c:pt idx="902">
                  <c:v>147.90825688073394</c:v>
                </c:pt>
                <c:pt idx="903">
                  <c:v>148.44036697247708</c:v>
                </c:pt>
                <c:pt idx="904">
                  <c:v>151.78899082568807</c:v>
                </c:pt>
                <c:pt idx="905">
                  <c:v>149.02752293577981</c:v>
                </c:pt>
                <c:pt idx="906">
                  <c:v>149.02752293577981</c:v>
                </c:pt>
                <c:pt idx="907">
                  <c:v>149.02752293577981</c:v>
                </c:pt>
                <c:pt idx="908">
                  <c:v>157.32110091743118</c:v>
                </c:pt>
                <c:pt idx="909">
                  <c:v>157.09174311926603</c:v>
                </c:pt>
                <c:pt idx="910">
                  <c:v>154.00917431192659</c:v>
                </c:pt>
                <c:pt idx="911">
                  <c:v>156.67889908256879</c:v>
                </c:pt>
                <c:pt idx="912">
                  <c:v>146.38532110091745</c:v>
                </c:pt>
                <c:pt idx="913">
                  <c:v>146.38532110091745</c:v>
                </c:pt>
                <c:pt idx="914">
                  <c:v>146.38532110091745</c:v>
                </c:pt>
                <c:pt idx="915">
                  <c:v>136.48623853211009</c:v>
                </c:pt>
                <c:pt idx="916">
                  <c:v>137.67889908256882</c:v>
                </c:pt>
                <c:pt idx="917">
                  <c:v>143.16513761467891</c:v>
                </c:pt>
                <c:pt idx="918">
                  <c:v>138.94495412844034</c:v>
                </c:pt>
                <c:pt idx="919">
                  <c:v>141.44954128440367</c:v>
                </c:pt>
                <c:pt idx="920">
                  <c:v>141.44954128440367</c:v>
                </c:pt>
                <c:pt idx="921">
                  <c:v>141.44954128440367</c:v>
                </c:pt>
                <c:pt idx="922">
                  <c:v>145.1926605504587</c:v>
                </c:pt>
                <c:pt idx="923">
                  <c:v>141.18348623853208</c:v>
                </c:pt>
                <c:pt idx="924">
                  <c:v>139.77064220183485</c:v>
                </c:pt>
                <c:pt idx="925">
                  <c:v>138.33944954128438</c:v>
                </c:pt>
                <c:pt idx="926">
                  <c:v>147.88073394495413</c:v>
                </c:pt>
                <c:pt idx="927">
                  <c:v>147.88073394495413</c:v>
                </c:pt>
                <c:pt idx="928">
                  <c:v>147.88073394495413</c:v>
                </c:pt>
                <c:pt idx="929">
                  <c:v>151.30275229357798</c:v>
                </c:pt>
                <c:pt idx="930">
                  <c:v>154.78899082568807</c:v>
                </c:pt>
                <c:pt idx="931">
                  <c:v>160.96330275229354</c:v>
                </c:pt>
                <c:pt idx="932">
                  <c:v>160.38532110091742</c:v>
                </c:pt>
                <c:pt idx="933">
                  <c:v>160.61467889908258</c:v>
                </c:pt>
                <c:pt idx="934">
                  <c:v>160.61467889908258</c:v>
                </c:pt>
                <c:pt idx="935">
                  <c:v>160.61467889908258</c:v>
                </c:pt>
                <c:pt idx="936">
                  <c:v>159.06422018348621</c:v>
                </c:pt>
                <c:pt idx="937">
                  <c:v>163.90825688073394</c:v>
                </c:pt>
                <c:pt idx="938">
                  <c:v>161.15596330275227</c:v>
                </c:pt>
                <c:pt idx="939">
                  <c:v>157.1743119266055</c:v>
                </c:pt>
                <c:pt idx="940">
                  <c:v>154.53211009174314</c:v>
                </c:pt>
                <c:pt idx="941">
                  <c:v>154.53211009174314</c:v>
                </c:pt>
                <c:pt idx="942">
                  <c:v>154.53211009174314</c:v>
                </c:pt>
                <c:pt idx="943">
                  <c:v>156.12844036697248</c:v>
                </c:pt>
                <c:pt idx="944">
                  <c:v>155.69724770642202</c:v>
                </c:pt>
                <c:pt idx="945">
                  <c:v>153.28440366972478</c:v>
                </c:pt>
                <c:pt idx="946">
                  <c:v>153.45871559633028</c:v>
                </c:pt>
                <c:pt idx="947">
                  <c:v>153.77064220183487</c:v>
                </c:pt>
                <c:pt idx="948">
                  <c:v>153.77064220183487</c:v>
                </c:pt>
                <c:pt idx="949">
                  <c:v>153.77064220183487</c:v>
                </c:pt>
                <c:pt idx="950">
                  <c:v>152.55045871559633</c:v>
                </c:pt>
                <c:pt idx="951">
                  <c:v>146.8440366972477</c:v>
                </c:pt>
                <c:pt idx="952">
                  <c:v>144.32110091743121</c:v>
                </c:pt>
                <c:pt idx="953">
                  <c:v>144.22935779816515</c:v>
                </c:pt>
                <c:pt idx="954">
                  <c:v>147</c:v>
                </c:pt>
                <c:pt idx="955">
                  <c:v>147</c:v>
                </c:pt>
                <c:pt idx="956">
                  <c:v>147</c:v>
                </c:pt>
                <c:pt idx="957">
                  <c:v>149.3119266055046</c:v>
                </c:pt>
                <c:pt idx="958">
                  <c:v>149.3119266055046</c:v>
                </c:pt>
                <c:pt idx="959">
                  <c:v>148.83486238532109</c:v>
                </c:pt>
                <c:pt idx="960">
                  <c:v>152.44954128440367</c:v>
                </c:pt>
                <c:pt idx="961">
                  <c:v>150.6697247706422</c:v>
                </c:pt>
                <c:pt idx="962">
                  <c:v>150.6697247706422</c:v>
                </c:pt>
                <c:pt idx="963">
                  <c:v>150.6697247706422</c:v>
                </c:pt>
                <c:pt idx="964">
                  <c:v>149.75229357798162</c:v>
                </c:pt>
                <c:pt idx="965">
                  <c:v>146.11009174311926</c:v>
                </c:pt>
                <c:pt idx="966">
                  <c:v>138.97247706422019</c:v>
                </c:pt>
                <c:pt idx="967">
                  <c:v>140.05504587155963</c:v>
                </c:pt>
                <c:pt idx="968">
                  <c:v>139.22935779816513</c:v>
                </c:pt>
                <c:pt idx="969">
                  <c:v>139.22935779816513</c:v>
                </c:pt>
                <c:pt idx="970">
                  <c:v>139.22935779816513</c:v>
                </c:pt>
                <c:pt idx="971">
                  <c:v>141.37614678899081</c:v>
                </c:pt>
                <c:pt idx="972">
                  <c:v>140.47706422018348</c:v>
                </c:pt>
                <c:pt idx="973">
                  <c:v>140.25688073394497</c:v>
                </c:pt>
                <c:pt idx="974">
                  <c:v>133.05504587155963</c:v>
                </c:pt>
                <c:pt idx="975">
                  <c:v>132.69724770642202</c:v>
                </c:pt>
                <c:pt idx="976">
                  <c:v>132.69724770642202</c:v>
                </c:pt>
                <c:pt idx="977">
                  <c:v>132.69724770642202</c:v>
                </c:pt>
                <c:pt idx="978">
                  <c:v>136.0183486238532</c:v>
                </c:pt>
                <c:pt idx="979">
                  <c:v>134.12844036697246</c:v>
                </c:pt>
                <c:pt idx="980">
                  <c:v>138.30275229357798</c:v>
                </c:pt>
                <c:pt idx="981">
                  <c:v>136.17431192660553</c:v>
                </c:pt>
                <c:pt idx="982">
                  <c:v>133.48623853211009</c:v>
                </c:pt>
                <c:pt idx="983">
                  <c:v>133.48623853211009</c:v>
                </c:pt>
                <c:pt idx="984">
                  <c:v>133.48623853211009</c:v>
                </c:pt>
                <c:pt idx="985">
                  <c:v>131.90825688073394</c:v>
                </c:pt>
                <c:pt idx="986">
                  <c:v>129.61467889908258</c:v>
                </c:pt>
                <c:pt idx="987">
                  <c:v>131.1926605504587</c:v>
                </c:pt>
                <c:pt idx="988">
                  <c:v>122.73394495412843</c:v>
                </c:pt>
                <c:pt idx="989">
                  <c:v>124.27522935779818</c:v>
                </c:pt>
                <c:pt idx="990">
                  <c:v>124.27522935779818</c:v>
                </c:pt>
                <c:pt idx="991">
                  <c:v>124.27522935779818</c:v>
                </c:pt>
                <c:pt idx="992">
                  <c:v>127.62385321100919</c:v>
                </c:pt>
                <c:pt idx="993">
                  <c:v>128.75229357798165</c:v>
                </c:pt>
                <c:pt idx="994">
                  <c:v>131.49541284403671</c:v>
                </c:pt>
                <c:pt idx="995">
                  <c:v>133.16513761467888</c:v>
                </c:pt>
                <c:pt idx="996">
                  <c:v>133.16513761467888</c:v>
                </c:pt>
                <c:pt idx="997">
                  <c:v>133.16513761467888</c:v>
                </c:pt>
                <c:pt idx="998">
                  <c:v>133.16513761467888</c:v>
                </c:pt>
                <c:pt idx="999">
                  <c:v>135.15596330275227</c:v>
                </c:pt>
                <c:pt idx="1000">
                  <c:v>139.63302752293575</c:v>
                </c:pt>
                <c:pt idx="1001">
                  <c:v>142.25688073394497</c:v>
                </c:pt>
                <c:pt idx="1002">
                  <c:v>139.22018348623851</c:v>
                </c:pt>
                <c:pt idx="1003">
                  <c:v>143.60550458715596</c:v>
                </c:pt>
                <c:pt idx="1004">
                  <c:v>143.60550458715596</c:v>
                </c:pt>
                <c:pt idx="1005">
                  <c:v>143.60550458715596</c:v>
                </c:pt>
                <c:pt idx="1006">
                  <c:v>146.96330275229357</c:v>
                </c:pt>
                <c:pt idx="1007">
                  <c:v>146.40366972477065</c:v>
                </c:pt>
                <c:pt idx="1008">
                  <c:v>148.66055045871559</c:v>
                </c:pt>
                <c:pt idx="1009">
                  <c:v>145.36697247706419</c:v>
                </c:pt>
                <c:pt idx="1010">
                  <c:v>154.88073394495413</c:v>
                </c:pt>
                <c:pt idx="1011">
                  <c:v>154.88073394495413</c:v>
                </c:pt>
                <c:pt idx="1012">
                  <c:v>154.88073394495413</c:v>
                </c:pt>
                <c:pt idx="1013">
                  <c:v>156.13761467889907</c:v>
                </c:pt>
                <c:pt idx="1014">
                  <c:v>159.55963302752292</c:v>
                </c:pt>
                <c:pt idx="1015">
                  <c:v>158.81651376146792</c:v>
                </c:pt>
                <c:pt idx="1016">
                  <c:v>165</c:v>
                </c:pt>
                <c:pt idx="1017">
                  <c:v>167.89908256880733</c:v>
                </c:pt>
                <c:pt idx="1018">
                  <c:v>167.89908256880733</c:v>
                </c:pt>
                <c:pt idx="1019">
                  <c:v>167.89908256880733</c:v>
                </c:pt>
                <c:pt idx="1020">
                  <c:v>168.06422018348624</c:v>
                </c:pt>
                <c:pt idx="1021">
                  <c:v>165.56880733944953</c:v>
                </c:pt>
                <c:pt idx="1022">
                  <c:v>166.05504587155963</c:v>
                </c:pt>
                <c:pt idx="1023">
                  <c:v>164.52293577981652</c:v>
                </c:pt>
                <c:pt idx="1024">
                  <c:v>163.38532110091742</c:v>
                </c:pt>
                <c:pt idx="1025">
                  <c:v>163.38532110091742</c:v>
                </c:pt>
                <c:pt idx="1026">
                  <c:v>163.38532110091742</c:v>
                </c:pt>
                <c:pt idx="1027">
                  <c:v>171.47706422018348</c:v>
                </c:pt>
                <c:pt idx="1028">
                  <c:v>175.38532110091742</c:v>
                </c:pt>
                <c:pt idx="1029">
                  <c:v>174.92660550458714</c:v>
                </c:pt>
                <c:pt idx="1030">
                  <c:v>172.90825688073394</c:v>
                </c:pt>
                <c:pt idx="1031">
                  <c:v>170.91743119266056</c:v>
                </c:pt>
                <c:pt idx="1032">
                  <c:v>170.91743119266056</c:v>
                </c:pt>
                <c:pt idx="1033">
                  <c:v>170.91743119266056</c:v>
                </c:pt>
                <c:pt idx="1034">
                  <c:v>170.91743119266056</c:v>
                </c:pt>
                <c:pt idx="1035">
                  <c:v>171.8256880733945</c:v>
                </c:pt>
                <c:pt idx="1036">
                  <c:v>172.66972477064223</c:v>
                </c:pt>
                <c:pt idx="1037">
                  <c:v>169.44954128440367</c:v>
                </c:pt>
                <c:pt idx="1038">
                  <c:v>174.32110091743118</c:v>
                </c:pt>
                <c:pt idx="1039">
                  <c:v>174.32110091743118</c:v>
                </c:pt>
                <c:pt idx="1040">
                  <c:v>174.32110091743118</c:v>
                </c:pt>
                <c:pt idx="1041">
                  <c:v>175.72477064220183</c:v>
                </c:pt>
                <c:pt idx="1042">
                  <c:v>176.23853211009174</c:v>
                </c:pt>
                <c:pt idx="1043">
                  <c:v>173.63302752293578</c:v>
                </c:pt>
                <c:pt idx="1044">
                  <c:v>175.95412844036699</c:v>
                </c:pt>
                <c:pt idx="1045">
                  <c:v>175.18348623853211</c:v>
                </c:pt>
                <c:pt idx="1046">
                  <c:v>175.18348623853211</c:v>
                </c:pt>
                <c:pt idx="1047">
                  <c:v>175.18348623853211</c:v>
                </c:pt>
                <c:pt idx="1048">
                  <c:v>172.71559633027522</c:v>
                </c:pt>
                <c:pt idx="1049">
                  <c:v>173.04587155963301</c:v>
                </c:pt>
                <c:pt idx="1050">
                  <c:v>167.88990825688072</c:v>
                </c:pt>
                <c:pt idx="1051">
                  <c:v>167.22935779816515</c:v>
                </c:pt>
                <c:pt idx="1052">
                  <c:v>164.73394495412845</c:v>
                </c:pt>
                <c:pt idx="1053">
                  <c:v>164.73394495412845</c:v>
                </c:pt>
                <c:pt idx="1054">
                  <c:v>164.73394495412845</c:v>
                </c:pt>
                <c:pt idx="1055">
                  <c:v>162.61467889908258</c:v>
                </c:pt>
                <c:pt idx="1056">
                  <c:v>161.92660550458714</c:v>
                </c:pt>
                <c:pt idx="1057">
                  <c:v>162.26605504587158</c:v>
                </c:pt>
                <c:pt idx="1058">
                  <c:v>159.43119266055047</c:v>
                </c:pt>
                <c:pt idx="1059">
                  <c:v>162.8440366972477</c:v>
                </c:pt>
                <c:pt idx="1060">
                  <c:v>162.8440366972477</c:v>
                </c:pt>
                <c:pt idx="1061">
                  <c:v>162.8440366972477</c:v>
                </c:pt>
                <c:pt idx="1062">
                  <c:v>168.75229357798165</c:v>
                </c:pt>
                <c:pt idx="1063">
                  <c:v>160</c:v>
                </c:pt>
                <c:pt idx="1064">
                  <c:v>161.20183486238534</c:v>
                </c:pt>
                <c:pt idx="1065">
                  <c:v>154.99999999999997</c:v>
                </c:pt>
                <c:pt idx="1066">
                  <c:v>155.78899082568807</c:v>
                </c:pt>
                <c:pt idx="1067">
                  <c:v>155.78899082568807</c:v>
                </c:pt>
                <c:pt idx="1068">
                  <c:v>155.78899082568807</c:v>
                </c:pt>
                <c:pt idx="1069">
                  <c:v>151.88990825688074</c:v>
                </c:pt>
                <c:pt idx="1070">
                  <c:v>154.69724770642202</c:v>
                </c:pt>
                <c:pt idx="1071">
                  <c:v>149.10091743119267</c:v>
                </c:pt>
                <c:pt idx="1072">
                  <c:v>147.83486238532109</c:v>
                </c:pt>
                <c:pt idx="1073">
                  <c:v>138.20183486238531</c:v>
                </c:pt>
                <c:pt idx="1074">
                  <c:v>138.20183486238531</c:v>
                </c:pt>
                <c:pt idx="1075">
                  <c:v>138.20183486238531</c:v>
                </c:pt>
                <c:pt idx="1076">
                  <c:v>136.93577981651376</c:v>
                </c:pt>
                <c:pt idx="1077">
                  <c:v>139.49541284403671</c:v>
                </c:pt>
                <c:pt idx="1078">
                  <c:v>143.59633027522938</c:v>
                </c:pt>
                <c:pt idx="1079">
                  <c:v>143.83486238532112</c:v>
                </c:pt>
                <c:pt idx="1080">
                  <c:v>143.53211009174311</c:v>
                </c:pt>
                <c:pt idx="1081">
                  <c:v>143.53211009174311</c:v>
                </c:pt>
                <c:pt idx="1082">
                  <c:v>143.53211009174311</c:v>
                </c:pt>
                <c:pt idx="1083">
                  <c:v>141.52293577981649</c:v>
                </c:pt>
                <c:pt idx="1084">
                  <c:v>142.57798165137615</c:v>
                </c:pt>
                <c:pt idx="1085">
                  <c:v>144.12844036697248</c:v>
                </c:pt>
                <c:pt idx="1086">
                  <c:v>145.58715596330276</c:v>
                </c:pt>
                <c:pt idx="1087">
                  <c:v>146.04587155963301</c:v>
                </c:pt>
                <c:pt idx="1088">
                  <c:v>146.04587155963301</c:v>
                </c:pt>
                <c:pt idx="1089">
                  <c:v>146.04587155963301</c:v>
                </c:pt>
                <c:pt idx="1090">
                  <c:v>142.90825688073397</c:v>
                </c:pt>
                <c:pt idx="1091">
                  <c:v>145.45871559633028</c:v>
                </c:pt>
                <c:pt idx="1092">
                  <c:v>143.7064220183486</c:v>
                </c:pt>
                <c:pt idx="1093">
                  <c:v>144.34862385321102</c:v>
                </c:pt>
                <c:pt idx="1094">
                  <c:v>144.34862385321102</c:v>
                </c:pt>
                <c:pt idx="1095">
                  <c:v>144.34862385321102</c:v>
                </c:pt>
                <c:pt idx="1096">
                  <c:v>144.34862385321102</c:v>
                </c:pt>
                <c:pt idx="1097">
                  <c:v>141.77064220183487</c:v>
                </c:pt>
                <c:pt idx="1098">
                  <c:v>140.25688073394497</c:v>
                </c:pt>
                <c:pt idx="1099">
                  <c:v>138.6880733944954</c:v>
                </c:pt>
                <c:pt idx="1100">
                  <c:v>134.35779816513761</c:v>
                </c:pt>
                <c:pt idx="1101">
                  <c:v>135.93577981651376</c:v>
                </c:pt>
                <c:pt idx="1102">
                  <c:v>135.93577981651376</c:v>
                </c:pt>
                <c:pt idx="1103">
                  <c:v>135.93577981651376</c:v>
                </c:pt>
                <c:pt idx="1104">
                  <c:v>135.24770642201833</c:v>
                </c:pt>
                <c:pt idx="1105">
                  <c:v>140.36697247706422</c:v>
                </c:pt>
                <c:pt idx="1106">
                  <c:v>137.56880733944953</c:v>
                </c:pt>
                <c:pt idx="1107">
                  <c:v>136.86238532110093</c:v>
                </c:pt>
                <c:pt idx="1108">
                  <c:v>132.77981651376146</c:v>
                </c:pt>
                <c:pt idx="1109">
                  <c:v>132.77981651376146</c:v>
                </c:pt>
                <c:pt idx="1110">
                  <c:v>132.77981651376146</c:v>
                </c:pt>
                <c:pt idx="1111">
                  <c:v>131.88073394495413</c:v>
                </c:pt>
                <c:pt idx="1112">
                  <c:v>126.045871559633</c:v>
                </c:pt>
                <c:pt idx="1113">
                  <c:v>120.73394495412843</c:v>
                </c:pt>
                <c:pt idx="1114">
                  <c:v>126.61467889908255</c:v>
                </c:pt>
                <c:pt idx="1115">
                  <c:v>146.92660550458717</c:v>
                </c:pt>
                <c:pt idx="1116">
                  <c:v>146.92660550458717</c:v>
                </c:pt>
                <c:pt idx="1117">
                  <c:v>146.92660550458717</c:v>
                </c:pt>
                <c:pt idx="1118">
                  <c:v>144.8073394495413</c:v>
                </c:pt>
                <c:pt idx="1119">
                  <c:v>136.96330275229357</c:v>
                </c:pt>
                <c:pt idx="1120">
                  <c:v>136.48623853211009</c:v>
                </c:pt>
                <c:pt idx="1121">
                  <c:v>143.97247706422019</c:v>
                </c:pt>
                <c:pt idx="1122">
                  <c:v>143.97247706422019</c:v>
                </c:pt>
                <c:pt idx="1123">
                  <c:v>143.97247706422019</c:v>
                </c:pt>
                <c:pt idx="1124">
                  <c:v>143.97247706422019</c:v>
                </c:pt>
                <c:pt idx="1125">
                  <c:v>139.19266055045873</c:v>
                </c:pt>
                <c:pt idx="1126">
                  <c:v>136.55045871559633</c:v>
                </c:pt>
                <c:pt idx="1127">
                  <c:v>137.49541284403671</c:v>
                </c:pt>
                <c:pt idx="1128">
                  <c:v>138.0183486238532</c:v>
                </c:pt>
                <c:pt idx="1129">
                  <c:v>136.54128440366972</c:v>
                </c:pt>
                <c:pt idx="1130">
                  <c:v>136.54128440366972</c:v>
                </c:pt>
                <c:pt idx="1131">
                  <c:v>136.54128440366972</c:v>
                </c:pt>
                <c:pt idx="1132">
                  <c:v>133.23853211009174</c:v>
                </c:pt>
                <c:pt idx="1133">
                  <c:v>130.8073394495413</c:v>
                </c:pt>
                <c:pt idx="1134">
                  <c:v>128.28440366972478</c:v>
                </c:pt>
                <c:pt idx="1135">
                  <c:v>131.55963302752295</c:v>
                </c:pt>
                <c:pt idx="1136">
                  <c:v>124.94495412844036</c:v>
                </c:pt>
                <c:pt idx="1137">
                  <c:v>124.94495412844036</c:v>
                </c:pt>
                <c:pt idx="1138">
                  <c:v>124.94495412844036</c:v>
                </c:pt>
                <c:pt idx="1139">
                  <c:v>117.42201834862385</c:v>
                </c:pt>
                <c:pt idx="1140">
                  <c:v>124.97247706422019</c:v>
                </c:pt>
                <c:pt idx="1141">
                  <c:v>122.47706422018349</c:v>
                </c:pt>
                <c:pt idx="1142">
                  <c:v>122.47706422018349</c:v>
                </c:pt>
                <c:pt idx="1143">
                  <c:v>122.61467889908258</c:v>
                </c:pt>
                <c:pt idx="1144">
                  <c:v>122.61467889908258</c:v>
                </c:pt>
                <c:pt idx="1145">
                  <c:v>122.61467889908258</c:v>
                </c:pt>
                <c:pt idx="1146">
                  <c:v>120.3394495412844</c:v>
                </c:pt>
                <c:pt idx="1147">
                  <c:v>122.11009174311927</c:v>
                </c:pt>
                <c:pt idx="1148">
                  <c:v>116.58715596330276</c:v>
                </c:pt>
                <c:pt idx="1149">
                  <c:v>116.58715596330276</c:v>
                </c:pt>
                <c:pt idx="1150">
                  <c:v>118.87155963302752</c:v>
                </c:pt>
                <c:pt idx="1151">
                  <c:v>118.87155963302752</c:v>
                </c:pt>
                <c:pt idx="1152">
                  <c:v>118.87155963302752</c:v>
                </c:pt>
                <c:pt idx="1153">
                  <c:v>123.94495412844036</c:v>
                </c:pt>
                <c:pt idx="1154">
                  <c:v>127.07339449541284</c:v>
                </c:pt>
                <c:pt idx="1155">
                  <c:v>134.80733944954127</c:v>
                </c:pt>
                <c:pt idx="1156">
                  <c:v>131.72477064220186</c:v>
                </c:pt>
                <c:pt idx="1157">
                  <c:v>134.35779816513761</c:v>
                </c:pt>
                <c:pt idx="1158">
                  <c:v>134.35779816513761</c:v>
                </c:pt>
                <c:pt idx="1159">
                  <c:v>134.35779816513761</c:v>
                </c:pt>
                <c:pt idx="1160">
                  <c:v>136.59633027522935</c:v>
                </c:pt>
                <c:pt idx="1161">
                  <c:v>136.60550458715596</c:v>
                </c:pt>
                <c:pt idx="1162">
                  <c:v>135.95412844036696</c:v>
                </c:pt>
                <c:pt idx="1163">
                  <c:v>139.32110091743118</c:v>
                </c:pt>
                <c:pt idx="1164">
                  <c:v>135.42201834862385</c:v>
                </c:pt>
                <c:pt idx="1165">
                  <c:v>135.42201834862385</c:v>
                </c:pt>
                <c:pt idx="1166">
                  <c:v>135.42201834862385</c:v>
                </c:pt>
                <c:pt idx="1167">
                  <c:v>145.22018348623854</c:v>
                </c:pt>
                <c:pt idx="1168">
                  <c:v>144.1376146788991</c:v>
                </c:pt>
                <c:pt idx="1169">
                  <c:v>144.1376146788991</c:v>
                </c:pt>
                <c:pt idx="1170">
                  <c:v>155.99999999999997</c:v>
                </c:pt>
                <c:pt idx="1171">
                  <c:v>149.93577981651376</c:v>
                </c:pt>
                <c:pt idx="1172">
                  <c:v>149.93577981651376</c:v>
                </c:pt>
                <c:pt idx="1173">
                  <c:v>149.93577981651376</c:v>
                </c:pt>
                <c:pt idx="1174">
                  <c:v>144.36697247706422</c:v>
                </c:pt>
                <c:pt idx="1175">
                  <c:v>146.85321100917429</c:v>
                </c:pt>
                <c:pt idx="1176">
                  <c:v>141.03669724770643</c:v>
                </c:pt>
                <c:pt idx="1177">
                  <c:v>140.41284403669724</c:v>
                </c:pt>
                <c:pt idx="1178">
                  <c:v>133.02752293577981</c:v>
                </c:pt>
                <c:pt idx="1179">
                  <c:v>133.02752293577981</c:v>
                </c:pt>
                <c:pt idx="1180">
                  <c:v>133.02752293577981</c:v>
                </c:pt>
                <c:pt idx="1181">
                  <c:v>132.76146788990826</c:v>
                </c:pt>
                <c:pt idx="1182">
                  <c:v>132.76146788990826</c:v>
                </c:pt>
                <c:pt idx="1183">
                  <c:v>136.77064220183487</c:v>
                </c:pt>
                <c:pt idx="1184">
                  <c:v>132.75229357798165</c:v>
                </c:pt>
                <c:pt idx="1185">
                  <c:v>150.85321100917432</c:v>
                </c:pt>
                <c:pt idx="1186">
                  <c:v>150.85321100917432</c:v>
                </c:pt>
                <c:pt idx="1187">
                  <c:v>150.85321100917432</c:v>
                </c:pt>
                <c:pt idx="1188">
                  <c:v>185.67889908256882</c:v>
                </c:pt>
                <c:pt idx="1189">
                  <c:v>180.90825688073394</c:v>
                </c:pt>
                <c:pt idx="1190">
                  <c:v>182.85321100917432</c:v>
                </c:pt>
                <c:pt idx="1191">
                  <c:v>173.88990825688074</c:v>
                </c:pt>
                <c:pt idx="1192">
                  <c:v>188.6880733944954</c:v>
                </c:pt>
                <c:pt idx="1193">
                  <c:v>188.6880733944954</c:v>
                </c:pt>
                <c:pt idx="1194">
                  <c:v>188.6880733944954</c:v>
                </c:pt>
                <c:pt idx="1195">
                  <c:v>188.9816513761468</c:v>
                </c:pt>
                <c:pt idx="1196">
                  <c:v>196.13761467889907</c:v>
                </c:pt>
                <c:pt idx="1197">
                  <c:v>193.63302752293578</c:v>
                </c:pt>
                <c:pt idx="1198">
                  <c:v>194.28440366972478</c:v>
                </c:pt>
                <c:pt idx="1199">
                  <c:v>197.17431192660547</c:v>
                </c:pt>
                <c:pt idx="1200">
                  <c:v>197.17431192660547</c:v>
                </c:pt>
                <c:pt idx="1201">
                  <c:v>197.17431192660547</c:v>
                </c:pt>
                <c:pt idx="1202">
                  <c:v>200.1009174311927</c:v>
                </c:pt>
                <c:pt idx="1203">
                  <c:v>193.42201834862388</c:v>
                </c:pt>
                <c:pt idx="1204">
                  <c:v>186.23853211009174</c:v>
                </c:pt>
                <c:pt idx="1205">
                  <c:v>170.2935779816514</c:v>
                </c:pt>
                <c:pt idx="1206">
                  <c:v>181.91743119266056</c:v>
                </c:pt>
                <c:pt idx="1207">
                  <c:v>181.91743119266056</c:v>
                </c:pt>
                <c:pt idx="1208">
                  <c:v>181.91743119266056</c:v>
                </c:pt>
                <c:pt idx="1209">
                  <c:v>190.67889908256882</c:v>
                </c:pt>
                <c:pt idx="1210">
                  <c:v>182.94495412844037</c:v>
                </c:pt>
                <c:pt idx="1211">
                  <c:v>202.80733944954127</c:v>
                </c:pt>
                <c:pt idx="1212">
                  <c:v>212.12844036697248</c:v>
                </c:pt>
                <c:pt idx="1213">
                  <c:v>210.24770642201833</c:v>
                </c:pt>
                <c:pt idx="1214">
                  <c:v>210.24770642201833</c:v>
                </c:pt>
                <c:pt idx="1215">
                  <c:v>210.24770642201833</c:v>
                </c:pt>
                <c:pt idx="1216">
                  <c:v>219.75229357798165</c:v>
                </c:pt>
                <c:pt idx="1217">
                  <c:v>222.99082568807341</c:v>
                </c:pt>
                <c:pt idx="1218">
                  <c:v>225.53211009174311</c:v>
                </c:pt>
                <c:pt idx="1219">
                  <c:v>215.94495412844034</c:v>
                </c:pt>
                <c:pt idx="1220">
                  <c:v>226.18348623853208</c:v>
                </c:pt>
                <c:pt idx="1221">
                  <c:v>226.18348623853208</c:v>
                </c:pt>
                <c:pt idx="1222">
                  <c:v>226.18348623853208</c:v>
                </c:pt>
                <c:pt idx="1223">
                  <c:v>215.71559633027522</c:v>
                </c:pt>
                <c:pt idx="1224">
                  <c:v>225.40366972477065</c:v>
                </c:pt>
                <c:pt idx="1225">
                  <c:v>243.61467889908261</c:v>
                </c:pt>
                <c:pt idx="1226">
                  <c:v>243.82568807339447</c:v>
                </c:pt>
                <c:pt idx="1227">
                  <c:v>247.57798165137618</c:v>
                </c:pt>
                <c:pt idx="1228">
                  <c:v>247.57798165137618</c:v>
                </c:pt>
                <c:pt idx="1229">
                  <c:v>247.57798165137618</c:v>
                </c:pt>
                <c:pt idx="1230">
                  <c:v>256.22935779816515</c:v>
                </c:pt>
                <c:pt idx="1231">
                  <c:v>263.05504587155963</c:v>
                </c:pt>
                <c:pt idx="1232">
                  <c:v>262.82568807339453</c:v>
                </c:pt>
                <c:pt idx="1233">
                  <c:v>265.46788990825689</c:v>
                </c:pt>
                <c:pt idx="1234">
                  <c:v>257.81651376146783</c:v>
                </c:pt>
                <c:pt idx="1235">
                  <c:v>257.81651376146783</c:v>
                </c:pt>
                <c:pt idx="1236">
                  <c:v>257.81651376146783</c:v>
                </c:pt>
                <c:pt idx="1237">
                  <c:v>245.32110091743115</c:v>
                </c:pt>
                <c:pt idx="1238">
                  <c:v>244.88073394495413</c:v>
                </c:pt>
                <c:pt idx="1239">
                  <c:v>246.24770642201835</c:v>
                </c:pt>
                <c:pt idx="1240">
                  <c:v>243.76146788990826</c:v>
                </c:pt>
                <c:pt idx="1241">
                  <c:v>241.69724770642199</c:v>
                </c:pt>
                <c:pt idx="1242">
                  <c:v>241.69724770642199</c:v>
                </c:pt>
                <c:pt idx="1243">
                  <c:v>241.69724770642199</c:v>
                </c:pt>
                <c:pt idx="1244">
                  <c:v>244.29357798165134</c:v>
                </c:pt>
                <c:pt idx="1245">
                  <c:v>249.52293577981655</c:v>
                </c:pt>
                <c:pt idx="1246">
                  <c:v>248.64220183486236</c:v>
                </c:pt>
                <c:pt idx="1247">
                  <c:v>251.3119266055046</c:v>
                </c:pt>
                <c:pt idx="1248">
                  <c:v>253.60550458715596</c:v>
                </c:pt>
                <c:pt idx="1249">
                  <c:v>253.60550458715596</c:v>
                </c:pt>
                <c:pt idx="1250">
                  <c:v>253.60550458715596</c:v>
                </c:pt>
                <c:pt idx="1251">
                  <c:v>248.93577981651376</c:v>
                </c:pt>
                <c:pt idx="1252">
                  <c:v>246.05504587155963</c:v>
                </c:pt>
                <c:pt idx="1253">
                  <c:v>250.27522935779817</c:v>
                </c:pt>
                <c:pt idx="1254">
                  <c:v>252.04587155963304</c:v>
                </c:pt>
                <c:pt idx="1255">
                  <c:v>249.41284403669727</c:v>
                </c:pt>
                <c:pt idx="1256">
                  <c:v>249.41284403669727</c:v>
                </c:pt>
                <c:pt idx="1257">
                  <c:v>249.41284403669727</c:v>
                </c:pt>
                <c:pt idx="1258">
                  <c:v>250.20183486238534</c:v>
                </c:pt>
                <c:pt idx="1259">
                  <c:v>255.43119266055047</c:v>
                </c:pt>
                <c:pt idx="1260">
                  <c:v>260.27522935779814</c:v>
                </c:pt>
                <c:pt idx="1261">
                  <c:v>257.50458715596329</c:v>
                </c:pt>
                <c:pt idx="1262">
                  <c:v>257.50458715596329</c:v>
                </c:pt>
                <c:pt idx="1263">
                  <c:v>257.50458715596329</c:v>
                </c:pt>
                <c:pt idx="1264">
                  <c:v>257.50458715596329</c:v>
                </c:pt>
                <c:pt idx="1265">
                  <c:v>254.87155963302754</c:v>
                </c:pt>
                <c:pt idx="1266">
                  <c:v>255.49541284403671</c:v>
                </c:pt>
                <c:pt idx="1267">
                  <c:v>251.72477064220183</c:v>
                </c:pt>
                <c:pt idx="1268">
                  <c:v>253.11926605504587</c:v>
                </c:pt>
                <c:pt idx="1269">
                  <c:v>249.74311926605509</c:v>
                </c:pt>
                <c:pt idx="1270">
                  <c:v>249.74311926605509</c:v>
                </c:pt>
                <c:pt idx="1271">
                  <c:v>249.74311926605509</c:v>
                </c:pt>
                <c:pt idx="1272">
                  <c:v>244.80733944954127</c:v>
                </c:pt>
                <c:pt idx="1273">
                  <c:v>241.11926605504584</c:v>
                </c:pt>
                <c:pt idx="1274">
                  <c:v>232.40366972477062</c:v>
                </c:pt>
                <c:pt idx="1275">
                  <c:v>227.37614678899081</c:v>
                </c:pt>
                <c:pt idx="1276">
                  <c:v>224.60550458715596</c:v>
                </c:pt>
                <c:pt idx="1277">
                  <c:v>224.60550458715596</c:v>
                </c:pt>
                <c:pt idx="1278">
                  <c:v>224.60550458715596</c:v>
                </c:pt>
                <c:pt idx="1279">
                  <c:v>236.18348623853208</c:v>
                </c:pt>
                <c:pt idx="1280">
                  <c:v>237.6880733944954</c:v>
                </c:pt>
                <c:pt idx="1281">
                  <c:v>239.84403669724773</c:v>
                </c:pt>
                <c:pt idx="1282">
                  <c:v>234.97247706422019</c:v>
                </c:pt>
                <c:pt idx="1283">
                  <c:v>233.75229357798167</c:v>
                </c:pt>
                <c:pt idx="1284">
                  <c:v>233.75229357798167</c:v>
                </c:pt>
                <c:pt idx="1285">
                  <c:v>233.75229357798167</c:v>
                </c:pt>
                <c:pt idx="1286">
                  <c:v>235.28440366972475</c:v>
                </c:pt>
                <c:pt idx="1287">
                  <c:v>237.08256880733947</c:v>
                </c:pt>
                <c:pt idx="1288">
                  <c:v>235.73394495412842</c:v>
                </c:pt>
                <c:pt idx="1289">
                  <c:v>233.05504587155963</c:v>
                </c:pt>
                <c:pt idx="1290">
                  <c:v>231.28440366972475</c:v>
                </c:pt>
                <c:pt idx="1291">
                  <c:v>231.28440366972475</c:v>
                </c:pt>
                <c:pt idx="1292">
                  <c:v>231.28440366972475</c:v>
                </c:pt>
                <c:pt idx="1293">
                  <c:v>229.92660550458717</c:v>
                </c:pt>
                <c:pt idx="1294">
                  <c:v>226.11926605504587</c:v>
                </c:pt>
                <c:pt idx="1295">
                  <c:v>224.64220183486239</c:v>
                </c:pt>
                <c:pt idx="1296">
                  <c:v>223.97247706422019</c:v>
                </c:pt>
                <c:pt idx="1297">
                  <c:v>231.21100917431195</c:v>
                </c:pt>
                <c:pt idx="1298">
                  <c:v>231.21100917431195</c:v>
                </c:pt>
                <c:pt idx="1299">
                  <c:v>231.21100917431195</c:v>
                </c:pt>
                <c:pt idx="1300">
                  <c:v>233.79816513761469</c:v>
                </c:pt>
                <c:pt idx="1301">
                  <c:v>231.07339449541286</c:v>
                </c:pt>
                <c:pt idx="1302">
                  <c:v>228.17431192660553</c:v>
                </c:pt>
                <c:pt idx="1303">
                  <c:v>228.81651376146789</c:v>
                </c:pt>
                <c:pt idx="1304">
                  <c:v>230.1743119266055</c:v>
                </c:pt>
                <c:pt idx="1305">
                  <c:v>230.1743119266055</c:v>
                </c:pt>
                <c:pt idx="1306">
                  <c:v>230.1743119266055</c:v>
                </c:pt>
                <c:pt idx="1307">
                  <c:v>231.22018348623854</c:v>
                </c:pt>
                <c:pt idx="1308">
                  <c:v>230.91743119266056</c:v>
                </c:pt>
                <c:pt idx="1309">
                  <c:v>232.74311926605503</c:v>
                </c:pt>
                <c:pt idx="1310">
                  <c:v>227.70642201834863</c:v>
                </c:pt>
                <c:pt idx="1311">
                  <c:v>228.73394495412845</c:v>
                </c:pt>
                <c:pt idx="1312">
                  <c:v>228.73394495412845</c:v>
                </c:pt>
                <c:pt idx="1313">
                  <c:v>228.73394495412845</c:v>
                </c:pt>
                <c:pt idx="1314">
                  <c:v>230.48623853211006</c:v>
                </c:pt>
                <c:pt idx="1315">
                  <c:v>227.09174311926606</c:v>
                </c:pt>
                <c:pt idx="1316">
                  <c:v>232.33944954128441</c:v>
                </c:pt>
                <c:pt idx="1317">
                  <c:v>228.66972477064218</c:v>
                </c:pt>
                <c:pt idx="1318">
                  <c:v>226.90825688073394</c:v>
                </c:pt>
                <c:pt idx="1319">
                  <c:v>226.90825688073394</c:v>
                </c:pt>
                <c:pt idx="1320">
                  <c:v>226.90825688073394</c:v>
                </c:pt>
                <c:pt idx="1321">
                  <c:v>222.6880733944954</c:v>
                </c:pt>
                <c:pt idx="1322">
                  <c:v>217.28440366972478</c:v>
                </c:pt>
                <c:pt idx="1323">
                  <c:v>217.28440366972478</c:v>
                </c:pt>
                <c:pt idx="1324">
                  <c:v>222.23853211009174</c:v>
                </c:pt>
                <c:pt idx="1325">
                  <c:v>217.33944954128441</c:v>
                </c:pt>
                <c:pt idx="1326">
                  <c:v>217.33944954128441</c:v>
                </c:pt>
                <c:pt idx="1327">
                  <c:v>217.33944954128441</c:v>
                </c:pt>
                <c:pt idx="1328">
                  <c:v>220.97247706422021</c:v>
                </c:pt>
                <c:pt idx="1329">
                  <c:v>216.25688073394494</c:v>
                </c:pt>
                <c:pt idx="1330">
                  <c:v>222.00917431192661</c:v>
                </c:pt>
                <c:pt idx="1331">
                  <c:v>219.37614678899084</c:v>
                </c:pt>
                <c:pt idx="1332">
                  <c:v>230.22935779816513</c:v>
                </c:pt>
                <c:pt idx="1333">
                  <c:v>230.22935779816513</c:v>
                </c:pt>
                <c:pt idx="1334">
                  <c:v>230.22935779816513</c:v>
                </c:pt>
                <c:pt idx="1335">
                  <c:v>235.88073394495416</c:v>
                </c:pt>
                <c:pt idx="1336">
                  <c:v>240.651376146789</c:v>
                </c:pt>
                <c:pt idx="1337">
                  <c:v>238.68807339449543</c:v>
                </c:pt>
                <c:pt idx="1338">
                  <c:v>243.20183486238531</c:v>
                </c:pt>
                <c:pt idx="1339">
                  <c:v>243.35779816513758</c:v>
                </c:pt>
                <c:pt idx="1340">
                  <c:v>243.35779816513758</c:v>
                </c:pt>
                <c:pt idx="1341">
                  <c:v>243.35779816513758</c:v>
                </c:pt>
                <c:pt idx="1342">
                  <c:v>244.87155963302754</c:v>
                </c:pt>
                <c:pt idx="1343">
                  <c:v>240.73394495412842</c:v>
                </c:pt>
                <c:pt idx="1344">
                  <c:v>240.89908256880733</c:v>
                </c:pt>
                <c:pt idx="1345">
                  <c:v>239.10091743119267</c:v>
                </c:pt>
                <c:pt idx="1346">
                  <c:v>240.62385321100916</c:v>
                </c:pt>
                <c:pt idx="1347">
                  <c:v>240.62385321100916</c:v>
                </c:pt>
                <c:pt idx="1348">
                  <c:v>240.62385321100916</c:v>
                </c:pt>
                <c:pt idx="1349">
                  <c:v>241.19266055045873</c:v>
                </c:pt>
                <c:pt idx="1350">
                  <c:v>243.25688073394494</c:v>
                </c:pt>
                <c:pt idx="1351">
                  <c:v>243.18348623853211</c:v>
                </c:pt>
                <c:pt idx="1352">
                  <c:v>242.98165137614683</c:v>
                </c:pt>
                <c:pt idx="1353">
                  <c:v>236.348623853211</c:v>
                </c:pt>
                <c:pt idx="1354">
                  <c:v>236.348623853211</c:v>
                </c:pt>
                <c:pt idx="1355">
                  <c:v>236.348623853211</c:v>
                </c:pt>
                <c:pt idx="1356">
                  <c:v>231.36697247706422</c:v>
                </c:pt>
                <c:pt idx="1357">
                  <c:v>232.10091743119267</c:v>
                </c:pt>
                <c:pt idx="1358">
                  <c:v>228.06422018348624</c:v>
                </c:pt>
                <c:pt idx="1359">
                  <c:v>228.69724770642202</c:v>
                </c:pt>
                <c:pt idx="1360">
                  <c:v>228.69724770642202</c:v>
                </c:pt>
                <c:pt idx="1361">
                  <c:v>228.69724770642202</c:v>
                </c:pt>
                <c:pt idx="1362">
                  <c:v>228.69724770642202</c:v>
                </c:pt>
                <c:pt idx="1363">
                  <c:v>227.23853211009174</c:v>
                </c:pt>
                <c:pt idx="1364">
                  <c:v>227.10091743119264</c:v>
                </c:pt>
                <c:pt idx="1365">
                  <c:v>222.66055045871559</c:v>
                </c:pt>
                <c:pt idx="1366">
                  <c:v>224.07339449541283</c:v>
                </c:pt>
                <c:pt idx="1367">
                  <c:v>225.63302752293578</c:v>
                </c:pt>
                <c:pt idx="1368">
                  <c:v>225.63302752293578</c:v>
                </c:pt>
                <c:pt idx="1369">
                  <c:v>225.63302752293578</c:v>
                </c:pt>
                <c:pt idx="1370">
                  <c:v>227.25688073394497</c:v>
                </c:pt>
                <c:pt idx="1371">
                  <c:v>225.69724770642199</c:v>
                </c:pt>
                <c:pt idx="1372">
                  <c:v>225.28440366972475</c:v>
                </c:pt>
                <c:pt idx="1373">
                  <c:v>234.2752293577982</c:v>
                </c:pt>
                <c:pt idx="1374">
                  <c:v>233.51376146788988</c:v>
                </c:pt>
                <c:pt idx="1375">
                  <c:v>233.51376146788988</c:v>
                </c:pt>
                <c:pt idx="1376">
                  <c:v>233.51376146788988</c:v>
                </c:pt>
                <c:pt idx="1377">
                  <c:v>238.651376146789</c:v>
                </c:pt>
                <c:pt idx="1378">
                  <c:v>234.66055045871559</c:v>
                </c:pt>
                <c:pt idx="1379">
                  <c:v>229.72477064220183</c:v>
                </c:pt>
                <c:pt idx="1380">
                  <c:v>228.14678899082571</c:v>
                </c:pt>
                <c:pt idx="1381">
                  <c:v>219.32110091743118</c:v>
                </c:pt>
                <c:pt idx="1382">
                  <c:v>219.32110091743118</c:v>
                </c:pt>
                <c:pt idx="1383">
                  <c:v>219.32110091743118</c:v>
                </c:pt>
                <c:pt idx="1384">
                  <c:v>213.75229357798165</c:v>
                </c:pt>
                <c:pt idx="1385">
                  <c:v>207.62385321100916</c:v>
                </c:pt>
                <c:pt idx="1386">
                  <c:v>208.38532110091739</c:v>
                </c:pt>
                <c:pt idx="1387">
                  <c:v>206.3302752293578</c:v>
                </c:pt>
                <c:pt idx="1388">
                  <c:v>207.64220183486239</c:v>
                </c:pt>
                <c:pt idx="1389">
                  <c:v>207.64220183486239</c:v>
                </c:pt>
                <c:pt idx="1390">
                  <c:v>207.64220183486239</c:v>
                </c:pt>
                <c:pt idx="1391">
                  <c:v>206.62385321100919</c:v>
                </c:pt>
                <c:pt idx="1392">
                  <c:v>198.77064220183487</c:v>
                </c:pt>
                <c:pt idx="1393">
                  <c:v>202.93577981651376</c:v>
                </c:pt>
                <c:pt idx="1394">
                  <c:v>205.39449541284404</c:v>
                </c:pt>
                <c:pt idx="1395">
                  <c:v>209.8256880733945</c:v>
                </c:pt>
                <c:pt idx="1396">
                  <c:v>209.8256880733945</c:v>
                </c:pt>
                <c:pt idx="1397">
                  <c:v>209.8256880733945</c:v>
                </c:pt>
                <c:pt idx="1398">
                  <c:v>210.12844036697248</c:v>
                </c:pt>
                <c:pt idx="1399">
                  <c:v>216.85321100917432</c:v>
                </c:pt>
                <c:pt idx="1400">
                  <c:v>217.92660550458714</c:v>
                </c:pt>
                <c:pt idx="1401">
                  <c:v>212.37614678899081</c:v>
                </c:pt>
                <c:pt idx="1402">
                  <c:v>212.38532110091742</c:v>
                </c:pt>
                <c:pt idx="1403">
                  <c:v>212.38532110091742</c:v>
                </c:pt>
                <c:pt idx="1404">
                  <c:v>212.38532110091742</c:v>
                </c:pt>
                <c:pt idx="1405">
                  <c:v>215.22935779816513</c:v>
                </c:pt>
                <c:pt idx="1406">
                  <c:v>207.55963302752295</c:v>
                </c:pt>
                <c:pt idx="1407">
                  <c:v>209.09174311926603</c:v>
                </c:pt>
                <c:pt idx="1408">
                  <c:v>197.62385321100916</c:v>
                </c:pt>
                <c:pt idx="1409">
                  <c:v>196.55963302752292</c:v>
                </c:pt>
                <c:pt idx="1410">
                  <c:v>196.55963302752292</c:v>
                </c:pt>
                <c:pt idx="1411">
                  <c:v>196.55963302752292</c:v>
                </c:pt>
                <c:pt idx="1412">
                  <c:v>203.10091743119267</c:v>
                </c:pt>
                <c:pt idx="1413">
                  <c:v>207.55963302752295</c:v>
                </c:pt>
                <c:pt idx="1414">
                  <c:v>206.74311926605503</c:v>
                </c:pt>
                <c:pt idx="1415">
                  <c:v>202.79816513761469</c:v>
                </c:pt>
                <c:pt idx="1416">
                  <c:v>212.46788990825686</c:v>
                </c:pt>
                <c:pt idx="1417">
                  <c:v>212.46788990825686</c:v>
                </c:pt>
                <c:pt idx="1418">
                  <c:v>212.46788990825686</c:v>
                </c:pt>
                <c:pt idx="1419">
                  <c:v>212.46788990825686</c:v>
                </c:pt>
                <c:pt idx="1420">
                  <c:v>203.07339449541283</c:v>
                </c:pt>
                <c:pt idx="1421">
                  <c:v>206.89908256880733</c:v>
                </c:pt>
                <c:pt idx="1422">
                  <c:v>224.29357798165137</c:v>
                </c:pt>
                <c:pt idx="1423">
                  <c:v>213.73394495412845</c:v>
                </c:pt>
                <c:pt idx="1424">
                  <c:v>213.73394495412845</c:v>
                </c:pt>
                <c:pt idx="1425">
                  <c:v>213.73394495412845</c:v>
                </c:pt>
                <c:pt idx="1426">
                  <c:v>221.88073394495413</c:v>
                </c:pt>
                <c:pt idx="1427">
                  <c:v>228.0366972477064</c:v>
                </c:pt>
                <c:pt idx="1428">
                  <c:v>228.97247706422021</c:v>
                </c:pt>
                <c:pt idx="1429">
                  <c:v>221.10091743119264</c:v>
                </c:pt>
                <c:pt idx="1430">
                  <c:v>229.79816513761469</c:v>
                </c:pt>
                <c:pt idx="1431">
                  <c:v>229.79816513761469</c:v>
                </c:pt>
                <c:pt idx="1432">
                  <c:v>229.79816513761469</c:v>
                </c:pt>
                <c:pt idx="1433">
                  <c:v>228.75229357798165</c:v>
                </c:pt>
                <c:pt idx="1434">
                  <c:v>228.20183486238531</c:v>
                </c:pt>
                <c:pt idx="1435">
                  <c:v>227.25688073394497</c:v>
                </c:pt>
                <c:pt idx="1436">
                  <c:v>229.13761467889907</c:v>
                </c:pt>
                <c:pt idx="1437">
                  <c:v>225.07339449541286</c:v>
                </c:pt>
                <c:pt idx="1438">
                  <c:v>225.07339449541286</c:v>
                </c:pt>
                <c:pt idx="1439">
                  <c:v>225.07339449541286</c:v>
                </c:pt>
                <c:pt idx="1440">
                  <c:v>221.26605504587155</c:v>
                </c:pt>
                <c:pt idx="1441">
                  <c:v>221.87155963302754</c:v>
                </c:pt>
                <c:pt idx="1442">
                  <c:v>222.16513761467888</c:v>
                </c:pt>
                <c:pt idx="1443">
                  <c:v>216.19266055045873</c:v>
                </c:pt>
                <c:pt idx="1444">
                  <c:v>217.00917431192659</c:v>
                </c:pt>
                <c:pt idx="1445">
                  <c:v>217.00917431192659</c:v>
                </c:pt>
                <c:pt idx="1446">
                  <c:v>217.00917431192659</c:v>
                </c:pt>
                <c:pt idx="1447">
                  <c:v>213.03669724770643</c:v>
                </c:pt>
                <c:pt idx="1448">
                  <c:v>222.0183486238532</c:v>
                </c:pt>
                <c:pt idx="1449">
                  <c:v>225.74311926605506</c:v>
                </c:pt>
                <c:pt idx="1450">
                  <c:v>226.22018348623857</c:v>
                </c:pt>
                <c:pt idx="1451">
                  <c:v>225.62385321100916</c:v>
                </c:pt>
                <c:pt idx="1452">
                  <c:v>225.62385321100916</c:v>
                </c:pt>
                <c:pt idx="1453">
                  <c:v>225.62385321100916</c:v>
                </c:pt>
                <c:pt idx="1454">
                  <c:v>222.1559633027523</c:v>
                </c:pt>
                <c:pt idx="1455">
                  <c:v>221.56880733944953</c:v>
                </c:pt>
                <c:pt idx="1456">
                  <c:v>228.51376146788991</c:v>
                </c:pt>
                <c:pt idx="1457">
                  <c:v>223.70642201834863</c:v>
                </c:pt>
                <c:pt idx="1458">
                  <c:v>223.70642201834863</c:v>
                </c:pt>
                <c:pt idx="1459">
                  <c:v>223.70642201834863</c:v>
                </c:pt>
                <c:pt idx="1460">
                  <c:v>223.70642201834863</c:v>
                </c:pt>
                <c:pt idx="1461">
                  <c:v>226.14678899082571</c:v>
                </c:pt>
                <c:pt idx="1462">
                  <c:v>221.48623853211009</c:v>
                </c:pt>
                <c:pt idx="1463">
                  <c:v>213.42201834862385</c:v>
                </c:pt>
                <c:pt idx="1464">
                  <c:v>209.20183486238534</c:v>
                </c:pt>
                <c:pt idx="1465">
                  <c:v>212.91743119266059</c:v>
                </c:pt>
                <c:pt idx="1466">
                  <c:v>212.91743119266059</c:v>
                </c:pt>
                <c:pt idx="1467">
                  <c:v>212.91743119266059</c:v>
                </c:pt>
                <c:pt idx="1468">
                  <c:v>199.55963302752295</c:v>
                </c:pt>
                <c:pt idx="1469">
                  <c:v>209.90825688073394</c:v>
                </c:pt>
                <c:pt idx="1470">
                  <c:v>206.95412844036701</c:v>
                </c:pt>
                <c:pt idx="1471">
                  <c:v>196.05504587155963</c:v>
                </c:pt>
                <c:pt idx="1472">
                  <c:v>214.23853211009174</c:v>
                </c:pt>
                <c:pt idx="1473">
                  <c:v>214.23853211009174</c:v>
                </c:pt>
                <c:pt idx="1474">
                  <c:v>214.23853211009174</c:v>
                </c:pt>
                <c:pt idx="1475">
                  <c:v>220.64220183486239</c:v>
                </c:pt>
                <c:pt idx="1476">
                  <c:v>225.50458715596332</c:v>
                </c:pt>
                <c:pt idx="1477">
                  <c:v>222.67889908256882</c:v>
                </c:pt>
                <c:pt idx="1478">
                  <c:v>226.46788990825689</c:v>
                </c:pt>
                <c:pt idx="1479">
                  <c:v>223.23853211009177</c:v>
                </c:pt>
                <c:pt idx="1480">
                  <c:v>223.23853211009177</c:v>
                </c:pt>
                <c:pt idx="1481">
                  <c:v>223.23853211009177</c:v>
                </c:pt>
                <c:pt idx="1482">
                  <c:v>216.83486238532109</c:v>
                </c:pt>
                <c:pt idx="1483">
                  <c:v>216.3302752293578</c:v>
                </c:pt>
                <c:pt idx="1484">
                  <c:v>219.18348623853211</c:v>
                </c:pt>
                <c:pt idx="1485">
                  <c:v>214.39449541284407</c:v>
                </c:pt>
                <c:pt idx="1486">
                  <c:v>211.11009174311928</c:v>
                </c:pt>
                <c:pt idx="1487">
                  <c:v>211.11009174311928</c:v>
                </c:pt>
                <c:pt idx="1488">
                  <c:v>211.11009174311928</c:v>
                </c:pt>
                <c:pt idx="1489">
                  <c:v>205.90825688073394</c:v>
                </c:pt>
                <c:pt idx="1490">
                  <c:v>206.16513761467891</c:v>
                </c:pt>
                <c:pt idx="1491">
                  <c:v>201.93577981651379</c:v>
                </c:pt>
                <c:pt idx="1492">
                  <c:v>204.56880733944951</c:v>
                </c:pt>
                <c:pt idx="1493">
                  <c:v>204.56880733944951</c:v>
                </c:pt>
                <c:pt idx="1494">
                  <c:v>204.56880733944951</c:v>
                </c:pt>
                <c:pt idx="1495">
                  <c:v>204.56880733944951</c:v>
                </c:pt>
                <c:pt idx="1496">
                  <c:v>205.57798165137618</c:v>
                </c:pt>
                <c:pt idx="1497">
                  <c:v>205.21100917431193</c:v>
                </c:pt>
                <c:pt idx="1498">
                  <c:v>203.61467889908255</c:v>
                </c:pt>
                <c:pt idx="1499">
                  <c:v>203.66972477064218</c:v>
                </c:pt>
                <c:pt idx="1500">
                  <c:v>197.61467889908258</c:v>
                </c:pt>
                <c:pt idx="1501">
                  <c:v>197.61467889908258</c:v>
                </c:pt>
                <c:pt idx="1502">
                  <c:v>197.61467889908258</c:v>
                </c:pt>
                <c:pt idx="1503">
                  <c:v>195.95412844036696</c:v>
                </c:pt>
                <c:pt idx="1504">
                  <c:v>194.92660550458714</c:v>
                </c:pt>
                <c:pt idx="1505">
                  <c:v>182.88990825688072</c:v>
                </c:pt>
                <c:pt idx="1506">
                  <c:v>177.52293577981649</c:v>
                </c:pt>
                <c:pt idx="1507">
                  <c:v>177.52293577981649</c:v>
                </c:pt>
                <c:pt idx="1508">
                  <c:v>177.52293577981649</c:v>
                </c:pt>
                <c:pt idx="1509">
                  <c:v>177.52293577981649</c:v>
                </c:pt>
                <c:pt idx="1510">
                  <c:v>181.10091743119267</c:v>
                </c:pt>
                <c:pt idx="1511">
                  <c:v>180.88990825688072</c:v>
                </c:pt>
                <c:pt idx="1512">
                  <c:v>181.13761467889907</c:v>
                </c:pt>
                <c:pt idx="1513">
                  <c:v>179.14678899082571</c:v>
                </c:pt>
                <c:pt idx="1514">
                  <c:v>179.14678899082571</c:v>
                </c:pt>
                <c:pt idx="1515">
                  <c:v>179.14678899082571</c:v>
                </c:pt>
                <c:pt idx="1516">
                  <c:v>179.14678899082571</c:v>
                </c:pt>
                <c:pt idx="1517">
                  <c:v>179.71559633027522</c:v>
                </c:pt>
                <c:pt idx="1518">
                  <c:v>180.55045871559633</c:v>
                </c:pt>
                <c:pt idx="1519">
                  <c:v>179.91743119266056</c:v>
                </c:pt>
                <c:pt idx="1520">
                  <c:v>181.55963302752295</c:v>
                </c:pt>
                <c:pt idx="1521">
                  <c:v>175.74311926605506</c:v>
                </c:pt>
                <c:pt idx="1522">
                  <c:v>175.74311926605506</c:v>
                </c:pt>
                <c:pt idx="1523">
                  <c:v>175.74311926605506</c:v>
                </c:pt>
                <c:pt idx="1524">
                  <c:v>171.07339449541283</c:v>
                </c:pt>
                <c:pt idx="1525">
                  <c:v>170.8073394495413</c:v>
                </c:pt>
                <c:pt idx="1526">
                  <c:v>175.08256880733944</c:v>
                </c:pt>
                <c:pt idx="1527">
                  <c:v>178.58715596330273</c:v>
                </c:pt>
                <c:pt idx="1528">
                  <c:v>175.67889908256882</c:v>
                </c:pt>
                <c:pt idx="1529">
                  <c:v>175.67889908256882</c:v>
                </c:pt>
                <c:pt idx="1530">
                  <c:v>175.67889908256882</c:v>
                </c:pt>
                <c:pt idx="1531">
                  <c:v>176.1376146788991</c:v>
                </c:pt>
                <c:pt idx="1532">
                  <c:v>173.63302752293578</c:v>
                </c:pt>
                <c:pt idx="1533">
                  <c:v>172.23853211009174</c:v>
                </c:pt>
                <c:pt idx="1534">
                  <c:v>171.24770642201835</c:v>
                </c:pt>
                <c:pt idx="1535">
                  <c:v>181.35779816513761</c:v>
                </c:pt>
                <c:pt idx="1536">
                  <c:v>181.35779816513761</c:v>
                </c:pt>
                <c:pt idx="1537">
                  <c:v>181.35779816513761</c:v>
                </c:pt>
                <c:pt idx="1538">
                  <c:v>184.1376146788991</c:v>
                </c:pt>
                <c:pt idx="1539">
                  <c:v>180.20183486238531</c:v>
                </c:pt>
                <c:pt idx="1540">
                  <c:v>193.3119266055046</c:v>
                </c:pt>
                <c:pt idx="1541">
                  <c:v>196.45871559633025</c:v>
                </c:pt>
                <c:pt idx="1542">
                  <c:v>199.04587155963301</c:v>
                </c:pt>
                <c:pt idx="1543">
                  <c:v>199.04587155963301</c:v>
                </c:pt>
                <c:pt idx="1544">
                  <c:v>199.04587155963301</c:v>
                </c:pt>
                <c:pt idx="1545">
                  <c:v>197.18348623853211</c:v>
                </c:pt>
                <c:pt idx="1546">
                  <c:v>197.18348623853211</c:v>
                </c:pt>
                <c:pt idx="1547">
                  <c:v>198.21100917431193</c:v>
                </c:pt>
                <c:pt idx="1548">
                  <c:v>196.40366972477065</c:v>
                </c:pt>
                <c:pt idx="1549">
                  <c:v>193.90825688073397</c:v>
                </c:pt>
                <c:pt idx="1550">
                  <c:v>193.90825688073397</c:v>
                </c:pt>
                <c:pt idx="1551">
                  <c:v>193.90825688073397</c:v>
                </c:pt>
                <c:pt idx="1552">
                  <c:v>194.1376146788991</c:v>
                </c:pt>
                <c:pt idx="1553">
                  <c:v>192.64220183486239</c:v>
                </c:pt>
                <c:pt idx="1554">
                  <c:v>196.49541284403671</c:v>
                </c:pt>
                <c:pt idx="1555">
                  <c:v>195.07339449541283</c:v>
                </c:pt>
                <c:pt idx="1556">
                  <c:v>198.29357798165137</c:v>
                </c:pt>
                <c:pt idx="1557">
                  <c:v>198.29357798165137</c:v>
                </c:pt>
                <c:pt idx="1558">
                  <c:v>198.29357798165137</c:v>
                </c:pt>
                <c:pt idx="1559">
                  <c:v>188.36697247706422</c:v>
                </c:pt>
                <c:pt idx="1560">
                  <c:v>191.88990825688072</c:v>
                </c:pt>
                <c:pt idx="1561">
                  <c:v>194.52293577981652</c:v>
                </c:pt>
                <c:pt idx="1562">
                  <c:v>192.32110091743121</c:v>
                </c:pt>
                <c:pt idx="1563">
                  <c:v>191.45871559633028</c:v>
                </c:pt>
                <c:pt idx="1564">
                  <c:v>191.45871559633028</c:v>
                </c:pt>
                <c:pt idx="1565">
                  <c:v>191.45871559633028</c:v>
                </c:pt>
                <c:pt idx="1566">
                  <c:v>188.93577981651376</c:v>
                </c:pt>
                <c:pt idx="1567">
                  <c:v>190.09174311926606</c:v>
                </c:pt>
                <c:pt idx="1568">
                  <c:v>189.73394495412845</c:v>
                </c:pt>
                <c:pt idx="1569">
                  <c:v>187.00917431192661</c:v>
                </c:pt>
                <c:pt idx="1570">
                  <c:v>185.19266055045873</c:v>
                </c:pt>
                <c:pt idx="1571">
                  <c:v>185.19266055045873</c:v>
                </c:pt>
                <c:pt idx="1572">
                  <c:v>185.19266055045873</c:v>
                </c:pt>
                <c:pt idx="1573">
                  <c:v>179.53211009174314</c:v>
                </c:pt>
                <c:pt idx="1574">
                  <c:v>177.6697247706422</c:v>
                </c:pt>
                <c:pt idx="1575">
                  <c:v>182.27522935779817</c:v>
                </c:pt>
                <c:pt idx="1576">
                  <c:v>180.38532110091742</c:v>
                </c:pt>
                <c:pt idx="1577">
                  <c:v>180.64220183486239</c:v>
                </c:pt>
                <c:pt idx="1578">
                  <c:v>180.64220183486239</c:v>
                </c:pt>
                <c:pt idx="1579">
                  <c:v>180.64220183486239</c:v>
                </c:pt>
                <c:pt idx="1580">
                  <c:v>181.46788990825689</c:v>
                </c:pt>
                <c:pt idx="1581">
                  <c:v>181.26605504587155</c:v>
                </c:pt>
                <c:pt idx="1582">
                  <c:v>181.42201834862385</c:v>
                </c:pt>
                <c:pt idx="1583">
                  <c:v>181.58715596330273</c:v>
                </c:pt>
                <c:pt idx="1584">
                  <c:v>178.52293577981652</c:v>
                </c:pt>
                <c:pt idx="1585">
                  <c:v>178.52293577981652</c:v>
                </c:pt>
                <c:pt idx="1586">
                  <c:v>178.52293577981652</c:v>
                </c:pt>
                <c:pt idx="1587">
                  <c:v>175.25688073394497</c:v>
                </c:pt>
                <c:pt idx="1588">
                  <c:v>175.1743119266055</c:v>
                </c:pt>
                <c:pt idx="1589">
                  <c:v>173.3302752293578</c:v>
                </c:pt>
                <c:pt idx="1590">
                  <c:v>170.08256880733944</c:v>
                </c:pt>
                <c:pt idx="1591">
                  <c:v>166.33027522935782</c:v>
                </c:pt>
                <c:pt idx="1592">
                  <c:v>166.33027522935782</c:v>
                </c:pt>
                <c:pt idx="1593">
                  <c:v>166.33027522935782</c:v>
                </c:pt>
                <c:pt idx="1594">
                  <c:v>165.84403669724773</c:v>
                </c:pt>
                <c:pt idx="1595">
                  <c:v>165.93577981651379</c:v>
                </c:pt>
                <c:pt idx="1596">
                  <c:v>164.55963302752295</c:v>
                </c:pt>
                <c:pt idx="1597">
                  <c:v>164.22018348623851</c:v>
                </c:pt>
                <c:pt idx="1598">
                  <c:v>164.00917431192661</c:v>
                </c:pt>
                <c:pt idx="1599">
                  <c:v>164.00917431192661</c:v>
                </c:pt>
                <c:pt idx="1600">
                  <c:v>164.00917431192661</c:v>
                </c:pt>
                <c:pt idx="1601">
                  <c:v>161.17431192660553</c:v>
                </c:pt>
                <c:pt idx="1602">
                  <c:v>161.22018348623851</c:v>
                </c:pt>
                <c:pt idx="1603">
                  <c:v>157.76146788990826</c:v>
                </c:pt>
                <c:pt idx="1604">
                  <c:v>156.88073394495413</c:v>
                </c:pt>
                <c:pt idx="1605">
                  <c:v>164.22018348623851</c:v>
                </c:pt>
                <c:pt idx="1606">
                  <c:v>164.22018348623851</c:v>
                </c:pt>
                <c:pt idx="1607">
                  <c:v>164.22018348623851</c:v>
                </c:pt>
                <c:pt idx="1608">
                  <c:v>165.83486238532112</c:v>
                </c:pt>
                <c:pt idx="1609">
                  <c:v>170.49541284403671</c:v>
                </c:pt>
                <c:pt idx="1610">
                  <c:v>171.88073394495413</c:v>
                </c:pt>
                <c:pt idx="1611">
                  <c:v>172.06422018348624</c:v>
                </c:pt>
                <c:pt idx="1612">
                  <c:v>165.23853211009177</c:v>
                </c:pt>
                <c:pt idx="1613">
                  <c:v>165.23853211009177</c:v>
                </c:pt>
                <c:pt idx="1614">
                  <c:v>165.23853211009177</c:v>
                </c:pt>
                <c:pt idx="1615">
                  <c:v>155.41284403669727</c:v>
                </c:pt>
                <c:pt idx="1616">
                  <c:v>156.30275229357801</c:v>
                </c:pt>
                <c:pt idx="1617">
                  <c:v>155.60550458715599</c:v>
                </c:pt>
                <c:pt idx="1618">
                  <c:v>155.04587155963304</c:v>
                </c:pt>
                <c:pt idx="1619">
                  <c:v>150.1743119266055</c:v>
                </c:pt>
                <c:pt idx="1620">
                  <c:v>150.1743119266055</c:v>
                </c:pt>
                <c:pt idx="1621">
                  <c:v>150.1743119266055</c:v>
                </c:pt>
                <c:pt idx="1622">
                  <c:v>152.82568807339453</c:v>
                </c:pt>
                <c:pt idx="1623">
                  <c:v>152.11926605504587</c:v>
                </c:pt>
                <c:pt idx="1624">
                  <c:v>152.21100917431193</c:v>
                </c:pt>
                <c:pt idx="1625">
                  <c:v>156.38532110091742</c:v>
                </c:pt>
                <c:pt idx="1626">
                  <c:v>156.38532110091742</c:v>
                </c:pt>
                <c:pt idx="1627">
                  <c:v>156.38532110091742</c:v>
                </c:pt>
                <c:pt idx="1628">
                  <c:v>156.38532110091742</c:v>
                </c:pt>
                <c:pt idx="1629">
                  <c:v>155.44954128440367</c:v>
                </c:pt>
                <c:pt idx="1630">
                  <c:v>152</c:v>
                </c:pt>
                <c:pt idx="1631">
                  <c:v>151.10091743119264</c:v>
                </c:pt>
                <c:pt idx="1632">
                  <c:v>151.34862385321102</c:v>
                </c:pt>
                <c:pt idx="1633">
                  <c:v>150.28440366972478</c:v>
                </c:pt>
                <c:pt idx="1634">
                  <c:v>150.28440366972478</c:v>
                </c:pt>
                <c:pt idx="1635">
                  <c:v>150.28440366972478</c:v>
                </c:pt>
                <c:pt idx="1636">
                  <c:v>151.55045871559633</c:v>
                </c:pt>
                <c:pt idx="1637">
                  <c:v>152.11009174311926</c:v>
                </c:pt>
                <c:pt idx="1638">
                  <c:v>149.12844036697248</c:v>
                </c:pt>
                <c:pt idx="1639">
                  <c:v>146.00917431192661</c:v>
                </c:pt>
                <c:pt idx="1640">
                  <c:v>148.16513761467891</c:v>
                </c:pt>
                <c:pt idx="1641">
                  <c:v>148.16513761467891</c:v>
                </c:pt>
                <c:pt idx="1642">
                  <c:v>148.16513761467891</c:v>
                </c:pt>
                <c:pt idx="1643">
                  <c:v>148.13761467889907</c:v>
                </c:pt>
                <c:pt idx="1644">
                  <c:v>151.51376146788991</c:v>
                </c:pt>
                <c:pt idx="1645">
                  <c:v>153.1926605504587</c:v>
                </c:pt>
                <c:pt idx="1646">
                  <c:v>154.49541284403671</c:v>
                </c:pt>
                <c:pt idx="1647">
                  <c:v>143.08256880733944</c:v>
                </c:pt>
                <c:pt idx="1648">
                  <c:v>143.08256880733944</c:v>
                </c:pt>
                <c:pt idx="1649">
                  <c:v>143.08256880733944</c:v>
                </c:pt>
                <c:pt idx="1650">
                  <c:v>151.1376146788991</c:v>
                </c:pt>
                <c:pt idx="1651">
                  <c:v>157.89908256880736</c:v>
                </c:pt>
                <c:pt idx="1652">
                  <c:v>156.23853211009177</c:v>
                </c:pt>
                <c:pt idx="1653">
                  <c:v>158.11926605504587</c:v>
                </c:pt>
                <c:pt idx="1654">
                  <c:v>153.40366972477065</c:v>
                </c:pt>
                <c:pt idx="1655">
                  <c:v>153.40366972477065</c:v>
                </c:pt>
                <c:pt idx="1656">
                  <c:v>153.40366972477065</c:v>
                </c:pt>
                <c:pt idx="1657">
                  <c:v>152.73394495412842</c:v>
                </c:pt>
                <c:pt idx="1658">
                  <c:v>150.81651376146789</c:v>
                </c:pt>
                <c:pt idx="1659">
                  <c:v>150.90825688073394</c:v>
                </c:pt>
                <c:pt idx="1660">
                  <c:v>149.09174311926606</c:v>
                </c:pt>
                <c:pt idx="1661">
                  <c:v>150.81651376146789</c:v>
                </c:pt>
                <c:pt idx="1662">
                  <c:v>150.81651376146789</c:v>
                </c:pt>
                <c:pt idx="1663">
                  <c:v>150.81651376146789</c:v>
                </c:pt>
                <c:pt idx="1664">
                  <c:v>148.38532110091745</c:v>
                </c:pt>
                <c:pt idx="1665">
                  <c:v>153.44954128440367</c:v>
                </c:pt>
                <c:pt idx="1666">
                  <c:v>151.69724770642202</c:v>
                </c:pt>
                <c:pt idx="1667">
                  <c:v>152.43119266055047</c:v>
                </c:pt>
                <c:pt idx="1668">
                  <c:v>154.22018348623854</c:v>
                </c:pt>
                <c:pt idx="1669">
                  <c:v>154.22018348623854</c:v>
                </c:pt>
                <c:pt idx="1670">
                  <c:v>154.22018348623854</c:v>
                </c:pt>
                <c:pt idx="1671">
                  <c:v>153.6697247706422</c:v>
                </c:pt>
                <c:pt idx="1672">
                  <c:v>151.46788990825689</c:v>
                </c:pt>
                <c:pt idx="1673">
                  <c:v>152.25688073394497</c:v>
                </c:pt>
                <c:pt idx="1674">
                  <c:v>150.6880733944954</c:v>
                </c:pt>
                <c:pt idx="1675">
                  <c:v>151.33027522935777</c:v>
                </c:pt>
                <c:pt idx="1676">
                  <c:v>151.33027522935777</c:v>
                </c:pt>
                <c:pt idx="1677">
                  <c:v>151.33027522935777</c:v>
                </c:pt>
                <c:pt idx="1678">
                  <c:v>147.36697247706419</c:v>
                </c:pt>
                <c:pt idx="1679">
                  <c:v>149.09174311926606</c:v>
                </c:pt>
                <c:pt idx="1680">
                  <c:v>143.00917431192661</c:v>
                </c:pt>
                <c:pt idx="1681">
                  <c:v>141.00917431192659</c:v>
                </c:pt>
                <c:pt idx="1682">
                  <c:v>134.64220183486236</c:v>
                </c:pt>
                <c:pt idx="1683">
                  <c:v>134.64220183486236</c:v>
                </c:pt>
                <c:pt idx="1684">
                  <c:v>134.64220183486236</c:v>
                </c:pt>
                <c:pt idx="1685">
                  <c:v>131.63302752293578</c:v>
                </c:pt>
                <c:pt idx="1686">
                  <c:v>131.23853211009177</c:v>
                </c:pt>
                <c:pt idx="1687">
                  <c:v>127.82568807339452</c:v>
                </c:pt>
                <c:pt idx="1688">
                  <c:v>127.82568807339452</c:v>
                </c:pt>
                <c:pt idx="1689">
                  <c:v>132.62385321100919</c:v>
                </c:pt>
                <c:pt idx="1690">
                  <c:v>132.62385321100919</c:v>
                </c:pt>
                <c:pt idx="1691">
                  <c:v>132.62385321100919</c:v>
                </c:pt>
                <c:pt idx="1692">
                  <c:v>134.56880733944953</c:v>
                </c:pt>
                <c:pt idx="1693">
                  <c:v>139.22018348623851</c:v>
                </c:pt>
                <c:pt idx="1694">
                  <c:v>134.47706422018351</c:v>
                </c:pt>
                <c:pt idx="1695">
                  <c:v>139.58715596330276</c:v>
                </c:pt>
                <c:pt idx="1696">
                  <c:v>141.12844036697248</c:v>
                </c:pt>
                <c:pt idx="1697">
                  <c:v>141.12844036697248</c:v>
                </c:pt>
                <c:pt idx="1698">
                  <c:v>141.12844036697248</c:v>
                </c:pt>
                <c:pt idx="1699">
                  <c:v>145.2935779816514</c:v>
                </c:pt>
                <c:pt idx="1700">
                  <c:v>146.30275229357798</c:v>
                </c:pt>
                <c:pt idx="1701">
                  <c:v>144.11926605504587</c:v>
                </c:pt>
                <c:pt idx="1702">
                  <c:v>144.3302752293578</c:v>
                </c:pt>
                <c:pt idx="1703">
                  <c:v>139.10091743119267</c:v>
                </c:pt>
                <c:pt idx="1704">
                  <c:v>139.10091743119267</c:v>
                </c:pt>
                <c:pt idx="1705">
                  <c:v>139.10091743119267</c:v>
                </c:pt>
                <c:pt idx="1706">
                  <c:v>139.78899082568807</c:v>
                </c:pt>
                <c:pt idx="1707">
                  <c:v>139.19266055045873</c:v>
                </c:pt>
                <c:pt idx="1708">
                  <c:v>138.89908256880733</c:v>
                </c:pt>
                <c:pt idx="1709">
                  <c:v>137.58715596330276</c:v>
                </c:pt>
                <c:pt idx="1710">
                  <c:v>137.24770642201833</c:v>
                </c:pt>
                <c:pt idx="1711">
                  <c:v>137.24770642201833</c:v>
                </c:pt>
                <c:pt idx="1712">
                  <c:v>137.24770642201833</c:v>
                </c:pt>
                <c:pt idx="1713">
                  <c:v>146.73394495412845</c:v>
                </c:pt>
                <c:pt idx="1714">
                  <c:v>136.80733944954127</c:v>
                </c:pt>
                <c:pt idx="1715">
                  <c:v>135.17431192660553</c:v>
                </c:pt>
                <c:pt idx="1716">
                  <c:v>135.78899082568807</c:v>
                </c:pt>
                <c:pt idx="1717">
                  <c:v>131.77981651376146</c:v>
                </c:pt>
                <c:pt idx="1718">
                  <c:v>131.77981651376146</c:v>
                </c:pt>
                <c:pt idx="1719">
                  <c:v>131.77981651376146</c:v>
                </c:pt>
                <c:pt idx="1720">
                  <c:v>132.44036697247708</c:v>
                </c:pt>
                <c:pt idx="1721">
                  <c:v>132.43119266055047</c:v>
                </c:pt>
                <c:pt idx="1722">
                  <c:v>132.90825688073394</c:v>
                </c:pt>
                <c:pt idx="1723">
                  <c:v>130.12844036697248</c:v>
                </c:pt>
                <c:pt idx="1724">
                  <c:v>130.12844036697248</c:v>
                </c:pt>
                <c:pt idx="1725">
                  <c:v>130.12844036697248</c:v>
                </c:pt>
                <c:pt idx="1726">
                  <c:v>130.12844036697248</c:v>
                </c:pt>
                <c:pt idx="1727">
                  <c:v>126.8440366972477</c:v>
                </c:pt>
                <c:pt idx="1728">
                  <c:v>127.12844036697246</c:v>
                </c:pt>
                <c:pt idx="1729">
                  <c:v>125.71559633027522</c:v>
                </c:pt>
                <c:pt idx="1730">
                  <c:v>127.43119266055048</c:v>
                </c:pt>
                <c:pt idx="1731">
                  <c:v>124.77064220183487</c:v>
                </c:pt>
                <c:pt idx="1732">
                  <c:v>124.77064220183487</c:v>
                </c:pt>
                <c:pt idx="1733">
                  <c:v>124.77064220183487</c:v>
                </c:pt>
                <c:pt idx="1734">
                  <c:v>122.08256880733946</c:v>
                </c:pt>
                <c:pt idx="1735">
                  <c:v>117.1743119266055</c:v>
                </c:pt>
                <c:pt idx="1736">
                  <c:v>125.51376146788991</c:v>
                </c:pt>
                <c:pt idx="1737">
                  <c:v>123.22018348623854</c:v>
                </c:pt>
                <c:pt idx="1738">
                  <c:v>117.3302752293578</c:v>
                </c:pt>
                <c:pt idx="1739">
                  <c:v>117.3302752293578</c:v>
                </c:pt>
                <c:pt idx="1740">
                  <c:v>117.3302752293578</c:v>
                </c:pt>
                <c:pt idx="1741">
                  <c:v>116.05504587155964</c:v>
                </c:pt>
                <c:pt idx="1742">
                  <c:v>111.27522935779817</c:v>
                </c:pt>
                <c:pt idx="1743">
                  <c:v>94.440366972477065</c:v>
                </c:pt>
                <c:pt idx="1744">
                  <c:v>94.284403669724767</c:v>
                </c:pt>
                <c:pt idx="1745">
                  <c:v>95.284403669724767</c:v>
                </c:pt>
                <c:pt idx="1746">
                  <c:v>95.284403669724767</c:v>
                </c:pt>
                <c:pt idx="1747">
                  <c:v>95.284403669724767</c:v>
                </c:pt>
                <c:pt idx="1748">
                  <c:v>95.275229357798167</c:v>
                </c:pt>
                <c:pt idx="1749">
                  <c:v>95.642201834862391</c:v>
                </c:pt>
                <c:pt idx="1750">
                  <c:v>94.935779816513772</c:v>
                </c:pt>
                <c:pt idx="1751">
                  <c:v>97.834862385321102</c:v>
                </c:pt>
                <c:pt idx="1752">
                  <c:v>95.688073394495405</c:v>
                </c:pt>
                <c:pt idx="1753">
                  <c:v>95.688073394495405</c:v>
                </c:pt>
                <c:pt idx="1754">
                  <c:v>95.688073394495405</c:v>
                </c:pt>
                <c:pt idx="1755">
                  <c:v>96.917431192660558</c:v>
                </c:pt>
                <c:pt idx="1756">
                  <c:v>95.431192660550451</c:v>
                </c:pt>
                <c:pt idx="1757">
                  <c:v>96.091743119266056</c:v>
                </c:pt>
                <c:pt idx="1758">
                  <c:v>94.449541284403665</c:v>
                </c:pt>
                <c:pt idx="1759">
                  <c:v>93.284403669724782</c:v>
                </c:pt>
                <c:pt idx="1760">
                  <c:v>93.284403669724782</c:v>
                </c:pt>
                <c:pt idx="1761">
                  <c:v>93.284403669724782</c:v>
                </c:pt>
                <c:pt idx="1762">
                  <c:v>92.899082568807344</c:v>
                </c:pt>
                <c:pt idx="1763">
                  <c:v>91.449541284403679</c:v>
                </c:pt>
                <c:pt idx="1764">
                  <c:v>91.091743119266056</c:v>
                </c:pt>
                <c:pt idx="1765">
                  <c:v>91.036697247706428</c:v>
                </c:pt>
                <c:pt idx="1766">
                  <c:v>87.605504587155963</c:v>
                </c:pt>
                <c:pt idx="1767">
                  <c:v>87.605504587155963</c:v>
                </c:pt>
                <c:pt idx="1768">
                  <c:v>87.605504587155963</c:v>
                </c:pt>
                <c:pt idx="1769">
                  <c:v>87.605504587155963</c:v>
                </c:pt>
                <c:pt idx="1770">
                  <c:v>89.275229357798167</c:v>
                </c:pt>
                <c:pt idx="1771">
                  <c:v>90.018348623853214</c:v>
                </c:pt>
                <c:pt idx="1772">
                  <c:v>89.697247706422019</c:v>
                </c:pt>
                <c:pt idx="1773">
                  <c:v>92.045871559633028</c:v>
                </c:pt>
                <c:pt idx="1774">
                  <c:v>92.045871559633028</c:v>
                </c:pt>
                <c:pt idx="1775">
                  <c:v>92.045871559633028</c:v>
                </c:pt>
                <c:pt idx="1776">
                  <c:v>92.440366972477079</c:v>
                </c:pt>
                <c:pt idx="1777">
                  <c:v>91.77064220183486</c:v>
                </c:pt>
                <c:pt idx="1778">
                  <c:v>92.458715596330279</c:v>
                </c:pt>
                <c:pt idx="1779">
                  <c:v>99.431192660550451</c:v>
                </c:pt>
                <c:pt idx="1780">
                  <c:v>99.935779816513772</c:v>
                </c:pt>
                <c:pt idx="1781">
                  <c:v>99.935779816513772</c:v>
                </c:pt>
                <c:pt idx="1782">
                  <c:v>99.935779816513772</c:v>
                </c:pt>
                <c:pt idx="1783">
                  <c:v>100.36697247706424</c:v>
                </c:pt>
                <c:pt idx="1784">
                  <c:v>98.477064220183479</c:v>
                </c:pt>
                <c:pt idx="1785">
                  <c:v>98.798165137614674</c:v>
                </c:pt>
                <c:pt idx="1786">
                  <c:v>99.311926605504581</c:v>
                </c:pt>
                <c:pt idx="1787">
                  <c:v>98.596330275229363</c:v>
                </c:pt>
                <c:pt idx="1788">
                  <c:v>98.596330275229363</c:v>
                </c:pt>
                <c:pt idx="1789">
                  <c:v>98.596330275229363</c:v>
                </c:pt>
                <c:pt idx="1790">
                  <c:v>98.247706422018354</c:v>
                </c:pt>
                <c:pt idx="1791">
                  <c:v>99.146788990825684</c:v>
                </c:pt>
                <c:pt idx="1792">
                  <c:v>97.165137614678898</c:v>
                </c:pt>
                <c:pt idx="1793">
                  <c:v>100.41284403669725</c:v>
                </c:pt>
                <c:pt idx="1794">
                  <c:v>97.311926605504581</c:v>
                </c:pt>
                <c:pt idx="1795">
                  <c:v>97.311926605504581</c:v>
                </c:pt>
                <c:pt idx="1796">
                  <c:v>97.311926605504581</c:v>
                </c:pt>
                <c:pt idx="1797">
                  <c:v>95.238532110091739</c:v>
                </c:pt>
                <c:pt idx="1798">
                  <c:v>94.082568807339456</c:v>
                </c:pt>
                <c:pt idx="1799">
                  <c:v>93.376146788990823</c:v>
                </c:pt>
                <c:pt idx="1800">
                  <c:v>93.440366972477065</c:v>
                </c:pt>
                <c:pt idx="1801">
                  <c:v>90.935779816513758</c:v>
                </c:pt>
                <c:pt idx="1802">
                  <c:v>90.935779816513758</c:v>
                </c:pt>
                <c:pt idx="1803">
                  <c:v>90.935779816513758</c:v>
                </c:pt>
                <c:pt idx="1804">
                  <c:v>90.403669724770651</c:v>
                </c:pt>
                <c:pt idx="1805">
                  <c:v>90.422018348623851</c:v>
                </c:pt>
                <c:pt idx="1806">
                  <c:v>90.587155963302749</c:v>
                </c:pt>
                <c:pt idx="1807">
                  <c:v>89.605504587155963</c:v>
                </c:pt>
                <c:pt idx="1808">
                  <c:v>90.302752293577996</c:v>
                </c:pt>
                <c:pt idx="1809">
                  <c:v>90.302752293577996</c:v>
                </c:pt>
                <c:pt idx="1810">
                  <c:v>90.302752293577996</c:v>
                </c:pt>
                <c:pt idx="1811">
                  <c:v>90.825688073394488</c:v>
                </c:pt>
                <c:pt idx="1812">
                  <c:v>94.302752293577981</c:v>
                </c:pt>
                <c:pt idx="1813">
                  <c:v>93.10091743119267</c:v>
                </c:pt>
                <c:pt idx="1814">
                  <c:v>95.788990825688074</c:v>
                </c:pt>
                <c:pt idx="1815">
                  <c:v>93.082568807339442</c:v>
                </c:pt>
                <c:pt idx="1816">
                  <c:v>93.082568807339442</c:v>
                </c:pt>
                <c:pt idx="1817">
                  <c:v>93.082568807339442</c:v>
                </c:pt>
                <c:pt idx="1818">
                  <c:v>92.192660550458712</c:v>
                </c:pt>
                <c:pt idx="1819">
                  <c:v>101.61467889908258</c:v>
                </c:pt>
                <c:pt idx="1820">
                  <c:v>101.89908256880733</c:v>
                </c:pt>
                <c:pt idx="1821">
                  <c:v>98.376146788990823</c:v>
                </c:pt>
                <c:pt idx="1822">
                  <c:v>98.376146788990823</c:v>
                </c:pt>
                <c:pt idx="1823">
                  <c:v>98.376146788990823</c:v>
                </c:pt>
                <c:pt idx="1824">
                  <c:v>98.376146788990823</c:v>
                </c:pt>
                <c:pt idx="1825">
                  <c:v>98.394495412844037</c:v>
                </c:pt>
                <c:pt idx="1826">
                  <c:v>100</c:v>
                </c:pt>
              </c:numCache>
            </c:numRef>
          </c:val>
          <c:smooth val="0"/>
          <c:extLst>
            <c:ext xmlns:c16="http://schemas.microsoft.com/office/drawing/2014/chart" uri="{C3380CC4-5D6E-409C-BE32-E72D297353CC}">
              <c16:uniqueId val="{00000001-7F42-4D4F-88A4-F1EFF1B99B9D}"/>
            </c:ext>
          </c:extLst>
        </c:ser>
        <c:ser>
          <c:idx val="2"/>
          <c:order val="2"/>
          <c:tx>
            <c:strRef>
              <c:f>Indexed!$E$3</c:f>
              <c:strCache>
                <c:ptCount val="1"/>
                <c:pt idx="0">
                  <c:v>AMD</c:v>
                </c:pt>
              </c:strCache>
            </c:strRef>
          </c:tx>
          <c:spPr>
            <a:ln w="28575" cap="rnd">
              <a:solidFill>
                <a:schemeClr val="accent3"/>
              </a:solidFill>
              <a:round/>
            </a:ln>
            <a:effectLst/>
          </c:spPr>
          <c:marker>
            <c:symbol val="none"/>
          </c:marker>
          <c:cat>
            <c:numRef>
              <c:f>Indexed!$B$4:$B$1830</c:f>
              <c:numCache>
                <c:formatCode>[$-14009]dddd\,\ d\ mmmm\,\ yyyy;@</c:formatCode>
                <c:ptCount val="1827"/>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formatCode="m/d/yyyy">
                  <c:v>43351</c:v>
                </c:pt>
                <c:pt idx="1257" formatCode="m/d/yyyy">
                  <c:v>43350</c:v>
                </c:pt>
                <c:pt idx="1258" formatCode="m/d/yyyy">
                  <c:v>43349</c:v>
                </c:pt>
                <c:pt idx="1259" formatCode="m/d/yyyy">
                  <c:v>43348</c:v>
                </c:pt>
                <c:pt idx="1260" formatCode="m/d/yyyy">
                  <c:v>43347</c:v>
                </c:pt>
                <c:pt idx="1261" formatCode="m/d/yyyy">
                  <c:v>43346</c:v>
                </c:pt>
                <c:pt idx="1262" formatCode="m/d/yyyy">
                  <c:v>43345</c:v>
                </c:pt>
                <c:pt idx="1263" formatCode="m/d/yyyy">
                  <c:v>43344</c:v>
                </c:pt>
                <c:pt idx="1264" formatCode="m/d/yyyy">
                  <c:v>43343</c:v>
                </c:pt>
                <c:pt idx="1265" formatCode="m/d/yyyy">
                  <c:v>43342</c:v>
                </c:pt>
                <c:pt idx="1266" formatCode="m/d/yyyy">
                  <c:v>43341</c:v>
                </c:pt>
                <c:pt idx="1267" formatCode="m/d/yyyy">
                  <c:v>43340</c:v>
                </c:pt>
                <c:pt idx="1268" formatCode="m/d/yyyy">
                  <c:v>43339</c:v>
                </c:pt>
                <c:pt idx="1269" formatCode="m/d/yyyy">
                  <c:v>43338</c:v>
                </c:pt>
                <c:pt idx="1270" formatCode="m/d/yyyy">
                  <c:v>43337</c:v>
                </c:pt>
                <c:pt idx="1271" formatCode="m/d/yyyy">
                  <c:v>43336</c:v>
                </c:pt>
                <c:pt idx="1272" formatCode="m/d/yyyy">
                  <c:v>43335</c:v>
                </c:pt>
                <c:pt idx="1273" formatCode="m/d/yyyy">
                  <c:v>43334</c:v>
                </c:pt>
                <c:pt idx="1274" formatCode="m/d/yyyy">
                  <c:v>43333</c:v>
                </c:pt>
                <c:pt idx="1275" formatCode="m/d/yyyy">
                  <c:v>43332</c:v>
                </c:pt>
                <c:pt idx="1276" formatCode="m/d/yyyy">
                  <c:v>43331</c:v>
                </c:pt>
                <c:pt idx="1277" formatCode="m/d/yyyy">
                  <c:v>43330</c:v>
                </c:pt>
                <c:pt idx="1278" formatCode="m/d/yyyy">
                  <c:v>43329</c:v>
                </c:pt>
                <c:pt idx="1279" formatCode="m/d/yyyy">
                  <c:v>43328</c:v>
                </c:pt>
                <c:pt idx="1280" formatCode="m/d/yyyy">
                  <c:v>43327</c:v>
                </c:pt>
                <c:pt idx="1281" formatCode="m/d/yyyy">
                  <c:v>43326</c:v>
                </c:pt>
                <c:pt idx="1282" formatCode="m/d/yyyy">
                  <c:v>43325</c:v>
                </c:pt>
                <c:pt idx="1283" formatCode="m/d/yyyy">
                  <c:v>43324</c:v>
                </c:pt>
                <c:pt idx="1284" formatCode="m/d/yyyy">
                  <c:v>43323</c:v>
                </c:pt>
                <c:pt idx="1285" formatCode="m/d/yyyy">
                  <c:v>43322</c:v>
                </c:pt>
                <c:pt idx="1286" formatCode="m/d/yyyy">
                  <c:v>43321</c:v>
                </c:pt>
                <c:pt idx="1287" formatCode="m/d/yyyy">
                  <c:v>43320</c:v>
                </c:pt>
                <c:pt idx="1288" formatCode="m/d/yyyy">
                  <c:v>43319</c:v>
                </c:pt>
                <c:pt idx="1289" formatCode="m/d/yyyy">
                  <c:v>43318</c:v>
                </c:pt>
                <c:pt idx="1290" formatCode="m/d/yyyy">
                  <c:v>43317</c:v>
                </c:pt>
                <c:pt idx="1291" formatCode="m/d/yyyy">
                  <c:v>43316</c:v>
                </c:pt>
                <c:pt idx="1292" formatCode="m/d/yyyy">
                  <c:v>43315</c:v>
                </c:pt>
                <c:pt idx="1293" formatCode="m/d/yyyy">
                  <c:v>43314</c:v>
                </c:pt>
                <c:pt idx="1294" formatCode="m/d/yyyy">
                  <c:v>43313</c:v>
                </c:pt>
                <c:pt idx="1295" formatCode="m/d/yyyy">
                  <c:v>43312</c:v>
                </c:pt>
                <c:pt idx="1296" formatCode="m/d/yyyy">
                  <c:v>43311</c:v>
                </c:pt>
                <c:pt idx="1297" formatCode="m/d/yyyy">
                  <c:v>43310</c:v>
                </c:pt>
                <c:pt idx="1298" formatCode="m/d/yyyy">
                  <c:v>43309</c:v>
                </c:pt>
                <c:pt idx="1299" formatCode="m/d/yyyy">
                  <c:v>43308</c:v>
                </c:pt>
                <c:pt idx="1300" formatCode="m/d/yyyy">
                  <c:v>43307</c:v>
                </c:pt>
                <c:pt idx="1301" formatCode="m/d/yyyy">
                  <c:v>43306</c:v>
                </c:pt>
                <c:pt idx="1302" formatCode="m/d/yyyy">
                  <c:v>43305</c:v>
                </c:pt>
                <c:pt idx="1303" formatCode="m/d/yyyy">
                  <c:v>43304</c:v>
                </c:pt>
                <c:pt idx="1304" formatCode="m/d/yyyy">
                  <c:v>43303</c:v>
                </c:pt>
                <c:pt idx="1305" formatCode="m/d/yyyy">
                  <c:v>43302</c:v>
                </c:pt>
                <c:pt idx="1306" formatCode="m/d/yyyy">
                  <c:v>43301</c:v>
                </c:pt>
                <c:pt idx="1307" formatCode="m/d/yyyy">
                  <c:v>43300</c:v>
                </c:pt>
                <c:pt idx="1308" formatCode="m/d/yyyy">
                  <c:v>43299</c:v>
                </c:pt>
                <c:pt idx="1309" formatCode="m/d/yyyy">
                  <c:v>43298</c:v>
                </c:pt>
                <c:pt idx="1310" formatCode="m/d/yyyy">
                  <c:v>43297</c:v>
                </c:pt>
                <c:pt idx="1311" formatCode="m/d/yyyy">
                  <c:v>43296</c:v>
                </c:pt>
                <c:pt idx="1312" formatCode="m/d/yyyy">
                  <c:v>43295</c:v>
                </c:pt>
                <c:pt idx="1313" formatCode="m/d/yyyy">
                  <c:v>43294</c:v>
                </c:pt>
                <c:pt idx="1314" formatCode="m/d/yyyy">
                  <c:v>43293</c:v>
                </c:pt>
                <c:pt idx="1315" formatCode="m/d/yyyy">
                  <c:v>43292</c:v>
                </c:pt>
                <c:pt idx="1316" formatCode="m/d/yyyy">
                  <c:v>43291</c:v>
                </c:pt>
                <c:pt idx="1317" formatCode="m/d/yyyy">
                  <c:v>43290</c:v>
                </c:pt>
                <c:pt idx="1318" formatCode="m/d/yyyy">
                  <c:v>43289</c:v>
                </c:pt>
                <c:pt idx="1319" formatCode="m/d/yyyy">
                  <c:v>43288</c:v>
                </c:pt>
                <c:pt idx="1320" formatCode="m/d/yyyy">
                  <c:v>43287</c:v>
                </c:pt>
                <c:pt idx="1321" formatCode="m/d/yyyy">
                  <c:v>43286</c:v>
                </c:pt>
                <c:pt idx="1322" formatCode="m/d/yyyy">
                  <c:v>43285</c:v>
                </c:pt>
                <c:pt idx="1323" formatCode="m/d/yyyy">
                  <c:v>43284</c:v>
                </c:pt>
                <c:pt idx="1324" formatCode="m/d/yyyy">
                  <c:v>43283</c:v>
                </c:pt>
                <c:pt idx="1325" formatCode="m/d/yyyy">
                  <c:v>43282</c:v>
                </c:pt>
                <c:pt idx="1326" formatCode="m/d/yyyy">
                  <c:v>43281</c:v>
                </c:pt>
                <c:pt idx="1327" formatCode="m/d/yyyy">
                  <c:v>43280</c:v>
                </c:pt>
                <c:pt idx="1328" formatCode="m/d/yyyy">
                  <c:v>43279</c:v>
                </c:pt>
                <c:pt idx="1329" formatCode="m/d/yyyy">
                  <c:v>43278</c:v>
                </c:pt>
                <c:pt idx="1330" formatCode="m/d/yyyy">
                  <c:v>43277</c:v>
                </c:pt>
                <c:pt idx="1331" formatCode="m/d/yyyy">
                  <c:v>43276</c:v>
                </c:pt>
                <c:pt idx="1332" formatCode="m/d/yyyy">
                  <c:v>43275</c:v>
                </c:pt>
                <c:pt idx="1333" formatCode="m/d/yyyy">
                  <c:v>43274</c:v>
                </c:pt>
                <c:pt idx="1334" formatCode="m/d/yyyy">
                  <c:v>43273</c:v>
                </c:pt>
                <c:pt idx="1335" formatCode="m/d/yyyy">
                  <c:v>43272</c:v>
                </c:pt>
                <c:pt idx="1336" formatCode="m/d/yyyy">
                  <c:v>43271</c:v>
                </c:pt>
                <c:pt idx="1337" formatCode="m/d/yyyy">
                  <c:v>43270</c:v>
                </c:pt>
                <c:pt idx="1338" formatCode="m/d/yyyy">
                  <c:v>43269</c:v>
                </c:pt>
                <c:pt idx="1339" formatCode="m/d/yyyy">
                  <c:v>43268</c:v>
                </c:pt>
                <c:pt idx="1340" formatCode="m/d/yyyy">
                  <c:v>43267</c:v>
                </c:pt>
                <c:pt idx="1341" formatCode="m/d/yyyy">
                  <c:v>43266</c:v>
                </c:pt>
                <c:pt idx="1342" formatCode="m/d/yyyy">
                  <c:v>43265</c:v>
                </c:pt>
                <c:pt idx="1343" formatCode="m/d/yyyy">
                  <c:v>43264</c:v>
                </c:pt>
                <c:pt idx="1344" formatCode="m/d/yyyy">
                  <c:v>43263</c:v>
                </c:pt>
                <c:pt idx="1345" formatCode="m/d/yyyy">
                  <c:v>43262</c:v>
                </c:pt>
                <c:pt idx="1346" formatCode="m/d/yyyy">
                  <c:v>43261</c:v>
                </c:pt>
                <c:pt idx="1347" formatCode="m/d/yyyy">
                  <c:v>43260</c:v>
                </c:pt>
                <c:pt idx="1348" formatCode="m/d/yyyy">
                  <c:v>43259</c:v>
                </c:pt>
                <c:pt idx="1349" formatCode="m/d/yyyy">
                  <c:v>43258</c:v>
                </c:pt>
                <c:pt idx="1350" formatCode="m/d/yyyy">
                  <c:v>43257</c:v>
                </c:pt>
                <c:pt idx="1351" formatCode="m/d/yyyy">
                  <c:v>43256</c:v>
                </c:pt>
                <c:pt idx="1352" formatCode="m/d/yyyy">
                  <c:v>43255</c:v>
                </c:pt>
                <c:pt idx="1353" formatCode="m/d/yyyy">
                  <c:v>43254</c:v>
                </c:pt>
                <c:pt idx="1354" formatCode="m/d/yyyy">
                  <c:v>43253</c:v>
                </c:pt>
                <c:pt idx="1355" formatCode="m/d/yyyy">
                  <c:v>43252</c:v>
                </c:pt>
                <c:pt idx="1356" formatCode="m/d/yyyy">
                  <c:v>43251</c:v>
                </c:pt>
                <c:pt idx="1357" formatCode="m/d/yyyy">
                  <c:v>43250</c:v>
                </c:pt>
                <c:pt idx="1358" formatCode="m/d/yyyy">
                  <c:v>43249</c:v>
                </c:pt>
                <c:pt idx="1359" formatCode="m/d/yyyy">
                  <c:v>43248</c:v>
                </c:pt>
                <c:pt idx="1360" formatCode="m/d/yyyy">
                  <c:v>43247</c:v>
                </c:pt>
                <c:pt idx="1361" formatCode="m/d/yyyy">
                  <c:v>43246</c:v>
                </c:pt>
                <c:pt idx="1362" formatCode="m/d/yyyy">
                  <c:v>43245</c:v>
                </c:pt>
                <c:pt idx="1363" formatCode="m/d/yyyy">
                  <c:v>43244</c:v>
                </c:pt>
                <c:pt idx="1364" formatCode="m/d/yyyy">
                  <c:v>43243</c:v>
                </c:pt>
                <c:pt idx="1365" formatCode="m/d/yyyy">
                  <c:v>43242</c:v>
                </c:pt>
                <c:pt idx="1366" formatCode="m/d/yyyy">
                  <c:v>43241</c:v>
                </c:pt>
                <c:pt idx="1367" formatCode="m/d/yyyy">
                  <c:v>43240</c:v>
                </c:pt>
                <c:pt idx="1368" formatCode="m/d/yyyy">
                  <c:v>43239</c:v>
                </c:pt>
                <c:pt idx="1369" formatCode="m/d/yyyy">
                  <c:v>43238</c:v>
                </c:pt>
                <c:pt idx="1370" formatCode="m/d/yyyy">
                  <c:v>43237</c:v>
                </c:pt>
                <c:pt idx="1371" formatCode="m/d/yyyy">
                  <c:v>43236</c:v>
                </c:pt>
                <c:pt idx="1372" formatCode="m/d/yyyy">
                  <c:v>43235</c:v>
                </c:pt>
                <c:pt idx="1373" formatCode="m/d/yyyy">
                  <c:v>43234</c:v>
                </c:pt>
                <c:pt idx="1374" formatCode="m/d/yyyy">
                  <c:v>43233</c:v>
                </c:pt>
                <c:pt idx="1375" formatCode="m/d/yyyy">
                  <c:v>43232</c:v>
                </c:pt>
                <c:pt idx="1376" formatCode="m/d/yyyy">
                  <c:v>43231</c:v>
                </c:pt>
                <c:pt idx="1377" formatCode="m/d/yyyy">
                  <c:v>43230</c:v>
                </c:pt>
                <c:pt idx="1378" formatCode="m/d/yyyy">
                  <c:v>43229</c:v>
                </c:pt>
                <c:pt idx="1379" formatCode="m/d/yyyy">
                  <c:v>43228</c:v>
                </c:pt>
                <c:pt idx="1380" formatCode="m/d/yyyy">
                  <c:v>43227</c:v>
                </c:pt>
                <c:pt idx="1381" formatCode="m/d/yyyy">
                  <c:v>43226</c:v>
                </c:pt>
                <c:pt idx="1382" formatCode="m/d/yyyy">
                  <c:v>43225</c:v>
                </c:pt>
                <c:pt idx="1383" formatCode="m/d/yyyy">
                  <c:v>43224</c:v>
                </c:pt>
                <c:pt idx="1384" formatCode="m/d/yyyy">
                  <c:v>43223</c:v>
                </c:pt>
                <c:pt idx="1385" formatCode="m/d/yyyy">
                  <c:v>43222</c:v>
                </c:pt>
                <c:pt idx="1386" formatCode="m/d/yyyy">
                  <c:v>43221</c:v>
                </c:pt>
                <c:pt idx="1387" formatCode="m/d/yyyy">
                  <c:v>43220</c:v>
                </c:pt>
                <c:pt idx="1388" formatCode="m/d/yyyy">
                  <c:v>43219</c:v>
                </c:pt>
                <c:pt idx="1389" formatCode="m/d/yyyy">
                  <c:v>43218</c:v>
                </c:pt>
                <c:pt idx="1390" formatCode="m/d/yyyy">
                  <c:v>43217</c:v>
                </c:pt>
                <c:pt idx="1391" formatCode="m/d/yyyy">
                  <c:v>43216</c:v>
                </c:pt>
                <c:pt idx="1392" formatCode="m/d/yyyy">
                  <c:v>43215</c:v>
                </c:pt>
                <c:pt idx="1393" formatCode="m/d/yyyy">
                  <c:v>43214</c:v>
                </c:pt>
                <c:pt idx="1394" formatCode="m/d/yyyy">
                  <c:v>43213</c:v>
                </c:pt>
                <c:pt idx="1395" formatCode="m/d/yyyy">
                  <c:v>43212</c:v>
                </c:pt>
                <c:pt idx="1396" formatCode="m/d/yyyy">
                  <c:v>43211</c:v>
                </c:pt>
                <c:pt idx="1397" formatCode="m/d/yyyy">
                  <c:v>43210</c:v>
                </c:pt>
                <c:pt idx="1398" formatCode="m/d/yyyy">
                  <c:v>43209</c:v>
                </c:pt>
                <c:pt idx="1399" formatCode="m/d/yyyy">
                  <c:v>43208</c:v>
                </c:pt>
                <c:pt idx="1400" formatCode="m/d/yyyy">
                  <c:v>43207</c:v>
                </c:pt>
                <c:pt idx="1401" formatCode="m/d/yyyy">
                  <c:v>43206</c:v>
                </c:pt>
                <c:pt idx="1402" formatCode="m/d/yyyy">
                  <c:v>43205</c:v>
                </c:pt>
                <c:pt idx="1403" formatCode="m/d/yyyy">
                  <c:v>43204</c:v>
                </c:pt>
                <c:pt idx="1404" formatCode="m/d/yyyy">
                  <c:v>43203</c:v>
                </c:pt>
                <c:pt idx="1405" formatCode="m/d/yyyy">
                  <c:v>43202</c:v>
                </c:pt>
                <c:pt idx="1406" formatCode="m/d/yyyy">
                  <c:v>43201</c:v>
                </c:pt>
                <c:pt idx="1407" formatCode="m/d/yyyy">
                  <c:v>43200</c:v>
                </c:pt>
                <c:pt idx="1408" formatCode="m/d/yyyy">
                  <c:v>43199</c:v>
                </c:pt>
                <c:pt idx="1409" formatCode="m/d/yyyy">
                  <c:v>43198</c:v>
                </c:pt>
                <c:pt idx="1410" formatCode="m/d/yyyy">
                  <c:v>43197</c:v>
                </c:pt>
                <c:pt idx="1411" formatCode="m/d/yyyy">
                  <c:v>43196</c:v>
                </c:pt>
                <c:pt idx="1412" formatCode="m/d/yyyy">
                  <c:v>43195</c:v>
                </c:pt>
                <c:pt idx="1413" formatCode="m/d/yyyy">
                  <c:v>43194</c:v>
                </c:pt>
                <c:pt idx="1414" formatCode="m/d/yyyy">
                  <c:v>43193</c:v>
                </c:pt>
                <c:pt idx="1415" formatCode="m/d/yyyy">
                  <c:v>43192</c:v>
                </c:pt>
                <c:pt idx="1416" formatCode="m/d/yyyy">
                  <c:v>43191</c:v>
                </c:pt>
                <c:pt idx="1417" formatCode="m/d/yyyy">
                  <c:v>43190</c:v>
                </c:pt>
                <c:pt idx="1418" formatCode="m/d/yyyy">
                  <c:v>43189</c:v>
                </c:pt>
                <c:pt idx="1419" formatCode="m/d/yyyy">
                  <c:v>43188</c:v>
                </c:pt>
                <c:pt idx="1420" formatCode="m/d/yyyy">
                  <c:v>43187</c:v>
                </c:pt>
                <c:pt idx="1421" formatCode="m/d/yyyy">
                  <c:v>43186</c:v>
                </c:pt>
                <c:pt idx="1422" formatCode="m/d/yyyy">
                  <c:v>43185</c:v>
                </c:pt>
                <c:pt idx="1423" formatCode="m/d/yyyy">
                  <c:v>43184</c:v>
                </c:pt>
                <c:pt idx="1424" formatCode="m/d/yyyy">
                  <c:v>43183</c:v>
                </c:pt>
                <c:pt idx="1425" formatCode="m/d/yyyy">
                  <c:v>43182</c:v>
                </c:pt>
                <c:pt idx="1426" formatCode="m/d/yyyy">
                  <c:v>43181</c:v>
                </c:pt>
                <c:pt idx="1427" formatCode="m/d/yyyy">
                  <c:v>43180</c:v>
                </c:pt>
                <c:pt idx="1428" formatCode="m/d/yyyy">
                  <c:v>43179</c:v>
                </c:pt>
                <c:pt idx="1429" formatCode="m/d/yyyy">
                  <c:v>43178</c:v>
                </c:pt>
                <c:pt idx="1430" formatCode="m/d/yyyy">
                  <c:v>43177</c:v>
                </c:pt>
                <c:pt idx="1431" formatCode="m/d/yyyy">
                  <c:v>43176</c:v>
                </c:pt>
                <c:pt idx="1432" formatCode="m/d/yyyy">
                  <c:v>43175</c:v>
                </c:pt>
                <c:pt idx="1433" formatCode="m/d/yyyy">
                  <c:v>43174</c:v>
                </c:pt>
                <c:pt idx="1434" formatCode="m/d/yyyy">
                  <c:v>43173</c:v>
                </c:pt>
                <c:pt idx="1435" formatCode="m/d/yyyy">
                  <c:v>43172</c:v>
                </c:pt>
                <c:pt idx="1436" formatCode="m/d/yyyy">
                  <c:v>43171</c:v>
                </c:pt>
                <c:pt idx="1437" formatCode="m/d/yyyy">
                  <c:v>43170</c:v>
                </c:pt>
                <c:pt idx="1438" formatCode="m/d/yyyy">
                  <c:v>43169</c:v>
                </c:pt>
                <c:pt idx="1439" formatCode="m/d/yyyy">
                  <c:v>43168</c:v>
                </c:pt>
                <c:pt idx="1440" formatCode="m/d/yyyy">
                  <c:v>43167</c:v>
                </c:pt>
                <c:pt idx="1441" formatCode="m/d/yyyy">
                  <c:v>43166</c:v>
                </c:pt>
                <c:pt idx="1442" formatCode="m/d/yyyy">
                  <c:v>43165</c:v>
                </c:pt>
                <c:pt idx="1443" formatCode="m/d/yyyy">
                  <c:v>43164</c:v>
                </c:pt>
                <c:pt idx="1444" formatCode="m/d/yyyy">
                  <c:v>43163</c:v>
                </c:pt>
                <c:pt idx="1445" formatCode="m/d/yyyy">
                  <c:v>43162</c:v>
                </c:pt>
                <c:pt idx="1446" formatCode="m/d/yyyy">
                  <c:v>43161</c:v>
                </c:pt>
                <c:pt idx="1447" formatCode="m/d/yyyy">
                  <c:v>43160</c:v>
                </c:pt>
                <c:pt idx="1448" formatCode="m/d/yyyy">
                  <c:v>43159</c:v>
                </c:pt>
                <c:pt idx="1449" formatCode="m/d/yyyy">
                  <c:v>43158</c:v>
                </c:pt>
                <c:pt idx="1450" formatCode="m/d/yyyy">
                  <c:v>43157</c:v>
                </c:pt>
                <c:pt idx="1451" formatCode="m/d/yyyy">
                  <c:v>43156</c:v>
                </c:pt>
                <c:pt idx="1452" formatCode="m/d/yyyy">
                  <c:v>43155</c:v>
                </c:pt>
                <c:pt idx="1453" formatCode="m/d/yyyy">
                  <c:v>43154</c:v>
                </c:pt>
                <c:pt idx="1454" formatCode="m/d/yyyy">
                  <c:v>43153</c:v>
                </c:pt>
                <c:pt idx="1455" formatCode="m/d/yyyy">
                  <c:v>43152</c:v>
                </c:pt>
                <c:pt idx="1456" formatCode="m/d/yyyy">
                  <c:v>43151</c:v>
                </c:pt>
                <c:pt idx="1457" formatCode="m/d/yyyy">
                  <c:v>43150</c:v>
                </c:pt>
                <c:pt idx="1458" formatCode="m/d/yyyy">
                  <c:v>43149</c:v>
                </c:pt>
                <c:pt idx="1459" formatCode="m/d/yyyy">
                  <c:v>43148</c:v>
                </c:pt>
                <c:pt idx="1460" formatCode="m/d/yyyy">
                  <c:v>43147</c:v>
                </c:pt>
                <c:pt idx="1461" formatCode="m/d/yyyy">
                  <c:v>43146</c:v>
                </c:pt>
                <c:pt idx="1462" formatCode="m/d/yyyy">
                  <c:v>43145</c:v>
                </c:pt>
                <c:pt idx="1463" formatCode="m/d/yyyy">
                  <c:v>43144</c:v>
                </c:pt>
                <c:pt idx="1464" formatCode="m/d/yyyy">
                  <c:v>43143</c:v>
                </c:pt>
                <c:pt idx="1465" formatCode="m/d/yyyy">
                  <c:v>43142</c:v>
                </c:pt>
                <c:pt idx="1466" formatCode="m/d/yyyy">
                  <c:v>43141</c:v>
                </c:pt>
                <c:pt idx="1467" formatCode="m/d/yyyy">
                  <c:v>43140</c:v>
                </c:pt>
                <c:pt idx="1468" formatCode="m/d/yyyy">
                  <c:v>43139</c:v>
                </c:pt>
                <c:pt idx="1469" formatCode="m/d/yyyy">
                  <c:v>43138</c:v>
                </c:pt>
                <c:pt idx="1470" formatCode="m/d/yyyy">
                  <c:v>43137</c:v>
                </c:pt>
                <c:pt idx="1471" formatCode="m/d/yyyy">
                  <c:v>43136</c:v>
                </c:pt>
                <c:pt idx="1472" formatCode="m/d/yyyy">
                  <c:v>43135</c:v>
                </c:pt>
                <c:pt idx="1473" formatCode="m/d/yyyy">
                  <c:v>43134</c:v>
                </c:pt>
                <c:pt idx="1474" formatCode="m/d/yyyy">
                  <c:v>43133</c:v>
                </c:pt>
                <c:pt idx="1475" formatCode="m/d/yyyy">
                  <c:v>43132</c:v>
                </c:pt>
                <c:pt idx="1476" formatCode="m/d/yyyy">
                  <c:v>43131</c:v>
                </c:pt>
                <c:pt idx="1477" formatCode="m/d/yyyy">
                  <c:v>43130</c:v>
                </c:pt>
                <c:pt idx="1478" formatCode="m/d/yyyy">
                  <c:v>43129</c:v>
                </c:pt>
                <c:pt idx="1479" formatCode="m/d/yyyy">
                  <c:v>43128</c:v>
                </c:pt>
                <c:pt idx="1480" formatCode="m/d/yyyy">
                  <c:v>43127</c:v>
                </c:pt>
                <c:pt idx="1481" formatCode="m/d/yyyy">
                  <c:v>43126</c:v>
                </c:pt>
                <c:pt idx="1482" formatCode="m/d/yyyy">
                  <c:v>43125</c:v>
                </c:pt>
                <c:pt idx="1483" formatCode="m/d/yyyy">
                  <c:v>43124</c:v>
                </c:pt>
                <c:pt idx="1484" formatCode="m/d/yyyy">
                  <c:v>43123</c:v>
                </c:pt>
                <c:pt idx="1485" formatCode="m/d/yyyy">
                  <c:v>43122</c:v>
                </c:pt>
                <c:pt idx="1486" formatCode="m/d/yyyy">
                  <c:v>43121</c:v>
                </c:pt>
                <c:pt idx="1487" formatCode="m/d/yyyy">
                  <c:v>43120</c:v>
                </c:pt>
                <c:pt idx="1488" formatCode="m/d/yyyy">
                  <c:v>43119</c:v>
                </c:pt>
                <c:pt idx="1489" formatCode="m/d/yyyy">
                  <c:v>43118</c:v>
                </c:pt>
                <c:pt idx="1490" formatCode="m/d/yyyy">
                  <c:v>43117</c:v>
                </c:pt>
                <c:pt idx="1491" formatCode="m/d/yyyy">
                  <c:v>43116</c:v>
                </c:pt>
                <c:pt idx="1492" formatCode="m/d/yyyy">
                  <c:v>43115</c:v>
                </c:pt>
                <c:pt idx="1493" formatCode="m/d/yyyy">
                  <c:v>43114</c:v>
                </c:pt>
                <c:pt idx="1494" formatCode="m/d/yyyy">
                  <c:v>43113</c:v>
                </c:pt>
                <c:pt idx="1495" formatCode="m/d/yyyy">
                  <c:v>43112</c:v>
                </c:pt>
                <c:pt idx="1496" formatCode="m/d/yyyy">
                  <c:v>43111</c:v>
                </c:pt>
                <c:pt idx="1497" formatCode="m/d/yyyy">
                  <c:v>43110</c:v>
                </c:pt>
                <c:pt idx="1498" formatCode="m/d/yyyy">
                  <c:v>43109</c:v>
                </c:pt>
                <c:pt idx="1499" formatCode="m/d/yyyy">
                  <c:v>43108</c:v>
                </c:pt>
                <c:pt idx="1500" formatCode="m/d/yyyy">
                  <c:v>43107</c:v>
                </c:pt>
                <c:pt idx="1501" formatCode="m/d/yyyy">
                  <c:v>43106</c:v>
                </c:pt>
                <c:pt idx="1502" formatCode="m/d/yyyy">
                  <c:v>43105</c:v>
                </c:pt>
                <c:pt idx="1503" formatCode="m/d/yyyy">
                  <c:v>43104</c:v>
                </c:pt>
                <c:pt idx="1504" formatCode="m/d/yyyy">
                  <c:v>43103</c:v>
                </c:pt>
                <c:pt idx="1505" formatCode="m/d/yyyy">
                  <c:v>43102</c:v>
                </c:pt>
                <c:pt idx="1506" formatCode="m/d/yyyy">
                  <c:v>43101</c:v>
                </c:pt>
                <c:pt idx="1507" formatCode="m/d/yyyy">
                  <c:v>43100</c:v>
                </c:pt>
                <c:pt idx="1508" formatCode="m/d/yyyy">
                  <c:v>43099</c:v>
                </c:pt>
                <c:pt idx="1509" formatCode="m/d/yyyy">
                  <c:v>43098</c:v>
                </c:pt>
                <c:pt idx="1510" formatCode="m/d/yyyy">
                  <c:v>43097</c:v>
                </c:pt>
                <c:pt idx="1511" formatCode="m/d/yyyy">
                  <c:v>43096</c:v>
                </c:pt>
                <c:pt idx="1512" formatCode="m/d/yyyy">
                  <c:v>43095</c:v>
                </c:pt>
                <c:pt idx="1513" formatCode="m/d/yyyy">
                  <c:v>43094</c:v>
                </c:pt>
                <c:pt idx="1514" formatCode="m/d/yyyy">
                  <c:v>43093</c:v>
                </c:pt>
                <c:pt idx="1515" formatCode="m/d/yyyy">
                  <c:v>43092</c:v>
                </c:pt>
                <c:pt idx="1516" formatCode="m/d/yyyy">
                  <c:v>43091</c:v>
                </c:pt>
                <c:pt idx="1517" formatCode="m/d/yyyy">
                  <c:v>43090</c:v>
                </c:pt>
                <c:pt idx="1518" formatCode="m/d/yyyy">
                  <c:v>43089</c:v>
                </c:pt>
                <c:pt idx="1519" formatCode="m/d/yyyy">
                  <c:v>43088</c:v>
                </c:pt>
                <c:pt idx="1520" formatCode="m/d/yyyy">
                  <c:v>43087</c:v>
                </c:pt>
                <c:pt idx="1521" formatCode="m/d/yyyy">
                  <c:v>43086</c:v>
                </c:pt>
                <c:pt idx="1522" formatCode="m/d/yyyy">
                  <c:v>43085</c:v>
                </c:pt>
                <c:pt idx="1523" formatCode="m/d/yyyy">
                  <c:v>43084</c:v>
                </c:pt>
                <c:pt idx="1524" formatCode="m/d/yyyy">
                  <c:v>43083</c:v>
                </c:pt>
                <c:pt idx="1525" formatCode="m/d/yyyy">
                  <c:v>43082</c:v>
                </c:pt>
                <c:pt idx="1526" formatCode="m/d/yyyy">
                  <c:v>43081</c:v>
                </c:pt>
                <c:pt idx="1527" formatCode="m/d/yyyy">
                  <c:v>43080</c:v>
                </c:pt>
                <c:pt idx="1528" formatCode="m/d/yyyy">
                  <c:v>43079</c:v>
                </c:pt>
                <c:pt idx="1529" formatCode="m/d/yyyy">
                  <c:v>43078</c:v>
                </c:pt>
                <c:pt idx="1530" formatCode="m/d/yyyy">
                  <c:v>43077</c:v>
                </c:pt>
                <c:pt idx="1531" formatCode="m/d/yyyy">
                  <c:v>43076</c:v>
                </c:pt>
                <c:pt idx="1532" formatCode="m/d/yyyy">
                  <c:v>43075</c:v>
                </c:pt>
                <c:pt idx="1533" formatCode="m/d/yyyy">
                  <c:v>43074</c:v>
                </c:pt>
                <c:pt idx="1534" formatCode="m/d/yyyy">
                  <c:v>43073</c:v>
                </c:pt>
                <c:pt idx="1535" formatCode="m/d/yyyy">
                  <c:v>43072</c:v>
                </c:pt>
                <c:pt idx="1536" formatCode="m/d/yyyy">
                  <c:v>43071</c:v>
                </c:pt>
                <c:pt idx="1537" formatCode="m/d/yyyy">
                  <c:v>43070</c:v>
                </c:pt>
                <c:pt idx="1538" formatCode="m/d/yyyy">
                  <c:v>43069</c:v>
                </c:pt>
                <c:pt idx="1539" formatCode="m/d/yyyy">
                  <c:v>43068</c:v>
                </c:pt>
                <c:pt idx="1540" formatCode="m/d/yyyy">
                  <c:v>43067</c:v>
                </c:pt>
                <c:pt idx="1541" formatCode="m/d/yyyy">
                  <c:v>43066</c:v>
                </c:pt>
                <c:pt idx="1542" formatCode="m/d/yyyy">
                  <c:v>43065</c:v>
                </c:pt>
                <c:pt idx="1543" formatCode="m/d/yyyy">
                  <c:v>43064</c:v>
                </c:pt>
                <c:pt idx="1544" formatCode="m/d/yyyy">
                  <c:v>43063</c:v>
                </c:pt>
                <c:pt idx="1545" formatCode="m/d/yyyy">
                  <c:v>43062</c:v>
                </c:pt>
                <c:pt idx="1546" formatCode="m/d/yyyy">
                  <c:v>43061</c:v>
                </c:pt>
                <c:pt idx="1547" formatCode="m/d/yyyy">
                  <c:v>43060</c:v>
                </c:pt>
                <c:pt idx="1548" formatCode="m/d/yyyy">
                  <c:v>43059</c:v>
                </c:pt>
                <c:pt idx="1549" formatCode="m/d/yyyy">
                  <c:v>43058</c:v>
                </c:pt>
                <c:pt idx="1550" formatCode="m/d/yyyy">
                  <c:v>43057</c:v>
                </c:pt>
                <c:pt idx="1551" formatCode="m/d/yyyy">
                  <c:v>43056</c:v>
                </c:pt>
                <c:pt idx="1552" formatCode="m/d/yyyy">
                  <c:v>43055</c:v>
                </c:pt>
                <c:pt idx="1553" formatCode="m/d/yyyy">
                  <c:v>43054</c:v>
                </c:pt>
                <c:pt idx="1554" formatCode="m/d/yyyy">
                  <c:v>43053</c:v>
                </c:pt>
                <c:pt idx="1555" formatCode="m/d/yyyy">
                  <c:v>43052</c:v>
                </c:pt>
                <c:pt idx="1556" formatCode="m/d/yyyy">
                  <c:v>43051</c:v>
                </c:pt>
                <c:pt idx="1557" formatCode="m/d/yyyy">
                  <c:v>43050</c:v>
                </c:pt>
                <c:pt idx="1558" formatCode="m/d/yyyy">
                  <c:v>43049</c:v>
                </c:pt>
                <c:pt idx="1559" formatCode="m/d/yyyy">
                  <c:v>43048</c:v>
                </c:pt>
                <c:pt idx="1560" formatCode="m/d/yyyy">
                  <c:v>43047</c:v>
                </c:pt>
                <c:pt idx="1561" formatCode="m/d/yyyy">
                  <c:v>43046</c:v>
                </c:pt>
                <c:pt idx="1562" formatCode="m/d/yyyy">
                  <c:v>43045</c:v>
                </c:pt>
                <c:pt idx="1563" formatCode="m/d/yyyy">
                  <c:v>43044</c:v>
                </c:pt>
                <c:pt idx="1564" formatCode="m/d/yyyy">
                  <c:v>43043</c:v>
                </c:pt>
                <c:pt idx="1565" formatCode="m/d/yyyy">
                  <c:v>43042</c:v>
                </c:pt>
                <c:pt idx="1566" formatCode="m/d/yyyy">
                  <c:v>43041</c:v>
                </c:pt>
                <c:pt idx="1567" formatCode="m/d/yyyy">
                  <c:v>43040</c:v>
                </c:pt>
                <c:pt idx="1568" formatCode="m/d/yyyy">
                  <c:v>43039</c:v>
                </c:pt>
                <c:pt idx="1569" formatCode="m/d/yyyy">
                  <c:v>43038</c:v>
                </c:pt>
                <c:pt idx="1570" formatCode="m/d/yyyy">
                  <c:v>43037</c:v>
                </c:pt>
                <c:pt idx="1571" formatCode="m/d/yyyy">
                  <c:v>43036</c:v>
                </c:pt>
                <c:pt idx="1572" formatCode="m/d/yyyy">
                  <c:v>43035</c:v>
                </c:pt>
                <c:pt idx="1573" formatCode="m/d/yyyy">
                  <c:v>43034</c:v>
                </c:pt>
                <c:pt idx="1574" formatCode="m/d/yyyy">
                  <c:v>43033</c:v>
                </c:pt>
                <c:pt idx="1575" formatCode="m/d/yyyy">
                  <c:v>43032</c:v>
                </c:pt>
                <c:pt idx="1576" formatCode="m/d/yyyy">
                  <c:v>43031</c:v>
                </c:pt>
                <c:pt idx="1577" formatCode="m/d/yyyy">
                  <c:v>43030</c:v>
                </c:pt>
                <c:pt idx="1578" formatCode="m/d/yyyy">
                  <c:v>43029</c:v>
                </c:pt>
                <c:pt idx="1579" formatCode="m/d/yyyy">
                  <c:v>43028</c:v>
                </c:pt>
                <c:pt idx="1580" formatCode="m/d/yyyy">
                  <c:v>43027</c:v>
                </c:pt>
                <c:pt idx="1581" formatCode="m/d/yyyy">
                  <c:v>43026</c:v>
                </c:pt>
                <c:pt idx="1582" formatCode="m/d/yyyy">
                  <c:v>43025</c:v>
                </c:pt>
                <c:pt idx="1583" formatCode="m/d/yyyy">
                  <c:v>43024</c:v>
                </c:pt>
                <c:pt idx="1584" formatCode="m/d/yyyy">
                  <c:v>43023</c:v>
                </c:pt>
                <c:pt idx="1585" formatCode="m/d/yyyy">
                  <c:v>43022</c:v>
                </c:pt>
                <c:pt idx="1586" formatCode="m/d/yyyy">
                  <c:v>43021</c:v>
                </c:pt>
                <c:pt idx="1587" formatCode="m/d/yyyy">
                  <c:v>43020</c:v>
                </c:pt>
                <c:pt idx="1588" formatCode="m/d/yyyy">
                  <c:v>43019</c:v>
                </c:pt>
                <c:pt idx="1589" formatCode="m/d/yyyy">
                  <c:v>43018</c:v>
                </c:pt>
                <c:pt idx="1590" formatCode="m/d/yyyy">
                  <c:v>43017</c:v>
                </c:pt>
                <c:pt idx="1591" formatCode="m/d/yyyy">
                  <c:v>43016</c:v>
                </c:pt>
                <c:pt idx="1592" formatCode="m/d/yyyy">
                  <c:v>43015</c:v>
                </c:pt>
                <c:pt idx="1593" formatCode="m/d/yyyy">
                  <c:v>43014</c:v>
                </c:pt>
                <c:pt idx="1594" formatCode="m/d/yyyy">
                  <c:v>43013</c:v>
                </c:pt>
                <c:pt idx="1595" formatCode="m/d/yyyy">
                  <c:v>43012</c:v>
                </c:pt>
                <c:pt idx="1596" formatCode="m/d/yyyy">
                  <c:v>43011</c:v>
                </c:pt>
                <c:pt idx="1597" formatCode="m/d/yyyy">
                  <c:v>43010</c:v>
                </c:pt>
                <c:pt idx="1598" formatCode="m/d/yyyy">
                  <c:v>43009</c:v>
                </c:pt>
                <c:pt idx="1599" formatCode="m/d/yyyy">
                  <c:v>43008</c:v>
                </c:pt>
                <c:pt idx="1600" formatCode="m/d/yyyy">
                  <c:v>43007</c:v>
                </c:pt>
                <c:pt idx="1601" formatCode="m/d/yyyy">
                  <c:v>43006</c:v>
                </c:pt>
                <c:pt idx="1602" formatCode="m/d/yyyy">
                  <c:v>43005</c:v>
                </c:pt>
                <c:pt idx="1603" formatCode="m/d/yyyy">
                  <c:v>43004</c:v>
                </c:pt>
                <c:pt idx="1604" formatCode="m/d/yyyy">
                  <c:v>43003</c:v>
                </c:pt>
                <c:pt idx="1605" formatCode="m/d/yyyy">
                  <c:v>43002</c:v>
                </c:pt>
                <c:pt idx="1606" formatCode="m/d/yyyy">
                  <c:v>43001</c:v>
                </c:pt>
                <c:pt idx="1607" formatCode="m/d/yyyy">
                  <c:v>43000</c:v>
                </c:pt>
                <c:pt idx="1608" formatCode="m/d/yyyy">
                  <c:v>42999</c:v>
                </c:pt>
                <c:pt idx="1609" formatCode="m/d/yyyy">
                  <c:v>42998</c:v>
                </c:pt>
                <c:pt idx="1610" formatCode="m/d/yyyy">
                  <c:v>42997</c:v>
                </c:pt>
                <c:pt idx="1611" formatCode="m/d/yyyy">
                  <c:v>42996</c:v>
                </c:pt>
                <c:pt idx="1612" formatCode="m/d/yyyy">
                  <c:v>42995</c:v>
                </c:pt>
                <c:pt idx="1613" formatCode="m/d/yyyy">
                  <c:v>42994</c:v>
                </c:pt>
                <c:pt idx="1614" formatCode="m/d/yyyy">
                  <c:v>42993</c:v>
                </c:pt>
                <c:pt idx="1615" formatCode="m/d/yyyy">
                  <c:v>42992</c:v>
                </c:pt>
                <c:pt idx="1616" formatCode="m/d/yyyy">
                  <c:v>42991</c:v>
                </c:pt>
                <c:pt idx="1617" formatCode="m/d/yyyy">
                  <c:v>42990</c:v>
                </c:pt>
                <c:pt idx="1618" formatCode="m/d/yyyy">
                  <c:v>42989</c:v>
                </c:pt>
                <c:pt idx="1619" formatCode="m/d/yyyy">
                  <c:v>42988</c:v>
                </c:pt>
                <c:pt idx="1620" formatCode="m/d/yyyy">
                  <c:v>42987</c:v>
                </c:pt>
                <c:pt idx="1621" formatCode="m/d/yyyy">
                  <c:v>42986</c:v>
                </c:pt>
                <c:pt idx="1622" formatCode="m/d/yyyy">
                  <c:v>42985</c:v>
                </c:pt>
                <c:pt idx="1623" formatCode="m/d/yyyy">
                  <c:v>42984</c:v>
                </c:pt>
                <c:pt idx="1624" formatCode="m/d/yyyy">
                  <c:v>42983</c:v>
                </c:pt>
                <c:pt idx="1625" formatCode="m/d/yyyy">
                  <c:v>42982</c:v>
                </c:pt>
                <c:pt idx="1626" formatCode="m/d/yyyy">
                  <c:v>42981</c:v>
                </c:pt>
                <c:pt idx="1627" formatCode="m/d/yyyy">
                  <c:v>42980</c:v>
                </c:pt>
                <c:pt idx="1628" formatCode="m/d/yyyy">
                  <c:v>42979</c:v>
                </c:pt>
                <c:pt idx="1629" formatCode="m/d/yyyy">
                  <c:v>42978</c:v>
                </c:pt>
                <c:pt idx="1630" formatCode="m/d/yyyy">
                  <c:v>42977</c:v>
                </c:pt>
                <c:pt idx="1631" formatCode="m/d/yyyy">
                  <c:v>42976</c:v>
                </c:pt>
                <c:pt idx="1632" formatCode="m/d/yyyy">
                  <c:v>42975</c:v>
                </c:pt>
                <c:pt idx="1633" formatCode="m/d/yyyy">
                  <c:v>42974</c:v>
                </c:pt>
                <c:pt idx="1634" formatCode="m/d/yyyy">
                  <c:v>42973</c:v>
                </c:pt>
                <c:pt idx="1635" formatCode="m/d/yyyy">
                  <c:v>42972</c:v>
                </c:pt>
                <c:pt idx="1636" formatCode="m/d/yyyy">
                  <c:v>42971</c:v>
                </c:pt>
                <c:pt idx="1637" formatCode="m/d/yyyy">
                  <c:v>42970</c:v>
                </c:pt>
                <c:pt idx="1638" formatCode="m/d/yyyy">
                  <c:v>42969</c:v>
                </c:pt>
                <c:pt idx="1639" formatCode="m/d/yyyy">
                  <c:v>42968</c:v>
                </c:pt>
                <c:pt idx="1640" formatCode="m/d/yyyy">
                  <c:v>42967</c:v>
                </c:pt>
                <c:pt idx="1641" formatCode="m/d/yyyy">
                  <c:v>42966</c:v>
                </c:pt>
                <c:pt idx="1642" formatCode="m/d/yyyy">
                  <c:v>42965</c:v>
                </c:pt>
                <c:pt idx="1643" formatCode="m/d/yyyy">
                  <c:v>42964</c:v>
                </c:pt>
                <c:pt idx="1644" formatCode="m/d/yyyy">
                  <c:v>42963</c:v>
                </c:pt>
                <c:pt idx="1645" formatCode="m/d/yyyy">
                  <c:v>42962</c:v>
                </c:pt>
                <c:pt idx="1646" formatCode="m/d/yyyy">
                  <c:v>42961</c:v>
                </c:pt>
                <c:pt idx="1647" formatCode="m/d/yyyy">
                  <c:v>42960</c:v>
                </c:pt>
                <c:pt idx="1648" formatCode="m/d/yyyy">
                  <c:v>42959</c:v>
                </c:pt>
                <c:pt idx="1649" formatCode="m/d/yyyy">
                  <c:v>42958</c:v>
                </c:pt>
                <c:pt idx="1650" formatCode="m/d/yyyy">
                  <c:v>42957</c:v>
                </c:pt>
                <c:pt idx="1651" formatCode="m/d/yyyy">
                  <c:v>42956</c:v>
                </c:pt>
                <c:pt idx="1652" formatCode="m/d/yyyy">
                  <c:v>42955</c:v>
                </c:pt>
                <c:pt idx="1653" formatCode="m/d/yyyy">
                  <c:v>42954</c:v>
                </c:pt>
                <c:pt idx="1654" formatCode="m/d/yyyy">
                  <c:v>42953</c:v>
                </c:pt>
                <c:pt idx="1655" formatCode="m/d/yyyy">
                  <c:v>42952</c:v>
                </c:pt>
                <c:pt idx="1656" formatCode="m/d/yyyy">
                  <c:v>42951</c:v>
                </c:pt>
                <c:pt idx="1657" formatCode="m/d/yyyy">
                  <c:v>42950</c:v>
                </c:pt>
                <c:pt idx="1658" formatCode="m/d/yyyy">
                  <c:v>42949</c:v>
                </c:pt>
                <c:pt idx="1659" formatCode="m/d/yyyy">
                  <c:v>42948</c:v>
                </c:pt>
                <c:pt idx="1660" formatCode="m/d/yyyy">
                  <c:v>42947</c:v>
                </c:pt>
                <c:pt idx="1661" formatCode="m/d/yyyy">
                  <c:v>42946</c:v>
                </c:pt>
                <c:pt idx="1662" formatCode="m/d/yyyy">
                  <c:v>42945</c:v>
                </c:pt>
                <c:pt idx="1663" formatCode="m/d/yyyy">
                  <c:v>42944</c:v>
                </c:pt>
                <c:pt idx="1664" formatCode="m/d/yyyy">
                  <c:v>42943</c:v>
                </c:pt>
                <c:pt idx="1665" formatCode="m/d/yyyy">
                  <c:v>42942</c:v>
                </c:pt>
                <c:pt idx="1666" formatCode="m/d/yyyy">
                  <c:v>42941</c:v>
                </c:pt>
                <c:pt idx="1667" formatCode="m/d/yyyy">
                  <c:v>42940</c:v>
                </c:pt>
                <c:pt idx="1668" formatCode="m/d/yyyy">
                  <c:v>42939</c:v>
                </c:pt>
                <c:pt idx="1669" formatCode="m/d/yyyy">
                  <c:v>42938</c:v>
                </c:pt>
                <c:pt idx="1670" formatCode="m/d/yyyy">
                  <c:v>42937</c:v>
                </c:pt>
                <c:pt idx="1671" formatCode="m/d/yyyy">
                  <c:v>42936</c:v>
                </c:pt>
                <c:pt idx="1672" formatCode="m/d/yyyy">
                  <c:v>42935</c:v>
                </c:pt>
                <c:pt idx="1673" formatCode="m/d/yyyy">
                  <c:v>42934</c:v>
                </c:pt>
                <c:pt idx="1674" formatCode="m/d/yyyy">
                  <c:v>42933</c:v>
                </c:pt>
                <c:pt idx="1675" formatCode="m/d/yyyy">
                  <c:v>42932</c:v>
                </c:pt>
                <c:pt idx="1676" formatCode="m/d/yyyy">
                  <c:v>42931</c:v>
                </c:pt>
                <c:pt idx="1677" formatCode="m/d/yyyy">
                  <c:v>42930</c:v>
                </c:pt>
                <c:pt idx="1678" formatCode="m/d/yyyy">
                  <c:v>42929</c:v>
                </c:pt>
                <c:pt idx="1679" formatCode="m/d/yyyy">
                  <c:v>42928</c:v>
                </c:pt>
                <c:pt idx="1680" formatCode="m/d/yyyy">
                  <c:v>42927</c:v>
                </c:pt>
                <c:pt idx="1681" formatCode="m/d/yyyy">
                  <c:v>42926</c:v>
                </c:pt>
                <c:pt idx="1682" formatCode="m/d/yyyy">
                  <c:v>42925</c:v>
                </c:pt>
                <c:pt idx="1683" formatCode="m/d/yyyy">
                  <c:v>42924</c:v>
                </c:pt>
                <c:pt idx="1684" formatCode="m/d/yyyy">
                  <c:v>42923</c:v>
                </c:pt>
                <c:pt idx="1685" formatCode="m/d/yyyy">
                  <c:v>42922</c:v>
                </c:pt>
                <c:pt idx="1686" formatCode="m/d/yyyy">
                  <c:v>42921</c:v>
                </c:pt>
                <c:pt idx="1687" formatCode="m/d/yyyy">
                  <c:v>42920</c:v>
                </c:pt>
                <c:pt idx="1688" formatCode="m/d/yyyy">
                  <c:v>42919</c:v>
                </c:pt>
                <c:pt idx="1689" formatCode="m/d/yyyy">
                  <c:v>42918</c:v>
                </c:pt>
                <c:pt idx="1690" formatCode="m/d/yyyy">
                  <c:v>42917</c:v>
                </c:pt>
                <c:pt idx="1691" formatCode="m/d/yyyy">
                  <c:v>42916</c:v>
                </c:pt>
                <c:pt idx="1692" formatCode="m/d/yyyy">
                  <c:v>42915</c:v>
                </c:pt>
                <c:pt idx="1693" formatCode="m/d/yyyy">
                  <c:v>42914</c:v>
                </c:pt>
                <c:pt idx="1694" formatCode="m/d/yyyy">
                  <c:v>42913</c:v>
                </c:pt>
                <c:pt idx="1695" formatCode="m/d/yyyy">
                  <c:v>42912</c:v>
                </c:pt>
                <c:pt idx="1696" formatCode="m/d/yyyy">
                  <c:v>42911</c:v>
                </c:pt>
                <c:pt idx="1697" formatCode="m/d/yyyy">
                  <c:v>42910</c:v>
                </c:pt>
                <c:pt idx="1698" formatCode="m/d/yyyy">
                  <c:v>42909</c:v>
                </c:pt>
                <c:pt idx="1699" formatCode="m/d/yyyy">
                  <c:v>42908</c:v>
                </c:pt>
                <c:pt idx="1700" formatCode="m/d/yyyy">
                  <c:v>42907</c:v>
                </c:pt>
                <c:pt idx="1701" formatCode="m/d/yyyy">
                  <c:v>42906</c:v>
                </c:pt>
                <c:pt idx="1702" formatCode="m/d/yyyy">
                  <c:v>42905</c:v>
                </c:pt>
                <c:pt idx="1703" formatCode="m/d/yyyy">
                  <c:v>42904</c:v>
                </c:pt>
                <c:pt idx="1704" formatCode="m/d/yyyy">
                  <c:v>42903</c:v>
                </c:pt>
                <c:pt idx="1705" formatCode="m/d/yyyy">
                  <c:v>42902</c:v>
                </c:pt>
                <c:pt idx="1706" formatCode="m/d/yyyy">
                  <c:v>42901</c:v>
                </c:pt>
                <c:pt idx="1707" formatCode="m/d/yyyy">
                  <c:v>42900</c:v>
                </c:pt>
                <c:pt idx="1708" formatCode="m/d/yyyy">
                  <c:v>42899</c:v>
                </c:pt>
                <c:pt idx="1709" formatCode="m/d/yyyy">
                  <c:v>42898</c:v>
                </c:pt>
                <c:pt idx="1710" formatCode="m/d/yyyy">
                  <c:v>42897</c:v>
                </c:pt>
                <c:pt idx="1711" formatCode="m/d/yyyy">
                  <c:v>42896</c:v>
                </c:pt>
                <c:pt idx="1712" formatCode="m/d/yyyy">
                  <c:v>42895</c:v>
                </c:pt>
                <c:pt idx="1713" formatCode="m/d/yyyy">
                  <c:v>42894</c:v>
                </c:pt>
                <c:pt idx="1714" formatCode="m/d/yyyy">
                  <c:v>42893</c:v>
                </c:pt>
                <c:pt idx="1715" formatCode="m/d/yyyy">
                  <c:v>42892</c:v>
                </c:pt>
                <c:pt idx="1716" formatCode="m/d/yyyy">
                  <c:v>42891</c:v>
                </c:pt>
                <c:pt idx="1717" formatCode="m/d/yyyy">
                  <c:v>42890</c:v>
                </c:pt>
                <c:pt idx="1718" formatCode="m/d/yyyy">
                  <c:v>42889</c:v>
                </c:pt>
                <c:pt idx="1719" formatCode="m/d/yyyy">
                  <c:v>42888</c:v>
                </c:pt>
                <c:pt idx="1720" formatCode="m/d/yyyy">
                  <c:v>42887</c:v>
                </c:pt>
                <c:pt idx="1721" formatCode="m/d/yyyy">
                  <c:v>42886</c:v>
                </c:pt>
                <c:pt idx="1722" formatCode="m/d/yyyy">
                  <c:v>42885</c:v>
                </c:pt>
                <c:pt idx="1723" formatCode="m/d/yyyy">
                  <c:v>42884</c:v>
                </c:pt>
                <c:pt idx="1724" formatCode="m/d/yyyy">
                  <c:v>42883</c:v>
                </c:pt>
                <c:pt idx="1725" formatCode="m/d/yyyy">
                  <c:v>42882</c:v>
                </c:pt>
                <c:pt idx="1726" formatCode="m/d/yyyy">
                  <c:v>42881</c:v>
                </c:pt>
                <c:pt idx="1727" formatCode="m/d/yyyy">
                  <c:v>42880</c:v>
                </c:pt>
                <c:pt idx="1728" formatCode="m/d/yyyy">
                  <c:v>42879</c:v>
                </c:pt>
                <c:pt idx="1729" formatCode="m/d/yyyy">
                  <c:v>42878</c:v>
                </c:pt>
                <c:pt idx="1730" formatCode="m/d/yyyy">
                  <c:v>42877</c:v>
                </c:pt>
                <c:pt idx="1731" formatCode="m/d/yyyy">
                  <c:v>42876</c:v>
                </c:pt>
                <c:pt idx="1732" formatCode="m/d/yyyy">
                  <c:v>42875</c:v>
                </c:pt>
                <c:pt idx="1733" formatCode="m/d/yyyy">
                  <c:v>42874</c:v>
                </c:pt>
                <c:pt idx="1734" formatCode="m/d/yyyy">
                  <c:v>42873</c:v>
                </c:pt>
                <c:pt idx="1735" formatCode="m/d/yyyy">
                  <c:v>42872</c:v>
                </c:pt>
                <c:pt idx="1736" formatCode="m/d/yyyy">
                  <c:v>42871</c:v>
                </c:pt>
                <c:pt idx="1737" formatCode="m/d/yyyy">
                  <c:v>42870</c:v>
                </c:pt>
                <c:pt idx="1738" formatCode="m/d/yyyy">
                  <c:v>42869</c:v>
                </c:pt>
                <c:pt idx="1739" formatCode="m/d/yyyy">
                  <c:v>42868</c:v>
                </c:pt>
                <c:pt idx="1740" formatCode="m/d/yyyy">
                  <c:v>42867</c:v>
                </c:pt>
                <c:pt idx="1741" formatCode="m/d/yyyy">
                  <c:v>42866</c:v>
                </c:pt>
                <c:pt idx="1742" formatCode="m/d/yyyy">
                  <c:v>42865</c:v>
                </c:pt>
                <c:pt idx="1743" formatCode="m/d/yyyy">
                  <c:v>42864</c:v>
                </c:pt>
                <c:pt idx="1744" formatCode="m/d/yyyy">
                  <c:v>42863</c:v>
                </c:pt>
                <c:pt idx="1745" formatCode="m/d/yyyy">
                  <c:v>42862</c:v>
                </c:pt>
                <c:pt idx="1746" formatCode="m/d/yyyy">
                  <c:v>42861</c:v>
                </c:pt>
                <c:pt idx="1747" formatCode="m/d/yyyy">
                  <c:v>42860</c:v>
                </c:pt>
                <c:pt idx="1748" formatCode="m/d/yyyy">
                  <c:v>42859</c:v>
                </c:pt>
                <c:pt idx="1749" formatCode="m/d/yyyy">
                  <c:v>42858</c:v>
                </c:pt>
                <c:pt idx="1750" formatCode="m/d/yyyy">
                  <c:v>42857</c:v>
                </c:pt>
                <c:pt idx="1751" formatCode="m/d/yyyy">
                  <c:v>42856</c:v>
                </c:pt>
                <c:pt idx="1752" formatCode="m/d/yyyy">
                  <c:v>42855</c:v>
                </c:pt>
                <c:pt idx="1753" formatCode="m/d/yyyy">
                  <c:v>42854</c:v>
                </c:pt>
                <c:pt idx="1754" formatCode="m/d/yyyy">
                  <c:v>42853</c:v>
                </c:pt>
                <c:pt idx="1755" formatCode="m/d/yyyy">
                  <c:v>42852</c:v>
                </c:pt>
                <c:pt idx="1756" formatCode="m/d/yyyy">
                  <c:v>42851</c:v>
                </c:pt>
                <c:pt idx="1757" formatCode="m/d/yyyy">
                  <c:v>42850</c:v>
                </c:pt>
                <c:pt idx="1758" formatCode="m/d/yyyy">
                  <c:v>42849</c:v>
                </c:pt>
                <c:pt idx="1759" formatCode="m/d/yyyy">
                  <c:v>42848</c:v>
                </c:pt>
                <c:pt idx="1760" formatCode="m/d/yyyy">
                  <c:v>42847</c:v>
                </c:pt>
                <c:pt idx="1761" formatCode="m/d/yyyy">
                  <c:v>42846</c:v>
                </c:pt>
                <c:pt idx="1762" formatCode="m/d/yyyy">
                  <c:v>42845</c:v>
                </c:pt>
                <c:pt idx="1763" formatCode="m/d/yyyy">
                  <c:v>42844</c:v>
                </c:pt>
                <c:pt idx="1764" formatCode="m/d/yyyy">
                  <c:v>42843</c:v>
                </c:pt>
                <c:pt idx="1765" formatCode="m/d/yyyy">
                  <c:v>42842</c:v>
                </c:pt>
                <c:pt idx="1766" formatCode="m/d/yyyy">
                  <c:v>42841</c:v>
                </c:pt>
                <c:pt idx="1767" formatCode="m/d/yyyy">
                  <c:v>42840</c:v>
                </c:pt>
                <c:pt idx="1768" formatCode="m/d/yyyy">
                  <c:v>42839</c:v>
                </c:pt>
                <c:pt idx="1769" formatCode="m/d/yyyy">
                  <c:v>42838</c:v>
                </c:pt>
                <c:pt idx="1770" formatCode="m/d/yyyy">
                  <c:v>42837</c:v>
                </c:pt>
                <c:pt idx="1771" formatCode="m/d/yyyy">
                  <c:v>42836</c:v>
                </c:pt>
                <c:pt idx="1772" formatCode="m/d/yyyy">
                  <c:v>42835</c:v>
                </c:pt>
                <c:pt idx="1773" formatCode="m/d/yyyy">
                  <c:v>42834</c:v>
                </c:pt>
                <c:pt idx="1774" formatCode="m/d/yyyy">
                  <c:v>42833</c:v>
                </c:pt>
                <c:pt idx="1775" formatCode="m/d/yyyy">
                  <c:v>42832</c:v>
                </c:pt>
                <c:pt idx="1776" formatCode="m/d/yyyy">
                  <c:v>42831</c:v>
                </c:pt>
                <c:pt idx="1777" formatCode="m/d/yyyy">
                  <c:v>42830</c:v>
                </c:pt>
                <c:pt idx="1778" formatCode="m/d/yyyy">
                  <c:v>42829</c:v>
                </c:pt>
                <c:pt idx="1779" formatCode="m/d/yyyy">
                  <c:v>42828</c:v>
                </c:pt>
                <c:pt idx="1780" formatCode="m/d/yyyy">
                  <c:v>42827</c:v>
                </c:pt>
                <c:pt idx="1781" formatCode="m/d/yyyy">
                  <c:v>42826</c:v>
                </c:pt>
                <c:pt idx="1782" formatCode="m/d/yyyy">
                  <c:v>42825</c:v>
                </c:pt>
                <c:pt idx="1783" formatCode="m/d/yyyy">
                  <c:v>42824</c:v>
                </c:pt>
                <c:pt idx="1784" formatCode="m/d/yyyy">
                  <c:v>42823</c:v>
                </c:pt>
                <c:pt idx="1785" formatCode="m/d/yyyy">
                  <c:v>42822</c:v>
                </c:pt>
                <c:pt idx="1786" formatCode="m/d/yyyy">
                  <c:v>42821</c:v>
                </c:pt>
                <c:pt idx="1787" formatCode="m/d/yyyy">
                  <c:v>42820</c:v>
                </c:pt>
                <c:pt idx="1788" formatCode="m/d/yyyy">
                  <c:v>42819</c:v>
                </c:pt>
                <c:pt idx="1789" formatCode="m/d/yyyy">
                  <c:v>42818</c:v>
                </c:pt>
                <c:pt idx="1790" formatCode="m/d/yyyy">
                  <c:v>42817</c:v>
                </c:pt>
                <c:pt idx="1791" formatCode="m/d/yyyy">
                  <c:v>42816</c:v>
                </c:pt>
                <c:pt idx="1792" formatCode="m/d/yyyy">
                  <c:v>42815</c:v>
                </c:pt>
                <c:pt idx="1793" formatCode="m/d/yyyy">
                  <c:v>42814</c:v>
                </c:pt>
                <c:pt idx="1794" formatCode="m/d/yyyy">
                  <c:v>42813</c:v>
                </c:pt>
                <c:pt idx="1795" formatCode="m/d/yyyy">
                  <c:v>42812</c:v>
                </c:pt>
                <c:pt idx="1796" formatCode="m/d/yyyy">
                  <c:v>42811</c:v>
                </c:pt>
                <c:pt idx="1797" formatCode="m/d/yyyy">
                  <c:v>42810</c:v>
                </c:pt>
                <c:pt idx="1798" formatCode="m/d/yyyy">
                  <c:v>42809</c:v>
                </c:pt>
                <c:pt idx="1799" formatCode="m/d/yyyy">
                  <c:v>42808</c:v>
                </c:pt>
                <c:pt idx="1800" formatCode="m/d/yyyy">
                  <c:v>42807</c:v>
                </c:pt>
                <c:pt idx="1801" formatCode="m/d/yyyy">
                  <c:v>42806</c:v>
                </c:pt>
                <c:pt idx="1802" formatCode="m/d/yyyy">
                  <c:v>42805</c:v>
                </c:pt>
                <c:pt idx="1803" formatCode="m/d/yyyy">
                  <c:v>42804</c:v>
                </c:pt>
                <c:pt idx="1804" formatCode="m/d/yyyy">
                  <c:v>42803</c:v>
                </c:pt>
                <c:pt idx="1805" formatCode="m/d/yyyy">
                  <c:v>42802</c:v>
                </c:pt>
                <c:pt idx="1806" formatCode="m/d/yyyy">
                  <c:v>42801</c:v>
                </c:pt>
                <c:pt idx="1807" formatCode="m/d/yyyy">
                  <c:v>42800</c:v>
                </c:pt>
                <c:pt idx="1808" formatCode="m/d/yyyy">
                  <c:v>42799</c:v>
                </c:pt>
                <c:pt idx="1809" formatCode="m/d/yyyy">
                  <c:v>42798</c:v>
                </c:pt>
                <c:pt idx="1810" formatCode="m/d/yyyy">
                  <c:v>42797</c:v>
                </c:pt>
                <c:pt idx="1811" formatCode="m/d/yyyy">
                  <c:v>42796</c:v>
                </c:pt>
                <c:pt idx="1812" formatCode="m/d/yyyy">
                  <c:v>42795</c:v>
                </c:pt>
                <c:pt idx="1813" formatCode="m/d/yyyy">
                  <c:v>42794</c:v>
                </c:pt>
                <c:pt idx="1814" formatCode="m/d/yyyy">
                  <c:v>42793</c:v>
                </c:pt>
                <c:pt idx="1815" formatCode="m/d/yyyy">
                  <c:v>42792</c:v>
                </c:pt>
                <c:pt idx="1816" formatCode="m/d/yyyy">
                  <c:v>42791</c:v>
                </c:pt>
                <c:pt idx="1817" formatCode="m/d/yyyy">
                  <c:v>42790</c:v>
                </c:pt>
                <c:pt idx="1818" formatCode="m/d/yyyy">
                  <c:v>42789</c:v>
                </c:pt>
                <c:pt idx="1819" formatCode="m/d/yyyy">
                  <c:v>42788</c:v>
                </c:pt>
                <c:pt idx="1820" formatCode="m/d/yyyy">
                  <c:v>42787</c:v>
                </c:pt>
                <c:pt idx="1821" formatCode="m/d/yyyy">
                  <c:v>42786</c:v>
                </c:pt>
                <c:pt idx="1822" formatCode="m/d/yyyy">
                  <c:v>42785</c:v>
                </c:pt>
                <c:pt idx="1823" formatCode="m/d/yyyy">
                  <c:v>42784</c:v>
                </c:pt>
                <c:pt idx="1824" formatCode="m/d/yyyy">
                  <c:v>42783</c:v>
                </c:pt>
                <c:pt idx="1825" formatCode="m/d/yyyy">
                  <c:v>42782</c:v>
                </c:pt>
                <c:pt idx="1826" formatCode="m/d/yyyy">
                  <c:v>42781</c:v>
                </c:pt>
              </c:numCache>
            </c:numRef>
          </c:cat>
          <c:val>
            <c:numRef>
              <c:f>Indexed!$E$4:$E$1830</c:f>
              <c:numCache>
                <c:formatCode>0</c:formatCode>
                <c:ptCount val="1827"/>
                <c:pt idx="0">
                  <c:v>0</c:v>
                </c:pt>
                <c:pt idx="1">
                  <c:v>859.17293233082694</c:v>
                </c:pt>
                <c:pt idx="2">
                  <c:v>850.97744360902254</c:v>
                </c:pt>
                <c:pt idx="3">
                  <c:v>850.97744360902254</c:v>
                </c:pt>
                <c:pt idx="4">
                  <c:v>850.97744360902254</c:v>
                </c:pt>
                <c:pt idx="5">
                  <c:v>945.63909774436081</c:v>
                </c:pt>
                <c:pt idx="6">
                  <c:v>998.87218045112775</c:v>
                </c:pt>
                <c:pt idx="7">
                  <c:v>964.13533834586451</c:v>
                </c:pt>
                <c:pt idx="8">
                  <c:v>929.84962406015029</c:v>
                </c:pt>
                <c:pt idx="9">
                  <c:v>929.32330827067665</c:v>
                </c:pt>
                <c:pt idx="10">
                  <c:v>929.32330827067665</c:v>
                </c:pt>
                <c:pt idx="11">
                  <c:v>929.32330827067665</c:v>
                </c:pt>
                <c:pt idx="12">
                  <c:v>902.85714285714289</c:v>
                </c:pt>
                <c:pt idx="13">
                  <c:v>923.00751879699249</c:v>
                </c:pt>
                <c:pt idx="14">
                  <c:v>878.0451127819548</c:v>
                </c:pt>
                <c:pt idx="15">
                  <c:v>859.02255639097746</c:v>
                </c:pt>
                <c:pt idx="16">
                  <c:v>791.27819548872174</c:v>
                </c:pt>
                <c:pt idx="17">
                  <c:v>791.27819548872174</c:v>
                </c:pt>
                <c:pt idx="18">
                  <c:v>791.27819548872174</c:v>
                </c:pt>
                <c:pt idx="19">
                  <c:v>771.42857142857133</c:v>
                </c:pt>
                <c:pt idx="20">
                  <c:v>832.40601503759387</c:v>
                </c:pt>
                <c:pt idx="21">
                  <c:v>835.56390977443607</c:v>
                </c:pt>
                <c:pt idx="22">
                  <c:v>876.16541353383445</c:v>
                </c:pt>
                <c:pt idx="23">
                  <c:v>893.30827067669179</c:v>
                </c:pt>
                <c:pt idx="24">
                  <c:v>893.30827067669179</c:v>
                </c:pt>
                <c:pt idx="25">
                  <c:v>893.30827067669179</c:v>
                </c:pt>
                <c:pt idx="26">
                  <c:v>916.46616541353387</c:v>
                </c:pt>
                <c:pt idx="27">
                  <c:v>964.43609022556393</c:v>
                </c:pt>
                <c:pt idx="28">
                  <c:v>991.95488721804509</c:v>
                </c:pt>
                <c:pt idx="29">
                  <c:v>1029.1729323308268</c:v>
                </c:pt>
                <c:pt idx="30">
                  <c:v>1029.1729323308268</c:v>
                </c:pt>
                <c:pt idx="31">
                  <c:v>1029.1729323308268</c:v>
                </c:pt>
                <c:pt idx="32">
                  <c:v>1029.1729323308268</c:v>
                </c:pt>
                <c:pt idx="33">
                  <c:v>998.04511278195491</c:v>
                </c:pt>
                <c:pt idx="34">
                  <c:v>1033.609022556391</c:v>
                </c:pt>
                <c:pt idx="35">
                  <c:v>1032.4060150375938</c:v>
                </c:pt>
                <c:pt idx="36">
                  <c:v>992.48120300751884</c:v>
                </c:pt>
                <c:pt idx="37">
                  <c:v>992.48120300751884</c:v>
                </c:pt>
                <c:pt idx="38">
                  <c:v>992.48120300751884</c:v>
                </c:pt>
                <c:pt idx="39">
                  <c:v>992.48120300751884</c:v>
                </c:pt>
                <c:pt idx="40">
                  <c:v>1024.2857142857142</c:v>
                </c:pt>
                <c:pt idx="41">
                  <c:v>1023.6842105263157</c:v>
                </c:pt>
                <c:pt idx="42">
                  <c:v>1085.8646616541353</c:v>
                </c:pt>
                <c:pt idx="43">
                  <c:v>1129.624060150376</c:v>
                </c:pt>
                <c:pt idx="44">
                  <c:v>1081.9548872180451</c:v>
                </c:pt>
                <c:pt idx="45">
                  <c:v>1081.9548872180451</c:v>
                </c:pt>
                <c:pt idx="46">
                  <c:v>1081.9548872180451</c:v>
                </c:pt>
                <c:pt idx="47">
                  <c:v>1091.3533834586467</c:v>
                </c:pt>
                <c:pt idx="48">
                  <c:v>1114.7368421052631</c:v>
                </c:pt>
                <c:pt idx="49">
                  <c:v>1151.5037593984962</c:v>
                </c:pt>
                <c:pt idx="50">
                  <c:v>1160.6015037593986</c:v>
                </c:pt>
                <c:pt idx="51">
                  <c:v>1098.796992481203</c:v>
                </c:pt>
                <c:pt idx="52">
                  <c:v>1098.796992481203</c:v>
                </c:pt>
                <c:pt idx="53">
                  <c:v>1098.796992481203</c:v>
                </c:pt>
                <c:pt idx="54">
                  <c:v>1098.796992481203</c:v>
                </c:pt>
                <c:pt idx="55">
                  <c:v>1081.8045112781954</c:v>
                </c:pt>
                <c:pt idx="56">
                  <c:v>1084.5864661654134</c:v>
                </c:pt>
                <c:pt idx="57">
                  <c:v>1021.0526315789474</c:v>
                </c:pt>
                <c:pt idx="58">
                  <c:v>1035.7142857142856</c:v>
                </c:pt>
                <c:pt idx="59">
                  <c:v>1035.7142857142856</c:v>
                </c:pt>
                <c:pt idx="60">
                  <c:v>1035.7142857142856</c:v>
                </c:pt>
                <c:pt idx="61">
                  <c:v>1042.4060150375938</c:v>
                </c:pt>
                <c:pt idx="62">
                  <c:v>1101.5037593984962</c:v>
                </c:pt>
                <c:pt idx="63">
                  <c:v>1019.5488721804511</c:v>
                </c:pt>
                <c:pt idx="64">
                  <c:v>1006.015037593985</c:v>
                </c:pt>
                <c:pt idx="65">
                  <c:v>1041.7293233082708</c:v>
                </c:pt>
                <c:pt idx="66">
                  <c:v>1041.7293233082708</c:v>
                </c:pt>
                <c:pt idx="67">
                  <c:v>1041.7293233082708</c:v>
                </c:pt>
                <c:pt idx="68">
                  <c:v>1038.3458646616541</c:v>
                </c:pt>
                <c:pt idx="69">
                  <c:v>1092.0300751879699</c:v>
                </c:pt>
                <c:pt idx="70">
                  <c:v>1089.0977443609022</c:v>
                </c:pt>
                <c:pt idx="71">
                  <c:v>1045.5639097744361</c:v>
                </c:pt>
                <c:pt idx="72">
                  <c:v>1082.781954887218</c:v>
                </c:pt>
                <c:pt idx="73">
                  <c:v>1082.781954887218</c:v>
                </c:pt>
                <c:pt idx="74">
                  <c:v>1082.781954887218</c:v>
                </c:pt>
                <c:pt idx="75">
                  <c:v>1132.9323308270677</c:v>
                </c:pt>
                <c:pt idx="76">
                  <c:v>1121.1278195488721</c:v>
                </c:pt>
                <c:pt idx="77">
                  <c:v>1190.7518796992481</c:v>
                </c:pt>
                <c:pt idx="78">
                  <c:v>1217.3684210526314</c:v>
                </c:pt>
                <c:pt idx="79">
                  <c:v>1163.984962406015</c:v>
                </c:pt>
                <c:pt idx="80">
                  <c:v>1163.984962406015</c:v>
                </c:pt>
                <c:pt idx="81">
                  <c:v>1163.984962406015</c:v>
                </c:pt>
                <c:pt idx="82">
                  <c:v>1186.4661654135339</c:v>
                </c:pt>
                <c:pt idx="83">
                  <c:v>1186.4661654135339</c:v>
                </c:pt>
                <c:pt idx="84">
                  <c:v>1127.2180451127817</c:v>
                </c:pt>
                <c:pt idx="85">
                  <c:v>1146.7669172932331</c:v>
                </c:pt>
                <c:pt idx="86">
                  <c:v>1168.4962406015038</c:v>
                </c:pt>
                <c:pt idx="87">
                  <c:v>1168.4962406015038</c:v>
                </c:pt>
                <c:pt idx="88">
                  <c:v>1168.4962406015038</c:v>
                </c:pt>
                <c:pt idx="89">
                  <c:v>1165.5639097744361</c:v>
                </c:pt>
                <c:pt idx="90">
                  <c:v>1137.8947368421052</c:v>
                </c:pt>
                <c:pt idx="91">
                  <c:v>1146.2406015037593</c:v>
                </c:pt>
                <c:pt idx="92">
                  <c:v>1101.4285714285713</c:v>
                </c:pt>
                <c:pt idx="93">
                  <c:v>1111.9548872180449</c:v>
                </c:pt>
                <c:pt idx="94">
                  <c:v>1111.9548872180449</c:v>
                </c:pt>
                <c:pt idx="95">
                  <c:v>1111.9548872180449</c:v>
                </c:pt>
                <c:pt idx="96">
                  <c:v>1097.8195488721803</c:v>
                </c:pt>
                <c:pt idx="97">
                  <c:v>1051.6541353383457</c:v>
                </c:pt>
                <c:pt idx="98">
                  <c:v>1119.6992481203006</c:v>
                </c:pt>
                <c:pt idx="99">
                  <c:v>1129.0225563909773</c:v>
                </c:pt>
                <c:pt idx="100">
                  <c:v>1025.1127819548872</c:v>
                </c:pt>
                <c:pt idx="101">
                  <c:v>1025.1127819548872</c:v>
                </c:pt>
                <c:pt idx="102">
                  <c:v>1025.1127819548872</c:v>
                </c:pt>
                <c:pt idx="103">
                  <c:v>1033.8345864661653</c:v>
                </c:pt>
                <c:pt idx="104">
                  <c:v>981.42857142857133</c:v>
                </c:pt>
                <c:pt idx="105">
                  <c:v>959.62406015037584</c:v>
                </c:pt>
                <c:pt idx="106">
                  <c:v>941.57894736842104</c:v>
                </c:pt>
                <c:pt idx="107">
                  <c:v>903.98496240601492</c:v>
                </c:pt>
                <c:pt idx="108">
                  <c:v>903.98496240601492</c:v>
                </c:pt>
                <c:pt idx="109">
                  <c:v>903.98496240601492</c:v>
                </c:pt>
                <c:pt idx="110">
                  <c:v>910.97744360902254</c:v>
                </c:pt>
                <c:pt idx="111">
                  <c:v>919.3984962406015</c:v>
                </c:pt>
                <c:pt idx="112">
                  <c:v>924.28571428571422</c:v>
                </c:pt>
                <c:pt idx="113">
                  <c:v>919.99999999999989</c:v>
                </c:pt>
                <c:pt idx="114">
                  <c:v>900.90225563909758</c:v>
                </c:pt>
                <c:pt idx="115">
                  <c:v>900.90225563909758</c:v>
                </c:pt>
                <c:pt idx="116">
                  <c:v>900.90225563909758</c:v>
                </c:pt>
                <c:pt idx="117">
                  <c:v>897.21804511278197</c:v>
                </c:pt>
                <c:pt idx="118">
                  <c:v>875.11278195488717</c:v>
                </c:pt>
                <c:pt idx="119">
                  <c:v>874.66165413533827</c:v>
                </c:pt>
                <c:pt idx="120">
                  <c:v>875.41353383458647</c:v>
                </c:pt>
                <c:pt idx="121">
                  <c:v>843.00751879699249</c:v>
                </c:pt>
                <c:pt idx="122">
                  <c:v>843.00751879699249</c:v>
                </c:pt>
                <c:pt idx="123">
                  <c:v>843.00751879699249</c:v>
                </c:pt>
                <c:pt idx="124">
                  <c:v>842.03007518796994</c:v>
                </c:pt>
                <c:pt idx="125">
                  <c:v>820.75187969924809</c:v>
                </c:pt>
                <c:pt idx="126">
                  <c:v>789.77443609022555</c:v>
                </c:pt>
                <c:pt idx="127">
                  <c:v>787.06766917293237</c:v>
                </c:pt>
                <c:pt idx="128">
                  <c:v>789.92481203007515</c:v>
                </c:pt>
                <c:pt idx="129">
                  <c:v>789.92481203007515</c:v>
                </c:pt>
                <c:pt idx="130">
                  <c:v>789.92481203007515</c:v>
                </c:pt>
                <c:pt idx="131">
                  <c:v>800.37593984962405</c:v>
                </c:pt>
                <c:pt idx="132">
                  <c:v>779.24812030075191</c:v>
                </c:pt>
                <c:pt idx="133">
                  <c:v>765.48872180451121</c:v>
                </c:pt>
                <c:pt idx="134">
                  <c:v>754.43609022556393</c:v>
                </c:pt>
                <c:pt idx="135">
                  <c:v>770.30075187969919</c:v>
                </c:pt>
                <c:pt idx="136">
                  <c:v>770.30075187969919</c:v>
                </c:pt>
                <c:pt idx="137">
                  <c:v>770.30075187969919</c:v>
                </c:pt>
                <c:pt idx="138">
                  <c:v>773.68421052631572</c:v>
                </c:pt>
                <c:pt idx="139">
                  <c:v>754.51127819548867</c:v>
                </c:pt>
                <c:pt idx="140">
                  <c:v>763.30827067669168</c:v>
                </c:pt>
                <c:pt idx="141">
                  <c:v>813.23308270676694</c:v>
                </c:pt>
                <c:pt idx="142">
                  <c:v>795.48872180451121</c:v>
                </c:pt>
                <c:pt idx="143">
                  <c:v>795.48872180451121</c:v>
                </c:pt>
                <c:pt idx="144">
                  <c:v>795.48872180451121</c:v>
                </c:pt>
                <c:pt idx="145">
                  <c:v>798.12030075187965</c:v>
                </c:pt>
                <c:pt idx="146">
                  <c:v>784.81203007518786</c:v>
                </c:pt>
                <c:pt idx="147">
                  <c:v>773.08270676691723</c:v>
                </c:pt>
                <c:pt idx="148">
                  <c:v>763.53383458646613</c:v>
                </c:pt>
                <c:pt idx="149">
                  <c:v>781.05263157894728</c:v>
                </c:pt>
                <c:pt idx="150">
                  <c:v>781.05263157894728</c:v>
                </c:pt>
                <c:pt idx="151">
                  <c:v>781.05263157894728</c:v>
                </c:pt>
                <c:pt idx="152">
                  <c:v>798.64661654135341</c:v>
                </c:pt>
                <c:pt idx="153">
                  <c:v>793.98496240601503</c:v>
                </c:pt>
                <c:pt idx="154">
                  <c:v>794.96240601503757</c:v>
                </c:pt>
                <c:pt idx="155">
                  <c:v>787.96992481202994</c:v>
                </c:pt>
                <c:pt idx="156">
                  <c:v>790.97744360902254</c:v>
                </c:pt>
                <c:pt idx="157">
                  <c:v>790.97744360902254</c:v>
                </c:pt>
                <c:pt idx="158">
                  <c:v>790.97744360902254</c:v>
                </c:pt>
                <c:pt idx="159">
                  <c:v>798.12030075187965</c:v>
                </c:pt>
                <c:pt idx="160">
                  <c:v>798.27067669172925</c:v>
                </c:pt>
                <c:pt idx="161">
                  <c:v>820.67669172932335</c:v>
                </c:pt>
                <c:pt idx="162">
                  <c:v>826.46616541353387</c:v>
                </c:pt>
                <c:pt idx="163">
                  <c:v>826.46616541353387</c:v>
                </c:pt>
                <c:pt idx="164">
                  <c:v>826.46616541353387</c:v>
                </c:pt>
                <c:pt idx="165">
                  <c:v>826.46616541353387</c:v>
                </c:pt>
                <c:pt idx="166">
                  <c:v>821.0526315789474</c:v>
                </c:pt>
                <c:pt idx="167">
                  <c:v>826.99248120300751</c:v>
                </c:pt>
                <c:pt idx="168">
                  <c:v>832.48120300751884</c:v>
                </c:pt>
                <c:pt idx="169">
                  <c:v>836.9924812030074</c:v>
                </c:pt>
                <c:pt idx="170">
                  <c:v>837.59398496240601</c:v>
                </c:pt>
                <c:pt idx="171">
                  <c:v>837.59398496240601</c:v>
                </c:pt>
                <c:pt idx="172">
                  <c:v>837.59398496240601</c:v>
                </c:pt>
                <c:pt idx="173">
                  <c:v>806.5413533834585</c:v>
                </c:pt>
                <c:pt idx="174">
                  <c:v>814.28571428571422</c:v>
                </c:pt>
                <c:pt idx="175">
                  <c:v>809.3984962406015</c:v>
                </c:pt>
                <c:pt idx="176">
                  <c:v>817.81954887218035</c:v>
                </c:pt>
                <c:pt idx="177">
                  <c:v>786.84210526315792</c:v>
                </c:pt>
                <c:pt idx="178">
                  <c:v>786.84210526315792</c:v>
                </c:pt>
                <c:pt idx="179">
                  <c:v>786.84210526315792</c:v>
                </c:pt>
                <c:pt idx="180">
                  <c:v>779.69924812030081</c:v>
                </c:pt>
                <c:pt idx="181">
                  <c:v>777.74436090225561</c:v>
                </c:pt>
                <c:pt idx="182">
                  <c:v>808.72180451127815</c:v>
                </c:pt>
                <c:pt idx="183">
                  <c:v>808.12030075187965</c:v>
                </c:pt>
                <c:pt idx="184">
                  <c:v>831.20300751879699</c:v>
                </c:pt>
                <c:pt idx="185">
                  <c:v>831.20300751879699</c:v>
                </c:pt>
                <c:pt idx="186">
                  <c:v>831.20300751879699</c:v>
                </c:pt>
                <c:pt idx="187">
                  <c:v>800.75187969924798</c:v>
                </c:pt>
                <c:pt idx="188">
                  <c:v>809.62406015037584</c:v>
                </c:pt>
                <c:pt idx="189">
                  <c:v>800.6015037593985</c:v>
                </c:pt>
                <c:pt idx="190">
                  <c:v>808.87218045112763</c:v>
                </c:pt>
                <c:pt idx="191">
                  <c:v>827.8947368421052</c:v>
                </c:pt>
                <c:pt idx="192">
                  <c:v>827.8947368421052</c:v>
                </c:pt>
                <c:pt idx="193">
                  <c:v>827.8947368421052</c:v>
                </c:pt>
                <c:pt idx="194">
                  <c:v>844.73684210526301</c:v>
                </c:pt>
                <c:pt idx="195">
                  <c:v>893.00751879699249</c:v>
                </c:pt>
                <c:pt idx="196">
                  <c:v>846.31578947368416</c:v>
                </c:pt>
                <c:pt idx="197">
                  <c:v>816.76691729323295</c:v>
                </c:pt>
                <c:pt idx="198">
                  <c:v>798.42105263157896</c:v>
                </c:pt>
                <c:pt idx="199">
                  <c:v>798.42105263157896</c:v>
                </c:pt>
                <c:pt idx="200">
                  <c:v>798.42105263157896</c:v>
                </c:pt>
                <c:pt idx="201">
                  <c:v>774.06015037593988</c:v>
                </c:pt>
                <c:pt idx="202">
                  <c:v>736.31578947368416</c:v>
                </c:pt>
                <c:pt idx="203">
                  <c:v>684.43609022556393</c:v>
                </c:pt>
                <c:pt idx="204">
                  <c:v>690.37593984962393</c:v>
                </c:pt>
                <c:pt idx="205">
                  <c:v>692.85714285714289</c:v>
                </c:pt>
                <c:pt idx="206">
                  <c:v>692.85714285714289</c:v>
                </c:pt>
                <c:pt idx="207">
                  <c:v>692.85714285714289</c:v>
                </c:pt>
                <c:pt idx="208">
                  <c:v>685.78947368421041</c:v>
                </c:pt>
                <c:pt idx="209">
                  <c:v>672.25563909774428</c:v>
                </c:pt>
                <c:pt idx="210">
                  <c:v>654.96240601503757</c:v>
                </c:pt>
                <c:pt idx="211">
                  <c:v>650.97744360902254</c:v>
                </c:pt>
                <c:pt idx="212">
                  <c:v>645.78947368421052</c:v>
                </c:pt>
                <c:pt idx="213">
                  <c:v>645.78947368421052</c:v>
                </c:pt>
                <c:pt idx="214">
                  <c:v>645.78947368421052</c:v>
                </c:pt>
                <c:pt idx="215">
                  <c:v>653.60902255639098</c:v>
                </c:pt>
                <c:pt idx="216">
                  <c:v>669.5488721804511</c:v>
                </c:pt>
                <c:pt idx="217">
                  <c:v>678.6466165413533</c:v>
                </c:pt>
                <c:pt idx="218">
                  <c:v>682.78195488721803</c:v>
                </c:pt>
                <c:pt idx="219">
                  <c:v>683.45864661654139</c:v>
                </c:pt>
                <c:pt idx="220">
                  <c:v>683.45864661654139</c:v>
                </c:pt>
                <c:pt idx="221">
                  <c:v>683.45864661654139</c:v>
                </c:pt>
                <c:pt idx="222">
                  <c:v>674.73684210526312</c:v>
                </c:pt>
                <c:pt idx="223">
                  <c:v>680.75187969924821</c:v>
                </c:pt>
                <c:pt idx="224">
                  <c:v>710.30075187969919</c:v>
                </c:pt>
                <c:pt idx="225">
                  <c:v>712.03007518796994</c:v>
                </c:pt>
                <c:pt idx="226">
                  <c:v>712.03007518796994</c:v>
                </c:pt>
                <c:pt idx="227">
                  <c:v>712.03007518796994</c:v>
                </c:pt>
                <c:pt idx="228">
                  <c:v>712.03007518796994</c:v>
                </c:pt>
                <c:pt idx="229">
                  <c:v>701.57894736842104</c:v>
                </c:pt>
                <c:pt idx="230">
                  <c:v>706.24060150375942</c:v>
                </c:pt>
                <c:pt idx="231">
                  <c:v>673.08270676691723</c:v>
                </c:pt>
                <c:pt idx="232">
                  <c:v>654.73684210526312</c:v>
                </c:pt>
                <c:pt idx="233">
                  <c:v>643.75939849624069</c:v>
                </c:pt>
                <c:pt idx="234">
                  <c:v>643.75939849624069</c:v>
                </c:pt>
                <c:pt idx="235">
                  <c:v>643.75939849624069</c:v>
                </c:pt>
                <c:pt idx="236">
                  <c:v>647.36842105263145</c:v>
                </c:pt>
                <c:pt idx="237">
                  <c:v>630.22556390977434</c:v>
                </c:pt>
                <c:pt idx="238">
                  <c:v>628.42105263157896</c:v>
                </c:pt>
                <c:pt idx="239">
                  <c:v>620.97744360902254</c:v>
                </c:pt>
                <c:pt idx="240">
                  <c:v>636.46616541353387</c:v>
                </c:pt>
                <c:pt idx="241">
                  <c:v>636.46616541353387</c:v>
                </c:pt>
                <c:pt idx="242">
                  <c:v>636.46616541353387</c:v>
                </c:pt>
                <c:pt idx="243">
                  <c:v>635.78947368421052</c:v>
                </c:pt>
                <c:pt idx="244">
                  <c:v>602.33082706766913</c:v>
                </c:pt>
                <c:pt idx="245">
                  <c:v>605.03759398496243</c:v>
                </c:pt>
                <c:pt idx="246">
                  <c:v>613.15789473684208</c:v>
                </c:pt>
                <c:pt idx="247">
                  <c:v>611.35338345864659</c:v>
                </c:pt>
                <c:pt idx="248">
                  <c:v>611.35338345864659</c:v>
                </c:pt>
                <c:pt idx="249">
                  <c:v>611.35338345864659</c:v>
                </c:pt>
                <c:pt idx="250">
                  <c:v>613.23308270676694</c:v>
                </c:pt>
                <c:pt idx="251">
                  <c:v>601.20300751879688</c:v>
                </c:pt>
                <c:pt idx="252">
                  <c:v>608.1954887218044</c:v>
                </c:pt>
                <c:pt idx="253">
                  <c:v>611.65413533834578</c:v>
                </c:pt>
                <c:pt idx="254">
                  <c:v>613.38345864661642</c:v>
                </c:pt>
                <c:pt idx="255">
                  <c:v>613.38345864661642</c:v>
                </c:pt>
                <c:pt idx="256">
                  <c:v>613.38345864661642</c:v>
                </c:pt>
                <c:pt idx="257">
                  <c:v>603.60902255639098</c:v>
                </c:pt>
                <c:pt idx="258">
                  <c:v>616.31578947368416</c:v>
                </c:pt>
                <c:pt idx="259">
                  <c:v>607.59398496240601</c:v>
                </c:pt>
                <c:pt idx="260">
                  <c:v>602.10526315789468</c:v>
                </c:pt>
                <c:pt idx="261">
                  <c:v>602.10526315789468</c:v>
                </c:pt>
                <c:pt idx="262">
                  <c:v>602.10526315789468</c:v>
                </c:pt>
                <c:pt idx="263">
                  <c:v>602.10526315789468</c:v>
                </c:pt>
                <c:pt idx="264">
                  <c:v>589.62406015037595</c:v>
                </c:pt>
                <c:pt idx="265">
                  <c:v>589.02255639097746</c:v>
                </c:pt>
                <c:pt idx="266">
                  <c:v>585.41353383458647</c:v>
                </c:pt>
                <c:pt idx="267">
                  <c:v>582.25563909774428</c:v>
                </c:pt>
                <c:pt idx="268">
                  <c:v>580.22556390977445</c:v>
                </c:pt>
                <c:pt idx="269">
                  <c:v>580.22556390977445</c:v>
                </c:pt>
                <c:pt idx="270">
                  <c:v>580.22556390977445</c:v>
                </c:pt>
                <c:pt idx="271">
                  <c:v>586.91729323308266</c:v>
                </c:pt>
                <c:pt idx="272">
                  <c:v>573.15789473684208</c:v>
                </c:pt>
                <c:pt idx="273">
                  <c:v>559.69924812030069</c:v>
                </c:pt>
                <c:pt idx="274">
                  <c:v>561.27819548872185</c:v>
                </c:pt>
                <c:pt idx="275">
                  <c:v>560.82706766917295</c:v>
                </c:pt>
                <c:pt idx="276">
                  <c:v>560.82706766917295</c:v>
                </c:pt>
                <c:pt idx="277">
                  <c:v>560.82706766917295</c:v>
                </c:pt>
                <c:pt idx="278">
                  <c:v>549.5488721804511</c:v>
                </c:pt>
                <c:pt idx="279">
                  <c:v>561.20300751879699</c:v>
                </c:pt>
                <c:pt idx="280">
                  <c:v>577.66917293233075</c:v>
                </c:pt>
                <c:pt idx="281">
                  <c:v>571.35338345864659</c:v>
                </c:pt>
                <c:pt idx="282">
                  <c:v>592.55639097744358</c:v>
                </c:pt>
                <c:pt idx="283">
                  <c:v>592.55639097744358</c:v>
                </c:pt>
                <c:pt idx="284">
                  <c:v>592.55639097744358</c:v>
                </c:pt>
                <c:pt idx="285">
                  <c:v>585.63909774436092</c:v>
                </c:pt>
                <c:pt idx="286">
                  <c:v>585.18796992481202</c:v>
                </c:pt>
                <c:pt idx="287">
                  <c:v>591.0526315789474</c:v>
                </c:pt>
                <c:pt idx="288">
                  <c:v>590.6015037593985</c:v>
                </c:pt>
                <c:pt idx="289">
                  <c:v>613.68421052631584</c:v>
                </c:pt>
                <c:pt idx="290">
                  <c:v>613.68421052631584</c:v>
                </c:pt>
                <c:pt idx="291">
                  <c:v>613.68421052631584</c:v>
                </c:pt>
                <c:pt idx="292">
                  <c:v>630.90225563909769</c:v>
                </c:pt>
                <c:pt idx="293">
                  <c:v>631.72932330827064</c:v>
                </c:pt>
                <c:pt idx="294">
                  <c:v>640.67669172932324</c:v>
                </c:pt>
                <c:pt idx="295">
                  <c:v>642.18045112781942</c:v>
                </c:pt>
                <c:pt idx="296">
                  <c:v>622.25563909774428</c:v>
                </c:pt>
                <c:pt idx="297">
                  <c:v>622.25563909774428</c:v>
                </c:pt>
                <c:pt idx="298">
                  <c:v>622.25563909774428</c:v>
                </c:pt>
                <c:pt idx="299">
                  <c:v>594.43609022556393</c:v>
                </c:pt>
                <c:pt idx="300">
                  <c:v>613.60902255639087</c:v>
                </c:pt>
                <c:pt idx="301">
                  <c:v>596.01503759398486</c:v>
                </c:pt>
                <c:pt idx="302">
                  <c:v>609.84962406015029</c:v>
                </c:pt>
                <c:pt idx="303">
                  <c:v>617.66917293233087</c:v>
                </c:pt>
                <c:pt idx="304">
                  <c:v>617.66917293233087</c:v>
                </c:pt>
                <c:pt idx="305">
                  <c:v>617.66917293233087</c:v>
                </c:pt>
                <c:pt idx="306">
                  <c:v>624.13533834586462</c:v>
                </c:pt>
                <c:pt idx="307">
                  <c:v>590.6015037593985</c:v>
                </c:pt>
                <c:pt idx="308">
                  <c:v>602.93233082706763</c:v>
                </c:pt>
                <c:pt idx="309">
                  <c:v>590.82706766917295</c:v>
                </c:pt>
                <c:pt idx="310">
                  <c:v>622.25563909774428</c:v>
                </c:pt>
                <c:pt idx="311">
                  <c:v>622.25563909774428</c:v>
                </c:pt>
                <c:pt idx="312">
                  <c:v>622.25563909774428</c:v>
                </c:pt>
                <c:pt idx="313">
                  <c:v>626.69172932330821</c:v>
                </c:pt>
                <c:pt idx="314">
                  <c:v>618.0451127819548</c:v>
                </c:pt>
                <c:pt idx="315">
                  <c:v>612.33082706766913</c:v>
                </c:pt>
                <c:pt idx="316">
                  <c:v>612.25563909774439</c:v>
                </c:pt>
                <c:pt idx="317">
                  <c:v>609.69924812030069</c:v>
                </c:pt>
                <c:pt idx="318">
                  <c:v>609.69924812030069</c:v>
                </c:pt>
                <c:pt idx="319">
                  <c:v>609.69924812030069</c:v>
                </c:pt>
                <c:pt idx="320">
                  <c:v>609.69924812030069</c:v>
                </c:pt>
                <c:pt idx="321">
                  <c:v>590.22556390977434</c:v>
                </c:pt>
                <c:pt idx="322">
                  <c:v>571.42857142857144</c:v>
                </c:pt>
                <c:pt idx="323">
                  <c:v>580</c:v>
                </c:pt>
                <c:pt idx="324">
                  <c:v>582.03007518796983</c:v>
                </c:pt>
                <c:pt idx="325">
                  <c:v>582.03007518796983</c:v>
                </c:pt>
                <c:pt idx="326">
                  <c:v>582.03007518796983</c:v>
                </c:pt>
                <c:pt idx="327">
                  <c:v>573.08270676691723</c:v>
                </c:pt>
                <c:pt idx="328">
                  <c:v>575.03759398496243</c:v>
                </c:pt>
                <c:pt idx="329">
                  <c:v>589.32330827067665</c:v>
                </c:pt>
                <c:pt idx="330">
                  <c:v>603.75939849624046</c:v>
                </c:pt>
                <c:pt idx="331">
                  <c:v>594.43609022556393</c:v>
                </c:pt>
                <c:pt idx="332">
                  <c:v>594.43609022556393</c:v>
                </c:pt>
                <c:pt idx="333">
                  <c:v>594.43609022556393</c:v>
                </c:pt>
                <c:pt idx="334">
                  <c:v>587.36842105263156</c:v>
                </c:pt>
                <c:pt idx="335">
                  <c:v>621.27819548872174</c:v>
                </c:pt>
                <c:pt idx="336">
                  <c:v>622.18045112781954</c:v>
                </c:pt>
                <c:pt idx="337">
                  <c:v>620.30075187969919</c:v>
                </c:pt>
                <c:pt idx="338">
                  <c:v>609.39849624060139</c:v>
                </c:pt>
                <c:pt idx="339">
                  <c:v>609.39849624060139</c:v>
                </c:pt>
                <c:pt idx="340">
                  <c:v>609.39849624060139</c:v>
                </c:pt>
                <c:pt idx="341">
                  <c:v>610.75187969924821</c:v>
                </c:pt>
                <c:pt idx="342">
                  <c:v>582.85714285714278</c:v>
                </c:pt>
                <c:pt idx="343">
                  <c:v>590.45112781954879</c:v>
                </c:pt>
                <c:pt idx="344">
                  <c:v>556.09022556390971</c:v>
                </c:pt>
                <c:pt idx="345">
                  <c:v>590.37593984962405</c:v>
                </c:pt>
                <c:pt idx="346">
                  <c:v>590.37593984962405</c:v>
                </c:pt>
                <c:pt idx="347">
                  <c:v>590.37593984962405</c:v>
                </c:pt>
                <c:pt idx="348">
                  <c:v>584.58646616541353</c:v>
                </c:pt>
                <c:pt idx="349">
                  <c:v>607.96992481203006</c:v>
                </c:pt>
                <c:pt idx="350">
                  <c:v>632.55639097744347</c:v>
                </c:pt>
                <c:pt idx="351">
                  <c:v>649.5488721804511</c:v>
                </c:pt>
                <c:pt idx="352">
                  <c:v>635.41353383458647</c:v>
                </c:pt>
                <c:pt idx="353">
                  <c:v>635.41353383458647</c:v>
                </c:pt>
                <c:pt idx="354">
                  <c:v>635.41353383458647</c:v>
                </c:pt>
                <c:pt idx="355">
                  <c:v>619.69924812030069</c:v>
                </c:pt>
                <c:pt idx="356">
                  <c:v>653.68421052631572</c:v>
                </c:pt>
                <c:pt idx="357">
                  <c:v>637.14285714285711</c:v>
                </c:pt>
                <c:pt idx="358">
                  <c:v>641.87969924812035</c:v>
                </c:pt>
                <c:pt idx="359">
                  <c:v>673.53383458646613</c:v>
                </c:pt>
                <c:pt idx="360">
                  <c:v>673.53383458646613</c:v>
                </c:pt>
                <c:pt idx="361">
                  <c:v>673.53383458646613</c:v>
                </c:pt>
                <c:pt idx="362">
                  <c:v>666.46616541353376</c:v>
                </c:pt>
                <c:pt idx="363">
                  <c:v>676.24060150375942</c:v>
                </c:pt>
                <c:pt idx="364">
                  <c:v>687.66917293233075</c:v>
                </c:pt>
                <c:pt idx="365">
                  <c:v>705.03759398496243</c:v>
                </c:pt>
                <c:pt idx="366">
                  <c:v>705.03759398496243</c:v>
                </c:pt>
                <c:pt idx="367">
                  <c:v>705.03759398496243</c:v>
                </c:pt>
                <c:pt idx="368">
                  <c:v>705.03759398496243</c:v>
                </c:pt>
                <c:pt idx="369">
                  <c:v>696.69172932330821</c:v>
                </c:pt>
                <c:pt idx="370">
                  <c:v>694.36090225563896</c:v>
                </c:pt>
                <c:pt idx="371">
                  <c:v>683.53383458646601</c:v>
                </c:pt>
                <c:pt idx="372">
                  <c:v>687.74436090225561</c:v>
                </c:pt>
                <c:pt idx="373">
                  <c:v>660.90225563909769</c:v>
                </c:pt>
                <c:pt idx="374">
                  <c:v>660.90225563909769</c:v>
                </c:pt>
                <c:pt idx="375">
                  <c:v>660.90225563909769</c:v>
                </c:pt>
                <c:pt idx="376">
                  <c:v>660.4511278195489</c:v>
                </c:pt>
                <c:pt idx="377">
                  <c:v>660.82706766917295</c:v>
                </c:pt>
                <c:pt idx="378">
                  <c:v>668.12030075187965</c:v>
                </c:pt>
                <c:pt idx="379">
                  <c:v>659.0977443609022</c:v>
                </c:pt>
                <c:pt idx="380">
                  <c:v>643.90977443609017</c:v>
                </c:pt>
                <c:pt idx="381">
                  <c:v>643.90977443609017</c:v>
                </c:pt>
                <c:pt idx="382">
                  <c:v>643.90977443609017</c:v>
                </c:pt>
                <c:pt idx="383">
                  <c:v>658.0451127819548</c:v>
                </c:pt>
                <c:pt idx="384">
                  <c:v>667.96992481203006</c:v>
                </c:pt>
                <c:pt idx="385">
                  <c:v>712.10526315789457</c:v>
                </c:pt>
                <c:pt idx="386">
                  <c:v>707.74436090225561</c:v>
                </c:pt>
                <c:pt idx="387">
                  <c:v>697.66917293233087</c:v>
                </c:pt>
                <c:pt idx="388">
                  <c:v>697.66917293233087</c:v>
                </c:pt>
                <c:pt idx="389">
                  <c:v>697.66917293233087</c:v>
                </c:pt>
                <c:pt idx="390">
                  <c:v>688.19548872180451</c:v>
                </c:pt>
                <c:pt idx="391">
                  <c:v>667.29323308270671</c:v>
                </c:pt>
                <c:pt idx="392">
                  <c:v>672.55639097744358</c:v>
                </c:pt>
                <c:pt idx="393">
                  <c:v>663.23308270676682</c:v>
                </c:pt>
                <c:pt idx="394">
                  <c:v>663.23308270676682</c:v>
                </c:pt>
                <c:pt idx="395">
                  <c:v>663.23308270676682</c:v>
                </c:pt>
                <c:pt idx="396">
                  <c:v>663.23308270676682</c:v>
                </c:pt>
                <c:pt idx="397">
                  <c:v>682.63157894736844</c:v>
                </c:pt>
                <c:pt idx="398">
                  <c:v>690.07518796992485</c:v>
                </c:pt>
                <c:pt idx="399">
                  <c:v>716.95488721804509</c:v>
                </c:pt>
                <c:pt idx="400">
                  <c:v>731.20300751879699</c:v>
                </c:pt>
                <c:pt idx="401">
                  <c:v>711.12781954887214</c:v>
                </c:pt>
                <c:pt idx="402">
                  <c:v>711.12781954887214</c:v>
                </c:pt>
                <c:pt idx="403">
                  <c:v>711.12781954887214</c:v>
                </c:pt>
                <c:pt idx="404">
                  <c:v>715.48872180451121</c:v>
                </c:pt>
                <c:pt idx="405">
                  <c:v>679.17293233082705</c:v>
                </c:pt>
                <c:pt idx="406">
                  <c:v>697.51879699248116</c:v>
                </c:pt>
                <c:pt idx="407">
                  <c:v>693.98496240601503</c:v>
                </c:pt>
                <c:pt idx="408">
                  <c:v>689.5488721804511</c:v>
                </c:pt>
                <c:pt idx="409">
                  <c:v>689.5488721804511</c:v>
                </c:pt>
                <c:pt idx="410">
                  <c:v>689.5488721804511</c:v>
                </c:pt>
                <c:pt idx="411">
                  <c:v>689.5488721804511</c:v>
                </c:pt>
                <c:pt idx="412">
                  <c:v>693.90977443609017</c:v>
                </c:pt>
                <c:pt idx="413">
                  <c:v>681.35338345864659</c:v>
                </c:pt>
                <c:pt idx="414">
                  <c:v>688.72180451127804</c:v>
                </c:pt>
                <c:pt idx="415">
                  <c:v>690.30075187969931</c:v>
                </c:pt>
                <c:pt idx="416">
                  <c:v>690.30075187969931</c:v>
                </c:pt>
                <c:pt idx="417">
                  <c:v>690.30075187969931</c:v>
                </c:pt>
                <c:pt idx="418">
                  <c:v>690.30075187969931</c:v>
                </c:pt>
                <c:pt idx="419">
                  <c:v>688.3458646616541</c:v>
                </c:pt>
                <c:pt idx="420">
                  <c:v>700.45112781954879</c:v>
                </c:pt>
                <c:pt idx="421">
                  <c:v>700.97744360902254</c:v>
                </c:pt>
                <c:pt idx="422">
                  <c:v>721.20300751879699</c:v>
                </c:pt>
                <c:pt idx="423">
                  <c:v>721.20300751879699</c:v>
                </c:pt>
                <c:pt idx="424">
                  <c:v>721.20300751879699</c:v>
                </c:pt>
                <c:pt idx="425">
                  <c:v>728.12030075187965</c:v>
                </c:pt>
                <c:pt idx="426">
                  <c:v>728.19548872180451</c:v>
                </c:pt>
                <c:pt idx="427">
                  <c:v>730.22556390977445</c:v>
                </c:pt>
                <c:pt idx="428">
                  <c:v>712.63157894736833</c:v>
                </c:pt>
                <c:pt idx="429">
                  <c:v>689.09774436090231</c:v>
                </c:pt>
                <c:pt idx="430">
                  <c:v>689.09774436090231</c:v>
                </c:pt>
                <c:pt idx="431">
                  <c:v>689.09774436090231</c:v>
                </c:pt>
                <c:pt idx="432">
                  <c:v>689.17293233082694</c:v>
                </c:pt>
                <c:pt idx="433">
                  <c:v>675.41353383458636</c:v>
                </c:pt>
                <c:pt idx="434">
                  <c:v>698.64661654135341</c:v>
                </c:pt>
                <c:pt idx="435">
                  <c:v>707.29323308270671</c:v>
                </c:pt>
                <c:pt idx="436">
                  <c:v>707.06766917293237</c:v>
                </c:pt>
                <c:pt idx="437">
                  <c:v>707.06766917293237</c:v>
                </c:pt>
                <c:pt idx="438">
                  <c:v>707.06766917293237</c:v>
                </c:pt>
                <c:pt idx="439">
                  <c:v>694.06015037593988</c:v>
                </c:pt>
                <c:pt idx="440">
                  <c:v>704.81203007518798</c:v>
                </c:pt>
                <c:pt idx="441">
                  <c:v>696.46616541353376</c:v>
                </c:pt>
                <c:pt idx="442">
                  <c:v>696.69172932330821</c:v>
                </c:pt>
                <c:pt idx="443">
                  <c:v>655.56390977443607</c:v>
                </c:pt>
                <c:pt idx="444">
                  <c:v>655.56390977443607</c:v>
                </c:pt>
                <c:pt idx="445">
                  <c:v>655.56390977443607</c:v>
                </c:pt>
                <c:pt idx="446">
                  <c:v>651.95488721804497</c:v>
                </c:pt>
                <c:pt idx="447">
                  <c:v>651.95488721804497</c:v>
                </c:pt>
                <c:pt idx="448">
                  <c:v>639.62406015037584</c:v>
                </c:pt>
                <c:pt idx="449">
                  <c:v>641.42857142857133</c:v>
                </c:pt>
                <c:pt idx="450">
                  <c:v>636.39097744360902</c:v>
                </c:pt>
                <c:pt idx="451">
                  <c:v>636.39097744360902</c:v>
                </c:pt>
                <c:pt idx="452">
                  <c:v>636.39097744360902</c:v>
                </c:pt>
                <c:pt idx="453">
                  <c:v>643.15789473684208</c:v>
                </c:pt>
                <c:pt idx="454">
                  <c:v>620.60150375939861</c:v>
                </c:pt>
                <c:pt idx="455">
                  <c:v>626.76691729323306</c:v>
                </c:pt>
                <c:pt idx="456">
                  <c:v>629.5488721804511</c:v>
                </c:pt>
                <c:pt idx="457">
                  <c:v>612.25563909774439</c:v>
                </c:pt>
                <c:pt idx="458">
                  <c:v>612.25563909774439</c:v>
                </c:pt>
                <c:pt idx="459">
                  <c:v>612.25563909774439</c:v>
                </c:pt>
                <c:pt idx="460">
                  <c:v>615.33834586466162</c:v>
                </c:pt>
                <c:pt idx="461">
                  <c:v>611.12781954887214</c:v>
                </c:pt>
                <c:pt idx="462">
                  <c:v>586.39097744360902</c:v>
                </c:pt>
                <c:pt idx="463">
                  <c:v>624.96240601503757</c:v>
                </c:pt>
                <c:pt idx="464">
                  <c:v>645.71428571428567</c:v>
                </c:pt>
                <c:pt idx="465">
                  <c:v>645.71428571428567</c:v>
                </c:pt>
                <c:pt idx="466">
                  <c:v>645.71428571428567</c:v>
                </c:pt>
                <c:pt idx="467">
                  <c:v>624.06015037593988</c:v>
                </c:pt>
                <c:pt idx="468">
                  <c:v>611.65413533834578</c:v>
                </c:pt>
                <c:pt idx="469">
                  <c:v>575.78947368421052</c:v>
                </c:pt>
                <c:pt idx="470">
                  <c:v>561.65413533834578</c:v>
                </c:pt>
                <c:pt idx="471">
                  <c:v>566.09022556390971</c:v>
                </c:pt>
                <c:pt idx="472">
                  <c:v>566.09022556390971</c:v>
                </c:pt>
                <c:pt idx="473">
                  <c:v>566.09022556390971</c:v>
                </c:pt>
                <c:pt idx="474">
                  <c:v>586.61654135338347</c:v>
                </c:pt>
                <c:pt idx="475">
                  <c:v>574.43609022556393</c:v>
                </c:pt>
                <c:pt idx="476">
                  <c:v>593.08270676691723</c:v>
                </c:pt>
                <c:pt idx="477">
                  <c:v>618.27067669172925</c:v>
                </c:pt>
                <c:pt idx="478">
                  <c:v>616.24060150375931</c:v>
                </c:pt>
                <c:pt idx="479">
                  <c:v>616.24060150375931</c:v>
                </c:pt>
                <c:pt idx="480">
                  <c:v>616.24060150375931</c:v>
                </c:pt>
                <c:pt idx="481">
                  <c:v>597.14285714285711</c:v>
                </c:pt>
                <c:pt idx="482">
                  <c:v>595.48872180451133</c:v>
                </c:pt>
                <c:pt idx="483">
                  <c:v>613.23308270676694</c:v>
                </c:pt>
                <c:pt idx="484">
                  <c:v>616.54135338345861</c:v>
                </c:pt>
                <c:pt idx="485">
                  <c:v>625.33834586466162</c:v>
                </c:pt>
                <c:pt idx="486">
                  <c:v>625.33834586466162</c:v>
                </c:pt>
                <c:pt idx="487">
                  <c:v>625.33834586466162</c:v>
                </c:pt>
                <c:pt idx="488">
                  <c:v>625.03759398496231</c:v>
                </c:pt>
                <c:pt idx="489">
                  <c:v>633.15789473684208</c:v>
                </c:pt>
                <c:pt idx="490">
                  <c:v>641.20300751879688</c:v>
                </c:pt>
                <c:pt idx="491">
                  <c:v>633.75939849624058</c:v>
                </c:pt>
                <c:pt idx="492">
                  <c:v>624.81203007518786</c:v>
                </c:pt>
                <c:pt idx="493">
                  <c:v>624.81203007518786</c:v>
                </c:pt>
                <c:pt idx="494">
                  <c:v>624.81203007518786</c:v>
                </c:pt>
                <c:pt idx="495">
                  <c:v>650.4511278195489</c:v>
                </c:pt>
                <c:pt idx="496">
                  <c:v>651.80451127819538</c:v>
                </c:pt>
                <c:pt idx="497">
                  <c:v>635.18796992481202</c:v>
                </c:pt>
                <c:pt idx="498">
                  <c:v>647.74436090225572</c:v>
                </c:pt>
                <c:pt idx="499">
                  <c:v>615.03759398496231</c:v>
                </c:pt>
                <c:pt idx="500">
                  <c:v>615.03759398496231</c:v>
                </c:pt>
                <c:pt idx="501">
                  <c:v>615.03759398496231</c:v>
                </c:pt>
                <c:pt idx="502">
                  <c:v>638.04511278195491</c:v>
                </c:pt>
                <c:pt idx="503">
                  <c:v>616.46616541353376</c:v>
                </c:pt>
                <c:pt idx="504">
                  <c:v>614.81203007518786</c:v>
                </c:pt>
                <c:pt idx="505">
                  <c:v>597.59398496240601</c:v>
                </c:pt>
                <c:pt idx="506">
                  <c:v>586.87969924812035</c:v>
                </c:pt>
                <c:pt idx="507">
                  <c:v>586.87969924812035</c:v>
                </c:pt>
                <c:pt idx="508">
                  <c:v>586.87969924812035</c:v>
                </c:pt>
                <c:pt idx="509">
                  <c:v>570.07518796992474</c:v>
                </c:pt>
                <c:pt idx="510">
                  <c:v>561.87969924812023</c:v>
                </c:pt>
                <c:pt idx="511">
                  <c:v>584.21052631578948</c:v>
                </c:pt>
                <c:pt idx="512">
                  <c:v>586.01503759398486</c:v>
                </c:pt>
                <c:pt idx="513">
                  <c:v>563.38345864661653</c:v>
                </c:pt>
                <c:pt idx="514">
                  <c:v>563.38345864661653</c:v>
                </c:pt>
                <c:pt idx="515">
                  <c:v>563.38345864661653</c:v>
                </c:pt>
                <c:pt idx="516">
                  <c:v>575.56390977443607</c:v>
                </c:pt>
                <c:pt idx="517">
                  <c:v>576.3909774436089</c:v>
                </c:pt>
                <c:pt idx="518">
                  <c:v>593.45864661654127</c:v>
                </c:pt>
                <c:pt idx="519">
                  <c:v>585.71428571428578</c:v>
                </c:pt>
                <c:pt idx="520">
                  <c:v>573.98496240601503</c:v>
                </c:pt>
                <c:pt idx="521">
                  <c:v>573.98496240601503</c:v>
                </c:pt>
                <c:pt idx="522">
                  <c:v>573.98496240601503</c:v>
                </c:pt>
                <c:pt idx="523">
                  <c:v>593.83458646616543</c:v>
                </c:pt>
                <c:pt idx="524">
                  <c:v>615.86466165413526</c:v>
                </c:pt>
                <c:pt idx="525">
                  <c:v>591.65413533834578</c:v>
                </c:pt>
                <c:pt idx="526">
                  <c:v>616.61654135338347</c:v>
                </c:pt>
                <c:pt idx="527">
                  <c:v>616.61654135338347</c:v>
                </c:pt>
                <c:pt idx="528">
                  <c:v>616.61654135338347</c:v>
                </c:pt>
                <c:pt idx="529">
                  <c:v>616.61654135338347</c:v>
                </c:pt>
                <c:pt idx="530">
                  <c:v>620.60150375939861</c:v>
                </c:pt>
                <c:pt idx="531">
                  <c:v>678.3458646616541</c:v>
                </c:pt>
                <c:pt idx="532">
                  <c:v>693.08270676691734</c:v>
                </c:pt>
                <c:pt idx="533">
                  <c:v>682.85714285714278</c:v>
                </c:pt>
                <c:pt idx="534">
                  <c:v>643.23308270676694</c:v>
                </c:pt>
                <c:pt idx="535">
                  <c:v>643.23308270676694</c:v>
                </c:pt>
                <c:pt idx="536">
                  <c:v>643.23308270676694</c:v>
                </c:pt>
                <c:pt idx="537">
                  <c:v>630.07518796992474</c:v>
                </c:pt>
                <c:pt idx="538">
                  <c:v>646.76691729323306</c:v>
                </c:pt>
                <c:pt idx="539">
                  <c:v>649.24812030075179</c:v>
                </c:pt>
                <c:pt idx="540">
                  <c:v>624.66165413533827</c:v>
                </c:pt>
                <c:pt idx="541">
                  <c:v>630.1503759398496</c:v>
                </c:pt>
                <c:pt idx="542">
                  <c:v>630.1503759398496</c:v>
                </c:pt>
                <c:pt idx="543">
                  <c:v>630.1503759398496</c:v>
                </c:pt>
                <c:pt idx="544">
                  <c:v>622.33082706766913</c:v>
                </c:pt>
                <c:pt idx="545">
                  <c:v>609.69924812030069</c:v>
                </c:pt>
                <c:pt idx="546">
                  <c:v>613.98496240601503</c:v>
                </c:pt>
                <c:pt idx="547">
                  <c:v>619.69924812030069</c:v>
                </c:pt>
                <c:pt idx="548">
                  <c:v>611.27819548872174</c:v>
                </c:pt>
                <c:pt idx="549">
                  <c:v>611.27819548872174</c:v>
                </c:pt>
                <c:pt idx="550">
                  <c:v>611.27819548872174</c:v>
                </c:pt>
                <c:pt idx="551">
                  <c:v>615.33834586466162</c:v>
                </c:pt>
                <c:pt idx="552">
                  <c:v>621.12781954887214</c:v>
                </c:pt>
                <c:pt idx="553">
                  <c:v>578.0451127819548</c:v>
                </c:pt>
                <c:pt idx="554">
                  <c:v>618.3458646616541</c:v>
                </c:pt>
                <c:pt idx="555">
                  <c:v>637.96992481202994</c:v>
                </c:pt>
                <c:pt idx="556">
                  <c:v>637.96992481202994</c:v>
                </c:pt>
                <c:pt idx="557">
                  <c:v>637.96992481202994</c:v>
                </c:pt>
                <c:pt idx="558">
                  <c:v>651.95488721804497</c:v>
                </c:pt>
                <c:pt idx="559">
                  <c:v>641.42857142857133</c:v>
                </c:pt>
                <c:pt idx="560">
                  <c:v>639.3984962406015</c:v>
                </c:pt>
                <c:pt idx="561">
                  <c:v>583.98496240601503</c:v>
                </c:pt>
                <c:pt idx="562">
                  <c:v>582.18045112781965</c:v>
                </c:pt>
                <c:pt idx="563">
                  <c:v>582.18045112781965</c:v>
                </c:pt>
                <c:pt idx="564">
                  <c:v>582.18045112781965</c:v>
                </c:pt>
                <c:pt idx="565">
                  <c:v>587.96992481203006</c:v>
                </c:pt>
                <c:pt idx="566">
                  <c:v>572.1052631578948</c:v>
                </c:pt>
                <c:pt idx="567">
                  <c:v>508.3458646616541</c:v>
                </c:pt>
                <c:pt idx="568">
                  <c:v>518.57142857142856</c:v>
                </c:pt>
                <c:pt idx="569">
                  <c:v>521.80451127819549</c:v>
                </c:pt>
                <c:pt idx="570">
                  <c:v>521.80451127819549</c:v>
                </c:pt>
                <c:pt idx="571">
                  <c:v>521.80451127819549</c:v>
                </c:pt>
                <c:pt idx="572">
                  <c:v>447.89473684210526</c:v>
                </c:pt>
                <c:pt idx="573">
                  <c:v>464.58646616541347</c:v>
                </c:pt>
                <c:pt idx="574">
                  <c:v>428.57142857142856</c:v>
                </c:pt>
                <c:pt idx="575">
                  <c:v>432.03007518796994</c:v>
                </c:pt>
                <c:pt idx="576">
                  <c:v>413.83458646616538</c:v>
                </c:pt>
                <c:pt idx="577">
                  <c:v>413.83458646616538</c:v>
                </c:pt>
                <c:pt idx="578">
                  <c:v>413.83458646616538</c:v>
                </c:pt>
                <c:pt idx="579">
                  <c:v>412.93233082706769</c:v>
                </c:pt>
                <c:pt idx="580">
                  <c:v>416.09022556390977</c:v>
                </c:pt>
                <c:pt idx="581">
                  <c:v>411.42857142857139</c:v>
                </c:pt>
                <c:pt idx="582">
                  <c:v>402.93233082706763</c:v>
                </c:pt>
                <c:pt idx="583">
                  <c:v>420.1503759398496</c:v>
                </c:pt>
                <c:pt idx="584">
                  <c:v>420.1503759398496</c:v>
                </c:pt>
                <c:pt idx="585">
                  <c:v>420.1503759398496</c:v>
                </c:pt>
                <c:pt idx="586">
                  <c:v>430.48872180451127</c:v>
                </c:pt>
                <c:pt idx="587">
                  <c:v>401.72932330827064</c:v>
                </c:pt>
                <c:pt idx="588">
                  <c:v>397.96992481203006</c:v>
                </c:pt>
                <c:pt idx="589">
                  <c:v>401.50375939849619</c:v>
                </c:pt>
                <c:pt idx="590">
                  <c:v>393.53383458646618</c:v>
                </c:pt>
                <c:pt idx="591">
                  <c:v>393.53383458646618</c:v>
                </c:pt>
                <c:pt idx="592">
                  <c:v>393.53383458646618</c:v>
                </c:pt>
                <c:pt idx="593">
                  <c:v>393.53383458646618</c:v>
                </c:pt>
                <c:pt idx="594">
                  <c:v>395.33834586466162</c:v>
                </c:pt>
                <c:pt idx="595">
                  <c:v>395.56390977443607</c:v>
                </c:pt>
                <c:pt idx="596">
                  <c:v>378.04511278195491</c:v>
                </c:pt>
                <c:pt idx="597">
                  <c:v>376.69172932330827</c:v>
                </c:pt>
                <c:pt idx="598">
                  <c:v>376.69172932330827</c:v>
                </c:pt>
                <c:pt idx="599">
                  <c:v>376.69172932330827</c:v>
                </c:pt>
                <c:pt idx="600">
                  <c:v>390.45112781954884</c:v>
                </c:pt>
                <c:pt idx="601">
                  <c:v>393.90977443609023</c:v>
                </c:pt>
                <c:pt idx="602">
                  <c:v>405.93984962406012</c:v>
                </c:pt>
                <c:pt idx="603">
                  <c:v>411.72932330827064</c:v>
                </c:pt>
                <c:pt idx="604">
                  <c:v>407.74436090225555</c:v>
                </c:pt>
                <c:pt idx="605">
                  <c:v>407.74436090225555</c:v>
                </c:pt>
                <c:pt idx="606">
                  <c:v>407.74436090225555</c:v>
                </c:pt>
                <c:pt idx="607">
                  <c:v>406.31578947368416</c:v>
                </c:pt>
                <c:pt idx="608">
                  <c:v>410.1503759398496</c:v>
                </c:pt>
                <c:pt idx="609">
                  <c:v>409.4736842105263</c:v>
                </c:pt>
                <c:pt idx="610">
                  <c:v>411.12781954887214</c:v>
                </c:pt>
                <c:pt idx="611">
                  <c:v>402.25563909774434</c:v>
                </c:pt>
                <c:pt idx="612">
                  <c:v>402.25563909774434</c:v>
                </c:pt>
                <c:pt idx="613">
                  <c:v>402.25563909774434</c:v>
                </c:pt>
                <c:pt idx="614">
                  <c:v>397.21804511278197</c:v>
                </c:pt>
                <c:pt idx="615">
                  <c:v>431.87969924812029</c:v>
                </c:pt>
                <c:pt idx="616">
                  <c:v>423.98496240601497</c:v>
                </c:pt>
                <c:pt idx="617">
                  <c:v>398.27067669172931</c:v>
                </c:pt>
                <c:pt idx="618">
                  <c:v>399.24812030075185</c:v>
                </c:pt>
                <c:pt idx="619">
                  <c:v>399.24812030075185</c:v>
                </c:pt>
                <c:pt idx="620">
                  <c:v>399.24812030075185</c:v>
                </c:pt>
                <c:pt idx="621">
                  <c:v>395.71428571428572</c:v>
                </c:pt>
                <c:pt idx="622">
                  <c:v>396.46616541353382</c:v>
                </c:pt>
                <c:pt idx="623">
                  <c:v>402.55639097744364</c:v>
                </c:pt>
                <c:pt idx="624">
                  <c:v>403.23308270676694</c:v>
                </c:pt>
                <c:pt idx="625">
                  <c:v>404.51127819548873</c:v>
                </c:pt>
                <c:pt idx="626">
                  <c:v>404.51127819548873</c:v>
                </c:pt>
                <c:pt idx="627">
                  <c:v>404.51127819548873</c:v>
                </c:pt>
                <c:pt idx="628">
                  <c:v>389.02255639097746</c:v>
                </c:pt>
                <c:pt idx="629">
                  <c:v>396.54135338345867</c:v>
                </c:pt>
                <c:pt idx="630">
                  <c:v>399.92481203007515</c:v>
                </c:pt>
                <c:pt idx="631">
                  <c:v>414.81203007518798</c:v>
                </c:pt>
                <c:pt idx="632">
                  <c:v>414.81203007518798</c:v>
                </c:pt>
                <c:pt idx="633">
                  <c:v>414.81203007518798</c:v>
                </c:pt>
                <c:pt idx="634">
                  <c:v>414.81203007518798</c:v>
                </c:pt>
                <c:pt idx="635">
                  <c:v>410.90225563909775</c:v>
                </c:pt>
                <c:pt idx="636">
                  <c:v>423.98496240601497</c:v>
                </c:pt>
                <c:pt idx="637">
                  <c:v>417.06766917293231</c:v>
                </c:pt>
                <c:pt idx="638">
                  <c:v>410.45112781954884</c:v>
                </c:pt>
                <c:pt idx="639">
                  <c:v>407.51879699248121</c:v>
                </c:pt>
                <c:pt idx="640">
                  <c:v>407.51879699248121</c:v>
                </c:pt>
                <c:pt idx="641">
                  <c:v>407.51879699248121</c:v>
                </c:pt>
                <c:pt idx="642">
                  <c:v>409.84962406015029</c:v>
                </c:pt>
                <c:pt idx="643">
                  <c:v>392.33082706766913</c:v>
                </c:pt>
                <c:pt idx="644">
                  <c:v>404.21052631578942</c:v>
                </c:pt>
                <c:pt idx="645">
                  <c:v>419.09774436090225</c:v>
                </c:pt>
                <c:pt idx="646">
                  <c:v>399.92481203007515</c:v>
                </c:pt>
                <c:pt idx="647">
                  <c:v>399.92481203007515</c:v>
                </c:pt>
                <c:pt idx="648">
                  <c:v>399.92481203007515</c:v>
                </c:pt>
                <c:pt idx="649">
                  <c:v>390.6015037593985</c:v>
                </c:pt>
                <c:pt idx="650">
                  <c:v>392.18045112781954</c:v>
                </c:pt>
                <c:pt idx="651">
                  <c:v>392.40601503759393</c:v>
                </c:pt>
                <c:pt idx="652">
                  <c:v>395.18796992481202</c:v>
                </c:pt>
                <c:pt idx="653">
                  <c:v>375.03759398496237</c:v>
                </c:pt>
                <c:pt idx="654">
                  <c:v>375.03759398496237</c:v>
                </c:pt>
                <c:pt idx="655">
                  <c:v>375.03759398496237</c:v>
                </c:pt>
                <c:pt idx="656">
                  <c:v>393.90977443609023</c:v>
                </c:pt>
                <c:pt idx="657">
                  <c:v>403.45864661654127</c:v>
                </c:pt>
                <c:pt idx="658">
                  <c:v>417.3684210526315</c:v>
                </c:pt>
                <c:pt idx="659">
                  <c:v>424.73684210526318</c:v>
                </c:pt>
                <c:pt idx="660">
                  <c:v>422.40601503759399</c:v>
                </c:pt>
                <c:pt idx="661">
                  <c:v>422.40601503759399</c:v>
                </c:pt>
                <c:pt idx="662">
                  <c:v>422.40601503759399</c:v>
                </c:pt>
                <c:pt idx="663">
                  <c:v>420.30075187969925</c:v>
                </c:pt>
                <c:pt idx="664">
                  <c:v>420.4511278195489</c:v>
                </c:pt>
                <c:pt idx="665">
                  <c:v>397.89473684210526</c:v>
                </c:pt>
                <c:pt idx="666">
                  <c:v>428.3458646616541</c:v>
                </c:pt>
                <c:pt idx="667">
                  <c:v>425.56390977443607</c:v>
                </c:pt>
                <c:pt idx="668">
                  <c:v>425.56390977443607</c:v>
                </c:pt>
                <c:pt idx="669">
                  <c:v>425.56390977443607</c:v>
                </c:pt>
                <c:pt idx="670">
                  <c:v>428.19548872180457</c:v>
                </c:pt>
                <c:pt idx="671">
                  <c:v>413.45864661654133</c:v>
                </c:pt>
                <c:pt idx="672">
                  <c:v>413.00751879699249</c:v>
                </c:pt>
                <c:pt idx="673">
                  <c:v>383.00751879699243</c:v>
                </c:pt>
                <c:pt idx="674">
                  <c:v>363.75939849624064</c:v>
                </c:pt>
                <c:pt idx="675">
                  <c:v>363.75939849624064</c:v>
                </c:pt>
                <c:pt idx="676">
                  <c:v>363.75939849624064</c:v>
                </c:pt>
                <c:pt idx="677">
                  <c:v>363.75939849624064</c:v>
                </c:pt>
                <c:pt idx="678">
                  <c:v>366.84210526315786</c:v>
                </c:pt>
                <c:pt idx="679">
                  <c:v>357.59398496240601</c:v>
                </c:pt>
                <c:pt idx="680">
                  <c:v>357.29323308270676</c:v>
                </c:pt>
                <c:pt idx="681">
                  <c:v>320.22556390977445</c:v>
                </c:pt>
                <c:pt idx="682">
                  <c:v>320.22556390977445</c:v>
                </c:pt>
                <c:pt idx="683">
                  <c:v>320.22556390977445</c:v>
                </c:pt>
                <c:pt idx="684">
                  <c:v>334.51127819548873</c:v>
                </c:pt>
                <c:pt idx="685">
                  <c:v>328.27067669172931</c:v>
                </c:pt>
                <c:pt idx="686">
                  <c:v>341.95488721804509</c:v>
                </c:pt>
                <c:pt idx="687">
                  <c:v>359.84962406015035</c:v>
                </c:pt>
                <c:pt idx="688">
                  <c:v>350.22556390977439</c:v>
                </c:pt>
                <c:pt idx="689">
                  <c:v>350.22556390977439</c:v>
                </c:pt>
                <c:pt idx="690">
                  <c:v>350.22556390977439</c:v>
                </c:pt>
                <c:pt idx="691">
                  <c:v>357.14285714285711</c:v>
                </c:pt>
                <c:pt idx="692">
                  <c:v>335.56390977443613</c:v>
                </c:pt>
                <c:pt idx="693">
                  <c:v>347.51879699248116</c:v>
                </c:pt>
                <c:pt idx="694">
                  <c:v>313.08270676691728</c:v>
                </c:pt>
                <c:pt idx="695">
                  <c:v>297.81954887218041</c:v>
                </c:pt>
                <c:pt idx="696">
                  <c:v>297.81954887218041</c:v>
                </c:pt>
                <c:pt idx="697">
                  <c:v>297.81954887218041</c:v>
                </c:pt>
                <c:pt idx="698">
                  <c:v>299.3984962406015</c:v>
                </c:pt>
                <c:pt idx="699">
                  <c:v>294.13533834586462</c:v>
                </c:pt>
                <c:pt idx="700">
                  <c:v>314.88721804511277</c:v>
                </c:pt>
                <c:pt idx="701">
                  <c:v>291.05263157894734</c:v>
                </c:pt>
                <c:pt idx="702">
                  <c:v>330.07518796992474</c:v>
                </c:pt>
                <c:pt idx="703">
                  <c:v>330.07518796992474</c:v>
                </c:pt>
                <c:pt idx="704">
                  <c:v>330.07518796992474</c:v>
                </c:pt>
                <c:pt idx="705">
                  <c:v>293.30827067669173</c:v>
                </c:pt>
                <c:pt idx="706">
                  <c:v>343.60902255639098</c:v>
                </c:pt>
                <c:pt idx="707">
                  <c:v>341.20300751879699</c:v>
                </c:pt>
                <c:pt idx="708">
                  <c:v>325.33834586466168</c:v>
                </c:pt>
                <c:pt idx="709">
                  <c:v>365.33834586466168</c:v>
                </c:pt>
                <c:pt idx="710">
                  <c:v>365.33834586466168</c:v>
                </c:pt>
                <c:pt idx="711">
                  <c:v>365.33834586466168</c:v>
                </c:pt>
                <c:pt idx="712">
                  <c:v>361.72932330827064</c:v>
                </c:pt>
                <c:pt idx="713">
                  <c:v>376.76691729323306</c:v>
                </c:pt>
                <c:pt idx="714">
                  <c:v>351.50375939849619</c:v>
                </c:pt>
                <c:pt idx="715">
                  <c:v>356.84210526315792</c:v>
                </c:pt>
                <c:pt idx="716">
                  <c:v>341.95488721804509</c:v>
                </c:pt>
                <c:pt idx="717">
                  <c:v>341.95488721804509</c:v>
                </c:pt>
                <c:pt idx="718">
                  <c:v>341.95488721804509</c:v>
                </c:pt>
                <c:pt idx="719">
                  <c:v>330.90225563909769</c:v>
                </c:pt>
                <c:pt idx="720">
                  <c:v>357.06766917293231</c:v>
                </c:pt>
                <c:pt idx="721">
                  <c:v>357.66917293233081</c:v>
                </c:pt>
                <c:pt idx="722">
                  <c:v>369.32330827067665</c:v>
                </c:pt>
                <c:pt idx="723">
                  <c:v>400.60150375939844</c:v>
                </c:pt>
                <c:pt idx="724">
                  <c:v>400.60150375939844</c:v>
                </c:pt>
                <c:pt idx="725">
                  <c:v>400.60150375939844</c:v>
                </c:pt>
                <c:pt idx="726">
                  <c:v>430.6015037593985</c:v>
                </c:pt>
                <c:pt idx="727">
                  <c:v>442.85714285714278</c:v>
                </c:pt>
                <c:pt idx="728">
                  <c:v>427.74436090225561</c:v>
                </c:pt>
                <c:pt idx="729">
                  <c:v>415.86466165413532</c:v>
                </c:pt>
                <c:pt idx="730">
                  <c:v>415.86466165413532</c:v>
                </c:pt>
                <c:pt idx="731">
                  <c:v>415.86466165413532</c:v>
                </c:pt>
                <c:pt idx="732">
                  <c:v>415.86466165413532</c:v>
                </c:pt>
                <c:pt idx="733">
                  <c:v>409.99999999999994</c:v>
                </c:pt>
                <c:pt idx="734">
                  <c:v>405.18796992481202</c:v>
                </c:pt>
                <c:pt idx="735">
                  <c:v>404.51127819548873</c:v>
                </c:pt>
                <c:pt idx="736">
                  <c:v>392.93233082706763</c:v>
                </c:pt>
                <c:pt idx="737">
                  <c:v>373.90977443609017</c:v>
                </c:pt>
                <c:pt idx="738">
                  <c:v>373.90977443609017</c:v>
                </c:pt>
                <c:pt idx="739">
                  <c:v>373.90977443609017</c:v>
                </c:pt>
                <c:pt idx="740">
                  <c:v>370.82706766917289</c:v>
                </c:pt>
                <c:pt idx="741">
                  <c:v>374.73684210526318</c:v>
                </c:pt>
                <c:pt idx="742">
                  <c:v>371.80451127819549</c:v>
                </c:pt>
                <c:pt idx="743">
                  <c:v>361.0526315789474</c:v>
                </c:pt>
                <c:pt idx="744">
                  <c:v>353.38345864661653</c:v>
                </c:pt>
                <c:pt idx="745">
                  <c:v>353.38345864661653</c:v>
                </c:pt>
                <c:pt idx="746">
                  <c:v>353.38345864661653</c:v>
                </c:pt>
                <c:pt idx="747">
                  <c:v>366.76691729323306</c:v>
                </c:pt>
                <c:pt idx="748">
                  <c:v>357.21804511278191</c:v>
                </c:pt>
                <c:pt idx="749">
                  <c:v>379.92481203007515</c:v>
                </c:pt>
                <c:pt idx="750">
                  <c:v>370.37593984962405</c:v>
                </c:pt>
                <c:pt idx="751">
                  <c:v>378.57142857142856</c:v>
                </c:pt>
                <c:pt idx="752">
                  <c:v>378.57142857142856</c:v>
                </c:pt>
                <c:pt idx="753">
                  <c:v>378.57142857142856</c:v>
                </c:pt>
                <c:pt idx="754">
                  <c:v>388.79699248120301</c:v>
                </c:pt>
                <c:pt idx="755">
                  <c:v>386.69172932330827</c:v>
                </c:pt>
                <c:pt idx="756">
                  <c:v>383.83458646616538</c:v>
                </c:pt>
                <c:pt idx="757">
                  <c:v>382.93233082706763</c:v>
                </c:pt>
                <c:pt idx="758">
                  <c:v>382.93233082706763</c:v>
                </c:pt>
                <c:pt idx="759">
                  <c:v>382.93233082706763</c:v>
                </c:pt>
                <c:pt idx="760">
                  <c:v>382.93233082706763</c:v>
                </c:pt>
                <c:pt idx="761">
                  <c:v>374.21052631578948</c:v>
                </c:pt>
                <c:pt idx="762">
                  <c:v>365</c:v>
                </c:pt>
                <c:pt idx="763">
                  <c:v>362.48120300751879</c:v>
                </c:pt>
                <c:pt idx="764">
                  <c:v>366.50375939849619</c:v>
                </c:pt>
                <c:pt idx="765">
                  <c:v>362.14285714285711</c:v>
                </c:pt>
                <c:pt idx="766">
                  <c:v>362.14285714285711</c:v>
                </c:pt>
                <c:pt idx="767">
                  <c:v>362.14285714285711</c:v>
                </c:pt>
                <c:pt idx="768">
                  <c:v>368.19548872180451</c:v>
                </c:pt>
                <c:pt idx="769">
                  <c:v>359.6240601503759</c:v>
                </c:pt>
                <c:pt idx="770">
                  <c:v>362.78195488721803</c:v>
                </c:pt>
                <c:pt idx="771">
                  <c:v>363.83458646616538</c:v>
                </c:pt>
                <c:pt idx="772">
                  <c:v>365.41353383458647</c:v>
                </c:pt>
                <c:pt idx="773">
                  <c:v>365.41353383458647</c:v>
                </c:pt>
                <c:pt idx="774">
                  <c:v>365.41353383458647</c:v>
                </c:pt>
                <c:pt idx="775">
                  <c:v>369.17293233082705</c:v>
                </c:pt>
                <c:pt idx="776">
                  <c:v>344.81203007518792</c:v>
                </c:pt>
                <c:pt idx="777">
                  <c:v>344.81203007518792</c:v>
                </c:pt>
                <c:pt idx="778">
                  <c:v>342.25563909774434</c:v>
                </c:pt>
                <c:pt idx="779">
                  <c:v>347.21804511278197</c:v>
                </c:pt>
                <c:pt idx="780">
                  <c:v>347.21804511278197</c:v>
                </c:pt>
                <c:pt idx="781">
                  <c:v>347.21804511278197</c:v>
                </c:pt>
                <c:pt idx="782">
                  <c:v>350.6015037593985</c:v>
                </c:pt>
                <c:pt idx="783">
                  <c:v>349.92481203007515</c:v>
                </c:pt>
                <c:pt idx="784">
                  <c:v>349.92481203007515</c:v>
                </c:pt>
                <c:pt idx="785">
                  <c:v>341.80451127819549</c:v>
                </c:pt>
                <c:pt idx="786">
                  <c:v>331.95488721804509</c:v>
                </c:pt>
                <c:pt idx="787">
                  <c:v>331.95488721804509</c:v>
                </c:pt>
                <c:pt idx="788">
                  <c:v>331.95488721804509</c:v>
                </c:pt>
                <c:pt idx="789">
                  <c:v>322.03007518796989</c:v>
                </c:pt>
                <c:pt idx="790">
                  <c:v>318.04511278195486</c:v>
                </c:pt>
                <c:pt idx="791">
                  <c:v>321.57894736842104</c:v>
                </c:pt>
                <c:pt idx="792">
                  <c:v>318.42105263157896</c:v>
                </c:pt>
                <c:pt idx="793">
                  <c:v>309.39849624060145</c:v>
                </c:pt>
                <c:pt idx="794">
                  <c:v>309.39849624060145</c:v>
                </c:pt>
                <c:pt idx="795">
                  <c:v>309.39849624060145</c:v>
                </c:pt>
                <c:pt idx="796">
                  <c:v>320.22556390977445</c:v>
                </c:pt>
                <c:pt idx="797">
                  <c:v>296.76691729323306</c:v>
                </c:pt>
                <c:pt idx="798">
                  <c:v>296.54135338345861</c:v>
                </c:pt>
                <c:pt idx="799">
                  <c:v>292.70676691729324</c:v>
                </c:pt>
                <c:pt idx="800">
                  <c:v>297.96992481203006</c:v>
                </c:pt>
                <c:pt idx="801">
                  <c:v>297.96992481203006</c:v>
                </c:pt>
                <c:pt idx="802">
                  <c:v>297.96992481203006</c:v>
                </c:pt>
                <c:pt idx="803">
                  <c:v>297.8947368421052</c:v>
                </c:pt>
                <c:pt idx="804">
                  <c:v>298.4210526315789</c:v>
                </c:pt>
                <c:pt idx="805">
                  <c:v>292.48120300751879</c:v>
                </c:pt>
                <c:pt idx="806">
                  <c:v>291.20300751879699</c:v>
                </c:pt>
                <c:pt idx="807">
                  <c:v>294.36090225563908</c:v>
                </c:pt>
                <c:pt idx="808">
                  <c:v>294.36090225563908</c:v>
                </c:pt>
                <c:pt idx="809">
                  <c:v>294.36090225563908</c:v>
                </c:pt>
                <c:pt idx="810">
                  <c:v>296.31578947368416</c:v>
                </c:pt>
                <c:pt idx="811">
                  <c:v>296.31578947368416</c:v>
                </c:pt>
                <c:pt idx="812">
                  <c:v>293.15789473684208</c:v>
                </c:pt>
                <c:pt idx="813">
                  <c:v>299.17293233082705</c:v>
                </c:pt>
                <c:pt idx="814">
                  <c:v>294.36090225563908</c:v>
                </c:pt>
                <c:pt idx="815">
                  <c:v>294.36090225563908</c:v>
                </c:pt>
                <c:pt idx="816">
                  <c:v>294.36090225563908</c:v>
                </c:pt>
                <c:pt idx="817">
                  <c:v>297.14285714285717</c:v>
                </c:pt>
                <c:pt idx="818">
                  <c:v>308.12030075187965</c:v>
                </c:pt>
                <c:pt idx="819">
                  <c:v>310.45112781954884</c:v>
                </c:pt>
                <c:pt idx="820">
                  <c:v>299.8496240601504</c:v>
                </c:pt>
                <c:pt idx="821">
                  <c:v>289.9248120300752</c:v>
                </c:pt>
                <c:pt idx="822">
                  <c:v>289.9248120300752</c:v>
                </c:pt>
                <c:pt idx="823">
                  <c:v>289.9248120300752</c:v>
                </c:pt>
                <c:pt idx="824">
                  <c:v>288.3458646616541</c:v>
                </c:pt>
                <c:pt idx="825">
                  <c:v>282.10526315789474</c:v>
                </c:pt>
                <c:pt idx="826">
                  <c:v>276.01503759398491</c:v>
                </c:pt>
                <c:pt idx="827">
                  <c:v>273.00751879699249</c:v>
                </c:pt>
                <c:pt idx="828">
                  <c:v>272.85714285714283</c:v>
                </c:pt>
                <c:pt idx="829">
                  <c:v>272.85714285714283</c:v>
                </c:pt>
                <c:pt idx="830">
                  <c:v>272.85714285714283</c:v>
                </c:pt>
                <c:pt idx="831">
                  <c:v>272.78195488721803</c:v>
                </c:pt>
                <c:pt idx="832">
                  <c:v>270.15037593984965</c:v>
                </c:pt>
                <c:pt idx="833">
                  <c:v>271.80451127819543</c:v>
                </c:pt>
                <c:pt idx="834">
                  <c:v>272.85714285714283</c:v>
                </c:pt>
                <c:pt idx="835">
                  <c:v>262.33082706766913</c:v>
                </c:pt>
                <c:pt idx="836">
                  <c:v>262.33082706766913</c:v>
                </c:pt>
                <c:pt idx="837">
                  <c:v>262.33082706766913</c:v>
                </c:pt>
                <c:pt idx="838">
                  <c:v>255.1127819548872</c:v>
                </c:pt>
                <c:pt idx="839">
                  <c:v>249.09774436090225</c:v>
                </c:pt>
                <c:pt idx="840">
                  <c:v>248.34586466165413</c:v>
                </c:pt>
                <c:pt idx="841">
                  <c:v>253.30827067669168</c:v>
                </c:pt>
                <c:pt idx="842">
                  <c:v>245.93984962406012</c:v>
                </c:pt>
                <c:pt idx="843">
                  <c:v>245.93984962406012</c:v>
                </c:pt>
                <c:pt idx="844">
                  <c:v>245.93984962406012</c:v>
                </c:pt>
                <c:pt idx="845">
                  <c:v>238.49624060150373</c:v>
                </c:pt>
                <c:pt idx="846">
                  <c:v>235.78947368421049</c:v>
                </c:pt>
                <c:pt idx="847">
                  <c:v>236.91729323308272</c:v>
                </c:pt>
                <c:pt idx="848">
                  <c:v>240.82706766917292</c:v>
                </c:pt>
                <c:pt idx="849">
                  <c:v>232.85714285714283</c:v>
                </c:pt>
                <c:pt idx="850">
                  <c:v>232.85714285714283</c:v>
                </c:pt>
                <c:pt idx="851">
                  <c:v>232.85714285714283</c:v>
                </c:pt>
                <c:pt idx="852">
                  <c:v>234.13533834586465</c:v>
                </c:pt>
                <c:pt idx="853">
                  <c:v>231.65413533834584</c:v>
                </c:pt>
                <c:pt idx="854">
                  <c:v>230.97744360902252</c:v>
                </c:pt>
                <c:pt idx="855">
                  <c:v>229.5488721804511</c:v>
                </c:pt>
                <c:pt idx="856">
                  <c:v>223.68421052631581</c:v>
                </c:pt>
                <c:pt idx="857">
                  <c:v>223.68421052631581</c:v>
                </c:pt>
                <c:pt idx="858">
                  <c:v>223.68421052631581</c:v>
                </c:pt>
                <c:pt idx="859">
                  <c:v>213.38345864661653</c:v>
                </c:pt>
                <c:pt idx="860">
                  <c:v>213.984962406015</c:v>
                </c:pt>
                <c:pt idx="861">
                  <c:v>212.25563909774436</c:v>
                </c:pt>
                <c:pt idx="862">
                  <c:v>217.51879699248119</c:v>
                </c:pt>
                <c:pt idx="863">
                  <c:v>218.12030075187971</c:v>
                </c:pt>
                <c:pt idx="864">
                  <c:v>218.12030075187971</c:v>
                </c:pt>
                <c:pt idx="865">
                  <c:v>218.12030075187971</c:v>
                </c:pt>
                <c:pt idx="866">
                  <c:v>215.63909774436087</c:v>
                </c:pt>
                <c:pt idx="867">
                  <c:v>212.85714285714286</c:v>
                </c:pt>
                <c:pt idx="868">
                  <c:v>216.24060150375942</c:v>
                </c:pt>
                <c:pt idx="869">
                  <c:v>217.96992481203006</c:v>
                </c:pt>
                <c:pt idx="870">
                  <c:v>215.93984962406014</c:v>
                </c:pt>
                <c:pt idx="871">
                  <c:v>215.93984962406014</c:v>
                </c:pt>
                <c:pt idx="872">
                  <c:v>215.93984962406014</c:v>
                </c:pt>
                <c:pt idx="873">
                  <c:v>221.57894736842104</c:v>
                </c:pt>
                <c:pt idx="874">
                  <c:v>222.10526315789471</c:v>
                </c:pt>
                <c:pt idx="875">
                  <c:v>221.95488721804512</c:v>
                </c:pt>
                <c:pt idx="876">
                  <c:v>230.37593984962405</c:v>
                </c:pt>
                <c:pt idx="877">
                  <c:v>225.93984962406014</c:v>
                </c:pt>
                <c:pt idx="878">
                  <c:v>225.93984962406014</c:v>
                </c:pt>
                <c:pt idx="879">
                  <c:v>225.93984962406014</c:v>
                </c:pt>
                <c:pt idx="880">
                  <c:v>227.74436090225564</c:v>
                </c:pt>
                <c:pt idx="881">
                  <c:v>228.72180451127821</c:v>
                </c:pt>
                <c:pt idx="882">
                  <c:v>233.00751879699243</c:v>
                </c:pt>
                <c:pt idx="883">
                  <c:v>231.80451127819546</c:v>
                </c:pt>
                <c:pt idx="884">
                  <c:v>230.75187969924812</c:v>
                </c:pt>
                <c:pt idx="885">
                  <c:v>230.75187969924812</c:v>
                </c:pt>
                <c:pt idx="886">
                  <c:v>230.75187969924812</c:v>
                </c:pt>
                <c:pt idx="887">
                  <c:v>227.14285714285714</c:v>
                </c:pt>
                <c:pt idx="888">
                  <c:v>223.75939849624058</c:v>
                </c:pt>
                <c:pt idx="889">
                  <c:v>227.29323308270673</c:v>
                </c:pt>
                <c:pt idx="890">
                  <c:v>229.32330827067665</c:v>
                </c:pt>
                <c:pt idx="891">
                  <c:v>229.77443609022555</c:v>
                </c:pt>
                <c:pt idx="892">
                  <c:v>229.77443609022555</c:v>
                </c:pt>
                <c:pt idx="893">
                  <c:v>229.77443609022555</c:v>
                </c:pt>
                <c:pt idx="894">
                  <c:v>236.84210526315786</c:v>
                </c:pt>
                <c:pt idx="895">
                  <c:v>232.70676691729321</c:v>
                </c:pt>
                <c:pt idx="896">
                  <c:v>232.33082706766916</c:v>
                </c:pt>
                <c:pt idx="897">
                  <c:v>236.46616541353382</c:v>
                </c:pt>
                <c:pt idx="898">
                  <c:v>236.46616541353382</c:v>
                </c:pt>
                <c:pt idx="899">
                  <c:v>236.46616541353382</c:v>
                </c:pt>
                <c:pt idx="900">
                  <c:v>236.46616541353382</c:v>
                </c:pt>
                <c:pt idx="901">
                  <c:v>236.46616541353382</c:v>
                </c:pt>
                <c:pt idx="902">
                  <c:v>231.42857142857142</c:v>
                </c:pt>
                <c:pt idx="903">
                  <c:v>227.06766917293231</c:v>
                </c:pt>
                <c:pt idx="904">
                  <c:v>227.66917293233084</c:v>
                </c:pt>
                <c:pt idx="905">
                  <c:v>222.10526315789471</c:v>
                </c:pt>
                <c:pt idx="906">
                  <c:v>222.10526315789471</c:v>
                </c:pt>
                <c:pt idx="907">
                  <c:v>222.10526315789471</c:v>
                </c:pt>
                <c:pt idx="908">
                  <c:v>239.84962406015035</c:v>
                </c:pt>
                <c:pt idx="909">
                  <c:v>238.34586466165413</c:v>
                </c:pt>
                <c:pt idx="910">
                  <c:v>230.97744360902252</c:v>
                </c:pt>
                <c:pt idx="911">
                  <c:v>236.69172932330827</c:v>
                </c:pt>
                <c:pt idx="912">
                  <c:v>234.4360902255639</c:v>
                </c:pt>
                <c:pt idx="913">
                  <c:v>234.4360902255639</c:v>
                </c:pt>
                <c:pt idx="914">
                  <c:v>234.4360902255639</c:v>
                </c:pt>
                <c:pt idx="915">
                  <c:v>223.08270676691731</c:v>
                </c:pt>
                <c:pt idx="916">
                  <c:v>227.36842105263156</c:v>
                </c:pt>
                <c:pt idx="917">
                  <c:v>241.42857142857142</c:v>
                </c:pt>
                <c:pt idx="918">
                  <c:v>243.83458646616538</c:v>
                </c:pt>
                <c:pt idx="919">
                  <c:v>257.06766917293231</c:v>
                </c:pt>
                <c:pt idx="920">
                  <c:v>257.06766917293231</c:v>
                </c:pt>
                <c:pt idx="921">
                  <c:v>257.06766917293231</c:v>
                </c:pt>
                <c:pt idx="922">
                  <c:v>255.03759398496243</c:v>
                </c:pt>
                <c:pt idx="923">
                  <c:v>219.4736842105263</c:v>
                </c:pt>
                <c:pt idx="924">
                  <c:v>216.99248120300751</c:v>
                </c:pt>
                <c:pt idx="925">
                  <c:v>210.45112781954884</c:v>
                </c:pt>
                <c:pt idx="926">
                  <c:v>221.35338345864662</c:v>
                </c:pt>
                <c:pt idx="927">
                  <c:v>221.35338345864662</c:v>
                </c:pt>
                <c:pt idx="928">
                  <c:v>221.35338345864662</c:v>
                </c:pt>
                <c:pt idx="929">
                  <c:v>224.51127819548867</c:v>
                </c:pt>
                <c:pt idx="930">
                  <c:v>228.9473684210526</c:v>
                </c:pt>
                <c:pt idx="931">
                  <c:v>254.66165413533832</c:v>
                </c:pt>
                <c:pt idx="932">
                  <c:v>251.72932330827064</c:v>
                </c:pt>
                <c:pt idx="933">
                  <c:v>255.78947368421052</c:v>
                </c:pt>
                <c:pt idx="934">
                  <c:v>255.78947368421052</c:v>
                </c:pt>
                <c:pt idx="935">
                  <c:v>255.78947368421052</c:v>
                </c:pt>
                <c:pt idx="936">
                  <c:v>253.15789473684211</c:v>
                </c:pt>
                <c:pt idx="937">
                  <c:v>256.46616541353382</c:v>
                </c:pt>
                <c:pt idx="938">
                  <c:v>251.80451127819546</c:v>
                </c:pt>
                <c:pt idx="939">
                  <c:v>246.99248120300749</c:v>
                </c:pt>
                <c:pt idx="940">
                  <c:v>244.43609022556387</c:v>
                </c:pt>
                <c:pt idx="941">
                  <c:v>244.43609022556387</c:v>
                </c:pt>
                <c:pt idx="942">
                  <c:v>244.43609022556387</c:v>
                </c:pt>
                <c:pt idx="943">
                  <c:v>248.12030075187971</c:v>
                </c:pt>
                <c:pt idx="944">
                  <c:v>252.63157894736841</c:v>
                </c:pt>
                <c:pt idx="945">
                  <c:v>254.5112781954887</c:v>
                </c:pt>
                <c:pt idx="946">
                  <c:v>258.57142857142856</c:v>
                </c:pt>
                <c:pt idx="947">
                  <c:v>249.69924812030072</c:v>
                </c:pt>
                <c:pt idx="948">
                  <c:v>249.69924812030072</c:v>
                </c:pt>
                <c:pt idx="949">
                  <c:v>249.69924812030072</c:v>
                </c:pt>
                <c:pt idx="950">
                  <c:v>248.57142857142858</c:v>
                </c:pt>
                <c:pt idx="951">
                  <c:v>254.06015037593983</c:v>
                </c:pt>
                <c:pt idx="952">
                  <c:v>249.24812030075185</c:v>
                </c:pt>
                <c:pt idx="953">
                  <c:v>240.90225563909772</c:v>
                </c:pt>
                <c:pt idx="954">
                  <c:v>236.84210526315786</c:v>
                </c:pt>
                <c:pt idx="955">
                  <c:v>236.84210526315786</c:v>
                </c:pt>
                <c:pt idx="956">
                  <c:v>236.84210526315786</c:v>
                </c:pt>
                <c:pt idx="957">
                  <c:v>234.51127819548873</c:v>
                </c:pt>
                <c:pt idx="958">
                  <c:v>234.51127819548873</c:v>
                </c:pt>
                <c:pt idx="959">
                  <c:v>234.88721804511275</c:v>
                </c:pt>
                <c:pt idx="960">
                  <c:v>234.58646616541353</c:v>
                </c:pt>
                <c:pt idx="961">
                  <c:v>228.3458646616541</c:v>
                </c:pt>
                <c:pt idx="962">
                  <c:v>228.3458646616541</c:v>
                </c:pt>
                <c:pt idx="963">
                  <c:v>228.3458646616541</c:v>
                </c:pt>
                <c:pt idx="964">
                  <c:v>231.12781954887214</c:v>
                </c:pt>
                <c:pt idx="965">
                  <c:v>224.9624060150376</c:v>
                </c:pt>
                <c:pt idx="966">
                  <c:v>216.99248120300751</c:v>
                </c:pt>
                <c:pt idx="967">
                  <c:v>220.00000000000003</c:v>
                </c:pt>
                <c:pt idx="968">
                  <c:v>218.79699248120298</c:v>
                </c:pt>
                <c:pt idx="969">
                  <c:v>218.79699248120298</c:v>
                </c:pt>
                <c:pt idx="970">
                  <c:v>218.79699248120298</c:v>
                </c:pt>
                <c:pt idx="971">
                  <c:v>225.6390977443609</c:v>
                </c:pt>
                <c:pt idx="972">
                  <c:v>229.32330827067665</c:v>
                </c:pt>
                <c:pt idx="973">
                  <c:v>228.9473684210526</c:v>
                </c:pt>
                <c:pt idx="974">
                  <c:v>219.5488721804511</c:v>
                </c:pt>
                <c:pt idx="975">
                  <c:v>228.27067669172928</c:v>
                </c:pt>
                <c:pt idx="976">
                  <c:v>228.27067669172928</c:v>
                </c:pt>
                <c:pt idx="977">
                  <c:v>228.27067669172928</c:v>
                </c:pt>
                <c:pt idx="978">
                  <c:v>236.01503759398494</c:v>
                </c:pt>
                <c:pt idx="979">
                  <c:v>241.95488721804509</c:v>
                </c:pt>
                <c:pt idx="980">
                  <c:v>243.68421052631578</c:v>
                </c:pt>
                <c:pt idx="981">
                  <c:v>249.84962406015035</c:v>
                </c:pt>
                <c:pt idx="982">
                  <c:v>243.68421052631578</c:v>
                </c:pt>
                <c:pt idx="983">
                  <c:v>243.68421052631578</c:v>
                </c:pt>
                <c:pt idx="984">
                  <c:v>243.68421052631578</c:v>
                </c:pt>
                <c:pt idx="985">
                  <c:v>239.24812030075188</c:v>
                </c:pt>
                <c:pt idx="986">
                  <c:v>221.80451127819549</c:v>
                </c:pt>
                <c:pt idx="987">
                  <c:v>222.33082706766916</c:v>
                </c:pt>
                <c:pt idx="988">
                  <c:v>207.36842105263156</c:v>
                </c:pt>
                <c:pt idx="989">
                  <c:v>206.09022556390974</c:v>
                </c:pt>
                <c:pt idx="990">
                  <c:v>206.09022556390974</c:v>
                </c:pt>
                <c:pt idx="991">
                  <c:v>206.09022556390974</c:v>
                </c:pt>
                <c:pt idx="992">
                  <c:v>210.75187969924812</c:v>
                </c:pt>
                <c:pt idx="993">
                  <c:v>211.20300751879699</c:v>
                </c:pt>
                <c:pt idx="994">
                  <c:v>218.27067669172934</c:v>
                </c:pt>
                <c:pt idx="995">
                  <c:v>198.79699248120301</c:v>
                </c:pt>
                <c:pt idx="996">
                  <c:v>198.79699248120301</c:v>
                </c:pt>
                <c:pt idx="997">
                  <c:v>198.79699248120301</c:v>
                </c:pt>
                <c:pt idx="998">
                  <c:v>198.79699248120301</c:v>
                </c:pt>
                <c:pt idx="999">
                  <c:v>198.19548872180451</c:v>
                </c:pt>
                <c:pt idx="1000">
                  <c:v>206.09022556390974</c:v>
                </c:pt>
                <c:pt idx="1001">
                  <c:v>205.63909774436092</c:v>
                </c:pt>
                <c:pt idx="1002">
                  <c:v>200.6015037593985</c:v>
                </c:pt>
                <c:pt idx="1003">
                  <c:v>206.76691729323306</c:v>
                </c:pt>
                <c:pt idx="1004">
                  <c:v>206.76691729323306</c:v>
                </c:pt>
                <c:pt idx="1005">
                  <c:v>206.76691729323306</c:v>
                </c:pt>
                <c:pt idx="1006">
                  <c:v>210.6015037593985</c:v>
                </c:pt>
                <c:pt idx="1007">
                  <c:v>207.36842105263156</c:v>
                </c:pt>
                <c:pt idx="1008">
                  <c:v>205.41353383458647</c:v>
                </c:pt>
                <c:pt idx="1009">
                  <c:v>197.29323308270673</c:v>
                </c:pt>
                <c:pt idx="1010">
                  <c:v>210.22556390977445</c:v>
                </c:pt>
                <c:pt idx="1011">
                  <c:v>210.22556390977445</c:v>
                </c:pt>
                <c:pt idx="1012">
                  <c:v>210.22556390977445</c:v>
                </c:pt>
                <c:pt idx="1013">
                  <c:v>204.58646616541353</c:v>
                </c:pt>
                <c:pt idx="1014">
                  <c:v>203.68421052631578</c:v>
                </c:pt>
                <c:pt idx="1015">
                  <c:v>200.45112781954887</c:v>
                </c:pt>
                <c:pt idx="1016">
                  <c:v>206.16541353383457</c:v>
                </c:pt>
                <c:pt idx="1017">
                  <c:v>212.18045112781954</c:v>
                </c:pt>
                <c:pt idx="1018">
                  <c:v>212.18045112781954</c:v>
                </c:pt>
                <c:pt idx="1019">
                  <c:v>212.18045112781954</c:v>
                </c:pt>
                <c:pt idx="1020">
                  <c:v>212.70676691729321</c:v>
                </c:pt>
                <c:pt idx="1021">
                  <c:v>201.57894736842104</c:v>
                </c:pt>
                <c:pt idx="1022">
                  <c:v>207.74436090225561</c:v>
                </c:pt>
                <c:pt idx="1023">
                  <c:v>208.19548872180448</c:v>
                </c:pt>
                <c:pt idx="1024">
                  <c:v>209.62406015037593</c:v>
                </c:pt>
                <c:pt idx="1025">
                  <c:v>209.62406015037593</c:v>
                </c:pt>
                <c:pt idx="1026">
                  <c:v>209.62406015037593</c:v>
                </c:pt>
                <c:pt idx="1027">
                  <c:v>207.96992481203006</c:v>
                </c:pt>
                <c:pt idx="1028">
                  <c:v>213.984962406015</c:v>
                </c:pt>
                <c:pt idx="1029">
                  <c:v>210.30075187969922</c:v>
                </c:pt>
                <c:pt idx="1030">
                  <c:v>211.87969924812026</c:v>
                </c:pt>
                <c:pt idx="1031">
                  <c:v>208.12030075187971</c:v>
                </c:pt>
                <c:pt idx="1032">
                  <c:v>208.12030075187971</c:v>
                </c:pt>
                <c:pt idx="1033">
                  <c:v>208.12030075187971</c:v>
                </c:pt>
                <c:pt idx="1034">
                  <c:v>208.12030075187971</c:v>
                </c:pt>
                <c:pt idx="1035">
                  <c:v>206.69172932330824</c:v>
                </c:pt>
                <c:pt idx="1036">
                  <c:v>209.99999999999997</c:v>
                </c:pt>
                <c:pt idx="1037">
                  <c:v>205.48872180451124</c:v>
                </c:pt>
                <c:pt idx="1038">
                  <c:v>209.3984962406015</c:v>
                </c:pt>
                <c:pt idx="1039">
                  <c:v>209.3984962406015</c:v>
                </c:pt>
                <c:pt idx="1040">
                  <c:v>209.3984962406015</c:v>
                </c:pt>
                <c:pt idx="1041">
                  <c:v>208.9473684210526</c:v>
                </c:pt>
                <c:pt idx="1042">
                  <c:v>209.24812030075185</c:v>
                </c:pt>
                <c:pt idx="1043">
                  <c:v>204.81203007518792</c:v>
                </c:pt>
                <c:pt idx="1044">
                  <c:v>214.51127819548873</c:v>
                </c:pt>
                <c:pt idx="1045">
                  <c:v>217.89473684210526</c:v>
                </c:pt>
                <c:pt idx="1046">
                  <c:v>217.89473684210526</c:v>
                </c:pt>
                <c:pt idx="1047">
                  <c:v>217.89473684210526</c:v>
                </c:pt>
                <c:pt idx="1048">
                  <c:v>218.72180451127815</c:v>
                </c:pt>
                <c:pt idx="1049">
                  <c:v>218.19548872180451</c:v>
                </c:pt>
                <c:pt idx="1050">
                  <c:v>201.12781954887217</c:v>
                </c:pt>
                <c:pt idx="1051">
                  <c:v>198.19548872180451</c:v>
                </c:pt>
                <c:pt idx="1052">
                  <c:v>191.87969924812029</c:v>
                </c:pt>
                <c:pt idx="1053">
                  <c:v>191.87969924812029</c:v>
                </c:pt>
                <c:pt idx="1054">
                  <c:v>191.87969924812029</c:v>
                </c:pt>
                <c:pt idx="1055">
                  <c:v>188.42105263157893</c:v>
                </c:pt>
                <c:pt idx="1056">
                  <c:v>187.14285714285714</c:v>
                </c:pt>
                <c:pt idx="1057">
                  <c:v>193.15789473684211</c:v>
                </c:pt>
                <c:pt idx="1058">
                  <c:v>195.26315789473682</c:v>
                </c:pt>
                <c:pt idx="1059">
                  <c:v>198.27067669172934</c:v>
                </c:pt>
                <c:pt idx="1060">
                  <c:v>198.27067669172934</c:v>
                </c:pt>
                <c:pt idx="1061">
                  <c:v>198.27067669172934</c:v>
                </c:pt>
                <c:pt idx="1062">
                  <c:v>209.69924812030075</c:v>
                </c:pt>
                <c:pt idx="1063">
                  <c:v>193.23308270676691</c:v>
                </c:pt>
                <c:pt idx="1064">
                  <c:v>195.48872180451127</c:v>
                </c:pt>
                <c:pt idx="1065">
                  <c:v>174.81203007518795</c:v>
                </c:pt>
                <c:pt idx="1066">
                  <c:v>175.1127819548872</c:v>
                </c:pt>
                <c:pt idx="1067">
                  <c:v>175.1127819548872</c:v>
                </c:pt>
                <c:pt idx="1068">
                  <c:v>175.1127819548872</c:v>
                </c:pt>
                <c:pt idx="1069">
                  <c:v>171.57894736842104</c:v>
                </c:pt>
                <c:pt idx="1070">
                  <c:v>175.78947368421052</c:v>
                </c:pt>
                <c:pt idx="1071">
                  <c:v>176.61654135338344</c:v>
                </c:pt>
                <c:pt idx="1072">
                  <c:v>172.63157894736844</c:v>
                </c:pt>
                <c:pt idx="1073">
                  <c:v>165.48872180451127</c:v>
                </c:pt>
                <c:pt idx="1074">
                  <c:v>165.48872180451127</c:v>
                </c:pt>
                <c:pt idx="1075">
                  <c:v>165.48872180451127</c:v>
                </c:pt>
                <c:pt idx="1076">
                  <c:v>166.01503759398494</c:v>
                </c:pt>
                <c:pt idx="1077">
                  <c:v>168.49624060150376</c:v>
                </c:pt>
                <c:pt idx="1078">
                  <c:v>176.69172932330827</c:v>
                </c:pt>
                <c:pt idx="1079">
                  <c:v>175.71428571428572</c:v>
                </c:pt>
                <c:pt idx="1080">
                  <c:v>178.04511278195488</c:v>
                </c:pt>
                <c:pt idx="1081">
                  <c:v>178.04511278195488</c:v>
                </c:pt>
                <c:pt idx="1082">
                  <c:v>178.04511278195488</c:v>
                </c:pt>
                <c:pt idx="1083">
                  <c:v>176.91729323308269</c:v>
                </c:pt>
                <c:pt idx="1084">
                  <c:v>176.54135338345864</c:v>
                </c:pt>
                <c:pt idx="1085">
                  <c:v>182.03007518796991</c:v>
                </c:pt>
                <c:pt idx="1086">
                  <c:v>185.78947368421052</c:v>
                </c:pt>
                <c:pt idx="1087">
                  <c:v>183.15789473684211</c:v>
                </c:pt>
                <c:pt idx="1088">
                  <c:v>183.15789473684211</c:v>
                </c:pt>
                <c:pt idx="1089">
                  <c:v>183.15789473684211</c:v>
                </c:pt>
                <c:pt idx="1090">
                  <c:v>179.84962406015038</c:v>
                </c:pt>
                <c:pt idx="1091">
                  <c:v>180.0751879699248</c:v>
                </c:pt>
                <c:pt idx="1092">
                  <c:v>180.0751879699248</c:v>
                </c:pt>
                <c:pt idx="1093">
                  <c:v>178.04511278195488</c:v>
                </c:pt>
                <c:pt idx="1094">
                  <c:v>178.04511278195488</c:v>
                </c:pt>
                <c:pt idx="1095">
                  <c:v>178.04511278195488</c:v>
                </c:pt>
                <c:pt idx="1096">
                  <c:v>178.04511278195488</c:v>
                </c:pt>
                <c:pt idx="1097">
                  <c:v>173.9097744360902</c:v>
                </c:pt>
                <c:pt idx="1098">
                  <c:v>171.80451127819549</c:v>
                </c:pt>
                <c:pt idx="1099">
                  <c:v>171.57894736842104</c:v>
                </c:pt>
                <c:pt idx="1100">
                  <c:v>172.63157894736844</c:v>
                </c:pt>
                <c:pt idx="1101">
                  <c:v>173.30827067669173</c:v>
                </c:pt>
                <c:pt idx="1102">
                  <c:v>173.30827067669173</c:v>
                </c:pt>
                <c:pt idx="1103">
                  <c:v>173.30827067669173</c:v>
                </c:pt>
                <c:pt idx="1104">
                  <c:v>170.45112781954887</c:v>
                </c:pt>
                <c:pt idx="1105">
                  <c:v>174.88721804511277</c:v>
                </c:pt>
                <c:pt idx="1106">
                  <c:v>175.26315789473682</c:v>
                </c:pt>
                <c:pt idx="1107">
                  <c:v>181.42857142857142</c:v>
                </c:pt>
                <c:pt idx="1108">
                  <c:v>184.28571428571431</c:v>
                </c:pt>
                <c:pt idx="1109">
                  <c:v>184.28571428571431</c:v>
                </c:pt>
                <c:pt idx="1110">
                  <c:v>184.28571428571431</c:v>
                </c:pt>
                <c:pt idx="1111">
                  <c:v>183.53383458646616</c:v>
                </c:pt>
                <c:pt idx="1112">
                  <c:v>173.60902255639098</c:v>
                </c:pt>
                <c:pt idx="1113">
                  <c:v>144.73684210526315</c:v>
                </c:pt>
                <c:pt idx="1114">
                  <c:v>151.72932330827066</c:v>
                </c:pt>
                <c:pt idx="1115">
                  <c:v>164.88721804511277</c:v>
                </c:pt>
                <c:pt idx="1116">
                  <c:v>164.88721804511277</c:v>
                </c:pt>
                <c:pt idx="1117">
                  <c:v>164.88721804511277</c:v>
                </c:pt>
                <c:pt idx="1118">
                  <c:v>156.76691729323309</c:v>
                </c:pt>
                <c:pt idx="1119">
                  <c:v>148.87218045112783</c:v>
                </c:pt>
                <c:pt idx="1120">
                  <c:v>148.57142857142858</c:v>
                </c:pt>
                <c:pt idx="1121">
                  <c:v>156.16541353383457</c:v>
                </c:pt>
                <c:pt idx="1122">
                  <c:v>156.16541353383457</c:v>
                </c:pt>
                <c:pt idx="1123">
                  <c:v>156.16541353383457</c:v>
                </c:pt>
                <c:pt idx="1124">
                  <c:v>156.16541353383457</c:v>
                </c:pt>
                <c:pt idx="1125">
                  <c:v>152.25563909774436</c:v>
                </c:pt>
                <c:pt idx="1126">
                  <c:v>148.34586466165413</c:v>
                </c:pt>
                <c:pt idx="1127">
                  <c:v>153.23308270676691</c:v>
                </c:pt>
                <c:pt idx="1128">
                  <c:v>152.10526315789471</c:v>
                </c:pt>
                <c:pt idx="1129">
                  <c:v>152.40601503759396</c:v>
                </c:pt>
                <c:pt idx="1130">
                  <c:v>152.40601503759396</c:v>
                </c:pt>
                <c:pt idx="1131">
                  <c:v>152.40601503759396</c:v>
                </c:pt>
                <c:pt idx="1132">
                  <c:v>148.42105263157893</c:v>
                </c:pt>
                <c:pt idx="1133">
                  <c:v>151.80451127819549</c:v>
                </c:pt>
                <c:pt idx="1134">
                  <c:v>156.01503759398497</c:v>
                </c:pt>
                <c:pt idx="1135">
                  <c:v>154.66165413533835</c:v>
                </c:pt>
                <c:pt idx="1136">
                  <c:v>142.85714285714286</c:v>
                </c:pt>
                <c:pt idx="1137">
                  <c:v>142.85714285714286</c:v>
                </c:pt>
                <c:pt idx="1138">
                  <c:v>142.85714285714286</c:v>
                </c:pt>
                <c:pt idx="1139">
                  <c:v>128.19548872180451</c:v>
                </c:pt>
                <c:pt idx="1140">
                  <c:v>141.57894736842104</c:v>
                </c:pt>
                <c:pt idx="1141">
                  <c:v>138.79699248120301</c:v>
                </c:pt>
                <c:pt idx="1142">
                  <c:v>138.79699248120301</c:v>
                </c:pt>
                <c:pt idx="1143">
                  <c:v>133.98496240601503</c:v>
                </c:pt>
                <c:pt idx="1144">
                  <c:v>133.98496240601503</c:v>
                </c:pt>
                <c:pt idx="1145">
                  <c:v>133.98496240601503</c:v>
                </c:pt>
                <c:pt idx="1146">
                  <c:v>131.50375939849621</c:v>
                </c:pt>
                <c:pt idx="1147">
                  <c:v>134.58646616541353</c:v>
                </c:pt>
                <c:pt idx="1148">
                  <c:v>125.18796992481201</c:v>
                </c:pt>
                <c:pt idx="1149">
                  <c:v>125.18796992481201</c:v>
                </c:pt>
                <c:pt idx="1150">
                  <c:v>127.29323308270675</c:v>
                </c:pt>
                <c:pt idx="1151">
                  <c:v>127.29323308270675</c:v>
                </c:pt>
                <c:pt idx="1152">
                  <c:v>127.29323308270675</c:v>
                </c:pt>
                <c:pt idx="1153">
                  <c:v>134.88721804511277</c:v>
                </c:pt>
                <c:pt idx="1154">
                  <c:v>136.54135338345864</c:v>
                </c:pt>
                <c:pt idx="1155">
                  <c:v>146.61654135338344</c:v>
                </c:pt>
                <c:pt idx="1156">
                  <c:v>141.57894736842104</c:v>
                </c:pt>
                <c:pt idx="1157">
                  <c:v>149.62406015037593</c:v>
                </c:pt>
                <c:pt idx="1158">
                  <c:v>149.62406015037593</c:v>
                </c:pt>
                <c:pt idx="1159">
                  <c:v>149.62406015037593</c:v>
                </c:pt>
                <c:pt idx="1160">
                  <c:v>149.32330827067668</c:v>
                </c:pt>
                <c:pt idx="1161">
                  <c:v>153.98496240601503</c:v>
                </c:pt>
                <c:pt idx="1162">
                  <c:v>150.22556390977445</c:v>
                </c:pt>
                <c:pt idx="1163">
                  <c:v>150.30075187969922</c:v>
                </c:pt>
                <c:pt idx="1164">
                  <c:v>146.31578947368419</c:v>
                </c:pt>
                <c:pt idx="1165">
                  <c:v>146.31578947368419</c:v>
                </c:pt>
                <c:pt idx="1166">
                  <c:v>146.31578947368419</c:v>
                </c:pt>
                <c:pt idx="1167">
                  <c:v>160.15037593984962</c:v>
                </c:pt>
                <c:pt idx="1168">
                  <c:v>158.79699248120301</c:v>
                </c:pt>
                <c:pt idx="1169">
                  <c:v>158.79699248120301</c:v>
                </c:pt>
                <c:pt idx="1170">
                  <c:v>178.27067669172931</c:v>
                </c:pt>
                <c:pt idx="1171">
                  <c:v>160.15037593984962</c:v>
                </c:pt>
                <c:pt idx="1172">
                  <c:v>160.15037593984962</c:v>
                </c:pt>
                <c:pt idx="1173">
                  <c:v>160.15037593984962</c:v>
                </c:pt>
                <c:pt idx="1174">
                  <c:v>161.12781954887217</c:v>
                </c:pt>
                <c:pt idx="1175">
                  <c:v>160.45112781954887</c:v>
                </c:pt>
                <c:pt idx="1176">
                  <c:v>158.27067669172931</c:v>
                </c:pt>
                <c:pt idx="1177">
                  <c:v>150.97744360902254</c:v>
                </c:pt>
                <c:pt idx="1178">
                  <c:v>145.71428571428569</c:v>
                </c:pt>
                <c:pt idx="1179">
                  <c:v>145.71428571428569</c:v>
                </c:pt>
                <c:pt idx="1180">
                  <c:v>145.71428571428569</c:v>
                </c:pt>
                <c:pt idx="1181">
                  <c:v>140.82706766917292</c:v>
                </c:pt>
                <c:pt idx="1182">
                  <c:v>140.82706766917292</c:v>
                </c:pt>
                <c:pt idx="1183">
                  <c:v>144.43609022556393</c:v>
                </c:pt>
                <c:pt idx="1184">
                  <c:v>143.68421052631578</c:v>
                </c:pt>
                <c:pt idx="1185">
                  <c:v>155.33834586466165</c:v>
                </c:pt>
                <c:pt idx="1186">
                  <c:v>155.33834586466165</c:v>
                </c:pt>
                <c:pt idx="1187">
                  <c:v>155.33834586466165</c:v>
                </c:pt>
                <c:pt idx="1188">
                  <c:v>161.57894736842101</c:v>
                </c:pt>
                <c:pt idx="1189">
                  <c:v>156.46616541353382</c:v>
                </c:pt>
                <c:pt idx="1190">
                  <c:v>147.44360902255639</c:v>
                </c:pt>
                <c:pt idx="1191">
                  <c:v>143.08270676691731</c:v>
                </c:pt>
                <c:pt idx="1192">
                  <c:v>158.12030075187971</c:v>
                </c:pt>
                <c:pt idx="1193">
                  <c:v>158.12030075187971</c:v>
                </c:pt>
                <c:pt idx="1194">
                  <c:v>158.12030075187971</c:v>
                </c:pt>
                <c:pt idx="1195">
                  <c:v>159.3984962406015</c:v>
                </c:pt>
                <c:pt idx="1196">
                  <c:v>164.21052631578948</c:v>
                </c:pt>
                <c:pt idx="1197">
                  <c:v>155.48872180451127</c:v>
                </c:pt>
                <c:pt idx="1198">
                  <c:v>149.62406015037593</c:v>
                </c:pt>
                <c:pt idx="1199">
                  <c:v>152.10526315789471</c:v>
                </c:pt>
                <c:pt idx="1200">
                  <c:v>152.10526315789471</c:v>
                </c:pt>
                <c:pt idx="1201">
                  <c:v>152.10526315789471</c:v>
                </c:pt>
                <c:pt idx="1202">
                  <c:v>152.03007518796991</c:v>
                </c:pt>
                <c:pt idx="1203">
                  <c:v>136.91729323308272</c:v>
                </c:pt>
                <c:pt idx="1204">
                  <c:v>129.32330827067668</c:v>
                </c:pt>
                <c:pt idx="1205">
                  <c:v>126.69172932330828</c:v>
                </c:pt>
                <c:pt idx="1206">
                  <c:v>132.55639097744361</c:v>
                </c:pt>
                <c:pt idx="1207">
                  <c:v>132.55639097744361</c:v>
                </c:pt>
                <c:pt idx="1208">
                  <c:v>132.55639097744361</c:v>
                </c:pt>
                <c:pt idx="1209">
                  <c:v>144.88721804511277</c:v>
                </c:pt>
                <c:pt idx="1210">
                  <c:v>171.35338345864659</c:v>
                </c:pt>
                <c:pt idx="1211">
                  <c:v>188.64661654135338</c:v>
                </c:pt>
                <c:pt idx="1212">
                  <c:v>188.19548872180451</c:v>
                </c:pt>
                <c:pt idx="1213">
                  <c:v>177.89473684210526</c:v>
                </c:pt>
                <c:pt idx="1214">
                  <c:v>177.89473684210526</c:v>
                </c:pt>
                <c:pt idx="1215">
                  <c:v>177.89473684210526</c:v>
                </c:pt>
                <c:pt idx="1216">
                  <c:v>200.15037593984962</c:v>
                </c:pt>
                <c:pt idx="1217">
                  <c:v>205.26315789473685</c:v>
                </c:pt>
                <c:pt idx="1218">
                  <c:v>211.87969924812026</c:v>
                </c:pt>
                <c:pt idx="1219">
                  <c:v>197.44360902255639</c:v>
                </c:pt>
                <c:pt idx="1220">
                  <c:v>198.04511278195486</c:v>
                </c:pt>
                <c:pt idx="1221">
                  <c:v>198.04511278195486</c:v>
                </c:pt>
                <c:pt idx="1222">
                  <c:v>198.04511278195486</c:v>
                </c:pt>
                <c:pt idx="1223">
                  <c:v>190.22556390977442</c:v>
                </c:pt>
                <c:pt idx="1224">
                  <c:v>187.96992481203009</c:v>
                </c:pt>
                <c:pt idx="1225">
                  <c:v>204.81203007518792</c:v>
                </c:pt>
                <c:pt idx="1226">
                  <c:v>198.94736842105263</c:v>
                </c:pt>
                <c:pt idx="1227">
                  <c:v>205.63909774436092</c:v>
                </c:pt>
                <c:pt idx="1228">
                  <c:v>205.63909774436092</c:v>
                </c:pt>
                <c:pt idx="1229">
                  <c:v>205.63909774436092</c:v>
                </c:pt>
                <c:pt idx="1230">
                  <c:v>208.8721804511278</c:v>
                </c:pt>
                <c:pt idx="1231">
                  <c:v>213.75939849624058</c:v>
                </c:pt>
                <c:pt idx="1232">
                  <c:v>218.19548872180451</c:v>
                </c:pt>
                <c:pt idx="1233">
                  <c:v>236.24060150375939</c:v>
                </c:pt>
                <c:pt idx="1234">
                  <c:v>232.25563909774434</c:v>
                </c:pt>
                <c:pt idx="1235">
                  <c:v>232.25563909774434</c:v>
                </c:pt>
                <c:pt idx="1236">
                  <c:v>232.25563909774434</c:v>
                </c:pt>
                <c:pt idx="1237">
                  <c:v>245.0375939849624</c:v>
                </c:pt>
                <c:pt idx="1238">
                  <c:v>242.03007518796991</c:v>
                </c:pt>
                <c:pt idx="1239">
                  <c:v>244.88721804511275</c:v>
                </c:pt>
                <c:pt idx="1240">
                  <c:v>245.18796992481202</c:v>
                </c:pt>
                <c:pt idx="1241">
                  <c:v>233.23308270676688</c:v>
                </c:pt>
                <c:pt idx="1242">
                  <c:v>233.23308270676688</c:v>
                </c:pt>
                <c:pt idx="1243">
                  <c:v>233.23308270676688</c:v>
                </c:pt>
                <c:pt idx="1244">
                  <c:v>234.4360902255639</c:v>
                </c:pt>
                <c:pt idx="1245">
                  <c:v>234.66165413533835</c:v>
                </c:pt>
                <c:pt idx="1246">
                  <c:v>240.07518796992483</c:v>
                </c:pt>
                <c:pt idx="1247">
                  <c:v>243.83458646616538</c:v>
                </c:pt>
                <c:pt idx="1248">
                  <c:v>246.01503759398494</c:v>
                </c:pt>
                <c:pt idx="1249">
                  <c:v>246.01503759398494</c:v>
                </c:pt>
                <c:pt idx="1250">
                  <c:v>246.01503759398494</c:v>
                </c:pt>
                <c:pt idx="1251">
                  <c:v>229.17293233082705</c:v>
                </c:pt>
                <c:pt idx="1252">
                  <c:v>242.18045112781957</c:v>
                </c:pt>
                <c:pt idx="1253">
                  <c:v>226.31578947368419</c:v>
                </c:pt>
                <c:pt idx="1254">
                  <c:v>224.73684210526318</c:v>
                </c:pt>
                <c:pt idx="1255">
                  <c:v>205.86466165413532</c:v>
                </c:pt>
                <c:pt idx="1256">
                  <c:v>205.86466165413532</c:v>
                </c:pt>
                <c:pt idx="1257">
                  <c:v>205.86466165413532</c:v>
                </c:pt>
                <c:pt idx="1258">
                  <c:v>209.32330827067668</c:v>
                </c:pt>
                <c:pt idx="1259">
                  <c:v>214.3609022556391</c:v>
                </c:pt>
                <c:pt idx="1260">
                  <c:v>210.97744360902254</c:v>
                </c:pt>
                <c:pt idx="1261">
                  <c:v>189.24812030075188</c:v>
                </c:pt>
                <c:pt idx="1262">
                  <c:v>189.24812030075188</c:v>
                </c:pt>
                <c:pt idx="1263">
                  <c:v>189.24812030075188</c:v>
                </c:pt>
                <c:pt idx="1264">
                  <c:v>189.24812030075188</c:v>
                </c:pt>
                <c:pt idx="1265">
                  <c:v>187.14285714285714</c:v>
                </c:pt>
                <c:pt idx="1266">
                  <c:v>189.4736842105263</c:v>
                </c:pt>
                <c:pt idx="1267">
                  <c:v>188.34586466165413</c:v>
                </c:pt>
                <c:pt idx="1268">
                  <c:v>189.92481203007517</c:v>
                </c:pt>
                <c:pt idx="1269">
                  <c:v>180.30075187969925</c:v>
                </c:pt>
                <c:pt idx="1270">
                  <c:v>180.30075187969925</c:v>
                </c:pt>
                <c:pt idx="1271">
                  <c:v>180.30075187969925</c:v>
                </c:pt>
                <c:pt idx="1272">
                  <c:v>167.59398496240601</c:v>
                </c:pt>
                <c:pt idx="1273">
                  <c:v>157.14285714285711</c:v>
                </c:pt>
                <c:pt idx="1274">
                  <c:v>153.38345864661653</c:v>
                </c:pt>
                <c:pt idx="1275">
                  <c:v>150.22556390977445</c:v>
                </c:pt>
                <c:pt idx="1276">
                  <c:v>148.64661654135338</c:v>
                </c:pt>
                <c:pt idx="1277">
                  <c:v>148.64661654135338</c:v>
                </c:pt>
                <c:pt idx="1278">
                  <c:v>148.64661654135338</c:v>
                </c:pt>
                <c:pt idx="1279">
                  <c:v>145.33834586466162</c:v>
                </c:pt>
                <c:pt idx="1280">
                  <c:v>148.12030075187971</c:v>
                </c:pt>
                <c:pt idx="1281">
                  <c:v>150.52631578947367</c:v>
                </c:pt>
                <c:pt idx="1282">
                  <c:v>148.34586466165413</c:v>
                </c:pt>
                <c:pt idx="1283">
                  <c:v>143.30827067669171</c:v>
                </c:pt>
                <c:pt idx="1284">
                  <c:v>143.30827067669171</c:v>
                </c:pt>
                <c:pt idx="1285">
                  <c:v>143.30827067669171</c:v>
                </c:pt>
                <c:pt idx="1286">
                  <c:v>143.60902255639098</c:v>
                </c:pt>
                <c:pt idx="1287">
                  <c:v>147.21804511278194</c:v>
                </c:pt>
                <c:pt idx="1288">
                  <c:v>147.06766917293231</c:v>
                </c:pt>
                <c:pt idx="1289">
                  <c:v>146.09022556390977</c:v>
                </c:pt>
                <c:pt idx="1290">
                  <c:v>139.02255639097743</c:v>
                </c:pt>
                <c:pt idx="1291">
                  <c:v>139.02255639097743</c:v>
                </c:pt>
                <c:pt idx="1292">
                  <c:v>139.02255639097743</c:v>
                </c:pt>
                <c:pt idx="1293">
                  <c:v>141.27819548872179</c:v>
                </c:pt>
                <c:pt idx="1294">
                  <c:v>138.94736842105263</c:v>
                </c:pt>
                <c:pt idx="1295">
                  <c:v>137.81954887218043</c:v>
                </c:pt>
                <c:pt idx="1296">
                  <c:v>146.01503759398497</c:v>
                </c:pt>
                <c:pt idx="1297">
                  <c:v>142.40601503759399</c:v>
                </c:pt>
                <c:pt idx="1298">
                  <c:v>142.40601503759399</c:v>
                </c:pt>
                <c:pt idx="1299">
                  <c:v>142.40601503759399</c:v>
                </c:pt>
                <c:pt idx="1300">
                  <c:v>137.96992481203009</c:v>
                </c:pt>
                <c:pt idx="1301">
                  <c:v>120.67669172932331</c:v>
                </c:pt>
                <c:pt idx="1302">
                  <c:v>121.72932330827069</c:v>
                </c:pt>
                <c:pt idx="1303">
                  <c:v>125.26315789473684</c:v>
                </c:pt>
                <c:pt idx="1304">
                  <c:v>124.06015037593986</c:v>
                </c:pt>
                <c:pt idx="1305">
                  <c:v>124.06015037593986</c:v>
                </c:pt>
                <c:pt idx="1306">
                  <c:v>124.06015037593986</c:v>
                </c:pt>
                <c:pt idx="1307">
                  <c:v>125.63909774436091</c:v>
                </c:pt>
                <c:pt idx="1308">
                  <c:v>126.69172932330828</c:v>
                </c:pt>
                <c:pt idx="1309">
                  <c:v>126.84210526315789</c:v>
                </c:pt>
                <c:pt idx="1310">
                  <c:v>124.66165413533832</c:v>
                </c:pt>
                <c:pt idx="1311">
                  <c:v>122.33082706766916</c:v>
                </c:pt>
                <c:pt idx="1312">
                  <c:v>122.33082706766916</c:v>
                </c:pt>
                <c:pt idx="1313">
                  <c:v>122.33082706766916</c:v>
                </c:pt>
                <c:pt idx="1314">
                  <c:v>124.5112781954887</c:v>
                </c:pt>
                <c:pt idx="1315">
                  <c:v>122.33082706766916</c:v>
                </c:pt>
                <c:pt idx="1316">
                  <c:v>124.4360902255639</c:v>
                </c:pt>
                <c:pt idx="1317">
                  <c:v>124.88721804511277</c:v>
                </c:pt>
                <c:pt idx="1318">
                  <c:v>123.00751879699247</c:v>
                </c:pt>
                <c:pt idx="1319">
                  <c:v>123.00751879699247</c:v>
                </c:pt>
                <c:pt idx="1320">
                  <c:v>123.00751879699247</c:v>
                </c:pt>
                <c:pt idx="1321">
                  <c:v>116.54135338345864</c:v>
                </c:pt>
                <c:pt idx="1322">
                  <c:v>112.78195488721805</c:v>
                </c:pt>
                <c:pt idx="1323">
                  <c:v>112.78195488721805</c:v>
                </c:pt>
                <c:pt idx="1324">
                  <c:v>113.98496240601503</c:v>
                </c:pt>
                <c:pt idx="1325">
                  <c:v>112.70676691729322</c:v>
                </c:pt>
                <c:pt idx="1326">
                  <c:v>112.70676691729322</c:v>
                </c:pt>
                <c:pt idx="1327">
                  <c:v>112.70676691729322</c:v>
                </c:pt>
                <c:pt idx="1328">
                  <c:v>115.11278195488721</c:v>
                </c:pt>
                <c:pt idx="1329">
                  <c:v>112.55639097744361</c:v>
                </c:pt>
                <c:pt idx="1330">
                  <c:v>116.54135338345864</c:v>
                </c:pt>
                <c:pt idx="1331">
                  <c:v>113.60902255639095</c:v>
                </c:pt>
                <c:pt idx="1332">
                  <c:v>118.79699248120301</c:v>
                </c:pt>
                <c:pt idx="1333">
                  <c:v>118.79699248120301</c:v>
                </c:pt>
                <c:pt idx="1334">
                  <c:v>118.79699248120301</c:v>
                </c:pt>
                <c:pt idx="1335">
                  <c:v>117.66917293233084</c:v>
                </c:pt>
                <c:pt idx="1336">
                  <c:v>124.21052631578947</c:v>
                </c:pt>
                <c:pt idx="1337">
                  <c:v>125.48872180451127</c:v>
                </c:pt>
                <c:pt idx="1338">
                  <c:v>128.64661654135335</c:v>
                </c:pt>
                <c:pt idx="1339">
                  <c:v>122.85714285714285</c:v>
                </c:pt>
                <c:pt idx="1340">
                  <c:v>122.85714285714285</c:v>
                </c:pt>
                <c:pt idx="1341">
                  <c:v>122.85714285714285</c:v>
                </c:pt>
                <c:pt idx="1342">
                  <c:v>122.18045112781954</c:v>
                </c:pt>
                <c:pt idx="1343">
                  <c:v>122.70676691729324</c:v>
                </c:pt>
                <c:pt idx="1344">
                  <c:v>119.17293233082707</c:v>
                </c:pt>
                <c:pt idx="1345">
                  <c:v>118.27067669172932</c:v>
                </c:pt>
                <c:pt idx="1346">
                  <c:v>114.66165413533832</c:v>
                </c:pt>
                <c:pt idx="1347">
                  <c:v>114.66165413533832</c:v>
                </c:pt>
                <c:pt idx="1348">
                  <c:v>114.66165413533832</c:v>
                </c:pt>
                <c:pt idx="1349">
                  <c:v>111.95488721804512</c:v>
                </c:pt>
                <c:pt idx="1350">
                  <c:v>117.81954887218045</c:v>
                </c:pt>
                <c:pt idx="1351">
                  <c:v>111.65413533834585</c:v>
                </c:pt>
                <c:pt idx="1352">
                  <c:v>111.65413533834585</c:v>
                </c:pt>
                <c:pt idx="1353">
                  <c:v>108.27067669172932</c:v>
                </c:pt>
                <c:pt idx="1354">
                  <c:v>108.27067669172932</c:v>
                </c:pt>
                <c:pt idx="1355">
                  <c:v>108.27067669172932</c:v>
                </c:pt>
                <c:pt idx="1356">
                  <c:v>103.23308270676692</c:v>
                </c:pt>
                <c:pt idx="1357">
                  <c:v>103.90977443609022</c:v>
                </c:pt>
                <c:pt idx="1358">
                  <c:v>100.45112781954886</c:v>
                </c:pt>
                <c:pt idx="1359">
                  <c:v>101.80451127819548</c:v>
                </c:pt>
                <c:pt idx="1360">
                  <c:v>101.80451127819548</c:v>
                </c:pt>
                <c:pt idx="1361">
                  <c:v>101.80451127819548</c:v>
                </c:pt>
                <c:pt idx="1362">
                  <c:v>101.80451127819548</c:v>
                </c:pt>
                <c:pt idx="1363">
                  <c:v>100.82706766917293</c:v>
                </c:pt>
                <c:pt idx="1364">
                  <c:v>98.496240601503743</c:v>
                </c:pt>
                <c:pt idx="1365">
                  <c:v>97.593984962406012</c:v>
                </c:pt>
                <c:pt idx="1366">
                  <c:v>97.669172932330824</c:v>
                </c:pt>
                <c:pt idx="1367">
                  <c:v>97.744360902255636</c:v>
                </c:pt>
                <c:pt idx="1368">
                  <c:v>97.744360902255636</c:v>
                </c:pt>
                <c:pt idx="1369">
                  <c:v>97.744360902255636</c:v>
                </c:pt>
                <c:pt idx="1370">
                  <c:v>96.390977443609017</c:v>
                </c:pt>
                <c:pt idx="1371">
                  <c:v>96.390977443609017</c:v>
                </c:pt>
                <c:pt idx="1372">
                  <c:v>93.609022556390968</c:v>
                </c:pt>
                <c:pt idx="1373">
                  <c:v>91.954887218045116</c:v>
                </c:pt>
                <c:pt idx="1374">
                  <c:v>89.849624060150362</c:v>
                </c:pt>
                <c:pt idx="1375">
                  <c:v>89.849624060150362</c:v>
                </c:pt>
                <c:pt idx="1376">
                  <c:v>89.849624060150362</c:v>
                </c:pt>
                <c:pt idx="1377">
                  <c:v>91.203007518796994</c:v>
                </c:pt>
                <c:pt idx="1378">
                  <c:v>89.849624060150362</c:v>
                </c:pt>
                <c:pt idx="1379">
                  <c:v>87.293233082706763</c:v>
                </c:pt>
                <c:pt idx="1380">
                  <c:v>87.142857142857139</c:v>
                </c:pt>
                <c:pt idx="1381">
                  <c:v>84.812030075187963</c:v>
                </c:pt>
                <c:pt idx="1382">
                  <c:v>84.812030075187963</c:v>
                </c:pt>
                <c:pt idx="1383">
                  <c:v>84.812030075187963</c:v>
                </c:pt>
                <c:pt idx="1384">
                  <c:v>82.180451127819538</c:v>
                </c:pt>
                <c:pt idx="1385">
                  <c:v>82.481203007518801</c:v>
                </c:pt>
                <c:pt idx="1386">
                  <c:v>83.684210526315795</c:v>
                </c:pt>
                <c:pt idx="1387">
                  <c:v>81.804511278195491</c:v>
                </c:pt>
                <c:pt idx="1388">
                  <c:v>83.533834586466156</c:v>
                </c:pt>
                <c:pt idx="1389">
                  <c:v>83.533834586466156</c:v>
                </c:pt>
                <c:pt idx="1390">
                  <c:v>83.533834586466156</c:v>
                </c:pt>
                <c:pt idx="1391">
                  <c:v>83.007518796992471</c:v>
                </c:pt>
                <c:pt idx="1392">
                  <c:v>73.007518796992485</c:v>
                </c:pt>
                <c:pt idx="1393">
                  <c:v>75.864661654135332</c:v>
                </c:pt>
                <c:pt idx="1394">
                  <c:v>75.488721804511272</c:v>
                </c:pt>
                <c:pt idx="1395">
                  <c:v>75.112781954887225</c:v>
                </c:pt>
                <c:pt idx="1396">
                  <c:v>75.112781954887225</c:v>
                </c:pt>
                <c:pt idx="1397">
                  <c:v>75.112781954887225</c:v>
                </c:pt>
                <c:pt idx="1398">
                  <c:v>76.015037593984957</c:v>
                </c:pt>
                <c:pt idx="1399">
                  <c:v>77.894736842105246</c:v>
                </c:pt>
                <c:pt idx="1400">
                  <c:v>79.09774436090224</c:v>
                </c:pt>
                <c:pt idx="1401">
                  <c:v>75.864661654135332</c:v>
                </c:pt>
                <c:pt idx="1402">
                  <c:v>74.661654135338338</c:v>
                </c:pt>
                <c:pt idx="1403">
                  <c:v>74.661654135338338</c:v>
                </c:pt>
                <c:pt idx="1404">
                  <c:v>74.661654135338338</c:v>
                </c:pt>
                <c:pt idx="1405">
                  <c:v>75.78947368421052</c:v>
                </c:pt>
                <c:pt idx="1406">
                  <c:v>73.834586466165405</c:v>
                </c:pt>
                <c:pt idx="1407">
                  <c:v>75.037593984962399</c:v>
                </c:pt>
                <c:pt idx="1408">
                  <c:v>71.654135338345853</c:v>
                </c:pt>
                <c:pt idx="1409">
                  <c:v>72.25563909774435</c:v>
                </c:pt>
                <c:pt idx="1410">
                  <c:v>72.25563909774435</c:v>
                </c:pt>
                <c:pt idx="1411">
                  <c:v>72.25563909774435</c:v>
                </c:pt>
                <c:pt idx="1412">
                  <c:v>75.338345864661648</c:v>
                </c:pt>
                <c:pt idx="1413">
                  <c:v>73.458646616541344</c:v>
                </c:pt>
                <c:pt idx="1414">
                  <c:v>71.804511278195491</c:v>
                </c:pt>
                <c:pt idx="1415">
                  <c:v>71.654135338345853</c:v>
                </c:pt>
                <c:pt idx="1416">
                  <c:v>75.563909774436084</c:v>
                </c:pt>
                <c:pt idx="1417">
                  <c:v>75.563909774436084</c:v>
                </c:pt>
                <c:pt idx="1418">
                  <c:v>75.563909774436084</c:v>
                </c:pt>
                <c:pt idx="1419">
                  <c:v>75.563909774436084</c:v>
                </c:pt>
                <c:pt idx="1420">
                  <c:v>73.759398496240607</c:v>
                </c:pt>
                <c:pt idx="1421">
                  <c:v>75.187969924812023</c:v>
                </c:pt>
                <c:pt idx="1422">
                  <c:v>78.496240601503757</c:v>
                </c:pt>
                <c:pt idx="1423">
                  <c:v>79.924812030075188</c:v>
                </c:pt>
                <c:pt idx="1424">
                  <c:v>79.924812030075188</c:v>
                </c:pt>
                <c:pt idx="1425">
                  <c:v>79.924812030075188</c:v>
                </c:pt>
                <c:pt idx="1426">
                  <c:v>82.030075187969913</c:v>
                </c:pt>
                <c:pt idx="1427">
                  <c:v>84.661654135338338</c:v>
                </c:pt>
                <c:pt idx="1428">
                  <c:v>83.533834586466156</c:v>
                </c:pt>
                <c:pt idx="1429">
                  <c:v>85.939849624060145</c:v>
                </c:pt>
                <c:pt idx="1430">
                  <c:v>86.240601503759393</c:v>
                </c:pt>
                <c:pt idx="1431">
                  <c:v>86.240601503759393</c:v>
                </c:pt>
                <c:pt idx="1432">
                  <c:v>86.240601503759393</c:v>
                </c:pt>
                <c:pt idx="1433">
                  <c:v>86.165413533834595</c:v>
                </c:pt>
                <c:pt idx="1434">
                  <c:v>85.413533834586445</c:v>
                </c:pt>
                <c:pt idx="1435">
                  <c:v>87.518796992481214</c:v>
                </c:pt>
                <c:pt idx="1436">
                  <c:v>86.616541353383454</c:v>
                </c:pt>
                <c:pt idx="1437">
                  <c:v>87.969924812030058</c:v>
                </c:pt>
                <c:pt idx="1438">
                  <c:v>87.969924812030058</c:v>
                </c:pt>
                <c:pt idx="1439">
                  <c:v>87.969924812030058</c:v>
                </c:pt>
                <c:pt idx="1440">
                  <c:v>90</c:v>
                </c:pt>
                <c:pt idx="1441">
                  <c:v>92.030075187969913</c:v>
                </c:pt>
                <c:pt idx="1442">
                  <c:v>88.421052631578945</c:v>
                </c:pt>
                <c:pt idx="1443">
                  <c:v>89.548872180451127</c:v>
                </c:pt>
                <c:pt idx="1444">
                  <c:v>88.796992481203006</c:v>
                </c:pt>
                <c:pt idx="1445">
                  <c:v>88.796992481203006</c:v>
                </c:pt>
                <c:pt idx="1446">
                  <c:v>88.796992481203006</c:v>
                </c:pt>
                <c:pt idx="1447">
                  <c:v>89.473684210526315</c:v>
                </c:pt>
                <c:pt idx="1448">
                  <c:v>91.05263157894737</c:v>
                </c:pt>
                <c:pt idx="1449">
                  <c:v>94.210526315789465</c:v>
                </c:pt>
                <c:pt idx="1450">
                  <c:v>93.383458646616532</c:v>
                </c:pt>
                <c:pt idx="1451">
                  <c:v>90.751879699248121</c:v>
                </c:pt>
                <c:pt idx="1452">
                  <c:v>90.751879699248121</c:v>
                </c:pt>
                <c:pt idx="1453">
                  <c:v>90.751879699248121</c:v>
                </c:pt>
                <c:pt idx="1454">
                  <c:v>89.022556390977442</c:v>
                </c:pt>
                <c:pt idx="1455">
                  <c:v>88.120300751879697</c:v>
                </c:pt>
                <c:pt idx="1456">
                  <c:v>90.375939849624061</c:v>
                </c:pt>
                <c:pt idx="1457">
                  <c:v>88.872180451127818</c:v>
                </c:pt>
                <c:pt idx="1458">
                  <c:v>88.872180451127818</c:v>
                </c:pt>
                <c:pt idx="1459">
                  <c:v>88.872180451127818</c:v>
                </c:pt>
                <c:pt idx="1460">
                  <c:v>88.872180451127818</c:v>
                </c:pt>
                <c:pt idx="1461">
                  <c:v>91.654135338345853</c:v>
                </c:pt>
                <c:pt idx="1462">
                  <c:v>91.729323308270665</c:v>
                </c:pt>
                <c:pt idx="1463">
                  <c:v>88.571428571428555</c:v>
                </c:pt>
                <c:pt idx="1464">
                  <c:v>87.819548872180448</c:v>
                </c:pt>
                <c:pt idx="1465">
                  <c:v>85.037593984962399</c:v>
                </c:pt>
                <c:pt idx="1466">
                  <c:v>85.037593984962399</c:v>
                </c:pt>
                <c:pt idx="1467">
                  <c:v>85.037593984962399</c:v>
                </c:pt>
                <c:pt idx="1468">
                  <c:v>84.360902255639104</c:v>
                </c:pt>
                <c:pt idx="1469">
                  <c:v>87.218045112781951</c:v>
                </c:pt>
                <c:pt idx="1470">
                  <c:v>87.593984962406012</c:v>
                </c:pt>
                <c:pt idx="1471">
                  <c:v>86.992481203007515</c:v>
                </c:pt>
                <c:pt idx="1472">
                  <c:v>93.609022556390968</c:v>
                </c:pt>
                <c:pt idx="1473">
                  <c:v>93.609022556390968</c:v>
                </c:pt>
                <c:pt idx="1474">
                  <c:v>93.609022556390968</c:v>
                </c:pt>
                <c:pt idx="1475">
                  <c:v>99.624060150375939</c:v>
                </c:pt>
                <c:pt idx="1476">
                  <c:v>103.30827067669173</c:v>
                </c:pt>
                <c:pt idx="1477">
                  <c:v>96.766917293233064</c:v>
                </c:pt>
                <c:pt idx="1478">
                  <c:v>100.15037593984961</c:v>
                </c:pt>
                <c:pt idx="1479">
                  <c:v>97.368421052631575</c:v>
                </c:pt>
                <c:pt idx="1480">
                  <c:v>97.368421052631575</c:v>
                </c:pt>
                <c:pt idx="1481">
                  <c:v>97.368421052631575</c:v>
                </c:pt>
                <c:pt idx="1482">
                  <c:v>93.308270676691734</c:v>
                </c:pt>
                <c:pt idx="1483">
                  <c:v>95.563909774436098</c:v>
                </c:pt>
                <c:pt idx="1484">
                  <c:v>97.293233082706749</c:v>
                </c:pt>
                <c:pt idx="1485">
                  <c:v>95.112781954887211</c:v>
                </c:pt>
                <c:pt idx="1486">
                  <c:v>94.661654135338338</c:v>
                </c:pt>
                <c:pt idx="1487">
                  <c:v>94.661654135338338</c:v>
                </c:pt>
                <c:pt idx="1488">
                  <c:v>94.661654135338338</c:v>
                </c:pt>
                <c:pt idx="1489">
                  <c:v>93.759398496240593</c:v>
                </c:pt>
                <c:pt idx="1490">
                  <c:v>91.578947368421055</c:v>
                </c:pt>
                <c:pt idx="1491">
                  <c:v>89.548872180451127</c:v>
                </c:pt>
                <c:pt idx="1492">
                  <c:v>90.375939849624061</c:v>
                </c:pt>
                <c:pt idx="1493">
                  <c:v>90.375939849624061</c:v>
                </c:pt>
                <c:pt idx="1494">
                  <c:v>90.375939849624061</c:v>
                </c:pt>
                <c:pt idx="1495">
                  <c:v>90.375939849624061</c:v>
                </c:pt>
                <c:pt idx="1496">
                  <c:v>91.278195488721806</c:v>
                </c:pt>
                <c:pt idx="1497">
                  <c:v>89.924812030075188</c:v>
                </c:pt>
                <c:pt idx="1498">
                  <c:v>88.872180451127818</c:v>
                </c:pt>
                <c:pt idx="1499">
                  <c:v>92.330827067669162</c:v>
                </c:pt>
                <c:pt idx="1500">
                  <c:v>89.323308270676691</c:v>
                </c:pt>
                <c:pt idx="1501">
                  <c:v>89.323308270676691</c:v>
                </c:pt>
                <c:pt idx="1502">
                  <c:v>89.323308270676691</c:v>
                </c:pt>
                <c:pt idx="1503">
                  <c:v>91.127819548872168</c:v>
                </c:pt>
                <c:pt idx="1504">
                  <c:v>86.842105263157904</c:v>
                </c:pt>
                <c:pt idx="1505">
                  <c:v>82.556390977443613</c:v>
                </c:pt>
                <c:pt idx="1506">
                  <c:v>77.293233082706763</c:v>
                </c:pt>
                <c:pt idx="1507">
                  <c:v>77.293233082706763</c:v>
                </c:pt>
                <c:pt idx="1508">
                  <c:v>77.293233082706763</c:v>
                </c:pt>
                <c:pt idx="1509">
                  <c:v>77.293233082706763</c:v>
                </c:pt>
                <c:pt idx="1510">
                  <c:v>79.323308270676691</c:v>
                </c:pt>
                <c:pt idx="1511">
                  <c:v>79.172932330827066</c:v>
                </c:pt>
                <c:pt idx="1512">
                  <c:v>78.646616541353382</c:v>
                </c:pt>
                <c:pt idx="1513">
                  <c:v>79.248120300751864</c:v>
                </c:pt>
                <c:pt idx="1514">
                  <c:v>79.248120300751864</c:v>
                </c:pt>
                <c:pt idx="1515">
                  <c:v>79.248120300751864</c:v>
                </c:pt>
                <c:pt idx="1516">
                  <c:v>79.248120300751864</c:v>
                </c:pt>
                <c:pt idx="1517">
                  <c:v>81.879699248120303</c:v>
                </c:pt>
                <c:pt idx="1518">
                  <c:v>82.556390977443613</c:v>
                </c:pt>
                <c:pt idx="1519">
                  <c:v>82.330827067669162</c:v>
                </c:pt>
                <c:pt idx="1520">
                  <c:v>82.556390977443613</c:v>
                </c:pt>
                <c:pt idx="1521">
                  <c:v>77.368421052631561</c:v>
                </c:pt>
                <c:pt idx="1522">
                  <c:v>77.368421052631561</c:v>
                </c:pt>
                <c:pt idx="1523">
                  <c:v>77.368421052631561</c:v>
                </c:pt>
                <c:pt idx="1524">
                  <c:v>76.165413533834595</c:v>
                </c:pt>
                <c:pt idx="1525">
                  <c:v>76.015037593984957</c:v>
                </c:pt>
                <c:pt idx="1526">
                  <c:v>74.436090225563916</c:v>
                </c:pt>
                <c:pt idx="1527">
                  <c:v>76.390977443609017</c:v>
                </c:pt>
                <c:pt idx="1528">
                  <c:v>74.73684210526315</c:v>
                </c:pt>
                <c:pt idx="1529">
                  <c:v>74.73684210526315</c:v>
                </c:pt>
                <c:pt idx="1530">
                  <c:v>74.73684210526315</c:v>
                </c:pt>
                <c:pt idx="1531">
                  <c:v>75.488721804511272</c:v>
                </c:pt>
                <c:pt idx="1532">
                  <c:v>75.187969924812023</c:v>
                </c:pt>
                <c:pt idx="1533">
                  <c:v>74.511278195488714</c:v>
                </c:pt>
                <c:pt idx="1534">
                  <c:v>75.41353383458646</c:v>
                </c:pt>
                <c:pt idx="1535">
                  <c:v>80.676691729323295</c:v>
                </c:pt>
                <c:pt idx="1536">
                  <c:v>80.676691729323295</c:v>
                </c:pt>
                <c:pt idx="1537">
                  <c:v>80.676691729323295</c:v>
                </c:pt>
                <c:pt idx="1538">
                  <c:v>81.879699248120303</c:v>
                </c:pt>
                <c:pt idx="1539">
                  <c:v>81.428571428571431</c:v>
                </c:pt>
                <c:pt idx="1540">
                  <c:v>83.984962406015029</c:v>
                </c:pt>
                <c:pt idx="1541">
                  <c:v>86.842105263157904</c:v>
                </c:pt>
                <c:pt idx="1542">
                  <c:v>85.563909774436084</c:v>
                </c:pt>
                <c:pt idx="1543">
                  <c:v>85.563909774436084</c:v>
                </c:pt>
                <c:pt idx="1544">
                  <c:v>85.563909774436084</c:v>
                </c:pt>
                <c:pt idx="1545">
                  <c:v>85.488721804511272</c:v>
                </c:pt>
                <c:pt idx="1546">
                  <c:v>85.488721804511272</c:v>
                </c:pt>
                <c:pt idx="1547">
                  <c:v>85.714285714285708</c:v>
                </c:pt>
                <c:pt idx="1548">
                  <c:v>85.263157894736835</c:v>
                </c:pt>
                <c:pt idx="1549">
                  <c:v>85.563909774436084</c:v>
                </c:pt>
                <c:pt idx="1550">
                  <c:v>85.563909774436084</c:v>
                </c:pt>
                <c:pt idx="1551">
                  <c:v>85.563909774436084</c:v>
                </c:pt>
                <c:pt idx="1552">
                  <c:v>84.586466165413526</c:v>
                </c:pt>
                <c:pt idx="1553">
                  <c:v>83.233082706766908</c:v>
                </c:pt>
                <c:pt idx="1554">
                  <c:v>83.609022556390968</c:v>
                </c:pt>
                <c:pt idx="1555">
                  <c:v>83.383458646616532</c:v>
                </c:pt>
                <c:pt idx="1556">
                  <c:v>84.661654135338338</c:v>
                </c:pt>
                <c:pt idx="1557">
                  <c:v>84.661654135338338</c:v>
                </c:pt>
                <c:pt idx="1558">
                  <c:v>84.661654135338338</c:v>
                </c:pt>
                <c:pt idx="1559">
                  <c:v>83.609022556390968</c:v>
                </c:pt>
                <c:pt idx="1560">
                  <c:v>88.045112781954899</c:v>
                </c:pt>
                <c:pt idx="1561">
                  <c:v>90.601503759398497</c:v>
                </c:pt>
                <c:pt idx="1562">
                  <c:v>89.699248120300751</c:v>
                </c:pt>
                <c:pt idx="1563">
                  <c:v>83.609022556390968</c:v>
                </c:pt>
                <c:pt idx="1564">
                  <c:v>83.609022556390968</c:v>
                </c:pt>
                <c:pt idx="1565">
                  <c:v>83.609022556390968</c:v>
                </c:pt>
                <c:pt idx="1566">
                  <c:v>81.578947368421055</c:v>
                </c:pt>
                <c:pt idx="1567">
                  <c:v>81.203007518796994</c:v>
                </c:pt>
                <c:pt idx="1568">
                  <c:v>82.593984962406012</c:v>
                </c:pt>
                <c:pt idx="1569">
                  <c:v>81.879699248120303</c:v>
                </c:pt>
                <c:pt idx="1570">
                  <c:v>89.022556390977442</c:v>
                </c:pt>
                <c:pt idx="1571">
                  <c:v>89.022556390977442</c:v>
                </c:pt>
                <c:pt idx="1572">
                  <c:v>89.022556390977442</c:v>
                </c:pt>
                <c:pt idx="1573">
                  <c:v>90.26315789473685</c:v>
                </c:pt>
                <c:pt idx="1574">
                  <c:v>92.706766917293223</c:v>
                </c:pt>
                <c:pt idx="1575">
                  <c:v>107.14285714285714</c:v>
                </c:pt>
                <c:pt idx="1576">
                  <c:v>106.01503759398496</c:v>
                </c:pt>
                <c:pt idx="1577">
                  <c:v>103.83458646616542</c:v>
                </c:pt>
                <c:pt idx="1578">
                  <c:v>103.83458646616542</c:v>
                </c:pt>
                <c:pt idx="1579">
                  <c:v>103.83458646616542</c:v>
                </c:pt>
                <c:pt idx="1580">
                  <c:v>104.88721804511276</c:v>
                </c:pt>
                <c:pt idx="1581">
                  <c:v>105.78947368421052</c:v>
                </c:pt>
                <c:pt idx="1582">
                  <c:v>106.46616541353382</c:v>
                </c:pt>
                <c:pt idx="1583">
                  <c:v>107.21804511278195</c:v>
                </c:pt>
                <c:pt idx="1584">
                  <c:v>106.9172932330827</c:v>
                </c:pt>
                <c:pt idx="1585">
                  <c:v>106.9172932330827</c:v>
                </c:pt>
                <c:pt idx="1586">
                  <c:v>106.9172932330827</c:v>
                </c:pt>
                <c:pt idx="1587">
                  <c:v>106.76691729323306</c:v>
                </c:pt>
                <c:pt idx="1588">
                  <c:v>104.3609022556391</c:v>
                </c:pt>
                <c:pt idx="1589">
                  <c:v>103.00751879699249</c:v>
                </c:pt>
                <c:pt idx="1590">
                  <c:v>101.27819548872181</c:v>
                </c:pt>
                <c:pt idx="1591">
                  <c:v>99.473684210526315</c:v>
                </c:pt>
                <c:pt idx="1592">
                  <c:v>99.473684210526315</c:v>
                </c:pt>
                <c:pt idx="1593">
                  <c:v>99.473684210526315</c:v>
                </c:pt>
                <c:pt idx="1594">
                  <c:v>100.30075187969925</c:v>
                </c:pt>
                <c:pt idx="1595">
                  <c:v>100.07518796992481</c:v>
                </c:pt>
                <c:pt idx="1596">
                  <c:v>100.90225563909773</c:v>
                </c:pt>
                <c:pt idx="1597">
                  <c:v>95.563909774436098</c:v>
                </c:pt>
                <c:pt idx="1598">
                  <c:v>95.864661654135332</c:v>
                </c:pt>
                <c:pt idx="1599">
                  <c:v>95.864661654135332</c:v>
                </c:pt>
                <c:pt idx="1600">
                  <c:v>95.864661654135332</c:v>
                </c:pt>
                <c:pt idx="1601">
                  <c:v>95.78947368421052</c:v>
                </c:pt>
                <c:pt idx="1602">
                  <c:v>95.78947368421052</c:v>
                </c:pt>
                <c:pt idx="1603">
                  <c:v>93.609022556390968</c:v>
                </c:pt>
                <c:pt idx="1604">
                  <c:v>94.812030075187963</c:v>
                </c:pt>
                <c:pt idx="1605">
                  <c:v>100</c:v>
                </c:pt>
                <c:pt idx="1606">
                  <c:v>100</c:v>
                </c:pt>
                <c:pt idx="1607">
                  <c:v>100</c:v>
                </c:pt>
                <c:pt idx="1608">
                  <c:v>100.82706766917293</c:v>
                </c:pt>
                <c:pt idx="1609">
                  <c:v>103.30827067669173</c:v>
                </c:pt>
                <c:pt idx="1610">
                  <c:v>98.646616541353367</c:v>
                </c:pt>
                <c:pt idx="1611">
                  <c:v>98.345864661654119</c:v>
                </c:pt>
                <c:pt idx="1612">
                  <c:v>94.135338345864653</c:v>
                </c:pt>
                <c:pt idx="1613">
                  <c:v>94.135338345864653</c:v>
                </c:pt>
                <c:pt idx="1614">
                  <c:v>94.135338345864653</c:v>
                </c:pt>
                <c:pt idx="1615">
                  <c:v>92.180451127819538</c:v>
                </c:pt>
                <c:pt idx="1616">
                  <c:v>91.879699248120303</c:v>
                </c:pt>
                <c:pt idx="1617">
                  <c:v>92.481203007518801</c:v>
                </c:pt>
                <c:pt idx="1618">
                  <c:v>94.360902255639104</c:v>
                </c:pt>
                <c:pt idx="1619">
                  <c:v>92.10526315789474</c:v>
                </c:pt>
                <c:pt idx="1620">
                  <c:v>92.10526315789474</c:v>
                </c:pt>
                <c:pt idx="1621">
                  <c:v>92.10526315789474</c:v>
                </c:pt>
                <c:pt idx="1622">
                  <c:v>94.962406015037587</c:v>
                </c:pt>
                <c:pt idx="1623">
                  <c:v>96.691729323308266</c:v>
                </c:pt>
                <c:pt idx="1624">
                  <c:v>97.142857142857139</c:v>
                </c:pt>
                <c:pt idx="1625">
                  <c:v>99.172932330827052</c:v>
                </c:pt>
                <c:pt idx="1626">
                  <c:v>99.172932330827052</c:v>
                </c:pt>
                <c:pt idx="1627">
                  <c:v>99.172932330827052</c:v>
                </c:pt>
                <c:pt idx="1628">
                  <c:v>99.172932330827052</c:v>
                </c:pt>
                <c:pt idx="1629">
                  <c:v>97.744360902255636</c:v>
                </c:pt>
                <c:pt idx="1630">
                  <c:v>95.263157894736835</c:v>
                </c:pt>
                <c:pt idx="1631">
                  <c:v>91.353383458646618</c:v>
                </c:pt>
                <c:pt idx="1632">
                  <c:v>91.954887218045116</c:v>
                </c:pt>
                <c:pt idx="1633">
                  <c:v>93.458646616541344</c:v>
                </c:pt>
                <c:pt idx="1634">
                  <c:v>93.458646616541344</c:v>
                </c:pt>
                <c:pt idx="1635">
                  <c:v>93.458646616541344</c:v>
                </c:pt>
                <c:pt idx="1636">
                  <c:v>93.984962406015043</c:v>
                </c:pt>
                <c:pt idx="1637">
                  <c:v>93.834586466165419</c:v>
                </c:pt>
                <c:pt idx="1638">
                  <c:v>91.503759398496229</c:v>
                </c:pt>
                <c:pt idx="1639">
                  <c:v>90.601503759398497</c:v>
                </c:pt>
                <c:pt idx="1640">
                  <c:v>93.007518796992471</c:v>
                </c:pt>
                <c:pt idx="1641">
                  <c:v>93.007518796992471</c:v>
                </c:pt>
                <c:pt idx="1642">
                  <c:v>93.007518796992471</c:v>
                </c:pt>
                <c:pt idx="1643">
                  <c:v>92.781954887218049</c:v>
                </c:pt>
                <c:pt idx="1644">
                  <c:v>94.962406015037587</c:v>
                </c:pt>
                <c:pt idx="1645">
                  <c:v>97.89473684210526</c:v>
                </c:pt>
                <c:pt idx="1646">
                  <c:v>95.939849624060145</c:v>
                </c:pt>
                <c:pt idx="1647">
                  <c:v>91.954887218045116</c:v>
                </c:pt>
                <c:pt idx="1648">
                  <c:v>91.954887218045116</c:v>
                </c:pt>
                <c:pt idx="1649">
                  <c:v>91.954887218045116</c:v>
                </c:pt>
                <c:pt idx="1650">
                  <c:v>91.127819548872168</c:v>
                </c:pt>
                <c:pt idx="1651">
                  <c:v>96.46616541353383</c:v>
                </c:pt>
                <c:pt idx="1652">
                  <c:v>98.571428571428569</c:v>
                </c:pt>
                <c:pt idx="1653">
                  <c:v>100.97744360902254</c:v>
                </c:pt>
                <c:pt idx="1654">
                  <c:v>98.646616541353367</c:v>
                </c:pt>
                <c:pt idx="1655">
                  <c:v>98.646616541353367</c:v>
                </c:pt>
                <c:pt idx="1656">
                  <c:v>98.646616541353367</c:v>
                </c:pt>
                <c:pt idx="1657">
                  <c:v>99.548872180451127</c:v>
                </c:pt>
                <c:pt idx="1658">
                  <c:v>100.52631578947367</c:v>
                </c:pt>
                <c:pt idx="1659">
                  <c:v>103.08270676691728</c:v>
                </c:pt>
                <c:pt idx="1660">
                  <c:v>102.33082706766916</c:v>
                </c:pt>
                <c:pt idx="1661">
                  <c:v>104.88721804511276</c:v>
                </c:pt>
                <c:pt idx="1662">
                  <c:v>104.88721804511276</c:v>
                </c:pt>
                <c:pt idx="1663">
                  <c:v>104.88721804511276</c:v>
                </c:pt>
                <c:pt idx="1664">
                  <c:v>106.16541353383457</c:v>
                </c:pt>
                <c:pt idx="1665">
                  <c:v>110.97744360902256</c:v>
                </c:pt>
                <c:pt idx="1666">
                  <c:v>106.09022556390977</c:v>
                </c:pt>
                <c:pt idx="1667">
                  <c:v>106.46616541353382</c:v>
                </c:pt>
                <c:pt idx="1668">
                  <c:v>104.3609022556391</c:v>
                </c:pt>
                <c:pt idx="1669">
                  <c:v>104.3609022556391</c:v>
                </c:pt>
                <c:pt idx="1670">
                  <c:v>104.3609022556391</c:v>
                </c:pt>
                <c:pt idx="1671">
                  <c:v>103.75939849624061</c:v>
                </c:pt>
                <c:pt idx="1672">
                  <c:v>101.8796992481203</c:v>
                </c:pt>
                <c:pt idx="1673">
                  <c:v>101.35338345864662</c:v>
                </c:pt>
                <c:pt idx="1674">
                  <c:v>103.75939849624061</c:v>
                </c:pt>
                <c:pt idx="1675">
                  <c:v>104.66165413533834</c:v>
                </c:pt>
                <c:pt idx="1676">
                  <c:v>104.66165413533834</c:v>
                </c:pt>
                <c:pt idx="1677">
                  <c:v>104.66165413533834</c:v>
                </c:pt>
                <c:pt idx="1678">
                  <c:v>101.72932330827066</c:v>
                </c:pt>
                <c:pt idx="1679">
                  <c:v>107.44360902255639</c:v>
                </c:pt>
                <c:pt idx="1680">
                  <c:v>104.4360902255639</c:v>
                </c:pt>
                <c:pt idx="1681">
                  <c:v>103.83458646616542</c:v>
                </c:pt>
                <c:pt idx="1682">
                  <c:v>100.45112781954886</c:v>
                </c:pt>
                <c:pt idx="1683">
                  <c:v>100.45112781954886</c:v>
                </c:pt>
                <c:pt idx="1684">
                  <c:v>100.45112781954886</c:v>
                </c:pt>
                <c:pt idx="1685">
                  <c:v>97.89473684210526</c:v>
                </c:pt>
                <c:pt idx="1686">
                  <c:v>99.172932330827052</c:v>
                </c:pt>
                <c:pt idx="1687">
                  <c:v>91.353383458646618</c:v>
                </c:pt>
                <c:pt idx="1688">
                  <c:v>91.353383458646618</c:v>
                </c:pt>
                <c:pt idx="1689">
                  <c:v>93.834586466165419</c:v>
                </c:pt>
                <c:pt idx="1690">
                  <c:v>93.834586466165419</c:v>
                </c:pt>
                <c:pt idx="1691">
                  <c:v>93.834586466165419</c:v>
                </c:pt>
                <c:pt idx="1692">
                  <c:v>94.73684210526315</c:v>
                </c:pt>
                <c:pt idx="1693">
                  <c:v>99.473684210526315</c:v>
                </c:pt>
                <c:pt idx="1694">
                  <c:v>100.75187969924812</c:v>
                </c:pt>
                <c:pt idx="1695">
                  <c:v>105.86466165413533</c:v>
                </c:pt>
                <c:pt idx="1696">
                  <c:v>106.54135338345864</c:v>
                </c:pt>
                <c:pt idx="1697">
                  <c:v>106.54135338345864</c:v>
                </c:pt>
                <c:pt idx="1698">
                  <c:v>106.54135338345864</c:v>
                </c:pt>
                <c:pt idx="1699">
                  <c:v>108.12030075187971</c:v>
                </c:pt>
                <c:pt idx="1700">
                  <c:v>105.11278195488723</c:v>
                </c:pt>
                <c:pt idx="1701">
                  <c:v>95.037593984962413</c:v>
                </c:pt>
                <c:pt idx="1702">
                  <c:v>89.699248120300751</c:v>
                </c:pt>
                <c:pt idx="1703">
                  <c:v>86.015037593984957</c:v>
                </c:pt>
                <c:pt idx="1704">
                  <c:v>86.015037593984957</c:v>
                </c:pt>
                <c:pt idx="1705">
                  <c:v>86.015037593984957</c:v>
                </c:pt>
                <c:pt idx="1706">
                  <c:v>86.46616541353383</c:v>
                </c:pt>
                <c:pt idx="1707">
                  <c:v>88.496240601503757</c:v>
                </c:pt>
                <c:pt idx="1708">
                  <c:v>89.924812030075188</c:v>
                </c:pt>
                <c:pt idx="1709">
                  <c:v>90.902255639097746</c:v>
                </c:pt>
                <c:pt idx="1710">
                  <c:v>92.330827067669162</c:v>
                </c:pt>
                <c:pt idx="1711">
                  <c:v>92.330827067669162</c:v>
                </c:pt>
                <c:pt idx="1712">
                  <c:v>92.330827067669162</c:v>
                </c:pt>
                <c:pt idx="1713">
                  <c:v>96.992481203007515</c:v>
                </c:pt>
                <c:pt idx="1714">
                  <c:v>93.082706766917283</c:v>
                </c:pt>
                <c:pt idx="1715">
                  <c:v>90.451127819548859</c:v>
                </c:pt>
                <c:pt idx="1716">
                  <c:v>84.511278195488714</c:v>
                </c:pt>
                <c:pt idx="1717">
                  <c:v>81.954887218045116</c:v>
                </c:pt>
                <c:pt idx="1718">
                  <c:v>81.954887218045116</c:v>
                </c:pt>
                <c:pt idx="1719">
                  <c:v>81.954887218045116</c:v>
                </c:pt>
                <c:pt idx="1720">
                  <c:v>82.180451127819538</c:v>
                </c:pt>
                <c:pt idx="1721">
                  <c:v>84.135338345864653</c:v>
                </c:pt>
                <c:pt idx="1722">
                  <c:v>83.609022556390968</c:v>
                </c:pt>
                <c:pt idx="1723">
                  <c:v>82.706766917293223</c:v>
                </c:pt>
                <c:pt idx="1724">
                  <c:v>82.706766917293223</c:v>
                </c:pt>
                <c:pt idx="1725">
                  <c:v>82.706766917293223</c:v>
                </c:pt>
                <c:pt idx="1726">
                  <c:v>82.706766917293223</c:v>
                </c:pt>
                <c:pt idx="1727">
                  <c:v>82.556390977443613</c:v>
                </c:pt>
                <c:pt idx="1728">
                  <c:v>81.879699248120303</c:v>
                </c:pt>
                <c:pt idx="1729">
                  <c:v>81.879699248120303</c:v>
                </c:pt>
                <c:pt idx="1730">
                  <c:v>83.007518796992471</c:v>
                </c:pt>
                <c:pt idx="1731">
                  <c:v>85.78947368421052</c:v>
                </c:pt>
                <c:pt idx="1732">
                  <c:v>85.78947368421052</c:v>
                </c:pt>
                <c:pt idx="1733">
                  <c:v>85.78947368421052</c:v>
                </c:pt>
                <c:pt idx="1734">
                  <c:v>84.774436090225564</c:v>
                </c:pt>
                <c:pt idx="1735">
                  <c:v>84.210526315789465</c:v>
                </c:pt>
                <c:pt idx="1736">
                  <c:v>95.864661654135332</c:v>
                </c:pt>
                <c:pt idx="1737">
                  <c:v>85.864661654135332</c:v>
                </c:pt>
                <c:pt idx="1738">
                  <c:v>84.661654135338338</c:v>
                </c:pt>
                <c:pt idx="1739">
                  <c:v>84.661654135338338</c:v>
                </c:pt>
                <c:pt idx="1740">
                  <c:v>84.661654135338338</c:v>
                </c:pt>
                <c:pt idx="1741">
                  <c:v>83.233082706766908</c:v>
                </c:pt>
                <c:pt idx="1742">
                  <c:v>81.127819548872168</c:v>
                </c:pt>
                <c:pt idx="1743">
                  <c:v>76.541353383458642</c:v>
                </c:pt>
                <c:pt idx="1744">
                  <c:v>75.488721804511272</c:v>
                </c:pt>
                <c:pt idx="1745">
                  <c:v>76.616541353383454</c:v>
                </c:pt>
                <c:pt idx="1746">
                  <c:v>76.616541353383454</c:v>
                </c:pt>
                <c:pt idx="1747">
                  <c:v>76.616541353383454</c:v>
                </c:pt>
                <c:pt idx="1748">
                  <c:v>75.939849624060145</c:v>
                </c:pt>
                <c:pt idx="1749">
                  <c:v>78.120300751879697</c:v>
                </c:pt>
                <c:pt idx="1750">
                  <c:v>77.593984962406012</c:v>
                </c:pt>
                <c:pt idx="1751">
                  <c:v>102.40601503759396</c:v>
                </c:pt>
                <c:pt idx="1752">
                  <c:v>100</c:v>
                </c:pt>
                <c:pt idx="1753">
                  <c:v>100</c:v>
                </c:pt>
                <c:pt idx="1754">
                  <c:v>100</c:v>
                </c:pt>
                <c:pt idx="1755">
                  <c:v>102.40601503759396</c:v>
                </c:pt>
                <c:pt idx="1756">
                  <c:v>100.82706766917293</c:v>
                </c:pt>
                <c:pt idx="1757">
                  <c:v>101.42857142857142</c:v>
                </c:pt>
                <c:pt idx="1758">
                  <c:v>98.721804511278194</c:v>
                </c:pt>
                <c:pt idx="1759">
                  <c:v>97.744360902255636</c:v>
                </c:pt>
                <c:pt idx="1760">
                  <c:v>97.744360902255636</c:v>
                </c:pt>
                <c:pt idx="1761">
                  <c:v>97.744360902255636</c:v>
                </c:pt>
                <c:pt idx="1762">
                  <c:v>98.571428571428569</c:v>
                </c:pt>
                <c:pt idx="1763">
                  <c:v>96.541353383458642</c:v>
                </c:pt>
                <c:pt idx="1764">
                  <c:v>97.368421052631575</c:v>
                </c:pt>
                <c:pt idx="1765">
                  <c:v>96.165413533834581</c:v>
                </c:pt>
                <c:pt idx="1766">
                  <c:v>92.556390977443598</c:v>
                </c:pt>
                <c:pt idx="1767">
                  <c:v>92.556390977443598</c:v>
                </c:pt>
                <c:pt idx="1768">
                  <c:v>92.556390977443598</c:v>
                </c:pt>
                <c:pt idx="1769">
                  <c:v>92.556390977443598</c:v>
                </c:pt>
                <c:pt idx="1770">
                  <c:v>95.939849624060145</c:v>
                </c:pt>
                <c:pt idx="1771">
                  <c:v>98.496240601503743</c:v>
                </c:pt>
                <c:pt idx="1772">
                  <c:v>98.496240601503743</c:v>
                </c:pt>
                <c:pt idx="1773">
                  <c:v>101.65413533834587</c:v>
                </c:pt>
                <c:pt idx="1774">
                  <c:v>101.65413533834587</c:v>
                </c:pt>
                <c:pt idx="1775">
                  <c:v>101.65413533834587</c:v>
                </c:pt>
                <c:pt idx="1776">
                  <c:v>99.774436090225564</c:v>
                </c:pt>
                <c:pt idx="1777">
                  <c:v>106.54135338345864</c:v>
                </c:pt>
                <c:pt idx="1778">
                  <c:v>106.46616541353382</c:v>
                </c:pt>
                <c:pt idx="1779">
                  <c:v>110.07518796992481</c:v>
                </c:pt>
                <c:pt idx="1780">
                  <c:v>109.39849624060149</c:v>
                </c:pt>
                <c:pt idx="1781">
                  <c:v>109.39849624060149</c:v>
                </c:pt>
                <c:pt idx="1782">
                  <c:v>109.39849624060149</c:v>
                </c:pt>
                <c:pt idx="1783">
                  <c:v>105.63909774436091</c:v>
                </c:pt>
                <c:pt idx="1784">
                  <c:v>103.08270676691728</c:v>
                </c:pt>
                <c:pt idx="1785">
                  <c:v>102.93233082706766</c:v>
                </c:pt>
                <c:pt idx="1786">
                  <c:v>103.00751879699249</c:v>
                </c:pt>
                <c:pt idx="1787">
                  <c:v>103.00751879699249</c:v>
                </c:pt>
                <c:pt idx="1788">
                  <c:v>103.00751879699249</c:v>
                </c:pt>
                <c:pt idx="1789">
                  <c:v>103.00751879699249</c:v>
                </c:pt>
                <c:pt idx="1790">
                  <c:v>103.68421052631578</c:v>
                </c:pt>
                <c:pt idx="1791">
                  <c:v>106.01503759398496</c:v>
                </c:pt>
                <c:pt idx="1792">
                  <c:v>103.90977443609022</c:v>
                </c:pt>
                <c:pt idx="1793">
                  <c:v>108.27067669172932</c:v>
                </c:pt>
                <c:pt idx="1794">
                  <c:v>101.42857142857142</c:v>
                </c:pt>
                <c:pt idx="1795">
                  <c:v>101.42857142857142</c:v>
                </c:pt>
                <c:pt idx="1796">
                  <c:v>101.42857142857142</c:v>
                </c:pt>
                <c:pt idx="1797">
                  <c:v>102.63157894736842</c:v>
                </c:pt>
                <c:pt idx="1798">
                  <c:v>105.11278195488723</c:v>
                </c:pt>
                <c:pt idx="1799">
                  <c:v>106.01503759398496</c:v>
                </c:pt>
                <c:pt idx="1800">
                  <c:v>107.36842105263156</c:v>
                </c:pt>
                <c:pt idx="1801">
                  <c:v>104.58646616541354</c:v>
                </c:pt>
                <c:pt idx="1802">
                  <c:v>104.58646616541354</c:v>
                </c:pt>
                <c:pt idx="1803">
                  <c:v>104.58646616541354</c:v>
                </c:pt>
                <c:pt idx="1804">
                  <c:v>100.22556390977444</c:v>
                </c:pt>
                <c:pt idx="1805">
                  <c:v>99.398496240601503</c:v>
                </c:pt>
                <c:pt idx="1806">
                  <c:v>98.120300751879697</c:v>
                </c:pt>
                <c:pt idx="1807">
                  <c:v>98.045112781954884</c:v>
                </c:pt>
                <c:pt idx="1808">
                  <c:v>97.969924812030058</c:v>
                </c:pt>
                <c:pt idx="1809">
                  <c:v>97.969924812030058</c:v>
                </c:pt>
                <c:pt idx="1810">
                  <c:v>97.969924812030058</c:v>
                </c:pt>
                <c:pt idx="1811">
                  <c:v>104.51127819548871</c:v>
                </c:pt>
                <c:pt idx="1812">
                  <c:v>112.4812030075188</c:v>
                </c:pt>
                <c:pt idx="1813">
                  <c:v>108.72180451127819</c:v>
                </c:pt>
                <c:pt idx="1814">
                  <c:v>114.28571428571428</c:v>
                </c:pt>
                <c:pt idx="1815">
                  <c:v>106.16541353383457</c:v>
                </c:pt>
                <c:pt idx="1816">
                  <c:v>106.16541353383457</c:v>
                </c:pt>
                <c:pt idx="1817">
                  <c:v>106.16541353383457</c:v>
                </c:pt>
                <c:pt idx="1818">
                  <c:v>107.66917293233082</c:v>
                </c:pt>
                <c:pt idx="1819">
                  <c:v>107.36842105263156</c:v>
                </c:pt>
                <c:pt idx="1820">
                  <c:v>105.26315789473684</c:v>
                </c:pt>
                <c:pt idx="1821">
                  <c:v>98.721804511278194</c:v>
                </c:pt>
                <c:pt idx="1822">
                  <c:v>98.721804511278194</c:v>
                </c:pt>
                <c:pt idx="1823">
                  <c:v>98.721804511278194</c:v>
                </c:pt>
                <c:pt idx="1824">
                  <c:v>98.721804511278194</c:v>
                </c:pt>
                <c:pt idx="1825">
                  <c:v>97.518796992481199</c:v>
                </c:pt>
                <c:pt idx="1826">
                  <c:v>100</c:v>
                </c:pt>
              </c:numCache>
            </c:numRef>
          </c:val>
          <c:smooth val="0"/>
          <c:extLst>
            <c:ext xmlns:c16="http://schemas.microsoft.com/office/drawing/2014/chart" uri="{C3380CC4-5D6E-409C-BE32-E72D297353CC}">
              <c16:uniqueId val="{00000002-7F42-4D4F-88A4-F1EFF1B99B9D}"/>
            </c:ext>
          </c:extLst>
        </c:ser>
        <c:ser>
          <c:idx val="3"/>
          <c:order val="3"/>
          <c:tx>
            <c:strRef>
              <c:f>[32]Indexed!$F$3</c:f>
              <c:strCache>
                <c:ptCount val="1"/>
                <c:pt idx="0">
                  <c:v>Taiwan Semiconductor Manufacturing Co Ltd</c:v>
                </c:pt>
              </c:strCache>
            </c:strRef>
          </c:tx>
          <c:spPr>
            <a:ln w="28575" cap="rnd">
              <a:solidFill>
                <a:schemeClr val="accent4"/>
              </a:solidFill>
              <a:round/>
            </a:ln>
            <a:effectLst/>
          </c:spPr>
          <c:marker>
            <c:symbol val="none"/>
          </c:marker>
          <c:cat>
            <c:numRef>
              <c:f>[32]Indexed!$B$4:$B$1830</c:f>
              <c:numCache>
                <c:formatCode>General</c:formatCode>
                <c:ptCount val="1827"/>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c:v>43351</c:v>
                </c:pt>
                <c:pt idx="1257">
                  <c:v>43350</c:v>
                </c:pt>
                <c:pt idx="1258">
                  <c:v>43349</c:v>
                </c:pt>
                <c:pt idx="1259">
                  <c:v>43348</c:v>
                </c:pt>
                <c:pt idx="1260">
                  <c:v>43347</c:v>
                </c:pt>
                <c:pt idx="1261">
                  <c:v>43346</c:v>
                </c:pt>
                <c:pt idx="1262">
                  <c:v>43345</c:v>
                </c:pt>
                <c:pt idx="1263">
                  <c:v>43344</c:v>
                </c:pt>
                <c:pt idx="1264">
                  <c:v>43343</c:v>
                </c:pt>
                <c:pt idx="1265">
                  <c:v>43342</c:v>
                </c:pt>
                <c:pt idx="1266">
                  <c:v>43341</c:v>
                </c:pt>
                <c:pt idx="1267">
                  <c:v>43340</c:v>
                </c:pt>
                <c:pt idx="1268">
                  <c:v>43339</c:v>
                </c:pt>
                <c:pt idx="1269">
                  <c:v>43338</c:v>
                </c:pt>
                <c:pt idx="1270">
                  <c:v>43337</c:v>
                </c:pt>
                <c:pt idx="1271">
                  <c:v>43336</c:v>
                </c:pt>
                <c:pt idx="1272">
                  <c:v>43335</c:v>
                </c:pt>
                <c:pt idx="1273">
                  <c:v>43334</c:v>
                </c:pt>
                <c:pt idx="1274">
                  <c:v>43333</c:v>
                </c:pt>
                <c:pt idx="1275">
                  <c:v>43332</c:v>
                </c:pt>
                <c:pt idx="1276">
                  <c:v>43331</c:v>
                </c:pt>
                <c:pt idx="1277">
                  <c:v>43330</c:v>
                </c:pt>
                <c:pt idx="1278">
                  <c:v>43329</c:v>
                </c:pt>
                <c:pt idx="1279">
                  <c:v>43328</c:v>
                </c:pt>
                <c:pt idx="1280">
                  <c:v>43327</c:v>
                </c:pt>
                <c:pt idx="1281">
                  <c:v>43326</c:v>
                </c:pt>
                <c:pt idx="1282">
                  <c:v>43325</c:v>
                </c:pt>
                <c:pt idx="1283">
                  <c:v>43324</c:v>
                </c:pt>
                <c:pt idx="1284">
                  <c:v>43323</c:v>
                </c:pt>
                <c:pt idx="1285">
                  <c:v>43322</c:v>
                </c:pt>
                <c:pt idx="1286">
                  <c:v>43321</c:v>
                </c:pt>
                <c:pt idx="1287">
                  <c:v>43320</c:v>
                </c:pt>
                <c:pt idx="1288">
                  <c:v>43319</c:v>
                </c:pt>
                <c:pt idx="1289">
                  <c:v>43318</c:v>
                </c:pt>
                <c:pt idx="1290">
                  <c:v>43317</c:v>
                </c:pt>
                <c:pt idx="1291">
                  <c:v>43316</c:v>
                </c:pt>
                <c:pt idx="1292">
                  <c:v>43315</c:v>
                </c:pt>
                <c:pt idx="1293">
                  <c:v>43314</c:v>
                </c:pt>
                <c:pt idx="1294">
                  <c:v>43313</c:v>
                </c:pt>
                <c:pt idx="1295">
                  <c:v>43312</c:v>
                </c:pt>
                <c:pt idx="1296">
                  <c:v>43311</c:v>
                </c:pt>
                <c:pt idx="1297">
                  <c:v>43310</c:v>
                </c:pt>
                <c:pt idx="1298">
                  <c:v>43309</c:v>
                </c:pt>
                <c:pt idx="1299">
                  <c:v>43308</c:v>
                </c:pt>
                <c:pt idx="1300">
                  <c:v>43307</c:v>
                </c:pt>
                <c:pt idx="1301">
                  <c:v>43306</c:v>
                </c:pt>
                <c:pt idx="1302">
                  <c:v>43305</c:v>
                </c:pt>
                <c:pt idx="1303">
                  <c:v>43304</c:v>
                </c:pt>
                <c:pt idx="1304">
                  <c:v>43303</c:v>
                </c:pt>
                <c:pt idx="1305">
                  <c:v>43302</c:v>
                </c:pt>
                <c:pt idx="1306">
                  <c:v>43301</c:v>
                </c:pt>
                <c:pt idx="1307">
                  <c:v>43300</c:v>
                </c:pt>
                <c:pt idx="1308">
                  <c:v>43299</c:v>
                </c:pt>
                <c:pt idx="1309">
                  <c:v>43298</c:v>
                </c:pt>
                <c:pt idx="1310">
                  <c:v>43297</c:v>
                </c:pt>
                <c:pt idx="1311">
                  <c:v>43296</c:v>
                </c:pt>
                <c:pt idx="1312">
                  <c:v>43295</c:v>
                </c:pt>
                <c:pt idx="1313">
                  <c:v>43294</c:v>
                </c:pt>
                <c:pt idx="1314">
                  <c:v>43293</c:v>
                </c:pt>
                <c:pt idx="1315">
                  <c:v>43292</c:v>
                </c:pt>
                <c:pt idx="1316">
                  <c:v>43291</c:v>
                </c:pt>
                <c:pt idx="1317">
                  <c:v>43290</c:v>
                </c:pt>
                <c:pt idx="1318">
                  <c:v>43289</c:v>
                </c:pt>
                <c:pt idx="1319">
                  <c:v>43288</c:v>
                </c:pt>
                <c:pt idx="1320">
                  <c:v>43287</c:v>
                </c:pt>
                <c:pt idx="1321">
                  <c:v>43286</c:v>
                </c:pt>
                <c:pt idx="1322">
                  <c:v>43285</c:v>
                </c:pt>
                <c:pt idx="1323">
                  <c:v>43284</c:v>
                </c:pt>
                <c:pt idx="1324">
                  <c:v>43283</c:v>
                </c:pt>
                <c:pt idx="1325">
                  <c:v>43282</c:v>
                </c:pt>
                <c:pt idx="1326">
                  <c:v>43281</c:v>
                </c:pt>
                <c:pt idx="1327">
                  <c:v>43280</c:v>
                </c:pt>
                <c:pt idx="1328">
                  <c:v>43279</c:v>
                </c:pt>
                <c:pt idx="1329">
                  <c:v>43278</c:v>
                </c:pt>
                <c:pt idx="1330">
                  <c:v>43277</c:v>
                </c:pt>
                <c:pt idx="1331">
                  <c:v>43276</c:v>
                </c:pt>
                <c:pt idx="1332">
                  <c:v>43275</c:v>
                </c:pt>
                <c:pt idx="1333">
                  <c:v>43274</c:v>
                </c:pt>
                <c:pt idx="1334">
                  <c:v>43273</c:v>
                </c:pt>
                <c:pt idx="1335">
                  <c:v>43272</c:v>
                </c:pt>
                <c:pt idx="1336">
                  <c:v>43271</c:v>
                </c:pt>
                <c:pt idx="1337">
                  <c:v>43270</c:v>
                </c:pt>
                <c:pt idx="1338">
                  <c:v>43269</c:v>
                </c:pt>
                <c:pt idx="1339">
                  <c:v>43268</c:v>
                </c:pt>
                <c:pt idx="1340">
                  <c:v>43267</c:v>
                </c:pt>
                <c:pt idx="1341">
                  <c:v>43266</c:v>
                </c:pt>
                <c:pt idx="1342">
                  <c:v>43265</c:v>
                </c:pt>
                <c:pt idx="1343">
                  <c:v>43264</c:v>
                </c:pt>
                <c:pt idx="1344">
                  <c:v>43263</c:v>
                </c:pt>
                <c:pt idx="1345">
                  <c:v>43262</c:v>
                </c:pt>
                <c:pt idx="1346">
                  <c:v>43261</c:v>
                </c:pt>
                <c:pt idx="1347">
                  <c:v>43260</c:v>
                </c:pt>
                <c:pt idx="1348">
                  <c:v>43259</c:v>
                </c:pt>
                <c:pt idx="1349">
                  <c:v>43258</c:v>
                </c:pt>
                <c:pt idx="1350">
                  <c:v>43257</c:v>
                </c:pt>
                <c:pt idx="1351">
                  <c:v>43256</c:v>
                </c:pt>
                <c:pt idx="1352">
                  <c:v>43255</c:v>
                </c:pt>
                <c:pt idx="1353">
                  <c:v>43254</c:v>
                </c:pt>
                <c:pt idx="1354">
                  <c:v>43253</c:v>
                </c:pt>
                <c:pt idx="1355">
                  <c:v>43252</c:v>
                </c:pt>
                <c:pt idx="1356">
                  <c:v>43251</c:v>
                </c:pt>
                <c:pt idx="1357">
                  <c:v>43250</c:v>
                </c:pt>
                <c:pt idx="1358">
                  <c:v>43249</c:v>
                </c:pt>
                <c:pt idx="1359">
                  <c:v>43248</c:v>
                </c:pt>
                <c:pt idx="1360">
                  <c:v>43247</c:v>
                </c:pt>
                <c:pt idx="1361">
                  <c:v>43246</c:v>
                </c:pt>
                <c:pt idx="1362">
                  <c:v>43245</c:v>
                </c:pt>
                <c:pt idx="1363">
                  <c:v>43244</c:v>
                </c:pt>
                <c:pt idx="1364">
                  <c:v>43243</c:v>
                </c:pt>
                <c:pt idx="1365">
                  <c:v>43242</c:v>
                </c:pt>
                <c:pt idx="1366">
                  <c:v>43241</c:v>
                </c:pt>
                <c:pt idx="1367">
                  <c:v>43240</c:v>
                </c:pt>
                <c:pt idx="1368">
                  <c:v>43239</c:v>
                </c:pt>
                <c:pt idx="1369">
                  <c:v>43238</c:v>
                </c:pt>
                <c:pt idx="1370">
                  <c:v>43237</c:v>
                </c:pt>
                <c:pt idx="1371">
                  <c:v>43236</c:v>
                </c:pt>
                <c:pt idx="1372">
                  <c:v>43235</c:v>
                </c:pt>
                <c:pt idx="1373">
                  <c:v>43234</c:v>
                </c:pt>
                <c:pt idx="1374">
                  <c:v>43233</c:v>
                </c:pt>
                <c:pt idx="1375">
                  <c:v>43232</c:v>
                </c:pt>
                <c:pt idx="1376">
                  <c:v>43231</c:v>
                </c:pt>
                <c:pt idx="1377">
                  <c:v>43230</c:v>
                </c:pt>
                <c:pt idx="1378">
                  <c:v>43229</c:v>
                </c:pt>
                <c:pt idx="1379">
                  <c:v>43228</c:v>
                </c:pt>
                <c:pt idx="1380">
                  <c:v>43227</c:v>
                </c:pt>
                <c:pt idx="1381">
                  <c:v>43226</c:v>
                </c:pt>
                <c:pt idx="1382">
                  <c:v>43225</c:v>
                </c:pt>
                <c:pt idx="1383">
                  <c:v>43224</c:v>
                </c:pt>
                <c:pt idx="1384">
                  <c:v>43223</c:v>
                </c:pt>
                <c:pt idx="1385">
                  <c:v>43222</c:v>
                </c:pt>
                <c:pt idx="1386">
                  <c:v>43221</c:v>
                </c:pt>
                <c:pt idx="1387">
                  <c:v>43220</c:v>
                </c:pt>
                <c:pt idx="1388">
                  <c:v>43219</c:v>
                </c:pt>
                <c:pt idx="1389">
                  <c:v>43218</c:v>
                </c:pt>
                <c:pt idx="1390">
                  <c:v>43217</c:v>
                </c:pt>
                <c:pt idx="1391">
                  <c:v>43216</c:v>
                </c:pt>
                <c:pt idx="1392">
                  <c:v>43215</c:v>
                </c:pt>
                <c:pt idx="1393">
                  <c:v>43214</c:v>
                </c:pt>
                <c:pt idx="1394">
                  <c:v>43213</c:v>
                </c:pt>
                <c:pt idx="1395">
                  <c:v>43212</c:v>
                </c:pt>
                <c:pt idx="1396">
                  <c:v>43211</c:v>
                </c:pt>
                <c:pt idx="1397">
                  <c:v>43210</c:v>
                </c:pt>
                <c:pt idx="1398">
                  <c:v>43209</c:v>
                </c:pt>
                <c:pt idx="1399">
                  <c:v>43208</c:v>
                </c:pt>
                <c:pt idx="1400">
                  <c:v>43207</c:v>
                </c:pt>
                <c:pt idx="1401">
                  <c:v>43206</c:v>
                </c:pt>
                <c:pt idx="1402">
                  <c:v>43205</c:v>
                </c:pt>
                <c:pt idx="1403">
                  <c:v>43204</c:v>
                </c:pt>
                <c:pt idx="1404">
                  <c:v>43203</c:v>
                </c:pt>
                <c:pt idx="1405">
                  <c:v>43202</c:v>
                </c:pt>
                <c:pt idx="1406">
                  <c:v>43201</c:v>
                </c:pt>
                <c:pt idx="1407">
                  <c:v>43200</c:v>
                </c:pt>
                <c:pt idx="1408">
                  <c:v>43199</c:v>
                </c:pt>
                <c:pt idx="1409">
                  <c:v>43198</c:v>
                </c:pt>
                <c:pt idx="1410">
                  <c:v>43197</c:v>
                </c:pt>
                <c:pt idx="1411">
                  <c:v>43196</c:v>
                </c:pt>
                <c:pt idx="1412">
                  <c:v>43195</c:v>
                </c:pt>
                <c:pt idx="1413">
                  <c:v>43194</c:v>
                </c:pt>
                <c:pt idx="1414">
                  <c:v>43193</c:v>
                </c:pt>
                <c:pt idx="1415">
                  <c:v>43192</c:v>
                </c:pt>
                <c:pt idx="1416">
                  <c:v>43191</c:v>
                </c:pt>
                <c:pt idx="1417">
                  <c:v>43190</c:v>
                </c:pt>
                <c:pt idx="1418">
                  <c:v>43189</c:v>
                </c:pt>
                <c:pt idx="1419">
                  <c:v>43188</c:v>
                </c:pt>
                <c:pt idx="1420">
                  <c:v>43187</c:v>
                </c:pt>
                <c:pt idx="1421">
                  <c:v>43186</c:v>
                </c:pt>
                <c:pt idx="1422">
                  <c:v>43185</c:v>
                </c:pt>
                <c:pt idx="1423">
                  <c:v>43184</c:v>
                </c:pt>
                <c:pt idx="1424">
                  <c:v>43183</c:v>
                </c:pt>
                <c:pt idx="1425">
                  <c:v>43182</c:v>
                </c:pt>
                <c:pt idx="1426">
                  <c:v>43181</c:v>
                </c:pt>
                <c:pt idx="1427">
                  <c:v>43180</c:v>
                </c:pt>
                <c:pt idx="1428">
                  <c:v>43179</c:v>
                </c:pt>
                <c:pt idx="1429">
                  <c:v>43178</c:v>
                </c:pt>
                <c:pt idx="1430">
                  <c:v>43177</c:v>
                </c:pt>
                <c:pt idx="1431">
                  <c:v>43176</c:v>
                </c:pt>
                <c:pt idx="1432">
                  <c:v>43175</c:v>
                </c:pt>
                <c:pt idx="1433">
                  <c:v>43174</c:v>
                </c:pt>
                <c:pt idx="1434">
                  <c:v>43173</c:v>
                </c:pt>
                <c:pt idx="1435">
                  <c:v>43172</c:v>
                </c:pt>
                <c:pt idx="1436">
                  <c:v>43171</c:v>
                </c:pt>
                <c:pt idx="1437">
                  <c:v>43170</c:v>
                </c:pt>
                <c:pt idx="1438">
                  <c:v>43169</c:v>
                </c:pt>
                <c:pt idx="1439">
                  <c:v>43168</c:v>
                </c:pt>
                <c:pt idx="1440">
                  <c:v>43167</c:v>
                </c:pt>
                <c:pt idx="1441">
                  <c:v>43166</c:v>
                </c:pt>
                <c:pt idx="1442">
                  <c:v>43165</c:v>
                </c:pt>
                <c:pt idx="1443">
                  <c:v>43164</c:v>
                </c:pt>
                <c:pt idx="1444">
                  <c:v>43163</c:v>
                </c:pt>
                <c:pt idx="1445">
                  <c:v>43162</c:v>
                </c:pt>
                <c:pt idx="1446">
                  <c:v>43161</c:v>
                </c:pt>
                <c:pt idx="1447">
                  <c:v>43160</c:v>
                </c:pt>
                <c:pt idx="1448">
                  <c:v>43159</c:v>
                </c:pt>
                <c:pt idx="1449">
                  <c:v>43158</c:v>
                </c:pt>
                <c:pt idx="1450">
                  <c:v>43157</c:v>
                </c:pt>
                <c:pt idx="1451">
                  <c:v>43156</c:v>
                </c:pt>
                <c:pt idx="1452">
                  <c:v>43155</c:v>
                </c:pt>
                <c:pt idx="1453">
                  <c:v>43154</c:v>
                </c:pt>
                <c:pt idx="1454">
                  <c:v>43153</c:v>
                </c:pt>
                <c:pt idx="1455">
                  <c:v>43152</c:v>
                </c:pt>
                <c:pt idx="1456">
                  <c:v>43151</c:v>
                </c:pt>
                <c:pt idx="1457">
                  <c:v>43150</c:v>
                </c:pt>
                <c:pt idx="1458">
                  <c:v>43149</c:v>
                </c:pt>
                <c:pt idx="1459">
                  <c:v>43148</c:v>
                </c:pt>
                <c:pt idx="1460">
                  <c:v>43147</c:v>
                </c:pt>
                <c:pt idx="1461">
                  <c:v>43146</c:v>
                </c:pt>
                <c:pt idx="1462">
                  <c:v>43145</c:v>
                </c:pt>
                <c:pt idx="1463">
                  <c:v>43144</c:v>
                </c:pt>
                <c:pt idx="1464">
                  <c:v>43143</c:v>
                </c:pt>
                <c:pt idx="1465">
                  <c:v>43142</c:v>
                </c:pt>
                <c:pt idx="1466">
                  <c:v>43141</c:v>
                </c:pt>
                <c:pt idx="1467">
                  <c:v>43140</c:v>
                </c:pt>
                <c:pt idx="1468">
                  <c:v>43139</c:v>
                </c:pt>
                <c:pt idx="1469">
                  <c:v>43138</c:v>
                </c:pt>
                <c:pt idx="1470">
                  <c:v>43137</c:v>
                </c:pt>
                <c:pt idx="1471">
                  <c:v>43136</c:v>
                </c:pt>
                <c:pt idx="1472">
                  <c:v>43135</c:v>
                </c:pt>
                <c:pt idx="1473">
                  <c:v>43134</c:v>
                </c:pt>
                <c:pt idx="1474">
                  <c:v>43133</c:v>
                </c:pt>
                <c:pt idx="1475">
                  <c:v>43132</c:v>
                </c:pt>
                <c:pt idx="1476">
                  <c:v>43131</c:v>
                </c:pt>
                <c:pt idx="1477">
                  <c:v>43130</c:v>
                </c:pt>
                <c:pt idx="1478">
                  <c:v>43129</c:v>
                </c:pt>
                <c:pt idx="1479">
                  <c:v>43128</c:v>
                </c:pt>
                <c:pt idx="1480">
                  <c:v>43127</c:v>
                </c:pt>
                <c:pt idx="1481">
                  <c:v>43126</c:v>
                </c:pt>
                <c:pt idx="1482">
                  <c:v>43125</c:v>
                </c:pt>
                <c:pt idx="1483">
                  <c:v>43124</c:v>
                </c:pt>
                <c:pt idx="1484">
                  <c:v>43123</c:v>
                </c:pt>
                <c:pt idx="1485">
                  <c:v>43122</c:v>
                </c:pt>
                <c:pt idx="1486">
                  <c:v>43121</c:v>
                </c:pt>
                <c:pt idx="1487">
                  <c:v>43120</c:v>
                </c:pt>
                <c:pt idx="1488">
                  <c:v>43119</c:v>
                </c:pt>
                <c:pt idx="1489">
                  <c:v>43118</c:v>
                </c:pt>
                <c:pt idx="1490">
                  <c:v>43117</c:v>
                </c:pt>
                <c:pt idx="1491">
                  <c:v>43116</c:v>
                </c:pt>
                <c:pt idx="1492">
                  <c:v>43115</c:v>
                </c:pt>
                <c:pt idx="1493">
                  <c:v>43114</c:v>
                </c:pt>
                <c:pt idx="1494">
                  <c:v>43113</c:v>
                </c:pt>
                <c:pt idx="1495">
                  <c:v>43112</c:v>
                </c:pt>
                <c:pt idx="1496">
                  <c:v>43111</c:v>
                </c:pt>
                <c:pt idx="1497">
                  <c:v>43110</c:v>
                </c:pt>
                <c:pt idx="1498">
                  <c:v>43109</c:v>
                </c:pt>
                <c:pt idx="1499">
                  <c:v>43108</c:v>
                </c:pt>
                <c:pt idx="1500">
                  <c:v>43107</c:v>
                </c:pt>
                <c:pt idx="1501">
                  <c:v>43106</c:v>
                </c:pt>
                <c:pt idx="1502">
                  <c:v>43105</c:v>
                </c:pt>
                <c:pt idx="1503">
                  <c:v>43104</c:v>
                </c:pt>
                <c:pt idx="1504">
                  <c:v>43103</c:v>
                </c:pt>
                <c:pt idx="1505">
                  <c:v>43102</c:v>
                </c:pt>
                <c:pt idx="1506">
                  <c:v>43101</c:v>
                </c:pt>
                <c:pt idx="1507">
                  <c:v>43100</c:v>
                </c:pt>
                <c:pt idx="1508">
                  <c:v>43099</c:v>
                </c:pt>
                <c:pt idx="1509">
                  <c:v>43098</c:v>
                </c:pt>
                <c:pt idx="1510">
                  <c:v>43097</c:v>
                </c:pt>
                <c:pt idx="1511">
                  <c:v>43096</c:v>
                </c:pt>
                <c:pt idx="1512">
                  <c:v>43095</c:v>
                </c:pt>
                <c:pt idx="1513">
                  <c:v>43094</c:v>
                </c:pt>
                <c:pt idx="1514">
                  <c:v>43093</c:v>
                </c:pt>
                <c:pt idx="1515">
                  <c:v>43092</c:v>
                </c:pt>
                <c:pt idx="1516">
                  <c:v>43091</c:v>
                </c:pt>
                <c:pt idx="1517">
                  <c:v>43090</c:v>
                </c:pt>
                <c:pt idx="1518">
                  <c:v>43089</c:v>
                </c:pt>
                <c:pt idx="1519">
                  <c:v>43088</c:v>
                </c:pt>
                <c:pt idx="1520">
                  <c:v>43087</c:v>
                </c:pt>
                <c:pt idx="1521">
                  <c:v>43086</c:v>
                </c:pt>
                <c:pt idx="1522">
                  <c:v>43085</c:v>
                </c:pt>
                <c:pt idx="1523">
                  <c:v>43084</c:v>
                </c:pt>
                <c:pt idx="1524">
                  <c:v>43083</c:v>
                </c:pt>
                <c:pt idx="1525">
                  <c:v>43082</c:v>
                </c:pt>
                <c:pt idx="1526">
                  <c:v>43081</c:v>
                </c:pt>
                <c:pt idx="1527">
                  <c:v>43080</c:v>
                </c:pt>
                <c:pt idx="1528">
                  <c:v>43079</c:v>
                </c:pt>
                <c:pt idx="1529">
                  <c:v>43078</c:v>
                </c:pt>
                <c:pt idx="1530">
                  <c:v>43077</c:v>
                </c:pt>
                <c:pt idx="1531">
                  <c:v>43076</c:v>
                </c:pt>
                <c:pt idx="1532">
                  <c:v>43075</c:v>
                </c:pt>
                <c:pt idx="1533">
                  <c:v>43074</c:v>
                </c:pt>
                <c:pt idx="1534">
                  <c:v>43073</c:v>
                </c:pt>
                <c:pt idx="1535">
                  <c:v>43072</c:v>
                </c:pt>
                <c:pt idx="1536">
                  <c:v>43071</c:v>
                </c:pt>
                <c:pt idx="1537">
                  <c:v>43070</c:v>
                </c:pt>
                <c:pt idx="1538">
                  <c:v>43069</c:v>
                </c:pt>
                <c:pt idx="1539">
                  <c:v>43068</c:v>
                </c:pt>
                <c:pt idx="1540">
                  <c:v>43067</c:v>
                </c:pt>
                <c:pt idx="1541">
                  <c:v>43066</c:v>
                </c:pt>
                <c:pt idx="1542">
                  <c:v>43065</c:v>
                </c:pt>
                <c:pt idx="1543">
                  <c:v>43064</c:v>
                </c:pt>
                <c:pt idx="1544">
                  <c:v>43063</c:v>
                </c:pt>
                <c:pt idx="1545">
                  <c:v>43062</c:v>
                </c:pt>
                <c:pt idx="1546">
                  <c:v>43061</c:v>
                </c:pt>
                <c:pt idx="1547">
                  <c:v>43060</c:v>
                </c:pt>
                <c:pt idx="1548">
                  <c:v>43059</c:v>
                </c:pt>
                <c:pt idx="1549">
                  <c:v>43058</c:v>
                </c:pt>
                <c:pt idx="1550">
                  <c:v>43057</c:v>
                </c:pt>
                <c:pt idx="1551">
                  <c:v>43056</c:v>
                </c:pt>
                <c:pt idx="1552">
                  <c:v>43055</c:v>
                </c:pt>
                <c:pt idx="1553">
                  <c:v>43054</c:v>
                </c:pt>
                <c:pt idx="1554">
                  <c:v>43053</c:v>
                </c:pt>
                <c:pt idx="1555">
                  <c:v>43052</c:v>
                </c:pt>
                <c:pt idx="1556">
                  <c:v>43051</c:v>
                </c:pt>
                <c:pt idx="1557">
                  <c:v>43050</c:v>
                </c:pt>
                <c:pt idx="1558">
                  <c:v>43049</c:v>
                </c:pt>
                <c:pt idx="1559">
                  <c:v>43048</c:v>
                </c:pt>
                <c:pt idx="1560">
                  <c:v>43047</c:v>
                </c:pt>
                <c:pt idx="1561">
                  <c:v>43046</c:v>
                </c:pt>
                <c:pt idx="1562">
                  <c:v>43045</c:v>
                </c:pt>
                <c:pt idx="1563">
                  <c:v>43044</c:v>
                </c:pt>
                <c:pt idx="1564">
                  <c:v>43043</c:v>
                </c:pt>
                <c:pt idx="1565">
                  <c:v>43042</c:v>
                </c:pt>
                <c:pt idx="1566">
                  <c:v>43041</c:v>
                </c:pt>
                <c:pt idx="1567">
                  <c:v>43040</c:v>
                </c:pt>
                <c:pt idx="1568">
                  <c:v>43039</c:v>
                </c:pt>
                <c:pt idx="1569">
                  <c:v>43038</c:v>
                </c:pt>
                <c:pt idx="1570">
                  <c:v>43037</c:v>
                </c:pt>
                <c:pt idx="1571">
                  <c:v>43036</c:v>
                </c:pt>
                <c:pt idx="1572">
                  <c:v>43035</c:v>
                </c:pt>
                <c:pt idx="1573">
                  <c:v>43034</c:v>
                </c:pt>
                <c:pt idx="1574">
                  <c:v>43033</c:v>
                </c:pt>
                <c:pt idx="1575">
                  <c:v>43032</c:v>
                </c:pt>
                <c:pt idx="1576">
                  <c:v>43031</c:v>
                </c:pt>
                <c:pt idx="1577">
                  <c:v>43030</c:v>
                </c:pt>
                <c:pt idx="1578">
                  <c:v>43029</c:v>
                </c:pt>
                <c:pt idx="1579">
                  <c:v>43028</c:v>
                </c:pt>
                <c:pt idx="1580">
                  <c:v>43027</c:v>
                </c:pt>
                <c:pt idx="1581">
                  <c:v>43026</c:v>
                </c:pt>
                <c:pt idx="1582">
                  <c:v>43025</c:v>
                </c:pt>
                <c:pt idx="1583">
                  <c:v>43024</c:v>
                </c:pt>
                <c:pt idx="1584">
                  <c:v>43023</c:v>
                </c:pt>
                <c:pt idx="1585">
                  <c:v>43022</c:v>
                </c:pt>
                <c:pt idx="1586">
                  <c:v>43021</c:v>
                </c:pt>
                <c:pt idx="1587">
                  <c:v>43020</c:v>
                </c:pt>
                <c:pt idx="1588">
                  <c:v>43019</c:v>
                </c:pt>
                <c:pt idx="1589">
                  <c:v>43018</c:v>
                </c:pt>
                <c:pt idx="1590">
                  <c:v>43017</c:v>
                </c:pt>
                <c:pt idx="1591">
                  <c:v>43016</c:v>
                </c:pt>
                <c:pt idx="1592">
                  <c:v>43015</c:v>
                </c:pt>
                <c:pt idx="1593">
                  <c:v>43014</c:v>
                </c:pt>
                <c:pt idx="1594">
                  <c:v>43013</c:v>
                </c:pt>
                <c:pt idx="1595">
                  <c:v>43012</c:v>
                </c:pt>
                <c:pt idx="1596">
                  <c:v>43011</c:v>
                </c:pt>
                <c:pt idx="1597">
                  <c:v>43010</c:v>
                </c:pt>
                <c:pt idx="1598">
                  <c:v>43009</c:v>
                </c:pt>
                <c:pt idx="1599">
                  <c:v>43008</c:v>
                </c:pt>
                <c:pt idx="1600">
                  <c:v>43007</c:v>
                </c:pt>
                <c:pt idx="1601">
                  <c:v>43006</c:v>
                </c:pt>
                <c:pt idx="1602">
                  <c:v>43005</c:v>
                </c:pt>
                <c:pt idx="1603">
                  <c:v>43004</c:v>
                </c:pt>
                <c:pt idx="1604">
                  <c:v>43003</c:v>
                </c:pt>
                <c:pt idx="1605">
                  <c:v>43002</c:v>
                </c:pt>
                <c:pt idx="1606">
                  <c:v>43001</c:v>
                </c:pt>
                <c:pt idx="1607">
                  <c:v>43000</c:v>
                </c:pt>
                <c:pt idx="1608">
                  <c:v>42999</c:v>
                </c:pt>
                <c:pt idx="1609">
                  <c:v>42998</c:v>
                </c:pt>
                <c:pt idx="1610">
                  <c:v>42997</c:v>
                </c:pt>
                <c:pt idx="1611">
                  <c:v>42996</c:v>
                </c:pt>
                <c:pt idx="1612">
                  <c:v>42995</c:v>
                </c:pt>
                <c:pt idx="1613">
                  <c:v>42994</c:v>
                </c:pt>
                <c:pt idx="1614">
                  <c:v>42993</c:v>
                </c:pt>
                <c:pt idx="1615">
                  <c:v>42992</c:v>
                </c:pt>
                <c:pt idx="1616">
                  <c:v>42991</c:v>
                </c:pt>
                <c:pt idx="1617">
                  <c:v>42990</c:v>
                </c:pt>
                <c:pt idx="1618">
                  <c:v>42989</c:v>
                </c:pt>
                <c:pt idx="1619">
                  <c:v>42988</c:v>
                </c:pt>
                <c:pt idx="1620">
                  <c:v>42987</c:v>
                </c:pt>
                <c:pt idx="1621">
                  <c:v>42986</c:v>
                </c:pt>
                <c:pt idx="1622">
                  <c:v>42985</c:v>
                </c:pt>
                <c:pt idx="1623">
                  <c:v>42984</c:v>
                </c:pt>
                <c:pt idx="1624">
                  <c:v>42983</c:v>
                </c:pt>
                <c:pt idx="1625">
                  <c:v>42982</c:v>
                </c:pt>
                <c:pt idx="1626">
                  <c:v>42981</c:v>
                </c:pt>
                <c:pt idx="1627">
                  <c:v>42980</c:v>
                </c:pt>
                <c:pt idx="1628">
                  <c:v>42979</c:v>
                </c:pt>
                <c:pt idx="1629">
                  <c:v>42978</c:v>
                </c:pt>
                <c:pt idx="1630">
                  <c:v>42977</c:v>
                </c:pt>
                <c:pt idx="1631">
                  <c:v>42976</c:v>
                </c:pt>
                <c:pt idx="1632">
                  <c:v>42975</c:v>
                </c:pt>
                <c:pt idx="1633">
                  <c:v>42974</c:v>
                </c:pt>
                <c:pt idx="1634">
                  <c:v>42973</c:v>
                </c:pt>
                <c:pt idx="1635">
                  <c:v>42972</c:v>
                </c:pt>
                <c:pt idx="1636">
                  <c:v>42971</c:v>
                </c:pt>
                <c:pt idx="1637">
                  <c:v>42970</c:v>
                </c:pt>
                <c:pt idx="1638">
                  <c:v>42969</c:v>
                </c:pt>
                <c:pt idx="1639">
                  <c:v>42968</c:v>
                </c:pt>
                <c:pt idx="1640">
                  <c:v>42967</c:v>
                </c:pt>
                <c:pt idx="1641">
                  <c:v>42966</c:v>
                </c:pt>
                <c:pt idx="1642">
                  <c:v>42965</c:v>
                </c:pt>
                <c:pt idx="1643">
                  <c:v>42964</c:v>
                </c:pt>
                <c:pt idx="1644">
                  <c:v>42963</c:v>
                </c:pt>
                <c:pt idx="1645">
                  <c:v>42962</c:v>
                </c:pt>
                <c:pt idx="1646">
                  <c:v>42961</c:v>
                </c:pt>
                <c:pt idx="1647">
                  <c:v>42960</c:v>
                </c:pt>
                <c:pt idx="1648">
                  <c:v>42959</c:v>
                </c:pt>
                <c:pt idx="1649">
                  <c:v>42958</c:v>
                </c:pt>
                <c:pt idx="1650">
                  <c:v>42957</c:v>
                </c:pt>
                <c:pt idx="1651">
                  <c:v>42956</c:v>
                </c:pt>
                <c:pt idx="1652">
                  <c:v>42955</c:v>
                </c:pt>
                <c:pt idx="1653">
                  <c:v>42954</c:v>
                </c:pt>
                <c:pt idx="1654">
                  <c:v>42953</c:v>
                </c:pt>
                <c:pt idx="1655">
                  <c:v>42952</c:v>
                </c:pt>
                <c:pt idx="1656">
                  <c:v>42951</c:v>
                </c:pt>
                <c:pt idx="1657">
                  <c:v>42950</c:v>
                </c:pt>
                <c:pt idx="1658">
                  <c:v>42949</c:v>
                </c:pt>
                <c:pt idx="1659">
                  <c:v>42948</c:v>
                </c:pt>
                <c:pt idx="1660">
                  <c:v>42947</c:v>
                </c:pt>
                <c:pt idx="1661">
                  <c:v>42946</c:v>
                </c:pt>
                <c:pt idx="1662">
                  <c:v>42945</c:v>
                </c:pt>
                <c:pt idx="1663">
                  <c:v>42944</c:v>
                </c:pt>
                <c:pt idx="1664">
                  <c:v>42943</c:v>
                </c:pt>
                <c:pt idx="1665">
                  <c:v>42942</c:v>
                </c:pt>
                <c:pt idx="1666">
                  <c:v>42941</c:v>
                </c:pt>
                <c:pt idx="1667">
                  <c:v>42940</c:v>
                </c:pt>
                <c:pt idx="1668">
                  <c:v>42939</c:v>
                </c:pt>
                <c:pt idx="1669">
                  <c:v>42938</c:v>
                </c:pt>
                <c:pt idx="1670">
                  <c:v>42937</c:v>
                </c:pt>
                <c:pt idx="1671">
                  <c:v>42936</c:v>
                </c:pt>
                <c:pt idx="1672">
                  <c:v>42935</c:v>
                </c:pt>
                <c:pt idx="1673">
                  <c:v>42934</c:v>
                </c:pt>
                <c:pt idx="1674">
                  <c:v>42933</c:v>
                </c:pt>
                <c:pt idx="1675">
                  <c:v>42932</c:v>
                </c:pt>
                <c:pt idx="1676">
                  <c:v>42931</c:v>
                </c:pt>
                <c:pt idx="1677">
                  <c:v>42930</c:v>
                </c:pt>
                <c:pt idx="1678">
                  <c:v>42929</c:v>
                </c:pt>
                <c:pt idx="1679">
                  <c:v>42928</c:v>
                </c:pt>
                <c:pt idx="1680">
                  <c:v>42927</c:v>
                </c:pt>
                <c:pt idx="1681">
                  <c:v>42926</c:v>
                </c:pt>
                <c:pt idx="1682">
                  <c:v>42925</c:v>
                </c:pt>
                <c:pt idx="1683">
                  <c:v>42924</c:v>
                </c:pt>
                <c:pt idx="1684">
                  <c:v>42923</c:v>
                </c:pt>
                <c:pt idx="1685">
                  <c:v>42922</c:v>
                </c:pt>
                <c:pt idx="1686">
                  <c:v>42921</c:v>
                </c:pt>
                <c:pt idx="1687">
                  <c:v>42920</c:v>
                </c:pt>
                <c:pt idx="1688">
                  <c:v>42919</c:v>
                </c:pt>
                <c:pt idx="1689">
                  <c:v>42918</c:v>
                </c:pt>
                <c:pt idx="1690">
                  <c:v>42917</c:v>
                </c:pt>
                <c:pt idx="1691">
                  <c:v>42916</c:v>
                </c:pt>
                <c:pt idx="1692">
                  <c:v>42915</c:v>
                </c:pt>
                <c:pt idx="1693">
                  <c:v>42914</c:v>
                </c:pt>
                <c:pt idx="1694">
                  <c:v>42913</c:v>
                </c:pt>
                <c:pt idx="1695">
                  <c:v>42912</c:v>
                </c:pt>
                <c:pt idx="1696">
                  <c:v>42911</c:v>
                </c:pt>
                <c:pt idx="1697">
                  <c:v>42910</c:v>
                </c:pt>
                <c:pt idx="1698">
                  <c:v>42909</c:v>
                </c:pt>
                <c:pt idx="1699">
                  <c:v>42908</c:v>
                </c:pt>
                <c:pt idx="1700">
                  <c:v>42907</c:v>
                </c:pt>
                <c:pt idx="1701">
                  <c:v>42906</c:v>
                </c:pt>
                <c:pt idx="1702">
                  <c:v>42905</c:v>
                </c:pt>
                <c:pt idx="1703">
                  <c:v>42904</c:v>
                </c:pt>
                <c:pt idx="1704">
                  <c:v>42903</c:v>
                </c:pt>
                <c:pt idx="1705">
                  <c:v>42902</c:v>
                </c:pt>
                <c:pt idx="1706">
                  <c:v>42901</c:v>
                </c:pt>
                <c:pt idx="1707">
                  <c:v>42900</c:v>
                </c:pt>
                <c:pt idx="1708">
                  <c:v>42899</c:v>
                </c:pt>
                <c:pt idx="1709">
                  <c:v>42898</c:v>
                </c:pt>
                <c:pt idx="1710">
                  <c:v>42897</c:v>
                </c:pt>
                <c:pt idx="1711">
                  <c:v>42896</c:v>
                </c:pt>
                <c:pt idx="1712">
                  <c:v>42895</c:v>
                </c:pt>
                <c:pt idx="1713">
                  <c:v>42894</c:v>
                </c:pt>
                <c:pt idx="1714">
                  <c:v>42893</c:v>
                </c:pt>
                <c:pt idx="1715">
                  <c:v>42892</c:v>
                </c:pt>
                <c:pt idx="1716">
                  <c:v>42891</c:v>
                </c:pt>
                <c:pt idx="1717">
                  <c:v>42890</c:v>
                </c:pt>
                <c:pt idx="1718">
                  <c:v>42889</c:v>
                </c:pt>
                <c:pt idx="1719">
                  <c:v>42888</c:v>
                </c:pt>
                <c:pt idx="1720">
                  <c:v>42887</c:v>
                </c:pt>
                <c:pt idx="1721">
                  <c:v>42886</c:v>
                </c:pt>
                <c:pt idx="1722">
                  <c:v>42885</c:v>
                </c:pt>
                <c:pt idx="1723">
                  <c:v>42884</c:v>
                </c:pt>
                <c:pt idx="1724">
                  <c:v>42883</c:v>
                </c:pt>
                <c:pt idx="1725">
                  <c:v>42882</c:v>
                </c:pt>
                <c:pt idx="1726">
                  <c:v>42881</c:v>
                </c:pt>
                <c:pt idx="1727">
                  <c:v>42880</c:v>
                </c:pt>
                <c:pt idx="1728">
                  <c:v>42879</c:v>
                </c:pt>
                <c:pt idx="1729">
                  <c:v>42878</c:v>
                </c:pt>
                <c:pt idx="1730">
                  <c:v>42877</c:v>
                </c:pt>
                <c:pt idx="1731">
                  <c:v>42876</c:v>
                </c:pt>
                <c:pt idx="1732">
                  <c:v>42875</c:v>
                </c:pt>
                <c:pt idx="1733">
                  <c:v>42874</c:v>
                </c:pt>
                <c:pt idx="1734">
                  <c:v>42873</c:v>
                </c:pt>
                <c:pt idx="1735">
                  <c:v>42872</c:v>
                </c:pt>
                <c:pt idx="1736">
                  <c:v>42871</c:v>
                </c:pt>
                <c:pt idx="1737">
                  <c:v>42870</c:v>
                </c:pt>
                <c:pt idx="1738">
                  <c:v>42869</c:v>
                </c:pt>
                <c:pt idx="1739">
                  <c:v>42868</c:v>
                </c:pt>
                <c:pt idx="1740">
                  <c:v>42867</c:v>
                </c:pt>
                <c:pt idx="1741">
                  <c:v>42866</c:v>
                </c:pt>
                <c:pt idx="1742">
                  <c:v>42865</c:v>
                </c:pt>
                <c:pt idx="1743">
                  <c:v>42864</c:v>
                </c:pt>
                <c:pt idx="1744">
                  <c:v>42863</c:v>
                </c:pt>
                <c:pt idx="1745">
                  <c:v>42862</c:v>
                </c:pt>
                <c:pt idx="1746">
                  <c:v>42861</c:v>
                </c:pt>
                <c:pt idx="1747">
                  <c:v>42860</c:v>
                </c:pt>
                <c:pt idx="1748">
                  <c:v>42859</c:v>
                </c:pt>
                <c:pt idx="1749">
                  <c:v>42858</c:v>
                </c:pt>
                <c:pt idx="1750">
                  <c:v>42857</c:v>
                </c:pt>
                <c:pt idx="1751">
                  <c:v>42856</c:v>
                </c:pt>
                <c:pt idx="1752">
                  <c:v>42855</c:v>
                </c:pt>
                <c:pt idx="1753">
                  <c:v>42854</c:v>
                </c:pt>
                <c:pt idx="1754">
                  <c:v>42853</c:v>
                </c:pt>
                <c:pt idx="1755">
                  <c:v>42852</c:v>
                </c:pt>
                <c:pt idx="1756">
                  <c:v>42851</c:v>
                </c:pt>
                <c:pt idx="1757">
                  <c:v>42850</c:v>
                </c:pt>
                <c:pt idx="1758">
                  <c:v>42849</c:v>
                </c:pt>
                <c:pt idx="1759">
                  <c:v>42848</c:v>
                </c:pt>
                <c:pt idx="1760">
                  <c:v>42847</c:v>
                </c:pt>
                <c:pt idx="1761">
                  <c:v>42846</c:v>
                </c:pt>
                <c:pt idx="1762">
                  <c:v>42845</c:v>
                </c:pt>
                <c:pt idx="1763">
                  <c:v>42844</c:v>
                </c:pt>
                <c:pt idx="1764">
                  <c:v>42843</c:v>
                </c:pt>
                <c:pt idx="1765">
                  <c:v>42842</c:v>
                </c:pt>
                <c:pt idx="1766">
                  <c:v>42841</c:v>
                </c:pt>
                <c:pt idx="1767">
                  <c:v>42840</c:v>
                </c:pt>
                <c:pt idx="1768">
                  <c:v>42839</c:v>
                </c:pt>
                <c:pt idx="1769">
                  <c:v>42838</c:v>
                </c:pt>
                <c:pt idx="1770">
                  <c:v>42837</c:v>
                </c:pt>
                <c:pt idx="1771">
                  <c:v>42836</c:v>
                </c:pt>
                <c:pt idx="1772">
                  <c:v>42835</c:v>
                </c:pt>
                <c:pt idx="1773">
                  <c:v>42834</c:v>
                </c:pt>
                <c:pt idx="1774">
                  <c:v>42833</c:v>
                </c:pt>
                <c:pt idx="1775">
                  <c:v>42832</c:v>
                </c:pt>
                <c:pt idx="1776">
                  <c:v>42831</c:v>
                </c:pt>
                <c:pt idx="1777">
                  <c:v>42830</c:v>
                </c:pt>
                <c:pt idx="1778">
                  <c:v>42829</c:v>
                </c:pt>
                <c:pt idx="1779">
                  <c:v>42828</c:v>
                </c:pt>
                <c:pt idx="1780">
                  <c:v>42827</c:v>
                </c:pt>
                <c:pt idx="1781">
                  <c:v>42826</c:v>
                </c:pt>
                <c:pt idx="1782">
                  <c:v>42825</c:v>
                </c:pt>
                <c:pt idx="1783">
                  <c:v>42824</c:v>
                </c:pt>
                <c:pt idx="1784">
                  <c:v>42823</c:v>
                </c:pt>
                <c:pt idx="1785">
                  <c:v>42822</c:v>
                </c:pt>
                <c:pt idx="1786">
                  <c:v>42821</c:v>
                </c:pt>
                <c:pt idx="1787">
                  <c:v>42820</c:v>
                </c:pt>
                <c:pt idx="1788">
                  <c:v>42819</c:v>
                </c:pt>
                <c:pt idx="1789">
                  <c:v>42818</c:v>
                </c:pt>
                <c:pt idx="1790">
                  <c:v>42817</c:v>
                </c:pt>
                <c:pt idx="1791">
                  <c:v>42816</c:v>
                </c:pt>
                <c:pt idx="1792">
                  <c:v>42815</c:v>
                </c:pt>
                <c:pt idx="1793">
                  <c:v>42814</c:v>
                </c:pt>
                <c:pt idx="1794">
                  <c:v>42813</c:v>
                </c:pt>
                <c:pt idx="1795">
                  <c:v>42812</c:v>
                </c:pt>
                <c:pt idx="1796">
                  <c:v>42811</c:v>
                </c:pt>
                <c:pt idx="1797">
                  <c:v>42810</c:v>
                </c:pt>
                <c:pt idx="1798">
                  <c:v>42809</c:v>
                </c:pt>
                <c:pt idx="1799">
                  <c:v>42808</c:v>
                </c:pt>
                <c:pt idx="1800">
                  <c:v>42807</c:v>
                </c:pt>
                <c:pt idx="1801">
                  <c:v>42806</c:v>
                </c:pt>
                <c:pt idx="1802">
                  <c:v>42805</c:v>
                </c:pt>
                <c:pt idx="1803">
                  <c:v>42804</c:v>
                </c:pt>
                <c:pt idx="1804">
                  <c:v>42803</c:v>
                </c:pt>
                <c:pt idx="1805">
                  <c:v>42802</c:v>
                </c:pt>
                <c:pt idx="1806">
                  <c:v>42801</c:v>
                </c:pt>
                <c:pt idx="1807">
                  <c:v>42800</c:v>
                </c:pt>
                <c:pt idx="1808">
                  <c:v>42799</c:v>
                </c:pt>
                <c:pt idx="1809">
                  <c:v>42798</c:v>
                </c:pt>
                <c:pt idx="1810">
                  <c:v>42797</c:v>
                </c:pt>
                <c:pt idx="1811">
                  <c:v>42796</c:v>
                </c:pt>
                <c:pt idx="1812">
                  <c:v>42795</c:v>
                </c:pt>
                <c:pt idx="1813">
                  <c:v>42794</c:v>
                </c:pt>
                <c:pt idx="1814">
                  <c:v>42793</c:v>
                </c:pt>
                <c:pt idx="1815">
                  <c:v>42792</c:v>
                </c:pt>
                <c:pt idx="1816">
                  <c:v>42791</c:v>
                </c:pt>
                <c:pt idx="1817">
                  <c:v>42790</c:v>
                </c:pt>
                <c:pt idx="1818">
                  <c:v>42789</c:v>
                </c:pt>
                <c:pt idx="1819">
                  <c:v>42788</c:v>
                </c:pt>
                <c:pt idx="1820">
                  <c:v>42787</c:v>
                </c:pt>
                <c:pt idx="1821">
                  <c:v>42786</c:v>
                </c:pt>
                <c:pt idx="1822">
                  <c:v>42785</c:v>
                </c:pt>
                <c:pt idx="1823">
                  <c:v>42784</c:v>
                </c:pt>
                <c:pt idx="1824">
                  <c:v>42783</c:v>
                </c:pt>
                <c:pt idx="1825">
                  <c:v>42782</c:v>
                </c:pt>
                <c:pt idx="1826">
                  <c:v>42781</c:v>
                </c:pt>
              </c:numCache>
            </c:numRef>
          </c:cat>
          <c:val>
            <c:numRef>
              <c:f>[32]Indexed!$F$4:$F$1830</c:f>
              <c:numCache>
                <c:formatCode>General</c:formatCode>
                <c:ptCount val="1827"/>
                <c:pt idx="0">
                  <c:v>369.81521766394684</c:v>
                </c:pt>
                <c:pt idx="1">
                  <c:v>371.85831133652937</c:v>
                </c:pt>
                <c:pt idx="2">
                  <c:v>379.0799572895441</c:v>
                </c:pt>
                <c:pt idx="3">
                  <c:v>379.0799572895441</c:v>
                </c:pt>
                <c:pt idx="4">
                  <c:v>379.0799572895441</c:v>
                </c:pt>
                <c:pt idx="5">
                  <c:v>379.09476293260343</c:v>
                </c:pt>
                <c:pt idx="6">
                  <c:v>370.64051978384947</c:v>
                </c:pt>
                <c:pt idx="7">
                  <c:v>367.3426444372156</c:v>
                </c:pt>
                <c:pt idx="8">
                  <c:v>370.98367016841422</c:v>
                </c:pt>
                <c:pt idx="9">
                  <c:v>372.94749677143983</c:v>
                </c:pt>
                <c:pt idx="10">
                  <c:v>372.94749677143983</c:v>
                </c:pt>
                <c:pt idx="11">
                  <c:v>372.94749677143983</c:v>
                </c:pt>
                <c:pt idx="12">
                  <c:v>372.94749677143983</c:v>
                </c:pt>
                <c:pt idx="13">
                  <c:v>372.94749677143983</c:v>
                </c:pt>
                <c:pt idx="14">
                  <c:v>372.94749677143983</c:v>
                </c:pt>
                <c:pt idx="15">
                  <c:v>372.94749677143983</c:v>
                </c:pt>
                <c:pt idx="16">
                  <c:v>372.94749677143983</c:v>
                </c:pt>
                <c:pt idx="17">
                  <c:v>372.94749677143983</c:v>
                </c:pt>
                <c:pt idx="18">
                  <c:v>372.94749677143983</c:v>
                </c:pt>
                <c:pt idx="19">
                  <c:v>372.94749677143983</c:v>
                </c:pt>
                <c:pt idx="20">
                  <c:v>372.94749677143983</c:v>
                </c:pt>
                <c:pt idx="21">
                  <c:v>376.25924608568164</c:v>
                </c:pt>
                <c:pt idx="22">
                  <c:v>383.74620989049748</c:v>
                </c:pt>
                <c:pt idx="23">
                  <c:v>376.54457918433144</c:v>
                </c:pt>
                <c:pt idx="24">
                  <c:v>376.54457918433144</c:v>
                </c:pt>
                <c:pt idx="25">
                  <c:v>376.54457918433144</c:v>
                </c:pt>
                <c:pt idx="26">
                  <c:v>383.37416082411198</c:v>
                </c:pt>
                <c:pt idx="27">
                  <c:v>385.1408620260662</c:v>
                </c:pt>
                <c:pt idx="28">
                  <c:v>391.02700064936778</c:v>
                </c:pt>
                <c:pt idx="29">
                  <c:v>403.9004910933084</c:v>
                </c:pt>
                <c:pt idx="30">
                  <c:v>396.93375292503862</c:v>
                </c:pt>
                <c:pt idx="31">
                  <c:v>396.93375292503862</c:v>
                </c:pt>
                <c:pt idx="32">
                  <c:v>396.93375292503862</c:v>
                </c:pt>
                <c:pt idx="33">
                  <c:v>389.09413432662893</c:v>
                </c:pt>
                <c:pt idx="34">
                  <c:v>388.3368613719112</c:v>
                </c:pt>
                <c:pt idx="35">
                  <c:v>382.79213607245407</c:v>
                </c:pt>
                <c:pt idx="36">
                  <c:v>378.21112519188887</c:v>
                </c:pt>
                <c:pt idx="37">
                  <c:v>373.60630742264431</c:v>
                </c:pt>
                <c:pt idx="38">
                  <c:v>373.60630742264431</c:v>
                </c:pt>
                <c:pt idx="39">
                  <c:v>373.60630742264431</c:v>
                </c:pt>
                <c:pt idx="40">
                  <c:v>378.70346940223715</c:v>
                </c:pt>
                <c:pt idx="41">
                  <c:v>382.99323560841987</c:v>
                </c:pt>
                <c:pt idx="42">
                  <c:v>387.62369862987401</c:v>
                </c:pt>
                <c:pt idx="43">
                  <c:v>371.40791435758359</c:v>
                </c:pt>
                <c:pt idx="44">
                  <c:v>360.88036205271658</c:v>
                </c:pt>
                <c:pt idx="45">
                  <c:v>360.88036205271658</c:v>
                </c:pt>
                <c:pt idx="46">
                  <c:v>360.88036205271658</c:v>
                </c:pt>
                <c:pt idx="47">
                  <c:v>360.88036205271658</c:v>
                </c:pt>
                <c:pt idx="48">
                  <c:v>362.59200291621727</c:v>
                </c:pt>
                <c:pt idx="49">
                  <c:v>362.08199047504178</c:v>
                </c:pt>
                <c:pt idx="50">
                  <c:v>356.04871004155927</c:v>
                </c:pt>
                <c:pt idx="51">
                  <c:v>354.98902534092952</c:v>
                </c:pt>
                <c:pt idx="52">
                  <c:v>354.98902534092952</c:v>
                </c:pt>
                <c:pt idx="53">
                  <c:v>354.98902534092952</c:v>
                </c:pt>
                <c:pt idx="54">
                  <c:v>355.97156808293136</c:v>
                </c:pt>
                <c:pt idx="55">
                  <c:v>351.57112096813921</c:v>
                </c:pt>
                <c:pt idx="56">
                  <c:v>349.37280544720164</c:v>
                </c:pt>
                <c:pt idx="57">
                  <c:v>349.21679597871531</c:v>
                </c:pt>
                <c:pt idx="58">
                  <c:v>354.82923065573692</c:v>
                </c:pt>
                <c:pt idx="59">
                  <c:v>354.82923065573692</c:v>
                </c:pt>
                <c:pt idx="60">
                  <c:v>354.82923065573692</c:v>
                </c:pt>
                <c:pt idx="61">
                  <c:v>353.91446487174261</c:v>
                </c:pt>
                <c:pt idx="62">
                  <c:v>351.33067421322011</c:v>
                </c:pt>
                <c:pt idx="63">
                  <c:v>350.10240962023136</c:v>
                </c:pt>
                <c:pt idx="64">
                  <c:v>351.61246740099466</c:v>
                </c:pt>
                <c:pt idx="65">
                  <c:v>356.16869713207257</c:v>
                </c:pt>
                <c:pt idx="66">
                  <c:v>356.16869713207257</c:v>
                </c:pt>
                <c:pt idx="67">
                  <c:v>356.16869713207257</c:v>
                </c:pt>
                <c:pt idx="68">
                  <c:v>356.60555350477915</c:v>
                </c:pt>
                <c:pt idx="69">
                  <c:v>353.29022879078826</c:v>
                </c:pt>
                <c:pt idx="70">
                  <c:v>355.96769280391567</c:v>
                </c:pt>
                <c:pt idx="71">
                  <c:v>352.19274204588021</c:v>
                </c:pt>
                <c:pt idx="72">
                  <c:v>357.62420546915837</c:v>
                </c:pt>
                <c:pt idx="73">
                  <c:v>357.62420546915837</c:v>
                </c:pt>
                <c:pt idx="74">
                  <c:v>357.62420546915837</c:v>
                </c:pt>
                <c:pt idx="75">
                  <c:v>360.47726000163641</c:v>
                </c:pt>
                <c:pt idx="76">
                  <c:v>352.52347528867193</c:v>
                </c:pt>
                <c:pt idx="77">
                  <c:v>350.92111905489583</c:v>
                </c:pt>
                <c:pt idx="78">
                  <c:v>347.49449171279093</c:v>
                </c:pt>
                <c:pt idx="79">
                  <c:v>348.0863345868915</c:v>
                </c:pt>
                <c:pt idx="80">
                  <c:v>348.0863345868915</c:v>
                </c:pt>
                <c:pt idx="81">
                  <c:v>348.0863345868915</c:v>
                </c:pt>
                <c:pt idx="82">
                  <c:v>352.94757655508886</c:v>
                </c:pt>
                <c:pt idx="83">
                  <c:v>352.89678542304779</c:v>
                </c:pt>
                <c:pt idx="84">
                  <c:v>358.34438879576078</c:v>
                </c:pt>
                <c:pt idx="85">
                  <c:v>359.8678200296909</c:v>
                </c:pt>
                <c:pt idx="86">
                  <c:v>361.80547700737816</c:v>
                </c:pt>
                <c:pt idx="87">
                  <c:v>361.80547700737816</c:v>
                </c:pt>
                <c:pt idx="88">
                  <c:v>361.80547700737816</c:v>
                </c:pt>
                <c:pt idx="89">
                  <c:v>358.87824822899989</c:v>
                </c:pt>
                <c:pt idx="90">
                  <c:v>357.34053865783477</c:v>
                </c:pt>
                <c:pt idx="91">
                  <c:v>356.57010377625608</c:v>
                </c:pt>
                <c:pt idx="92">
                  <c:v>356.41279374612702</c:v>
                </c:pt>
                <c:pt idx="93">
                  <c:v>353.67287870797423</c:v>
                </c:pt>
                <c:pt idx="94">
                  <c:v>353.67287870797423</c:v>
                </c:pt>
                <c:pt idx="95">
                  <c:v>353.67287870797423</c:v>
                </c:pt>
                <c:pt idx="96">
                  <c:v>354.24466849650054</c:v>
                </c:pt>
                <c:pt idx="97">
                  <c:v>358.33149082258188</c:v>
                </c:pt>
                <c:pt idx="98">
                  <c:v>358.00369606154328</c:v>
                </c:pt>
                <c:pt idx="99">
                  <c:v>351.90641985955989</c:v>
                </c:pt>
                <c:pt idx="100">
                  <c:v>350.71208984252462</c:v>
                </c:pt>
                <c:pt idx="101">
                  <c:v>350.71208984252462</c:v>
                </c:pt>
                <c:pt idx="102">
                  <c:v>350.71208984252462</c:v>
                </c:pt>
                <c:pt idx="103">
                  <c:v>342.54713428554794</c:v>
                </c:pt>
                <c:pt idx="104">
                  <c:v>346.47166375894568</c:v>
                </c:pt>
                <c:pt idx="105">
                  <c:v>345.37818363088314</c:v>
                </c:pt>
                <c:pt idx="106">
                  <c:v>344.65635445992473</c:v>
                </c:pt>
                <c:pt idx="107">
                  <c:v>344.96605214023077</c:v>
                </c:pt>
                <c:pt idx="108">
                  <c:v>344.96605214023077</c:v>
                </c:pt>
                <c:pt idx="109">
                  <c:v>344.96605214023077</c:v>
                </c:pt>
                <c:pt idx="110">
                  <c:v>348.30261907522748</c:v>
                </c:pt>
                <c:pt idx="111">
                  <c:v>350.51801376129674</c:v>
                </c:pt>
                <c:pt idx="112">
                  <c:v>350.6567678332475</c:v>
                </c:pt>
                <c:pt idx="113">
                  <c:v>346.09813037984611</c:v>
                </c:pt>
                <c:pt idx="114">
                  <c:v>350.24643701573399</c:v>
                </c:pt>
                <c:pt idx="115">
                  <c:v>350.24643701573399</c:v>
                </c:pt>
                <c:pt idx="116">
                  <c:v>350.24643701573399</c:v>
                </c:pt>
                <c:pt idx="117">
                  <c:v>347.8864931374888</c:v>
                </c:pt>
                <c:pt idx="118">
                  <c:v>349.04137311744068</c:v>
                </c:pt>
                <c:pt idx="119">
                  <c:v>350.35959007529181</c:v>
                </c:pt>
                <c:pt idx="120">
                  <c:v>342.88326614431406</c:v>
                </c:pt>
                <c:pt idx="121">
                  <c:v>349.18136306230167</c:v>
                </c:pt>
                <c:pt idx="122">
                  <c:v>349.18136306230167</c:v>
                </c:pt>
                <c:pt idx="123">
                  <c:v>349.18136306230167</c:v>
                </c:pt>
                <c:pt idx="124">
                  <c:v>332.54024882637026</c:v>
                </c:pt>
                <c:pt idx="125">
                  <c:v>331.23774278114166</c:v>
                </c:pt>
                <c:pt idx="126">
                  <c:v>332.46739056435479</c:v>
                </c:pt>
                <c:pt idx="127">
                  <c:v>333.21355014561482</c:v>
                </c:pt>
                <c:pt idx="128">
                  <c:v>333.21355014561482</c:v>
                </c:pt>
                <c:pt idx="129">
                  <c:v>333.21355014561482</c:v>
                </c:pt>
                <c:pt idx="130">
                  <c:v>333.21355014561482</c:v>
                </c:pt>
                <c:pt idx="131">
                  <c:v>337.0596436472398</c:v>
                </c:pt>
                <c:pt idx="132">
                  <c:v>332.04292496849871</c:v>
                </c:pt>
                <c:pt idx="133">
                  <c:v>333.43495946520397</c:v>
                </c:pt>
                <c:pt idx="134">
                  <c:v>333.17229944270952</c:v>
                </c:pt>
                <c:pt idx="135">
                  <c:v>336.4333202554717</c:v>
                </c:pt>
                <c:pt idx="136">
                  <c:v>336.4333202554717</c:v>
                </c:pt>
                <c:pt idx="137">
                  <c:v>336.4333202554717</c:v>
                </c:pt>
                <c:pt idx="138">
                  <c:v>339.26549963946661</c:v>
                </c:pt>
                <c:pt idx="139">
                  <c:v>338.65662401197227</c:v>
                </c:pt>
                <c:pt idx="140">
                  <c:v>347.81736747108721</c:v>
                </c:pt>
                <c:pt idx="141">
                  <c:v>353.32846918212852</c:v>
                </c:pt>
                <c:pt idx="142">
                  <c:v>350.7403305852917</c:v>
                </c:pt>
                <c:pt idx="143">
                  <c:v>350.7403305852917</c:v>
                </c:pt>
                <c:pt idx="144">
                  <c:v>350.7403305852917</c:v>
                </c:pt>
                <c:pt idx="145">
                  <c:v>344.68868868868896</c:v>
                </c:pt>
                <c:pt idx="146">
                  <c:v>343.36779481221612</c:v>
                </c:pt>
                <c:pt idx="147">
                  <c:v>351.31802823113821</c:v>
                </c:pt>
                <c:pt idx="148">
                  <c:v>351.31802823113821</c:v>
                </c:pt>
                <c:pt idx="149">
                  <c:v>351.31802823113821</c:v>
                </c:pt>
                <c:pt idx="150">
                  <c:v>351.31802823113821</c:v>
                </c:pt>
                <c:pt idx="151">
                  <c:v>351.31802823113821</c:v>
                </c:pt>
                <c:pt idx="152">
                  <c:v>351.71047747171065</c:v>
                </c:pt>
                <c:pt idx="153">
                  <c:v>356.93275848351004</c:v>
                </c:pt>
                <c:pt idx="154">
                  <c:v>360.070448663646</c:v>
                </c:pt>
                <c:pt idx="155">
                  <c:v>361.3757187120857</c:v>
                </c:pt>
                <c:pt idx="156">
                  <c:v>365.79284072143997</c:v>
                </c:pt>
                <c:pt idx="157">
                  <c:v>365.79284072143997</c:v>
                </c:pt>
                <c:pt idx="158">
                  <c:v>365.79284072143997</c:v>
                </c:pt>
                <c:pt idx="159">
                  <c:v>363.91016190437904</c:v>
                </c:pt>
                <c:pt idx="160">
                  <c:v>363.43731249166831</c:v>
                </c:pt>
                <c:pt idx="161">
                  <c:v>366.85838779956396</c:v>
                </c:pt>
                <c:pt idx="162">
                  <c:v>372.66194195107926</c:v>
                </c:pt>
                <c:pt idx="163">
                  <c:v>365.32985748764361</c:v>
                </c:pt>
                <c:pt idx="164">
                  <c:v>365.32985748764361</c:v>
                </c:pt>
                <c:pt idx="165">
                  <c:v>365.32985748764361</c:v>
                </c:pt>
                <c:pt idx="166">
                  <c:v>356.86825800310288</c:v>
                </c:pt>
                <c:pt idx="167">
                  <c:v>359.81060133113283</c:v>
                </c:pt>
                <c:pt idx="168">
                  <c:v>361.21869737290467</c:v>
                </c:pt>
                <c:pt idx="169">
                  <c:v>354.50088030953998</c:v>
                </c:pt>
                <c:pt idx="170">
                  <c:v>349.61250994044912</c:v>
                </c:pt>
                <c:pt idx="171">
                  <c:v>349.61250994044912</c:v>
                </c:pt>
                <c:pt idx="172">
                  <c:v>349.61250994044912</c:v>
                </c:pt>
                <c:pt idx="173">
                  <c:v>345.92468713400984</c:v>
                </c:pt>
                <c:pt idx="174">
                  <c:v>341.13527114315764</c:v>
                </c:pt>
                <c:pt idx="175">
                  <c:v>333.33939882625106</c:v>
                </c:pt>
                <c:pt idx="176">
                  <c:v>329.66568098509873</c:v>
                </c:pt>
                <c:pt idx="177">
                  <c:v>321.07455442099848</c:v>
                </c:pt>
                <c:pt idx="178">
                  <c:v>321.07455442099848</c:v>
                </c:pt>
                <c:pt idx="179">
                  <c:v>321.07455442099848</c:v>
                </c:pt>
                <c:pt idx="180">
                  <c:v>324.45008148793835</c:v>
                </c:pt>
                <c:pt idx="181">
                  <c:v>335.51456594934785</c:v>
                </c:pt>
                <c:pt idx="182">
                  <c:v>338.04992995247318</c:v>
                </c:pt>
                <c:pt idx="183">
                  <c:v>341.34750199569987</c:v>
                </c:pt>
                <c:pt idx="184">
                  <c:v>339.87488279418699</c:v>
                </c:pt>
                <c:pt idx="185">
                  <c:v>339.87488279418699</c:v>
                </c:pt>
                <c:pt idx="186">
                  <c:v>339.87488279418699</c:v>
                </c:pt>
                <c:pt idx="187">
                  <c:v>343.12060757241085</c:v>
                </c:pt>
                <c:pt idx="188">
                  <c:v>345.22662863370101</c:v>
                </c:pt>
                <c:pt idx="189">
                  <c:v>345.21572402645353</c:v>
                </c:pt>
                <c:pt idx="190">
                  <c:v>347.96453413436467</c:v>
                </c:pt>
                <c:pt idx="191">
                  <c:v>345.77444606577188</c:v>
                </c:pt>
                <c:pt idx="192">
                  <c:v>345.77444606577188</c:v>
                </c:pt>
                <c:pt idx="193">
                  <c:v>345.77444606577188</c:v>
                </c:pt>
                <c:pt idx="194">
                  <c:v>349.2650555585094</c:v>
                </c:pt>
                <c:pt idx="195">
                  <c:v>349.08899568821079</c:v>
                </c:pt>
                <c:pt idx="196">
                  <c:v>346.56986068341433</c:v>
                </c:pt>
                <c:pt idx="197">
                  <c:v>343.65674243216506</c:v>
                </c:pt>
                <c:pt idx="198">
                  <c:v>337.80786054327001</c:v>
                </c:pt>
                <c:pt idx="199">
                  <c:v>337.80786054327001</c:v>
                </c:pt>
                <c:pt idx="200">
                  <c:v>337.80786054327001</c:v>
                </c:pt>
                <c:pt idx="201">
                  <c:v>340.01775176664057</c:v>
                </c:pt>
                <c:pt idx="202">
                  <c:v>337.14093672213755</c:v>
                </c:pt>
                <c:pt idx="203">
                  <c:v>336.66274915159829</c:v>
                </c:pt>
                <c:pt idx="204">
                  <c:v>336.48265138992605</c:v>
                </c:pt>
                <c:pt idx="205">
                  <c:v>339.44389241339422</c:v>
                </c:pt>
                <c:pt idx="206">
                  <c:v>339.44389241339422</c:v>
                </c:pt>
                <c:pt idx="207">
                  <c:v>339.44389241339422</c:v>
                </c:pt>
                <c:pt idx="208">
                  <c:v>343.03549198646624</c:v>
                </c:pt>
                <c:pt idx="209">
                  <c:v>339.91675681560037</c:v>
                </c:pt>
                <c:pt idx="210">
                  <c:v>337.21913657333027</c:v>
                </c:pt>
                <c:pt idx="211">
                  <c:v>337.08993578679565</c:v>
                </c:pt>
                <c:pt idx="212">
                  <c:v>342.5346170055173</c:v>
                </c:pt>
                <c:pt idx="213">
                  <c:v>342.5346170055173</c:v>
                </c:pt>
                <c:pt idx="214">
                  <c:v>342.5346170055173</c:v>
                </c:pt>
                <c:pt idx="215">
                  <c:v>358.02058215851361</c:v>
                </c:pt>
                <c:pt idx="216">
                  <c:v>356.55561931172417</c:v>
                </c:pt>
                <c:pt idx="217">
                  <c:v>352.03350674490468</c:v>
                </c:pt>
                <c:pt idx="218">
                  <c:v>344.68831165393709</c:v>
                </c:pt>
                <c:pt idx="219">
                  <c:v>339.88201953569978</c:v>
                </c:pt>
                <c:pt idx="220">
                  <c:v>339.88201953569978</c:v>
                </c:pt>
                <c:pt idx="221">
                  <c:v>339.88201953569978</c:v>
                </c:pt>
                <c:pt idx="222">
                  <c:v>341.39164505357627</c:v>
                </c:pt>
                <c:pt idx="223">
                  <c:v>345.05996806464634</c:v>
                </c:pt>
                <c:pt idx="224">
                  <c:v>344.0578740328653</c:v>
                </c:pt>
                <c:pt idx="225">
                  <c:v>344.74531855031711</c:v>
                </c:pt>
                <c:pt idx="226">
                  <c:v>342.89697476648485</c:v>
                </c:pt>
                <c:pt idx="227">
                  <c:v>342.89697476648485</c:v>
                </c:pt>
                <c:pt idx="228">
                  <c:v>342.89697476648485</c:v>
                </c:pt>
                <c:pt idx="229">
                  <c:v>345.49074495709613</c:v>
                </c:pt>
                <c:pt idx="230">
                  <c:v>346.75532839470753</c:v>
                </c:pt>
                <c:pt idx="231">
                  <c:v>346.48224383323662</c:v>
                </c:pt>
                <c:pt idx="232">
                  <c:v>344.18667752001022</c:v>
                </c:pt>
                <c:pt idx="233">
                  <c:v>344.65880470397553</c:v>
                </c:pt>
                <c:pt idx="234">
                  <c:v>344.65880470397553</c:v>
                </c:pt>
                <c:pt idx="235">
                  <c:v>344.65880470397553</c:v>
                </c:pt>
                <c:pt idx="236">
                  <c:v>343.9030207340374</c:v>
                </c:pt>
                <c:pt idx="237">
                  <c:v>346.09817211905482</c:v>
                </c:pt>
                <c:pt idx="238">
                  <c:v>335.86137358239563</c:v>
                </c:pt>
                <c:pt idx="239">
                  <c:v>339.95681013281438</c:v>
                </c:pt>
                <c:pt idx="240">
                  <c:v>352.96027662261326</c:v>
                </c:pt>
                <c:pt idx="241">
                  <c:v>352.96027662261326</c:v>
                </c:pt>
                <c:pt idx="242">
                  <c:v>352.96027662261326</c:v>
                </c:pt>
                <c:pt idx="243">
                  <c:v>354.98453852793011</c:v>
                </c:pt>
                <c:pt idx="244">
                  <c:v>354.39875546105219</c:v>
                </c:pt>
                <c:pt idx="245">
                  <c:v>358.16060094801958</c:v>
                </c:pt>
                <c:pt idx="246">
                  <c:v>354.28717672485971</c:v>
                </c:pt>
                <c:pt idx="247">
                  <c:v>354.28717672485971</c:v>
                </c:pt>
                <c:pt idx="248">
                  <c:v>354.28717672485971</c:v>
                </c:pt>
                <c:pt idx="249">
                  <c:v>354.28717672485971</c:v>
                </c:pt>
                <c:pt idx="250">
                  <c:v>352.19034461814755</c:v>
                </c:pt>
                <c:pt idx="251">
                  <c:v>344.03698280557029</c:v>
                </c:pt>
                <c:pt idx="252">
                  <c:v>345.94809022524277</c:v>
                </c:pt>
                <c:pt idx="253">
                  <c:v>347.54700256883734</c:v>
                </c:pt>
                <c:pt idx="254">
                  <c:v>351.50281382486571</c:v>
                </c:pt>
                <c:pt idx="255">
                  <c:v>351.50281382486571</c:v>
                </c:pt>
                <c:pt idx="256">
                  <c:v>351.50281382486571</c:v>
                </c:pt>
                <c:pt idx="257">
                  <c:v>349.94581040421167</c:v>
                </c:pt>
                <c:pt idx="258">
                  <c:v>349.82584507306223</c:v>
                </c:pt>
                <c:pt idx="259">
                  <c:v>352.80103974116253</c:v>
                </c:pt>
                <c:pt idx="260">
                  <c:v>352.83810031303074</c:v>
                </c:pt>
                <c:pt idx="261">
                  <c:v>346.52292676627485</c:v>
                </c:pt>
                <c:pt idx="262">
                  <c:v>346.52292676627485</c:v>
                </c:pt>
                <c:pt idx="263">
                  <c:v>346.52292676627485</c:v>
                </c:pt>
                <c:pt idx="264">
                  <c:v>340.45986538075232</c:v>
                </c:pt>
                <c:pt idx="265">
                  <c:v>342.70777599429329</c:v>
                </c:pt>
                <c:pt idx="266">
                  <c:v>340.0665208073421</c:v>
                </c:pt>
                <c:pt idx="267">
                  <c:v>330.81873239409879</c:v>
                </c:pt>
                <c:pt idx="268">
                  <c:v>333.36086601348904</c:v>
                </c:pt>
                <c:pt idx="269">
                  <c:v>333.36086601348904</c:v>
                </c:pt>
                <c:pt idx="270">
                  <c:v>333.36086601348904</c:v>
                </c:pt>
                <c:pt idx="271">
                  <c:v>330.08266828901719</c:v>
                </c:pt>
                <c:pt idx="272">
                  <c:v>329.55195083607214</c:v>
                </c:pt>
                <c:pt idx="273">
                  <c:v>332.91005291005348</c:v>
                </c:pt>
                <c:pt idx="274">
                  <c:v>317.79554751229313</c:v>
                </c:pt>
                <c:pt idx="275">
                  <c:v>324.08713221003171</c:v>
                </c:pt>
                <c:pt idx="276">
                  <c:v>324.08713221003171</c:v>
                </c:pt>
                <c:pt idx="277">
                  <c:v>324.08713221003171</c:v>
                </c:pt>
                <c:pt idx="278">
                  <c:v>318.46233437085658</c:v>
                </c:pt>
                <c:pt idx="279">
                  <c:v>325.08848867424211</c:v>
                </c:pt>
                <c:pt idx="280">
                  <c:v>332.51839274965175</c:v>
                </c:pt>
                <c:pt idx="281">
                  <c:v>345.21269345625319</c:v>
                </c:pt>
                <c:pt idx="282">
                  <c:v>350.46758495666825</c:v>
                </c:pt>
                <c:pt idx="283">
                  <c:v>350.46758495666825</c:v>
                </c:pt>
                <c:pt idx="284">
                  <c:v>350.46758495666825</c:v>
                </c:pt>
                <c:pt idx="285">
                  <c:v>341.61576686261827</c:v>
                </c:pt>
                <c:pt idx="286">
                  <c:v>340.47619047618997</c:v>
                </c:pt>
                <c:pt idx="287">
                  <c:v>343.88212964240432</c:v>
                </c:pt>
                <c:pt idx="288">
                  <c:v>342.73724778239557</c:v>
                </c:pt>
                <c:pt idx="289">
                  <c:v>350.38474512914496</c:v>
                </c:pt>
                <c:pt idx="290">
                  <c:v>350.38474512914496</c:v>
                </c:pt>
                <c:pt idx="291">
                  <c:v>350.38474512914496</c:v>
                </c:pt>
                <c:pt idx="292">
                  <c:v>350.38474512914496</c:v>
                </c:pt>
                <c:pt idx="293">
                  <c:v>351.5526942795762</c:v>
                </c:pt>
                <c:pt idx="294">
                  <c:v>355.40793044374681</c:v>
                </c:pt>
                <c:pt idx="295">
                  <c:v>356.50605080079879</c:v>
                </c:pt>
                <c:pt idx="296">
                  <c:v>349.34545704380241</c:v>
                </c:pt>
                <c:pt idx="297">
                  <c:v>349.34545704380241</c:v>
                </c:pt>
                <c:pt idx="298">
                  <c:v>349.34545704380241</c:v>
                </c:pt>
                <c:pt idx="299">
                  <c:v>342.30266675257127</c:v>
                </c:pt>
                <c:pt idx="300">
                  <c:v>342.82082852799493</c:v>
                </c:pt>
                <c:pt idx="301">
                  <c:v>348.36369577218358</c:v>
                </c:pt>
                <c:pt idx="302">
                  <c:v>348.64471468345613</c:v>
                </c:pt>
                <c:pt idx="303">
                  <c:v>350.26436350121497</c:v>
                </c:pt>
                <c:pt idx="304">
                  <c:v>350.26436350121497</c:v>
                </c:pt>
                <c:pt idx="305">
                  <c:v>350.26436350121497</c:v>
                </c:pt>
                <c:pt idx="306">
                  <c:v>355.58281587309062</c:v>
                </c:pt>
                <c:pt idx="307">
                  <c:v>350.0412717388204</c:v>
                </c:pt>
                <c:pt idx="308">
                  <c:v>346.42730962559239</c:v>
                </c:pt>
                <c:pt idx="309">
                  <c:v>346.08620596945639</c:v>
                </c:pt>
                <c:pt idx="310">
                  <c:v>348.88507903767101</c:v>
                </c:pt>
                <c:pt idx="311">
                  <c:v>348.88507903767101</c:v>
                </c:pt>
                <c:pt idx="312">
                  <c:v>348.88507903767101</c:v>
                </c:pt>
                <c:pt idx="313">
                  <c:v>350.76122991631809</c:v>
                </c:pt>
                <c:pt idx="314">
                  <c:v>348.71343189448368</c:v>
                </c:pt>
                <c:pt idx="315">
                  <c:v>348.98323900926374</c:v>
                </c:pt>
                <c:pt idx="316">
                  <c:v>343.88635923207704</c:v>
                </c:pt>
                <c:pt idx="317">
                  <c:v>343.88635923207704</c:v>
                </c:pt>
                <c:pt idx="318">
                  <c:v>343.88635923207704</c:v>
                </c:pt>
                <c:pt idx="319">
                  <c:v>343.88635923207704</c:v>
                </c:pt>
                <c:pt idx="320">
                  <c:v>343.88635923207704</c:v>
                </c:pt>
                <c:pt idx="321">
                  <c:v>335.70678931739252</c:v>
                </c:pt>
                <c:pt idx="322">
                  <c:v>340.75494291283724</c:v>
                </c:pt>
                <c:pt idx="323">
                  <c:v>341.752604676987</c:v>
                </c:pt>
                <c:pt idx="324">
                  <c:v>335.55854494949671</c:v>
                </c:pt>
                <c:pt idx="325">
                  <c:v>335.55854494949671</c:v>
                </c:pt>
                <c:pt idx="326">
                  <c:v>335.55854494949671</c:v>
                </c:pt>
                <c:pt idx="327">
                  <c:v>326.92452434859291</c:v>
                </c:pt>
                <c:pt idx="328">
                  <c:v>328.89553027149952</c:v>
                </c:pt>
                <c:pt idx="329">
                  <c:v>339.29261159852143</c:v>
                </c:pt>
                <c:pt idx="330">
                  <c:v>339.91497550819525</c:v>
                </c:pt>
                <c:pt idx="331">
                  <c:v>338.68501016038476</c:v>
                </c:pt>
                <c:pt idx="332">
                  <c:v>338.68501016038476</c:v>
                </c:pt>
                <c:pt idx="333">
                  <c:v>338.68501016038476</c:v>
                </c:pt>
                <c:pt idx="334">
                  <c:v>344.52757711271727</c:v>
                </c:pt>
                <c:pt idx="335">
                  <c:v>347.76435222405547</c:v>
                </c:pt>
                <c:pt idx="336">
                  <c:v>353.29640408471261</c:v>
                </c:pt>
                <c:pt idx="337">
                  <c:v>352.15620088423407</c:v>
                </c:pt>
                <c:pt idx="338">
                  <c:v>354.70216275642684</c:v>
                </c:pt>
                <c:pt idx="339">
                  <c:v>354.70216275642684</c:v>
                </c:pt>
                <c:pt idx="340">
                  <c:v>354.70216275642684</c:v>
                </c:pt>
                <c:pt idx="341">
                  <c:v>352.62768641781918</c:v>
                </c:pt>
                <c:pt idx="342">
                  <c:v>343.77047338109355</c:v>
                </c:pt>
                <c:pt idx="343">
                  <c:v>342.74013744622749</c:v>
                </c:pt>
                <c:pt idx="344">
                  <c:v>344.06617864333703</c:v>
                </c:pt>
                <c:pt idx="345">
                  <c:v>349.87598525872829</c:v>
                </c:pt>
                <c:pt idx="346">
                  <c:v>349.87598525872829</c:v>
                </c:pt>
                <c:pt idx="347">
                  <c:v>349.87598525872829</c:v>
                </c:pt>
                <c:pt idx="348">
                  <c:v>350.69175177863031</c:v>
                </c:pt>
                <c:pt idx="349">
                  <c:v>364.19968926627854</c:v>
                </c:pt>
                <c:pt idx="350">
                  <c:v>355.94719108300524</c:v>
                </c:pt>
                <c:pt idx="351">
                  <c:v>353.77429158157605</c:v>
                </c:pt>
                <c:pt idx="352">
                  <c:v>353.77429158157605</c:v>
                </c:pt>
                <c:pt idx="353">
                  <c:v>353.77429158157605</c:v>
                </c:pt>
                <c:pt idx="354">
                  <c:v>353.77429158157605</c:v>
                </c:pt>
                <c:pt idx="355">
                  <c:v>370.71738846430208</c:v>
                </c:pt>
                <c:pt idx="356">
                  <c:v>365.48268583281964</c:v>
                </c:pt>
                <c:pt idx="357">
                  <c:v>374.46213053122517</c:v>
                </c:pt>
                <c:pt idx="358">
                  <c:v>379.14792199789343</c:v>
                </c:pt>
                <c:pt idx="359">
                  <c:v>379.87864040872716</c:v>
                </c:pt>
                <c:pt idx="360">
                  <c:v>379.87864040872716</c:v>
                </c:pt>
                <c:pt idx="361">
                  <c:v>379.87864040872716</c:v>
                </c:pt>
                <c:pt idx="362">
                  <c:v>384.87056231535814</c:v>
                </c:pt>
                <c:pt idx="363">
                  <c:v>385.43173445968182</c:v>
                </c:pt>
                <c:pt idx="364">
                  <c:v>367.51511134867098</c:v>
                </c:pt>
                <c:pt idx="365">
                  <c:v>367.51511134867098</c:v>
                </c:pt>
                <c:pt idx="366">
                  <c:v>367.51511134867098</c:v>
                </c:pt>
                <c:pt idx="367">
                  <c:v>367.51511134867098</c:v>
                </c:pt>
                <c:pt idx="368">
                  <c:v>367.51511134867098</c:v>
                </c:pt>
                <c:pt idx="369">
                  <c:v>367.51511134867098</c:v>
                </c:pt>
                <c:pt idx="370">
                  <c:v>367.51511134867098</c:v>
                </c:pt>
                <c:pt idx="371">
                  <c:v>367.51511134867098</c:v>
                </c:pt>
                <c:pt idx="372">
                  <c:v>367.51511134867098</c:v>
                </c:pt>
                <c:pt idx="373">
                  <c:v>367.51511134867098</c:v>
                </c:pt>
                <c:pt idx="374">
                  <c:v>367.51511134867098</c:v>
                </c:pt>
                <c:pt idx="375">
                  <c:v>367.51511134867098</c:v>
                </c:pt>
                <c:pt idx="376">
                  <c:v>364.62058935515535</c:v>
                </c:pt>
                <c:pt idx="377">
                  <c:v>366.87668552063258</c:v>
                </c:pt>
                <c:pt idx="378">
                  <c:v>368.02819849177439</c:v>
                </c:pt>
                <c:pt idx="379">
                  <c:v>354.87205847460035</c:v>
                </c:pt>
                <c:pt idx="380">
                  <c:v>343.34176273749932</c:v>
                </c:pt>
                <c:pt idx="381">
                  <c:v>343.34176273749932</c:v>
                </c:pt>
                <c:pt idx="382">
                  <c:v>343.34176273749932</c:v>
                </c:pt>
                <c:pt idx="383">
                  <c:v>349.28848360431044</c:v>
                </c:pt>
                <c:pt idx="384">
                  <c:v>357.64220486988967</c:v>
                </c:pt>
                <c:pt idx="385">
                  <c:v>358.49768862234407</c:v>
                </c:pt>
                <c:pt idx="386">
                  <c:v>367.97823395043076</c:v>
                </c:pt>
                <c:pt idx="387">
                  <c:v>377.69784104572284</c:v>
                </c:pt>
                <c:pt idx="388">
                  <c:v>377.69784104572284</c:v>
                </c:pt>
                <c:pt idx="389">
                  <c:v>377.69784104572284</c:v>
                </c:pt>
                <c:pt idx="390">
                  <c:v>391.70713625971433</c:v>
                </c:pt>
                <c:pt idx="391">
                  <c:v>376.35886505902567</c:v>
                </c:pt>
                <c:pt idx="392">
                  <c:v>364.29501200199127</c:v>
                </c:pt>
                <c:pt idx="393">
                  <c:v>352.939479954528</c:v>
                </c:pt>
                <c:pt idx="394">
                  <c:v>349.41331865920853</c:v>
                </c:pt>
                <c:pt idx="395">
                  <c:v>349.41331865920853</c:v>
                </c:pt>
                <c:pt idx="396">
                  <c:v>349.41331865920853</c:v>
                </c:pt>
                <c:pt idx="397">
                  <c:v>344.1316428737818</c:v>
                </c:pt>
                <c:pt idx="398">
                  <c:v>351.6760206951385</c:v>
                </c:pt>
                <c:pt idx="399">
                  <c:v>343.59945312411293</c:v>
                </c:pt>
                <c:pt idx="400">
                  <c:v>339.06925291035492</c:v>
                </c:pt>
                <c:pt idx="401">
                  <c:v>336.9392738009272</c:v>
                </c:pt>
                <c:pt idx="402">
                  <c:v>336.9392738009272</c:v>
                </c:pt>
                <c:pt idx="403">
                  <c:v>336.9392738009272</c:v>
                </c:pt>
                <c:pt idx="404">
                  <c:v>327.88575535890976</c:v>
                </c:pt>
                <c:pt idx="405">
                  <c:v>318.98740851485803</c:v>
                </c:pt>
                <c:pt idx="406">
                  <c:v>315.32563591502856</c:v>
                </c:pt>
                <c:pt idx="407">
                  <c:v>310.51342347638672</c:v>
                </c:pt>
                <c:pt idx="408">
                  <c:v>307.09220860601096</c:v>
                </c:pt>
                <c:pt idx="409">
                  <c:v>307.09220860601096</c:v>
                </c:pt>
                <c:pt idx="410">
                  <c:v>307.09220860601096</c:v>
                </c:pt>
                <c:pt idx="411">
                  <c:v>307.09220860601096</c:v>
                </c:pt>
                <c:pt idx="412">
                  <c:v>303.82716488589995</c:v>
                </c:pt>
                <c:pt idx="413">
                  <c:v>298.19911084593991</c:v>
                </c:pt>
                <c:pt idx="414">
                  <c:v>297.94458425584446</c:v>
                </c:pt>
                <c:pt idx="415">
                  <c:v>295.57789130025338</c:v>
                </c:pt>
                <c:pt idx="416">
                  <c:v>295.57789130025338</c:v>
                </c:pt>
                <c:pt idx="417">
                  <c:v>295.57789130025338</c:v>
                </c:pt>
                <c:pt idx="418">
                  <c:v>295.17789231017707</c:v>
                </c:pt>
                <c:pt idx="419">
                  <c:v>294.30591616914234</c:v>
                </c:pt>
                <c:pt idx="420">
                  <c:v>294.27453692656161</c:v>
                </c:pt>
                <c:pt idx="421">
                  <c:v>298.32153448743748</c:v>
                </c:pt>
                <c:pt idx="422">
                  <c:v>294.67464094870581</c:v>
                </c:pt>
                <c:pt idx="423">
                  <c:v>294.67464094870581</c:v>
                </c:pt>
                <c:pt idx="424">
                  <c:v>294.67464094870581</c:v>
                </c:pt>
                <c:pt idx="425">
                  <c:v>293.60248169315179</c:v>
                </c:pt>
                <c:pt idx="426">
                  <c:v>296.05105153393703</c:v>
                </c:pt>
                <c:pt idx="427">
                  <c:v>291.50814814814822</c:v>
                </c:pt>
                <c:pt idx="428">
                  <c:v>293.93666677582246</c:v>
                </c:pt>
                <c:pt idx="429">
                  <c:v>297.89803796972757</c:v>
                </c:pt>
                <c:pt idx="430">
                  <c:v>297.89803796972757</c:v>
                </c:pt>
                <c:pt idx="431">
                  <c:v>297.89803796972757</c:v>
                </c:pt>
                <c:pt idx="432">
                  <c:v>295.60973319624571</c:v>
                </c:pt>
                <c:pt idx="433">
                  <c:v>299.43156810413456</c:v>
                </c:pt>
                <c:pt idx="434">
                  <c:v>301.83104642224441</c:v>
                </c:pt>
                <c:pt idx="435">
                  <c:v>296.24924264238274</c:v>
                </c:pt>
                <c:pt idx="436">
                  <c:v>290.14572075101825</c:v>
                </c:pt>
                <c:pt idx="437">
                  <c:v>290.14572075101825</c:v>
                </c:pt>
                <c:pt idx="438">
                  <c:v>290.14572075101825</c:v>
                </c:pt>
                <c:pt idx="439">
                  <c:v>284.55569112685833</c:v>
                </c:pt>
                <c:pt idx="440">
                  <c:v>285.00862637655587</c:v>
                </c:pt>
                <c:pt idx="441">
                  <c:v>279.55409553277127</c:v>
                </c:pt>
                <c:pt idx="442">
                  <c:v>273.52980004680694</c:v>
                </c:pt>
                <c:pt idx="443">
                  <c:v>279.07166468421013</c:v>
                </c:pt>
                <c:pt idx="444">
                  <c:v>279.07166468421013</c:v>
                </c:pt>
                <c:pt idx="445">
                  <c:v>279.07166468421013</c:v>
                </c:pt>
                <c:pt idx="446">
                  <c:v>279.12062634333546</c:v>
                </c:pt>
                <c:pt idx="447">
                  <c:v>278.16447818203449</c:v>
                </c:pt>
                <c:pt idx="448">
                  <c:v>280.96118505442354</c:v>
                </c:pt>
                <c:pt idx="449">
                  <c:v>283.14330231069891</c:v>
                </c:pt>
                <c:pt idx="450">
                  <c:v>278.29593459742398</c:v>
                </c:pt>
                <c:pt idx="451">
                  <c:v>278.29593459742398</c:v>
                </c:pt>
                <c:pt idx="452">
                  <c:v>278.29593459742398</c:v>
                </c:pt>
                <c:pt idx="453">
                  <c:v>279.57370579516459</c:v>
                </c:pt>
                <c:pt idx="454">
                  <c:v>283.71688294133634</c:v>
                </c:pt>
                <c:pt idx="455">
                  <c:v>277.00619217051485</c:v>
                </c:pt>
                <c:pt idx="456">
                  <c:v>276.46064648768476</c:v>
                </c:pt>
                <c:pt idx="457">
                  <c:v>264.07970921130237</c:v>
                </c:pt>
                <c:pt idx="458">
                  <c:v>264.07970921130237</c:v>
                </c:pt>
                <c:pt idx="459">
                  <c:v>264.07970921130237</c:v>
                </c:pt>
                <c:pt idx="460">
                  <c:v>261.32499689146471</c:v>
                </c:pt>
                <c:pt idx="461">
                  <c:v>260.73612744137426</c:v>
                </c:pt>
                <c:pt idx="462">
                  <c:v>256.63781757460765</c:v>
                </c:pt>
                <c:pt idx="463">
                  <c:v>260.54107168963844</c:v>
                </c:pt>
                <c:pt idx="464">
                  <c:v>257.67165206903331</c:v>
                </c:pt>
                <c:pt idx="465">
                  <c:v>257.67165206903331</c:v>
                </c:pt>
                <c:pt idx="466">
                  <c:v>257.67165206903331</c:v>
                </c:pt>
                <c:pt idx="467">
                  <c:v>257.33094672063521</c:v>
                </c:pt>
                <c:pt idx="468">
                  <c:v>256.38267355134872</c:v>
                </c:pt>
                <c:pt idx="469">
                  <c:v>250.78072199305507</c:v>
                </c:pt>
                <c:pt idx="470">
                  <c:v>248.04326727403603</c:v>
                </c:pt>
                <c:pt idx="471">
                  <c:v>245.85182519691364</c:v>
                </c:pt>
                <c:pt idx="472">
                  <c:v>245.85182519691364</c:v>
                </c:pt>
                <c:pt idx="473">
                  <c:v>245.85182519691364</c:v>
                </c:pt>
                <c:pt idx="474">
                  <c:v>248.58427633194174</c:v>
                </c:pt>
                <c:pt idx="475">
                  <c:v>252.56617549515465</c:v>
                </c:pt>
                <c:pt idx="476">
                  <c:v>254.34385630614949</c:v>
                </c:pt>
                <c:pt idx="477">
                  <c:v>255.96133064925621</c:v>
                </c:pt>
                <c:pt idx="478">
                  <c:v>256.92824399931862</c:v>
                </c:pt>
                <c:pt idx="479">
                  <c:v>256.92824399931862</c:v>
                </c:pt>
                <c:pt idx="480">
                  <c:v>256.92824399931862</c:v>
                </c:pt>
                <c:pt idx="481">
                  <c:v>257.77780357587392</c:v>
                </c:pt>
                <c:pt idx="482">
                  <c:v>256.95793578839744</c:v>
                </c:pt>
                <c:pt idx="483">
                  <c:v>255.62736205593328</c:v>
                </c:pt>
                <c:pt idx="484">
                  <c:v>259.0498125062503</c:v>
                </c:pt>
                <c:pt idx="485">
                  <c:v>253.76870611739557</c:v>
                </c:pt>
                <c:pt idx="486">
                  <c:v>253.76870611739557</c:v>
                </c:pt>
                <c:pt idx="487">
                  <c:v>253.76870611739557</c:v>
                </c:pt>
                <c:pt idx="488">
                  <c:v>256.35008983996721</c:v>
                </c:pt>
                <c:pt idx="489">
                  <c:v>259.68221949510871</c:v>
                </c:pt>
                <c:pt idx="490">
                  <c:v>261.47952280441308</c:v>
                </c:pt>
                <c:pt idx="491">
                  <c:v>261.6493602192408</c:v>
                </c:pt>
                <c:pt idx="492">
                  <c:v>257.31684065017453</c:v>
                </c:pt>
                <c:pt idx="493">
                  <c:v>257.31684065017453</c:v>
                </c:pt>
                <c:pt idx="494">
                  <c:v>257.31684065017453</c:v>
                </c:pt>
                <c:pt idx="495">
                  <c:v>257.31684065017453</c:v>
                </c:pt>
                <c:pt idx="496">
                  <c:v>251.41707863335103</c:v>
                </c:pt>
                <c:pt idx="497">
                  <c:v>248.09773882369922</c:v>
                </c:pt>
                <c:pt idx="498">
                  <c:v>244.86851487234301</c:v>
                </c:pt>
                <c:pt idx="499">
                  <c:v>243.5326821974131</c:v>
                </c:pt>
                <c:pt idx="500">
                  <c:v>243.5326821974131</c:v>
                </c:pt>
                <c:pt idx="501">
                  <c:v>243.5326821974131</c:v>
                </c:pt>
                <c:pt idx="502">
                  <c:v>243.5326821974131</c:v>
                </c:pt>
                <c:pt idx="503">
                  <c:v>243.5326821974131</c:v>
                </c:pt>
                <c:pt idx="504">
                  <c:v>241.77252235116313</c:v>
                </c:pt>
                <c:pt idx="505">
                  <c:v>241.26263056111088</c:v>
                </c:pt>
                <c:pt idx="506">
                  <c:v>235.78063806416486</c:v>
                </c:pt>
                <c:pt idx="507">
                  <c:v>235.78063806416486</c:v>
                </c:pt>
                <c:pt idx="508">
                  <c:v>235.78063806416486</c:v>
                </c:pt>
                <c:pt idx="509">
                  <c:v>235.15220454937534</c:v>
                </c:pt>
                <c:pt idx="510">
                  <c:v>241.90694539053163</c:v>
                </c:pt>
                <c:pt idx="511">
                  <c:v>244.85962215019796</c:v>
                </c:pt>
                <c:pt idx="512">
                  <c:v>247.12792658102134</c:v>
                </c:pt>
                <c:pt idx="513">
                  <c:v>249.18526550405082</c:v>
                </c:pt>
                <c:pt idx="514">
                  <c:v>249.18526550405082</c:v>
                </c:pt>
                <c:pt idx="515">
                  <c:v>249.18526550405082</c:v>
                </c:pt>
                <c:pt idx="516">
                  <c:v>250.49225096433722</c:v>
                </c:pt>
                <c:pt idx="517">
                  <c:v>254.8531046512847</c:v>
                </c:pt>
                <c:pt idx="518">
                  <c:v>247.76336093377517</c:v>
                </c:pt>
                <c:pt idx="519">
                  <c:v>245.30119108679577</c:v>
                </c:pt>
                <c:pt idx="520">
                  <c:v>242.41681582673689</c:v>
                </c:pt>
                <c:pt idx="521">
                  <c:v>242.41681582673689</c:v>
                </c:pt>
                <c:pt idx="522">
                  <c:v>242.41681582673689</c:v>
                </c:pt>
                <c:pt idx="523">
                  <c:v>241.68278147239258</c:v>
                </c:pt>
                <c:pt idx="524">
                  <c:v>237.25424710839826</c:v>
                </c:pt>
                <c:pt idx="525">
                  <c:v>239.63228435509461</c:v>
                </c:pt>
                <c:pt idx="526">
                  <c:v>236.44825292839519</c:v>
                </c:pt>
                <c:pt idx="527">
                  <c:v>237.98346010527109</c:v>
                </c:pt>
                <c:pt idx="528">
                  <c:v>237.98346010527109</c:v>
                </c:pt>
                <c:pt idx="529">
                  <c:v>237.98346010527109</c:v>
                </c:pt>
                <c:pt idx="530">
                  <c:v>241.71826577933885</c:v>
                </c:pt>
                <c:pt idx="531">
                  <c:v>239.93241023250849</c:v>
                </c:pt>
                <c:pt idx="532">
                  <c:v>241.07349023030525</c:v>
                </c:pt>
                <c:pt idx="533">
                  <c:v>236.26626918811507</c:v>
                </c:pt>
                <c:pt idx="534">
                  <c:v>241.19674683789563</c:v>
                </c:pt>
                <c:pt idx="535">
                  <c:v>241.19674683789563</c:v>
                </c:pt>
                <c:pt idx="536">
                  <c:v>241.19674683789563</c:v>
                </c:pt>
                <c:pt idx="537">
                  <c:v>245.85182519691364</c:v>
                </c:pt>
                <c:pt idx="538">
                  <c:v>244.99456620895907</c:v>
                </c:pt>
                <c:pt idx="539">
                  <c:v>240.7553839105714</c:v>
                </c:pt>
                <c:pt idx="540">
                  <c:v>237.09721737986644</c:v>
                </c:pt>
                <c:pt idx="541">
                  <c:v>234.94231774546117</c:v>
                </c:pt>
                <c:pt idx="542">
                  <c:v>234.94231774546117</c:v>
                </c:pt>
                <c:pt idx="543">
                  <c:v>234.94231774546117</c:v>
                </c:pt>
                <c:pt idx="544">
                  <c:v>229.67666598803328</c:v>
                </c:pt>
                <c:pt idx="545">
                  <c:v>236.69126954413383</c:v>
                </c:pt>
                <c:pt idx="546">
                  <c:v>239.73642038037372</c:v>
                </c:pt>
                <c:pt idx="547">
                  <c:v>240.80276862213825</c:v>
                </c:pt>
                <c:pt idx="548">
                  <c:v>236.32595919272617</c:v>
                </c:pt>
                <c:pt idx="549">
                  <c:v>236.32595919272617</c:v>
                </c:pt>
                <c:pt idx="550">
                  <c:v>236.32595919272617</c:v>
                </c:pt>
                <c:pt idx="551">
                  <c:v>237.12629915484146</c:v>
                </c:pt>
                <c:pt idx="552">
                  <c:v>232.19850877069601</c:v>
                </c:pt>
                <c:pt idx="553">
                  <c:v>237.43287235053651</c:v>
                </c:pt>
                <c:pt idx="554">
                  <c:v>241.07955341365746</c:v>
                </c:pt>
                <c:pt idx="555">
                  <c:v>239.41048119356179</c:v>
                </c:pt>
                <c:pt idx="556">
                  <c:v>239.41048119356179</c:v>
                </c:pt>
                <c:pt idx="557">
                  <c:v>239.41048119356179</c:v>
                </c:pt>
                <c:pt idx="558">
                  <c:v>240.8601435967928</c:v>
                </c:pt>
                <c:pt idx="559">
                  <c:v>237.71594454906713</c:v>
                </c:pt>
                <c:pt idx="560">
                  <c:v>235.63206124057152</c:v>
                </c:pt>
                <c:pt idx="561">
                  <c:v>230.63813227747696</c:v>
                </c:pt>
                <c:pt idx="562">
                  <c:v>235.93727371380174</c:v>
                </c:pt>
                <c:pt idx="563">
                  <c:v>235.93727371380174</c:v>
                </c:pt>
                <c:pt idx="564">
                  <c:v>235.93727371380174</c:v>
                </c:pt>
                <c:pt idx="565">
                  <c:v>241.06132287236593</c:v>
                </c:pt>
                <c:pt idx="566">
                  <c:v>234.6444016186974</c:v>
                </c:pt>
                <c:pt idx="567">
                  <c:v>241.31190010674359</c:v>
                </c:pt>
                <c:pt idx="568">
                  <c:v>235.67197717397431</c:v>
                </c:pt>
                <c:pt idx="569">
                  <c:v>213.20626009770658</c:v>
                </c:pt>
                <c:pt idx="570">
                  <c:v>213.20626009770658</c:v>
                </c:pt>
                <c:pt idx="571">
                  <c:v>213.20626009770658</c:v>
                </c:pt>
                <c:pt idx="572">
                  <c:v>210.88538756236179</c:v>
                </c:pt>
                <c:pt idx="573">
                  <c:v>212.23848785686309</c:v>
                </c:pt>
                <c:pt idx="574">
                  <c:v>211.81532531570008</c:v>
                </c:pt>
                <c:pt idx="575">
                  <c:v>202.19363074080152</c:v>
                </c:pt>
                <c:pt idx="576">
                  <c:v>202.69788634641165</c:v>
                </c:pt>
                <c:pt idx="577">
                  <c:v>202.69788634641165</c:v>
                </c:pt>
                <c:pt idx="578">
                  <c:v>202.69788634641165</c:v>
                </c:pt>
                <c:pt idx="579">
                  <c:v>197.45764249533067</c:v>
                </c:pt>
                <c:pt idx="580">
                  <c:v>200.17600811865012</c:v>
                </c:pt>
                <c:pt idx="581">
                  <c:v>200.73072378897643</c:v>
                </c:pt>
                <c:pt idx="582">
                  <c:v>195.92705125100784</c:v>
                </c:pt>
                <c:pt idx="583">
                  <c:v>192.41481603596881</c:v>
                </c:pt>
                <c:pt idx="584">
                  <c:v>192.41481603596881</c:v>
                </c:pt>
                <c:pt idx="585">
                  <c:v>192.41481603596881</c:v>
                </c:pt>
                <c:pt idx="586">
                  <c:v>190.81916764756542</c:v>
                </c:pt>
                <c:pt idx="587">
                  <c:v>188.4786027186901</c:v>
                </c:pt>
                <c:pt idx="588">
                  <c:v>186.86187617740481</c:v>
                </c:pt>
                <c:pt idx="589">
                  <c:v>187.16384141716952</c:v>
                </c:pt>
                <c:pt idx="590">
                  <c:v>182.01096829403355</c:v>
                </c:pt>
                <c:pt idx="591">
                  <c:v>182.01096829403355</c:v>
                </c:pt>
                <c:pt idx="592">
                  <c:v>182.01096829403355</c:v>
                </c:pt>
                <c:pt idx="593">
                  <c:v>177.95872246507608</c:v>
                </c:pt>
                <c:pt idx="594">
                  <c:v>175.47768341944902</c:v>
                </c:pt>
                <c:pt idx="595">
                  <c:v>173.11411244159814</c:v>
                </c:pt>
                <c:pt idx="596">
                  <c:v>172.35007740305261</c:v>
                </c:pt>
                <c:pt idx="597">
                  <c:v>174.97237807726381</c:v>
                </c:pt>
                <c:pt idx="598">
                  <c:v>174.97237807726381</c:v>
                </c:pt>
                <c:pt idx="599">
                  <c:v>174.97237807726381</c:v>
                </c:pt>
                <c:pt idx="600">
                  <c:v>174.97237807726381</c:v>
                </c:pt>
                <c:pt idx="601">
                  <c:v>174.97237807726381</c:v>
                </c:pt>
                <c:pt idx="602">
                  <c:v>173.43013154628972</c:v>
                </c:pt>
                <c:pt idx="603">
                  <c:v>171.50559522066371</c:v>
                </c:pt>
                <c:pt idx="604">
                  <c:v>172.90320959758984</c:v>
                </c:pt>
                <c:pt idx="605">
                  <c:v>172.90320959758984</c:v>
                </c:pt>
                <c:pt idx="606">
                  <c:v>172.90320959758984</c:v>
                </c:pt>
                <c:pt idx="607">
                  <c:v>172.85647426371159</c:v>
                </c:pt>
                <c:pt idx="608">
                  <c:v>173.04358593363</c:v>
                </c:pt>
                <c:pt idx="609">
                  <c:v>172.79849823520121</c:v>
                </c:pt>
                <c:pt idx="610">
                  <c:v>169.92463768426506</c:v>
                </c:pt>
                <c:pt idx="611">
                  <c:v>173.49332959039643</c:v>
                </c:pt>
                <c:pt idx="612">
                  <c:v>173.49332959039643</c:v>
                </c:pt>
                <c:pt idx="613">
                  <c:v>173.49332959039643</c:v>
                </c:pt>
                <c:pt idx="614">
                  <c:v>175.60834798700617</c:v>
                </c:pt>
                <c:pt idx="615">
                  <c:v>177.31336853755457</c:v>
                </c:pt>
                <c:pt idx="616">
                  <c:v>174.58065703591237</c:v>
                </c:pt>
                <c:pt idx="617">
                  <c:v>174.41478991092973</c:v>
                </c:pt>
                <c:pt idx="618">
                  <c:v>170.75758994040424</c:v>
                </c:pt>
                <c:pt idx="619">
                  <c:v>170.75758994040424</c:v>
                </c:pt>
                <c:pt idx="620">
                  <c:v>170.75758994040424</c:v>
                </c:pt>
                <c:pt idx="621">
                  <c:v>166.5360289314786</c:v>
                </c:pt>
                <c:pt idx="622">
                  <c:v>163.76006441223797</c:v>
                </c:pt>
                <c:pt idx="623">
                  <c:v>161.17167496402948</c:v>
                </c:pt>
                <c:pt idx="624">
                  <c:v>160.85922930115282</c:v>
                </c:pt>
                <c:pt idx="625">
                  <c:v>158.63014841107278</c:v>
                </c:pt>
                <c:pt idx="626">
                  <c:v>158.63014841107278</c:v>
                </c:pt>
                <c:pt idx="627">
                  <c:v>158.63014841107278</c:v>
                </c:pt>
                <c:pt idx="628">
                  <c:v>159.49826765234468</c:v>
                </c:pt>
                <c:pt idx="629">
                  <c:v>160.60815640416726</c:v>
                </c:pt>
                <c:pt idx="630">
                  <c:v>160.44580604827595</c:v>
                </c:pt>
                <c:pt idx="631">
                  <c:v>158.20220363101291</c:v>
                </c:pt>
                <c:pt idx="632">
                  <c:v>157.97070617649959</c:v>
                </c:pt>
                <c:pt idx="633">
                  <c:v>157.97070617649959</c:v>
                </c:pt>
                <c:pt idx="634">
                  <c:v>157.97070617649959</c:v>
                </c:pt>
                <c:pt idx="635">
                  <c:v>161.73687389682314</c:v>
                </c:pt>
                <c:pt idx="636">
                  <c:v>159.87148773376427</c:v>
                </c:pt>
                <c:pt idx="637">
                  <c:v>158.43259492607976</c:v>
                </c:pt>
                <c:pt idx="638">
                  <c:v>157.61206683661672</c:v>
                </c:pt>
                <c:pt idx="639">
                  <c:v>161.83562591387923</c:v>
                </c:pt>
                <c:pt idx="640">
                  <c:v>161.83562591387923</c:v>
                </c:pt>
                <c:pt idx="641">
                  <c:v>161.83562591387923</c:v>
                </c:pt>
                <c:pt idx="642">
                  <c:v>159.51967468082466</c:v>
                </c:pt>
                <c:pt idx="643">
                  <c:v>161.59465993903075</c:v>
                </c:pt>
                <c:pt idx="644">
                  <c:v>160.44208463131903</c:v>
                </c:pt>
                <c:pt idx="645">
                  <c:v>163.97394346893688</c:v>
                </c:pt>
                <c:pt idx="646">
                  <c:v>162.15415448955412</c:v>
                </c:pt>
                <c:pt idx="647">
                  <c:v>162.15415448955412</c:v>
                </c:pt>
                <c:pt idx="648">
                  <c:v>162.15415448955412</c:v>
                </c:pt>
                <c:pt idx="649">
                  <c:v>161.93711697308831</c:v>
                </c:pt>
                <c:pt idx="650">
                  <c:v>160.52440148986358</c:v>
                </c:pt>
                <c:pt idx="651">
                  <c:v>160.9615707609949</c:v>
                </c:pt>
                <c:pt idx="652">
                  <c:v>160.99110142655496</c:v>
                </c:pt>
                <c:pt idx="653">
                  <c:v>166.35414800883569</c:v>
                </c:pt>
                <c:pt idx="654">
                  <c:v>166.35414800883569</c:v>
                </c:pt>
                <c:pt idx="655">
                  <c:v>166.35414800883569</c:v>
                </c:pt>
                <c:pt idx="656">
                  <c:v>166.35414800883569</c:v>
                </c:pt>
                <c:pt idx="657">
                  <c:v>163.05915499653153</c:v>
                </c:pt>
                <c:pt idx="658">
                  <c:v>160.98876985893008</c:v>
                </c:pt>
                <c:pt idx="659">
                  <c:v>161.42605190224236</c:v>
                </c:pt>
                <c:pt idx="660">
                  <c:v>158.9945330969268</c:v>
                </c:pt>
                <c:pt idx="661">
                  <c:v>158.9945330969268</c:v>
                </c:pt>
                <c:pt idx="662">
                  <c:v>158.9945330969268</c:v>
                </c:pt>
                <c:pt idx="663">
                  <c:v>159.90673461316484</c:v>
                </c:pt>
                <c:pt idx="664">
                  <c:v>158.98396235474891</c:v>
                </c:pt>
                <c:pt idx="665">
                  <c:v>159.54593893619102</c:v>
                </c:pt>
                <c:pt idx="666">
                  <c:v>164.68172477363674</c:v>
                </c:pt>
                <c:pt idx="667">
                  <c:v>166.00284676695603</c:v>
                </c:pt>
                <c:pt idx="668">
                  <c:v>166.00284676695603</c:v>
                </c:pt>
                <c:pt idx="669">
                  <c:v>166.00284676695603</c:v>
                </c:pt>
                <c:pt idx="670">
                  <c:v>154.80474281876005</c:v>
                </c:pt>
                <c:pt idx="671">
                  <c:v>155.44317423035821</c:v>
                </c:pt>
                <c:pt idx="672">
                  <c:v>154.33772075138305</c:v>
                </c:pt>
                <c:pt idx="673">
                  <c:v>150.66726599368189</c:v>
                </c:pt>
                <c:pt idx="674">
                  <c:v>151.3743912948201</c:v>
                </c:pt>
                <c:pt idx="675">
                  <c:v>151.3743912948201</c:v>
                </c:pt>
                <c:pt idx="676">
                  <c:v>151.3743912948201</c:v>
                </c:pt>
                <c:pt idx="677">
                  <c:v>153.10683790462957</c:v>
                </c:pt>
                <c:pt idx="678">
                  <c:v>153.98913188463789</c:v>
                </c:pt>
                <c:pt idx="679">
                  <c:v>152.99998012949595</c:v>
                </c:pt>
                <c:pt idx="680">
                  <c:v>148.40267670659412</c:v>
                </c:pt>
                <c:pt idx="681">
                  <c:v>145.79901131630962</c:v>
                </c:pt>
                <c:pt idx="682">
                  <c:v>145.79901131630962</c:v>
                </c:pt>
                <c:pt idx="683">
                  <c:v>145.79901131630962</c:v>
                </c:pt>
                <c:pt idx="684">
                  <c:v>145.79901131630962</c:v>
                </c:pt>
                <c:pt idx="685">
                  <c:v>145.79901131630962</c:v>
                </c:pt>
                <c:pt idx="686">
                  <c:v>147.25821462308846</c:v>
                </c:pt>
                <c:pt idx="687">
                  <c:v>143.72687500742737</c:v>
                </c:pt>
                <c:pt idx="688">
                  <c:v>147.14371440457393</c:v>
                </c:pt>
                <c:pt idx="689">
                  <c:v>147.14371440457393</c:v>
                </c:pt>
                <c:pt idx="690">
                  <c:v>147.14371440457393</c:v>
                </c:pt>
                <c:pt idx="691">
                  <c:v>150.80170887348748</c:v>
                </c:pt>
                <c:pt idx="692">
                  <c:v>148.74767198736441</c:v>
                </c:pt>
                <c:pt idx="693">
                  <c:v>144.27488703043221</c:v>
                </c:pt>
                <c:pt idx="694">
                  <c:v>137.13296044943374</c:v>
                </c:pt>
                <c:pt idx="695">
                  <c:v>145.12284345424942</c:v>
                </c:pt>
                <c:pt idx="696">
                  <c:v>145.12284345424942</c:v>
                </c:pt>
                <c:pt idx="697">
                  <c:v>145.12284345424942</c:v>
                </c:pt>
                <c:pt idx="698">
                  <c:v>132.42727646614208</c:v>
                </c:pt>
                <c:pt idx="699">
                  <c:v>139.35653705011205</c:v>
                </c:pt>
                <c:pt idx="700">
                  <c:v>144.3865822881522</c:v>
                </c:pt>
                <c:pt idx="701">
                  <c:v>148.75908286908427</c:v>
                </c:pt>
                <c:pt idx="702">
                  <c:v>156.54510610541811</c:v>
                </c:pt>
                <c:pt idx="703">
                  <c:v>156.54510610541811</c:v>
                </c:pt>
                <c:pt idx="704">
                  <c:v>156.54510610541811</c:v>
                </c:pt>
                <c:pt idx="705">
                  <c:v>158.53600144381465</c:v>
                </c:pt>
                <c:pt idx="706">
                  <c:v>162.97956811508831</c:v>
                </c:pt>
                <c:pt idx="707">
                  <c:v>166.9238953315436</c:v>
                </c:pt>
                <c:pt idx="708">
                  <c:v>165.73714546867814</c:v>
                </c:pt>
                <c:pt idx="709">
                  <c:v>171.37681159420313</c:v>
                </c:pt>
                <c:pt idx="710">
                  <c:v>171.37681159420313</c:v>
                </c:pt>
                <c:pt idx="711">
                  <c:v>171.37681159420313</c:v>
                </c:pt>
                <c:pt idx="712">
                  <c:v>175.45930116891194</c:v>
                </c:pt>
                <c:pt idx="713">
                  <c:v>174.29915229293391</c:v>
                </c:pt>
                <c:pt idx="714">
                  <c:v>172.78895507291955</c:v>
                </c:pt>
                <c:pt idx="715">
                  <c:v>169.48401620093375</c:v>
                </c:pt>
                <c:pt idx="716">
                  <c:v>169.86992704913507</c:v>
                </c:pt>
                <c:pt idx="717">
                  <c:v>169.86992704913507</c:v>
                </c:pt>
                <c:pt idx="718">
                  <c:v>169.86992704913507</c:v>
                </c:pt>
                <c:pt idx="719">
                  <c:v>169.86992704913507</c:v>
                </c:pt>
                <c:pt idx="720">
                  <c:v>171.17989400508398</c:v>
                </c:pt>
                <c:pt idx="721">
                  <c:v>172.32652444522444</c:v>
                </c:pt>
                <c:pt idx="722">
                  <c:v>171.06482568198044</c:v>
                </c:pt>
                <c:pt idx="723">
                  <c:v>173.99501807927095</c:v>
                </c:pt>
                <c:pt idx="724">
                  <c:v>173.99501807927095</c:v>
                </c:pt>
                <c:pt idx="725">
                  <c:v>173.99501807927095</c:v>
                </c:pt>
                <c:pt idx="726">
                  <c:v>174.38896756651971</c:v>
                </c:pt>
                <c:pt idx="727">
                  <c:v>176.1254615330088</c:v>
                </c:pt>
                <c:pt idx="728">
                  <c:v>174.03272765755347</c:v>
                </c:pt>
                <c:pt idx="729">
                  <c:v>179.69860364641869</c:v>
                </c:pt>
                <c:pt idx="730">
                  <c:v>181.50514861479368</c:v>
                </c:pt>
                <c:pt idx="731">
                  <c:v>181.50514861479368</c:v>
                </c:pt>
                <c:pt idx="732">
                  <c:v>181.50514861479368</c:v>
                </c:pt>
                <c:pt idx="733">
                  <c:v>181.66246356459123</c:v>
                </c:pt>
                <c:pt idx="734">
                  <c:v>181.76547086523397</c:v>
                </c:pt>
                <c:pt idx="735">
                  <c:v>179.62079131388288</c:v>
                </c:pt>
                <c:pt idx="736">
                  <c:v>177.08182196299208</c:v>
                </c:pt>
                <c:pt idx="737">
                  <c:v>176.85837156154381</c:v>
                </c:pt>
                <c:pt idx="738">
                  <c:v>176.85837156154381</c:v>
                </c:pt>
                <c:pt idx="739">
                  <c:v>176.85837156154381</c:v>
                </c:pt>
                <c:pt idx="740">
                  <c:v>179.87504464890569</c:v>
                </c:pt>
                <c:pt idx="741">
                  <c:v>177.48889304892751</c:v>
                </c:pt>
                <c:pt idx="742">
                  <c:v>175.73005232968694</c:v>
                </c:pt>
                <c:pt idx="743">
                  <c:v>169.46676808766262</c:v>
                </c:pt>
                <c:pt idx="744">
                  <c:v>171.53834592706227</c:v>
                </c:pt>
                <c:pt idx="745">
                  <c:v>171.53834592706227</c:v>
                </c:pt>
                <c:pt idx="746">
                  <c:v>171.53834592706227</c:v>
                </c:pt>
                <c:pt idx="747">
                  <c:v>170.2005772005777</c:v>
                </c:pt>
                <c:pt idx="748">
                  <c:v>180.84316587020743</c:v>
                </c:pt>
                <c:pt idx="749">
                  <c:v>180.84316587020743</c:v>
                </c:pt>
                <c:pt idx="750">
                  <c:v>180.84316587020743</c:v>
                </c:pt>
                <c:pt idx="751">
                  <c:v>180.84316587020743</c:v>
                </c:pt>
                <c:pt idx="752">
                  <c:v>180.84316587020743</c:v>
                </c:pt>
                <c:pt idx="753">
                  <c:v>180.84316587020743</c:v>
                </c:pt>
                <c:pt idx="754">
                  <c:v>180.84316587020743</c:v>
                </c:pt>
                <c:pt idx="755">
                  <c:v>180.84316587020743</c:v>
                </c:pt>
                <c:pt idx="756">
                  <c:v>180.84316587020743</c:v>
                </c:pt>
                <c:pt idx="757">
                  <c:v>180.84316587020743</c:v>
                </c:pt>
                <c:pt idx="758">
                  <c:v>180.87939730453402</c:v>
                </c:pt>
                <c:pt idx="759">
                  <c:v>180.87939730453402</c:v>
                </c:pt>
                <c:pt idx="760">
                  <c:v>180.87939730453402</c:v>
                </c:pt>
                <c:pt idx="761">
                  <c:v>181.89460083994643</c:v>
                </c:pt>
                <c:pt idx="762">
                  <c:v>184.88539397782185</c:v>
                </c:pt>
                <c:pt idx="763">
                  <c:v>188.23617054445421</c:v>
                </c:pt>
                <c:pt idx="764">
                  <c:v>185.96837689131411</c:v>
                </c:pt>
                <c:pt idx="765">
                  <c:v>184.33621371705519</c:v>
                </c:pt>
                <c:pt idx="766">
                  <c:v>184.33621371705519</c:v>
                </c:pt>
                <c:pt idx="767">
                  <c:v>184.33621371705519</c:v>
                </c:pt>
                <c:pt idx="768">
                  <c:v>183.20136717260297</c:v>
                </c:pt>
                <c:pt idx="769">
                  <c:v>178.56684563050979</c:v>
                </c:pt>
                <c:pt idx="770">
                  <c:v>178.43606662309054</c:v>
                </c:pt>
                <c:pt idx="771">
                  <c:v>179.68821515534307</c:v>
                </c:pt>
                <c:pt idx="772">
                  <c:v>183.82082821737964</c:v>
                </c:pt>
                <c:pt idx="773">
                  <c:v>183.82082821737964</c:v>
                </c:pt>
                <c:pt idx="774">
                  <c:v>183.82082821737964</c:v>
                </c:pt>
                <c:pt idx="775">
                  <c:v>183.89900173673081</c:v>
                </c:pt>
                <c:pt idx="776">
                  <c:v>180.02747664387962</c:v>
                </c:pt>
                <c:pt idx="777">
                  <c:v>180.02747664387962</c:v>
                </c:pt>
                <c:pt idx="778">
                  <c:v>180.84874315763736</c:v>
                </c:pt>
                <c:pt idx="779">
                  <c:v>182.77140475724414</c:v>
                </c:pt>
                <c:pt idx="780">
                  <c:v>182.77140475724414</c:v>
                </c:pt>
                <c:pt idx="781">
                  <c:v>182.77140475724414</c:v>
                </c:pt>
                <c:pt idx="782">
                  <c:v>180.03776224661593</c:v>
                </c:pt>
                <c:pt idx="783">
                  <c:v>180.17549278151253</c:v>
                </c:pt>
                <c:pt idx="784">
                  <c:v>179.17553562169022</c:v>
                </c:pt>
                <c:pt idx="785">
                  <c:v>180.26088670725497</c:v>
                </c:pt>
                <c:pt idx="786">
                  <c:v>177.73927825072005</c:v>
                </c:pt>
                <c:pt idx="787">
                  <c:v>177.73927825072005</c:v>
                </c:pt>
                <c:pt idx="788">
                  <c:v>177.73927825072005</c:v>
                </c:pt>
                <c:pt idx="789">
                  <c:v>180.72264316543698</c:v>
                </c:pt>
                <c:pt idx="790">
                  <c:v>185.8661053298043</c:v>
                </c:pt>
                <c:pt idx="791">
                  <c:v>186.17291556419181</c:v>
                </c:pt>
                <c:pt idx="792">
                  <c:v>181.56317359081137</c:v>
                </c:pt>
                <c:pt idx="793">
                  <c:v>182.49319495265576</c:v>
                </c:pt>
                <c:pt idx="794">
                  <c:v>182.49319495265576</c:v>
                </c:pt>
                <c:pt idx="795">
                  <c:v>182.49319495265576</c:v>
                </c:pt>
                <c:pt idx="796">
                  <c:v>178.43211557227895</c:v>
                </c:pt>
                <c:pt idx="797">
                  <c:v>170.63679095509698</c:v>
                </c:pt>
                <c:pt idx="798">
                  <c:v>167.5130033180879</c:v>
                </c:pt>
                <c:pt idx="799">
                  <c:v>168.73798130363315</c:v>
                </c:pt>
                <c:pt idx="800">
                  <c:v>167.36678308895824</c:v>
                </c:pt>
                <c:pt idx="801">
                  <c:v>167.36678308895824</c:v>
                </c:pt>
                <c:pt idx="802">
                  <c:v>167.36678308895824</c:v>
                </c:pt>
                <c:pt idx="803">
                  <c:v>166.60205748966317</c:v>
                </c:pt>
                <c:pt idx="804">
                  <c:v>163.39817176870821</c:v>
                </c:pt>
                <c:pt idx="805">
                  <c:v>163.76550583797652</c:v>
                </c:pt>
                <c:pt idx="806">
                  <c:v>164.06988646066287</c:v>
                </c:pt>
                <c:pt idx="807">
                  <c:v>162.59732283524642</c:v>
                </c:pt>
                <c:pt idx="808">
                  <c:v>162.59732283524642</c:v>
                </c:pt>
                <c:pt idx="809">
                  <c:v>162.59732283524642</c:v>
                </c:pt>
                <c:pt idx="810">
                  <c:v>165.20745167997072</c:v>
                </c:pt>
                <c:pt idx="811">
                  <c:v>165.89925835703824</c:v>
                </c:pt>
                <c:pt idx="812">
                  <c:v>163.76550583797652</c:v>
                </c:pt>
                <c:pt idx="813">
                  <c:v>163.78161814669821</c:v>
                </c:pt>
                <c:pt idx="814">
                  <c:v>164.49255488132331</c:v>
                </c:pt>
                <c:pt idx="815">
                  <c:v>164.49255488132331</c:v>
                </c:pt>
                <c:pt idx="816">
                  <c:v>164.49255488132331</c:v>
                </c:pt>
                <c:pt idx="817">
                  <c:v>165.82313034179631</c:v>
                </c:pt>
                <c:pt idx="818">
                  <c:v>167.15611370467386</c:v>
                </c:pt>
                <c:pt idx="819">
                  <c:v>167.89536915683721</c:v>
                </c:pt>
                <c:pt idx="820">
                  <c:v>165.8775003638776</c:v>
                </c:pt>
                <c:pt idx="821">
                  <c:v>163.78161814669821</c:v>
                </c:pt>
                <c:pt idx="822">
                  <c:v>163.78161814669821</c:v>
                </c:pt>
                <c:pt idx="823">
                  <c:v>163.78161814669821</c:v>
                </c:pt>
                <c:pt idx="824">
                  <c:v>161.87723910108252</c:v>
                </c:pt>
                <c:pt idx="825">
                  <c:v>162.11734569982673</c:v>
                </c:pt>
                <c:pt idx="826">
                  <c:v>162.86419081521572</c:v>
                </c:pt>
                <c:pt idx="827">
                  <c:v>161.05074913416192</c:v>
                </c:pt>
                <c:pt idx="828">
                  <c:v>163.57685088964519</c:v>
                </c:pt>
                <c:pt idx="829">
                  <c:v>163.57685088964519</c:v>
                </c:pt>
                <c:pt idx="830">
                  <c:v>163.57685088964519</c:v>
                </c:pt>
                <c:pt idx="831">
                  <c:v>165.7290963423502</c:v>
                </c:pt>
                <c:pt idx="832">
                  <c:v>166.4450693731826</c:v>
                </c:pt>
                <c:pt idx="833">
                  <c:v>166.17747279862823</c:v>
                </c:pt>
                <c:pt idx="834">
                  <c:v>164.35837092411123</c:v>
                </c:pt>
                <c:pt idx="835">
                  <c:v>159.80718669968243</c:v>
                </c:pt>
                <c:pt idx="836">
                  <c:v>159.80718669968243</c:v>
                </c:pt>
                <c:pt idx="837">
                  <c:v>159.80718669968243</c:v>
                </c:pt>
                <c:pt idx="838">
                  <c:v>159.3200976608681</c:v>
                </c:pt>
                <c:pt idx="839">
                  <c:v>160.39060877913917</c:v>
                </c:pt>
                <c:pt idx="840">
                  <c:v>159.24694793742412</c:v>
                </c:pt>
                <c:pt idx="841">
                  <c:v>156.81470224023428</c:v>
                </c:pt>
                <c:pt idx="842">
                  <c:v>156.21574968661324</c:v>
                </c:pt>
                <c:pt idx="843">
                  <c:v>156.21574968661324</c:v>
                </c:pt>
                <c:pt idx="844">
                  <c:v>156.21574968661324</c:v>
                </c:pt>
                <c:pt idx="845">
                  <c:v>155.8068830632657</c:v>
                </c:pt>
                <c:pt idx="846">
                  <c:v>155.89351605247469</c:v>
                </c:pt>
                <c:pt idx="847">
                  <c:v>156.40511333493222</c:v>
                </c:pt>
                <c:pt idx="848">
                  <c:v>154.58046964043422</c:v>
                </c:pt>
                <c:pt idx="849">
                  <c:v>156.09262681474902</c:v>
                </c:pt>
                <c:pt idx="850">
                  <c:v>156.09262681474902</c:v>
                </c:pt>
                <c:pt idx="851">
                  <c:v>156.09262681474902</c:v>
                </c:pt>
                <c:pt idx="852">
                  <c:v>155.96060358906215</c:v>
                </c:pt>
                <c:pt idx="853">
                  <c:v>157.21580054674357</c:v>
                </c:pt>
                <c:pt idx="854">
                  <c:v>155.97588884913301</c:v>
                </c:pt>
                <c:pt idx="855">
                  <c:v>154.1561588290561</c:v>
                </c:pt>
                <c:pt idx="856">
                  <c:v>149.17238574236492</c:v>
                </c:pt>
                <c:pt idx="857">
                  <c:v>149.17238574236492</c:v>
                </c:pt>
                <c:pt idx="858">
                  <c:v>149.17238574236492</c:v>
                </c:pt>
                <c:pt idx="859">
                  <c:v>149.17238574236492</c:v>
                </c:pt>
                <c:pt idx="860">
                  <c:v>149.17238574236492</c:v>
                </c:pt>
                <c:pt idx="861">
                  <c:v>151.21841620057072</c:v>
                </c:pt>
                <c:pt idx="862">
                  <c:v>146.41845571716709</c:v>
                </c:pt>
                <c:pt idx="863">
                  <c:v>145.67087572075116</c:v>
                </c:pt>
                <c:pt idx="864">
                  <c:v>145.67087572075116</c:v>
                </c:pt>
                <c:pt idx="865">
                  <c:v>145.67087572075116</c:v>
                </c:pt>
                <c:pt idx="866">
                  <c:v>145.21468423935019</c:v>
                </c:pt>
                <c:pt idx="867">
                  <c:v>146.53478203336411</c:v>
                </c:pt>
                <c:pt idx="868">
                  <c:v>146.54188323836354</c:v>
                </c:pt>
                <c:pt idx="869">
                  <c:v>142.5843403157144</c:v>
                </c:pt>
                <c:pt idx="870">
                  <c:v>142.5843403157144</c:v>
                </c:pt>
                <c:pt idx="871">
                  <c:v>142.5843403157144</c:v>
                </c:pt>
                <c:pt idx="872">
                  <c:v>142.5843403157144</c:v>
                </c:pt>
                <c:pt idx="873">
                  <c:v>140.53732844229611</c:v>
                </c:pt>
                <c:pt idx="874">
                  <c:v>139.49753615764769</c:v>
                </c:pt>
                <c:pt idx="875">
                  <c:v>138.89698667054006</c:v>
                </c:pt>
                <c:pt idx="876">
                  <c:v>138.66325538535028</c:v>
                </c:pt>
                <c:pt idx="877">
                  <c:v>138.61402370859477</c:v>
                </c:pt>
                <c:pt idx="878">
                  <c:v>138.61402370859477</c:v>
                </c:pt>
                <c:pt idx="879">
                  <c:v>138.61402370859477</c:v>
                </c:pt>
                <c:pt idx="880">
                  <c:v>139.09866988180056</c:v>
                </c:pt>
                <c:pt idx="881">
                  <c:v>140.3069282155727</c:v>
                </c:pt>
                <c:pt idx="882">
                  <c:v>139.39553365584086</c:v>
                </c:pt>
                <c:pt idx="883">
                  <c:v>139.79415686002511</c:v>
                </c:pt>
                <c:pt idx="884">
                  <c:v>138.16089846600747</c:v>
                </c:pt>
                <c:pt idx="885">
                  <c:v>138.16089846600747</c:v>
                </c:pt>
                <c:pt idx="886">
                  <c:v>138.16089846600747</c:v>
                </c:pt>
                <c:pt idx="887">
                  <c:v>138.16089846600747</c:v>
                </c:pt>
                <c:pt idx="888">
                  <c:v>137.45895407956846</c:v>
                </c:pt>
                <c:pt idx="889">
                  <c:v>136.40762203372432</c:v>
                </c:pt>
                <c:pt idx="890">
                  <c:v>138.18017368038196</c:v>
                </c:pt>
                <c:pt idx="891">
                  <c:v>137.46852521266436</c:v>
                </c:pt>
                <c:pt idx="892">
                  <c:v>137.46852521266436</c:v>
                </c:pt>
                <c:pt idx="893">
                  <c:v>137.46852521266436</c:v>
                </c:pt>
                <c:pt idx="894">
                  <c:v>136.86092408101362</c:v>
                </c:pt>
                <c:pt idx="895">
                  <c:v>134.02453798083155</c:v>
                </c:pt>
                <c:pt idx="896">
                  <c:v>131.76438946577355</c:v>
                </c:pt>
                <c:pt idx="897">
                  <c:v>133.50766247180599</c:v>
                </c:pt>
                <c:pt idx="898">
                  <c:v>134.52978171351</c:v>
                </c:pt>
                <c:pt idx="899">
                  <c:v>134.52978171351</c:v>
                </c:pt>
                <c:pt idx="900">
                  <c:v>134.52978171351</c:v>
                </c:pt>
                <c:pt idx="901">
                  <c:v>131.97903743149215</c:v>
                </c:pt>
                <c:pt idx="902">
                  <c:v>130.58112742755824</c:v>
                </c:pt>
                <c:pt idx="903">
                  <c:v>129.503516918732</c:v>
                </c:pt>
                <c:pt idx="904">
                  <c:v>128.83316276725475</c:v>
                </c:pt>
                <c:pt idx="905">
                  <c:v>131.50856885539716</c:v>
                </c:pt>
                <c:pt idx="906">
                  <c:v>131.50856885539716</c:v>
                </c:pt>
                <c:pt idx="907">
                  <c:v>131.50856885539716</c:v>
                </c:pt>
                <c:pt idx="908">
                  <c:v>131.74338312239669</c:v>
                </c:pt>
                <c:pt idx="909">
                  <c:v>132.14597729743446</c:v>
                </c:pt>
                <c:pt idx="910">
                  <c:v>132.15441385231028</c:v>
                </c:pt>
                <c:pt idx="911">
                  <c:v>130.7018662585555</c:v>
                </c:pt>
                <c:pt idx="912">
                  <c:v>129.92552767639819</c:v>
                </c:pt>
                <c:pt idx="913">
                  <c:v>129.92552767639819</c:v>
                </c:pt>
                <c:pt idx="914">
                  <c:v>129.92552767639819</c:v>
                </c:pt>
                <c:pt idx="915">
                  <c:v>128.93967496370985</c:v>
                </c:pt>
                <c:pt idx="916">
                  <c:v>129.26097467802612</c:v>
                </c:pt>
                <c:pt idx="917">
                  <c:v>128.75236824472631</c:v>
                </c:pt>
                <c:pt idx="918">
                  <c:v>129.79008034477064</c:v>
                </c:pt>
                <c:pt idx="919">
                  <c:v>131.80343679432764</c:v>
                </c:pt>
                <c:pt idx="920">
                  <c:v>131.80343679432764</c:v>
                </c:pt>
                <c:pt idx="921">
                  <c:v>131.80343679432764</c:v>
                </c:pt>
                <c:pt idx="922">
                  <c:v>131.80343679432764</c:v>
                </c:pt>
                <c:pt idx="923">
                  <c:v>128.37346624656504</c:v>
                </c:pt>
                <c:pt idx="924">
                  <c:v>128.50960542180022</c:v>
                </c:pt>
                <c:pt idx="925">
                  <c:v>126.55800267055162</c:v>
                </c:pt>
                <c:pt idx="926">
                  <c:v>130.08170600139056</c:v>
                </c:pt>
                <c:pt idx="927">
                  <c:v>130.08170600139056</c:v>
                </c:pt>
                <c:pt idx="928">
                  <c:v>130.08170600139056</c:v>
                </c:pt>
                <c:pt idx="929">
                  <c:v>133.20145935469165</c:v>
                </c:pt>
                <c:pt idx="930">
                  <c:v>135.49904672232466</c:v>
                </c:pt>
                <c:pt idx="931">
                  <c:v>136.09211981050589</c:v>
                </c:pt>
                <c:pt idx="932">
                  <c:v>136.60236463556825</c:v>
                </c:pt>
                <c:pt idx="933">
                  <c:v>136.59796973290327</c:v>
                </c:pt>
                <c:pt idx="934">
                  <c:v>136.59796973290327</c:v>
                </c:pt>
                <c:pt idx="935">
                  <c:v>136.59796973290327</c:v>
                </c:pt>
                <c:pt idx="936">
                  <c:v>138.72713130935446</c:v>
                </c:pt>
                <c:pt idx="937">
                  <c:v>138.70481284168989</c:v>
                </c:pt>
                <c:pt idx="938">
                  <c:v>138.15472679876737</c:v>
                </c:pt>
                <c:pt idx="939">
                  <c:v>138.27483039924283</c:v>
                </c:pt>
                <c:pt idx="940">
                  <c:v>135.77402287079713</c:v>
                </c:pt>
                <c:pt idx="941">
                  <c:v>135.77402287079713</c:v>
                </c:pt>
                <c:pt idx="942">
                  <c:v>135.77402287079713</c:v>
                </c:pt>
                <c:pt idx="943">
                  <c:v>133.4194751160104</c:v>
                </c:pt>
                <c:pt idx="944">
                  <c:v>132.0448810865947</c:v>
                </c:pt>
                <c:pt idx="945">
                  <c:v>134.09331904952722</c:v>
                </c:pt>
                <c:pt idx="946">
                  <c:v>133.39352116095264</c:v>
                </c:pt>
                <c:pt idx="947">
                  <c:v>131.28850247060183</c:v>
                </c:pt>
                <c:pt idx="948">
                  <c:v>131.28850247060183</c:v>
                </c:pt>
                <c:pt idx="949">
                  <c:v>131.28850247060183</c:v>
                </c:pt>
                <c:pt idx="950">
                  <c:v>131.13207176986893</c:v>
                </c:pt>
                <c:pt idx="951">
                  <c:v>129.45830313810464</c:v>
                </c:pt>
                <c:pt idx="952">
                  <c:v>126.33296029207581</c:v>
                </c:pt>
                <c:pt idx="953">
                  <c:v>126.54930622176866</c:v>
                </c:pt>
                <c:pt idx="954">
                  <c:v>126.82650704018781</c:v>
                </c:pt>
                <c:pt idx="955">
                  <c:v>126.82650704018781</c:v>
                </c:pt>
                <c:pt idx="956">
                  <c:v>126.82650704018781</c:v>
                </c:pt>
                <c:pt idx="957">
                  <c:v>127.90241894743552</c:v>
                </c:pt>
                <c:pt idx="958">
                  <c:v>126.95658385507778</c:v>
                </c:pt>
                <c:pt idx="959">
                  <c:v>130.69604239906258</c:v>
                </c:pt>
                <c:pt idx="960">
                  <c:v>130.43360054685559</c:v>
                </c:pt>
                <c:pt idx="961">
                  <c:v>125.58497927384806</c:v>
                </c:pt>
                <c:pt idx="962">
                  <c:v>125.58497927384806</c:v>
                </c:pt>
                <c:pt idx="963">
                  <c:v>125.58497927384806</c:v>
                </c:pt>
                <c:pt idx="964">
                  <c:v>126.1490530426139</c:v>
                </c:pt>
                <c:pt idx="965">
                  <c:v>122.99395155271343</c:v>
                </c:pt>
                <c:pt idx="966">
                  <c:v>124.86245463684958</c:v>
                </c:pt>
                <c:pt idx="967">
                  <c:v>126.75053927882898</c:v>
                </c:pt>
                <c:pt idx="968">
                  <c:v>130.63592774522203</c:v>
                </c:pt>
                <c:pt idx="969">
                  <c:v>130.63592774522203</c:v>
                </c:pt>
                <c:pt idx="970">
                  <c:v>130.63592774522203</c:v>
                </c:pt>
                <c:pt idx="971">
                  <c:v>128.75021686199202</c:v>
                </c:pt>
                <c:pt idx="972">
                  <c:v>127.42610572396444</c:v>
                </c:pt>
                <c:pt idx="973">
                  <c:v>122.38202738314557</c:v>
                </c:pt>
                <c:pt idx="974">
                  <c:v>120.34853031550826</c:v>
                </c:pt>
                <c:pt idx="975">
                  <c:v>121.8826021035686</c:v>
                </c:pt>
                <c:pt idx="976">
                  <c:v>121.8826021035686</c:v>
                </c:pt>
                <c:pt idx="977">
                  <c:v>121.8826021035686</c:v>
                </c:pt>
                <c:pt idx="978">
                  <c:v>124.08234757586393</c:v>
                </c:pt>
                <c:pt idx="979">
                  <c:v>127.40306140497171</c:v>
                </c:pt>
                <c:pt idx="980">
                  <c:v>126.74727103503389</c:v>
                </c:pt>
                <c:pt idx="981">
                  <c:v>124.52164016607617</c:v>
                </c:pt>
                <c:pt idx="982">
                  <c:v>120.59015267092985</c:v>
                </c:pt>
                <c:pt idx="983">
                  <c:v>120.59015267092985</c:v>
                </c:pt>
                <c:pt idx="984">
                  <c:v>120.59015267092985</c:v>
                </c:pt>
                <c:pt idx="985">
                  <c:v>120.59015267092985</c:v>
                </c:pt>
                <c:pt idx="986">
                  <c:v>121.92355059293889</c:v>
                </c:pt>
                <c:pt idx="987">
                  <c:v>120.90132739255554</c:v>
                </c:pt>
                <c:pt idx="988">
                  <c:v>123.35805616035029</c:v>
                </c:pt>
                <c:pt idx="989">
                  <c:v>121.52406430575454</c:v>
                </c:pt>
                <c:pt idx="990">
                  <c:v>121.52406430575454</c:v>
                </c:pt>
                <c:pt idx="991">
                  <c:v>121.52406430575454</c:v>
                </c:pt>
                <c:pt idx="992">
                  <c:v>119.04711618001657</c:v>
                </c:pt>
                <c:pt idx="993">
                  <c:v>118.34531885409976</c:v>
                </c:pt>
                <c:pt idx="994">
                  <c:v>118.93638978426144</c:v>
                </c:pt>
                <c:pt idx="995">
                  <c:v>119.50522268865996</c:v>
                </c:pt>
                <c:pt idx="996">
                  <c:v>120.41735334085062</c:v>
                </c:pt>
                <c:pt idx="997">
                  <c:v>120.41735334085062</c:v>
                </c:pt>
                <c:pt idx="998">
                  <c:v>120.41735334085062</c:v>
                </c:pt>
                <c:pt idx="999">
                  <c:v>118.70098434184729</c:v>
                </c:pt>
                <c:pt idx="1000">
                  <c:v>123.16576295070925</c:v>
                </c:pt>
                <c:pt idx="1001">
                  <c:v>121.07649128546747</c:v>
                </c:pt>
                <c:pt idx="1002">
                  <c:v>123.32269199823509</c:v>
                </c:pt>
                <c:pt idx="1003">
                  <c:v>125.25994891361721</c:v>
                </c:pt>
                <c:pt idx="1004">
                  <c:v>125.25994891361721</c:v>
                </c:pt>
                <c:pt idx="1005">
                  <c:v>125.25994891361721</c:v>
                </c:pt>
                <c:pt idx="1006">
                  <c:v>128.78196649029988</c:v>
                </c:pt>
                <c:pt idx="1007">
                  <c:v>130.38052422286503</c:v>
                </c:pt>
                <c:pt idx="1008">
                  <c:v>129.78034378284792</c:v>
                </c:pt>
                <c:pt idx="1009">
                  <c:v>131.02676976471187</c:v>
                </c:pt>
                <c:pt idx="1010">
                  <c:v>134.60476166533437</c:v>
                </c:pt>
                <c:pt idx="1011">
                  <c:v>134.60476166533437</c:v>
                </c:pt>
                <c:pt idx="1012">
                  <c:v>134.60476166533437</c:v>
                </c:pt>
                <c:pt idx="1013">
                  <c:v>134.63701443276165</c:v>
                </c:pt>
                <c:pt idx="1014">
                  <c:v>136.67262003072767</c:v>
                </c:pt>
                <c:pt idx="1015">
                  <c:v>138.05816000287393</c:v>
                </c:pt>
                <c:pt idx="1016">
                  <c:v>136.30552260445506</c:v>
                </c:pt>
                <c:pt idx="1017">
                  <c:v>139.70272153180417</c:v>
                </c:pt>
                <c:pt idx="1018">
                  <c:v>139.70272153180417</c:v>
                </c:pt>
                <c:pt idx="1019">
                  <c:v>139.70272153180417</c:v>
                </c:pt>
                <c:pt idx="1020">
                  <c:v>136.36728714732348</c:v>
                </c:pt>
                <c:pt idx="1021">
                  <c:v>136.38052968969353</c:v>
                </c:pt>
                <c:pt idx="1022">
                  <c:v>136.38052968969353</c:v>
                </c:pt>
                <c:pt idx="1023">
                  <c:v>136.61727892770966</c:v>
                </c:pt>
                <c:pt idx="1024">
                  <c:v>136.8672221691445</c:v>
                </c:pt>
                <c:pt idx="1025">
                  <c:v>136.8672221691445</c:v>
                </c:pt>
                <c:pt idx="1026">
                  <c:v>136.8672221691445</c:v>
                </c:pt>
                <c:pt idx="1027">
                  <c:v>140.77886987139649</c:v>
                </c:pt>
                <c:pt idx="1028">
                  <c:v>141.5820254756419</c:v>
                </c:pt>
                <c:pt idx="1029">
                  <c:v>141.27968324611015</c:v>
                </c:pt>
                <c:pt idx="1030">
                  <c:v>140.32085073366653</c:v>
                </c:pt>
                <c:pt idx="1031">
                  <c:v>139.66997599244567</c:v>
                </c:pt>
                <c:pt idx="1032">
                  <c:v>139.66997599244567</c:v>
                </c:pt>
                <c:pt idx="1033">
                  <c:v>139.66997599244567</c:v>
                </c:pt>
                <c:pt idx="1034">
                  <c:v>139.5793576988024</c:v>
                </c:pt>
                <c:pt idx="1035">
                  <c:v>138.23838857148363</c:v>
                </c:pt>
                <c:pt idx="1036">
                  <c:v>135.50284614686788</c:v>
                </c:pt>
                <c:pt idx="1037">
                  <c:v>134.68141667266761</c:v>
                </c:pt>
                <c:pt idx="1038">
                  <c:v>132.9657260244351</c:v>
                </c:pt>
                <c:pt idx="1039">
                  <c:v>132.9657260244351</c:v>
                </c:pt>
                <c:pt idx="1040">
                  <c:v>132.9657260244351</c:v>
                </c:pt>
                <c:pt idx="1041">
                  <c:v>132.87952458130752</c:v>
                </c:pt>
                <c:pt idx="1042">
                  <c:v>134.04709722514033</c:v>
                </c:pt>
                <c:pt idx="1043">
                  <c:v>134.07319504405626</c:v>
                </c:pt>
                <c:pt idx="1044">
                  <c:v>133.53234901854356</c:v>
                </c:pt>
                <c:pt idx="1045">
                  <c:v>130.24112500369483</c:v>
                </c:pt>
                <c:pt idx="1046">
                  <c:v>130.24112500369483</c:v>
                </c:pt>
                <c:pt idx="1047">
                  <c:v>130.24112500369483</c:v>
                </c:pt>
                <c:pt idx="1048">
                  <c:v>130.24112500369483</c:v>
                </c:pt>
                <c:pt idx="1049">
                  <c:v>130.24112500369483</c:v>
                </c:pt>
                <c:pt idx="1050">
                  <c:v>129.77882791406387</c:v>
                </c:pt>
                <c:pt idx="1051">
                  <c:v>129.7338323375422</c:v>
                </c:pt>
                <c:pt idx="1052">
                  <c:v>129.50245025120179</c:v>
                </c:pt>
                <c:pt idx="1053">
                  <c:v>129.50245025120179</c:v>
                </c:pt>
                <c:pt idx="1054">
                  <c:v>129.50245025120179</c:v>
                </c:pt>
                <c:pt idx="1055">
                  <c:v>127.57757966300606</c:v>
                </c:pt>
                <c:pt idx="1056">
                  <c:v>127.27686703096543</c:v>
                </c:pt>
                <c:pt idx="1057">
                  <c:v>128.70701926767308</c:v>
                </c:pt>
                <c:pt idx="1058">
                  <c:v>127.42548744008371</c:v>
                </c:pt>
                <c:pt idx="1059">
                  <c:v>130.9660515825876</c:v>
                </c:pt>
                <c:pt idx="1060">
                  <c:v>130.9660515825876</c:v>
                </c:pt>
                <c:pt idx="1061">
                  <c:v>130.9660515825876</c:v>
                </c:pt>
                <c:pt idx="1062">
                  <c:v>129.67485666936921</c:v>
                </c:pt>
                <c:pt idx="1063">
                  <c:v>128.06732085173152</c:v>
                </c:pt>
                <c:pt idx="1064">
                  <c:v>127.02557167474859</c:v>
                </c:pt>
                <c:pt idx="1065">
                  <c:v>127.42619059657349</c:v>
                </c:pt>
                <c:pt idx="1066">
                  <c:v>126.02871368147386</c:v>
                </c:pt>
                <c:pt idx="1067">
                  <c:v>126.02871368147386</c:v>
                </c:pt>
                <c:pt idx="1068">
                  <c:v>126.02871368147386</c:v>
                </c:pt>
                <c:pt idx="1069">
                  <c:v>123.38780590656641</c:v>
                </c:pt>
                <c:pt idx="1070">
                  <c:v>124.78396545913388</c:v>
                </c:pt>
                <c:pt idx="1071">
                  <c:v>124.0142631567318</c:v>
                </c:pt>
                <c:pt idx="1072">
                  <c:v>121.35769247301104</c:v>
                </c:pt>
                <c:pt idx="1073">
                  <c:v>121.10228277892958</c:v>
                </c:pt>
                <c:pt idx="1074">
                  <c:v>121.10228277892958</c:v>
                </c:pt>
                <c:pt idx="1075">
                  <c:v>121.10228277892958</c:v>
                </c:pt>
                <c:pt idx="1076">
                  <c:v>123.16854261523409</c:v>
                </c:pt>
                <c:pt idx="1077">
                  <c:v>123.47618429751557</c:v>
                </c:pt>
                <c:pt idx="1078">
                  <c:v>122.93654483333705</c:v>
                </c:pt>
                <c:pt idx="1079">
                  <c:v>124.28785657381192</c:v>
                </c:pt>
                <c:pt idx="1080">
                  <c:v>126.30302736533656</c:v>
                </c:pt>
                <c:pt idx="1081">
                  <c:v>126.30302736533656</c:v>
                </c:pt>
                <c:pt idx="1082">
                  <c:v>126.30302736533656</c:v>
                </c:pt>
                <c:pt idx="1083">
                  <c:v>126.30302736533656</c:v>
                </c:pt>
                <c:pt idx="1084">
                  <c:v>126.30302736533656</c:v>
                </c:pt>
                <c:pt idx="1085">
                  <c:v>126.67425498255251</c:v>
                </c:pt>
                <c:pt idx="1086">
                  <c:v>125.97509493354357</c:v>
                </c:pt>
                <c:pt idx="1087">
                  <c:v>125.12820526058026</c:v>
                </c:pt>
                <c:pt idx="1088">
                  <c:v>125.12820526058026</c:v>
                </c:pt>
                <c:pt idx="1089">
                  <c:v>125.12820526058026</c:v>
                </c:pt>
                <c:pt idx="1090">
                  <c:v>124.90476929131522</c:v>
                </c:pt>
                <c:pt idx="1091">
                  <c:v>123.9128603997858</c:v>
                </c:pt>
                <c:pt idx="1092">
                  <c:v>121.04197526279673</c:v>
                </c:pt>
                <c:pt idx="1093">
                  <c:v>121.40486165406669</c:v>
                </c:pt>
                <c:pt idx="1094">
                  <c:v>119.84465270522658</c:v>
                </c:pt>
                <c:pt idx="1095">
                  <c:v>119.84465270522658</c:v>
                </c:pt>
                <c:pt idx="1096">
                  <c:v>119.84465270522658</c:v>
                </c:pt>
                <c:pt idx="1097">
                  <c:v>119.8135444241869</c:v>
                </c:pt>
                <c:pt idx="1098">
                  <c:v>120.84956466140575</c:v>
                </c:pt>
                <c:pt idx="1099">
                  <c:v>121.51526555553835</c:v>
                </c:pt>
                <c:pt idx="1100">
                  <c:v>120.17758521549588</c:v>
                </c:pt>
                <c:pt idx="1101">
                  <c:v>117.05685935628631</c:v>
                </c:pt>
                <c:pt idx="1102">
                  <c:v>117.05685935628631</c:v>
                </c:pt>
                <c:pt idx="1103">
                  <c:v>117.05685935628631</c:v>
                </c:pt>
                <c:pt idx="1104">
                  <c:v>117.05685935628631</c:v>
                </c:pt>
                <c:pt idx="1105">
                  <c:v>117.05685935628631</c:v>
                </c:pt>
                <c:pt idx="1106">
                  <c:v>117.05685935628631</c:v>
                </c:pt>
                <c:pt idx="1107">
                  <c:v>117.05685935628631</c:v>
                </c:pt>
                <c:pt idx="1108">
                  <c:v>117.05685935628631</c:v>
                </c:pt>
                <c:pt idx="1109">
                  <c:v>117.05685935628631</c:v>
                </c:pt>
                <c:pt idx="1110">
                  <c:v>117.05685935628631</c:v>
                </c:pt>
                <c:pt idx="1111">
                  <c:v>117.05685935628631</c:v>
                </c:pt>
                <c:pt idx="1112">
                  <c:v>117.05685935628631</c:v>
                </c:pt>
                <c:pt idx="1113">
                  <c:v>117.56426602790336</c:v>
                </c:pt>
                <c:pt idx="1114">
                  <c:v>121.03017741602497</c:v>
                </c:pt>
                <c:pt idx="1115">
                  <c:v>119.72079729667338</c:v>
                </c:pt>
                <c:pt idx="1116">
                  <c:v>119.72079729667338</c:v>
                </c:pt>
                <c:pt idx="1117">
                  <c:v>119.72079729667338</c:v>
                </c:pt>
                <c:pt idx="1118">
                  <c:v>117.27856451950818</c:v>
                </c:pt>
                <c:pt idx="1119">
                  <c:v>116.30351372091266</c:v>
                </c:pt>
                <c:pt idx="1120">
                  <c:v>117.4393685805515</c:v>
                </c:pt>
                <c:pt idx="1121">
                  <c:v>116.40117418003125</c:v>
                </c:pt>
                <c:pt idx="1122">
                  <c:v>115.16272275571131</c:v>
                </c:pt>
                <c:pt idx="1123">
                  <c:v>115.16272275571131</c:v>
                </c:pt>
                <c:pt idx="1124">
                  <c:v>115.16272275571131</c:v>
                </c:pt>
                <c:pt idx="1125">
                  <c:v>116.36765723678522</c:v>
                </c:pt>
                <c:pt idx="1126">
                  <c:v>114.88505631603989</c:v>
                </c:pt>
                <c:pt idx="1127">
                  <c:v>116.62396238727916</c:v>
                </c:pt>
                <c:pt idx="1128">
                  <c:v>115.27103211066245</c:v>
                </c:pt>
                <c:pt idx="1129">
                  <c:v>116.47345975667838</c:v>
                </c:pt>
                <c:pt idx="1130">
                  <c:v>116.47345975667838</c:v>
                </c:pt>
                <c:pt idx="1131">
                  <c:v>116.47345975667838</c:v>
                </c:pt>
                <c:pt idx="1132">
                  <c:v>114.12980432371728</c:v>
                </c:pt>
                <c:pt idx="1133">
                  <c:v>113.88041087063272</c:v>
                </c:pt>
                <c:pt idx="1134">
                  <c:v>111.30353158046272</c:v>
                </c:pt>
                <c:pt idx="1135">
                  <c:v>112.47890597022237</c:v>
                </c:pt>
                <c:pt idx="1136">
                  <c:v>109.90277453395009</c:v>
                </c:pt>
                <c:pt idx="1137">
                  <c:v>109.90277453395009</c:v>
                </c:pt>
                <c:pt idx="1138">
                  <c:v>109.90277453395009</c:v>
                </c:pt>
                <c:pt idx="1139">
                  <c:v>113.43085869052541</c:v>
                </c:pt>
                <c:pt idx="1140">
                  <c:v>116.08093208385799</c:v>
                </c:pt>
                <c:pt idx="1141">
                  <c:v>120.01088286012714</c:v>
                </c:pt>
                <c:pt idx="1142">
                  <c:v>120.01088286012714</c:v>
                </c:pt>
                <c:pt idx="1143">
                  <c:v>120.01088286012714</c:v>
                </c:pt>
                <c:pt idx="1144">
                  <c:v>120.01088286012714</c:v>
                </c:pt>
                <c:pt idx="1145">
                  <c:v>120.01088286012714</c:v>
                </c:pt>
                <c:pt idx="1146">
                  <c:v>117.96639641262581</c:v>
                </c:pt>
                <c:pt idx="1147">
                  <c:v>114.44231765769433</c:v>
                </c:pt>
                <c:pt idx="1148">
                  <c:v>114.84403659325766</c:v>
                </c:pt>
                <c:pt idx="1149">
                  <c:v>116.17916727642736</c:v>
                </c:pt>
                <c:pt idx="1150">
                  <c:v>117.03968889865079</c:v>
                </c:pt>
                <c:pt idx="1151">
                  <c:v>117.03968889865079</c:v>
                </c:pt>
                <c:pt idx="1152">
                  <c:v>118.06963446134691</c:v>
                </c:pt>
                <c:pt idx="1153">
                  <c:v>116.9578458113822</c:v>
                </c:pt>
                <c:pt idx="1154">
                  <c:v>118.8829610287349</c:v>
                </c:pt>
                <c:pt idx="1155">
                  <c:v>117.48412938850483</c:v>
                </c:pt>
                <c:pt idx="1156">
                  <c:v>117.95854435040734</c:v>
                </c:pt>
                <c:pt idx="1157">
                  <c:v>117.27476454657875</c:v>
                </c:pt>
                <c:pt idx="1158">
                  <c:v>117.27476454657875</c:v>
                </c:pt>
                <c:pt idx="1159">
                  <c:v>117.27476454657875</c:v>
                </c:pt>
                <c:pt idx="1160">
                  <c:v>119.28573145315518</c:v>
                </c:pt>
                <c:pt idx="1161">
                  <c:v>119.74390124373883</c:v>
                </c:pt>
                <c:pt idx="1162">
                  <c:v>117.38887095647705</c:v>
                </c:pt>
                <c:pt idx="1163">
                  <c:v>115.23956372568649</c:v>
                </c:pt>
                <c:pt idx="1164">
                  <c:v>116.23558034693211</c:v>
                </c:pt>
                <c:pt idx="1165">
                  <c:v>116.23558034693211</c:v>
                </c:pt>
                <c:pt idx="1166">
                  <c:v>116.23558034693211</c:v>
                </c:pt>
                <c:pt idx="1167">
                  <c:v>116.0623664272116</c:v>
                </c:pt>
                <c:pt idx="1168">
                  <c:v>119.39032388485191</c:v>
                </c:pt>
                <c:pt idx="1169">
                  <c:v>123.72903655204983</c:v>
                </c:pt>
                <c:pt idx="1170">
                  <c:v>124.70367004700724</c:v>
                </c:pt>
                <c:pt idx="1171">
                  <c:v>118.92150183176582</c:v>
                </c:pt>
                <c:pt idx="1172">
                  <c:v>118.92150183176582</c:v>
                </c:pt>
                <c:pt idx="1173">
                  <c:v>118.92150183176582</c:v>
                </c:pt>
                <c:pt idx="1174">
                  <c:v>121.15613980836606</c:v>
                </c:pt>
                <c:pt idx="1175">
                  <c:v>119.58067769926781</c:v>
                </c:pt>
                <c:pt idx="1176">
                  <c:v>117.89730002432626</c:v>
                </c:pt>
                <c:pt idx="1177">
                  <c:v>117.56115811921626</c:v>
                </c:pt>
                <c:pt idx="1178">
                  <c:v>114.90955240955255</c:v>
                </c:pt>
                <c:pt idx="1179">
                  <c:v>114.90955240955255</c:v>
                </c:pt>
                <c:pt idx="1180">
                  <c:v>114.90955240955255</c:v>
                </c:pt>
                <c:pt idx="1181">
                  <c:v>115.4412142908579</c:v>
                </c:pt>
                <c:pt idx="1182">
                  <c:v>115.45992134227426</c:v>
                </c:pt>
                <c:pt idx="1183">
                  <c:v>114.58732962545805</c:v>
                </c:pt>
                <c:pt idx="1184">
                  <c:v>116.89381304840613</c:v>
                </c:pt>
                <c:pt idx="1185">
                  <c:v>119.47180044801267</c:v>
                </c:pt>
                <c:pt idx="1186">
                  <c:v>119.47180044801267</c:v>
                </c:pt>
                <c:pt idx="1187">
                  <c:v>119.47180044801267</c:v>
                </c:pt>
                <c:pt idx="1188">
                  <c:v>122.06341472217713</c:v>
                </c:pt>
                <c:pt idx="1189">
                  <c:v>120.43723010738539</c:v>
                </c:pt>
                <c:pt idx="1190">
                  <c:v>119.96457055454111</c:v>
                </c:pt>
                <c:pt idx="1191">
                  <c:v>121.79352587664363</c:v>
                </c:pt>
                <c:pt idx="1192">
                  <c:v>122.10704563014949</c:v>
                </c:pt>
                <c:pt idx="1193">
                  <c:v>122.10704563014949</c:v>
                </c:pt>
                <c:pt idx="1194">
                  <c:v>122.10704563014949</c:v>
                </c:pt>
                <c:pt idx="1195">
                  <c:v>125.37695287410135</c:v>
                </c:pt>
                <c:pt idx="1196">
                  <c:v>124.53457467525391</c:v>
                </c:pt>
                <c:pt idx="1197">
                  <c:v>123.98535467895499</c:v>
                </c:pt>
                <c:pt idx="1198">
                  <c:v>124.53710598420007</c:v>
                </c:pt>
                <c:pt idx="1199">
                  <c:v>125.82390760537017</c:v>
                </c:pt>
                <c:pt idx="1200">
                  <c:v>125.82390760537017</c:v>
                </c:pt>
                <c:pt idx="1201">
                  <c:v>125.82390760537017</c:v>
                </c:pt>
                <c:pt idx="1202">
                  <c:v>124.66805308258006</c:v>
                </c:pt>
                <c:pt idx="1203">
                  <c:v>123.06103095576788</c:v>
                </c:pt>
                <c:pt idx="1204">
                  <c:v>117.23441993616186</c:v>
                </c:pt>
                <c:pt idx="1205">
                  <c:v>116.77532047753063</c:v>
                </c:pt>
                <c:pt idx="1206">
                  <c:v>116.10794382166674</c:v>
                </c:pt>
                <c:pt idx="1207">
                  <c:v>116.10794382166674</c:v>
                </c:pt>
                <c:pt idx="1208">
                  <c:v>116.10794382166674</c:v>
                </c:pt>
                <c:pt idx="1209">
                  <c:v>115.36459148006423</c:v>
                </c:pt>
                <c:pt idx="1210">
                  <c:v>120.50747025730892</c:v>
                </c:pt>
                <c:pt idx="1211">
                  <c:v>120.93005677155138</c:v>
                </c:pt>
                <c:pt idx="1212">
                  <c:v>124.67501202423435</c:v>
                </c:pt>
                <c:pt idx="1213">
                  <c:v>124.29365756008042</c:v>
                </c:pt>
                <c:pt idx="1214">
                  <c:v>124.29365756008042</c:v>
                </c:pt>
                <c:pt idx="1215">
                  <c:v>124.29365756008042</c:v>
                </c:pt>
                <c:pt idx="1216">
                  <c:v>124.15101971543177</c:v>
                </c:pt>
                <c:pt idx="1217">
                  <c:v>125.68764385370577</c:v>
                </c:pt>
                <c:pt idx="1218">
                  <c:v>125.25423641408049</c:v>
                </c:pt>
                <c:pt idx="1219">
                  <c:v>121.41663831159329</c:v>
                </c:pt>
                <c:pt idx="1220">
                  <c:v>124.76781219499671</c:v>
                </c:pt>
                <c:pt idx="1221">
                  <c:v>124.76781219499671</c:v>
                </c:pt>
                <c:pt idx="1222">
                  <c:v>124.76781219499671</c:v>
                </c:pt>
                <c:pt idx="1223">
                  <c:v>119.57308681864411</c:v>
                </c:pt>
                <c:pt idx="1224">
                  <c:v>128.21228009547676</c:v>
                </c:pt>
                <c:pt idx="1225">
                  <c:v>128.21228009547676</c:v>
                </c:pt>
                <c:pt idx="1226">
                  <c:v>127.94955001331391</c:v>
                </c:pt>
                <c:pt idx="1227">
                  <c:v>131.54775810444579</c:v>
                </c:pt>
                <c:pt idx="1228">
                  <c:v>131.54775810444579</c:v>
                </c:pt>
                <c:pt idx="1229">
                  <c:v>131.54775810444579</c:v>
                </c:pt>
                <c:pt idx="1230">
                  <c:v>133.94714963749237</c:v>
                </c:pt>
                <c:pt idx="1231">
                  <c:v>137.62880802677751</c:v>
                </c:pt>
                <c:pt idx="1232">
                  <c:v>136.60773277412218</c:v>
                </c:pt>
                <c:pt idx="1233">
                  <c:v>140.08750775286475</c:v>
                </c:pt>
                <c:pt idx="1234">
                  <c:v>140.2528702912991</c:v>
                </c:pt>
                <c:pt idx="1235">
                  <c:v>140.2528702912991</c:v>
                </c:pt>
                <c:pt idx="1236">
                  <c:v>140.2528702912991</c:v>
                </c:pt>
                <c:pt idx="1237">
                  <c:v>141.16667905514225</c:v>
                </c:pt>
                <c:pt idx="1238">
                  <c:v>139.78170828814885</c:v>
                </c:pt>
                <c:pt idx="1239">
                  <c:v>139.78626678372316</c:v>
                </c:pt>
                <c:pt idx="1240">
                  <c:v>138.84299540184389</c:v>
                </c:pt>
                <c:pt idx="1241">
                  <c:v>138.84299540184389</c:v>
                </c:pt>
                <c:pt idx="1242">
                  <c:v>138.84299540184389</c:v>
                </c:pt>
                <c:pt idx="1243">
                  <c:v>138.84299540184389</c:v>
                </c:pt>
                <c:pt idx="1244">
                  <c:v>137.67360761273727</c:v>
                </c:pt>
                <c:pt idx="1245">
                  <c:v>136.53902361690774</c:v>
                </c:pt>
                <c:pt idx="1246">
                  <c:v>134.50733690994912</c:v>
                </c:pt>
                <c:pt idx="1247">
                  <c:v>136.29514850571582</c:v>
                </c:pt>
                <c:pt idx="1248">
                  <c:v>138.04135953565353</c:v>
                </c:pt>
                <c:pt idx="1249">
                  <c:v>138.04135953565353</c:v>
                </c:pt>
                <c:pt idx="1250">
                  <c:v>138.04135953565353</c:v>
                </c:pt>
                <c:pt idx="1251">
                  <c:v>135.03922523064395</c:v>
                </c:pt>
                <c:pt idx="1252">
                  <c:v>138.00125369962876</c:v>
                </c:pt>
                <c:pt idx="1253">
                  <c:v>137.34723970484191</c:v>
                </c:pt>
                <c:pt idx="1254">
                  <c:v>139.62918320374106</c:v>
                </c:pt>
                <c:pt idx="1255">
                  <c:v>139.36523389711775</c:v>
                </c:pt>
                <c:pt idx="1256">
                  <c:v>139.36523389711775</c:v>
                </c:pt>
                <c:pt idx="1257">
                  <c:v>139.36523389711775</c:v>
                </c:pt>
                <c:pt idx="1258">
                  <c:v>137.98303851927514</c:v>
                </c:pt>
                <c:pt idx="1259">
                  <c:v>139.58265942534814</c:v>
                </c:pt>
                <c:pt idx="1260">
                  <c:v>136.20794426732067</c:v>
                </c:pt>
                <c:pt idx="1261">
                  <c:v>136.13824325667753</c:v>
                </c:pt>
                <c:pt idx="1262">
                  <c:v>135.76768220917802</c:v>
                </c:pt>
                <c:pt idx="1263">
                  <c:v>135.76768220917802</c:v>
                </c:pt>
                <c:pt idx="1264">
                  <c:v>135.76768220917802</c:v>
                </c:pt>
                <c:pt idx="1265">
                  <c:v>139.42705931939261</c:v>
                </c:pt>
                <c:pt idx="1266">
                  <c:v>137.29157011547522</c:v>
                </c:pt>
                <c:pt idx="1267">
                  <c:v>132.24716011454368</c:v>
                </c:pt>
                <c:pt idx="1268">
                  <c:v>129.94662415920985</c:v>
                </c:pt>
                <c:pt idx="1269">
                  <c:v>129.18051623494662</c:v>
                </c:pt>
                <c:pt idx="1270">
                  <c:v>129.18051623494662</c:v>
                </c:pt>
                <c:pt idx="1271">
                  <c:v>129.18051623494662</c:v>
                </c:pt>
                <c:pt idx="1272">
                  <c:v>129.0628343148056</c:v>
                </c:pt>
                <c:pt idx="1273">
                  <c:v>128.4182474526628</c:v>
                </c:pt>
                <c:pt idx="1274">
                  <c:v>127.90011026667689</c:v>
                </c:pt>
                <c:pt idx="1275">
                  <c:v>126.8763925568563</c:v>
                </c:pt>
                <c:pt idx="1276">
                  <c:v>126.86399824954049</c:v>
                </c:pt>
                <c:pt idx="1277">
                  <c:v>126.86399824954049</c:v>
                </c:pt>
                <c:pt idx="1278">
                  <c:v>126.86399824954049</c:v>
                </c:pt>
                <c:pt idx="1279">
                  <c:v>126.44680093536888</c:v>
                </c:pt>
                <c:pt idx="1280">
                  <c:v>127.21916378814049</c:v>
                </c:pt>
                <c:pt idx="1281">
                  <c:v>128.56417297345564</c:v>
                </c:pt>
                <c:pt idx="1282">
                  <c:v>126.83613493307124</c:v>
                </c:pt>
                <c:pt idx="1283">
                  <c:v>129.68868448677117</c:v>
                </c:pt>
                <c:pt idx="1284">
                  <c:v>129.68868448677117</c:v>
                </c:pt>
                <c:pt idx="1285">
                  <c:v>129.68868448677117</c:v>
                </c:pt>
                <c:pt idx="1286">
                  <c:v>131.11000960965075</c:v>
                </c:pt>
                <c:pt idx="1287">
                  <c:v>131.68048903944239</c:v>
                </c:pt>
                <c:pt idx="1288">
                  <c:v>128.62285229930845</c:v>
                </c:pt>
                <c:pt idx="1289">
                  <c:v>130.36058628518242</c:v>
                </c:pt>
                <c:pt idx="1290">
                  <c:v>131.37150088269914</c:v>
                </c:pt>
                <c:pt idx="1291">
                  <c:v>131.37150088269914</c:v>
                </c:pt>
                <c:pt idx="1292">
                  <c:v>131.37150088269914</c:v>
                </c:pt>
                <c:pt idx="1293">
                  <c:v>129.53360576711822</c:v>
                </c:pt>
                <c:pt idx="1294">
                  <c:v>131.79133482292488</c:v>
                </c:pt>
                <c:pt idx="1295">
                  <c:v>130.91239723665799</c:v>
                </c:pt>
                <c:pt idx="1296">
                  <c:v>130.62494883873222</c:v>
                </c:pt>
                <c:pt idx="1297">
                  <c:v>130.16950957549872</c:v>
                </c:pt>
                <c:pt idx="1298">
                  <c:v>130.16950957549872</c:v>
                </c:pt>
                <c:pt idx="1299">
                  <c:v>130.16950957549872</c:v>
                </c:pt>
                <c:pt idx="1300">
                  <c:v>128.15514955033126</c:v>
                </c:pt>
                <c:pt idx="1301">
                  <c:v>128.44771757865198</c:v>
                </c:pt>
                <c:pt idx="1302">
                  <c:v>128.08815564721087</c:v>
                </c:pt>
                <c:pt idx="1303">
                  <c:v>128.05050234825518</c:v>
                </c:pt>
                <c:pt idx="1304">
                  <c:v>126.29810378257579</c:v>
                </c:pt>
                <c:pt idx="1305">
                  <c:v>126.29810378257579</c:v>
                </c:pt>
                <c:pt idx="1306">
                  <c:v>126.29810378257579</c:v>
                </c:pt>
                <c:pt idx="1307">
                  <c:v>119.04636860629945</c:v>
                </c:pt>
                <c:pt idx="1308">
                  <c:v>118.59502602604475</c:v>
                </c:pt>
                <c:pt idx="1309">
                  <c:v>118.00949341479266</c:v>
                </c:pt>
                <c:pt idx="1310">
                  <c:v>119.09454448271278</c:v>
                </c:pt>
                <c:pt idx="1311">
                  <c:v>119.4786838230534</c:v>
                </c:pt>
                <c:pt idx="1312">
                  <c:v>119.4786838230534</c:v>
                </c:pt>
                <c:pt idx="1313">
                  <c:v>119.4786838230534</c:v>
                </c:pt>
                <c:pt idx="1314">
                  <c:v>117.60768112615713</c:v>
                </c:pt>
                <c:pt idx="1315">
                  <c:v>116.77052560633867</c:v>
                </c:pt>
                <c:pt idx="1316">
                  <c:v>119.00864921131853</c:v>
                </c:pt>
                <c:pt idx="1317">
                  <c:v>118.88949293674278</c:v>
                </c:pt>
                <c:pt idx="1318">
                  <c:v>116.01095969112274</c:v>
                </c:pt>
                <c:pt idx="1319">
                  <c:v>116.01095969112274</c:v>
                </c:pt>
                <c:pt idx="1320">
                  <c:v>116.01095969112274</c:v>
                </c:pt>
                <c:pt idx="1321">
                  <c:v>114.31376923284935</c:v>
                </c:pt>
                <c:pt idx="1322">
                  <c:v>115.21885774246743</c:v>
                </c:pt>
                <c:pt idx="1323">
                  <c:v>114.2351773469797</c:v>
                </c:pt>
                <c:pt idx="1324">
                  <c:v>114.02862505093168</c:v>
                </c:pt>
                <c:pt idx="1325">
                  <c:v>115.60687643112801</c:v>
                </c:pt>
                <c:pt idx="1326">
                  <c:v>115.60687643112801</c:v>
                </c:pt>
                <c:pt idx="1327">
                  <c:v>115.60687643112801</c:v>
                </c:pt>
                <c:pt idx="1328">
                  <c:v>112.86312025937642</c:v>
                </c:pt>
                <c:pt idx="1329">
                  <c:v>113.56273797688378</c:v>
                </c:pt>
                <c:pt idx="1330">
                  <c:v>114.76494842992682</c:v>
                </c:pt>
                <c:pt idx="1331">
                  <c:v>116.76814874048982</c:v>
                </c:pt>
                <c:pt idx="1332">
                  <c:v>122.15028012796768</c:v>
                </c:pt>
                <c:pt idx="1333">
                  <c:v>122.15028012796768</c:v>
                </c:pt>
                <c:pt idx="1334">
                  <c:v>122.15028012796768</c:v>
                </c:pt>
                <c:pt idx="1335">
                  <c:v>121.5251110283929</c:v>
                </c:pt>
                <c:pt idx="1336">
                  <c:v>121.81128005653368</c:v>
                </c:pt>
                <c:pt idx="1337">
                  <c:v>121.3084663800559</c:v>
                </c:pt>
                <c:pt idx="1338">
                  <c:v>124.70868917503725</c:v>
                </c:pt>
                <c:pt idx="1339">
                  <c:v>124.70868917503725</c:v>
                </c:pt>
                <c:pt idx="1340">
                  <c:v>124.70868917503725</c:v>
                </c:pt>
                <c:pt idx="1341">
                  <c:v>124.70868917503725</c:v>
                </c:pt>
                <c:pt idx="1342">
                  <c:v>123.11691252948313</c:v>
                </c:pt>
                <c:pt idx="1343">
                  <c:v>126.46993793738217</c:v>
                </c:pt>
                <c:pt idx="1344">
                  <c:v>124.74676279846734</c:v>
                </c:pt>
                <c:pt idx="1345">
                  <c:v>123.29005813026073</c:v>
                </c:pt>
                <c:pt idx="1346">
                  <c:v>123.76917845327431</c:v>
                </c:pt>
                <c:pt idx="1347">
                  <c:v>123.76917845327431</c:v>
                </c:pt>
                <c:pt idx="1348">
                  <c:v>123.76917845327431</c:v>
                </c:pt>
                <c:pt idx="1349">
                  <c:v>125.69137052625479</c:v>
                </c:pt>
                <c:pt idx="1350">
                  <c:v>126.15756908841182</c:v>
                </c:pt>
                <c:pt idx="1351">
                  <c:v>124.99371978283507</c:v>
                </c:pt>
                <c:pt idx="1352">
                  <c:v>125.28799080778363</c:v>
                </c:pt>
                <c:pt idx="1353">
                  <c:v>122.26049697530044</c:v>
                </c:pt>
                <c:pt idx="1354">
                  <c:v>122.26049697530044</c:v>
                </c:pt>
                <c:pt idx="1355">
                  <c:v>122.26049697530044</c:v>
                </c:pt>
                <c:pt idx="1356">
                  <c:v>121.57114242324268</c:v>
                </c:pt>
                <c:pt idx="1357">
                  <c:v>120.16747215797932</c:v>
                </c:pt>
                <c:pt idx="1358">
                  <c:v>121.78880802645484</c:v>
                </c:pt>
                <c:pt idx="1359">
                  <c:v>123.30628908249372</c:v>
                </c:pt>
                <c:pt idx="1360">
                  <c:v>124.15425474478891</c:v>
                </c:pt>
                <c:pt idx="1361">
                  <c:v>124.15425474478891</c:v>
                </c:pt>
                <c:pt idx="1362">
                  <c:v>124.15425474478891</c:v>
                </c:pt>
                <c:pt idx="1363">
                  <c:v>124.45918381236274</c:v>
                </c:pt>
                <c:pt idx="1364">
                  <c:v>124.04238913449348</c:v>
                </c:pt>
                <c:pt idx="1365">
                  <c:v>124.72587908687946</c:v>
                </c:pt>
                <c:pt idx="1366">
                  <c:v>124.67995952499611</c:v>
                </c:pt>
                <c:pt idx="1367">
                  <c:v>121.46998944132351</c:v>
                </c:pt>
                <c:pt idx="1368">
                  <c:v>121.46998944132351</c:v>
                </c:pt>
                <c:pt idx="1369">
                  <c:v>121.46998944132351</c:v>
                </c:pt>
                <c:pt idx="1370">
                  <c:v>123.10045909825409</c:v>
                </c:pt>
                <c:pt idx="1371">
                  <c:v>125.66066638756746</c:v>
                </c:pt>
                <c:pt idx="1372">
                  <c:v>125.37494982240361</c:v>
                </c:pt>
                <c:pt idx="1373">
                  <c:v>127.15568349961801</c:v>
                </c:pt>
                <c:pt idx="1374">
                  <c:v>127.4078662730382</c:v>
                </c:pt>
                <c:pt idx="1375">
                  <c:v>127.4078662730382</c:v>
                </c:pt>
                <c:pt idx="1376">
                  <c:v>127.4078662730382</c:v>
                </c:pt>
                <c:pt idx="1377">
                  <c:v>125.66720844794102</c:v>
                </c:pt>
                <c:pt idx="1378">
                  <c:v>124.78929801020927</c:v>
                </c:pt>
                <c:pt idx="1379">
                  <c:v>124.47713233053548</c:v>
                </c:pt>
                <c:pt idx="1380">
                  <c:v>121.95894984966134</c:v>
                </c:pt>
                <c:pt idx="1381">
                  <c:v>122.27263907525467</c:v>
                </c:pt>
                <c:pt idx="1382">
                  <c:v>122.27263907525467</c:v>
                </c:pt>
                <c:pt idx="1383">
                  <c:v>122.27263907525467</c:v>
                </c:pt>
                <c:pt idx="1384">
                  <c:v>120.89779455548448</c:v>
                </c:pt>
                <c:pt idx="1385">
                  <c:v>121.78824468155037</c:v>
                </c:pt>
                <c:pt idx="1386">
                  <c:v>124.65494511539821</c:v>
                </c:pt>
                <c:pt idx="1387">
                  <c:v>124.65494511539821</c:v>
                </c:pt>
                <c:pt idx="1388">
                  <c:v>122.98204694950641</c:v>
                </c:pt>
                <c:pt idx="1389">
                  <c:v>122.98204694950641</c:v>
                </c:pt>
                <c:pt idx="1390">
                  <c:v>122.98204694950641</c:v>
                </c:pt>
                <c:pt idx="1391">
                  <c:v>121.82288018882271</c:v>
                </c:pt>
                <c:pt idx="1392">
                  <c:v>123.33184107622228</c:v>
                </c:pt>
                <c:pt idx="1393">
                  <c:v>124.70546213074334</c:v>
                </c:pt>
                <c:pt idx="1394">
                  <c:v>124.50225860883425</c:v>
                </c:pt>
                <c:pt idx="1395">
                  <c:v>126.48765171599716</c:v>
                </c:pt>
                <c:pt idx="1396">
                  <c:v>126.48765171599716</c:v>
                </c:pt>
                <c:pt idx="1397">
                  <c:v>126.48765171599716</c:v>
                </c:pt>
                <c:pt idx="1398">
                  <c:v>135.35697539747363</c:v>
                </c:pt>
                <c:pt idx="1399">
                  <c:v>132.20394716040954</c:v>
                </c:pt>
                <c:pt idx="1400">
                  <c:v>131.91116158748196</c:v>
                </c:pt>
                <c:pt idx="1401">
                  <c:v>134.98712409051836</c:v>
                </c:pt>
                <c:pt idx="1402">
                  <c:v>135.70334590328454</c:v>
                </c:pt>
                <c:pt idx="1403">
                  <c:v>135.70334590328454</c:v>
                </c:pt>
                <c:pt idx="1404">
                  <c:v>135.70334590328454</c:v>
                </c:pt>
                <c:pt idx="1405">
                  <c:v>136.10159351715885</c:v>
                </c:pt>
                <c:pt idx="1406">
                  <c:v>138.16920851649266</c:v>
                </c:pt>
                <c:pt idx="1407">
                  <c:v>136.88420088591465</c:v>
                </c:pt>
                <c:pt idx="1408">
                  <c:v>136.30174291938997</c:v>
                </c:pt>
                <c:pt idx="1409">
                  <c:v>136.27672070300653</c:v>
                </c:pt>
                <c:pt idx="1410">
                  <c:v>136.27672070300653</c:v>
                </c:pt>
                <c:pt idx="1411">
                  <c:v>136.27672070300653</c:v>
                </c:pt>
                <c:pt idx="1412">
                  <c:v>136.27672070300653</c:v>
                </c:pt>
                <c:pt idx="1413">
                  <c:v>136.27672070300653</c:v>
                </c:pt>
                <c:pt idx="1414">
                  <c:v>136.27672070300653</c:v>
                </c:pt>
                <c:pt idx="1415">
                  <c:v>137.66354561294133</c:v>
                </c:pt>
                <c:pt idx="1416">
                  <c:v>138.47397944560467</c:v>
                </c:pt>
                <c:pt idx="1417">
                  <c:v>138.47397944560467</c:v>
                </c:pt>
                <c:pt idx="1418">
                  <c:v>137.63474320654038</c:v>
                </c:pt>
                <c:pt idx="1419">
                  <c:v>136.38441972290713</c:v>
                </c:pt>
                <c:pt idx="1420">
                  <c:v>136.78357287857241</c:v>
                </c:pt>
                <c:pt idx="1421">
                  <c:v>139.92207729571078</c:v>
                </c:pt>
                <c:pt idx="1422">
                  <c:v>136.22664543495446</c:v>
                </c:pt>
                <c:pt idx="1423">
                  <c:v>136.59605041515459</c:v>
                </c:pt>
                <c:pt idx="1424">
                  <c:v>136.59605041515459</c:v>
                </c:pt>
                <c:pt idx="1425">
                  <c:v>136.59605041515459</c:v>
                </c:pt>
                <c:pt idx="1426">
                  <c:v>140.22002726290361</c:v>
                </c:pt>
                <c:pt idx="1427">
                  <c:v>141.29087170090233</c:v>
                </c:pt>
                <c:pt idx="1428">
                  <c:v>141.17729586651097</c:v>
                </c:pt>
                <c:pt idx="1429">
                  <c:v>142.22014333441641</c:v>
                </c:pt>
                <c:pt idx="1430">
                  <c:v>142.4839391555291</c:v>
                </c:pt>
                <c:pt idx="1431">
                  <c:v>142.4839391555291</c:v>
                </c:pt>
                <c:pt idx="1432">
                  <c:v>142.4839391555291</c:v>
                </c:pt>
                <c:pt idx="1433">
                  <c:v>142.41056442718073</c:v>
                </c:pt>
                <c:pt idx="1434">
                  <c:v>143.21774903803612</c:v>
                </c:pt>
                <c:pt idx="1435">
                  <c:v>144.05100190453035</c:v>
                </c:pt>
                <c:pt idx="1436">
                  <c:v>141.2314644813961</c:v>
                </c:pt>
                <c:pt idx="1437">
                  <c:v>139.36634425536232</c:v>
                </c:pt>
                <c:pt idx="1438">
                  <c:v>139.36634425536232</c:v>
                </c:pt>
                <c:pt idx="1439">
                  <c:v>139.36634425536232</c:v>
                </c:pt>
                <c:pt idx="1440">
                  <c:v>138.43123380454128</c:v>
                </c:pt>
                <c:pt idx="1441">
                  <c:v>137.35803892032524</c:v>
                </c:pt>
                <c:pt idx="1442">
                  <c:v>139.29778872406033</c:v>
                </c:pt>
                <c:pt idx="1443">
                  <c:v>134.2765074265229</c:v>
                </c:pt>
                <c:pt idx="1444">
                  <c:v>133.39689698728898</c:v>
                </c:pt>
                <c:pt idx="1445">
                  <c:v>133.39689698728898</c:v>
                </c:pt>
                <c:pt idx="1446">
                  <c:v>133.39689698728898</c:v>
                </c:pt>
                <c:pt idx="1447">
                  <c:v>134.96751473055772</c:v>
                </c:pt>
                <c:pt idx="1448">
                  <c:v>136.68511660109164</c:v>
                </c:pt>
                <c:pt idx="1449">
                  <c:v>136.68511660109164</c:v>
                </c:pt>
                <c:pt idx="1450">
                  <c:v>137.32880429513884</c:v>
                </c:pt>
                <c:pt idx="1451">
                  <c:v>136.30174291938997</c:v>
                </c:pt>
                <c:pt idx="1452">
                  <c:v>136.30174291938997</c:v>
                </c:pt>
                <c:pt idx="1453">
                  <c:v>136.30174291938997</c:v>
                </c:pt>
                <c:pt idx="1454">
                  <c:v>133.05533917022601</c:v>
                </c:pt>
                <c:pt idx="1455">
                  <c:v>134.97553457691697</c:v>
                </c:pt>
                <c:pt idx="1456">
                  <c:v>131.28555142444034</c:v>
                </c:pt>
                <c:pt idx="1457">
                  <c:v>131.28555142444034</c:v>
                </c:pt>
                <c:pt idx="1458">
                  <c:v>131.28555142444034</c:v>
                </c:pt>
                <c:pt idx="1459">
                  <c:v>131.28555142444034</c:v>
                </c:pt>
                <c:pt idx="1460">
                  <c:v>131.28555142444034</c:v>
                </c:pt>
                <c:pt idx="1461">
                  <c:v>131.28555142444034</c:v>
                </c:pt>
                <c:pt idx="1462">
                  <c:v>131.28555142444034</c:v>
                </c:pt>
                <c:pt idx="1463">
                  <c:v>131.28555142444034</c:v>
                </c:pt>
                <c:pt idx="1464">
                  <c:v>131.28555142444034</c:v>
                </c:pt>
                <c:pt idx="1465">
                  <c:v>129.02985179697791</c:v>
                </c:pt>
                <c:pt idx="1466">
                  <c:v>129.02985179697791</c:v>
                </c:pt>
                <c:pt idx="1467">
                  <c:v>129.02985179697791</c:v>
                </c:pt>
                <c:pt idx="1468">
                  <c:v>131.83343608264616</c:v>
                </c:pt>
                <c:pt idx="1469">
                  <c:v>133.0423235347414</c:v>
                </c:pt>
                <c:pt idx="1470">
                  <c:v>133.12764649910253</c:v>
                </c:pt>
                <c:pt idx="1471">
                  <c:v>140.01022381699372</c:v>
                </c:pt>
                <c:pt idx="1472">
                  <c:v>144.06311178715796</c:v>
                </c:pt>
                <c:pt idx="1473">
                  <c:v>144.06311178715796</c:v>
                </c:pt>
                <c:pt idx="1474">
                  <c:v>144.06311178715796</c:v>
                </c:pt>
                <c:pt idx="1475">
                  <c:v>144.78948041801763</c:v>
                </c:pt>
                <c:pt idx="1476">
                  <c:v>142.24940573488288</c:v>
                </c:pt>
                <c:pt idx="1477">
                  <c:v>140.85357230228726</c:v>
                </c:pt>
                <c:pt idx="1478">
                  <c:v>144.07832885013727</c:v>
                </c:pt>
                <c:pt idx="1479">
                  <c:v>142.67506777997264</c:v>
                </c:pt>
                <c:pt idx="1480">
                  <c:v>142.67506777997264</c:v>
                </c:pt>
                <c:pt idx="1481">
                  <c:v>142.67506777997264</c:v>
                </c:pt>
                <c:pt idx="1482">
                  <c:v>144.16517271010264</c:v>
                </c:pt>
                <c:pt idx="1483">
                  <c:v>144.19489136042429</c:v>
                </c:pt>
                <c:pt idx="1484">
                  <c:v>148.15195241120543</c:v>
                </c:pt>
                <c:pt idx="1485">
                  <c:v>145.78538308789513</c:v>
                </c:pt>
                <c:pt idx="1486">
                  <c:v>141.65394903099821</c:v>
                </c:pt>
                <c:pt idx="1487">
                  <c:v>141.65394903099821</c:v>
                </c:pt>
                <c:pt idx="1488">
                  <c:v>141.65394903099821</c:v>
                </c:pt>
                <c:pt idx="1489">
                  <c:v>136.78006862516571</c:v>
                </c:pt>
                <c:pt idx="1490">
                  <c:v>133.25642731234777</c:v>
                </c:pt>
                <c:pt idx="1491">
                  <c:v>132.45735990014168</c:v>
                </c:pt>
                <c:pt idx="1492">
                  <c:v>132.24466445792916</c:v>
                </c:pt>
                <c:pt idx="1493">
                  <c:v>130.31351687765419</c:v>
                </c:pt>
                <c:pt idx="1494">
                  <c:v>130.31351687765419</c:v>
                </c:pt>
                <c:pt idx="1495">
                  <c:v>130.31351687765419</c:v>
                </c:pt>
                <c:pt idx="1496">
                  <c:v>129.20072344501165</c:v>
                </c:pt>
                <c:pt idx="1497">
                  <c:v>130.06057467686949</c:v>
                </c:pt>
                <c:pt idx="1498">
                  <c:v>133.31960768292385</c:v>
                </c:pt>
                <c:pt idx="1499">
                  <c:v>133.38284799286365</c:v>
                </c:pt>
                <c:pt idx="1500">
                  <c:v>132.60400054775437</c:v>
                </c:pt>
                <c:pt idx="1501">
                  <c:v>132.60400054775437</c:v>
                </c:pt>
                <c:pt idx="1502">
                  <c:v>132.60400054775437</c:v>
                </c:pt>
                <c:pt idx="1503">
                  <c:v>131.71039169179812</c:v>
                </c:pt>
                <c:pt idx="1504">
                  <c:v>130.34435718525242</c:v>
                </c:pt>
                <c:pt idx="1505">
                  <c:v>127.69677276902615</c:v>
                </c:pt>
                <c:pt idx="1506">
                  <c:v>125.86209387672534</c:v>
                </c:pt>
                <c:pt idx="1507">
                  <c:v>125.86209387672534</c:v>
                </c:pt>
                <c:pt idx="1508">
                  <c:v>125.86209387672534</c:v>
                </c:pt>
                <c:pt idx="1509">
                  <c:v>125.86209387672534</c:v>
                </c:pt>
                <c:pt idx="1510">
                  <c:v>123.28592365480353</c:v>
                </c:pt>
                <c:pt idx="1511">
                  <c:v>122.32200546818564</c:v>
                </c:pt>
                <c:pt idx="1512">
                  <c:v>122.80819893727428</c:v>
                </c:pt>
                <c:pt idx="1513">
                  <c:v>124.32451109787385</c:v>
                </c:pt>
                <c:pt idx="1514">
                  <c:v>123.8218360893014</c:v>
                </c:pt>
                <c:pt idx="1515">
                  <c:v>123.8218360893014</c:v>
                </c:pt>
                <c:pt idx="1516">
                  <c:v>123.8218360893014</c:v>
                </c:pt>
                <c:pt idx="1517">
                  <c:v>122.15462562557322</c:v>
                </c:pt>
                <c:pt idx="1518">
                  <c:v>121.83031257457471</c:v>
                </c:pt>
                <c:pt idx="1519">
                  <c:v>122.15054891266345</c:v>
                </c:pt>
                <c:pt idx="1520">
                  <c:v>123.1335969573323</c:v>
                </c:pt>
                <c:pt idx="1521">
                  <c:v>124.93171585598458</c:v>
                </c:pt>
                <c:pt idx="1522">
                  <c:v>124.93171585598458</c:v>
                </c:pt>
                <c:pt idx="1523">
                  <c:v>124.93171585598458</c:v>
                </c:pt>
                <c:pt idx="1524">
                  <c:v>125.0279634657761</c:v>
                </c:pt>
                <c:pt idx="1525">
                  <c:v>123.05563313627823</c:v>
                </c:pt>
                <c:pt idx="1526">
                  <c:v>123.35545605269948</c:v>
                </c:pt>
                <c:pt idx="1527">
                  <c:v>123.33901139933469</c:v>
                </c:pt>
                <c:pt idx="1528">
                  <c:v>123.03103348948625</c:v>
                </c:pt>
                <c:pt idx="1529">
                  <c:v>123.03103348948625</c:v>
                </c:pt>
                <c:pt idx="1530">
                  <c:v>123.03103348948625</c:v>
                </c:pt>
                <c:pt idx="1531">
                  <c:v>122.7273280017934</c:v>
                </c:pt>
                <c:pt idx="1532">
                  <c:v>123.0638352047404</c:v>
                </c:pt>
                <c:pt idx="1533">
                  <c:v>124.5478374836174</c:v>
                </c:pt>
                <c:pt idx="1534">
                  <c:v>126.81649152198197</c:v>
                </c:pt>
                <c:pt idx="1535">
                  <c:v>125.39534228391982</c:v>
                </c:pt>
                <c:pt idx="1536">
                  <c:v>125.39534228391982</c:v>
                </c:pt>
                <c:pt idx="1537">
                  <c:v>125.39534228391982</c:v>
                </c:pt>
                <c:pt idx="1538">
                  <c:v>122.61160096672373</c:v>
                </c:pt>
                <c:pt idx="1539">
                  <c:v>127.252807399253</c:v>
                </c:pt>
                <c:pt idx="1540">
                  <c:v>126.9645378581038</c:v>
                </c:pt>
                <c:pt idx="1541">
                  <c:v>128.57513412791047</c:v>
                </c:pt>
                <c:pt idx="1542">
                  <c:v>132.50528349843989</c:v>
                </c:pt>
                <c:pt idx="1543">
                  <c:v>132.50528349843989</c:v>
                </c:pt>
                <c:pt idx="1544">
                  <c:v>132.50528349843989</c:v>
                </c:pt>
                <c:pt idx="1545">
                  <c:v>131.54139763063043</c:v>
                </c:pt>
                <c:pt idx="1546">
                  <c:v>131.48062441673221</c:v>
                </c:pt>
                <c:pt idx="1547">
                  <c:v>131.78625008930069</c:v>
                </c:pt>
                <c:pt idx="1548">
                  <c:v>128.99312399761243</c:v>
                </c:pt>
                <c:pt idx="1549">
                  <c:v>130.73303753004259</c:v>
                </c:pt>
                <c:pt idx="1550">
                  <c:v>130.73303753004259</c:v>
                </c:pt>
                <c:pt idx="1551">
                  <c:v>130.73303753004259</c:v>
                </c:pt>
                <c:pt idx="1552">
                  <c:v>128.80406522698095</c:v>
                </c:pt>
                <c:pt idx="1553">
                  <c:v>128.45654324740647</c:v>
                </c:pt>
                <c:pt idx="1554">
                  <c:v>129.71814413818598</c:v>
                </c:pt>
                <c:pt idx="1555">
                  <c:v>129.11756433497007</c:v>
                </c:pt>
                <c:pt idx="1556">
                  <c:v>129.75558296609009</c:v>
                </c:pt>
                <c:pt idx="1557">
                  <c:v>129.75558296609009</c:v>
                </c:pt>
                <c:pt idx="1558">
                  <c:v>129.75558296609009</c:v>
                </c:pt>
                <c:pt idx="1559">
                  <c:v>129.82727356671793</c:v>
                </c:pt>
                <c:pt idx="1560">
                  <c:v>130.76523928613955</c:v>
                </c:pt>
                <c:pt idx="1561">
                  <c:v>131.62645555283598</c:v>
                </c:pt>
                <c:pt idx="1562">
                  <c:v>129.08761758203465</c:v>
                </c:pt>
                <c:pt idx="1563">
                  <c:v>128.92491671175853</c:v>
                </c:pt>
                <c:pt idx="1564">
                  <c:v>128.92491671175853</c:v>
                </c:pt>
                <c:pt idx="1565">
                  <c:v>128.92491671175853</c:v>
                </c:pt>
                <c:pt idx="1566">
                  <c:v>129.96499850469681</c:v>
                </c:pt>
                <c:pt idx="1567">
                  <c:v>130.92582056239542</c:v>
                </c:pt>
                <c:pt idx="1568">
                  <c:v>131.09569765623897</c:v>
                </c:pt>
                <c:pt idx="1569">
                  <c:v>130.96539679384321</c:v>
                </c:pt>
                <c:pt idx="1570">
                  <c:v>129.00619797457577</c:v>
                </c:pt>
                <c:pt idx="1571">
                  <c:v>129.00619797457577</c:v>
                </c:pt>
                <c:pt idx="1572">
                  <c:v>129.00619797457577</c:v>
                </c:pt>
                <c:pt idx="1573">
                  <c:v>127.06643501334536</c:v>
                </c:pt>
                <c:pt idx="1574">
                  <c:v>127.95692212025627</c:v>
                </c:pt>
                <c:pt idx="1575">
                  <c:v>127.97384036599982</c:v>
                </c:pt>
                <c:pt idx="1576">
                  <c:v>128.55828941074628</c:v>
                </c:pt>
                <c:pt idx="1577">
                  <c:v>127.8359802365494</c:v>
                </c:pt>
                <c:pt idx="1578">
                  <c:v>127.8359802365494</c:v>
                </c:pt>
                <c:pt idx="1579">
                  <c:v>127.8359802365494</c:v>
                </c:pt>
                <c:pt idx="1580">
                  <c:v>128.69872516004472</c:v>
                </c:pt>
                <c:pt idx="1581">
                  <c:v>127.97571945771634</c:v>
                </c:pt>
                <c:pt idx="1582">
                  <c:v>126.93166572262702</c:v>
                </c:pt>
                <c:pt idx="1583">
                  <c:v>128.44511288542867</c:v>
                </c:pt>
                <c:pt idx="1584">
                  <c:v>128.32427657053162</c:v>
                </c:pt>
                <c:pt idx="1585">
                  <c:v>128.32427657053162</c:v>
                </c:pt>
                <c:pt idx="1586">
                  <c:v>128.32427657053162</c:v>
                </c:pt>
                <c:pt idx="1587">
                  <c:v>127.96724171802845</c:v>
                </c:pt>
                <c:pt idx="1588">
                  <c:v>125.45118372080275</c:v>
                </c:pt>
                <c:pt idx="1589">
                  <c:v>120.2497678543119</c:v>
                </c:pt>
                <c:pt idx="1590">
                  <c:v>120.2497678543119</c:v>
                </c:pt>
                <c:pt idx="1591">
                  <c:v>120.2497678543119</c:v>
                </c:pt>
                <c:pt idx="1592">
                  <c:v>120.2497678543119</c:v>
                </c:pt>
                <c:pt idx="1593">
                  <c:v>120.2497678543119</c:v>
                </c:pt>
                <c:pt idx="1594">
                  <c:v>120.35280285181416</c:v>
                </c:pt>
                <c:pt idx="1595">
                  <c:v>118.95132963721105</c:v>
                </c:pt>
                <c:pt idx="1596">
                  <c:v>118.95132963721105</c:v>
                </c:pt>
                <c:pt idx="1597">
                  <c:v>118.00620695705572</c:v>
                </c:pt>
                <c:pt idx="1598">
                  <c:v>116.18275603199559</c:v>
                </c:pt>
                <c:pt idx="1599">
                  <c:v>116.18275603199559</c:v>
                </c:pt>
                <c:pt idx="1600">
                  <c:v>116.16742697489468</c:v>
                </c:pt>
                <c:pt idx="1601">
                  <c:v>114.53887060112189</c:v>
                </c:pt>
                <c:pt idx="1602">
                  <c:v>115.4158693841233</c:v>
                </c:pt>
                <c:pt idx="1603">
                  <c:v>115.04609848904114</c:v>
                </c:pt>
                <c:pt idx="1604">
                  <c:v>116.94101508916323</c:v>
                </c:pt>
                <c:pt idx="1605">
                  <c:v>117.82352488256294</c:v>
                </c:pt>
                <c:pt idx="1606">
                  <c:v>117.82352488256294</c:v>
                </c:pt>
                <c:pt idx="1607">
                  <c:v>117.82352488256294</c:v>
                </c:pt>
                <c:pt idx="1608">
                  <c:v>119.07688597761805</c:v>
                </c:pt>
                <c:pt idx="1609">
                  <c:v>119.65542664078193</c:v>
                </c:pt>
                <c:pt idx="1610">
                  <c:v>119.87437162931209</c:v>
                </c:pt>
                <c:pt idx="1611">
                  <c:v>118.66959589549249</c:v>
                </c:pt>
                <c:pt idx="1612">
                  <c:v>118.22719116326095</c:v>
                </c:pt>
                <c:pt idx="1613">
                  <c:v>118.22719116326095</c:v>
                </c:pt>
                <c:pt idx="1614">
                  <c:v>118.22719116326095</c:v>
                </c:pt>
                <c:pt idx="1615">
                  <c:v>118.12895992330341</c:v>
                </c:pt>
                <c:pt idx="1616">
                  <c:v>118.06267860467685</c:v>
                </c:pt>
                <c:pt idx="1617">
                  <c:v>118.72282710753743</c:v>
                </c:pt>
                <c:pt idx="1618">
                  <c:v>117.63468013468021</c:v>
                </c:pt>
                <c:pt idx="1619">
                  <c:v>118.2437623703336</c:v>
                </c:pt>
                <c:pt idx="1620">
                  <c:v>118.2437623703336</c:v>
                </c:pt>
                <c:pt idx="1621">
                  <c:v>118.2437623703336</c:v>
                </c:pt>
                <c:pt idx="1622">
                  <c:v>117.89397773967949</c:v>
                </c:pt>
                <c:pt idx="1623">
                  <c:v>117.34920652509835</c:v>
                </c:pt>
                <c:pt idx="1624">
                  <c:v>117.99197062880312</c:v>
                </c:pt>
                <c:pt idx="1625">
                  <c:v>117.64306165802432</c:v>
                </c:pt>
                <c:pt idx="1626">
                  <c:v>116.98936631669822</c:v>
                </c:pt>
                <c:pt idx="1627">
                  <c:v>116.98936631669822</c:v>
                </c:pt>
                <c:pt idx="1628">
                  <c:v>116.98936631669822</c:v>
                </c:pt>
                <c:pt idx="1629">
                  <c:v>116.6986276416675</c:v>
                </c:pt>
                <c:pt idx="1630">
                  <c:v>117.40882957906349</c:v>
                </c:pt>
                <c:pt idx="1631">
                  <c:v>116.42140040801448</c:v>
                </c:pt>
                <c:pt idx="1632">
                  <c:v>116.67267517978115</c:v>
                </c:pt>
                <c:pt idx="1633">
                  <c:v>117.58050843657834</c:v>
                </c:pt>
                <c:pt idx="1634">
                  <c:v>117.58050843657834</c:v>
                </c:pt>
                <c:pt idx="1635">
                  <c:v>117.58050843657834</c:v>
                </c:pt>
                <c:pt idx="1636">
                  <c:v>116.72833178405088</c:v>
                </c:pt>
                <c:pt idx="1637">
                  <c:v>115.81039603008554</c:v>
                </c:pt>
                <c:pt idx="1638">
                  <c:v>115.25395514660586</c:v>
                </c:pt>
                <c:pt idx="1639">
                  <c:v>113.52202147232997</c:v>
                </c:pt>
                <c:pt idx="1640">
                  <c:v>114.05500529659164</c:v>
                </c:pt>
                <c:pt idx="1641">
                  <c:v>114.05500529659164</c:v>
                </c:pt>
                <c:pt idx="1642">
                  <c:v>114.05500529659164</c:v>
                </c:pt>
                <c:pt idx="1643">
                  <c:v>114.8752604996006</c:v>
                </c:pt>
                <c:pt idx="1644">
                  <c:v>114.31959808679592</c:v>
                </c:pt>
                <c:pt idx="1645">
                  <c:v>114.9435347744798</c:v>
                </c:pt>
                <c:pt idx="1646">
                  <c:v>113.34340411710554</c:v>
                </c:pt>
                <c:pt idx="1647">
                  <c:v>113.96476000689375</c:v>
                </c:pt>
                <c:pt idx="1648">
                  <c:v>113.96476000689375</c:v>
                </c:pt>
                <c:pt idx="1649">
                  <c:v>113.96476000689375</c:v>
                </c:pt>
                <c:pt idx="1650">
                  <c:v>114.79192422937068</c:v>
                </c:pt>
                <c:pt idx="1651">
                  <c:v>115.52105585378226</c:v>
                </c:pt>
                <c:pt idx="1652">
                  <c:v>117.24153619739806</c:v>
                </c:pt>
                <c:pt idx="1653">
                  <c:v>116.29424391720011</c:v>
                </c:pt>
                <c:pt idx="1654">
                  <c:v>114.74360692826112</c:v>
                </c:pt>
                <c:pt idx="1655">
                  <c:v>114.74360692826112</c:v>
                </c:pt>
                <c:pt idx="1656">
                  <c:v>114.74360692826112</c:v>
                </c:pt>
                <c:pt idx="1657">
                  <c:v>114.98249615283214</c:v>
                </c:pt>
                <c:pt idx="1658">
                  <c:v>116.23653728916881</c:v>
                </c:pt>
                <c:pt idx="1659">
                  <c:v>114.053824871697</c:v>
                </c:pt>
                <c:pt idx="1660">
                  <c:v>115.54400781693073</c:v>
                </c:pt>
                <c:pt idx="1661">
                  <c:v>114.4328643090162</c:v>
                </c:pt>
                <c:pt idx="1662">
                  <c:v>114.4328643090162</c:v>
                </c:pt>
                <c:pt idx="1663">
                  <c:v>114.4328643090162</c:v>
                </c:pt>
                <c:pt idx="1664">
                  <c:v>115.91762078667711</c:v>
                </c:pt>
                <c:pt idx="1665">
                  <c:v>114.66386585520871</c:v>
                </c:pt>
                <c:pt idx="1666">
                  <c:v>114.75786695829559</c:v>
                </c:pt>
                <c:pt idx="1667">
                  <c:v>115.03357703041226</c:v>
                </c:pt>
                <c:pt idx="1668">
                  <c:v>114.39208379928682</c:v>
                </c:pt>
                <c:pt idx="1669">
                  <c:v>114.39208379928682</c:v>
                </c:pt>
                <c:pt idx="1670">
                  <c:v>114.39208379928682</c:v>
                </c:pt>
                <c:pt idx="1671">
                  <c:v>115.1674065452443</c:v>
                </c:pt>
                <c:pt idx="1672">
                  <c:v>114.87451825723436</c:v>
                </c:pt>
                <c:pt idx="1673">
                  <c:v>114.70492913044568</c:v>
                </c:pt>
                <c:pt idx="1674">
                  <c:v>113.98114077478527</c:v>
                </c:pt>
                <c:pt idx="1675">
                  <c:v>114.5160689563638</c:v>
                </c:pt>
                <c:pt idx="1676">
                  <c:v>114.5160689563638</c:v>
                </c:pt>
                <c:pt idx="1677">
                  <c:v>114.5160689563638</c:v>
                </c:pt>
                <c:pt idx="1678">
                  <c:v>114.92748895173067</c:v>
                </c:pt>
                <c:pt idx="1679">
                  <c:v>112.8958725065019</c:v>
                </c:pt>
                <c:pt idx="1680">
                  <c:v>112.96663727219278</c:v>
                </c:pt>
                <c:pt idx="1681">
                  <c:v>109.76946829279117</c:v>
                </c:pt>
                <c:pt idx="1682">
                  <c:v>109.70478386834053</c:v>
                </c:pt>
                <c:pt idx="1683">
                  <c:v>109.70478386834053</c:v>
                </c:pt>
                <c:pt idx="1684">
                  <c:v>109.70478386834053</c:v>
                </c:pt>
                <c:pt idx="1685">
                  <c:v>110.39157280613283</c:v>
                </c:pt>
                <c:pt idx="1686">
                  <c:v>111.26563387659742</c:v>
                </c:pt>
                <c:pt idx="1687">
                  <c:v>110.37464021927113</c:v>
                </c:pt>
                <c:pt idx="1688">
                  <c:v>111.40089502748829</c:v>
                </c:pt>
                <c:pt idx="1689">
                  <c:v>111.50706241444979</c:v>
                </c:pt>
                <c:pt idx="1690">
                  <c:v>111.50706241444979</c:v>
                </c:pt>
                <c:pt idx="1691">
                  <c:v>111.50706241444979</c:v>
                </c:pt>
                <c:pt idx="1692">
                  <c:v>112.44975513055438</c:v>
                </c:pt>
                <c:pt idx="1693">
                  <c:v>111.51439478745091</c:v>
                </c:pt>
                <c:pt idx="1694">
                  <c:v>113.30145243897462</c:v>
                </c:pt>
                <c:pt idx="1695">
                  <c:v>115.37779467380638</c:v>
                </c:pt>
                <c:pt idx="1696">
                  <c:v>116.19425547996973</c:v>
                </c:pt>
                <c:pt idx="1697">
                  <c:v>116.19425547996973</c:v>
                </c:pt>
                <c:pt idx="1698">
                  <c:v>116.19425547996973</c:v>
                </c:pt>
                <c:pt idx="1699">
                  <c:v>116.54940274258645</c:v>
                </c:pt>
                <c:pt idx="1700">
                  <c:v>115.15227434322135</c:v>
                </c:pt>
                <c:pt idx="1701">
                  <c:v>115.66002901799295</c:v>
                </c:pt>
                <c:pt idx="1702">
                  <c:v>114.19150045851435</c:v>
                </c:pt>
                <c:pt idx="1703">
                  <c:v>113.33130986105495</c:v>
                </c:pt>
                <c:pt idx="1704">
                  <c:v>113.33130986105495</c:v>
                </c:pt>
                <c:pt idx="1705">
                  <c:v>113.33130986105495</c:v>
                </c:pt>
                <c:pt idx="1706">
                  <c:v>111.83529068176237</c:v>
                </c:pt>
                <c:pt idx="1707">
                  <c:v>111.63708927525529</c:v>
                </c:pt>
                <c:pt idx="1708">
                  <c:v>112.02412659173358</c:v>
                </c:pt>
                <c:pt idx="1709">
                  <c:v>111.9290089098094</c:v>
                </c:pt>
                <c:pt idx="1710">
                  <c:v>114.62244499769008</c:v>
                </c:pt>
                <c:pt idx="1711">
                  <c:v>114.62244499769008</c:v>
                </c:pt>
                <c:pt idx="1712">
                  <c:v>114.62244499769008</c:v>
                </c:pt>
                <c:pt idx="1713">
                  <c:v>115.12102792254298</c:v>
                </c:pt>
                <c:pt idx="1714">
                  <c:v>114.08667655144431</c:v>
                </c:pt>
                <c:pt idx="1715">
                  <c:v>113.8644202106444</c:v>
                </c:pt>
                <c:pt idx="1716">
                  <c:v>114.67961900257724</c:v>
                </c:pt>
                <c:pt idx="1717">
                  <c:v>113.00794134432168</c:v>
                </c:pt>
                <c:pt idx="1718">
                  <c:v>113.00794134432168</c:v>
                </c:pt>
                <c:pt idx="1719">
                  <c:v>113.00794134432168</c:v>
                </c:pt>
                <c:pt idx="1720">
                  <c:v>111.90420802929526</c:v>
                </c:pt>
                <c:pt idx="1721">
                  <c:v>109.77828997509202</c:v>
                </c:pt>
                <c:pt idx="1722">
                  <c:v>111.88561681982736</c:v>
                </c:pt>
                <c:pt idx="1723">
                  <c:v>111.88561681982736</c:v>
                </c:pt>
                <c:pt idx="1724">
                  <c:v>111.88561681982736</c:v>
                </c:pt>
                <c:pt idx="1725">
                  <c:v>111.88561681982736</c:v>
                </c:pt>
                <c:pt idx="1726">
                  <c:v>111.88561681982736</c:v>
                </c:pt>
                <c:pt idx="1727">
                  <c:v>111.97491100723349</c:v>
                </c:pt>
                <c:pt idx="1728">
                  <c:v>110.85017508899202</c:v>
                </c:pt>
                <c:pt idx="1729">
                  <c:v>110.66119569520927</c:v>
                </c:pt>
                <c:pt idx="1730">
                  <c:v>111.25188097665162</c:v>
                </c:pt>
                <c:pt idx="1731">
                  <c:v>110.10772367512722</c:v>
                </c:pt>
                <c:pt idx="1732">
                  <c:v>110.10772367512722</c:v>
                </c:pt>
                <c:pt idx="1733">
                  <c:v>110.10772367512722</c:v>
                </c:pt>
                <c:pt idx="1734">
                  <c:v>109.6186740827293</c:v>
                </c:pt>
                <c:pt idx="1735">
                  <c:v>110.1798843423732</c:v>
                </c:pt>
                <c:pt idx="1736">
                  <c:v>110.55270793232313</c:v>
                </c:pt>
                <c:pt idx="1737">
                  <c:v>111.58610529260862</c:v>
                </c:pt>
                <c:pt idx="1738">
                  <c:v>111.05359827812198</c:v>
                </c:pt>
                <c:pt idx="1739">
                  <c:v>111.05359827812198</c:v>
                </c:pt>
                <c:pt idx="1740">
                  <c:v>111.05359827812198</c:v>
                </c:pt>
                <c:pt idx="1741">
                  <c:v>112.07766781861149</c:v>
                </c:pt>
                <c:pt idx="1742">
                  <c:v>110.53495784673252</c:v>
                </c:pt>
                <c:pt idx="1743">
                  <c:v>109.49901887484586</c:v>
                </c:pt>
                <c:pt idx="1744">
                  <c:v>109.26090891429709</c:v>
                </c:pt>
                <c:pt idx="1745">
                  <c:v>106.48893483663132</c:v>
                </c:pt>
                <c:pt idx="1746">
                  <c:v>106.48893483663132</c:v>
                </c:pt>
                <c:pt idx="1747">
                  <c:v>106.48893483663132</c:v>
                </c:pt>
                <c:pt idx="1748">
                  <c:v>106.94640109920519</c:v>
                </c:pt>
                <c:pt idx="1749">
                  <c:v>107.22767034771836</c:v>
                </c:pt>
                <c:pt idx="1750">
                  <c:v>106.41888232027065</c:v>
                </c:pt>
                <c:pt idx="1751">
                  <c:v>104.78455296305937</c:v>
                </c:pt>
                <c:pt idx="1752">
                  <c:v>104.91658907449613</c:v>
                </c:pt>
                <c:pt idx="1753">
                  <c:v>104.91658907449613</c:v>
                </c:pt>
                <c:pt idx="1754">
                  <c:v>104.91658907449613</c:v>
                </c:pt>
                <c:pt idx="1755">
                  <c:v>104.13854262534106</c:v>
                </c:pt>
                <c:pt idx="1756">
                  <c:v>103.1928789243878</c:v>
                </c:pt>
                <c:pt idx="1757">
                  <c:v>103.64021725848114</c:v>
                </c:pt>
                <c:pt idx="1758">
                  <c:v>102.16736730686216</c:v>
                </c:pt>
                <c:pt idx="1759">
                  <c:v>101.78716271257025</c:v>
                </c:pt>
                <c:pt idx="1760">
                  <c:v>101.78716271257025</c:v>
                </c:pt>
                <c:pt idx="1761">
                  <c:v>101.78716271257025</c:v>
                </c:pt>
                <c:pt idx="1762">
                  <c:v>100.10087888596557</c:v>
                </c:pt>
                <c:pt idx="1763">
                  <c:v>99.797105611250345</c:v>
                </c:pt>
                <c:pt idx="1764">
                  <c:v>100.6494258427778</c:v>
                </c:pt>
                <c:pt idx="1765">
                  <c:v>100.56377205239716</c:v>
                </c:pt>
                <c:pt idx="1766">
                  <c:v>101.22477200144861</c:v>
                </c:pt>
                <c:pt idx="1767">
                  <c:v>101.22477200144861</c:v>
                </c:pt>
                <c:pt idx="1768">
                  <c:v>101.22477200144861</c:v>
                </c:pt>
                <c:pt idx="1769">
                  <c:v>102.79386204976039</c:v>
                </c:pt>
                <c:pt idx="1770">
                  <c:v>102.24880348617471</c:v>
                </c:pt>
                <c:pt idx="1771">
                  <c:v>101.39789803323526</c:v>
                </c:pt>
                <c:pt idx="1772">
                  <c:v>100.90983041454815</c:v>
                </c:pt>
                <c:pt idx="1773">
                  <c:v>101.53043564258523</c:v>
                </c:pt>
                <c:pt idx="1774">
                  <c:v>101.53043564258523</c:v>
                </c:pt>
                <c:pt idx="1775">
                  <c:v>101.53043564258523</c:v>
                </c:pt>
                <c:pt idx="1776">
                  <c:v>102.00622120626053</c:v>
                </c:pt>
                <c:pt idx="1777">
                  <c:v>103.36028915452793</c:v>
                </c:pt>
                <c:pt idx="1778">
                  <c:v>101.41843971631207</c:v>
                </c:pt>
                <c:pt idx="1779">
                  <c:v>101.41843971631207</c:v>
                </c:pt>
                <c:pt idx="1780">
                  <c:v>101.41843971631207</c:v>
                </c:pt>
                <c:pt idx="1781">
                  <c:v>101.41843971631207</c:v>
                </c:pt>
                <c:pt idx="1782">
                  <c:v>101.41843971631207</c:v>
                </c:pt>
                <c:pt idx="1783">
                  <c:v>102.78368712610498</c:v>
                </c:pt>
                <c:pt idx="1784">
                  <c:v>103.2846387526273</c:v>
                </c:pt>
                <c:pt idx="1785">
                  <c:v>104.59749336241131</c:v>
                </c:pt>
                <c:pt idx="1786">
                  <c:v>103.85949859634064</c:v>
                </c:pt>
                <c:pt idx="1787">
                  <c:v>103.12986382509499</c:v>
                </c:pt>
                <c:pt idx="1788">
                  <c:v>103.12986382509499</c:v>
                </c:pt>
                <c:pt idx="1789">
                  <c:v>103.12986382509499</c:v>
                </c:pt>
                <c:pt idx="1790">
                  <c:v>103.3320983833097</c:v>
                </c:pt>
                <c:pt idx="1791">
                  <c:v>103.27107549056365</c:v>
                </c:pt>
                <c:pt idx="1792">
                  <c:v>104.02043530425227</c:v>
                </c:pt>
                <c:pt idx="1793">
                  <c:v>102.58061082119296</c:v>
                </c:pt>
                <c:pt idx="1794">
                  <c:v>102.07641357290747</c:v>
                </c:pt>
                <c:pt idx="1795">
                  <c:v>102.07641357290747</c:v>
                </c:pt>
                <c:pt idx="1796">
                  <c:v>102.07641357290747</c:v>
                </c:pt>
                <c:pt idx="1797">
                  <c:v>101.37319019210858</c:v>
                </c:pt>
                <c:pt idx="1798">
                  <c:v>99.482948930417507</c:v>
                </c:pt>
                <c:pt idx="1799">
                  <c:v>97.767171148326582</c:v>
                </c:pt>
                <c:pt idx="1800">
                  <c:v>98.128279282660316</c:v>
                </c:pt>
                <c:pt idx="1801">
                  <c:v>96.20130920366185</c:v>
                </c:pt>
                <c:pt idx="1802">
                  <c:v>96.20130920366185</c:v>
                </c:pt>
                <c:pt idx="1803">
                  <c:v>96.20130920366185</c:v>
                </c:pt>
                <c:pt idx="1804">
                  <c:v>96.794195473525974</c:v>
                </c:pt>
                <c:pt idx="1805">
                  <c:v>98.461421215912253</c:v>
                </c:pt>
                <c:pt idx="1806">
                  <c:v>97.798243876675272</c:v>
                </c:pt>
                <c:pt idx="1807">
                  <c:v>96.400142847745002</c:v>
                </c:pt>
                <c:pt idx="1808">
                  <c:v>96.816018280632022</c:v>
                </c:pt>
                <c:pt idx="1809">
                  <c:v>96.816018280632022</c:v>
                </c:pt>
                <c:pt idx="1810">
                  <c:v>96.816018280632022</c:v>
                </c:pt>
                <c:pt idx="1811">
                  <c:v>97.928550108373415</c:v>
                </c:pt>
                <c:pt idx="1812">
                  <c:v>98.37750073801584</c:v>
                </c:pt>
                <c:pt idx="1813">
                  <c:v>100.30995106035883</c:v>
                </c:pt>
                <c:pt idx="1814">
                  <c:v>100.30995106035883</c:v>
                </c:pt>
                <c:pt idx="1815">
                  <c:v>100.30995106035883</c:v>
                </c:pt>
                <c:pt idx="1816">
                  <c:v>100.30995106035883</c:v>
                </c:pt>
                <c:pt idx="1817">
                  <c:v>100.30995106035883</c:v>
                </c:pt>
                <c:pt idx="1818">
                  <c:v>99.816614652226605</c:v>
                </c:pt>
                <c:pt idx="1819">
                  <c:v>99.664133718477743</c:v>
                </c:pt>
                <c:pt idx="1820">
                  <c:v>100.42457665682802</c:v>
                </c:pt>
                <c:pt idx="1821">
                  <c:v>100.40500262375973</c:v>
                </c:pt>
                <c:pt idx="1822">
                  <c:v>99.790670353293763</c:v>
                </c:pt>
                <c:pt idx="1823">
                  <c:v>99.790670353293763</c:v>
                </c:pt>
                <c:pt idx="1824">
                  <c:v>99.790670353293763</c:v>
                </c:pt>
                <c:pt idx="1825">
                  <c:v>99.889535072614535</c:v>
                </c:pt>
                <c:pt idx="1826">
                  <c:v>100</c:v>
                </c:pt>
              </c:numCache>
            </c:numRef>
          </c:val>
          <c:smooth val="0"/>
          <c:extLst>
            <c:ext xmlns:c16="http://schemas.microsoft.com/office/drawing/2014/chart" uri="{C3380CC4-5D6E-409C-BE32-E72D297353CC}">
              <c16:uniqueId val="{00000003-7F42-4D4F-88A4-F1EFF1B99B9D}"/>
            </c:ext>
          </c:extLst>
        </c:ser>
        <c:ser>
          <c:idx val="4"/>
          <c:order val="4"/>
          <c:tx>
            <c:strRef>
              <c:f>[32]Indexed!$G$3</c:f>
              <c:strCache>
                <c:ptCount val="1"/>
                <c:pt idx="0">
                  <c:v>Broadcom Inc</c:v>
                </c:pt>
              </c:strCache>
            </c:strRef>
          </c:tx>
          <c:spPr>
            <a:ln w="28575" cap="rnd">
              <a:solidFill>
                <a:schemeClr val="accent5"/>
              </a:solidFill>
              <a:round/>
            </a:ln>
            <a:effectLst/>
          </c:spPr>
          <c:marker>
            <c:symbol val="none"/>
          </c:marker>
          <c:cat>
            <c:numRef>
              <c:f>[32]Indexed!$B$4:$B$1830</c:f>
              <c:numCache>
                <c:formatCode>General</c:formatCode>
                <c:ptCount val="1827"/>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c:v>43351</c:v>
                </c:pt>
                <c:pt idx="1257">
                  <c:v>43350</c:v>
                </c:pt>
                <c:pt idx="1258">
                  <c:v>43349</c:v>
                </c:pt>
                <c:pt idx="1259">
                  <c:v>43348</c:v>
                </c:pt>
                <c:pt idx="1260">
                  <c:v>43347</c:v>
                </c:pt>
                <c:pt idx="1261">
                  <c:v>43346</c:v>
                </c:pt>
                <c:pt idx="1262">
                  <c:v>43345</c:v>
                </c:pt>
                <c:pt idx="1263">
                  <c:v>43344</c:v>
                </c:pt>
                <c:pt idx="1264">
                  <c:v>43343</c:v>
                </c:pt>
                <c:pt idx="1265">
                  <c:v>43342</c:v>
                </c:pt>
                <c:pt idx="1266">
                  <c:v>43341</c:v>
                </c:pt>
                <c:pt idx="1267">
                  <c:v>43340</c:v>
                </c:pt>
                <c:pt idx="1268">
                  <c:v>43339</c:v>
                </c:pt>
                <c:pt idx="1269">
                  <c:v>43338</c:v>
                </c:pt>
                <c:pt idx="1270">
                  <c:v>43337</c:v>
                </c:pt>
                <c:pt idx="1271">
                  <c:v>43336</c:v>
                </c:pt>
                <c:pt idx="1272">
                  <c:v>43335</c:v>
                </c:pt>
                <c:pt idx="1273">
                  <c:v>43334</c:v>
                </c:pt>
                <c:pt idx="1274">
                  <c:v>43333</c:v>
                </c:pt>
                <c:pt idx="1275">
                  <c:v>43332</c:v>
                </c:pt>
                <c:pt idx="1276">
                  <c:v>43331</c:v>
                </c:pt>
                <c:pt idx="1277">
                  <c:v>43330</c:v>
                </c:pt>
                <c:pt idx="1278">
                  <c:v>43329</c:v>
                </c:pt>
                <c:pt idx="1279">
                  <c:v>43328</c:v>
                </c:pt>
                <c:pt idx="1280">
                  <c:v>43327</c:v>
                </c:pt>
                <c:pt idx="1281">
                  <c:v>43326</c:v>
                </c:pt>
                <c:pt idx="1282">
                  <c:v>43325</c:v>
                </c:pt>
                <c:pt idx="1283">
                  <c:v>43324</c:v>
                </c:pt>
                <c:pt idx="1284">
                  <c:v>43323</c:v>
                </c:pt>
                <c:pt idx="1285">
                  <c:v>43322</c:v>
                </c:pt>
                <c:pt idx="1286">
                  <c:v>43321</c:v>
                </c:pt>
                <c:pt idx="1287">
                  <c:v>43320</c:v>
                </c:pt>
                <c:pt idx="1288">
                  <c:v>43319</c:v>
                </c:pt>
                <c:pt idx="1289">
                  <c:v>43318</c:v>
                </c:pt>
                <c:pt idx="1290">
                  <c:v>43317</c:v>
                </c:pt>
                <c:pt idx="1291">
                  <c:v>43316</c:v>
                </c:pt>
                <c:pt idx="1292">
                  <c:v>43315</c:v>
                </c:pt>
                <c:pt idx="1293">
                  <c:v>43314</c:v>
                </c:pt>
                <c:pt idx="1294">
                  <c:v>43313</c:v>
                </c:pt>
                <c:pt idx="1295">
                  <c:v>43312</c:v>
                </c:pt>
                <c:pt idx="1296">
                  <c:v>43311</c:v>
                </c:pt>
                <c:pt idx="1297">
                  <c:v>43310</c:v>
                </c:pt>
                <c:pt idx="1298">
                  <c:v>43309</c:v>
                </c:pt>
                <c:pt idx="1299">
                  <c:v>43308</c:v>
                </c:pt>
                <c:pt idx="1300">
                  <c:v>43307</c:v>
                </c:pt>
                <c:pt idx="1301">
                  <c:v>43306</c:v>
                </c:pt>
                <c:pt idx="1302">
                  <c:v>43305</c:v>
                </c:pt>
                <c:pt idx="1303">
                  <c:v>43304</c:v>
                </c:pt>
                <c:pt idx="1304">
                  <c:v>43303</c:v>
                </c:pt>
                <c:pt idx="1305">
                  <c:v>43302</c:v>
                </c:pt>
                <c:pt idx="1306">
                  <c:v>43301</c:v>
                </c:pt>
                <c:pt idx="1307">
                  <c:v>43300</c:v>
                </c:pt>
                <c:pt idx="1308">
                  <c:v>43299</c:v>
                </c:pt>
                <c:pt idx="1309">
                  <c:v>43298</c:v>
                </c:pt>
                <c:pt idx="1310">
                  <c:v>43297</c:v>
                </c:pt>
                <c:pt idx="1311">
                  <c:v>43296</c:v>
                </c:pt>
                <c:pt idx="1312">
                  <c:v>43295</c:v>
                </c:pt>
                <c:pt idx="1313">
                  <c:v>43294</c:v>
                </c:pt>
                <c:pt idx="1314">
                  <c:v>43293</c:v>
                </c:pt>
                <c:pt idx="1315">
                  <c:v>43292</c:v>
                </c:pt>
                <c:pt idx="1316">
                  <c:v>43291</c:v>
                </c:pt>
                <c:pt idx="1317">
                  <c:v>43290</c:v>
                </c:pt>
                <c:pt idx="1318">
                  <c:v>43289</c:v>
                </c:pt>
                <c:pt idx="1319">
                  <c:v>43288</c:v>
                </c:pt>
                <c:pt idx="1320">
                  <c:v>43287</c:v>
                </c:pt>
                <c:pt idx="1321">
                  <c:v>43286</c:v>
                </c:pt>
                <c:pt idx="1322">
                  <c:v>43285</c:v>
                </c:pt>
                <c:pt idx="1323">
                  <c:v>43284</c:v>
                </c:pt>
                <c:pt idx="1324">
                  <c:v>43283</c:v>
                </c:pt>
                <c:pt idx="1325">
                  <c:v>43282</c:v>
                </c:pt>
                <c:pt idx="1326">
                  <c:v>43281</c:v>
                </c:pt>
                <c:pt idx="1327">
                  <c:v>43280</c:v>
                </c:pt>
                <c:pt idx="1328">
                  <c:v>43279</c:v>
                </c:pt>
                <c:pt idx="1329">
                  <c:v>43278</c:v>
                </c:pt>
                <c:pt idx="1330">
                  <c:v>43277</c:v>
                </c:pt>
                <c:pt idx="1331">
                  <c:v>43276</c:v>
                </c:pt>
                <c:pt idx="1332">
                  <c:v>43275</c:v>
                </c:pt>
                <c:pt idx="1333">
                  <c:v>43274</c:v>
                </c:pt>
                <c:pt idx="1334">
                  <c:v>43273</c:v>
                </c:pt>
                <c:pt idx="1335">
                  <c:v>43272</c:v>
                </c:pt>
                <c:pt idx="1336">
                  <c:v>43271</c:v>
                </c:pt>
                <c:pt idx="1337">
                  <c:v>43270</c:v>
                </c:pt>
                <c:pt idx="1338">
                  <c:v>43269</c:v>
                </c:pt>
                <c:pt idx="1339">
                  <c:v>43268</c:v>
                </c:pt>
                <c:pt idx="1340">
                  <c:v>43267</c:v>
                </c:pt>
                <c:pt idx="1341">
                  <c:v>43266</c:v>
                </c:pt>
                <c:pt idx="1342">
                  <c:v>43265</c:v>
                </c:pt>
                <c:pt idx="1343">
                  <c:v>43264</c:v>
                </c:pt>
                <c:pt idx="1344">
                  <c:v>43263</c:v>
                </c:pt>
                <c:pt idx="1345">
                  <c:v>43262</c:v>
                </c:pt>
                <c:pt idx="1346">
                  <c:v>43261</c:v>
                </c:pt>
                <c:pt idx="1347">
                  <c:v>43260</c:v>
                </c:pt>
                <c:pt idx="1348">
                  <c:v>43259</c:v>
                </c:pt>
                <c:pt idx="1349">
                  <c:v>43258</c:v>
                </c:pt>
                <c:pt idx="1350">
                  <c:v>43257</c:v>
                </c:pt>
                <c:pt idx="1351">
                  <c:v>43256</c:v>
                </c:pt>
                <c:pt idx="1352">
                  <c:v>43255</c:v>
                </c:pt>
                <c:pt idx="1353">
                  <c:v>43254</c:v>
                </c:pt>
                <c:pt idx="1354">
                  <c:v>43253</c:v>
                </c:pt>
                <c:pt idx="1355">
                  <c:v>43252</c:v>
                </c:pt>
                <c:pt idx="1356">
                  <c:v>43251</c:v>
                </c:pt>
                <c:pt idx="1357">
                  <c:v>43250</c:v>
                </c:pt>
                <c:pt idx="1358">
                  <c:v>43249</c:v>
                </c:pt>
                <c:pt idx="1359">
                  <c:v>43248</c:v>
                </c:pt>
                <c:pt idx="1360">
                  <c:v>43247</c:v>
                </c:pt>
                <c:pt idx="1361">
                  <c:v>43246</c:v>
                </c:pt>
                <c:pt idx="1362">
                  <c:v>43245</c:v>
                </c:pt>
                <c:pt idx="1363">
                  <c:v>43244</c:v>
                </c:pt>
                <c:pt idx="1364">
                  <c:v>43243</c:v>
                </c:pt>
                <c:pt idx="1365">
                  <c:v>43242</c:v>
                </c:pt>
                <c:pt idx="1366">
                  <c:v>43241</c:v>
                </c:pt>
                <c:pt idx="1367">
                  <c:v>43240</c:v>
                </c:pt>
                <c:pt idx="1368">
                  <c:v>43239</c:v>
                </c:pt>
                <c:pt idx="1369">
                  <c:v>43238</c:v>
                </c:pt>
                <c:pt idx="1370">
                  <c:v>43237</c:v>
                </c:pt>
                <c:pt idx="1371">
                  <c:v>43236</c:v>
                </c:pt>
                <c:pt idx="1372">
                  <c:v>43235</c:v>
                </c:pt>
                <c:pt idx="1373">
                  <c:v>43234</c:v>
                </c:pt>
                <c:pt idx="1374">
                  <c:v>43233</c:v>
                </c:pt>
                <c:pt idx="1375">
                  <c:v>43232</c:v>
                </c:pt>
                <c:pt idx="1376">
                  <c:v>43231</c:v>
                </c:pt>
                <c:pt idx="1377">
                  <c:v>43230</c:v>
                </c:pt>
                <c:pt idx="1378">
                  <c:v>43229</c:v>
                </c:pt>
                <c:pt idx="1379">
                  <c:v>43228</c:v>
                </c:pt>
                <c:pt idx="1380">
                  <c:v>43227</c:v>
                </c:pt>
                <c:pt idx="1381">
                  <c:v>43226</c:v>
                </c:pt>
                <c:pt idx="1382">
                  <c:v>43225</c:v>
                </c:pt>
                <c:pt idx="1383">
                  <c:v>43224</c:v>
                </c:pt>
                <c:pt idx="1384">
                  <c:v>43223</c:v>
                </c:pt>
                <c:pt idx="1385">
                  <c:v>43222</c:v>
                </c:pt>
                <c:pt idx="1386">
                  <c:v>43221</c:v>
                </c:pt>
                <c:pt idx="1387">
                  <c:v>43220</c:v>
                </c:pt>
                <c:pt idx="1388">
                  <c:v>43219</c:v>
                </c:pt>
                <c:pt idx="1389">
                  <c:v>43218</c:v>
                </c:pt>
                <c:pt idx="1390">
                  <c:v>43217</c:v>
                </c:pt>
                <c:pt idx="1391">
                  <c:v>43216</c:v>
                </c:pt>
                <c:pt idx="1392">
                  <c:v>43215</c:v>
                </c:pt>
                <c:pt idx="1393">
                  <c:v>43214</c:v>
                </c:pt>
                <c:pt idx="1394">
                  <c:v>43213</c:v>
                </c:pt>
                <c:pt idx="1395">
                  <c:v>43212</c:v>
                </c:pt>
                <c:pt idx="1396">
                  <c:v>43211</c:v>
                </c:pt>
                <c:pt idx="1397">
                  <c:v>43210</c:v>
                </c:pt>
                <c:pt idx="1398">
                  <c:v>43209</c:v>
                </c:pt>
                <c:pt idx="1399">
                  <c:v>43208</c:v>
                </c:pt>
                <c:pt idx="1400">
                  <c:v>43207</c:v>
                </c:pt>
                <c:pt idx="1401">
                  <c:v>43206</c:v>
                </c:pt>
                <c:pt idx="1402">
                  <c:v>43205</c:v>
                </c:pt>
                <c:pt idx="1403">
                  <c:v>43204</c:v>
                </c:pt>
                <c:pt idx="1404">
                  <c:v>43203</c:v>
                </c:pt>
                <c:pt idx="1405">
                  <c:v>43202</c:v>
                </c:pt>
                <c:pt idx="1406">
                  <c:v>43201</c:v>
                </c:pt>
                <c:pt idx="1407">
                  <c:v>43200</c:v>
                </c:pt>
                <c:pt idx="1408">
                  <c:v>43199</c:v>
                </c:pt>
                <c:pt idx="1409">
                  <c:v>43198</c:v>
                </c:pt>
                <c:pt idx="1410">
                  <c:v>43197</c:v>
                </c:pt>
                <c:pt idx="1411">
                  <c:v>43196</c:v>
                </c:pt>
                <c:pt idx="1412">
                  <c:v>43195</c:v>
                </c:pt>
                <c:pt idx="1413">
                  <c:v>43194</c:v>
                </c:pt>
                <c:pt idx="1414">
                  <c:v>43193</c:v>
                </c:pt>
                <c:pt idx="1415">
                  <c:v>43192</c:v>
                </c:pt>
                <c:pt idx="1416">
                  <c:v>43191</c:v>
                </c:pt>
                <c:pt idx="1417">
                  <c:v>43190</c:v>
                </c:pt>
                <c:pt idx="1418">
                  <c:v>43189</c:v>
                </c:pt>
                <c:pt idx="1419">
                  <c:v>43188</c:v>
                </c:pt>
                <c:pt idx="1420">
                  <c:v>43187</c:v>
                </c:pt>
                <c:pt idx="1421">
                  <c:v>43186</c:v>
                </c:pt>
                <c:pt idx="1422">
                  <c:v>43185</c:v>
                </c:pt>
                <c:pt idx="1423">
                  <c:v>43184</c:v>
                </c:pt>
                <c:pt idx="1424">
                  <c:v>43183</c:v>
                </c:pt>
                <c:pt idx="1425">
                  <c:v>43182</c:v>
                </c:pt>
                <c:pt idx="1426">
                  <c:v>43181</c:v>
                </c:pt>
                <c:pt idx="1427">
                  <c:v>43180</c:v>
                </c:pt>
                <c:pt idx="1428">
                  <c:v>43179</c:v>
                </c:pt>
                <c:pt idx="1429">
                  <c:v>43178</c:v>
                </c:pt>
                <c:pt idx="1430">
                  <c:v>43177</c:v>
                </c:pt>
                <c:pt idx="1431">
                  <c:v>43176</c:v>
                </c:pt>
                <c:pt idx="1432">
                  <c:v>43175</c:v>
                </c:pt>
                <c:pt idx="1433">
                  <c:v>43174</c:v>
                </c:pt>
                <c:pt idx="1434">
                  <c:v>43173</c:v>
                </c:pt>
                <c:pt idx="1435">
                  <c:v>43172</c:v>
                </c:pt>
                <c:pt idx="1436">
                  <c:v>43171</c:v>
                </c:pt>
                <c:pt idx="1437">
                  <c:v>43170</c:v>
                </c:pt>
                <c:pt idx="1438">
                  <c:v>43169</c:v>
                </c:pt>
                <c:pt idx="1439">
                  <c:v>43168</c:v>
                </c:pt>
                <c:pt idx="1440">
                  <c:v>43167</c:v>
                </c:pt>
                <c:pt idx="1441">
                  <c:v>43166</c:v>
                </c:pt>
                <c:pt idx="1442">
                  <c:v>43165</c:v>
                </c:pt>
                <c:pt idx="1443">
                  <c:v>43164</c:v>
                </c:pt>
                <c:pt idx="1444">
                  <c:v>43163</c:v>
                </c:pt>
                <c:pt idx="1445">
                  <c:v>43162</c:v>
                </c:pt>
                <c:pt idx="1446">
                  <c:v>43161</c:v>
                </c:pt>
                <c:pt idx="1447">
                  <c:v>43160</c:v>
                </c:pt>
                <c:pt idx="1448">
                  <c:v>43159</c:v>
                </c:pt>
                <c:pt idx="1449">
                  <c:v>43158</c:v>
                </c:pt>
                <c:pt idx="1450">
                  <c:v>43157</c:v>
                </c:pt>
                <c:pt idx="1451">
                  <c:v>43156</c:v>
                </c:pt>
                <c:pt idx="1452">
                  <c:v>43155</c:v>
                </c:pt>
                <c:pt idx="1453">
                  <c:v>43154</c:v>
                </c:pt>
                <c:pt idx="1454">
                  <c:v>43153</c:v>
                </c:pt>
                <c:pt idx="1455">
                  <c:v>43152</c:v>
                </c:pt>
                <c:pt idx="1456">
                  <c:v>43151</c:v>
                </c:pt>
                <c:pt idx="1457">
                  <c:v>43150</c:v>
                </c:pt>
                <c:pt idx="1458">
                  <c:v>43149</c:v>
                </c:pt>
                <c:pt idx="1459">
                  <c:v>43148</c:v>
                </c:pt>
                <c:pt idx="1460">
                  <c:v>43147</c:v>
                </c:pt>
                <c:pt idx="1461">
                  <c:v>43146</c:v>
                </c:pt>
                <c:pt idx="1462">
                  <c:v>43145</c:v>
                </c:pt>
                <c:pt idx="1463">
                  <c:v>43144</c:v>
                </c:pt>
                <c:pt idx="1464">
                  <c:v>43143</c:v>
                </c:pt>
                <c:pt idx="1465">
                  <c:v>43142</c:v>
                </c:pt>
                <c:pt idx="1466">
                  <c:v>43141</c:v>
                </c:pt>
                <c:pt idx="1467">
                  <c:v>43140</c:v>
                </c:pt>
                <c:pt idx="1468">
                  <c:v>43139</c:v>
                </c:pt>
                <c:pt idx="1469">
                  <c:v>43138</c:v>
                </c:pt>
                <c:pt idx="1470">
                  <c:v>43137</c:v>
                </c:pt>
                <c:pt idx="1471">
                  <c:v>43136</c:v>
                </c:pt>
                <c:pt idx="1472">
                  <c:v>43135</c:v>
                </c:pt>
                <c:pt idx="1473">
                  <c:v>43134</c:v>
                </c:pt>
                <c:pt idx="1474">
                  <c:v>43133</c:v>
                </c:pt>
                <c:pt idx="1475">
                  <c:v>43132</c:v>
                </c:pt>
                <c:pt idx="1476">
                  <c:v>43131</c:v>
                </c:pt>
                <c:pt idx="1477">
                  <c:v>43130</c:v>
                </c:pt>
                <c:pt idx="1478">
                  <c:v>43129</c:v>
                </c:pt>
                <c:pt idx="1479">
                  <c:v>43128</c:v>
                </c:pt>
                <c:pt idx="1480">
                  <c:v>43127</c:v>
                </c:pt>
                <c:pt idx="1481">
                  <c:v>43126</c:v>
                </c:pt>
                <c:pt idx="1482">
                  <c:v>43125</c:v>
                </c:pt>
                <c:pt idx="1483">
                  <c:v>43124</c:v>
                </c:pt>
                <c:pt idx="1484">
                  <c:v>43123</c:v>
                </c:pt>
                <c:pt idx="1485">
                  <c:v>43122</c:v>
                </c:pt>
                <c:pt idx="1486">
                  <c:v>43121</c:v>
                </c:pt>
                <c:pt idx="1487">
                  <c:v>43120</c:v>
                </c:pt>
                <c:pt idx="1488">
                  <c:v>43119</c:v>
                </c:pt>
                <c:pt idx="1489">
                  <c:v>43118</c:v>
                </c:pt>
                <c:pt idx="1490">
                  <c:v>43117</c:v>
                </c:pt>
                <c:pt idx="1491">
                  <c:v>43116</c:v>
                </c:pt>
                <c:pt idx="1492">
                  <c:v>43115</c:v>
                </c:pt>
                <c:pt idx="1493">
                  <c:v>43114</c:v>
                </c:pt>
                <c:pt idx="1494">
                  <c:v>43113</c:v>
                </c:pt>
                <c:pt idx="1495">
                  <c:v>43112</c:v>
                </c:pt>
                <c:pt idx="1496">
                  <c:v>43111</c:v>
                </c:pt>
                <c:pt idx="1497">
                  <c:v>43110</c:v>
                </c:pt>
                <c:pt idx="1498">
                  <c:v>43109</c:v>
                </c:pt>
                <c:pt idx="1499">
                  <c:v>43108</c:v>
                </c:pt>
                <c:pt idx="1500">
                  <c:v>43107</c:v>
                </c:pt>
                <c:pt idx="1501">
                  <c:v>43106</c:v>
                </c:pt>
                <c:pt idx="1502">
                  <c:v>43105</c:v>
                </c:pt>
                <c:pt idx="1503">
                  <c:v>43104</c:v>
                </c:pt>
                <c:pt idx="1504">
                  <c:v>43103</c:v>
                </c:pt>
                <c:pt idx="1505">
                  <c:v>43102</c:v>
                </c:pt>
                <c:pt idx="1506">
                  <c:v>43101</c:v>
                </c:pt>
                <c:pt idx="1507">
                  <c:v>43100</c:v>
                </c:pt>
                <c:pt idx="1508">
                  <c:v>43099</c:v>
                </c:pt>
                <c:pt idx="1509">
                  <c:v>43098</c:v>
                </c:pt>
                <c:pt idx="1510">
                  <c:v>43097</c:v>
                </c:pt>
                <c:pt idx="1511">
                  <c:v>43096</c:v>
                </c:pt>
                <c:pt idx="1512">
                  <c:v>43095</c:v>
                </c:pt>
                <c:pt idx="1513">
                  <c:v>43094</c:v>
                </c:pt>
                <c:pt idx="1514">
                  <c:v>43093</c:v>
                </c:pt>
                <c:pt idx="1515">
                  <c:v>43092</c:v>
                </c:pt>
                <c:pt idx="1516">
                  <c:v>43091</c:v>
                </c:pt>
                <c:pt idx="1517">
                  <c:v>43090</c:v>
                </c:pt>
                <c:pt idx="1518">
                  <c:v>43089</c:v>
                </c:pt>
                <c:pt idx="1519">
                  <c:v>43088</c:v>
                </c:pt>
                <c:pt idx="1520">
                  <c:v>43087</c:v>
                </c:pt>
                <c:pt idx="1521">
                  <c:v>43086</c:v>
                </c:pt>
                <c:pt idx="1522">
                  <c:v>43085</c:v>
                </c:pt>
                <c:pt idx="1523">
                  <c:v>43084</c:v>
                </c:pt>
                <c:pt idx="1524">
                  <c:v>43083</c:v>
                </c:pt>
                <c:pt idx="1525">
                  <c:v>43082</c:v>
                </c:pt>
                <c:pt idx="1526">
                  <c:v>43081</c:v>
                </c:pt>
                <c:pt idx="1527">
                  <c:v>43080</c:v>
                </c:pt>
                <c:pt idx="1528">
                  <c:v>43079</c:v>
                </c:pt>
                <c:pt idx="1529">
                  <c:v>43078</c:v>
                </c:pt>
                <c:pt idx="1530">
                  <c:v>43077</c:v>
                </c:pt>
                <c:pt idx="1531">
                  <c:v>43076</c:v>
                </c:pt>
                <c:pt idx="1532">
                  <c:v>43075</c:v>
                </c:pt>
                <c:pt idx="1533">
                  <c:v>43074</c:v>
                </c:pt>
                <c:pt idx="1534">
                  <c:v>43073</c:v>
                </c:pt>
                <c:pt idx="1535">
                  <c:v>43072</c:v>
                </c:pt>
                <c:pt idx="1536">
                  <c:v>43071</c:v>
                </c:pt>
                <c:pt idx="1537">
                  <c:v>43070</c:v>
                </c:pt>
                <c:pt idx="1538">
                  <c:v>43069</c:v>
                </c:pt>
                <c:pt idx="1539">
                  <c:v>43068</c:v>
                </c:pt>
                <c:pt idx="1540">
                  <c:v>43067</c:v>
                </c:pt>
                <c:pt idx="1541">
                  <c:v>43066</c:v>
                </c:pt>
                <c:pt idx="1542">
                  <c:v>43065</c:v>
                </c:pt>
                <c:pt idx="1543">
                  <c:v>43064</c:v>
                </c:pt>
                <c:pt idx="1544">
                  <c:v>43063</c:v>
                </c:pt>
                <c:pt idx="1545">
                  <c:v>43062</c:v>
                </c:pt>
                <c:pt idx="1546">
                  <c:v>43061</c:v>
                </c:pt>
                <c:pt idx="1547">
                  <c:v>43060</c:v>
                </c:pt>
                <c:pt idx="1548">
                  <c:v>43059</c:v>
                </c:pt>
                <c:pt idx="1549">
                  <c:v>43058</c:v>
                </c:pt>
                <c:pt idx="1550">
                  <c:v>43057</c:v>
                </c:pt>
                <c:pt idx="1551">
                  <c:v>43056</c:v>
                </c:pt>
                <c:pt idx="1552">
                  <c:v>43055</c:v>
                </c:pt>
                <c:pt idx="1553">
                  <c:v>43054</c:v>
                </c:pt>
                <c:pt idx="1554">
                  <c:v>43053</c:v>
                </c:pt>
                <c:pt idx="1555">
                  <c:v>43052</c:v>
                </c:pt>
                <c:pt idx="1556">
                  <c:v>43051</c:v>
                </c:pt>
                <c:pt idx="1557">
                  <c:v>43050</c:v>
                </c:pt>
                <c:pt idx="1558">
                  <c:v>43049</c:v>
                </c:pt>
                <c:pt idx="1559">
                  <c:v>43048</c:v>
                </c:pt>
                <c:pt idx="1560">
                  <c:v>43047</c:v>
                </c:pt>
                <c:pt idx="1561">
                  <c:v>43046</c:v>
                </c:pt>
                <c:pt idx="1562">
                  <c:v>43045</c:v>
                </c:pt>
                <c:pt idx="1563">
                  <c:v>43044</c:v>
                </c:pt>
                <c:pt idx="1564">
                  <c:v>43043</c:v>
                </c:pt>
                <c:pt idx="1565">
                  <c:v>43042</c:v>
                </c:pt>
                <c:pt idx="1566">
                  <c:v>43041</c:v>
                </c:pt>
                <c:pt idx="1567">
                  <c:v>43040</c:v>
                </c:pt>
                <c:pt idx="1568">
                  <c:v>43039</c:v>
                </c:pt>
                <c:pt idx="1569">
                  <c:v>43038</c:v>
                </c:pt>
                <c:pt idx="1570">
                  <c:v>43037</c:v>
                </c:pt>
                <c:pt idx="1571">
                  <c:v>43036</c:v>
                </c:pt>
                <c:pt idx="1572">
                  <c:v>43035</c:v>
                </c:pt>
                <c:pt idx="1573">
                  <c:v>43034</c:v>
                </c:pt>
                <c:pt idx="1574">
                  <c:v>43033</c:v>
                </c:pt>
                <c:pt idx="1575">
                  <c:v>43032</c:v>
                </c:pt>
                <c:pt idx="1576">
                  <c:v>43031</c:v>
                </c:pt>
                <c:pt idx="1577">
                  <c:v>43030</c:v>
                </c:pt>
                <c:pt idx="1578">
                  <c:v>43029</c:v>
                </c:pt>
                <c:pt idx="1579">
                  <c:v>43028</c:v>
                </c:pt>
                <c:pt idx="1580">
                  <c:v>43027</c:v>
                </c:pt>
                <c:pt idx="1581">
                  <c:v>43026</c:v>
                </c:pt>
                <c:pt idx="1582">
                  <c:v>43025</c:v>
                </c:pt>
                <c:pt idx="1583">
                  <c:v>43024</c:v>
                </c:pt>
                <c:pt idx="1584">
                  <c:v>43023</c:v>
                </c:pt>
                <c:pt idx="1585">
                  <c:v>43022</c:v>
                </c:pt>
                <c:pt idx="1586">
                  <c:v>43021</c:v>
                </c:pt>
                <c:pt idx="1587">
                  <c:v>43020</c:v>
                </c:pt>
                <c:pt idx="1588">
                  <c:v>43019</c:v>
                </c:pt>
                <c:pt idx="1589">
                  <c:v>43018</c:v>
                </c:pt>
                <c:pt idx="1590">
                  <c:v>43017</c:v>
                </c:pt>
                <c:pt idx="1591">
                  <c:v>43016</c:v>
                </c:pt>
                <c:pt idx="1592">
                  <c:v>43015</c:v>
                </c:pt>
                <c:pt idx="1593">
                  <c:v>43014</c:v>
                </c:pt>
                <c:pt idx="1594">
                  <c:v>43013</c:v>
                </c:pt>
                <c:pt idx="1595">
                  <c:v>43012</c:v>
                </c:pt>
                <c:pt idx="1596">
                  <c:v>43011</c:v>
                </c:pt>
                <c:pt idx="1597">
                  <c:v>43010</c:v>
                </c:pt>
                <c:pt idx="1598">
                  <c:v>43009</c:v>
                </c:pt>
                <c:pt idx="1599">
                  <c:v>43008</c:v>
                </c:pt>
                <c:pt idx="1600">
                  <c:v>43007</c:v>
                </c:pt>
                <c:pt idx="1601">
                  <c:v>43006</c:v>
                </c:pt>
                <c:pt idx="1602">
                  <c:v>43005</c:v>
                </c:pt>
                <c:pt idx="1603">
                  <c:v>43004</c:v>
                </c:pt>
                <c:pt idx="1604">
                  <c:v>43003</c:v>
                </c:pt>
                <c:pt idx="1605">
                  <c:v>43002</c:v>
                </c:pt>
                <c:pt idx="1606">
                  <c:v>43001</c:v>
                </c:pt>
                <c:pt idx="1607">
                  <c:v>43000</c:v>
                </c:pt>
                <c:pt idx="1608">
                  <c:v>42999</c:v>
                </c:pt>
                <c:pt idx="1609">
                  <c:v>42998</c:v>
                </c:pt>
                <c:pt idx="1610">
                  <c:v>42997</c:v>
                </c:pt>
                <c:pt idx="1611">
                  <c:v>42996</c:v>
                </c:pt>
                <c:pt idx="1612">
                  <c:v>42995</c:v>
                </c:pt>
                <c:pt idx="1613">
                  <c:v>42994</c:v>
                </c:pt>
                <c:pt idx="1614">
                  <c:v>42993</c:v>
                </c:pt>
                <c:pt idx="1615">
                  <c:v>42992</c:v>
                </c:pt>
                <c:pt idx="1616">
                  <c:v>42991</c:v>
                </c:pt>
                <c:pt idx="1617">
                  <c:v>42990</c:v>
                </c:pt>
                <c:pt idx="1618">
                  <c:v>42989</c:v>
                </c:pt>
                <c:pt idx="1619">
                  <c:v>42988</c:v>
                </c:pt>
                <c:pt idx="1620">
                  <c:v>42987</c:v>
                </c:pt>
                <c:pt idx="1621">
                  <c:v>42986</c:v>
                </c:pt>
                <c:pt idx="1622">
                  <c:v>42985</c:v>
                </c:pt>
                <c:pt idx="1623">
                  <c:v>42984</c:v>
                </c:pt>
                <c:pt idx="1624">
                  <c:v>42983</c:v>
                </c:pt>
                <c:pt idx="1625">
                  <c:v>42982</c:v>
                </c:pt>
                <c:pt idx="1626">
                  <c:v>42981</c:v>
                </c:pt>
                <c:pt idx="1627">
                  <c:v>42980</c:v>
                </c:pt>
                <c:pt idx="1628">
                  <c:v>42979</c:v>
                </c:pt>
                <c:pt idx="1629">
                  <c:v>42978</c:v>
                </c:pt>
                <c:pt idx="1630">
                  <c:v>42977</c:v>
                </c:pt>
                <c:pt idx="1631">
                  <c:v>42976</c:v>
                </c:pt>
                <c:pt idx="1632">
                  <c:v>42975</c:v>
                </c:pt>
                <c:pt idx="1633">
                  <c:v>42974</c:v>
                </c:pt>
                <c:pt idx="1634">
                  <c:v>42973</c:v>
                </c:pt>
                <c:pt idx="1635">
                  <c:v>42972</c:v>
                </c:pt>
                <c:pt idx="1636">
                  <c:v>42971</c:v>
                </c:pt>
                <c:pt idx="1637">
                  <c:v>42970</c:v>
                </c:pt>
                <c:pt idx="1638">
                  <c:v>42969</c:v>
                </c:pt>
                <c:pt idx="1639">
                  <c:v>42968</c:v>
                </c:pt>
                <c:pt idx="1640">
                  <c:v>42967</c:v>
                </c:pt>
                <c:pt idx="1641">
                  <c:v>42966</c:v>
                </c:pt>
                <c:pt idx="1642">
                  <c:v>42965</c:v>
                </c:pt>
                <c:pt idx="1643">
                  <c:v>42964</c:v>
                </c:pt>
                <c:pt idx="1644">
                  <c:v>42963</c:v>
                </c:pt>
                <c:pt idx="1645">
                  <c:v>42962</c:v>
                </c:pt>
                <c:pt idx="1646">
                  <c:v>42961</c:v>
                </c:pt>
                <c:pt idx="1647">
                  <c:v>42960</c:v>
                </c:pt>
                <c:pt idx="1648">
                  <c:v>42959</c:v>
                </c:pt>
                <c:pt idx="1649">
                  <c:v>42958</c:v>
                </c:pt>
                <c:pt idx="1650">
                  <c:v>42957</c:v>
                </c:pt>
                <c:pt idx="1651">
                  <c:v>42956</c:v>
                </c:pt>
                <c:pt idx="1652">
                  <c:v>42955</c:v>
                </c:pt>
                <c:pt idx="1653">
                  <c:v>42954</c:v>
                </c:pt>
                <c:pt idx="1654">
                  <c:v>42953</c:v>
                </c:pt>
                <c:pt idx="1655">
                  <c:v>42952</c:v>
                </c:pt>
                <c:pt idx="1656">
                  <c:v>42951</c:v>
                </c:pt>
                <c:pt idx="1657">
                  <c:v>42950</c:v>
                </c:pt>
                <c:pt idx="1658">
                  <c:v>42949</c:v>
                </c:pt>
                <c:pt idx="1659">
                  <c:v>42948</c:v>
                </c:pt>
                <c:pt idx="1660">
                  <c:v>42947</c:v>
                </c:pt>
                <c:pt idx="1661">
                  <c:v>42946</c:v>
                </c:pt>
                <c:pt idx="1662">
                  <c:v>42945</c:v>
                </c:pt>
                <c:pt idx="1663">
                  <c:v>42944</c:v>
                </c:pt>
                <c:pt idx="1664">
                  <c:v>42943</c:v>
                </c:pt>
                <c:pt idx="1665">
                  <c:v>42942</c:v>
                </c:pt>
                <c:pt idx="1666">
                  <c:v>42941</c:v>
                </c:pt>
                <c:pt idx="1667">
                  <c:v>42940</c:v>
                </c:pt>
                <c:pt idx="1668">
                  <c:v>42939</c:v>
                </c:pt>
                <c:pt idx="1669">
                  <c:v>42938</c:v>
                </c:pt>
                <c:pt idx="1670">
                  <c:v>42937</c:v>
                </c:pt>
                <c:pt idx="1671">
                  <c:v>42936</c:v>
                </c:pt>
                <c:pt idx="1672">
                  <c:v>42935</c:v>
                </c:pt>
                <c:pt idx="1673">
                  <c:v>42934</c:v>
                </c:pt>
                <c:pt idx="1674">
                  <c:v>42933</c:v>
                </c:pt>
                <c:pt idx="1675">
                  <c:v>42932</c:v>
                </c:pt>
                <c:pt idx="1676">
                  <c:v>42931</c:v>
                </c:pt>
                <c:pt idx="1677">
                  <c:v>42930</c:v>
                </c:pt>
                <c:pt idx="1678">
                  <c:v>42929</c:v>
                </c:pt>
                <c:pt idx="1679">
                  <c:v>42928</c:v>
                </c:pt>
                <c:pt idx="1680">
                  <c:v>42927</c:v>
                </c:pt>
                <c:pt idx="1681">
                  <c:v>42926</c:v>
                </c:pt>
                <c:pt idx="1682">
                  <c:v>42925</c:v>
                </c:pt>
                <c:pt idx="1683">
                  <c:v>42924</c:v>
                </c:pt>
                <c:pt idx="1684">
                  <c:v>42923</c:v>
                </c:pt>
                <c:pt idx="1685">
                  <c:v>42922</c:v>
                </c:pt>
                <c:pt idx="1686">
                  <c:v>42921</c:v>
                </c:pt>
                <c:pt idx="1687">
                  <c:v>42920</c:v>
                </c:pt>
                <c:pt idx="1688">
                  <c:v>42919</c:v>
                </c:pt>
                <c:pt idx="1689">
                  <c:v>42918</c:v>
                </c:pt>
                <c:pt idx="1690">
                  <c:v>42917</c:v>
                </c:pt>
                <c:pt idx="1691">
                  <c:v>42916</c:v>
                </c:pt>
                <c:pt idx="1692">
                  <c:v>42915</c:v>
                </c:pt>
                <c:pt idx="1693">
                  <c:v>42914</c:v>
                </c:pt>
                <c:pt idx="1694">
                  <c:v>42913</c:v>
                </c:pt>
                <c:pt idx="1695">
                  <c:v>42912</c:v>
                </c:pt>
                <c:pt idx="1696">
                  <c:v>42911</c:v>
                </c:pt>
                <c:pt idx="1697">
                  <c:v>42910</c:v>
                </c:pt>
                <c:pt idx="1698">
                  <c:v>42909</c:v>
                </c:pt>
                <c:pt idx="1699">
                  <c:v>42908</c:v>
                </c:pt>
                <c:pt idx="1700">
                  <c:v>42907</c:v>
                </c:pt>
                <c:pt idx="1701">
                  <c:v>42906</c:v>
                </c:pt>
                <c:pt idx="1702">
                  <c:v>42905</c:v>
                </c:pt>
                <c:pt idx="1703">
                  <c:v>42904</c:v>
                </c:pt>
                <c:pt idx="1704">
                  <c:v>42903</c:v>
                </c:pt>
                <c:pt idx="1705">
                  <c:v>42902</c:v>
                </c:pt>
                <c:pt idx="1706">
                  <c:v>42901</c:v>
                </c:pt>
                <c:pt idx="1707">
                  <c:v>42900</c:v>
                </c:pt>
                <c:pt idx="1708">
                  <c:v>42899</c:v>
                </c:pt>
                <c:pt idx="1709">
                  <c:v>42898</c:v>
                </c:pt>
                <c:pt idx="1710">
                  <c:v>42897</c:v>
                </c:pt>
                <c:pt idx="1711">
                  <c:v>42896</c:v>
                </c:pt>
                <c:pt idx="1712">
                  <c:v>42895</c:v>
                </c:pt>
                <c:pt idx="1713">
                  <c:v>42894</c:v>
                </c:pt>
                <c:pt idx="1714">
                  <c:v>42893</c:v>
                </c:pt>
                <c:pt idx="1715">
                  <c:v>42892</c:v>
                </c:pt>
                <c:pt idx="1716">
                  <c:v>42891</c:v>
                </c:pt>
                <c:pt idx="1717">
                  <c:v>42890</c:v>
                </c:pt>
                <c:pt idx="1718">
                  <c:v>42889</c:v>
                </c:pt>
                <c:pt idx="1719">
                  <c:v>42888</c:v>
                </c:pt>
                <c:pt idx="1720">
                  <c:v>42887</c:v>
                </c:pt>
                <c:pt idx="1721">
                  <c:v>42886</c:v>
                </c:pt>
                <c:pt idx="1722">
                  <c:v>42885</c:v>
                </c:pt>
                <c:pt idx="1723">
                  <c:v>42884</c:v>
                </c:pt>
                <c:pt idx="1724">
                  <c:v>42883</c:v>
                </c:pt>
                <c:pt idx="1725">
                  <c:v>42882</c:v>
                </c:pt>
                <c:pt idx="1726">
                  <c:v>42881</c:v>
                </c:pt>
                <c:pt idx="1727">
                  <c:v>42880</c:v>
                </c:pt>
                <c:pt idx="1728">
                  <c:v>42879</c:v>
                </c:pt>
                <c:pt idx="1729">
                  <c:v>42878</c:v>
                </c:pt>
                <c:pt idx="1730">
                  <c:v>42877</c:v>
                </c:pt>
                <c:pt idx="1731">
                  <c:v>42876</c:v>
                </c:pt>
                <c:pt idx="1732">
                  <c:v>42875</c:v>
                </c:pt>
                <c:pt idx="1733">
                  <c:v>42874</c:v>
                </c:pt>
                <c:pt idx="1734">
                  <c:v>42873</c:v>
                </c:pt>
                <c:pt idx="1735">
                  <c:v>42872</c:v>
                </c:pt>
                <c:pt idx="1736">
                  <c:v>42871</c:v>
                </c:pt>
                <c:pt idx="1737">
                  <c:v>42870</c:v>
                </c:pt>
                <c:pt idx="1738">
                  <c:v>42869</c:v>
                </c:pt>
                <c:pt idx="1739">
                  <c:v>42868</c:v>
                </c:pt>
                <c:pt idx="1740">
                  <c:v>42867</c:v>
                </c:pt>
                <c:pt idx="1741">
                  <c:v>42866</c:v>
                </c:pt>
                <c:pt idx="1742">
                  <c:v>42865</c:v>
                </c:pt>
                <c:pt idx="1743">
                  <c:v>42864</c:v>
                </c:pt>
                <c:pt idx="1744">
                  <c:v>42863</c:v>
                </c:pt>
                <c:pt idx="1745">
                  <c:v>42862</c:v>
                </c:pt>
                <c:pt idx="1746">
                  <c:v>42861</c:v>
                </c:pt>
                <c:pt idx="1747">
                  <c:v>42860</c:v>
                </c:pt>
                <c:pt idx="1748">
                  <c:v>42859</c:v>
                </c:pt>
                <c:pt idx="1749">
                  <c:v>42858</c:v>
                </c:pt>
                <c:pt idx="1750">
                  <c:v>42857</c:v>
                </c:pt>
                <c:pt idx="1751">
                  <c:v>42856</c:v>
                </c:pt>
                <c:pt idx="1752">
                  <c:v>42855</c:v>
                </c:pt>
                <c:pt idx="1753">
                  <c:v>42854</c:v>
                </c:pt>
                <c:pt idx="1754">
                  <c:v>42853</c:v>
                </c:pt>
                <c:pt idx="1755">
                  <c:v>42852</c:v>
                </c:pt>
                <c:pt idx="1756">
                  <c:v>42851</c:v>
                </c:pt>
                <c:pt idx="1757">
                  <c:v>42850</c:v>
                </c:pt>
                <c:pt idx="1758">
                  <c:v>42849</c:v>
                </c:pt>
                <c:pt idx="1759">
                  <c:v>42848</c:v>
                </c:pt>
                <c:pt idx="1760">
                  <c:v>42847</c:v>
                </c:pt>
                <c:pt idx="1761">
                  <c:v>42846</c:v>
                </c:pt>
                <c:pt idx="1762">
                  <c:v>42845</c:v>
                </c:pt>
                <c:pt idx="1763">
                  <c:v>42844</c:v>
                </c:pt>
                <c:pt idx="1764">
                  <c:v>42843</c:v>
                </c:pt>
                <c:pt idx="1765">
                  <c:v>42842</c:v>
                </c:pt>
                <c:pt idx="1766">
                  <c:v>42841</c:v>
                </c:pt>
                <c:pt idx="1767">
                  <c:v>42840</c:v>
                </c:pt>
                <c:pt idx="1768">
                  <c:v>42839</c:v>
                </c:pt>
                <c:pt idx="1769">
                  <c:v>42838</c:v>
                </c:pt>
                <c:pt idx="1770">
                  <c:v>42837</c:v>
                </c:pt>
                <c:pt idx="1771">
                  <c:v>42836</c:v>
                </c:pt>
                <c:pt idx="1772">
                  <c:v>42835</c:v>
                </c:pt>
                <c:pt idx="1773">
                  <c:v>42834</c:v>
                </c:pt>
                <c:pt idx="1774">
                  <c:v>42833</c:v>
                </c:pt>
                <c:pt idx="1775">
                  <c:v>42832</c:v>
                </c:pt>
                <c:pt idx="1776">
                  <c:v>42831</c:v>
                </c:pt>
                <c:pt idx="1777">
                  <c:v>42830</c:v>
                </c:pt>
                <c:pt idx="1778">
                  <c:v>42829</c:v>
                </c:pt>
                <c:pt idx="1779">
                  <c:v>42828</c:v>
                </c:pt>
                <c:pt idx="1780">
                  <c:v>42827</c:v>
                </c:pt>
                <c:pt idx="1781">
                  <c:v>42826</c:v>
                </c:pt>
                <c:pt idx="1782">
                  <c:v>42825</c:v>
                </c:pt>
                <c:pt idx="1783">
                  <c:v>42824</c:v>
                </c:pt>
                <c:pt idx="1784">
                  <c:v>42823</c:v>
                </c:pt>
                <c:pt idx="1785">
                  <c:v>42822</c:v>
                </c:pt>
                <c:pt idx="1786">
                  <c:v>42821</c:v>
                </c:pt>
                <c:pt idx="1787">
                  <c:v>42820</c:v>
                </c:pt>
                <c:pt idx="1788">
                  <c:v>42819</c:v>
                </c:pt>
                <c:pt idx="1789">
                  <c:v>42818</c:v>
                </c:pt>
                <c:pt idx="1790">
                  <c:v>42817</c:v>
                </c:pt>
                <c:pt idx="1791">
                  <c:v>42816</c:v>
                </c:pt>
                <c:pt idx="1792">
                  <c:v>42815</c:v>
                </c:pt>
                <c:pt idx="1793">
                  <c:v>42814</c:v>
                </c:pt>
                <c:pt idx="1794">
                  <c:v>42813</c:v>
                </c:pt>
                <c:pt idx="1795">
                  <c:v>42812</c:v>
                </c:pt>
                <c:pt idx="1796">
                  <c:v>42811</c:v>
                </c:pt>
                <c:pt idx="1797">
                  <c:v>42810</c:v>
                </c:pt>
                <c:pt idx="1798">
                  <c:v>42809</c:v>
                </c:pt>
                <c:pt idx="1799">
                  <c:v>42808</c:v>
                </c:pt>
                <c:pt idx="1800">
                  <c:v>42807</c:v>
                </c:pt>
                <c:pt idx="1801">
                  <c:v>42806</c:v>
                </c:pt>
                <c:pt idx="1802">
                  <c:v>42805</c:v>
                </c:pt>
                <c:pt idx="1803">
                  <c:v>42804</c:v>
                </c:pt>
                <c:pt idx="1804">
                  <c:v>42803</c:v>
                </c:pt>
                <c:pt idx="1805">
                  <c:v>42802</c:v>
                </c:pt>
                <c:pt idx="1806">
                  <c:v>42801</c:v>
                </c:pt>
                <c:pt idx="1807">
                  <c:v>42800</c:v>
                </c:pt>
                <c:pt idx="1808">
                  <c:v>42799</c:v>
                </c:pt>
                <c:pt idx="1809">
                  <c:v>42798</c:v>
                </c:pt>
                <c:pt idx="1810">
                  <c:v>42797</c:v>
                </c:pt>
                <c:pt idx="1811">
                  <c:v>42796</c:v>
                </c:pt>
                <c:pt idx="1812">
                  <c:v>42795</c:v>
                </c:pt>
                <c:pt idx="1813">
                  <c:v>42794</c:v>
                </c:pt>
                <c:pt idx="1814">
                  <c:v>42793</c:v>
                </c:pt>
                <c:pt idx="1815">
                  <c:v>42792</c:v>
                </c:pt>
                <c:pt idx="1816">
                  <c:v>42791</c:v>
                </c:pt>
                <c:pt idx="1817">
                  <c:v>42790</c:v>
                </c:pt>
                <c:pt idx="1818">
                  <c:v>42789</c:v>
                </c:pt>
                <c:pt idx="1819">
                  <c:v>42788</c:v>
                </c:pt>
                <c:pt idx="1820">
                  <c:v>42787</c:v>
                </c:pt>
                <c:pt idx="1821">
                  <c:v>42786</c:v>
                </c:pt>
                <c:pt idx="1822">
                  <c:v>42785</c:v>
                </c:pt>
                <c:pt idx="1823">
                  <c:v>42784</c:v>
                </c:pt>
                <c:pt idx="1824">
                  <c:v>42783</c:v>
                </c:pt>
                <c:pt idx="1825">
                  <c:v>42782</c:v>
                </c:pt>
                <c:pt idx="1826">
                  <c:v>42781</c:v>
                </c:pt>
              </c:numCache>
            </c:numRef>
          </c:cat>
          <c:val>
            <c:numRef>
              <c:f>[32]Indexed!$G$4:$G$1830</c:f>
              <c:numCache>
                <c:formatCode>General</c:formatCode>
                <c:ptCount val="1827"/>
                <c:pt idx="0">
                  <c:v>292.62100101946692</c:v>
                </c:pt>
                <c:pt idx="1">
                  <c:v>280.87771251031603</c:v>
                </c:pt>
                <c:pt idx="2">
                  <c:v>278.37273654060874</c:v>
                </c:pt>
                <c:pt idx="3">
                  <c:v>278.37273654060874</c:v>
                </c:pt>
                <c:pt idx="4">
                  <c:v>278.37273654060874</c:v>
                </c:pt>
                <c:pt idx="5">
                  <c:v>287.08189717947471</c:v>
                </c:pt>
                <c:pt idx="6">
                  <c:v>296.78139715520172</c:v>
                </c:pt>
                <c:pt idx="7">
                  <c:v>291.38307684839071</c:v>
                </c:pt>
                <c:pt idx="8">
                  <c:v>285.27112966648866</c:v>
                </c:pt>
                <c:pt idx="9">
                  <c:v>286.49934462837996</c:v>
                </c:pt>
                <c:pt idx="10">
                  <c:v>286.49934462837996</c:v>
                </c:pt>
                <c:pt idx="11">
                  <c:v>286.49934462837996</c:v>
                </c:pt>
                <c:pt idx="12">
                  <c:v>281.97970775280356</c:v>
                </c:pt>
                <c:pt idx="13">
                  <c:v>292.94140492256901</c:v>
                </c:pt>
                <c:pt idx="14">
                  <c:v>287.74212340404875</c:v>
                </c:pt>
                <c:pt idx="15">
                  <c:v>284.42157386280888</c:v>
                </c:pt>
                <c:pt idx="16">
                  <c:v>271.90640322345746</c:v>
                </c:pt>
                <c:pt idx="17">
                  <c:v>271.90640322345746</c:v>
                </c:pt>
                <c:pt idx="18">
                  <c:v>271.90640322345746</c:v>
                </c:pt>
                <c:pt idx="19">
                  <c:v>263.27006165347831</c:v>
                </c:pt>
                <c:pt idx="20">
                  <c:v>270.45973105490555</c:v>
                </c:pt>
                <c:pt idx="21">
                  <c:v>259.30384970144178</c:v>
                </c:pt>
                <c:pt idx="22">
                  <c:v>262.91567551822908</c:v>
                </c:pt>
                <c:pt idx="23">
                  <c:v>258.86208068352829</c:v>
                </c:pt>
                <c:pt idx="24">
                  <c:v>258.86208068352829</c:v>
                </c:pt>
                <c:pt idx="25">
                  <c:v>258.86208068352829</c:v>
                </c:pt>
                <c:pt idx="26">
                  <c:v>265.89640273799699</c:v>
                </c:pt>
                <c:pt idx="27">
                  <c:v>273.7851352007379</c:v>
                </c:pt>
                <c:pt idx="28">
                  <c:v>280.49419874751197</c:v>
                </c:pt>
                <c:pt idx="29">
                  <c:v>289.51405408029513</c:v>
                </c:pt>
                <c:pt idx="30">
                  <c:v>289.51405408029513</c:v>
                </c:pt>
                <c:pt idx="31">
                  <c:v>289.51405408029513</c:v>
                </c:pt>
                <c:pt idx="32">
                  <c:v>289.51405408029513</c:v>
                </c:pt>
                <c:pt idx="33">
                  <c:v>289.91213165687657</c:v>
                </c:pt>
                <c:pt idx="34">
                  <c:v>301.95640565075973</c:v>
                </c:pt>
                <c:pt idx="35">
                  <c:v>301.98067867372197</c:v>
                </c:pt>
                <c:pt idx="36">
                  <c:v>301.54861886499339</c:v>
                </c:pt>
                <c:pt idx="37">
                  <c:v>300.57284334190979</c:v>
                </c:pt>
                <c:pt idx="38">
                  <c:v>300.57284334190979</c:v>
                </c:pt>
                <c:pt idx="39">
                  <c:v>300.57284334190979</c:v>
                </c:pt>
                <c:pt idx="40">
                  <c:v>309.25287635322098</c:v>
                </c:pt>
                <c:pt idx="41">
                  <c:v>312.15107529491723</c:v>
                </c:pt>
                <c:pt idx="42">
                  <c:v>325.70513131705422</c:v>
                </c:pt>
                <c:pt idx="43">
                  <c:v>322.01563182678774</c:v>
                </c:pt>
                <c:pt idx="44">
                  <c:v>323.03024418661096</c:v>
                </c:pt>
                <c:pt idx="45">
                  <c:v>323.03024418661096</c:v>
                </c:pt>
                <c:pt idx="46">
                  <c:v>323.03024418661096</c:v>
                </c:pt>
                <c:pt idx="47">
                  <c:v>322.87004223506</c:v>
                </c:pt>
                <c:pt idx="48">
                  <c:v>326.52555949317923</c:v>
                </c:pt>
                <c:pt idx="49">
                  <c:v>324.77304723530267</c:v>
                </c:pt>
                <c:pt idx="50">
                  <c:v>327.33627846011939</c:v>
                </c:pt>
                <c:pt idx="51">
                  <c:v>322.73411330647116</c:v>
                </c:pt>
                <c:pt idx="52">
                  <c:v>322.73411330647116</c:v>
                </c:pt>
                <c:pt idx="53">
                  <c:v>322.73411330647116</c:v>
                </c:pt>
                <c:pt idx="54">
                  <c:v>322.73411330647116</c:v>
                </c:pt>
                <c:pt idx="55">
                  <c:v>318.0736928977135</c:v>
                </c:pt>
                <c:pt idx="56">
                  <c:v>313.72396718287297</c:v>
                </c:pt>
                <c:pt idx="57">
                  <c:v>313.13656002718579</c:v>
                </c:pt>
                <c:pt idx="58">
                  <c:v>308.24797320258261</c:v>
                </c:pt>
                <c:pt idx="59">
                  <c:v>308.24797320258261</c:v>
                </c:pt>
                <c:pt idx="60">
                  <c:v>308.24797320258261</c:v>
                </c:pt>
                <c:pt idx="61">
                  <c:v>301.3155978445555</c:v>
                </c:pt>
                <c:pt idx="62">
                  <c:v>310.62672945288608</c:v>
                </c:pt>
                <c:pt idx="63">
                  <c:v>298.51449099470841</c:v>
                </c:pt>
                <c:pt idx="64">
                  <c:v>301.79134909461618</c:v>
                </c:pt>
                <c:pt idx="65">
                  <c:v>306.65566289625707</c:v>
                </c:pt>
                <c:pt idx="66">
                  <c:v>306.65566289625707</c:v>
                </c:pt>
                <c:pt idx="67">
                  <c:v>306.65566289625707</c:v>
                </c:pt>
                <c:pt idx="68">
                  <c:v>283.22734113306467</c:v>
                </c:pt>
                <c:pt idx="69">
                  <c:v>285.722607893587</c:v>
                </c:pt>
                <c:pt idx="70">
                  <c:v>286.61585513859893</c:v>
                </c:pt>
                <c:pt idx="71">
                  <c:v>274.27545026457597</c:v>
                </c:pt>
                <c:pt idx="72">
                  <c:v>270.94519151415113</c:v>
                </c:pt>
                <c:pt idx="73">
                  <c:v>270.94519151415113</c:v>
                </c:pt>
                <c:pt idx="74">
                  <c:v>270.94519151415113</c:v>
                </c:pt>
                <c:pt idx="75">
                  <c:v>268.19263071022863</c:v>
                </c:pt>
                <c:pt idx="76">
                  <c:v>269.31404437108597</c:v>
                </c:pt>
                <c:pt idx="77">
                  <c:v>268.78974707510071</c:v>
                </c:pt>
                <c:pt idx="78">
                  <c:v>273.96475557065878</c:v>
                </c:pt>
                <c:pt idx="79">
                  <c:v>265.3478324190495</c:v>
                </c:pt>
                <c:pt idx="80">
                  <c:v>265.3478324190495</c:v>
                </c:pt>
                <c:pt idx="81">
                  <c:v>265.3478324190495</c:v>
                </c:pt>
                <c:pt idx="82">
                  <c:v>271.24132239429099</c:v>
                </c:pt>
                <c:pt idx="83">
                  <c:v>271.24132239429099</c:v>
                </c:pt>
                <c:pt idx="84">
                  <c:v>269.48881013641437</c:v>
                </c:pt>
                <c:pt idx="85">
                  <c:v>268.59556289140249</c:v>
                </c:pt>
                <c:pt idx="86">
                  <c:v>276.09107238215449</c:v>
                </c:pt>
                <c:pt idx="87">
                  <c:v>276.09107238215449</c:v>
                </c:pt>
                <c:pt idx="88">
                  <c:v>276.09107238215449</c:v>
                </c:pt>
                <c:pt idx="89">
                  <c:v>279.04752657896012</c:v>
                </c:pt>
                <c:pt idx="90">
                  <c:v>276.5376960046604</c:v>
                </c:pt>
                <c:pt idx="91">
                  <c:v>276.11534540511673</c:v>
                </c:pt>
                <c:pt idx="92">
                  <c:v>274.65896402737997</c:v>
                </c:pt>
                <c:pt idx="93">
                  <c:v>273.42103985630371</c:v>
                </c:pt>
                <c:pt idx="94">
                  <c:v>273.42103985630371</c:v>
                </c:pt>
                <c:pt idx="95">
                  <c:v>273.42103985630371</c:v>
                </c:pt>
                <c:pt idx="96">
                  <c:v>269.62473906500315</c:v>
                </c:pt>
                <c:pt idx="97">
                  <c:v>266.40613622020487</c:v>
                </c:pt>
                <c:pt idx="98">
                  <c:v>270.78984416719254</c:v>
                </c:pt>
                <c:pt idx="99">
                  <c:v>271.348123695325</c:v>
                </c:pt>
                <c:pt idx="100">
                  <c:v>271.33355988154761</c:v>
                </c:pt>
                <c:pt idx="101">
                  <c:v>271.33355988154761</c:v>
                </c:pt>
                <c:pt idx="102">
                  <c:v>271.33355988154761</c:v>
                </c:pt>
                <c:pt idx="103">
                  <c:v>266.33331715131806</c:v>
                </c:pt>
                <c:pt idx="104">
                  <c:v>263.29918928103308</c:v>
                </c:pt>
                <c:pt idx="105">
                  <c:v>260.72624884703146</c:v>
                </c:pt>
                <c:pt idx="106">
                  <c:v>256.3473955046361</c:v>
                </c:pt>
                <c:pt idx="107">
                  <c:v>258.10476236710514</c:v>
                </c:pt>
                <c:pt idx="108">
                  <c:v>258.10476236710514</c:v>
                </c:pt>
                <c:pt idx="109">
                  <c:v>258.10476236710514</c:v>
                </c:pt>
                <c:pt idx="110">
                  <c:v>257.0852954026895</c:v>
                </c:pt>
                <c:pt idx="111">
                  <c:v>253.94922083596293</c:v>
                </c:pt>
                <c:pt idx="112">
                  <c:v>259.17277537744548</c:v>
                </c:pt>
                <c:pt idx="113">
                  <c:v>253.44434195834751</c:v>
                </c:pt>
                <c:pt idx="114">
                  <c:v>250.21117529977181</c:v>
                </c:pt>
                <c:pt idx="115">
                  <c:v>250.21117529977181</c:v>
                </c:pt>
                <c:pt idx="116">
                  <c:v>250.21117529977181</c:v>
                </c:pt>
                <c:pt idx="117">
                  <c:v>249.59949512112237</c:v>
                </c:pt>
                <c:pt idx="118">
                  <c:v>247.28870333511335</c:v>
                </c:pt>
                <c:pt idx="119">
                  <c:v>247.77416379435894</c:v>
                </c:pt>
                <c:pt idx="120">
                  <c:v>244.36137676586242</c:v>
                </c:pt>
                <c:pt idx="121">
                  <c:v>244.30797611534541</c:v>
                </c:pt>
                <c:pt idx="122">
                  <c:v>244.30797611534541</c:v>
                </c:pt>
                <c:pt idx="123">
                  <c:v>244.30797611534541</c:v>
                </c:pt>
                <c:pt idx="124">
                  <c:v>241.56512452060781</c:v>
                </c:pt>
                <c:pt idx="125">
                  <c:v>235.45317733870576</c:v>
                </c:pt>
                <c:pt idx="126">
                  <c:v>235.58425166270206</c:v>
                </c:pt>
                <c:pt idx="127">
                  <c:v>239.01160250497594</c:v>
                </c:pt>
                <c:pt idx="128">
                  <c:v>239.25918733919121</c:v>
                </c:pt>
                <c:pt idx="129">
                  <c:v>239.25918733919121</c:v>
                </c:pt>
                <c:pt idx="130">
                  <c:v>239.25918733919121</c:v>
                </c:pt>
                <c:pt idx="131">
                  <c:v>239.77863003058403</c:v>
                </c:pt>
                <c:pt idx="132">
                  <c:v>237.28336327006164</c:v>
                </c:pt>
                <c:pt idx="133">
                  <c:v>235.65221612699645</c:v>
                </c:pt>
                <c:pt idx="134">
                  <c:v>231.05490557794064</c:v>
                </c:pt>
                <c:pt idx="135">
                  <c:v>236.58915481334043</c:v>
                </c:pt>
                <c:pt idx="136">
                  <c:v>236.58915481334043</c:v>
                </c:pt>
                <c:pt idx="137">
                  <c:v>236.58915481334043</c:v>
                </c:pt>
                <c:pt idx="138">
                  <c:v>235.41434050196611</c:v>
                </c:pt>
                <c:pt idx="139">
                  <c:v>237.62318559153357</c:v>
                </c:pt>
                <c:pt idx="140">
                  <c:v>238.37079469877179</c:v>
                </c:pt>
                <c:pt idx="141">
                  <c:v>245.08471285013837</c:v>
                </c:pt>
                <c:pt idx="142">
                  <c:v>245.11869508228554</c:v>
                </c:pt>
                <c:pt idx="143">
                  <c:v>245.11869508228554</c:v>
                </c:pt>
                <c:pt idx="144">
                  <c:v>245.11869508228554</c:v>
                </c:pt>
                <c:pt idx="145">
                  <c:v>244.81770959755326</c:v>
                </c:pt>
                <c:pt idx="146">
                  <c:v>243.01665129375212</c:v>
                </c:pt>
                <c:pt idx="147">
                  <c:v>238.35623088499443</c:v>
                </c:pt>
                <c:pt idx="148">
                  <c:v>240.21554444390506</c:v>
                </c:pt>
                <c:pt idx="149">
                  <c:v>245.64299237827078</c:v>
                </c:pt>
                <c:pt idx="150">
                  <c:v>245.64299237827078</c:v>
                </c:pt>
                <c:pt idx="151">
                  <c:v>245.64299237827078</c:v>
                </c:pt>
                <c:pt idx="152">
                  <c:v>246.29836399825234</c:v>
                </c:pt>
                <c:pt idx="153">
                  <c:v>247.4586144958493</c:v>
                </c:pt>
                <c:pt idx="154">
                  <c:v>243.63804068158649</c:v>
                </c:pt>
                <c:pt idx="155">
                  <c:v>242.2253507451818</c:v>
                </c:pt>
                <c:pt idx="156">
                  <c:v>241.83212777319287</c:v>
                </c:pt>
                <c:pt idx="157">
                  <c:v>241.83212777319287</c:v>
                </c:pt>
                <c:pt idx="158">
                  <c:v>241.83212777319287</c:v>
                </c:pt>
                <c:pt idx="159">
                  <c:v>239.56988203310837</c:v>
                </c:pt>
                <c:pt idx="160">
                  <c:v>240.00194184183695</c:v>
                </c:pt>
                <c:pt idx="161">
                  <c:v>241.07480945676971</c:v>
                </c:pt>
                <c:pt idx="162">
                  <c:v>241.60396135734743</c:v>
                </c:pt>
                <c:pt idx="163">
                  <c:v>241.60396135734743</c:v>
                </c:pt>
                <c:pt idx="164">
                  <c:v>241.60396135734743</c:v>
                </c:pt>
                <c:pt idx="165">
                  <c:v>241.60396135734743</c:v>
                </c:pt>
                <c:pt idx="166">
                  <c:v>238.79799990290786</c:v>
                </c:pt>
                <c:pt idx="167">
                  <c:v>239.40968008155735</c:v>
                </c:pt>
                <c:pt idx="168">
                  <c:v>241.37579494150199</c:v>
                </c:pt>
                <c:pt idx="169">
                  <c:v>242.19136851303458</c:v>
                </c:pt>
                <c:pt idx="170">
                  <c:v>240.75926015826008</c:v>
                </c:pt>
                <c:pt idx="171">
                  <c:v>240.75926015826008</c:v>
                </c:pt>
                <c:pt idx="172">
                  <c:v>240.75926015826008</c:v>
                </c:pt>
                <c:pt idx="173">
                  <c:v>235.80756347395507</c:v>
                </c:pt>
                <c:pt idx="174">
                  <c:v>234.67644060391279</c:v>
                </c:pt>
                <c:pt idx="175">
                  <c:v>233.71522889460655</c:v>
                </c:pt>
                <c:pt idx="176">
                  <c:v>234.21039856303702</c:v>
                </c:pt>
                <c:pt idx="177">
                  <c:v>230.67624641972913</c:v>
                </c:pt>
                <c:pt idx="178">
                  <c:v>230.67624641972913</c:v>
                </c:pt>
                <c:pt idx="179">
                  <c:v>230.67624641972913</c:v>
                </c:pt>
                <c:pt idx="180">
                  <c:v>229.8800912665663</c:v>
                </c:pt>
                <c:pt idx="181">
                  <c:v>227.66639157240641</c:v>
                </c:pt>
                <c:pt idx="182">
                  <c:v>232.38506723627358</c:v>
                </c:pt>
                <c:pt idx="183">
                  <c:v>236.97266857614446</c:v>
                </c:pt>
                <c:pt idx="184">
                  <c:v>236.01145686683819</c:v>
                </c:pt>
                <c:pt idx="185">
                  <c:v>236.01145686683819</c:v>
                </c:pt>
                <c:pt idx="186">
                  <c:v>236.01145686683819</c:v>
                </c:pt>
                <c:pt idx="187">
                  <c:v>235.08908199427157</c:v>
                </c:pt>
                <c:pt idx="188">
                  <c:v>234.74440506820719</c:v>
                </c:pt>
                <c:pt idx="189">
                  <c:v>234.11816107578036</c:v>
                </c:pt>
                <c:pt idx="190">
                  <c:v>235.29297538715471</c:v>
                </c:pt>
                <c:pt idx="191">
                  <c:v>235.6570707315889</c:v>
                </c:pt>
                <c:pt idx="192">
                  <c:v>235.6570707315889</c:v>
                </c:pt>
                <c:pt idx="193">
                  <c:v>235.6570707315889</c:v>
                </c:pt>
                <c:pt idx="194">
                  <c:v>236.74450216029905</c:v>
                </c:pt>
                <c:pt idx="195">
                  <c:v>236.80761202000099</c:v>
                </c:pt>
                <c:pt idx="196">
                  <c:v>236.31729695616292</c:v>
                </c:pt>
                <c:pt idx="197">
                  <c:v>235.29297538715471</c:v>
                </c:pt>
                <c:pt idx="198">
                  <c:v>235.64250691781155</c:v>
                </c:pt>
                <c:pt idx="199">
                  <c:v>235.64250691781155</c:v>
                </c:pt>
                <c:pt idx="200">
                  <c:v>235.64250691781155</c:v>
                </c:pt>
                <c:pt idx="201">
                  <c:v>235.01626292538472</c:v>
                </c:pt>
                <c:pt idx="202">
                  <c:v>231.88018835865819</c:v>
                </c:pt>
                <c:pt idx="203">
                  <c:v>230.76848390698578</c:v>
                </c:pt>
                <c:pt idx="204">
                  <c:v>234.10845186659546</c:v>
                </c:pt>
                <c:pt idx="205">
                  <c:v>234.55022088450895</c:v>
                </c:pt>
                <c:pt idx="206">
                  <c:v>234.55022088450895</c:v>
                </c:pt>
                <c:pt idx="207">
                  <c:v>234.55022088450895</c:v>
                </c:pt>
                <c:pt idx="208">
                  <c:v>231.23938055245395</c:v>
                </c:pt>
                <c:pt idx="209">
                  <c:v>232.54526918782466</c:v>
                </c:pt>
                <c:pt idx="210">
                  <c:v>227.4819165978931</c:v>
                </c:pt>
                <c:pt idx="211">
                  <c:v>226.06437205689596</c:v>
                </c:pt>
                <c:pt idx="212">
                  <c:v>227.22947715908538</c:v>
                </c:pt>
                <c:pt idx="213">
                  <c:v>227.22947715908538</c:v>
                </c:pt>
                <c:pt idx="214">
                  <c:v>227.22947715908538</c:v>
                </c:pt>
                <c:pt idx="215">
                  <c:v>231.72969561629202</c:v>
                </c:pt>
                <c:pt idx="216">
                  <c:v>233.79290256808582</c:v>
                </c:pt>
                <c:pt idx="217">
                  <c:v>234.96771687946017</c:v>
                </c:pt>
                <c:pt idx="218">
                  <c:v>235.81241807854747</c:v>
                </c:pt>
                <c:pt idx="219">
                  <c:v>233.10840332054954</c:v>
                </c:pt>
                <c:pt idx="220">
                  <c:v>233.10840332054954</c:v>
                </c:pt>
                <c:pt idx="221">
                  <c:v>233.10840332054954</c:v>
                </c:pt>
                <c:pt idx="222">
                  <c:v>228.40914607505218</c:v>
                </c:pt>
                <c:pt idx="223">
                  <c:v>227.94310403417643</c:v>
                </c:pt>
                <c:pt idx="224">
                  <c:v>229.7587261517549</c:v>
                </c:pt>
                <c:pt idx="225">
                  <c:v>227.27802320500996</c:v>
                </c:pt>
                <c:pt idx="226">
                  <c:v>227.27802320500996</c:v>
                </c:pt>
                <c:pt idx="227">
                  <c:v>227.27802320500996</c:v>
                </c:pt>
                <c:pt idx="228">
                  <c:v>227.27802320500996</c:v>
                </c:pt>
                <c:pt idx="229">
                  <c:v>227.99165008010095</c:v>
                </c:pt>
                <c:pt idx="230">
                  <c:v>231.48696538666923</c:v>
                </c:pt>
                <c:pt idx="231">
                  <c:v>231.63745812903537</c:v>
                </c:pt>
                <c:pt idx="232">
                  <c:v>229.52570513131704</c:v>
                </c:pt>
                <c:pt idx="233">
                  <c:v>224.37982426331376</c:v>
                </c:pt>
                <c:pt idx="234">
                  <c:v>224.37982426331376</c:v>
                </c:pt>
                <c:pt idx="235">
                  <c:v>224.37982426331376</c:v>
                </c:pt>
                <c:pt idx="236">
                  <c:v>228.1955434729841</c:v>
                </c:pt>
                <c:pt idx="237">
                  <c:v>226.5449779115491</c:v>
                </c:pt>
                <c:pt idx="238">
                  <c:v>225.47211029661631</c:v>
                </c:pt>
                <c:pt idx="239">
                  <c:v>225.54978397009563</c:v>
                </c:pt>
                <c:pt idx="240">
                  <c:v>225.01092286033301</c:v>
                </c:pt>
                <c:pt idx="241">
                  <c:v>225.01092286033301</c:v>
                </c:pt>
                <c:pt idx="242">
                  <c:v>225.01092286033301</c:v>
                </c:pt>
                <c:pt idx="243">
                  <c:v>228.73440458274672</c:v>
                </c:pt>
                <c:pt idx="244">
                  <c:v>226.10320889363561</c:v>
                </c:pt>
                <c:pt idx="245">
                  <c:v>228.52565658527112</c:v>
                </c:pt>
                <c:pt idx="246">
                  <c:v>230.99665032283121</c:v>
                </c:pt>
                <c:pt idx="247">
                  <c:v>228.50623816690128</c:v>
                </c:pt>
                <c:pt idx="248">
                  <c:v>228.50623816690128</c:v>
                </c:pt>
                <c:pt idx="249">
                  <c:v>228.50623816690128</c:v>
                </c:pt>
                <c:pt idx="250">
                  <c:v>227.52075343463275</c:v>
                </c:pt>
                <c:pt idx="251">
                  <c:v>225.21967085780861</c:v>
                </c:pt>
                <c:pt idx="252">
                  <c:v>225.02548667411037</c:v>
                </c:pt>
                <c:pt idx="253">
                  <c:v>225.14685178892177</c:v>
                </c:pt>
                <c:pt idx="254">
                  <c:v>230.59371814165735</c:v>
                </c:pt>
                <c:pt idx="255">
                  <c:v>230.59371814165735</c:v>
                </c:pt>
                <c:pt idx="256">
                  <c:v>230.59371814165735</c:v>
                </c:pt>
                <c:pt idx="257">
                  <c:v>225.64202145735229</c:v>
                </c:pt>
                <c:pt idx="258">
                  <c:v>229.97718335841543</c:v>
                </c:pt>
                <c:pt idx="259">
                  <c:v>227.34598766930435</c:v>
                </c:pt>
                <c:pt idx="260">
                  <c:v>229.2975387154716</c:v>
                </c:pt>
                <c:pt idx="261">
                  <c:v>229.2975387154716</c:v>
                </c:pt>
                <c:pt idx="262">
                  <c:v>229.2975387154716</c:v>
                </c:pt>
                <c:pt idx="263">
                  <c:v>229.2975387154716</c:v>
                </c:pt>
                <c:pt idx="264">
                  <c:v>227.04014757997962</c:v>
                </c:pt>
                <c:pt idx="265">
                  <c:v>223.54968687800377</c:v>
                </c:pt>
                <c:pt idx="266">
                  <c:v>223.08849944172047</c:v>
                </c:pt>
                <c:pt idx="267">
                  <c:v>222.91858828098449</c:v>
                </c:pt>
                <c:pt idx="268">
                  <c:v>219.05917762998203</c:v>
                </c:pt>
                <c:pt idx="269">
                  <c:v>219.05917762998203</c:v>
                </c:pt>
                <c:pt idx="270">
                  <c:v>219.05917762998203</c:v>
                </c:pt>
                <c:pt idx="271">
                  <c:v>220.88450895674546</c:v>
                </c:pt>
                <c:pt idx="272">
                  <c:v>214.43759405796396</c:v>
                </c:pt>
                <c:pt idx="273">
                  <c:v>210.56361959318414</c:v>
                </c:pt>
                <c:pt idx="274">
                  <c:v>213.5734744405068</c:v>
                </c:pt>
                <c:pt idx="275">
                  <c:v>214.38904801203938</c:v>
                </c:pt>
                <c:pt idx="276">
                  <c:v>214.38904801203938</c:v>
                </c:pt>
                <c:pt idx="277">
                  <c:v>214.38904801203938</c:v>
                </c:pt>
                <c:pt idx="278">
                  <c:v>209.03927375115296</c:v>
                </c:pt>
                <c:pt idx="279">
                  <c:v>205.04878877615417</c:v>
                </c:pt>
                <c:pt idx="280">
                  <c:v>213.63658430020874</c:v>
                </c:pt>
                <c:pt idx="281">
                  <c:v>211.70930627700372</c:v>
                </c:pt>
                <c:pt idx="282">
                  <c:v>219.70969464537112</c:v>
                </c:pt>
                <c:pt idx="283">
                  <c:v>219.70969464537112</c:v>
                </c:pt>
                <c:pt idx="284">
                  <c:v>219.70969464537112</c:v>
                </c:pt>
                <c:pt idx="285">
                  <c:v>217.76785280838874</c:v>
                </c:pt>
                <c:pt idx="286">
                  <c:v>215.46191562697214</c:v>
                </c:pt>
                <c:pt idx="287">
                  <c:v>215.80659255303652</c:v>
                </c:pt>
                <c:pt idx="288">
                  <c:v>218.52517112481186</c:v>
                </c:pt>
                <c:pt idx="289">
                  <c:v>221.46706150784019</c:v>
                </c:pt>
                <c:pt idx="290">
                  <c:v>221.46706150784019</c:v>
                </c:pt>
                <c:pt idx="291">
                  <c:v>221.46706150784019</c:v>
                </c:pt>
                <c:pt idx="292">
                  <c:v>226.36535754162824</c:v>
                </c:pt>
                <c:pt idx="293">
                  <c:v>222.92344288557695</c:v>
                </c:pt>
                <c:pt idx="294">
                  <c:v>226.39448516918299</c:v>
                </c:pt>
                <c:pt idx="295">
                  <c:v>229.06451769503374</c:v>
                </c:pt>
                <c:pt idx="296">
                  <c:v>226.28768386814895</c:v>
                </c:pt>
                <c:pt idx="297">
                  <c:v>226.28768386814895</c:v>
                </c:pt>
                <c:pt idx="298">
                  <c:v>226.28768386814895</c:v>
                </c:pt>
                <c:pt idx="299">
                  <c:v>220.93790960726247</c:v>
                </c:pt>
                <c:pt idx="300">
                  <c:v>223.20986455653187</c:v>
                </c:pt>
                <c:pt idx="301">
                  <c:v>221.98164959464052</c:v>
                </c:pt>
                <c:pt idx="302">
                  <c:v>224.2827321714646</c:v>
                </c:pt>
                <c:pt idx="303">
                  <c:v>232.43361328219817</c:v>
                </c:pt>
                <c:pt idx="304">
                  <c:v>232.43361328219817</c:v>
                </c:pt>
                <c:pt idx="305">
                  <c:v>232.43361328219817</c:v>
                </c:pt>
                <c:pt idx="306">
                  <c:v>233.02102043788531</c:v>
                </c:pt>
                <c:pt idx="307">
                  <c:v>231.71027719792221</c:v>
                </c:pt>
                <c:pt idx="308">
                  <c:v>235.42890431574347</c:v>
                </c:pt>
                <c:pt idx="309">
                  <c:v>234.80266032331664</c:v>
                </c:pt>
                <c:pt idx="310">
                  <c:v>235.49201417544538</c:v>
                </c:pt>
                <c:pt idx="311">
                  <c:v>235.49201417544538</c:v>
                </c:pt>
                <c:pt idx="312">
                  <c:v>235.49201417544538</c:v>
                </c:pt>
                <c:pt idx="313">
                  <c:v>235.68134375455122</c:v>
                </c:pt>
                <c:pt idx="314">
                  <c:v>234.21525316762944</c:v>
                </c:pt>
                <c:pt idx="315">
                  <c:v>234.89975241516578</c:v>
                </c:pt>
                <c:pt idx="316">
                  <c:v>237.13772513228798</c:v>
                </c:pt>
                <c:pt idx="317">
                  <c:v>231.05490557794064</c:v>
                </c:pt>
                <c:pt idx="318">
                  <c:v>231.05490557794064</c:v>
                </c:pt>
                <c:pt idx="319">
                  <c:v>231.05490557794064</c:v>
                </c:pt>
                <c:pt idx="320">
                  <c:v>231.05490557794064</c:v>
                </c:pt>
                <c:pt idx="321">
                  <c:v>225.08859653381231</c:v>
                </c:pt>
                <c:pt idx="322">
                  <c:v>221.44764308947038</c:v>
                </c:pt>
                <c:pt idx="323">
                  <c:v>229.43832224865287</c:v>
                </c:pt>
                <c:pt idx="324">
                  <c:v>234.01135977474635</c:v>
                </c:pt>
                <c:pt idx="325">
                  <c:v>234.01135977474635</c:v>
                </c:pt>
                <c:pt idx="326">
                  <c:v>234.01135977474635</c:v>
                </c:pt>
                <c:pt idx="327">
                  <c:v>224.13709403369094</c:v>
                </c:pt>
                <c:pt idx="328">
                  <c:v>221.98650419923297</c:v>
                </c:pt>
                <c:pt idx="329">
                  <c:v>225.28278071751055</c:v>
                </c:pt>
                <c:pt idx="330">
                  <c:v>230.7296470702461</c:v>
                </c:pt>
                <c:pt idx="331">
                  <c:v>230.33156949366474</c:v>
                </c:pt>
                <c:pt idx="332">
                  <c:v>230.33156949366474</c:v>
                </c:pt>
                <c:pt idx="333">
                  <c:v>230.33156949366474</c:v>
                </c:pt>
                <c:pt idx="334">
                  <c:v>225.32647215884265</c:v>
                </c:pt>
                <c:pt idx="335">
                  <c:v>234.763823486577</c:v>
                </c:pt>
                <c:pt idx="336">
                  <c:v>232.13748240205834</c:v>
                </c:pt>
                <c:pt idx="337">
                  <c:v>228.54022039904848</c:v>
                </c:pt>
                <c:pt idx="338">
                  <c:v>219.02519539783484</c:v>
                </c:pt>
                <c:pt idx="339">
                  <c:v>219.02519539783484</c:v>
                </c:pt>
                <c:pt idx="340">
                  <c:v>219.02519539783484</c:v>
                </c:pt>
                <c:pt idx="341">
                  <c:v>220.24855575513374</c:v>
                </c:pt>
                <c:pt idx="342">
                  <c:v>212.43264236127965</c:v>
                </c:pt>
                <c:pt idx="343">
                  <c:v>215.35025972134571</c:v>
                </c:pt>
                <c:pt idx="344">
                  <c:v>204.50021845720667</c:v>
                </c:pt>
                <c:pt idx="345">
                  <c:v>218.52517112481186</c:v>
                </c:pt>
                <c:pt idx="346">
                  <c:v>218.52517112481186</c:v>
                </c:pt>
                <c:pt idx="347">
                  <c:v>218.52517112481186</c:v>
                </c:pt>
                <c:pt idx="348">
                  <c:v>215.3454051167532</c:v>
                </c:pt>
                <c:pt idx="349">
                  <c:v>224.79732025826499</c:v>
                </c:pt>
                <c:pt idx="350">
                  <c:v>233.26860527210056</c:v>
                </c:pt>
                <c:pt idx="351">
                  <c:v>237.67173163745809</c:v>
                </c:pt>
                <c:pt idx="352">
                  <c:v>228.10330598572745</c:v>
                </c:pt>
                <c:pt idx="353">
                  <c:v>228.10330598572745</c:v>
                </c:pt>
                <c:pt idx="354">
                  <c:v>228.10330598572745</c:v>
                </c:pt>
                <c:pt idx="355">
                  <c:v>221.93310354871593</c:v>
                </c:pt>
                <c:pt idx="356">
                  <c:v>233.44822564202144</c:v>
                </c:pt>
                <c:pt idx="357">
                  <c:v>229.08879071799601</c:v>
                </c:pt>
                <c:pt idx="358">
                  <c:v>231.25394436623137</c:v>
                </c:pt>
                <c:pt idx="359">
                  <c:v>237.85620661197143</c:v>
                </c:pt>
                <c:pt idx="360">
                  <c:v>237.85620661197143</c:v>
                </c:pt>
                <c:pt idx="361">
                  <c:v>237.85620661197143</c:v>
                </c:pt>
                <c:pt idx="362">
                  <c:v>234.60362153502595</c:v>
                </c:pt>
                <c:pt idx="363">
                  <c:v>234.2249623768144</c:v>
                </c:pt>
                <c:pt idx="364">
                  <c:v>237.45327443079759</c:v>
                </c:pt>
                <c:pt idx="365">
                  <c:v>236.08913054031748</c:v>
                </c:pt>
                <c:pt idx="366">
                  <c:v>236.08913054031748</c:v>
                </c:pt>
                <c:pt idx="367">
                  <c:v>236.08913054031748</c:v>
                </c:pt>
                <c:pt idx="368">
                  <c:v>236.08913054031748</c:v>
                </c:pt>
                <c:pt idx="369">
                  <c:v>232.23942909849993</c:v>
                </c:pt>
                <c:pt idx="370">
                  <c:v>228.19068886839165</c:v>
                </c:pt>
                <c:pt idx="371">
                  <c:v>230.41409777173646</c:v>
                </c:pt>
                <c:pt idx="372">
                  <c:v>229.47715908539249</c:v>
                </c:pt>
                <c:pt idx="373">
                  <c:v>226.22942861303949</c:v>
                </c:pt>
                <c:pt idx="374">
                  <c:v>226.22942861303949</c:v>
                </c:pt>
                <c:pt idx="375">
                  <c:v>226.22942861303949</c:v>
                </c:pt>
                <c:pt idx="376">
                  <c:v>228.47225593475412</c:v>
                </c:pt>
                <c:pt idx="377">
                  <c:v>225.83135103645807</c:v>
                </c:pt>
                <c:pt idx="378">
                  <c:v>231.50638380503906</c:v>
                </c:pt>
                <c:pt idx="379">
                  <c:v>226.58381474828872</c:v>
                </c:pt>
                <c:pt idx="380">
                  <c:v>218.69993689014029</c:v>
                </c:pt>
                <c:pt idx="381">
                  <c:v>218.69993689014029</c:v>
                </c:pt>
                <c:pt idx="382">
                  <c:v>218.69993689014029</c:v>
                </c:pt>
                <c:pt idx="383">
                  <c:v>219.30190785960485</c:v>
                </c:pt>
                <c:pt idx="384">
                  <c:v>215.88426622651582</c:v>
                </c:pt>
                <c:pt idx="385">
                  <c:v>225.19054323025389</c:v>
                </c:pt>
                <c:pt idx="386">
                  <c:v>225.63716685275983</c:v>
                </c:pt>
                <c:pt idx="387">
                  <c:v>225.74882275838632</c:v>
                </c:pt>
                <c:pt idx="388">
                  <c:v>225.74882275838632</c:v>
                </c:pt>
                <c:pt idx="389">
                  <c:v>225.74882275838632</c:v>
                </c:pt>
                <c:pt idx="390">
                  <c:v>226.62265158502839</c:v>
                </c:pt>
                <c:pt idx="391">
                  <c:v>224.22447691635514</c:v>
                </c:pt>
                <c:pt idx="392">
                  <c:v>222.95742511772417</c:v>
                </c:pt>
                <c:pt idx="393">
                  <c:v>216.44254575464831</c:v>
                </c:pt>
                <c:pt idx="394">
                  <c:v>216.44254575464831</c:v>
                </c:pt>
                <c:pt idx="395">
                  <c:v>216.44254575464831</c:v>
                </c:pt>
                <c:pt idx="396">
                  <c:v>216.44254575464831</c:v>
                </c:pt>
                <c:pt idx="397">
                  <c:v>219.46210981115587</c:v>
                </c:pt>
                <c:pt idx="398">
                  <c:v>219.04461381620465</c:v>
                </c:pt>
                <c:pt idx="399">
                  <c:v>218.16107578037767</c:v>
                </c:pt>
                <c:pt idx="400">
                  <c:v>216.39885431331618</c:v>
                </c:pt>
                <c:pt idx="401">
                  <c:v>216.34059905820669</c:v>
                </c:pt>
                <c:pt idx="402">
                  <c:v>216.34059905820669</c:v>
                </c:pt>
                <c:pt idx="403">
                  <c:v>216.34059905820669</c:v>
                </c:pt>
                <c:pt idx="404">
                  <c:v>215.24831302490409</c:v>
                </c:pt>
                <c:pt idx="405">
                  <c:v>206.54400699063058</c:v>
                </c:pt>
                <c:pt idx="406">
                  <c:v>207.82562260303899</c:v>
                </c:pt>
                <c:pt idx="407">
                  <c:v>206.42749648041166</c:v>
                </c:pt>
                <c:pt idx="408">
                  <c:v>212.55886208068353</c:v>
                </c:pt>
                <c:pt idx="409">
                  <c:v>212.55886208068353</c:v>
                </c:pt>
                <c:pt idx="410">
                  <c:v>212.55886208068353</c:v>
                </c:pt>
                <c:pt idx="411">
                  <c:v>212.55886208068353</c:v>
                </c:pt>
                <c:pt idx="412">
                  <c:v>211.09277149376183</c:v>
                </c:pt>
                <c:pt idx="413">
                  <c:v>208.28195543472984</c:v>
                </c:pt>
                <c:pt idx="414">
                  <c:v>209.66066313898733</c:v>
                </c:pt>
                <c:pt idx="415">
                  <c:v>209.45676974610416</c:v>
                </c:pt>
                <c:pt idx="416">
                  <c:v>209.45676974610416</c:v>
                </c:pt>
                <c:pt idx="417">
                  <c:v>209.45676974610416</c:v>
                </c:pt>
                <c:pt idx="418">
                  <c:v>209.45676974610416</c:v>
                </c:pt>
                <c:pt idx="419">
                  <c:v>206.54400699063058</c:v>
                </c:pt>
                <c:pt idx="420">
                  <c:v>210.25292489926696</c:v>
                </c:pt>
                <c:pt idx="421">
                  <c:v>208.20428176125051</c:v>
                </c:pt>
                <c:pt idx="422">
                  <c:v>210.96169716976553</c:v>
                </c:pt>
                <c:pt idx="423">
                  <c:v>210.96169716976553</c:v>
                </c:pt>
                <c:pt idx="424">
                  <c:v>210.96169716976553</c:v>
                </c:pt>
                <c:pt idx="425">
                  <c:v>206.85470168454779</c:v>
                </c:pt>
                <c:pt idx="426">
                  <c:v>206.27214913345307</c:v>
                </c:pt>
                <c:pt idx="427">
                  <c:v>202.95159959221323</c:v>
                </c:pt>
                <c:pt idx="428">
                  <c:v>199.9126171173358</c:v>
                </c:pt>
                <c:pt idx="429">
                  <c:v>197.00956357104712</c:v>
                </c:pt>
                <c:pt idx="430">
                  <c:v>197.00956357104712</c:v>
                </c:pt>
                <c:pt idx="431">
                  <c:v>197.00956357104712</c:v>
                </c:pt>
                <c:pt idx="432">
                  <c:v>199.05820670906357</c:v>
                </c:pt>
                <c:pt idx="433">
                  <c:v>202.05835234720132</c:v>
                </c:pt>
                <c:pt idx="434">
                  <c:v>205.54881304917717</c:v>
                </c:pt>
                <c:pt idx="435">
                  <c:v>204.32545269187824</c:v>
                </c:pt>
                <c:pt idx="436">
                  <c:v>199.85436186222631</c:v>
                </c:pt>
                <c:pt idx="437">
                  <c:v>199.85436186222631</c:v>
                </c:pt>
                <c:pt idx="438">
                  <c:v>199.85436186222631</c:v>
                </c:pt>
                <c:pt idx="439">
                  <c:v>194.08709160638867</c:v>
                </c:pt>
                <c:pt idx="440">
                  <c:v>195.99495121122385</c:v>
                </c:pt>
                <c:pt idx="441">
                  <c:v>196.40273799699014</c:v>
                </c:pt>
                <c:pt idx="442">
                  <c:v>194.9512112238458</c:v>
                </c:pt>
                <c:pt idx="443">
                  <c:v>191.73260837904752</c:v>
                </c:pt>
                <c:pt idx="444">
                  <c:v>191.73260837904752</c:v>
                </c:pt>
                <c:pt idx="445">
                  <c:v>191.73260837904752</c:v>
                </c:pt>
                <c:pt idx="446">
                  <c:v>189.73251128695566</c:v>
                </c:pt>
                <c:pt idx="447">
                  <c:v>189.73251128695566</c:v>
                </c:pt>
                <c:pt idx="448">
                  <c:v>190.41215592989951</c:v>
                </c:pt>
                <c:pt idx="449">
                  <c:v>187.87319772804506</c:v>
                </c:pt>
                <c:pt idx="450">
                  <c:v>186.0915578426137</c:v>
                </c:pt>
                <c:pt idx="451">
                  <c:v>186.0915578426137</c:v>
                </c:pt>
                <c:pt idx="452">
                  <c:v>186.0915578426137</c:v>
                </c:pt>
                <c:pt idx="453">
                  <c:v>186.57701830185928</c:v>
                </c:pt>
                <c:pt idx="454">
                  <c:v>184.77595999805817</c:v>
                </c:pt>
                <c:pt idx="455">
                  <c:v>184.76625078887326</c:v>
                </c:pt>
                <c:pt idx="456">
                  <c:v>184.86819748531482</c:v>
                </c:pt>
                <c:pt idx="457">
                  <c:v>181.31948152822952</c:v>
                </c:pt>
                <c:pt idx="458">
                  <c:v>181.31948152822952</c:v>
                </c:pt>
                <c:pt idx="459">
                  <c:v>181.31948152822952</c:v>
                </c:pt>
                <c:pt idx="460">
                  <c:v>179.71746201271907</c:v>
                </c:pt>
                <c:pt idx="461">
                  <c:v>182.49429583960386</c:v>
                </c:pt>
                <c:pt idx="462">
                  <c:v>176.28525656585271</c:v>
                </c:pt>
                <c:pt idx="463">
                  <c:v>182.30982086509053</c:v>
                </c:pt>
                <c:pt idx="464">
                  <c:v>184.77595999805817</c:v>
                </c:pt>
                <c:pt idx="465">
                  <c:v>184.77595999805817</c:v>
                </c:pt>
                <c:pt idx="466">
                  <c:v>184.77595999805817</c:v>
                </c:pt>
                <c:pt idx="467">
                  <c:v>184.89732511286957</c:v>
                </c:pt>
                <c:pt idx="468">
                  <c:v>177.01344725472111</c:v>
                </c:pt>
                <c:pt idx="469">
                  <c:v>171.73649206272148</c:v>
                </c:pt>
                <c:pt idx="470">
                  <c:v>170.51798631001503</c:v>
                </c:pt>
                <c:pt idx="471">
                  <c:v>169.73154036603717</c:v>
                </c:pt>
                <c:pt idx="472">
                  <c:v>169.73154036603717</c:v>
                </c:pt>
                <c:pt idx="473">
                  <c:v>169.73154036603717</c:v>
                </c:pt>
                <c:pt idx="474">
                  <c:v>172.34331763677849</c:v>
                </c:pt>
                <c:pt idx="475">
                  <c:v>168.55672605466282</c:v>
                </c:pt>
                <c:pt idx="476">
                  <c:v>174.57158114471576</c:v>
                </c:pt>
                <c:pt idx="477">
                  <c:v>176.2415651245206</c:v>
                </c:pt>
                <c:pt idx="478">
                  <c:v>180.94082237001797</c:v>
                </c:pt>
                <c:pt idx="479">
                  <c:v>180.94082237001797</c:v>
                </c:pt>
                <c:pt idx="480">
                  <c:v>180.94082237001797</c:v>
                </c:pt>
                <c:pt idx="481">
                  <c:v>181.25637166852761</c:v>
                </c:pt>
                <c:pt idx="482">
                  <c:v>180.6155638623234</c:v>
                </c:pt>
                <c:pt idx="483">
                  <c:v>183.01373853099665</c:v>
                </c:pt>
                <c:pt idx="484">
                  <c:v>182.42147677071699</c:v>
                </c:pt>
                <c:pt idx="485">
                  <c:v>183.81960289334432</c:v>
                </c:pt>
                <c:pt idx="486">
                  <c:v>183.81960289334432</c:v>
                </c:pt>
                <c:pt idx="487">
                  <c:v>183.81960289334432</c:v>
                </c:pt>
                <c:pt idx="488">
                  <c:v>184.44099228117869</c:v>
                </c:pt>
                <c:pt idx="489">
                  <c:v>184.62061265109958</c:v>
                </c:pt>
                <c:pt idx="490">
                  <c:v>185.19831059760182</c:v>
                </c:pt>
                <c:pt idx="491">
                  <c:v>185.65464342929266</c:v>
                </c:pt>
                <c:pt idx="492">
                  <c:v>182.87295499781541</c:v>
                </c:pt>
                <c:pt idx="493">
                  <c:v>182.87295499781541</c:v>
                </c:pt>
                <c:pt idx="494">
                  <c:v>182.87295499781541</c:v>
                </c:pt>
                <c:pt idx="495">
                  <c:v>181.23695325015777</c:v>
                </c:pt>
                <c:pt idx="496">
                  <c:v>178.03776882372929</c:v>
                </c:pt>
                <c:pt idx="497">
                  <c:v>176.69789795621148</c:v>
                </c:pt>
                <c:pt idx="498">
                  <c:v>177.72707412981214</c:v>
                </c:pt>
                <c:pt idx="499">
                  <c:v>173.22685567260544</c:v>
                </c:pt>
                <c:pt idx="500">
                  <c:v>173.22685567260544</c:v>
                </c:pt>
                <c:pt idx="501">
                  <c:v>173.22685567260544</c:v>
                </c:pt>
                <c:pt idx="502">
                  <c:v>178.94072527792613</c:v>
                </c:pt>
                <c:pt idx="503">
                  <c:v>176.86295451235497</c:v>
                </c:pt>
                <c:pt idx="504">
                  <c:v>176.83382688480023</c:v>
                </c:pt>
                <c:pt idx="505">
                  <c:v>178.30962668090683</c:v>
                </c:pt>
                <c:pt idx="506">
                  <c:v>173.21229185882808</c:v>
                </c:pt>
                <c:pt idx="507">
                  <c:v>173.21229185882808</c:v>
                </c:pt>
                <c:pt idx="508">
                  <c:v>173.21229185882808</c:v>
                </c:pt>
                <c:pt idx="509">
                  <c:v>171.13452109325692</c:v>
                </c:pt>
                <c:pt idx="510">
                  <c:v>170.68304286615853</c:v>
                </c:pt>
                <c:pt idx="511">
                  <c:v>175.53764745861446</c:v>
                </c:pt>
                <c:pt idx="512">
                  <c:v>170.78013495800769</c:v>
                </c:pt>
                <c:pt idx="513">
                  <c:v>174.63469100441768</c:v>
                </c:pt>
                <c:pt idx="514">
                  <c:v>174.63469100441768</c:v>
                </c:pt>
                <c:pt idx="515">
                  <c:v>174.63469100441768</c:v>
                </c:pt>
                <c:pt idx="516">
                  <c:v>177.63969124714791</c:v>
                </c:pt>
                <c:pt idx="517">
                  <c:v>178.18340696150298</c:v>
                </c:pt>
                <c:pt idx="518">
                  <c:v>178.12029710180107</c:v>
                </c:pt>
                <c:pt idx="519">
                  <c:v>175.83377833875429</c:v>
                </c:pt>
                <c:pt idx="520">
                  <c:v>174.62012719064032</c:v>
                </c:pt>
                <c:pt idx="521">
                  <c:v>174.62012719064032</c:v>
                </c:pt>
                <c:pt idx="522">
                  <c:v>174.62012719064032</c:v>
                </c:pt>
                <c:pt idx="523">
                  <c:v>173.34822078741686</c:v>
                </c:pt>
                <c:pt idx="524">
                  <c:v>174.78032914219136</c:v>
                </c:pt>
                <c:pt idx="525">
                  <c:v>170.17330938395068</c:v>
                </c:pt>
                <c:pt idx="526">
                  <c:v>176.19787368318848</c:v>
                </c:pt>
                <c:pt idx="527">
                  <c:v>176.19787368318848</c:v>
                </c:pt>
                <c:pt idx="528">
                  <c:v>176.19787368318848</c:v>
                </c:pt>
                <c:pt idx="529">
                  <c:v>176.19787368318848</c:v>
                </c:pt>
                <c:pt idx="530">
                  <c:v>170.92577309578132</c:v>
                </c:pt>
                <c:pt idx="531">
                  <c:v>182.05252682169035</c:v>
                </c:pt>
                <c:pt idx="532">
                  <c:v>174.54245351716102</c:v>
                </c:pt>
                <c:pt idx="533">
                  <c:v>168.5275984271081</c:v>
                </c:pt>
                <c:pt idx="534">
                  <c:v>167.39647555706588</c:v>
                </c:pt>
                <c:pt idx="535">
                  <c:v>167.39647555706588</c:v>
                </c:pt>
                <c:pt idx="536">
                  <c:v>167.39647555706588</c:v>
                </c:pt>
                <c:pt idx="537">
                  <c:v>164.6390601485509</c:v>
                </c:pt>
                <c:pt idx="538">
                  <c:v>164.89635419195105</c:v>
                </c:pt>
                <c:pt idx="539">
                  <c:v>163.18267877081411</c:v>
                </c:pt>
                <c:pt idx="540">
                  <c:v>162.14379338802854</c:v>
                </c:pt>
                <c:pt idx="541">
                  <c:v>160.21166076023107</c:v>
                </c:pt>
                <c:pt idx="542">
                  <c:v>160.21166076023107</c:v>
                </c:pt>
                <c:pt idx="543">
                  <c:v>160.21166076023107</c:v>
                </c:pt>
                <c:pt idx="544">
                  <c:v>159.6339628137288</c:v>
                </c:pt>
                <c:pt idx="545">
                  <c:v>159.81843778824214</c:v>
                </c:pt>
                <c:pt idx="546">
                  <c:v>159.54172532647215</c:v>
                </c:pt>
                <c:pt idx="547">
                  <c:v>160.35729889800473</c:v>
                </c:pt>
                <c:pt idx="548">
                  <c:v>159.14364774989076</c:v>
                </c:pt>
                <c:pt idx="549">
                  <c:v>159.14364774989076</c:v>
                </c:pt>
                <c:pt idx="550">
                  <c:v>159.14364774989076</c:v>
                </c:pt>
                <c:pt idx="551">
                  <c:v>159.92038448468372</c:v>
                </c:pt>
                <c:pt idx="552">
                  <c:v>161.96902762270011</c:v>
                </c:pt>
                <c:pt idx="553">
                  <c:v>157.30375260934994</c:v>
                </c:pt>
                <c:pt idx="554">
                  <c:v>158.92033593863778</c:v>
                </c:pt>
                <c:pt idx="555">
                  <c:v>158.22612748191659</c:v>
                </c:pt>
                <c:pt idx="556">
                  <c:v>158.22612748191659</c:v>
                </c:pt>
                <c:pt idx="557">
                  <c:v>158.22612748191659</c:v>
                </c:pt>
                <c:pt idx="558">
                  <c:v>159.79416476527987</c:v>
                </c:pt>
                <c:pt idx="559">
                  <c:v>159.97863973979321</c:v>
                </c:pt>
                <c:pt idx="560">
                  <c:v>159.42036021166075</c:v>
                </c:pt>
                <c:pt idx="561">
                  <c:v>155.94446332346229</c:v>
                </c:pt>
                <c:pt idx="562">
                  <c:v>153.76960046604205</c:v>
                </c:pt>
                <c:pt idx="563">
                  <c:v>153.76960046604205</c:v>
                </c:pt>
                <c:pt idx="564">
                  <c:v>153.76960046604205</c:v>
                </c:pt>
                <c:pt idx="565">
                  <c:v>151.51220933055004</c:v>
                </c:pt>
                <c:pt idx="566">
                  <c:v>149.93446283800185</c:v>
                </c:pt>
                <c:pt idx="567">
                  <c:v>149.20627214913347</c:v>
                </c:pt>
                <c:pt idx="568">
                  <c:v>151.79377639691248</c:v>
                </c:pt>
                <c:pt idx="569">
                  <c:v>148.44895383271032</c:v>
                </c:pt>
                <c:pt idx="570">
                  <c:v>148.44895383271032</c:v>
                </c:pt>
                <c:pt idx="571">
                  <c:v>148.44895383271032</c:v>
                </c:pt>
                <c:pt idx="572">
                  <c:v>150.33254041458324</c:v>
                </c:pt>
                <c:pt idx="573">
                  <c:v>152.33749211126752</c:v>
                </c:pt>
                <c:pt idx="574">
                  <c:v>152.59964075926013</c:v>
                </c:pt>
                <c:pt idx="575">
                  <c:v>153.95407544055536</c:v>
                </c:pt>
                <c:pt idx="576">
                  <c:v>151.80834021068983</c:v>
                </c:pt>
                <c:pt idx="577">
                  <c:v>151.80834021068983</c:v>
                </c:pt>
                <c:pt idx="578">
                  <c:v>151.80834021068983</c:v>
                </c:pt>
                <c:pt idx="579">
                  <c:v>151.14325938152336</c:v>
                </c:pt>
                <c:pt idx="580">
                  <c:v>152.32778290208259</c:v>
                </c:pt>
                <c:pt idx="581">
                  <c:v>152.95888149910189</c:v>
                </c:pt>
                <c:pt idx="582">
                  <c:v>151.12869556774601</c:v>
                </c:pt>
                <c:pt idx="583">
                  <c:v>155.0754891014127</c:v>
                </c:pt>
                <c:pt idx="584">
                  <c:v>155.0754891014127</c:v>
                </c:pt>
                <c:pt idx="585">
                  <c:v>155.0754891014127</c:v>
                </c:pt>
                <c:pt idx="586">
                  <c:v>156.07553764745862</c:v>
                </c:pt>
                <c:pt idx="587">
                  <c:v>155.13859896111461</c:v>
                </c:pt>
                <c:pt idx="588">
                  <c:v>152.00737899898053</c:v>
                </c:pt>
                <c:pt idx="589">
                  <c:v>154.75993980290306</c:v>
                </c:pt>
                <c:pt idx="590">
                  <c:v>153.14821107820768</c:v>
                </c:pt>
                <c:pt idx="591">
                  <c:v>153.14821107820768</c:v>
                </c:pt>
                <c:pt idx="592">
                  <c:v>153.14821107820768</c:v>
                </c:pt>
                <c:pt idx="593">
                  <c:v>153.14821107820768</c:v>
                </c:pt>
                <c:pt idx="594">
                  <c:v>151.81804941987477</c:v>
                </c:pt>
                <c:pt idx="595">
                  <c:v>153.21617554250207</c:v>
                </c:pt>
                <c:pt idx="596">
                  <c:v>150.38594106510024</c:v>
                </c:pt>
                <c:pt idx="597">
                  <c:v>149.23539977668821</c:v>
                </c:pt>
                <c:pt idx="598">
                  <c:v>149.23539977668821</c:v>
                </c:pt>
                <c:pt idx="599">
                  <c:v>149.23539977668821</c:v>
                </c:pt>
                <c:pt idx="600">
                  <c:v>149.93446283800185</c:v>
                </c:pt>
                <c:pt idx="601">
                  <c:v>149.02179717462013</c:v>
                </c:pt>
                <c:pt idx="602">
                  <c:v>151.12384096315355</c:v>
                </c:pt>
                <c:pt idx="603">
                  <c:v>152.2112723918637</c:v>
                </c:pt>
                <c:pt idx="604">
                  <c:v>146.98286324578862</c:v>
                </c:pt>
                <c:pt idx="605">
                  <c:v>146.98286324578862</c:v>
                </c:pt>
                <c:pt idx="606">
                  <c:v>146.98286324578862</c:v>
                </c:pt>
                <c:pt idx="607">
                  <c:v>154.72110296616339</c:v>
                </c:pt>
                <c:pt idx="608">
                  <c:v>152.16272634593912</c:v>
                </c:pt>
                <c:pt idx="609">
                  <c:v>150.84227389679111</c:v>
                </c:pt>
                <c:pt idx="610">
                  <c:v>147.6236710519928</c:v>
                </c:pt>
                <c:pt idx="611">
                  <c:v>145.75950288848972</c:v>
                </c:pt>
                <c:pt idx="612">
                  <c:v>145.75950288848972</c:v>
                </c:pt>
                <c:pt idx="613">
                  <c:v>145.75950288848972</c:v>
                </c:pt>
                <c:pt idx="614">
                  <c:v>142.60400990339338</c:v>
                </c:pt>
                <c:pt idx="615">
                  <c:v>152.93946308073208</c:v>
                </c:pt>
                <c:pt idx="616">
                  <c:v>153.07539200932084</c:v>
                </c:pt>
                <c:pt idx="617">
                  <c:v>154.14340501966112</c:v>
                </c:pt>
                <c:pt idx="618">
                  <c:v>153.92980241759307</c:v>
                </c:pt>
                <c:pt idx="619">
                  <c:v>153.92980241759307</c:v>
                </c:pt>
                <c:pt idx="620">
                  <c:v>153.92980241759307</c:v>
                </c:pt>
                <c:pt idx="621">
                  <c:v>149.95388125637166</c:v>
                </c:pt>
                <c:pt idx="622">
                  <c:v>150.26457595028884</c:v>
                </c:pt>
                <c:pt idx="623">
                  <c:v>144.69634448274186</c:v>
                </c:pt>
                <c:pt idx="624">
                  <c:v>140.77867857662994</c:v>
                </c:pt>
                <c:pt idx="625">
                  <c:v>141.40006796446428</c:v>
                </c:pt>
                <c:pt idx="626">
                  <c:v>141.40006796446428</c:v>
                </c:pt>
                <c:pt idx="627">
                  <c:v>141.40006796446428</c:v>
                </c:pt>
                <c:pt idx="628">
                  <c:v>137.45327443079759</c:v>
                </c:pt>
                <c:pt idx="629">
                  <c:v>139.61357347444047</c:v>
                </c:pt>
                <c:pt idx="630">
                  <c:v>136.90955871644252</c:v>
                </c:pt>
                <c:pt idx="631">
                  <c:v>134.3026360502937</c:v>
                </c:pt>
                <c:pt idx="632">
                  <c:v>134.3026360502937</c:v>
                </c:pt>
                <c:pt idx="633">
                  <c:v>134.3026360502937</c:v>
                </c:pt>
                <c:pt idx="634">
                  <c:v>134.3026360502937</c:v>
                </c:pt>
                <c:pt idx="635">
                  <c:v>133.40453420068937</c:v>
                </c:pt>
                <c:pt idx="636">
                  <c:v>135.28812078256226</c:v>
                </c:pt>
                <c:pt idx="637">
                  <c:v>132.02097189183939</c:v>
                </c:pt>
                <c:pt idx="638">
                  <c:v>132.78799941744742</c:v>
                </c:pt>
                <c:pt idx="639">
                  <c:v>126.41875819214525</c:v>
                </c:pt>
                <c:pt idx="640">
                  <c:v>126.41875819214525</c:v>
                </c:pt>
                <c:pt idx="641">
                  <c:v>126.41875819214525</c:v>
                </c:pt>
                <c:pt idx="642">
                  <c:v>129.42375843487548</c:v>
                </c:pt>
                <c:pt idx="643">
                  <c:v>127.74891985047816</c:v>
                </c:pt>
                <c:pt idx="644">
                  <c:v>130.32186028447981</c:v>
                </c:pt>
                <c:pt idx="645">
                  <c:v>133.69581047623669</c:v>
                </c:pt>
                <c:pt idx="646">
                  <c:v>133.5161901063158</c:v>
                </c:pt>
                <c:pt idx="647">
                  <c:v>133.5161901063158</c:v>
                </c:pt>
                <c:pt idx="648">
                  <c:v>133.5161901063158</c:v>
                </c:pt>
                <c:pt idx="649">
                  <c:v>129.98203796300791</c:v>
                </c:pt>
                <c:pt idx="650">
                  <c:v>128.24894412350113</c:v>
                </c:pt>
                <c:pt idx="651">
                  <c:v>128.58391184038061</c:v>
                </c:pt>
                <c:pt idx="652">
                  <c:v>127.31686004174958</c:v>
                </c:pt>
                <c:pt idx="653">
                  <c:v>126.07408126608087</c:v>
                </c:pt>
                <c:pt idx="654">
                  <c:v>126.07408126608087</c:v>
                </c:pt>
                <c:pt idx="655">
                  <c:v>126.07408126608087</c:v>
                </c:pt>
                <c:pt idx="656">
                  <c:v>131.86076994028838</c:v>
                </c:pt>
                <c:pt idx="657">
                  <c:v>133.99679596096897</c:v>
                </c:pt>
                <c:pt idx="658">
                  <c:v>128.51594737608622</c:v>
                </c:pt>
                <c:pt idx="659">
                  <c:v>130.32186028447981</c:v>
                </c:pt>
                <c:pt idx="660">
                  <c:v>128.55478421282587</c:v>
                </c:pt>
                <c:pt idx="661">
                  <c:v>128.55478421282587</c:v>
                </c:pt>
                <c:pt idx="662">
                  <c:v>128.55478421282587</c:v>
                </c:pt>
                <c:pt idx="663">
                  <c:v>125.70027671246177</c:v>
                </c:pt>
                <c:pt idx="664">
                  <c:v>126.20515559007718</c:v>
                </c:pt>
                <c:pt idx="665">
                  <c:v>120.22428273217147</c:v>
                </c:pt>
                <c:pt idx="666">
                  <c:v>125.38472741395212</c:v>
                </c:pt>
                <c:pt idx="667">
                  <c:v>129.07422690421865</c:v>
                </c:pt>
                <c:pt idx="668">
                  <c:v>129.07422690421865</c:v>
                </c:pt>
                <c:pt idx="669">
                  <c:v>129.07422690421865</c:v>
                </c:pt>
                <c:pt idx="670">
                  <c:v>125.3895820185446</c:v>
                </c:pt>
                <c:pt idx="671">
                  <c:v>124.97694062818583</c:v>
                </c:pt>
                <c:pt idx="672">
                  <c:v>129.92378270789843</c:v>
                </c:pt>
                <c:pt idx="673">
                  <c:v>126.18088256711491</c:v>
                </c:pt>
                <c:pt idx="674">
                  <c:v>123.45259478615466</c:v>
                </c:pt>
                <c:pt idx="675">
                  <c:v>123.45259478615466</c:v>
                </c:pt>
                <c:pt idx="676">
                  <c:v>123.45259478615466</c:v>
                </c:pt>
                <c:pt idx="677">
                  <c:v>123.45259478615466</c:v>
                </c:pt>
                <c:pt idx="678">
                  <c:v>126.75372590902472</c:v>
                </c:pt>
                <c:pt idx="679">
                  <c:v>122.9525705131317</c:v>
                </c:pt>
                <c:pt idx="680">
                  <c:v>122.54963833195787</c:v>
                </c:pt>
                <c:pt idx="681">
                  <c:v>113.72396718287294</c:v>
                </c:pt>
                <c:pt idx="682">
                  <c:v>113.72396718287294</c:v>
                </c:pt>
                <c:pt idx="683">
                  <c:v>113.72396718287294</c:v>
                </c:pt>
                <c:pt idx="684">
                  <c:v>115.08325646876061</c:v>
                </c:pt>
                <c:pt idx="685">
                  <c:v>108.56352250109227</c:v>
                </c:pt>
                <c:pt idx="686">
                  <c:v>115.10267488713043</c:v>
                </c:pt>
                <c:pt idx="687">
                  <c:v>116.56391086945968</c:v>
                </c:pt>
                <c:pt idx="688">
                  <c:v>111.99087334336618</c:v>
                </c:pt>
                <c:pt idx="689">
                  <c:v>111.99087334336618</c:v>
                </c:pt>
                <c:pt idx="690">
                  <c:v>111.99087334336618</c:v>
                </c:pt>
                <c:pt idx="691">
                  <c:v>118.04941987475119</c:v>
                </c:pt>
                <c:pt idx="692">
                  <c:v>105.61192290887907</c:v>
                </c:pt>
                <c:pt idx="693">
                  <c:v>103.28656730909267</c:v>
                </c:pt>
                <c:pt idx="694">
                  <c:v>93.922035050245157</c:v>
                </c:pt>
                <c:pt idx="695">
                  <c:v>93.315209476188159</c:v>
                </c:pt>
                <c:pt idx="696">
                  <c:v>93.315209476188159</c:v>
                </c:pt>
                <c:pt idx="697">
                  <c:v>93.315209476188159</c:v>
                </c:pt>
                <c:pt idx="698">
                  <c:v>94.397786300305825</c:v>
                </c:pt>
                <c:pt idx="699">
                  <c:v>81.494247293557947</c:v>
                </c:pt>
                <c:pt idx="700">
                  <c:v>96.854216224088546</c:v>
                </c:pt>
                <c:pt idx="701">
                  <c:v>91.062672945288597</c:v>
                </c:pt>
                <c:pt idx="702">
                  <c:v>113.70454876450313</c:v>
                </c:pt>
                <c:pt idx="703">
                  <c:v>113.70454876450313</c:v>
                </c:pt>
                <c:pt idx="704">
                  <c:v>113.70454876450313</c:v>
                </c:pt>
                <c:pt idx="705">
                  <c:v>106.20903927375113</c:v>
                </c:pt>
                <c:pt idx="706">
                  <c:v>119.40870916063886</c:v>
                </c:pt>
                <c:pt idx="707">
                  <c:v>127.62755473566676</c:v>
                </c:pt>
                <c:pt idx="708">
                  <c:v>120.25826496431864</c:v>
                </c:pt>
                <c:pt idx="709">
                  <c:v>130.8073207437254</c:v>
                </c:pt>
                <c:pt idx="710">
                  <c:v>130.8073207437254</c:v>
                </c:pt>
                <c:pt idx="711">
                  <c:v>130.8073207437254</c:v>
                </c:pt>
                <c:pt idx="712">
                  <c:v>133.0355842516627</c:v>
                </c:pt>
                <c:pt idx="713">
                  <c:v>138.57468809165491</c:v>
                </c:pt>
                <c:pt idx="714">
                  <c:v>133.13753094810428</c:v>
                </c:pt>
                <c:pt idx="715">
                  <c:v>138.34166707121707</c:v>
                </c:pt>
                <c:pt idx="716">
                  <c:v>132.34623039953394</c:v>
                </c:pt>
                <c:pt idx="717">
                  <c:v>132.34623039953394</c:v>
                </c:pt>
                <c:pt idx="718">
                  <c:v>132.34623039953394</c:v>
                </c:pt>
                <c:pt idx="719">
                  <c:v>132.9918928103306</c:v>
                </c:pt>
                <c:pt idx="720">
                  <c:v>138.78343608913053</c:v>
                </c:pt>
                <c:pt idx="721">
                  <c:v>137.22996261954464</c:v>
                </c:pt>
                <c:pt idx="722">
                  <c:v>141.56026991601533</c:v>
                </c:pt>
                <c:pt idx="723">
                  <c:v>147.82270984028349</c:v>
                </c:pt>
                <c:pt idx="724">
                  <c:v>147.82270984028349</c:v>
                </c:pt>
                <c:pt idx="725">
                  <c:v>147.82270984028349</c:v>
                </c:pt>
                <c:pt idx="726">
                  <c:v>150.12379241710764</c:v>
                </c:pt>
                <c:pt idx="727">
                  <c:v>153.25501237924172</c:v>
                </c:pt>
                <c:pt idx="728">
                  <c:v>150.85683771056847</c:v>
                </c:pt>
                <c:pt idx="729">
                  <c:v>154.26477013447254</c:v>
                </c:pt>
                <c:pt idx="730">
                  <c:v>154.26477013447254</c:v>
                </c:pt>
                <c:pt idx="731">
                  <c:v>154.26477013447254</c:v>
                </c:pt>
                <c:pt idx="732">
                  <c:v>154.26477013447254</c:v>
                </c:pt>
                <c:pt idx="733">
                  <c:v>157.27462498179523</c:v>
                </c:pt>
                <c:pt idx="734">
                  <c:v>157.62901111704451</c:v>
                </c:pt>
                <c:pt idx="735">
                  <c:v>155.42502063206953</c:v>
                </c:pt>
                <c:pt idx="736">
                  <c:v>152.53167629496576</c:v>
                </c:pt>
                <c:pt idx="737">
                  <c:v>153.03170056798874</c:v>
                </c:pt>
                <c:pt idx="738">
                  <c:v>153.03170056798874</c:v>
                </c:pt>
                <c:pt idx="739">
                  <c:v>153.03170056798874</c:v>
                </c:pt>
                <c:pt idx="740">
                  <c:v>155.1968542162241</c:v>
                </c:pt>
                <c:pt idx="741">
                  <c:v>154.07544055536675</c:v>
                </c:pt>
                <c:pt idx="742">
                  <c:v>151.26947910092724</c:v>
                </c:pt>
                <c:pt idx="743">
                  <c:v>148.17709597553278</c:v>
                </c:pt>
                <c:pt idx="744">
                  <c:v>148.14311374338561</c:v>
                </c:pt>
                <c:pt idx="745">
                  <c:v>148.14311374338561</c:v>
                </c:pt>
                <c:pt idx="746">
                  <c:v>148.14311374338561</c:v>
                </c:pt>
                <c:pt idx="747">
                  <c:v>153.01713675421135</c:v>
                </c:pt>
                <c:pt idx="748">
                  <c:v>154.13855041506866</c:v>
                </c:pt>
                <c:pt idx="749">
                  <c:v>154.52691878246517</c:v>
                </c:pt>
                <c:pt idx="750">
                  <c:v>150.02184572066602</c:v>
                </c:pt>
                <c:pt idx="751">
                  <c:v>157.28918879557258</c:v>
                </c:pt>
                <c:pt idx="752">
                  <c:v>157.28918879557258</c:v>
                </c:pt>
                <c:pt idx="753">
                  <c:v>157.28918879557258</c:v>
                </c:pt>
                <c:pt idx="754">
                  <c:v>155.17743579785426</c:v>
                </c:pt>
                <c:pt idx="755">
                  <c:v>151.89086848876158</c:v>
                </c:pt>
                <c:pt idx="756">
                  <c:v>149.55580367979027</c:v>
                </c:pt>
                <c:pt idx="757">
                  <c:v>149.90533521044711</c:v>
                </c:pt>
                <c:pt idx="758">
                  <c:v>149.90533521044711</c:v>
                </c:pt>
                <c:pt idx="759">
                  <c:v>149.90533521044711</c:v>
                </c:pt>
                <c:pt idx="760">
                  <c:v>149.90533521044711</c:v>
                </c:pt>
                <c:pt idx="761">
                  <c:v>149.06063401135978</c:v>
                </c:pt>
                <c:pt idx="762">
                  <c:v>147.1624836157095</c:v>
                </c:pt>
                <c:pt idx="763">
                  <c:v>149.60920433030728</c:v>
                </c:pt>
                <c:pt idx="764">
                  <c:v>146.21098111558811</c:v>
                </c:pt>
                <c:pt idx="765">
                  <c:v>145.25947861546678</c:v>
                </c:pt>
                <c:pt idx="766">
                  <c:v>145.25947861546678</c:v>
                </c:pt>
                <c:pt idx="767">
                  <c:v>145.25947861546678</c:v>
                </c:pt>
                <c:pt idx="768">
                  <c:v>148.67712024855575</c:v>
                </c:pt>
                <c:pt idx="769">
                  <c:v>149.88106218748482</c:v>
                </c:pt>
                <c:pt idx="770">
                  <c:v>151.77435797854264</c:v>
                </c:pt>
                <c:pt idx="771">
                  <c:v>152.2986552745279</c:v>
                </c:pt>
                <c:pt idx="772">
                  <c:v>152.52682169037331</c:v>
                </c:pt>
                <c:pt idx="773">
                  <c:v>152.52682169037331</c:v>
                </c:pt>
                <c:pt idx="774">
                  <c:v>152.52682169037331</c:v>
                </c:pt>
                <c:pt idx="775">
                  <c:v>156.5075974561872</c:v>
                </c:pt>
                <c:pt idx="776">
                  <c:v>153.41521433079274</c:v>
                </c:pt>
                <c:pt idx="777">
                  <c:v>153.41521433079274</c:v>
                </c:pt>
                <c:pt idx="778">
                  <c:v>152.172435555124</c:v>
                </c:pt>
                <c:pt idx="779">
                  <c:v>153.66279916500798</c:v>
                </c:pt>
                <c:pt idx="780">
                  <c:v>153.66279916500798</c:v>
                </c:pt>
                <c:pt idx="781">
                  <c:v>153.66279916500798</c:v>
                </c:pt>
                <c:pt idx="782">
                  <c:v>154.36671683091413</c:v>
                </c:pt>
                <c:pt idx="783">
                  <c:v>155.590077188213</c:v>
                </c:pt>
                <c:pt idx="784">
                  <c:v>155.590077188213</c:v>
                </c:pt>
                <c:pt idx="785">
                  <c:v>155.11918054274477</c:v>
                </c:pt>
                <c:pt idx="786">
                  <c:v>154.86188649934462</c:v>
                </c:pt>
                <c:pt idx="787">
                  <c:v>154.86188649934462</c:v>
                </c:pt>
                <c:pt idx="788">
                  <c:v>154.86188649934462</c:v>
                </c:pt>
                <c:pt idx="789">
                  <c:v>157.33773484149717</c:v>
                </c:pt>
                <c:pt idx="790">
                  <c:v>158.95917277537743</c:v>
                </c:pt>
                <c:pt idx="791">
                  <c:v>157.19209670372348</c:v>
                </c:pt>
                <c:pt idx="792">
                  <c:v>156.86683819602894</c:v>
                </c:pt>
                <c:pt idx="793">
                  <c:v>153.12393805524539</c:v>
                </c:pt>
                <c:pt idx="794">
                  <c:v>153.12393805524539</c:v>
                </c:pt>
                <c:pt idx="795">
                  <c:v>153.12393805524539</c:v>
                </c:pt>
                <c:pt idx="796">
                  <c:v>159.13393854070586</c:v>
                </c:pt>
                <c:pt idx="797">
                  <c:v>155.21141803000148</c:v>
                </c:pt>
                <c:pt idx="798">
                  <c:v>152.94917228991699</c:v>
                </c:pt>
                <c:pt idx="799">
                  <c:v>152.61905917762996</c:v>
                </c:pt>
                <c:pt idx="800">
                  <c:v>153.42977814457012</c:v>
                </c:pt>
                <c:pt idx="801">
                  <c:v>153.42977814457012</c:v>
                </c:pt>
                <c:pt idx="802">
                  <c:v>153.42977814457012</c:v>
                </c:pt>
                <c:pt idx="803">
                  <c:v>151.07044031263652</c:v>
                </c:pt>
                <c:pt idx="804">
                  <c:v>150.35681343754553</c:v>
                </c:pt>
                <c:pt idx="805">
                  <c:v>148.8033399679596</c:v>
                </c:pt>
                <c:pt idx="806">
                  <c:v>150.84227389679111</c:v>
                </c:pt>
                <c:pt idx="807">
                  <c:v>153.50745181804942</c:v>
                </c:pt>
                <c:pt idx="808">
                  <c:v>153.50745181804942</c:v>
                </c:pt>
                <c:pt idx="809">
                  <c:v>153.50745181804942</c:v>
                </c:pt>
                <c:pt idx="810">
                  <c:v>154.59002864216708</c:v>
                </c:pt>
                <c:pt idx="811">
                  <c:v>154.59002864216708</c:v>
                </c:pt>
                <c:pt idx="812">
                  <c:v>153.53657944560416</c:v>
                </c:pt>
                <c:pt idx="813">
                  <c:v>155.1628719840769</c:v>
                </c:pt>
                <c:pt idx="814">
                  <c:v>152.8812078256226</c:v>
                </c:pt>
                <c:pt idx="815">
                  <c:v>152.8812078256226</c:v>
                </c:pt>
                <c:pt idx="816">
                  <c:v>152.8812078256226</c:v>
                </c:pt>
                <c:pt idx="817">
                  <c:v>153.04140977717364</c:v>
                </c:pt>
                <c:pt idx="818">
                  <c:v>151.30346133307441</c:v>
                </c:pt>
                <c:pt idx="819">
                  <c:v>154.23078790232535</c:v>
                </c:pt>
                <c:pt idx="820">
                  <c:v>151.01218505752706</c:v>
                </c:pt>
                <c:pt idx="821">
                  <c:v>151.90543230253897</c:v>
                </c:pt>
                <c:pt idx="822">
                  <c:v>151.90543230253897</c:v>
                </c:pt>
                <c:pt idx="823">
                  <c:v>151.90543230253897</c:v>
                </c:pt>
                <c:pt idx="824">
                  <c:v>149.99271809311131</c:v>
                </c:pt>
                <c:pt idx="825">
                  <c:v>152.27438225156561</c:v>
                </c:pt>
                <c:pt idx="826">
                  <c:v>153.17733870576239</c:v>
                </c:pt>
                <c:pt idx="827">
                  <c:v>151.82775862905967</c:v>
                </c:pt>
                <c:pt idx="828">
                  <c:v>152.14816253216176</c:v>
                </c:pt>
                <c:pt idx="829">
                  <c:v>152.14816253216176</c:v>
                </c:pt>
                <c:pt idx="830">
                  <c:v>152.14816253216176</c:v>
                </c:pt>
                <c:pt idx="831">
                  <c:v>151.33744356522161</c:v>
                </c:pt>
                <c:pt idx="832">
                  <c:v>152.02679741735037</c:v>
                </c:pt>
                <c:pt idx="833">
                  <c:v>152.45400262148647</c:v>
                </c:pt>
                <c:pt idx="834">
                  <c:v>148.06544006990629</c:v>
                </c:pt>
                <c:pt idx="835">
                  <c:v>143.98271760765084</c:v>
                </c:pt>
                <c:pt idx="836">
                  <c:v>143.98271760765084</c:v>
                </c:pt>
                <c:pt idx="837">
                  <c:v>143.98271760765084</c:v>
                </c:pt>
                <c:pt idx="838">
                  <c:v>142.16709549007234</c:v>
                </c:pt>
                <c:pt idx="839">
                  <c:v>140.90004369144134</c:v>
                </c:pt>
                <c:pt idx="840">
                  <c:v>139.89028593621052</c:v>
                </c:pt>
                <c:pt idx="841">
                  <c:v>141.53599689305304</c:v>
                </c:pt>
                <c:pt idx="842">
                  <c:v>140.69615029855817</c:v>
                </c:pt>
                <c:pt idx="843">
                  <c:v>140.69615029855817</c:v>
                </c:pt>
                <c:pt idx="844">
                  <c:v>140.69615029855817</c:v>
                </c:pt>
                <c:pt idx="845">
                  <c:v>137.05034224962375</c:v>
                </c:pt>
                <c:pt idx="846">
                  <c:v>136.08427593572503</c:v>
                </c:pt>
                <c:pt idx="847">
                  <c:v>139.55046361473856</c:v>
                </c:pt>
                <c:pt idx="848">
                  <c:v>140.57478518374677</c:v>
                </c:pt>
                <c:pt idx="849">
                  <c:v>139.1960774794893</c:v>
                </c:pt>
                <c:pt idx="850">
                  <c:v>139.1960774794893</c:v>
                </c:pt>
                <c:pt idx="851">
                  <c:v>139.1960774794893</c:v>
                </c:pt>
                <c:pt idx="852">
                  <c:v>140.50682071945241</c:v>
                </c:pt>
                <c:pt idx="853">
                  <c:v>140.04563328316908</c:v>
                </c:pt>
                <c:pt idx="854">
                  <c:v>140.93888052818099</c:v>
                </c:pt>
                <c:pt idx="855">
                  <c:v>136.73479295111414</c:v>
                </c:pt>
                <c:pt idx="856">
                  <c:v>136.37069760667995</c:v>
                </c:pt>
                <c:pt idx="857">
                  <c:v>136.37069760667995</c:v>
                </c:pt>
                <c:pt idx="858">
                  <c:v>136.37069760667995</c:v>
                </c:pt>
                <c:pt idx="859">
                  <c:v>133.23462303995339</c:v>
                </c:pt>
                <c:pt idx="860">
                  <c:v>132.60352444293412</c:v>
                </c:pt>
                <c:pt idx="861">
                  <c:v>131.23452594786153</c:v>
                </c:pt>
                <c:pt idx="862">
                  <c:v>134.02592358852371</c:v>
                </c:pt>
                <c:pt idx="863">
                  <c:v>136.62313704548765</c:v>
                </c:pt>
                <c:pt idx="864">
                  <c:v>136.62313704548765</c:v>
                </c:pt>
                <c:pt idx="865">
                  <c:v>136.62313704548765</c:v>
                </c:pt>
                <c:pt idx="866">
                  <c:v>133.22491383076849</c:v>
                </c:pt>
                <c:pt idx="867">
                  <c:v>131.10830622845768</c:v>
                </c:pt>
                <c:pt idx="868">
                  <c:v>133.42880722365166</c:v>
                </c:pt>
                <c:pt idx="869">
                  <c:v>134.02106898393126</c:v>
                </c:pt>
                <c:pt idx="870">
                  <c:v>133.08413029758725</c:v>
                </c:pt>
                <c:pt idx="871">
                  <c:v>133.08413029758725</c:v>
                </c:pt>
                <c:pt idx="872">
                  <c:v>133.08413029758725</c:v>
                </c:pt>
                <c:pt idx="873">
                  <c:v>134.42885576969758</c:v>
                </c:pt>
                <c:pt idx="874">
                  <c:v>133.87543084615757</c:v>
                </c:pt>
                <c:pt idx="875">
                  <c:v>137.05034224962375</c:v>
                </c:pt>
                <c:pt idx="876">
                  <c:v>138.57954269624736</c:v>
                </c:pt>
                <c:pt idx="877">
                  <c:v>137.99699014515267</c:v>
                </c:pt>
                <c:pt idx="878">
                  <c:v>137.99699014515267</c:v>
                </c:pt>
                <c:pt idx="879">
                  <c:v>137.99699014515267</c:v>
                </c:pt>
                <c:pt idx="880">
                  <c:v>141.09422787513955</c:v>
                </c:pt>
                <c:pt idx="881">
                  <c:v>139.68639254332734</c:v>
                </c:pt>
                <c:pt idx="882">
                  <c:v>140.21554444390503</c:v>
                </c:pt>
                <c:pt idx="883">
                  <c:v>140.13301616583328</c:v>
                </c:pt>
                <c:pt idx="884">
                  <c:v>140.93888052818099</c:v>
                </c:pt>
                <c:pt idx="885">
                  <c:v>140.93888052818099</c:v>
                </c:pt>
                <c:pt idx="886">
                  <c:v>140.93888052818099</c:v>
                </c:pt>
                <c:pt idx="887">
                  <c:v>145.91970484004077</c:v>
                </c:pt>
                <c:pt idx="888">
                  <c:v>144.67207145977957</c:v>
                </c:pt>
                <c:pt idx="889">
                  <c:v>142.93897762027282</c:v>
                </c:pt>
                <c:pt idx="890">
                  <c:v>142.0505849798534</c:v>
                </c:pt>
                <c:pt idx="891">
                  <c:v>141.71076265838147</c:v>
                </c:pt>
                <c:pt idx="892">
                  <c:v>141.71076265838147</c:v>
                </c:pt>
                <c:pt idx="893">
                  <c:v>141.71076265838147</c:v>
                </c:pt>
                <c:pt idx="894">
                  <c:v>141.27870284965286</c:v>
                </c:pt>
                <c:pt idx="895">
                  <c:v>137.39501917568813</c:v>
                </c:pt>
                <c:pt idx="896">
                  <c:v>133.04043885625515</c:v>
                </c:pt>
                <c:pt idx="897">
                  <c:v>137.2105442011748</c:v>
                </c:pt>
                <c:pt idx="898">
                  <c:v>137.2105442011748</c:v>
                </c:pt>
                <c:pt idx="899">
                  <c:v>137.2105442011748</c:v>
                </c:pt>
                <c:pt idx="900">
                  <c:v>137.2105442011748</c:v>
                </c:pt>
                <c:pt idx="901">
                  <c:v>137.56493033642408</c:v>
                </c:pt>
                <c:pt idx="902">
                  <c:v>134.01621437933881</c:v>
                </c:pt>
                <c:pt idx="903">
                  <c:v>133.77833875430844</c:v>
                </c:pt>
                <c:pt idx="904">
                  <c:v>134.57934851206369</c:v>
                </c:pt>
                <c:pt idx="905">
                  <c:v>132.1083547745036</c:v>
                </c:pt>
                <c:pt idx="906">
                  <c:v>132.1083547745036</c:v>
                </c:pt>
                <c:pt idx="907">
                  <c:v>132.1083547745036</c:v>
                </c:pt>
                <c:pt idx="908">
                  <c:v>139.62813728821789</c:v>
                </c:pt>
                <c:pt idx="909">
                  <c:v>139.5698820331084</c:v>
                </c:pt>
                <c:pt idx="910">
                  <c:v>136.10854895868732</c:v>
                </c:pt>
                <c:pt idx="911">
                  <c:v>135.33666682848678</c:v>
                </c:pt>
                <c:pt idx="912">
                  <c:v>132.90936453225882</c:v>
                </c:pt>
                <c:pt idx="913">
                  <c:v>132.90936453225882</c:v>
                </c:pt>
                <c:pt idx="914">
                  <c:v>132.90936453225882</c:v>
                </c:pt>
                <c:pt idx="915">
                  <c:v>130.41409777173646</c:v>
                </c:pt>
                <c:pt idx="916">
                  <c:v>131.83164231273363</c:v>
                </c:pt>
                <c:pt idx="917">
                  <c:v>137.72513228797513</c:v>
                </c:pt>
                <c:pt idx="918">
                  <c:v>133.81232098645563</c:v>
                </c:pt>
                <c:pt idx="919">
                  <c:v>133.85601242778776</c:v>
                </c:pt>
                <c:pt idx="920">
                  <c:v>133.85601242778776</c:v>
                </c:pt>
                <c:pt idx="921">
                  <c:v>133.85601242778776</c:v>
                </c:pt>
                <c:pt idx="922">
                  <c:v>131.55007524637119</c:v>
                </c:pt>
                <c:pt idx="923">
                  <c:v>131.09859701927277</c:v>
                </c:pt>
                <c:pt idx="924">
                  <c:v>129.34608476139618</c:v>
                </c:pt>
                <c:pt idx="925">
                  <c:v>129.93834652167581</c:v>
                </c:pt>
                <c:pt idx="926">
                  <c:v>135.21530171367539</c:v>
                </c:pt>
                <c:pt idx="927">
                  <c:v>135.21530171367539</c:v>
                </c:pt>
                <c:pt idx="928">
                  <c:v>135.21530171367539</c:v>
                </c:pt>
                <c:pt idx="929">
                  <c:v>138.5212874411379</c:v>
                </c:pt>
                <c:pt idx="930">
                  <c:v>140.77867857662994</c:v>
                </c:pt>
                <c:pt idx="931">
                  <c:v>145.42453517161027</c:v>
                </c:pt>
                <c:pt idx="932">
                  <c:v>146.48283897276565</c:v>
                </c:pt>
                <c:pt idx="933">
                  <c:v>146.08476139618429</c:v>
                </c:pt>
                <c:pt idx="934">
                  <c:v>146.08476139618429</c:v>
                </c:pt>
                <c:pt idx="935">
                  <c:v>146.08476139618429</c:v>
                </c:pt>
                <c:pt idx="936">
                  <c:v>145.82746735278411</c:v>
                </c:pt>
                <c:pt idx="937">
                  <c:v>147.46832370503421</c:v>
                </c:pt>
                <c:pt idx="938">
                  <c:v>146.01679693188987</c:v>
                </c:pt>
                <c:pt idx="939">
                  <c:v>143.76911500558279</c:v>
                </c:pt>
                <c:pt idx="940">
                  <c:v>140.7835331812224</c:v>
                </c:pt>
                <c:pt idx="941">
                  <c:v>140.7835331812224</c:v>
                </c:pt>
                <c:pt idx="942">
                  <c:v>140.7835331812224</c:v>
                </c:pt>
                <c:pt idx="943">
                  <c:v>140.67673188018836</c:v>
                </c:pt>
                <c:pt idx="944">
                  <c:v>138.39506772173405</c:v>
                </c:pt>
                <c:pt idx="945">
                  <c:v>137.93388028545075</c:v>
                </c:pt>
                <c:pt idx="946">
                  <c:v>139.97766881887469</c:v>
                </c:pt>
                <c:pt idx="947">
                  <c:v>138.54556046410019</c:v>
                </c:pt>
                <c:pt idx="948">
                  <c:v>138.54556046410019</c:v>
                </c:pt>
                <c:pt idx="949">
                  <c:v>138.54556046410019</c:v>
                </c:pt>
                <c:pt idx="950">
                  <c:v>134.01621437933881</c:v>
                </c:pt>
                <c:pt idx="951">
                  <c:v>133.25889606291568</c:v>
                </c:pt>
                <c:pt idx="952">
                  <c:v>133.75892033593863</c:v>
                </c:pt>
                <c:pt idx="953">
                  <c:v>133.48220787416864</c:v>
                </c:pt>
                <c:pt idx="954">
                  <c:v>137.22025341035973</c:v>
                </c:pt>
                <c:pt idx="955">
                  <c:v>137.22025341035973</c:v>
                </c:pt>
                <c:pt idx="956">
                  <c:v>137.22025341035973</c:v>
                </c:pt>
                <c:pt idx="957">
                  <c:v>138.30283023447737</c:v>
                </c:pt>
                <c:pt idx="958">
                  <c:v>138.30283023447737</c:v>
                </c:pt>
                <c:pt idx="959">
                  <c:v>143.3710374290014</c:v>
                </c:pt>
                <c:pt idx="960">
                  <c:v>145.8080489344143</c:v>
                </c:pt>
                <c:pt idx="961">
                  <c:v>139.74464779843683</c:v>
                </c:pt>
                <c:pt idx="962">
                  <c:v>139.74464779843683</c:v>
                </c:pt>
                <c:pt idx="963">
                  <c:v>139.74464779843683</c:v>
                </c:pt>
                <c:pt idx="964">
                  <c:v>138.70090781105878</c:v>
                </c:pt>
                <c:pt idx="965">
                  <c:v>136.62799165008008</c:v>
                </c:pt>
                <c:pt idx="966">
                  <c:v>134.23467158599931</c:v>
                </c:pt>
                <c:pt idx="967">
                  <c:v>135.54056022136996</c:v>
                </c:pt>
                <c:pt idx="968">
                  <c:v>133.01131122870044</c:v>
                </c:pt>
                <c:pt idx="969">
                  <c:v>133.01131122870044</c:v>
                </c:pt>
                <c:pt idx="970">
                  <c:v>133.01131122870044</c:v>
                </c:pt>
                <c:pt idx="971">
                  <c:v>135.46774115248311</c:v>
                </c:pt>
                <c:pt idx="972">
                  <c:v>134.71042283606002</c:v>
                </c:pt>
                <c:pt idx="973">
                  <c:v>134.98228069323756</c:v>
                </c:pt>
                <c:pt idx="974">
                  <c:v>129.11791834555075</c:v>
                </c:pt>
                <c:pt idx="975">
                  <c:v>129.09849992718091</c:v>
                </c:pt>
                <c:pt idx="976">
                  <c:v>129.09849992718091</c:v>
                </c:pt>
                <c:pt idx="977">
                  <c:v>129.09849992718091</c:v>
                </c:pt>
                <c:pt idx="978">
                  <c:v>136.71051992815185</c:v>
                </c:pt>
                <c:pt idx="979">
                  <c:v>135.79785426477014</c:v>
                </c:pt>
                <c:pt idx="980">
                  <c:v>137.61833098694112</c:v>
                </c:pt>
                <c:pt idx="981">
                  <c:v>136.030875285208</c:v>
                </c:pt>
                <c:pt idx="982">
                  <c:v>133.43851643283656</c:v>
                </c:pt>
                <c:pt idx="983">
                  <c:v>133.43851643283656</c:v>
                </c:pt>
                <c:pt idx="984">
                  <c:v>133.43851643283656</c:v>
                </c:pt>
                <c:pt idx="985">
                  <c:v>132.42875867760571</c:v>
                </c:pt>
                <c:pt idx="986">
                  <c:v>128.99655323073938</c:v>
                </c:pt>
                <c:pt idx="987">
                  <c:v>128.98684402155442</c:v>
                </c:pt>
                <c:pt idx="988">
                  <c:v>122.90887907179959</c:v>
                </c:pt>
                <c:pt idx="989">
                  <c:v>122.16126996456138</c:v>
                </c:pt>
                <c:pt idx="990">
                  <c:v>122.16126996456138</c:v>
                </c:pt>
                <c:pt idx="991">
                  <c:v>122.16126996456138</c:v>
                </c:pt>
                <c:pt idx="992">
                  <c:v>124.57886305160444</c:v>
                </c:pt>
                <c:pt idx="993">
                  <c:v>123.36521190349046</c:v>
                </c:pt>
                <c:pt idx="994">
                  <c:v>123.53997766881886</c:v>
                </c:pt>
                <c:pt idx="995">
                  <c:v>124.24874993931742</c:v>
                </c:pt>
                <c:pt idx="996">
                  <c:v>124.24874993931742</c:v>
                </c:pt>
                <c:pt idx="997">
                  <c:v>124.24874993931742</c:v>
                </c:pt>
                <c:pt idx="998">
                  <c:v>124.24874993931742</c:v>
                </c:pt>
                <c:pt idx="999">
                  <c:v>126.26341084518664</c:v>
                </c:pt>
                <c:pt idx="1000">
                  <c:v>130.69566483809893</c:v>
                </c:pt>
                <c:pt idx="1001">
                  <c:v>133.66182824408949</c:v>
                </c:pt>
                <c:pt idx="1002">
                  <c:v>132.33166658575658</c:v>
                </c:pt>
                <c:pt idx="1003">
                  <c:v>140.73013253070536</c:v>
                </c:pt>
                <c:pt idx="1004">
                  <c:v>140.73013253070536</c:v>
                </c:pt>
                <c:pt idx="1005">
                  <c:v>140.73013253070536</c:v>
                </c:pt>
                <c:pt idx="1006">
                  <c:v>144.3225399291228</c:v>
                </c:pt>
                <c:pt idx="1007">
                  <c:v>147.75959998058156</c:v>
                </c:pt>
                <c:pt idx="1008">
                  <c:v>146.60905869216953</c:v>
                </c:pt>
                <c:pt idx="1009">
                  <c:v>142.42438953347249</c:v>
                </c:pt>
                <c:pt idx="1010">
                  <c:v>147.56056119229086</c:v>
                </c:pt>
                <c:pt idx="1011">
                  <c:v>147.56056119229086</c:v>
                </c:pt>
                <c:pt idx="1012">
                  <c:v>147.56056119229086</c:v>
                </c:pt>
                <c:pt idx="1013">
                  <c:v>147.60910723821544</c:v>
                </c:pt>
                <c:pt idx="1014">
                  <c:v>147.2838487305209</c:v>
                </c:pt>
                <c:pt idx="1015">
                  <c:v>149.17714452157873</c:v>
                </c:pt>
                <c:pt idx="1016">
                  <c:v>151.25491528714986</c:v>
                </c:pt>
                <c:pt idx="1017">
                  <c:v>153.26472158842662</c:v>
                </c:pt>
                <c:pt idx="1018">
                  <c:v>153.26472158842662</c:v>
                </c:pt>
                <c:pt idx="1019">
                  <c:v>153.26472158842662</c:v>
                </c:pt>
                <c:pt idx="1020">
                  <c:v>153.31812223894363</c:v>
                </c:pt>
                <c:pt idx="1021">
                  <c:v>154.81334045342007</c:v>
                </c:pt>
                <c:pt idx="1022">
                  <c:v>154.57061022379725</c:v>
                </c:pt>
                <c:pt idx="1023">
                  <c:v>151.81319481528232</c:v>
                </c:pt>
                <c:pt idx="1024">
                  <c:v>150.69178115442497</c:v>
                </c:pt>
                <c:pt idx="1025">
                  <c:v>150.69178115442497</c:v>
                </c:pt>
                <c:pt idx="1026">
                  <c:v>150.69178115442497</c:v>
                </c:pt>
                <c:pt idx="1027">
                  <c:v>151.37628040196125</c:v>
                </c:pt>
                <c:pt idx="1028">
                  <c:v>152.59478615466767</c:v>
                </c:pt>
                <c:pt idx="1029">
                  <c:v>153.23073935627943</c:v>
                </c:pt>
                <c:pt idx="1030">
                  <c:v>152.92004466236224</c:v>
                </c:pt>
                <c:pt idx="1031">
                  <c:v>154.67741152483129</c:v>
                </c:pt>
                <c:pt idx="1032">
                  <c:v>154.67741152483129</c:v>
                </c:pt>
                <c:pt idx="1033">
                  <c:v>154.67741152483129</c:v>
                </c:pt>
                <c:pt idx="1034">
                  <c:v>154.67741152483129</c:v>
                </c:pt>
                <c:pt idx="1035">
                  <c:v>155.60464100199036</c:v>
                </c:pt>
                <c:pt idx="1036">
                  <c:v>154.61915626972183</c:v>
                </c:pt>
                <c:pt idx="1037">
                  <c:v>153.59968930530607</c:v>
                </c:pt>
                <c:pt idx="1038">
                  <c:v>153.90552939463078</c:v>
                </c:pt>
                <c:pt idx="1039">
                  <c:v>153.90552939463078</c:v>
                </c:pt>
                <c:pt idx="1040">
                  <c:v>153.90552939463078</c:v>
                </c:pt>
                <c:pt idx="1041">
                  <c:v>150.20632069517939</c:v>
                </c:pt>
                <c:pt idx="1042">
                  <c:v>149.28394582261274</c:v>
                </c:pt>
                <c:pt idx="1043">
                  <c:v>147.31297635807564</c:v>
                </c:pt>
                <c:pt idx="1044">
                  <c:v>147.81300063109859</c:v>
                </c:pt>
                <c:pt idx="1045">
                  <c:v>147.71590853924945</c:v>
                </c:pt>
                <c:pt idx="1046">
                  <c:v>147.71590853924945</c:v>
                </c:pt>
                <c:pt idx="1047">
                  <c:v>147.71590853924945</c:v>
                </c:pt>
                <c:pt idx="1048">
                  <c:v>146.60905869216953</c:v>
                </c:pt>
                <c:pt idx="1049">
                  <c:v>147.67707170250981</c:v>
                </c:pt>
                <c:pt idx="1050">
                  <c:v>147.1187921743774</c:v>
                </c:pt>
                <c:pt idx="1051">
                  <c:v>148.44895383271032</c:v>
                </c:pt>
                <c:pt idx="1052">
                  <c:v>145.98281469974268</c:v>
                </c:pt>
                <c:pt idx="1053">
                  <c:v>145.98281469974268</c:v>
                </c:pt>
                <c:pt idx="1054">
                  <c:v>145.98281469974268</c:v>
                </c:pt>
                <c:pt idx="1055">
                  <c:v>145.18665954657993</c:v>
                </c:pt>
                <c:pt idx="1056">
                  <c:v>143.68173212291859</c:v>
                </c:pt>
                <c:pt idx="1057">
                  <c:v>144.19632020971892</c:v>
                </c:pt>
                <c:pt idx="1058">
                  <c:v>141.83212777319287</c:v>
                </c:pt>
                <c:pt idx="1059">
                  <c:v>142.07000339822321</c:v>
                </c:pt>
                <c:pt idx="1060">
                  <c:v>142.07000339822321</c:v>
                </c:pt>
                <c:pt idx="1061">
                  <c:v>142.07000339822321</c:v>
                </c:pt>
                <c:pt idx="1062">
                  <c:v>144.08466430409243</c:v>
                </c:pt>
                <c:pt idx="1063">
                  <c:v>141.28355745424531</c:v>
                </c:pt>
                <c:pt idx="1064">
                  <c:v>145.30317005679888</c:v>
                </c:pt>
                <c:pt idx="1065">
                  <c:v>142.64770134472548</c:v>
                </c:pt>
                <c:pt idx="1066">
                  <c:v>140.92431671440363</c:v>
                </c:pt>
                <c:pt idx="1067">
                  <c:v>140.92431671440363</c:v>
                </c:pt>
                <c:pt idx="1068">
                  <c:v>140.92431671440363</c:v>
                </c:pt>
                <c:pt idx="1069">
                  <c:v>130.20049516966844</c:v>
                </c:pt>
                <c:pt idx="1070">
                  <c:v>131.66173115199766</c:v>
                </c:pt>
                <c:pt idx="1071">
                  <c:v>130.89470362638963</c:v>
                </c:pt>
                <c:pt idx="1072">
                  <c:v>130.61799116461964</c:v>
                </c:pt>
                <c:pt idx="1073">
                  <c:v>128.25379872809359</c:v>
                </c:pt>
                <c:pt idx="1074">
                  <c:v>128.25379872809359</c:v>
                </c:pt>
                <c:pt idx="1075">
                  <c:v>128.25379872809359</c:v>
                </c:pt>
                <c:pt idx="1076">
                  <c:v>128.89460653429776</c:v>
                </c:pt>
                <c:pt idx="1077">
                  <c:v>131.72969561629208</c:v>
                </c:pt>
                <c:pt idx="1078">
                  <c:v>134.4774018156221</c:v>
                </c:pt>
                <c:pt idx="1079">
                  <c:v>133.44822564202144</c:v>
                </c:pt>
                <c:pt idx="1080">
                  <c:v>132.40934025923588</c:v>
                </c:pt>
                <c:pt idx="1081">
                  <c:v>132.40934025923588</c:v>
                </c:pt>
                <c:pt idx="1082">
                  <c:v>132.40934025923588</c:v>
                </c:pt>
                <c:pt idx="1083">
                  <c:v>133.67639205786688</c:v>
                </c:pt>
                <c:pt idx="1084">
                  <c:v>131.79766008058644</c:v>
                </c:pt>
                <c:pt idx="1085">
                  <c:v>133.50162629253848</c:v>
                </c:pt>
                <c:pt idx="1086">
                  <c:v>135.24928394582261</c:v>
                </c:pt>
                <c:pt idx="1087">
                  <c:v>134.22981698140686</c:v>
                </c:pt>
                <c:pt idx="1088">
                  <c:v>134.22981698140686</c:v>
                </c:pt>
                <c:pt idx="1089">
                  <c:v>134.22981698140686</c:v>
                </c:pt>
                <c:pt idx="1090">
                  <c:v>136.38526142045731</c:v>
                </c:pt>
                <c:pt idx="1091">
                  <c:v>137.58920335938637</c:v>
                </c:pt>
                <c:pt idx="1092">
                  <c:v>136.73479295111414</c:v>
                </c:pt>
                <c:pt idx="1093">
                  <c:v>136.86586727511042</c:v>
                </c:pt>
                <c:pt idx="1094">
                  <c:v>136.86586727511042</c:v>
                </c:pt>
                <c:pt idx="1095">
                  <c:v>136.86586727511042</c:v>
                </c:pt>
                <c:pt idx="1096">
                  <c:v>136.86586727511042</c:v>
                </c:pt>
                <c:pt idx="1097">
                  <c:v>136.65711927763482</c:v>
                </c:pt>
                <c:pt idx="1098">
                  <c:v>136.56973639497062</c:v>
                </c:pt>
                <c:pt idx="1099">
                  <c:v>135.63279770862661</c:v>
                </c:pt>
                <c:pt idx="1100">
                  <c:v>133.85115782319531</c:v>
                </c:pt>
                <c:pt idx="1101">
                  <c:v>133.0452934608476</c:v>
                </c:pt>
                <c:pt idx="1102">
                  <c:v>133.0452934608476</c:v>
                </c:pt>
                <c:pt idx="1103">
                  <c:v>133.0452934608476</c:v>
                </c:pt>
                <c:pt idx="1104">
                  <c:v>130.632554978397</c:v>
                </c:pt>
                <c:pt idx="1105">
                  <c:v>134.08903344822562</c:v>
                </c:pt>
                <c:pt idx="1106">
                  <c:v>131.07432399631048</c:v>
                </c:pt>
                <c:pt idx="1107">
                  <c:v>132.10350016991114</c:v>
                </c:pt>
                <c:pt idx="1108">
                  <c:v>129.52570513131704</c:v>
                </c:pt>
                <c:pt idx="1109">
                  <c:v>129.52570513131704</c:v>
                </c:pt>
                <c:pt idx="1110">
                  <c:v>129.52570513131704</c:v>
                </c:pt>
                <c:pt idx="1111">
                  <c:v>130.22476819263071</c:v>
                </c:pt>
                <c:pt idx="1112">
                  <c:v>131.4724015728919</c:v>
                </c:pt>
                <c:pt idx="1113">
                  <c:v>129.2878295062867</c:v>
                </c:pt>
                <c:pt idx="1114">
                  <c:v>129.91892810330597</c:v>
                </c:pt>
                <c:pt idx="1115">
                  <c:v>130.07427545026457</c:v>
                </c:pt>
                <c:pt idx="1116">
                  <c:v>130.07427545026457</c:v>
                </c:pt>
                <c:pt idx="1117">
                  <c:v>130.07427545026457</c:v>
                </c:pt>
                <c:pt idx="1118">
                  <c:v>127.94310403417641</c:v>
                </c:pt>
                <c:pt idx="1119">
                  <c:v>125.01577746492546</c:v>
                </c:pt>
                <c:pt idx="1120">
                  <c:v>125.3895820185446</c:v>
                </c:pt>
                <c:pt idx="1121">
                  <c:v>126.61779698043594</c:v>
                </c:pt>
                <c:pt idx="1122">
                  <c:v>126.61779698043594</c:v>
                </c:pt>
                <c:pt idx="1123">
                  <c:v>126.61779698043594</c:v>
                </c:pt>
                <c:pt idx="1124">
                  <c:v>126.61779698043594</c:v>
                </c:pt>
                <c:pt idx="1125">
                  <c:v>123.95261905917762</c:v>
                </c:pt>
                <c:pt idx="1126">
                  <c:v>122.19039759211611</c:v>
                </c:pt>
                <c:pt idx="1127">
                  <c:v>124.51575319190252</c:v>
                </c:pt>
                <c:pt idx="1128">
                  <c:v>121.78746541094227</c:v>
                </c:pt>
                <c:pt idx="1129">
                  <c:v>121.64182727316859</c:v>
                </c:pt>
                <c:pt idx="1130">
                  <c:v>121.64182727316859</c:v>
                </c:pt>
                <c:pt idx="1131">
                  <c:v>121.64182727316859</c:v>
                </c:pt>
                <c:pt idx="1132">
                  <c:v>121.13209379096072</c:v>
                </c:pt>
                <c:pt idx="1133">
                  <c:v>119.559201903005</c:v>
                </c:pt>
                <c:pt idx="1134">
                  <c:v>114.60265061410749</c:v>
                </c:pt>
                <c:pt idx="1135">
                  <c:v>115.52988009126655</c:v>
                </c:pt>
                <c:pt idx="1136">
                  <c:v>113.22394290984998</c:v>
                </c:pt>
                <c:pt idx="1137">
                  <c:v>113.22394290984998</c:v>
                </c:pt>
                <c:pt idx="1138">
                  <c:v>113.22394290984998</c:v>
                </c:pt>
                <c:pt idx="1139">
                  <c:v>112.12194766736249</c:v>
                </c:pt>
                <c:pt idx="1140">
                  <c:v>123.06908102335063</c:v>
                </c:pt>
                <c:pt idx="1141">
                  <c:v>123.44288557696974</c:v>
                </c:pt>
                <c:pt idx="1142">
                  <c:v>123.44288557696974</c:v>
                </c:pt>
                <c:pt idx="1143">
                  <c:v>123.1079178600903</c:v>
                </c:pt>
                <c:pt idx="1144">
                  <c:v>123.1079178600903</c:v>
                </c:pt>
                <c:pt idx="1145">
                  <c:v>123.1079178600903</c:v>
                </c:pt>
                <c:pt idx="1146">
                  <c:v>121.77775620175734</c:v>
                </c:pt>
                <c:pt idx="1147">
                  <c:v>120.4621583572018</c:v>
                </c:pt>
                <c:pt idx="1148">
                  <c:v>113.50065537161997</c:v>
                </c:pt>
                <c:pt idx="1149">
                  <c:v>113.50065537161997</c:v>
                </c:pt>
                <c:pt idx="1150">
                  <c:v>118.89412107383852</c:v>
                </c:pt>
                <c:pt idx="1151">
                  <c:v>118.89412107383852</c:v>
                </c:pt>
                <c:pt idx="1152">
                  <c:v>118.89412107383852</c:v>
                </c:pt>
                <c:pt idx="1153">
                  <c:v>117.42803048691684</c:v>
                </c:pt>
                <c:pt idx="1154">
                  <c:v>118.39895140540801</c:v>
                </c:pt>
                <c:pt idx="1155">
                  <c:v>121.20491285984755</c:v>
                </c:pt>
                <c:pt idx="1156">
                  <c:v>123.37006650808291</c:v>
                </c:pt>
                <c:pt idx="1157">
                  <c:v>123.70988882955483</c:v>
                </c:pt>
                <c:pt idx="1158">
                  <c:v>123.70988882955483</c:v>
                </c:pt>
                <c:pt idx="1159">
                  <c:v>123.70988882955483</c:v>
                </c:pt>
                <c:pt idx="1160">
                  <c:v>125.39443662313705</c:v>
                </c:pt>
                <c:pt idx="1161">
                  <c:v>123.78270789844166</c:v>
                </c:pt>
                <c:pt idx="1162">
                  <c:v>119.83105976018254</c:v>
                </c:pt>
                <c:pt idx="1163">
                  <c:v>116.14641487450848</c:v>
                </c:pt>
                <c:pt idx="1164">
                  <c:v>110.95684256517306</c:v>
                </c:pt>
                <c:pt idx="1165">
                  <c:v>110.95684256517306</c:v>
                </c:pt>
                <c:pt idx="1166">
                  <c:v>110.95684256517306</c:v>
                </c:pt>
                <c:pt idx="1167">
                  <c:v>110.31603475896887</c:v>
                </c:pt>
                <c:pt idx="1168">
                  <c:v>112.64624496334773</c:v>
                </c:pt>
                <c:pt idx="1169">
                  <c:v>112.64624496334773</c:v>
                </c:pt>
                <c:pt idx="1170">
                  <c:v>117.51541336958104</c:v>
                </c:pt>
                <c:pt idx="1171">
                  <c:v>115.25316762949657</c:v>
                </c:pt>
                <c:pt idx="1172">
                  <c:v>115.25316762949657</c:v>
                </c:pt>
                <c:pt idx="1173">
                  <c:v>115.25316762949657</c:v>
                </c:pt>
                <c:pt idx="1174">
                  <c:v>114.46186708092625</c:v>
                </c:pt>
                <c:pt idx="1175">
                  <c:v>114.19000922374872</c:v>
                </c:pt>
                <c:pt idx="1176">
                  <c:v>114.48614010388853</c:v>
                </c:pt>
                <c:pt idx="1177">
                  <c:v>114.23370066508083</c:v>
                </c:pt>
                <c:pt idx="1178">
                  <c:v>111.60735958056216</c:v>
                </c:pt>
                <c:pt idx="1179">
                  <c:v>111.60735958056216</c:v>
                </c:pt>
                <c:pt idx="1180">
                  <c:v>111.60735958056216</c:v>
                </c:pt>
                <c:pt idx="1181">
                  <c:v>111.65590562648671</c:v>
                </c:pt>
                <c:pt idx="1182">
                  <c:v>111.65590562648671</c:v>
                </c:pt>
                <c:pt idx="1183">
                  <c:v>110.54420117481432</c:v>
                </c:pt>
                <c:pt idx="1184">
                  <c:v>111.23355502694305</c:v>
                </c:pt>
                <c:pt idx="1185">
                  <c:v>115.35025972134569</c:v>
                </c:pt>
                <c:pt idx="1186">
                  <c:v>115.35025972134569</c:v>
                </c:pt>
                <c:pt idx="1187">
                  <c:v>115.35025972134569</c:v>
                </c:pt>
                <c:pt idx="1188">
                  <c:v>114.73372493810379</c:v>
                </c:pt>
                <c:pt idx="1189">
                  <c:v>109.81115588135346</c:v>
                </c:pt>
                <c:pt idx="1190">
                  <c:v>109.146075052187</c:v>
                </c:pt>
                <c:pt idx="1191">
                  <c:v>108.56352250109227</c:v>
                </c:pt>
                <c:pt idx="1192">
                  <c:v>116.02019515510462</c:v>
                </c:pt>
                <c:pt idx="1193">
                  <c:v>116.02019515510462</c:v>
                </c:pt>
                <c:pt idx="1194">
                  <c:v>116.02019515510462</c:v>
                </c:pt>
                <c:pt idx="1195">
                  <c:v>116.63187533375405</c:v>
                </c:pt>
                <c:pt idx="1196">
                  <c:v>113.79193164716735</c:v>
                </c:pt>
                <c:pt idx="1197">
                  <c:v>110.80634982280692</c:v>
                </c:pt>
                <c:pt idx="1198">
                  <c:v>106.84499247536287</c:v>
                </c:pt>
                <c:pt idx="1199">
                  <c:v>107.17510558764988</c:v>
                </c:pt>
                <c:pt idx="1200">
                  <c:v>107.17510558764988</c:v>
                </c:pt>
                <c:pt idx="1201">
                  <c:v>107.17510558764988</c:v>
                </c:pt>
                <c:pt idx="1202">
                  <c:v>111.59765037137726</c:v>
                </c:pt>
                <c:pt idx="1203">
                  <c:v>108.49555803679792</c:v>
                </c:pt>
                <c:pt idx="1204">
                  <c:v>107.29161609786881</c:v>
                </c:pt>
                <c:pt idx="1205">
                  <c:v>102.67488713044321</c:v>
                </c:pt>
                <c:pt idx="1206">
                  <c:v>103.47589688819845</c:v>
                </c:pt>
                <c:pt idx="1207">
                  <c:v>103.47589688819845</c:v>
                </c:pt>
                <c:pt idx="1208">
                  <c:v>103.47589688819845</c:v>
                </c:pt>
                <c:pt idx="1209">
                  <c:v>107.8887324627409</c:v>
                </c:pt>
                <c:pt idx="1210">
                  <c:v>106.17505704160396</c:v>
                </c:pt>
                <c:pt idx="1211">
                  <c:v>111.19471819020342</c:v>
                </c:pt>
                <c:pt idx="1212">
                  <c:v>110.98597019272781</c:v>
                </c:pt>
                <c:pt idx="1213">
                  <c:v>110.82091363658431</c:v>
                </c:pt>
                <c:pt idx="1214">
                  <c:v>110.82091363658431</c:v>
                </c:pt>
                <c:pt idx="1215">
                  <c:v>110.82091363658431</c:v>
                </c:pt>
                <c:pt idx="1216">
                  <c:v>110.69469391718046</c:v>
                </c:pt>
                <c:pt idx="1217">
                  <c:v>115.13665711927763</c:v>
                </c:pt>
                <c:pt idx="1218">
                  <c:v>115.69493664741006</c:v>
                </c:pt>
                <c:pt idx="1219">
                  <c:v>112.85499296082332</c:v>
                </c:pt>
                <c:pt idx="1220">
                  <c:v>113.08801398126123</c:v>
                </c:pt>
                <c:pt idx="1221">
                  <c:v>113.08801398126123</c:v>
                </c:pt>
                <c:pt idx="1222">
                  <c:v>113.08801398126123</c:v>
                </c:pt>
                <c:pt idx="1223">
                  <c:v>111.12189912131656</c:v>
                </c:pt>
                <c:pt idx="1224">
                  <c:v>112.54429826690615</c:v>
                </c:pt>
                <c:pt idx="1225">
                  <c:v>118.79217437739695</c:v>
                </c:pt>
                <c:pt idx="1226">
                  <c:v>117.17559104810913</c:v>
                </c:pt>
                <c:pt idx="1227">
                  <c:v>118.56400796155154</c:v>
                </c:pt>
                <c:pt idx="1228">
                  <c:v>118.56400796155154</c:v>
                </c:pt>
                <c:pt idx="1229">
                  <c:v>118.56400796155154</c:v>
                </c:pt>
                <c:pt idx="1230">
                  <c:v>120.47672217097916</c:v>
                </c:pt>
                <c:pt idx="1231">
                  <c:v>121.08354774503616</c:v>
                </c:pt>
                <c:pt idx="1232">
                  <c:v>120.44273993883196</c:v>
                </c:pt>
                <c:pt idx="1233">
                  <c:v>121.12723918636826</c:v>
                </c:pt>
                <c:pt idx="1234">
                  <c:v>119.77765910966551</c:v>
                </c:pt>
                <c:pt idx="1235">
                  <c:v>119.77765910966551</c:v>
                </c:pt>
                <c:pt idx="1236">
                  <c:v>119.77765910966551</c:v>
                </c:pt>
                <c:pt idx="1237">
                  <c:v>119.64173018107674</c:v>
                </c:pt>
                <c:pt idx="1238">
                  <c:v>119.14656051264625</c:v>
                </c:pt>
                <c:pt idx="1239">
                  <c:v>120.22428273217147</c:v>
                </c:pt>
                <c:pt idx="1240">
                  <c:v>121.09811155881351</c:v>
                </c:pt>
                <c:pt idx="1241">
                  <c:v>120.44273993883196</c:v>
                </c:pt>
                <c:pt idx="1242">
                  <c:v>120.44273993883196</c:v>
                </c:pt>
                <c:pt idx="1243">
                  <c:v>120.44273993883196</c:v>
                </c:pt>
                <c:pt idx="1244">
                  <c:v>118.90383028302345</c:v>
                </c:pt>
                <c:pt idx="1245">
                  <c:v>117.37948444099227</c:v>
                </c:pt>
                <c:pt idx="1246">
                  <c:v>116.37943589494635</c:v>
                </c:pt>
                <c:pt idx="1247">
                  <c:v>114.00067964464296</c:v>
                </c:pt>
                <c:pt idx="1248">
                  <c:v>114.73372493810379</c:v>
                </c:pt>
                <c:pt idx="1249">
                  <c:v>114.73372493810379</c:v>
                </c:pt>
                <c:pt idx="1250">
                  <c:v>114.73372493810379</c:v>
                </c:pt>
                <c:pt idx="1251">
                  <c:v>114.28710131559782</c:v>
                </c:pt>
                <c:pt idx="1252">
                  <c:v>111.60250497596968</c:v>
                </c:pt>
                <c:pt idx="1253">
                  <c:v>112.893829797563</c:v>
                </c:pt>
                <c:pt idx="1254">
                  <c:v>116.80664109908247</c:v>
                </c:pt>
                <c:pt idx="1255">
                  <c:v>112.90839361134036</c:v>
                </c:pt>
                <c:pt idx="1256">
                  <c:v>112.90839361134036</c:v>
                </c:pt>
                <c:pt idx="1257">
                  <c:v>112.90839361134036</c:v>
                </c:pt>
                <c:pt idx="1258">
                  <c:v>104.84489538327102</c:v>
                </c:pt>
                <c:pt idx="1259">
                  <c:v>107.49065488615952</c:v>
                </c:pt>
                <c:pt idx="1260">
                  <c:v>106.5245885722608</c:v>
                </c:pt>
                <c:pt idx="1261">
                  <c:v>106.33040438856254</c:v>
                </c:pt>
                <c:pt idx="1262">
                  <c:v>106.33040438856254</c:v>
                </c:pt>
                <c:pt idx="1263">
                  <c:v>106.33040438856254</c:v>
                </c:pt>
                <c:pt idx="1264">
                  <c:v>106.33040438856254</c:v>
                </c:pt>
                <c:pt idx="1265">
                  <c:v>105.17500849555803</c:v>
                </c:pt>
                <c:pt idx="1266">
                  <c:v>104.36914413321034</c:v>
                </c:pt>
                <c:pt idx="1267">
                  <c:v>104.0972862760328</c:v>
                </c:pt>
                <c:pt idx="1268">
                  <c:v>103.38851400553423</c:v>
                </c:pt>
                <c:pt idx="1269">
                  <c:v>101.46123598232923</c:v>
                </c:pt>
                <c:pt idx="1270">
                  <c:v>101.46123598232923</c:v>
                </c:pt>
                <c:pt idx="1271">
                  <c:v>101.46123598232923</c:v>
                </c:pt>
                <c:pt idx="1272">
                  <c:v>99.805815816301759</c:v>
                </c:pt>
                <c:pt idx="1273">
                  <c:v>100.75246371183067</c:v>
                </c:pt>
                <c:pt idx="1274">
                  <c:v>102.19428127579009</c:v>
                </c:pt>
                <c:pt idx="1275">
                  <c:v>100.35438613524927</c:v>
                </c:pt>
                <c:pt idx="1276">
                  <c:v>101.59231030632554</c:v>
                </c:pt>
                <c:pt idx="1277">
                  <c:v>101.59231030632554</c:v>
                </c:pt>
                <c:pt idx="1278">
                  <c:v>101.59231030632554</c:v>
                </c:pt>
                <c:pt idx="1279">
                  <c:v>101.3107432399631</c:v>
                </c:pt>
                <c:pt idx="1280">
                  <c:v>100.28642167095489</c:v>
                </c:pt>
                <c:pt idx="1281">
                  <c:v>100.63595320161174</c:v>
                </c:pt>
                <c:pt idx="1282">
                  <c:v>102.47099373756008</c:v>
                </c:pt>
                <c:pt idx="1283">
                  <c:v>103.0292732656925</c:v>
                </c:pt>
                <c:pt idx="1284">
                  <c:v>103.0292732656925</c:v>
                </c:pt>
                <c:pt idx="1285">
                  <c:v>103.0292732656925</c:v>
                </c:pt>
                <c:pt idx="1286">
                  <c:v>105.14102626341084</c:v>
                </c:pt>
                <c:pt idx="1287">
                  <c:v>106.53915238603815</c:v>
                </c:pt>
                <c:pt idx="1288">
                  <c:v>106.95179377639693</c:v>
                </c:pt>
                <c:pt idx="1289">
                  <c:v>105.32064663333172</c:v>
                </c:pt>
                <c:pt idx="1290">
                  <c:v>105.73814262828292</c:v>
                </c:pt>
                <c:pt idx="1291">
                  <c:v>105.73814262828292</c:v>
                </c:pt>
                <c:pt idx="1292">
                  <c:v>105.73814262828292</c:v>
                </c:pt>
                <c:pt idx="1293">
                  <c:v>105.02937035778434</c:v>
                </c:pt>
                <c:pt idx="1294">
                  <c:v>105.24782756444489</c:v>
                </c:pt>
                <c:pt idx="1295">
                  <c:v>107.6605660468955</c:v>
                </c:pt>
                <c:pt idx="1296">
                  <c:v>109.3208408175154</c:v>
                </c:pt>
                <c:pt idx="1297">
                  <c:v>107.31103451623865</c:v>
                </c:pt>
                <c:pt idx="1298">
                  <c:v>107.31103451623865</c:v>
                </c:pt>
                <c:pt idx="1299">
                  <c:v>107.31103451623865</c:v>
                </c:pt>
                <c:pt idx="1300">
                  <c:v>108.34506529443178</c:v>
                </c:pt>
                <c:pt idx="1301">
                  <c:v>109.69949997572697</c:v>
                </c:pt>
                <c:pt idx="1302">
                  <c:v>105.50997621243749</c:v>
                </c:pt>
                <c:pt idx="1303">
                  <c:v>105.20899072770521</c:v>
                </c:pt>
                <c:pt idx="1304">
                  <c:v>102.10689839312587</c:v>
                </c:pt>
                <c:pt idx="1305">
                  <c:v>102.10689839312587</c:v>
                </c:pt>
                <c:pt idx="1306">
                  <c:v>102.10689839312587</c:v>
                </c:pt>
                <c:pt idx="1307">
                  <c:v>102.12631681149571</c:v>
                </c:pt>
                <c:pt idx="1308">
                  <c:v>101.35443468129522</c:v>
                </c:pt>
                <c:pt idx="1309">
                  <c:v>101.12626826544977</c:v>
                </c:pt>
                <c:pt idx="1310">
                  <c:v>98.669838341667074</c:v>
                </c:pt>
                <c:pt idx="1311">
                  <c:v>98.286324578863045</c:v>
                </c:pt>
                <c:pt idx="1312">
                  <c:v>98.286324578863045</c:v>
                </c:pt>
                <c:pt idx="1313">
                  <c:v>98.286324578863045</c:v>
                </c:pt>
                <c:pt idx="1314">
                  <c:v>101.93698723238991</c:v>
                </c:pt>
                <c:pt idx="1315">
                  <c:v>118.1804941987475</c:v>
                </c:pt>
                <c:pt idx="1316">
                  <c:v>121.63697266857613</c:v>
                </c:pt>
                <c:pt idx="1317">
                  <c:v>120.11748143113743</c:v>
                </c:pt>
                <c:pt idx="1318">
                  <c:v>120.23884654594883</c:v>
                </c:pt>
                <c:pt idx="1319">
                  <c:v>120.23884654594883</c:v>
                </c:pt>
                <c:pt idx="1320">
                  <c:v>120.23884654594883</c:v>
                </c:pt>
                <c:pt idx="1321">
                  <c:v>119.13199669886887</c:v>
                </c:pt>
                <c:pt idx="1322">
                  <c:v>116.16583329287829</c:v>
                </c:pt>
                <c:pt idx="1323">
                  <c:v>116.16583329287829</c:v>
                </c:pt>
                <c:pt idx="1324">
                  <c:v>117.50570416039614</c:v>
                </c:pt>
                <c:pt idx="1325">
                  <c:v>117.79212583135103</c:v>
                </c:pt>
                <c:pt idx="1326">
                  <c:v>117.79212583135103</c:v>
                </c:pt>
                <c:pt idx="1327">
                  <c:v>117.79212583135103</c:v>
                </c:pt>
                <c:pt idx="1328">
                  <c:v>118.88926646924607</c:v>
                </c:pt>
                <c:pt idx="1329">
                  <c:v>119.96213408417884</c:v>
                </c:pt>
                <c:pt idx="1330">
                  <c:v>122.11272391863682</c:v>
                </c:pt>
                <c:pt idx="1331">
                  <c:v>122.53992912277295</c:v>
                </c:pt>
                <c:pt idx="1332">
                  <c:v>126.07893587067332</c:v>
                </c:pt>
                <c:pt idx="1333">
                  <c:v>126.07893587067332</c:v>
                </c:pt>
                <c:pt idx="1334">
                  <c:v>126.07893587067332</c:v>
                </c:pt>
                <c:pt idx="1335">
                  <c:v>126.04980824311858</c:v>
                </c:pt>
                <c:pt idx="1336">
                  <c:v>126.8119811641342</c:v>
                </c:pt>
                <c:pt idx="1337">
                  <c:v>126.68090684013787</c:v>
                </c:pt>
                <c:pt idx="1338">
                  <c:v>128.40429147045973</c:v>
                </c:pt>
                <c:pt idx="1339">
                  <c:v>131.185979901937</c:v>
                </c:pt>
                <c:pt idx="1340">
                  <c:v>131.185979901937</c:v>
                </c:pt>
                <c:pt idx="1341">
                  <c:v>131.185979901937</c:v>
                </c:pt>
                <c:pt idx="1342">
                  <c:v>130.32671488907226</c:v>
                </c:pt>
                <c:pt idx="1343">
                  <c:v>127.95766784795377</c:v>
                </c:pt>
                <c:pt idx="1344">
                  <c:v>126.91392786057575</c:v>
                </c:pt>
                <c:pt idx="1345">
                  <c:v>126.62265158502839</c:v>
                </c:pt>
                <c:pt idx="1346">
                  <c:v>125.23423467158601</c:v>
                </c:pt>
                <c:pt idx="1347">
                  <c:v>125.23423467158601</c:v>
                </c:pt>
                <c:pt idx="1348">
                  <c:v>125.23423467158601</c:v>
                </c:pt>
                <c:pt idx="1349">
                  <c:v>128.49167435312395</c:v>
                </c:pt>
                <c:pt idx="1350">
                  <c:v>127.92854022039903</c:v>
                </c:pt>
                <c:pt idx="1351">
                  <c:v>125.8604786640128</c:v>
                </c:pt>
                <c:pt idx="1352">
                  <c:v>125.42841885528424</c:v>
                </c:pt>
                <c:pt idx="1353">
                  <c:v>124.44293412301566</c:v>
                </c:pt>
                <c:pt idx="1354">
                  <c:v>124.44293412301566</c:v>
                </c:pt>
                <c:pt idx="1355">
                  <c:v>124.44293412301566</c:v>
                </c:pt>
                <c:pt idx="1356">
                  <c:v>122.370017962037</c:v>
                </c:pt>
                <c:pt idx="1357">
                  <c:v>121.07383853585125</c:v>
                </c:pt>
                <c:pt idx="1358">
                  <c:v>121.21462206903246</c:v>
                </c:pt>
                <c:pt idx="1359">
                  <c:v>121.37967862517598</c:v>
                </c:pt>
                <c:pt idx="1360">
                  <c:v>121.37967862517598</c:v>
                </c:pt>
                <c:pt idx="1361">
                  <c:v>121.37967862517598</c:v>
                </c:pt>
                <c:pt idx="1362">
                  <c:v>121.37967862517598</c:v>
                </c:pt>
                <c:pt idx="1363">
                  <c:v>118.22418564007961</c:v>
                </c:pt>
                <c:pt idx="1364">
                  <c:v>116.78236807612019</c:v>
                </c:pt>
                <c:pt idx="1365">
                  <c:v>115.77746492548182</c:v>
                </c:pt>
                <c:pt idx="1366">
                  <c:v>116.04932278265936</c:v>
                </c:pt>
                <c:pt idx="1367">
                  <c:v>114.56381377736784</c:v>
                </c:pt>
                <c:pt idx="1368">
                  <c:v>114.56381377736784</c:v>
                </c:pt>
                <c:pt idx="1369">
                  <c:v>114.56381377736784</c:v>
                </c:pt>
                <c:pt idx="1370">
                  <c:v>116.24350696635759</c:v>
                </c:pt>
                <c:pt idx="1371">
                  <c:v>116.7580950531579</c:v>
                </c:pt>
                <c:pt idx="1372">
                  <c:v>117.2775377445507</c:v>
                </c:pt>
                <c:pt idx="1373">
                  <c:v>118.82130200495169</c:v>
                </c:pt>
                <c:pt idx="1374">
                  <c:v>118.15136657119277</c:v>
                </c:pt>
                <c:pt idx="1375">
                  <c:v>118.15136657119277</c:v>
                </c:pt>
                <c:pt idx="1376">
                  <c:v>118.15136657119277</c:v>
                </c:pt>
                <c:pt idx="1377">
                  <c:v>118.21447643089469</c:v>
                </c:pt>
                <c:pt idx="1378">
                  <c:v>115.56386232341376</c:v>
                </c:pt>
                <c:pt idx="1379">
                  <c:v>115.95223069081023</c:v>
                </c:pt>
                <c:pt idx="1380">
                  <c:v>114.55410456818291</c:v>
                </c:pt>
                <c:pt idx="1381">
                  <c:v>111.90834506529444</c:v>
                </c:pt>
                <c:pt idx="1382">
                  <c:v>111.90834506529444</c:v>
                </c:pt>
                <c:pt idx="1383">
                  <c:v>111.90834506529444</c:v>
                </c:pt>
                <c:pt idx="1384">
                  <c:v>109.34996844507015</c:v>
                </c:pt>
                <c:pt idx="1385">
                  <c:v>111.04422544783728</c:v>
                </c:pt>
                <c:pt idx="1386">
                  <c:v>111.84038060100004</c:v>
                </c:pt>
                <c:pt idx="1387">
                  <c:v>111.37433856012426</c:v>
                </c:pt>
                <c:pt idx="1388">
                  <c:v>113.00548570318946</c:v>
                </c:pt>
                <c:pt idx="1389">
                  <c:v>113.00548570318946</c:v>
                </c:pt>
                <c:pt idx="1390">
                  <c:v>113.00548570318946</c:v>
                </c:pt>
                <c:pt idx="1391">
                  <c:v>111.85979901936986</c:v>
                </c:pt>
                <c:pt idx="1392">
                  <c:v>111.17044516724113</c:v>
                </c:pt>
                <c:pt idx="1393">
                  <c:v>110.8743142871013</c:v>
                </c:pt>
                <c:pt idx="1394">
                  <c:v>113.33074421088401</c:v>
                </c:pt>
                <c:pt idx="1395">
                  <c:v>115.11238409631534</c:v>
                </c:pt>
                <c:pt idx="1396">
                  <c:v>115.11238409631534</c:v>
                </c:pt>
                <c:pt idx="1397">
                  <c:v>115.11238409631534</c:v>
                </c:pt>
                <c:pt idx="1398">
                  <c:v>117.89892713238508</c:v>
                </c:pt>
                <c:pt idx="1399">
                  <c:v>121.16607602310792</c:v>
                </c:pt>
                <c:pt idx="1400">
                  <c:v>122.20981601048595</c:v>
                </c:pt>
                <c:pt idx="1401">
                  <c:v>121.05927472207387</c:v>
                </c:pt>
                <c:pt idx="1402">
                  <c:v>119.87960580610708</c:v>
                </c:pt>
                <c:pt idx="1403">
                  <c:v>119.87960580610708</c:v>
                </c:pt>
                <c:pt idx="1404">
                  <c:v>119.87960580610708</c:v>
                </c:pt>
                <c:pt idx="1405">
                  <c:v>116.23379775717268</c:v>
                </c:pt>
                <c:pt idx="1406">
                  <c:v>116.66585756590125</c:v>
                </c:pt>
                <c:pt idx="1407">
                  <c:v>116.38914510413126</c:v>
                </c:pt>
                <c:pt idx="1408">
                  <c:v>113.95698820331084</c:v>
                </c:pt>
                <c:pt idx="1409">
                  <c:v>111.1073353075392</c:v>
                </c:pt>
                <c:pt idx="1410">
                  <c:v>111.1073353075392</c:v>
                </c:pt>
                <c:pt idx="1411">
                  <c:v>111.1073353075392</c:v>
                </c:pt>
                <c:pt idx="1412">
                  <c:v>114.71916112432643</c:v>
                </c:pt>
                <c:pt idx="1413">
                  <c:v>115.04927423661341</c:v>
                </c:pt>
                <c:pt idx="1414">
                  <c:v>114.94732754017186</c:v>
                </c:pt>
                <c:pt idx="1415">
                  <c:v>110.52963736103693</c:v>
                </c:pt>
                <c:pt idx="1416">
                  <c:v>114.39875722122433</c:v>
                </c:pt>
                <c:pt idx="1417">
                  <c:v>114.39875722122433</c:v>
                </c:pt>
                <c:pt idx="1418">
                  <c:v>114.39875722122433</c:v>
                </c:pt>
                <c:pt idx="1419">
                  <c:v>114.39875722122433</c:v>
                </c:pt>
                <c:pt idx="1420">
                  <c:v>114.89878149424729</c:v>
                </c:pt>
                <c:pt idx="1421">
                  <c:v>118.63197242584592</c:v>
                </c:pt>
                <c:pt idx="1422">
                  <c:v>120.26311956891109</c:v>
                </c:pt>
                <c:pt idx="1423">
                  <c:v>117.71445215787173</c:v>
                </c:pt>
                <c:pt idx="1424">
                  <c:v>117.71445215787173</c:v>
                </c:pt>
                <c:pt idx="1425">
                  <c:v>117.71445215787173</c:v>
                </c:pt>
                <c:pt idx="1426">
                  <c:v>118.24360405844942</c:v>
                </c:pt>
                <c:pt idx="1427">
                  <c:v>119.42327297441624</c:v>
                </c:pt>
                <c:pt idx="1428">
                  <c:v>117.65619690276228</c:v>
                </c:pt>
                <c:pt idx="1429">
                  <c:v>118.91353949220836</c:v>
                </c:pt>
                <c:pt idx="1430">
                  <c:v>123.72930724792465</c:v>
                </c:pt>
                <c:pt idx="1431">
                  <c:v>123.72930724792465</c:v>
                </c:pt>
                <c:pt idx="1432">
                  <c:v>123.72930724792465</c:v>
                </c:pt>
                <c:pt idx="1433">
                  <c:v>129.98689256760036</c:v>
                </c:pt>
                <c:pt idx="1434">
                  <c:v>126.50614107480945</c:v>
                </c:pt>
                <c:pt idx="1435">
                  <c:v>126.8119811641342</c:v>
                </c:pt>
                <c:pt idx="1436">
                  <c:v>127.59842710811202</c:v>
                </c:pt>
                <c:pt idx="1437">
                  <c:v>123.20015534734696</c:v>
                </c:pt>
                <c:pt idx="1438">
                  <c:v>123.20015534734696</c:v>
                </c:pt>
                <c:pt idx="1439">
                  <c:v>123.20015534734696</c:v>
                </c:pt>
                <c:pt idx="1440">
                  <c:v>119.88446041069953</c:v>
                </c:pt>
                <c:pt idx="1441">
                  <c:v>119.9330064566241</c:v>
                </c:pt>
                <c:pt idx="1442">
                  <c:v>121.83115685227439</c:v>
                </c:pt>
                <c:pt idx="1443">
                  <c:v>119.89902422447692</c:v>
                </c:pt>
                <c:pt idx="1444">
                  <c:v>121.78746541094227</c:v>
                </c:pt>
                <c:pt idx="1445">
                  <c:v>121.78746541094227</c:v>
                </c:pt>
                <c:pt idx="1446">
                  <c:v>121.78746541094227</c:v>
                </c:pt>
                <c:pt idx="1447">
                  <c:v>118.11738433904557</c:v>
                </c:pt>
                <c:pt idx="1448">
                  <c:v>119.64658478566921</c:v>
                </c:pt>
                <c:pt idx="1449">
                  <c:v>122.24379824263313</c:v>
                </c:pt>
                <c:pt idx="1450">
                  <c:v>122.7972231661731</c:v>
                </c:pt>
                <c:pt idx="1451">
                  <c:v>123.16617311519977</c:v>
                </c:pt>
                <c:pt idx="1452">
                  <c:v>123.16617311519977</c:v>
                </c:pt>
                <c:pt idx="1453">
                  <c:v>123.16617311519977</c:v>
                </c:pt>
                <c:pt idx="1454">
                  <c:v>121.04956551288896</c:v>
                </c:pt>
                <c:pt idx="1455">
                  <c:v>120.69517937763969</c:v>
                </c:pt>
                <c:pt idx="1456">
                  <c:v>121.18063983688528</c:v>
                </c:pt>
                <c:pt idx="1457">
                  <c:v>120.82625370163601</c:v>
                </c:pt>
                <c:pt idx="1458">
                  <c:v>120.82625370163601</c:v>
                </c:pt>
                <c:pt idx="1459">
                  <c:v>120.82625370163601</c:v>
                </c:pt>
                <c:pt idx="1460">
                  <c:v>120.82625370163601</c:v>
                </c:pt>
                <c:pt idx="1461">
                  <c:v>122.25350745181804</c:v>
                </c:pt>
                <c:pt idx="1462">
                  <c:v>120.2291373367639</c:v>
                </c:pt>
                <c:pt idx="1463">
                  <c:v>119.35530851012186</c:v>
                </c:pt>
                <c:pt idx="1464">
                  <c:v>118.64653623962329</c:v>
                </c:pt>
                <c:pt idx="1465">
                  <c:v>114.32593815233749</c:v>
                </c:pt>
                <c:pt idx="1466">
                  <c:v>114.32593815233749</c:v>
                </c:pt>
                <c:pt idx="1467">
                  <c:v>114.32593815233749</c:v>
                </c:pt>
                <c:pt idx="1468">
                  <c:v>111.44715762901112</c:v>
                </c:pt>
                <c:pt idx="1469">
                  <c:v>115.2386038157192</c:v>
                </c:pt>
                <c:pt idx="1470">
                  <c:v>116.69498519345598</c:v>
                </c:pt>
                <c:pt idx="1471">
                  <c:v>110.73353075392009</c:v>
                </c:pt>
                <c:pt idx="1472">
                  <c:v>114.31622894315257</c:v>
                </c:pt>
                <c:pt idx="1473">
                  <c:v>114.31622894315257</c:v>
                </c:pt>
                <c:pt idx="1474">
                  <c:v>114.31622894315257</c:v>
                </c:pt>
                <c:pt idx="1475">
                  <c:v>115.92310306325548</c:v>
                </c:pt>
                <c:pt idx="1476">
                  <c:v>120.40875770668478</c:v>
                </c:pt>
                <c:pt idx="1477">
                  <c:v>116.98626146900335</c:v>
                </c:pt>
                <c:pt idx="1478">
                  <c:v>119.16597893101606</c:v>
                </c:pt>
                <c:pt idx="1479">
                  <c:v>121.74862857420261</c:v>
                </c:pt>
                <c:pt idx="1480">
                  <c:v>121.74862857420261</c:v>
                </c:pt>
                <c:pt idx="1481">
                  <c:v>121.74862857420261</c:v>
                </c:pt>
                <c:pt idx="1482">
                  <c:v>120.04951696684304</c:v>
                </c:pt>
                <c:pt idx="1483">
                  <c:v>124.69537356182339</c:v>
                </c:pt>
                <c:pt idx="1484">
                  <c:v>127.62755473566676</c:v>
                </c:pt>
                <c:pt idx="1485">
                  <c:v>127.24404097286278</c:v>
                </c:pt>
                <c:pt idx="1486">
                  <c:v>129.32181173843389</c:v>
                </c:pt>
                <c:pt idx="1487">
                  <c:v>129.32181173843389</c:v>
                </c:pt>
                <c:pt idx="1488">
                  <c:v>129.32181173843389</c:v>
                </c:pt>
                <c:pt idx="1489">
                  <c:v>130.97723190446138</c:v>
                </c:pt>
                <c:pt idx="1490">
                  <c:v>129.04024467207145</c:v>
                </c:pt>
                <c:pt idx="1491">
                  <c:v>127.79746589640273</c:v>
                </c:pt>
                <c:pt idx="1492">
                  <c:v>128.30234477401817</c:v>
                </c:pt>
                <c:pt idx="1493">
                  <c:v>128.30234477401817</c:v>
                </c:pt>
                <c:pt idx="1494">
                  <c:v>128.30234477401817</c:v>
                </c:pt>
                <c:pt idx="1495">
                  <c:v>128.30234477401817</c:v>
                </c:pt>
                <c:pt idx="1496">
                  <c:v>127.91883101121412</c:v>
                </c:pt>
                <c:pt idx="1497">
                  <c:v>127.59357250351957</c:v>
                </c:pt>
                <c:pt idx="1498">
                  <c:v>130.3461333074421</c:v>
                </c:pt>
                <c:pt idx="1499">
                  <c:v>132.17631923879799</c:v>
                </c:pt>
                <c:pt idx="1500">
                  <c:v>131.86076994028838</c:v>
                </c:pt>
                <c:pt idx="1501">
                  <c:v>131.86076994028838</c:v>
                </c:pt>
                <c:pt idx="1502">
                  <c:v>131.86076994028838</c:v>
                </c:pt>
                <c:pt idx="1503">
                  <c:v>131.08403320549539</c:v>
                </c:pt>
                <c:pt idx="1504">
                  <c:v>131.04034176416332</c:v>
                </c:pt>
                <c:pt idx="1505">
                  <c:v>129.62279722316617</c:v>
                </c:pt>
                <c:pt idx="1506">
                  <c:v>124.7147919801932</c:v>
                </c:pt>
                <c:pt idx="1507">
                  <c:v>124.7147919801932</c:v>
                </c:pt>
                <c:pt idx="1508">
                  <c:v>124.7147919801932</c:v>
                </c:pt>
                <c:pt idx="1509">
                  <c:v>124.7147919801932</c:v>
                </c:pt>
                <c:pt idx="1510">
                  <c:v>126.4236127967377</c:v>
                </c:pt>
                <c:pt idx="1511">
                  <c:v>125.79251419971843</c:v>
                </c:pt>
                <c:pt idx="1512">
                  <c:v>125.29734453128793</c:v>
                </c:pt>
                <c:pt idx="1513">
                  <c:v>127.36055148308172</c:v>
                </c:pt>
                <c:pt idx="1514">
                  <c:v>127.36055148308172</c:v>
                </c:pt>
                <c:pt idx="1515">
                  <c:v>127.36055148308172</c:v>
                </c:pt>
                <c:pt idx="1516">
                  <c:v>127.36055148308172</c:v>
                </c:pt>
                <c:pt idx="1517">
                  <c:v>126.96247390650031</c:v>
                </c:pt>
                <c:pt idx="1518">
                  <c:v>128.95771639399968</c:v>
                </c:pt>
                <c:pt idx="1519">
                  <c:v>128.01592310306324</c:v>
                </c:pt>
                <c:pt idx="1520">
                  <c:v>128.35089081994272</c:v>
                </c:pt>
                <c:pt idx="1521">
                  <c:v>129.0014078353318</c:v>
                </c:pt>
                <c:pt idx="1522">
                  <c:v>129.0014078353318</c:v>
                </c:pt>
                <c:pt idx="1523">
                  <c:v>129.0014078353318</c:v>
                </c:pt>
                <c:pt idx="1524">
                  <c:v>125.89931550075244</c:v>
                </c:pt>
                <c:pt idx="1525">
                  <c:v>127.20520413612309</c:v>
                </c:pt>
                <c:pt idx="1526">
                  <c:v>125.58862080683528</c:v>
                </c:pt>
                <c:pt idx="1527">
                  <c:v>126.19544638089226</c:v>
                </c:pt>
                <c:pt idx="1528">
                  <c:v>126.17602796252245</c:v>
                </c:pt>
                <c:pt idx="1529">
                  <c:v>126.17602796252245</c:v>
                </c:pt>
                <c:pt idx="1530">
                  <c:v>126.17602796252245</c:v>
                </c:pt>
                <c:pt idx="1531">
                  <c:v>128.1081605903199</c:v>
                </c:pt>
                <c:pt idx="1532">
                  <c:v>128.1081605903199</c:v>
                </c:pt>
                <c:pt idx="1533">
                  <c:v>127.02072916160978</c:v>
                </c:pt>
                <c:pt idx="1534">
                  <c:v>127.97223166173114</c:v>
                </c:pt>
                <c:pt idx="1535">
                  <c:v>131.83164231273363</c:v>
                </c:pt>
                <c:pt idx="1536">
                  <c:v>131.83164231273363</c:v>
                </c:pt>
                <c:pt idx="1537">
                  <c:v>131.83164231273363</c:v>
                </c:pt>
                <c:pt idx="1538">
                  <c:v>134.92888004272052</c:v>
                </c:pt>
                <c:pt idx="1539">
                  <c:v>131.80251468517889</c:v>
                </c:pt>
                <c:pt idx="1540">
                  <c:v>134.66673139472789</c:v>
                </c:pt>
                <c:pt idx="1541">
                  <c:v>138.1717559104811</c:v>
                </c:pt>
                <c:pt idx="1542">
                  <c:v>137.08432448177095</c:v>
                </c:pt>
                <c:pt idx="1543">
                  <c:v>137.08432448177095</c:v>
                </c:pt>
                <c:pt idx="1544">
                  <c:v>137.08432448177095</c:v>
                </c:pt>
                <c:pt idx="1545">
                  <c:v>133.68124666245933</c:v>
                </c:pt>
                <c:pt idx="1546">
                  <c:v>133.68124666245933</c:v>
                </c:pt>
                <c:pt idx="1547">
                  <c:v>134.27350842273896</c:v>
                </c:pt>
                <c:pt idx="1548">
                  <c:v>133.44337103742902</c:v>
                </c:pt>
                <c:pt idx="1549">
                  <c:v>131.97728045050732</c:v>
                </c:pt>
                <c:pt idx="1550">
                  <c:v>131.97728045050732</c:v>
                </c:pt>
                <c:pt idx="1551">
                  <c:v>131.97728045050732</c:v>
                </c:pt>
                <c:pt idx="1552">
                  <c:v>132.09864556531869</c:v>
                </c:pt>
                <c:pt idx="1553">
                  <c:v>128.93829797562989</c:v>
                </c:pt>
                <c:pt idx="1554">
                  <c:v>127.80232050099518</c:v>
                </c:pt>
                <c:pt idx="1555">
                  <c:v>128.65187630467497</c:v>
                </c:pt>
                <c:pt idx="1556">
                  <c:v>128.62760328171271</c:v>
                </c:pt>
                <c:pt idx="1557">
                  <c:v>128.62760328171271</c:v>
                </c:pt>
                <c:pt idx="1558">
                  <c:v>128.62760328171271</c:v>
                </c:pt>
                <c:pt idx="1559">
                  <c:v>128.95771639399968</c:v>
                </c:pt>
                <c:pt idx="1560">
                  <c:v>132.2394290984999</c:v>
                </c:pt>
                <c:pt idx="1561">
                  <c:v>131.71513180251469</c:v>
                </c:pt>
                <c:pt idx="1562">
                  <c:v>134.72498664983738</c:v>
                </c:pt>
                <c:pt idx="1563">
                  <c:v>132.836545463372</c:v>
                </c:pt>
                <c:pt idx="1564">
                  <c:v>132.836545463372</c:v>
                </c:pt>
                <c:pt idx="1565">
                  <c:v>132.836545463372</c:v>
                </c:pt>
                <c:pt idx="1566">
                  <c:v>125.97698917423175</c:v>
                </c:pt>
                <c:pt idx="1567">
                  <c:v>125.87504247779017</c:v>
                </c:pt>
                <c:pt idx="1568">
                  <c:v>128.11786979950483</c:v>
                </c:pt>
                <c:pt idx="1569">
                  <c:v>126.81683576872665</c:v>
                </c:pt>
                <c:pt idx="1570">
                  <c:v>122.77295014321083</c:v>
                </c:pt>
                <c:pt idx="1571">
                  <c:v>122.77295014321083</c:v>
                </c:pt>
                <c:pt idx="1572">
                  <c:v>122.77295014321083</c:v>
                </c:pt>
                <c:pt idx="1573">
                  <c:v>118.33584154570609</c:v>
                </c:pt>
                <c:pt idx="1574">
                  <c:v>119.33589009175203</c:v>
                </c:pt>
                <c:pt idx="1575">
                  <c:v>120.23884654594883</c:v>
                </c:pt>
                <c:pt idx="1576">
                  <c:v>118.58342637992136</c:v>
                </c:pt>
                <c:pt idx="1577">
                  <c:v>118.56886256614399</c:v>
                </c:pt>
                <c:pt idx="1578">
                  <c:v>118.56886256614399</c:v>
                </c:pt>
                <c:pt idx="1579">
                  <c:v>118.56886256614399</c:v>
                </c:pt>
                <c:pt idx="1580">
                  <c:v>118.59313558910627</c:v>
                </c:pt>
                <c:pt idx="1581">
                  <c:v>118.45235205592503</c:v>
                </c:pt>
                <c:pt idx="1582">
                  <c:v>117.78241662216612</c:v>
                </c:pt>
                <c:pt idx="1583">
                  <c:v>119.74853148211078</c:v>
                </c:pt>
                <c:pt idx="1584">
                  <c:v>120.37477547453759</c:v>
                </c:pt>
                <c:pt idx="1585">
                  <c:v>120.37477547453759</c:v>
                </c:pt>
                <c:pt idx="1586">
                  <c:v>120.37477547453759</c:v>
                </c:pt>
                <c:pt idx="1587">
                  <c:v>120.75343463274916</c:v>
                </c:pt>
                <c:pt idx="1588">
                  <c:v>121.55929899509685</c:v>
                </c:pt>
                <c:pt idx="1589">
                  <c:v>119.41841836982378</c:v>
                </c:pt>
                <c:pt idx="1590">
                  <c:v>119.62716636729938</c:v>
                </c:pt>
                <c:pt idx="1591">
                  <c:v>119.29705325501239</c:v>
                </c:pt>
                <c:pt idx="1592">
                  <c:v>119.29705325501239</c:v>
                </c:pt>
                <c:pt idx="1593">
                  <c:v>119.29705325501239</c:v>
                </c:pt>
                <c:pt idx="1594">
                  <c:v>118.29215010437399</c:v>
                </c:pt>
                <c:pt idx="1595">
                  <c:v>117.48143113743386</c:v>
                </c:pt>
                <c:pt idx="1596">
                  <c:v>116.26777998931988</c:v>
                </c:pt>
                <c:pt idx="1597">
                  <c:v>116.73867663478809</c:v>
                </c:pt>
                <c:pt idx="1598">
                  <c:v>117.74357978542646</c:v>
                </c:pt>
                <c:pt idx="1599">
                  <c:v>117.74357978542646</c:v>
                </c:pt>
                <c:pt idx="1600">
                  <c:v>117.74357978542646</c:v>
                </c:pt>
                <c:pt idx="1601">
                  <c:v>117.9377639691247</c:v>
                </c:pt>
                <c:pt idx="1602">
                  <c:v>116.79207728530511</c:v>
                </c:pt>
                <c:pt idx="1603">
                  <c:v>115.1852031652022</c:v>
                </c:pt>
                <c:pt idx="1604">
                  <c:v>114.33079275692994</c:v>
                </c:pt>
                <c:pt idx="1605">
                  <c:v>116.14156026991603</c:v>
                </c:pt>
                <c:pt idx="1606">
                  <c:v>116.14156026991603</c:v>
                </c:pt>
                <c:pt idx="1607">
                  <c:v>116.14156026991603</c:v>
                </c:pt>
                <c:pt idx="1608">
                  <c:v>116.69498519345598</c:v>
                </c:pt>
                <c:pt idx="1609">
                  <c:v>117.92320015534735</c:v>
                </c:pt>
                <c:pt idx="1610">
                  <c:v>121.24860430117965</c:v>
                </c:pt>
                <c:pt idx="1611">
                  <c:v>121.27773192873438</c:v>
                </c:pt>
                <c:pt idx="1612">
                  <c:v>121.63211806398368</c:v>
                </c:pt>
                <c:pt idx="1613">
                  <c:v>121.63211806398368</c:v>
                </c:pt>
                <c:pt idx="1614">
                  <c:v>121.63211806398368</c:v>
                </c:pt>
                <c:pt idx="1615">
                  <c:v>119.88446041069953</c:v>
                </c:pt>
                <c:pt idx="1616">
                  <c:v>119.53978348463517</c:v>
                </c:pt>
                <c:pt idx="1617">
                  <c:v>119.9766978979562</c:v>
                </c:pt>
                <c:pt idx="1618">
                  <c:v>120.26797417350356</c:v>
                </c:pt>
                <c:pt idx="1619">
                  <c:v>118.50575270644205</c:v>
                </c:pt>
                <c:pt idx="1620">
                  <c:v>118.50575270644205</c:v>
                </c:pt>
                <c:pt idx="1621">
                  <c:v>118.50575270644205</c:v>
                </c:pt>
                <c:pt idx="1622">
                  <c:v>119.69027622700131</c:v>
                </c:pt>
                <c:pt idx="1623">
                  <c:v>121.06412932666632</c:v>
                </c:pt>
                <c:pt idx="1624">
                  <c:v>120.9039273751153</c:v>
                </c:pt>
                <c:pt idx="1625">
                  <c:v>122.69042186513907</c:v>
                </c:pt>
                <c:pt idx="1626">
                  <c:v>122.69042186513907</c:v>
                </c:pt>
                <c:pt idx="1627">
                  <c:v>122.69042186513907</c:v>
                </c:pt>
                <c:pt idx="1628">
                  <c:v>122.69042186513907</c:v>
                </c:pt>
                <c:pt idx="1629">
                  <c:v>122.370017962037</c:v>
                </c:pt>
                <c:pt idx="1630">
                  <c:v>119.43298218360114</c:v>
                </c:pt>
                <c:pt idx="1631">
                  <c:v>117.35035681343753</c:v>
                </c:pt>
                <c:pt idx="1632">
                  <c:v>118.08825671149083</c:v>
                </c:pt>
                <c:pt idx="1633">
                  <c:v>119.22423418612553</c:v>
                </c:pt>
                <c:pt idx="1634">
                  <c:v>119.22423418612553</c:v>
                </c:pt>
                <c:pt idx="1635">
                  <c:v>119.22423418612553</c:v>
                </c:pt>
                <c:pt idx="1636">
                  <c:v>123.81669013058887</c:v>
                </c:pt>
                <c:pt idx="1637">
                  <c:v>124.72450118937812</c:v>
                </c:pt>
                <c:pt idx="1638">
                  <c:v>123.88465459488324</c:v>
                </c:pt>
                <c:pt idx="1639">
                  <c:v>121.18063983688528</c:v>
                </c:pt>
                <c:pt idx="1640">
                  <c:v>121.05927472207387</c:v>
                </c:pt>
                <c:pt idx="1641">
                  <c:v>121.05927472207387</c:v>
                </c:pt>
                <c:pt idx="1642">
                  <c:v>121.05927472207387</c:v>
                </c:pt>
                <c:pt idx="1643">
                  <c:v>119.88446041069953</c:v>
                </c:pt>
                <c:pt idx="1644">
                  <c:v>123.02538958201853</c:v>
                </c:pt>
                <c:pt idx="1645">
                  <c:v>123.15646390601485</c:v>
                </c:pt>
                <c:pt idx="1646">
                  <c:v>121.80688382931208</c:v>
                </c:pt>
                <c:pt idx="1647">
                  <c:v>118.5348803339968</c:v>
                </c:pt>
                <c:pt idx="1648">
                  <c:v>118.5348803339968</c:v>
                </c:pt>
                <c:pt idx="1649">
                  <c:v>118.5348803339968</c:v>
                </c:pt>
                <c:pt idx="1650">
                  <c:v>116.85518714500705</c:v>
                </c:pt>
                <c:pt idx="1651">
                  <c:v>120.96218263022476</c:v>
                </c:pt>
                <c:pt idx="1652">
                  <c:v>122.02534103597262</c:v>
                </c:pt>
                <c:pt idx="1653">
                  <c:v>122.54963833195787</c:v>
                </c:pt>
                <c:pt idx="1654">
                  <c:v>120.96218263022476</c:v>
                </c:pt>
                <c:pt idx="1655">
                  <c:v>120.96218263022476</c:v>
                </c:pt>
                <c:pt idx="1656">
                  <c:v>120.96218263022476</c:v>
                </c:pt>
                <c:pt idx="1657">
                  <c:v>121.50589834457983</c:v>
                </c:pt>
                <c:pt idx="1658">
                  <c:v>122.9962619544638</c:v>
                </c:pt>
                <c:pt idx="1659">
                  <c:v>120.5835234720132</c:v>
                </c:pt>
                <c:pt idx="1660">
                  <c:v>119.74367687751833</c:v>
                </c:pt>
                <c:pt idx="1661">
                  <c:v>121.54473518131948</c:v>
                </c:pt>
                <c:pt idx="1662">
                  <c:v>121.54473518131948</c:v>
                </c:pt>
                <c:pt idx="1663">
                  <c:v>121.54473518131948</c:v>
                </c:pt>
                <c:pt idx="1664">
                  <c:v>121.82630224768192</c:v>
                </c:pt>
                <c:pt idx="1665">
                  <c:v>124.76819263071022</c:v>
                </c:pt>
                <c:pt idx="1666">
                  <c:v>123.45259478615466</c:v>
                </c:pt>
                <c:pt idx="1667">
                  <c:v>122.83606000291276</c:v>
                </c:pt>
                <c:pt idx="1668">
                  <c:v>122.87489683965241</c:v>
                </c:pt>
                <c:pt idx="1669">
                  <c:v>122.87489683965241</c:v>
                </c:pt>
                <c:pt idx="1670">
                  <c:v>122.87489683965241</c:v>
                </c:pt>
                <c:pt idx="1671">
                  <c:v>123.03024418661099</c:v>
                </c:pt>
                <c:pt idx="1672">
                  <c:v>123.50114083207922</c:v>
                </c:pt>
                <c:pt idx="1673">
                  <c:v>121.79232001553473</c:v>
                </c:pt>
                <c:pt idx="1674">
                  <c:v>120.88936356133793</c:v>
                </c:pt>
                <c:pt idx="1675">
                  <c:v>121.50589834457983</c:v>
                </c:pt>
                <c:pt idx="1676">
                  <c:v>121.50589834457983</c:v>
                </c:pt>
                <c:pt idx="1677">
                  <c:v>121.50589834457983</c:v>
                </c:pt>
                <c:pt idx="1678">
                  <c:v>120.05922617602795</c:v>
                </c:pt>
                <c:pt idx="1679">
                  <c:v>119.62716636729938</c:v>
                </c:pt>
                <c:pt idx="1680">
                  <c:v>116.94257002767124</c:v>
                </c:pt>
                <c:pt idx="1681">
                  <c:v>117.36977523180737</c:v>
                </c:pt>
                <c:pt idx="1682">
                  <c:v>116.32603524442935</c:v>
                </c:pt>
                <c:pt idx="1683">
                  <c:v>116.32603524442935</c:v>
                </c:pt>
                <c:pt idx="1684">
                  <c:v>116.32603524442935</c:v>
                </c:pt>
                <c:pt idx="1685">
                  <c:v>114.1026263410845</c:v>
                </c:pt>
                <c:pt idx="1686">
                  <c:v>112.43749696587213</c:v>
                </c:pt>
                <c:pt idx="1687">
                  <c:v>111.53939511626778</c:v>
                </c:pt>
                <c:pt idx="1688">
                  <c:v>111.53939511626778</c:v>
                </c:pt>
                <c:pt idx="1689">
                  <c:v>113.13656002718579</c:v>
                </c:pt>
                <c:pt idx="1690">
                  <c:v>113.13656002718579</c:v>
                </c:pt>
                <c:pt idx="1691">
                  <c:v>113.13656002718579</c:v>
                </c:pt>
                <c:pt idx="1692">
                  <c:v>113.61716588183893</c:v>
                </c:pt>
                <c:pt idx="1693">
                  <c:v>117.02024370115053</c:v>
                </c:pt>
                <c:pt idx="1694">
                  <c:v>114.24340987426574</c:v>
                </c:pt>
                <c:pt idx="1695">
                  <c:v>117.84552648186806</c:v>
                </c:pt>
                <c:pt idx="1696">
                  <c:v>119.06403223457448</c:v>
                </c:pt>
                <c:pt idx="1697">
                  <c:v>119.06403223457448</c:v>
                </c:pt>
                <c:pt idx="1698">
                  <c:v>119.06403223457448</c:v>
                </c:pt>
                <c:pt idx="1699">
                  <c:v>118.47177047429487</c:v>
                </c:pt>
                <c:pt idx="1700">
                  <c:v>118.99606777028011</c:v>
                </c:pt>
                <c:pt idx="1701">
                  <c:v>116.5056556143502</c:v>
                </c:pt>
                <c:pt idx="1702">
                  <c:v>117.0687897470751</c:v>
                </c:pt>
                <c:pt idx="1703">
                  <c:v>114.69003349677169</c:v>
                </c:pt>
                <c:pt idx="1704">
                  <c:v>114.69003349677169</c:v>
                </c:pt>
                <c:pt idx="1705">
                  <c:v>114.69003349677169</c:v>
                </c:pt>
                <c:pt idx="1706">
                  <c:v>115.53473469585902</c:v>
                </c:pt>
                <c:pt idx="1707">
                  <c:v>116.77265886693529</c:v>
                </c:pt>
                <c:pt idx="1708">
                  <c:v>117.9377639691247</c:v>
                </c:pt>
                <c:pt idx="1709">
                  <c:v>117.80668964512839</c:v>
                </c:pt>
                <c:pt idx="1710">
                  <c:v>118.13194815282296</c:v>
                </c:pt>
                <c:pt idx="1711">
                  <c:v>118.13194815282296</c:v>
                </c:pt>
                <c:pt idx="1712">
                  <c:v>118.13194815282296</c:v>
                </c:pt>
                <c:pt idx="1713">
                  <c:v>123.7681440846643</c:v>
                </c:pt>
                <c:pt idx="1714">
                  <c:v>123.44288557696974</c:v>
                </c:pt>
                <c:pt idx="1715">
                  <c:v>123.2389921840866</c:v>
                </c:pt>
                <c:pt idx="1716">
                  <c:v>122.43798242633137</c:v>
                </c:pt>
                <c:pt idx="1717">
                  <c:v>123.56425069178114</c:v>
                </c:pt>
                <c:pt idx="1718">
                  <c:v>123.56425069178114</c:v>
                </c:pt>
                <c:pt idx="1719">
                  <c:v>123.56425069178114</c:v>
                </c:pt>
                <c:pt idx="1720">
                  <c:v>113.88416913442401</c:v>
                </c:pt>
                <c:pt idx="1721">
                  <c:v>116.25807078013494</c:v>
                </c:pt>
                <c:pt idx="1722">
                  <c:v>116.42312733627844</c:v>
                </c:pt>
                <c:pt idx="1723">
                  <c:v>117.09791737462984</c:v>
                </c:pt>
                <c:pt idx="1724">
                  <c:v>117.09791737462984</c:v>
                </c:pt>
                <c:pt idx="1725">
                  <c:v>117.09791737462984</c:v>
                </c:pt>
                <c:pt idx="1726">
                  <c:v>117.09791737462984</c:v>
                </c:pt>
                <c:pt idx="1727">
                  <c:v>116.92800621389388</c:v>
                </c:pt>
                <c:pt idx="1728">
                  <c:v>116.31632603524442</c:v>
                </c:pt>
                <c:pt idx="1729">
                  <c:v>114.8308170299529</c:v>
                </c:pt>
                <c:pt idx="1730">
                  <c:v>115.7240642749648</c:v>
                </c:pt>
                <c:pt idx="1731">
                  <c:v>113.64629350939366</c:v>
                </c:pt>
                <c:pt idx="1732">
                  <c:v>113.64629350939366</c:v>
                </c:pt>
                <c:pt idx="1733">
                  <c:v>113.64629350939366</c:v>
                </c:pt>
                <c:pt idx="1734">
                  <c:v>115.37453274430798</c:v>
                </c:pt>
                <c:pt idx="1735">
                  <c:v>112.22874896839652</c:v>
                </c:pt>
                <c:pt idx="1736">
                  <c:v>116.84062333122966</c:v>
                </c:pt>
                <c:pt idx="1737">
                  <c:v>116.03961357347443</c:v>
                </c:pt>
                <c:pt idx="1738">
                  <c:v>114.54924996359046</c:v>
                </c:pt>
                <c:pt idx="1739">
                  <c:v>114.54924996359046</c:v>
                </c:pt>
                <c:pt idx="1740">
                  <c:v>114.54924996359046</c:v>
                </c:pt>
                <c:pt idx="1741">
                  <c:v>112.18505752706443</c:v>
                </c:pt>
                <c:pt idx="1742">
                  <c:v>112.30156803728337</c:v>
                </c:pt>
                <c:pt idx="1743">
                  <c:v>110.90829651924852</c:v>
                </c:pt>
                <c:pt idx="1744">
                  <c:v>109.26744016699841</c:v>
                </c:pt>
                <c:pt idx="1745">
                  <c:v>109.93252099616487</c:v>
                </c:pt>
                <c:pt idx="1746">
                  <c:v>109.93252099616487</c:v>
                </c:pt>
                <c:pt idx="1747">
                  <c:v>109.93252099616487</c:v>
                </c:pt>
                <c:pt idx="1748">
                  <c:v>108.4518665954658</c:v>
                </c:pt>
                <c:pt idx="1749">
                  <c:v>109.1800572843342</c:v>
                </c:pt>
                <c:pt idx="1750">
                  <c:v>109.44706053691927</c:v>
                </c:pt>
                <c:pt idx="1751">
                  <c:v>107.44210884023495</c:v>
                </c:pt>
                <c:pt idx="1752">
                  <c:v>107.19452400601969</c:v>
                </c:pt>
                <c:pt idx="1753">
                  <c:v>107.19452400601969</c:v>
                </c:pt>
                <c:pt idx="1754">
                  <c:v>107.19452400601969</c:v>
                </c:pt>
                <c:pt idx="1755">
                  <c:v>108.30137385309966</c:v>
                </c:pt>
                <c:pt idx="1756">
                  <c:v>107.61687460556337</c:v>
                </c:pt>
                <c:pt idx="1757">
                  <c:v>108.35477450361668</c:v>
                </c:pt>
                <c:pt idx="1758">
                  <c:v>107.4032720034953</c:v>
                </c:pt>
                <c:pt idx="1759">
                  <c:v>105.66532355939609</c:v>
                </c:pt>
                <c:pt idx="1760">
                  <c:v>105.66532355939609</c:v>
                </c:pt>
                <c:pt idx="1761">
                  <c:v>105.66532355939609</c:v>
                </c:pt>
                <c:pt idx="1762">
                  <c:v>105.93232681198117</c:v>
                </c:pt>
                <c:pt idx="1763">
                  <c:v>103.70891790863635</c:v>
                </c:pt>
                <c:pt idx="1764">
                  <c:v>103.45162386523616</c:v>
                </c:pt>
                <c:pt idx="1765">
                  <c:v>103.8254284188553</c:v>
                </c:pt>
                <c:pt idx="1766">
                  <c:v>102.58750424777901</c:v>
                </c:pt>
                <c:pt idx="1767">
                  <c:v>102.58750424777901</c:v>
                </c:pt>
                <c:pt idx="1768">
                  <c:v>102.58750424777901</c:v>
                </c:pt>
                <c:pt idx="1769">
                  <c:v>102.58750424777901</c:v>
                </c:pt>
                <c:pt idx="1770">
                  <c:v>101.55832807417835</c:v>
                </c:pt>
                <c:pt idx="1771">
                  <c:v>105.61192290887907</c:v>
                </c:pt>
                <c:pt idx="1772">
                  <c:v>105.8400893247245</c:v>
                </c:pt>
                <c:pt idx="1773">
                  <c:v>105.95174523035098</c:v>
                </c:pt>
                <c:pt idx="1774">
                  <c:v>105.95174523035098</c:v>
                </c:pt>
                <c:pt idx="1775">
                  <c:v>105.95174523035098</c:v>
                </c:pt>
                <c:pt idx="1776">
                  <c:v>105.58764988591678</c:v>
                </c:pt>
                <c:pt idx="1777">
                  <c:v>105.40802951599591</c:v>
                </c:pt>
                <c:pt idx="1778">
                  <c:v>106.29642215641535</c:v>
                </c:pt>
                <c:pt idx="1779">
                  <c:v>106.21874848293606</c:v>
                </c:pt>
                <c:pt idx="1780">
                  <c:v>106.29642215641535</c:v>
                </c:pt>
                <c:pt idx="1781">
                  <c:v>106.29642215641535</c:v>
                </c:pt>
                <c:pt idx="1782">
                  <c:v>106.29642215641535</c:v>
                </c:pt>
                <c:pt idx="1783">
                  <c:v>106.8207194524006</c:v>
                </c:pt>
                <c:pt idx="1784">
                  <c:v>107.4372542356425</c:v>
                </c:pt>
                <c:pt idx="1785">
                  <c:v>107.26248847031408</c:v>
                </c:pt>
                <c:pt idx="1786">
                  <c:v>106.34011359774746</c:v>
                </c:pt>
                <c:pt idx="1787">
                  <c:v>106.3012767610078</c:v>
                </c:pt>
                <c:pt idx="1788">
                  <c:v>106.3012767610078</c:v>
                </c:pt>
                <c:pt idx="1789">
                  <c:v>106.3012767610078</c:v>
                </c:pt>
                <c:pt idx="1790">
                  <c:v>105.27695519199962</c:v>
                </c:pt>
                <c:pt idx="1791">
                  <c:v>105.54881304917714</c:v>
                </c:pt>
                <c:pt idx="1792">
                  <c:v>104.8691684062333</c:v>
                </c:pt>
                <c:pt idx="1793">
                  <c:v>107.4032720034953</c:v>
                </c:pt>
                <c:pt idx="1794">
                  <c:v>107.37414437594057</c:v>
                </c:pt>
                <c:pt idx="1795">
                  <c:v>107.37414437594057</c:v>
                </c:pt>
                <c:pt idx="1796">
                  <c:v>107.37414437594057</c:v>
                </c:pt>
                <c:pt idx="1797">
                  <c:v>107.94698771785039</c:v>
                </c:pt>
                <c:pt idx="1798">
                  <c:v>109.68008155735716</c:v>
                </c:pt>
                <c:pt idx="1799">
                  <c:v>108.91305403174911</c:v>
                </c:pt>
                <c:pt idx="1800">
                  <c:v>109.93252099616487</c:v>
                </c:pt>
                <c:pt idx="1801">
                  <c:v>109.88397495024029</c:v>
                </c:pt>
                <c:pt idx="1802">
                  <c:v>109.88397495024029</c:v>
                </c:pt>
                <c:pt idx="1803">
                  <c:v>109.88397495024029</c:v>
                </c:pt>
                <c:pt idx="1804">
                  <c:v>107.77707655711441</c:v>
                </c:pt>
                <c:pt idx="1805">
                  <c:v>106.6216806641099</c:v>
                </c:pt>
                <c:pt idx="1806">
                  <c:v>106.43720568959658</c:v>
                </c:pt>
                <c:pt idx="1807">
                  <c:v>105.80125248798484</c:v>
                </c:pt>
                <c:pt idx="1808">
                  <c:v>105.98572746249818</c:v>
                </c:pt>
                <c:pt idx="1809">
                  <c:v>105.98572746249818</c:v>
                </c:pt>
                <c:pt idx="1810">
                  <c:v>105.98572746249818</c:v>
                </c:pt>
                <c:pt idx="1811">
                  <c:v>105.48570318947522</c:v>
                </c:pt>
                <c:pt idx="1812">
                  <c:v>104.44196320209717</c:v>
                </c:pt>
                <c:pt idx="1813">
                  <c:v>102.39817466867322</c:v>
                </c:pt>
                <c:pt idx="1814">
                  <c:v>103.53900674790037</c:v>
                </c:pt>
                <c:pt idx="1815">
                  <c:v>102.12631681149571</c:v>
                </c:pt>
                <c:pt idx="1816">
                  <c:v>102.12631681149571</c:v>
                </c:pt>
                <c:pt idx="1817">
                  <c:v>102.12631681149571</c:v>
                </c:pt>
                <c:pt idx="1818">
                  <c:v>102.22826350793727</c:v>
                </c:pt>
                <c:pt idx="1819">
                  <c:v>103.9662119520365</c:v>
                </c:pt>
                <c:pt idx="1820">
                  <c:v>103.28171270450022</c:v>
                </c:pt>
                <c:pt idx="1821">
                  <c:v>102.14573522986552</c:v>
                </c:pt>
                <c:pt idx="1822">
                  <c:v>102.14573522986552</c:v>
                </c:pt>
                <c:pt idx="1823">
                  <c:v>102.14573522986552</c:v>
                </c:pt>
                <c:pt idx="1824">
                  <c:v>102.14573522986552</c:v>
                </c:pt>
                <c:pt idx="1825">
                  <c:v>101.06315840574784</c:v>
                </c:pt>
                <c:pt idx="1826">
                  <c:v>100</c:v>
                </c:pt>
              </c:numCache>
            </c:numRef>
          </c:val>
          <c:smooth val="0"/>
          <c:extLst>
            <c:ext xmlns:c16="http://schemas.microsoft.com/office/drawing/2014/chart" uri="{C3380CC4-5D6E-409C-BE32-E72D297353CC}">
              <c16:uniqueId val="{00000004-7F42-4D4F-88A4-F1EFF1B99B9D}"/>
            </c:ext>
          </c:extLst>
        </c:ser>
        <c:ser>
          <c:idx val="5"/>
          <c:order val="5"/>
          <c:tx>
            <c:strRef>
              <c:f>[32]Indexed!$H$3</c:f>
              <c:strCache>
                <c:ptCount val="1"/>
                <c:pt idx="0">
                  <c:v>Micron Technology Inc</c:v>
                </c:pt>
              </c:strCache>
            </c:strRef>
          </c:tx>
          <c:spPr>
            <a:ln w="28575" cap="rnd">
              <a:solidFill>
                <a:schemeClr val="accent6"/>
              </a:solidFill>
              <a:round/>
            </a:ln>
            <a:effectLst/>
          </c:spPr>
          <c:marker>
            <c:symbol val="none"/>
          </c:marker>
          <c:cat>
            <c:numRef>
              <c:f>[32]Indexed!$B$4:$B$1830</c:f>
              <c:numCache>
                <c:formatCode>General</c:formatCode>
                <c:ptCount val="1827"/>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c:v>43351</c:v>
                </c:pt>
                <c:pt idx="1257">
                  <c:v>43350</c:v>
                </c:pt>
                <c:pt idx="1258">
                  <c:v>43349</c:v>
                </c:pt>
                <c:pt idx="1259">
                  <c:v>43348</c:v>
                </c:pt>
                <c:pt idx="1260">
                  <c:v>43347</c:v>
                </c:pt>
                <c:pt idx="1261">
                  <c:v>43346</c:v>
                </c:pt>
                <c:pt idx="1262">
                  <c:v>43345</c:v>
                </c:pt>
                <c:pt idx="1263">
                  <c:v>43344</c:v>
                </c:pt>
                <c:pt idx="1264">
                  <c:v>43343</c:v>
                </c:pt>
                <c:pt idx="1265">
                  <c:v>43342</c:v>
                </c:pt>
                <c:pt idx="1266">
                  <c:v>43341</c:v>
                </c:pt>
                <c:pt idx="1267">
                  <c:v>43340</c:v>
                </c:pt>
                <c:pt idx="1268">
                  <c:v>43339</c:v>
                </c:pt>
                <c:pt idx="1269">
                  <c:v>43338</c:v>
                </c:pt>
                <c:pt idx="1270">
                  <c:v>43337</c:v>
                </c:pt>
                <c:pt idx="1271">
                  <c:v>43336</c:v>
                </c:pt>
                <c:pt idx="1272">
                  <c:v>43335</c:v>
                </c:pt>
                <c:pt idx="1273">
                  <c:v>43334</c:v>
                </c:pt>
                <c:pt idx="1274">
                  <c:v>43333</c:v>
                </c:pt>
                <c:pt idx="1275">
                  <c:v>43332</c:v>
                </c:pt>
                <c:pt idx="1276">
                  <c:v>43331</c:v>
                </c:pt>
                <c:pt idx="1277">
                  <c:v>43330</c:v>
                </c:pt>
                <c:pt idx="1278">
                  <c:v>43329</c:v>
                </c:pt>
                <c:pt idx="1279">
                  <c:v>43328</c:v>
                </c:pt>
                <c:pt idx="1280">
                  <c:v>43327</c:v>
                </c:pt>
                <c:pt idx="1281">
                  <c:v>43326</c:v>
                </c:pt>
                <c:pt idx="1282">
                  <c:v>43325</c:v>
                </c:pt>
                <c:pt idx="1283">
                  <c:v>43324</c:v>
                </c:pt>
                <c:pt idx="1284">
                  <c:v>43323</c:v>
                </c:pt>
                <c:pt idx="1285">
                  <c:v>43322</c:v>
                </c:pt>
                <c:pt idx="1286">
                  <c:v>43321</c:v>
                </c:pt>
                <c:pt idx="1287">
                  <c:v>43320</c:v>
                </c:pt>
                <c:pt idx="1288">
                  <c:v>43319</c:v>
                </c:pt>
                <c:pt idx="1289">
                  <c:v>43318</c:v>
                </c:pt>
                <c:pt idx="1290">
                  <c:v>43317</c:v>
                </c:pt>
                <c:pt idx="1291">
                  <c:v>43316</c:v>
                </c:pt>
                <c:pt idx="1292">
                  <c:v>43315</c:v>
                </c:pt>
                <c:pt idx="1293">
                  <c:v>43314</c:v>
                </c:pt>
                <c:pt idx="1294">
                  <c:v>43313</c:v>
                </c:pt>
                <c:pt idx="1295">
                  <c:v>43312</c:v>
                </c:pt>
                <c:pt idx="1296">
                  <c:v>43311</c:v>
                </c:pt>
                <c:pt idx="1297">
                  <c:v>43310</c:v>
                </c:pt>
                <c:pt idx="1298">
                  <c:v>43309</c:v>
                </c:pt>
                <c:pt idx="1299">
                  <c:v>43308</c:v>
                </c:pt>
                <c:pt idx="1300">
                  <c:v>43307</c:v>
                </c:pt>
                <c:pt idx="1301">
                  <c:v>43306</c:v>
                </c:pt>
                <c:pt idx="1302">
                  <c:v>43305</c:v>
                </c:pt>
                <c:pt idx="1303">
                  <c:v>43304</c:v>
                </c:pt>
                <c:pt idx="1304">
                  <c:v>43303</c:v>
                </c:pt>
                <c:pt idx="1305">
                  <c:v>43302</c:v>
                </c:pt>
                <c:pt idx="1306">
                  <c:v>43301</c:v>
                </c:pt>
                <c:pt idx="1307">
                  <c:v>43300</c:v>
                </c:pt>
                <c:pt idx="1308">
                  <c:v>43299</c:v>
                </c:pt>
                <c:pt idx="1309">
                  <c:v>43298</c:v>
                </c:pt>
                <c:pt idx="1310">
                  <c:v>43297</c:v>
                </c:pt>
                <c:pt idx="1311">
                  <c:v>43296</c:v>
                </c:pt>
                <c:pt idx="1312">
                  <c:v>43295</c:v>
                </c:pt>
                <c:pt idx="1313">
                  <c:v>43294</c:v>
                </c:pt>
                <c:pt idx="1314">
                  <c:v>43293</c:v>
                </c:pt>
                <c:pt idx="1315">
                  <c:v>43292</c:v>
                </c:pt>
                <c:pt idx="1316">
                  <c:v>43291</c:v>
                </c:pt>
                <c:pt idx="1317">
                  <c:v>43290</c:v>
                </c:pt>
                <c:pt idx="1318">
                  <c:v>43289</c:v>
                </c:pt>
                <c:pt idx="1319">
                  <c:v>43288</c:v>
                </c:pt>
                <c:pt idx="1320">
                  <c:v>43287</c:v>
                </c:pt>
                <c:pt idx="1321">
                  <c:v>43286</c:v>
                </c:pt>
                <c:pt idx="1322">
                  <c:v>43285</c:v>
                </c:pt>
                <c:pt idx="1323">
                  <c:v>43284</c:v>
                </c:pt>
                <c:pt idx="1324">
                  <c:v>43283</c:v>
                </c:pt>
                <c:pt idx="1325">
                  <c:v>43282</c:v>
                </c:pt>
                <c:pt idx="1326">
                  <c:v>43281</c:v>
                </c:pt>
                <c:pt idx="1327">
                  <c:v>43280</c:v>
                </c:pt>
                <c:pt idx="1328">
                  <c:v>43279</c:v>
                </c:pt>
                <c:pt idx="1329">
                  <c:v>43278</c:v>
                </c:pt>
                <c:pt idx="1330">
                  <c:v>43277</c:v>
                </c:pt>
                <c:pt idx="1331">
                  <c:v>43276</c:v>
                </c:pt>
                <c:pt idx="1332">
                  <c:v>43275</c:v>
                </c:pt>
                <c:pt idx="1333">
                  <c:v>43274</c:v>
                </c:pt>
                <c:pt idx="1334">
                  <c:v>43273</c:v>
                </c:pt>
                <c:pt idx="1335">
                  <c:v>43272</c:v>
                </c:pt>
                <c:pt idx="1336">
                  <c:v>43271</c:v>
                </c:pt>
                <c:pt idx="1337">
                  <c:v>43270</c:v>
                </c:pt>
                <c:pt idx="1338">
                  <c:v>43269</c:v>
                </c:pt>
                <c:pt idx="1339">
                  <c:v>43268</c:v>
                </c:pt>
                <c:pt idx="1340">
                  <c:v>43267</c:v>
                </c:pt>
                <c:pt idx="1341">
                  <c:v>43266</c:v>
                </c:pt>
                <c:pt idx="1342">
                  <c:v>43265</c:v>
                </c:pt>
                <c:pt idx="1343">
                  <c:v>43264</c:v>
                </c:pt>
                <c:pt idx="1344">
                  <c:v>43263</c:v>
                </c:pt>
                <c:pt idx="1345">
                  <c:v>43262</c:v>
                </c:pt>
                <c:pt idx="1346">
                  <c:v>43261</c:v>
                </c:pt>
                <c:pt idx="1347">
                  <c:v>43260</c:v>
                </c:pt>
                <c:pt idx="1348">
                  <c:v>43259</c:v>
                </c:pt>
                <c:pt idx="1349">
                  <c:v>43258</c:v>
                </c:pt>
                <c:pt idx="1350">
                  <c:v>43257</c:v>
                </c:pt>
                <c:pt idx="1351">
                  <c:v>43256</c:v>
                </c:pt>
                <c:pt idx="1352">
                  <c:v>43255</c:v>
                </c:pt>
                <c:pt idx="1353">
                  <c:v>43254</c:v>
                </c:pt>
                <c:pt idx="1354">
                  <c:v>43253</c:v>
                </c:pt>
                <c:pt idx="1355">
                  <c:v>43252</c:v>
                </c:pt>
                <c:pt idx="1356">
                  <c:v>43251</c:v>
                </c:pt>
                <c:pt idx="1357">
                  <c:v>43250</c:v>
                </c:pt>
                <c:pt idx="1358">
                  <c:v>43249</c:v>
                </c:pt>
                <c:pt idx="1359">
                  <c:v>43248</c:v>
                </c:pt>
                <c:pt idx="1360">
                  <c:v>43247</c:v>
                </c:pt>
                <c:pt idx="1361">
                  <c:v>43246</c:v>
                </c:pt>
                <c:pt idx="1362">
                  <c:v>43245</c:v>
                </c:pt>
                <c:pt idx="1363">
                  <c:v>43244</c:v>
                </c:pt>
                <c:pt idx="1364">
                  <c:v>43243</c:v>
                </c:pt>
                <c:pt idx="1365">
                  <c:v>43242</c:v>
                </c:pt>
                <c:pt idx="1366">
                  <c:v>43241</c:v>
                </c:pt>
                <c:pt idx="1367">
                  <c:v>43240</c:v>
                </c:pt>
                <c:pt idx="1368">
                  <c:v>43239</c:v>
                </c:pt>
                <c:pt idx="1369">
                  <c:v>43238</c:v>
                </c:pt>
                <c:pt idx="1370">
                  <c:v>43237</c:v>
                </c:pt>
                <c:pt idx="1371">
                  <c:v>43236</c:v>
                </c:pt>
                <c:pt idx="1372">
                  <c:v>43235</c:v>
                </c:pt>
                <c:pt idx="1373">
                  <c:v>43234</c:v>
                </c:pt>
                <c:pt idx="1374">
                  <c:v>43233</c:v>
                </c:pt>
                <c:pt idx="1375">
                  <c:v>43232</c:v>
                </c:pt>
                <c:pt idx="1376">
                  <c:v>43231</c:v>
                </c:pt>
                <c:pt idx="1377">
                  <c:v>43230</c:v>
                </c:pt>
                <c:pt idx="1378">
                  <c:v>43229</c:v>
                </c:pt>
                <c:pt idx="1379">
                  <c:v>43228</c:v>
                </c:pt>
                <c:pt idx="1380">
                  <c:v>43227</c:v>
                </c:pt>
                <c:pt idx="1381">
                  <c:v>43226</c:v>
                </c:pt>
                <c:pt idx="1382">
                  <c:v>43225</c:v>
                </c:pt>
                <c:pt idx="1383">
                  <c:v>43224</c:v>
                </c:pt>
                <c:pt idx="1384">
                  <c:v>43223</c:v>
                </c:pt>
                <c:pt idx="1385">
                  <c:v>43222</c:v>
                </c:pt>
                <c:pt idx="1386">
                  <c:v>43221</c:v>
                </c:pt>
                <c:pt idx="1387">
                  <c:v>43220</c:v>
                </c:pt>
                <c:pt idx="1388">
                  <c:v>43219</c:v>
                </c:pt>
                <c:pt idx="1389">
                  <c:v>43218</c:v>
                </c:pt>
                <c:pt idx="1390">
                  <c:v>43217</c:v>
                </c:pt>
                <c:pt idx="1391">
                  <c:v>43216</c:v>
                </c:pt>
                <c:pt idx="1392">
                  <c:v>43215</c:v>
                </c:pt>
                <c:pt idx="1393">
                  <c:v>43214</c:v>
                </c:pt>
                <c:pt idx="1394">
                  <c:v>43213</c:v>
                </c:pt>
                <c:pt idx="1395">
                  <c:v>43212</c:v>
                </c:pt>
                <c:pt idx="1396">
                  <c:v>43211</c:v>
                </c:pt>
                <c:pt idx="1397">
                  <c:v>43210</c:v>
                </c:pt>
                <c:pt idx="1398">
                  <c:v>43209</c:v>
                </c:pt>
                <c:pt idx="1399">
                  <c:v>43208</c:v>
                </c:pt>
                <c:pt idx="1400">
                  <c:v>43207</c:v>
                </c:pt>
                <c:pt idx="1401">
                  <c:v>43206</c:v>
                </c:pt>
                <c:pt idx="1402">
                  <c:v>43205</c:v>
                </c:pt>
                <c:pt idx="1403">
                  <c:v>43204</c:v>
                </c:pt>
                <c:pt idx="1404">
                  <c:v>43203</c:v>
                </c:pt>
                <c:pt idx="1405">
                  <c:v>43202</c:v>
                </c:pt>
                <c:pt idx="1406">
                  <c:v>43201</c:v>
                </c:pt>
                <c:pt idx="1407">
                  <c:v>43200</c:v>
                </c:pt>
                <c:pt idx="1408">
                  <c:v>43199</c:v>
                </c:pt>
                <c:pt idx="1409">
                  <c:v>43198</c:v>
                </c:pt>
                <c:pt idx="1410">
                  <c:v>43197</c:v>
                </c:pt>
                <c:pt idx="1411">
                  <c:v>43196</c:v>
                </c:pt>
                <c:pt idx="1412">
                  <c:v>43195</c:v>
                </c:pt>
                <c:pt idx="1413">
                  <c:v>43194</c:v>
                </c:pt>
                <c:pt idx="1414">
                  <c:v>43193</c:v>
                </c:pt>
                <c:pt idx="1415">
                  <c:v>43192</c:v>
                </c:pt>
                <c:pt idx="1416">
                  <c:v>43191</c:v>
                </c:pt>
                <c:pt idx="1417">
                  <c:v>43190</c:v>
                </c:pt>
                <c:pt idx="1418">
                  <c:v>43189</c:v>
                </c:pt>
                <c:pt idx="1419">
                  <c:v>43188</c:v>
                </c:pt>
                <c:pt idx="1420">
                  <c:v>43187</c:v>
                </c:pt>
                <c:pt idx="1421">
                  <c:v>43186</c:v>
                </c:pt>
                <c:pt idx="1422">
                  <c:v>43185</c:v>
                </c:pt>
                <c:pt idx="1423">
                  <c:v>43184</c:v>
                </c:pt>
                <c:pt idx="1424">
                  <c:v>43183</c:v>
                </c:pt>
                <c:pt idx="1425">
                  <c:v>43182</c:v>
                </c:pt>
                <c:pt idx="1426">
                  <c:v>43181</c:v>
                </c:pt>
                <c:pt idx="1427">
                  <c:v>43180</c:v>
                </c:pt>
                <c:pt idx="1428">
                  <c:v>43179</c:v>
                </c:pt>
                <c:pt idx="1429">
                  <c:v>43178</c:v>
                </c:pt>
                <c:pt idx="1430">
                  <c:v>43177</c:v>
                </c:pt>
                <c:pt idx="1431">
                  <c:v>43176</c:v>
                </c:pt>
                <c:pt idx="1432">
                  <c:v>43175</c:v>
                </c:pt>
                <c:pt idx="1433">
                  <c:v>43174</c:v>
                </c:pt>
                <c:pt idx="1434">
                  <c:v>43173</c:v>
                </c:pt>
                <c:pt idx="1435">
                  <c:v>43172</c:v>
                </c:pt>
                <c:pt idx="1436">
                  <c:v>43171</c:v>
                </c:pt>
                <c:pt idx="1437">
                  <c:v>43170</c:v>
                </c:pt>
                <c:pt idx="1438">
                  <c:v>43169</c:v>
                </c:pt>
                <c:pt idx="1439">
                  <c:v>43168</c:v>
                </c:pt>
                <c:pt idx="1440">
                  <c:v>43167</c:v>
                </c:pt>
                <c:pt idx="1441">
                  <c:v>43166</c:v>
                </c:pt>
                <c:pt idx="1442">
                  <c:v>43165</c:v>
                </c:pt>
                <c:pt idx="1443">
                  <c:v>43164</c:v>
                </c:pt>
                <c:pt idx="1444">
                  <c:v>43163</c:v>
                </c:pt>
                <c:pt idx="1445">
                  <c:v>43162</c:v>
                </c:pt>
                <c:pt idx="1446">
                  <c:v>43161</c:v>
                </c:pt>
                <c:pt idx="1447">
                  <c:v>43160</c:v>
                </c:pt>
                <c:pt idx="1448">
                  <c:v>43159</c:v>
                </c:pt>
                <c:pt idx="1449">
                  <c:v>43158</c:v>
                </c:pt>
                <c:pt idx="1450">
                  <c:v>43157</c:v>
                </c:pt>
                <c:pt idx="1451">
                  <c:v>43156</c:v>
                </c:pt>
                <c:pt idx="1452">
                  <c:v>43155</c:v>
                </c:pt>
                <c:pt idx="1453">
                  <c:v>43154</c:v>
                </c:pt>
                <c:pt idx="1454">
                  <c:v>43153</c:v>
                </c:pt>
                <c:pt idx="1455">
                  <c:v>43152</c:v>
                </c:pt>
                <c:pt idx="1456">
                  <c:v>43151</c:v>
                </c:pt>
                <c:pt idx="1457">
                  <c:v>43150</c:v>
                </c:pt>
                <c:pt idx="1458">
                  <c:v>43149</c:v>
                </c:pt>
                <c:pt idx="1459">
                  <c:v>43148</c:v>
                </c:pt>
                <c:pt idx="1460">
                  <c:v>43147</c:v>
                </c:pt>
                <c:pt idx="1461">
                  <c:v>43146</c:v>
                </c:pt>
                <c:pt idx="1462">
                  <c:v>43145</c:v>
                </c:pt>
                <c:pt idx="1463">
                  <c:v>43144</c:v>
                </c:pt>
                <c:pt idx="1464">
                  <c:v>43143</c:v>
                </c:pt>
                <c:pt idx="1465">
                  <c:v>43142</c:v>
                </c:pt>
                <c:pt idx="1466">
                  <c:v>43141</c:v>
                </c:pt>
                <c:pt idx="1467">
                  <c:v>43140</c:v>
                </c:pt>
                <c:pt idx="1468">
                  <c:v>43139</c:v>
                </c:pt>
                <c:pt idx="1469">
                  <c:v>43138</c:v>
                </c:pt>
                <c:pt idx="1470">
                  <c:v>43137</c:v>
                </c:pt>
                <c:pt idx="1471">
                  <c:v>43136</c:v>
                </c:pt>
                <c:pt idx="1472">
                  <c:v>43135</c:v>
                </c:pt>
                <c:pt idx="1473">
                  <c:v>43134</c:v>
                </c:pt>
                <c:pt idx="1474">
                  <c:v>43133</c:v>
                </c:pt>
                <c:pt idx="1475">
                  <c:v>43132</c:v>
                </c:pt>
                <c:pt idx="1476">
                  <c:v>43131</c:v>
                </c:pt>
                <c:pt idx="1477">
                  <c:v>43130</c:v>
                </c:pt>
                <c:pt idx="1478">
                  <c:v>43129</c:v>
                </c:pt>
                <c:pt idx="1479">
                  <c:v>43128</c:v>
                </c:pt>
                <c:pt idx="1480">
                  <c:v>43127</c:v>
                </c:pt>
                <c:pt idx="1481">
                  <c:v>43126</c:v>
                </c:pt>
                <c:pt idx="1482">
                  <c:v>43125</c:v>
                </c:pt>
                <c:pt idx="1483">
                  <c:v>43124</c:v>
                </c:pt>
                <c:pt idx="1484">
                  <c:v>43123</c:v>
                </c:pt>
                <c:pt idx="1485">
                  <c:v>43122</c:v>
                </c:pt>
                <c:pt idx="1486">
                  <c:v>43121</c:v>
                </c:pt>
                <c:pt idx="1487">
                  <c:v>43120</c:v>
                </c:pt>
                <c:pt idx="1488">
                  <c:v>43119</c:v>
                </c:pt>
                <c:pt idx="1489">
                  <c:v>43118</c:v>
                </c:pt>
                <c:pt idx="1490">
                  <c:v>43117</c:v>
                </c:pt>
                <c:pt idx="1491">
                  <c:v>43116</c:v>
                </c:pt>
                <c:pt idx="1492">
                  <c:v>43115</c:v>
                </c:pt>
                <c:pt idx="1493">
                  <c:v>43114</c:v>
                </c:pt>
                <c:pt idx="1494">
                  <c:v>43113</c:v>
                </c:pt>
                <c:pt idx="1495">
                  <c:v>43112</c:v>
                </c:pt>
                <c:pt idx="1496">
                  <c:v>43111</c:v>
                </c:pt>
                <c:pt idx="1497">
                  <c:v>43110</c:v>
                </c:pt>
                <c:pt idx="1498">
                  <c:v>43109</c:v>
                </c:pt>
                <c:pt idx="1499">
                  <c:v>43108</c:v>
                </c:pt>
                <c:pt idx="1500">
                  <c:v>43107</c:v>
                </c:pt>
                <c:pt idx="1501">
                  <c:v>43106</c:v>
                </c:pt>
                <c:pt idx="1502">
                  <c:v>43105</c:v>
                </c:pt>
                <c:pt idx="1503">
                  <c:v>43104</c:v>
                </c:pt>
                <c:pt idx="1504">
                  <c:v>43103</c:v>
                </c:pt>
                <c:pt idx="1505">
                  <c:v>43102</c:v>
                </c:pt>
                <c:pt idx="1506">
                  <c:v>43101</c:v>
                </c:pt>
                <c:pt idx="1507">
                  <c:v>43100</c:v>
                </c:pt>
                <c:pt idx="1508">
                  <c:v>43099</c:v>
                </c:pt>
                <c:pt idx="1509">
                  <c:v>43098</c:v>
                </c:pt>
                <c:pt idx="1510">
                  <c:v>43097</c:v>
                </c:pt>
                <c:pt idx="1511">
                  <c:v>43096</c:v>
                </c:pt>
                <c:pt idx="1512">
                  <c:v>43095</c:v>
                </c:pt>
                <c:pt idx="1513">
                  <c:v>43094</c:v>
                </c:pt>
                <c:pt idx="1514">
                  <c:v>43093</c:v>
                </c:pt>
                <c:pt idx="1515">
                  <c:v>43092</c:v>
                </c:pt>
                <c:pt idx="1516">
                  <c:v>43091</c:v>
                </c:pt>
                <c:pt idx="1517">
                  <c:v>43090</c:v>
                </c:pt>
                <c:pt idx="1518">
                  <c:v>43089</c:v>
                </c:pt>
                <c:pt idx="1519">
                  <c:v>43088</c:v>
                </c:pt>
                <c:pt idx="1520">
                  <c:v>43087</c:v>
                </c:pt>
                <c:pt idx="1521">
                  <c:v>43086</c:v>
                </c:pt>
                <c:pt idx="1522">
                  <c:v>43085</c:v>
                </c:pt>
                <c:pt idx="1523">
                  <c:v>43084</c:v>
                </c:pt>
                <c:pt idx="1524">
                  <c:v>43083</c:v>
                </c:pt>
                <c:pt idx="1525">
                  <c:v>43082</c:v>
                </c:pt>
                <c:pt idx="1526">
                  <c:v>43081</c:v>
                </c:pt>
                <c:pt idx="1527">
                  <c:v>43080</c:v>
                </c:pt>
                <c:pt idx="1528">
                  <c:v>43079</c:v>
                </c:pt>
                <c:pt idx="1529">
                  <c:v>43078</c:v>
                </c:pt>
                <c:pt idx="1530">
                  <c:v>43077</c:v>
                </c:pt>
                <c:pt idx="1531">
                  <c:v>43076</c:v>
                </c:pt>
                <c:pt idx="1532">
                  <c:v>43075</c:v>
                </c:pt>
                <c:pt idx="1533">
                  <c:v>43074</c:v>
                </c:pt>
                <c:pt idx="1534">
                  <c:v>43073</c:v>
                </c:pt>
                <c:pt idx="1535">
                  <c:v>43072</c:v>
                </c:pt>
                <c:pt idx="1536">
                  <c:v>43071</c:v>
                </c:pt>
                <c:pt idx="1537">
                  <c:v>43070</c:v>
                </c:pt>
                <c:pt idx="1538">
                  <c:v>43069</c:v>
                </c:pt>
                <c:pt idx="1539">
                  <c:v>43068</c:v>
                </c:pt>
                <c:pt idx="1540">
                  <c:v>43067</c:v>
                </c:pt>
                <c:pt idx="1541">
                  <c:v>43066</c:v>
                </c:pt>
                <c:pt idx="1542">
                  <c:v>43065</c:v>
                </c:pt>
                <c:pt idx="1543">
                  <c:v>43064</c:v>
                </c:pt>
                <c:pt idx="1544">
                  <c:v>43063</c:v>
                </c:pt>
                <c:pt idx="1545">
                  <c:v>43062</c:v>
                </c:pt>
                <c:pt idx="1546">
                  <c:v>43061</c:v>
                </c:pt>
                <c:pt idx="1547">
                  <c:v>43060</c:v>
                </c:pt>
                <c:pt idx="1548">
                  <c:v>43059</c:v>
                </c:pt>
                <c:pt idx="1549">
                  <c:v>43058</c:v>
                </c:pt>
                <c:pt idx="1550">
                  <c:v>43057</c:v>
                </c:pt>
                <c:pt idx="1551">
                  <c:v>43056</c:v>
                </c:pt>
                <c:pt idx="1552">
                  <c:v>43055</c:v>
                </c:pt>
                <c:pt idx="1553">
                  <c:v>43054</c:v>
                </c:pt>
                <c:pt idx="1554">
                  <c:v>43053</c:v>
                </c:pt>
                <c:pt idx="1555">
                  <c:v>43052</c:v>
                </c:pt>
                <c:pt idx="1556">
                  <c:v>43051</c:v>
                </c:pt>
                <c:pt idx="1557">
                  <c:v>43050</c:v>
                </c:pt>
                <c:pt idx="1558">
                  <c:v>43049</c:v>
                </c:pt>
                <c:pt idx="1559">
                  <c:v>43048</c:v>
                </c:pt>
                <c:pt idx="1560">
                  <c:v>43047</c:v>
                </c:pt>
                <c:pt idx="1561">
                  <c:v>43046</c:v>
                </c:pt>
                <c:pt idx="1562">
                  <c:v>43045</c:v>
                </c:pt>
                <c:pt idx="1563">
                  <c:v>43044</c:v>
                </c:pt>
                <c:pt idx="1564">
                  <c:v>43043</c:v>
                </c:pt>
                <c:pt idx="1565">
                  <c:v>43042</c:v>
                </c:pt>
                <c:pt idx="1566">
                  <c:v>43041</c:v>
                </c:pt>
                <c:pt idx="1567">
                  <c:v>43040</c:v>
                </c:pt>
                <c:pt idx="1568">
                  <c:v>43039</c:v>
                </c:pt>
                <c:pt idx="1569">
                  <c:v>43038</c:v>
                </c:pt>
                <c:pt idx="1570">
                  <c:v>43037</c:v>
                </c:pt>
                <c:pt idx="1571">
                  <c:v>43036</c:v>
                </c:pt>
                <c:pt idx="1572">
                  <c:v>43035</c:v>
                </c:pt>
                <c:pt idx="1573">
                  <c:v>43034</c:v>
                </c:pt>
                <c:pt idx="1574">
                  <c:v>43033</c:v>
                </c:pt>
                <c:pt idx="1575">
                  <c:v>43032</c:v>
                </c:pt>
                <c:pt idx="1576">
                  <c:v>43031</c:v>
                </c:pt>
                <c:pt idx="1577">
                  <c:v>43030</c:v>
                </c:pt>
                <c:pt idx="1578">
                  <c:v>43029</c:v>
                </c:pt>
                <c:pt idx="1579">
                  <c:v>43028</c:v>
                </c:pt>
                <c:pt idx="1580">
                  <c:v>43027</c:v>
                </c:pt>
                <c:pt idx="1581">
                  <c:v>43026</c:v>
                </c:pt>
                <c:pt idx="1582">
                  <c:v>43025</c:v>
                </c:pt>
                <c:pt idx="1583">
                  <c:v>43024</c:v>
                </c:pt>
                <c:pt idx="1584">
                  <c:v>43023</c:v>
                </c:pt>
                <c:pt idx="1585">
                  <c:v>43022</c:v>
                </c:pt>
                <c:pt idx="1586">
                  <c:v>43021</c:v>
                </c:pt>
                <c:pt idx="1587">
                  <c:v>43020</c:v>
                </c:pt>
                <c:pt idx="1588">
                  <c:v>43019</c:v>
                </c:pt>
                <c:pt idx="1589">
                  <c:v>43018</c:v>
                </c:pt>
                <c:pt idx="1590">
                  <c:v>43017</c:v>
                </c:pt>
                <c:pt idx="1591">
                  <c:v>43016</c:v>
                </c:pt>
                <c:pt idx="1592">
                  <c:v>43015</c:v>
                </c:pt>
                <c:pt idx="1593">
                  <c:v>43014</c:v>
                </c:pt>
                <c:pt idx="1594">
                  <c:v>43013</c:v>
                </c:pt>
                <c:pt idx="1595">
                  <c:v>43012</c:v>
                </c:pt>
                <c:pt idx="1596">
                  <c:v>43011</c:v>
                </c:pt>
                <c:pt idx="1597">
                  <c:v>43010</c:v>
                </c:pt>
                <c:pt idx="1598">
                  <c:v>43009</c:v>
                </c:pt>
                <c:pt idx="1599">
                  <c:v>43008</c:v>
                </c:pt>
                <c:pt idx="1600">
                  <c:v>43007</c:v>
                </c:pt>
                <c:pt idx="1601">
                  <c:v>43006</c:v>
                </c:pt>
                <c:pt idx="1602">
                  <c:v>43005</c:v>
                </c:pt>
                <c:pt idx="1603">
                  <c:v>43004</c:v>
                </c:pt>
                <c:pt idx="1604">
                  <c:v>43003</c:v>
                </c:pt>
                <c:pt idx="1605">
                  <c:v>43002</c:v>
                </c:pt>
                <c:pt idx="1606">
                  <c:v>43001</c:v>
                </c:pt>
                <c:pt idx="1607">
                  <c:v>43000</c:v>
                </c:pt>
                <c:pt idx="1608">
                  <c:v>42999</c:v>
                </c:pt>
                <c:pt idx="1609">
                  <c:v>42998</c:v>
                </c:pt>
                <c:pt idx="1610">
                  <c:v>42997</c:v>
                </c:pt>
                <c:pt idx="1611">
                  <c:v>42996</c:v>
                </c:pt>
                <c:pt idx="1612">
                  <c:v>42995</c:v>
                </c:pt>
                <c:pt idx="1613">
                  <c:v>42994</c:v>
                </c:pt>
                <c:pt idx="1614">
                  <c:v>42993</c:v>
                </c:pt>
                <c:pt idx="1615">
                  <c:v>42992</c:v>
                </c:pt>
                <c:pt idx="1616">
                  <c:v>42991</c:v>
                </c:pt>
                <c:pt idx="1617">
                  <c:v>42990</c:v>
                </c:pt>
                <c:pt idx="1618">
                  <c:v>42989</c:v>
                </c:pt>
                <c:pt idx="1619">
                  <c:v>42988</c:v>
                </c:pt>
                <c:pt idx="1620">
                  <c:v>42987</c:v>
                </c:pt>
                <c:pt idx="1621">
                  <c:v>42986</c:v>
                </c:pt>
                <c:pt idx="1622">
                  <c:v>42985</c:v>
                </c:pt>
                <c:pt idx="1623">
                  <c:v>42984</c:v>
                </c:pt>
                <c:pt idx="1624">
                  <c:v>42983</c:v>
                </c:pt>
                <c:pt idx="1625">
                  <c:v>42982</c:v>
                </c:pt>
                <c:pt idx="1626">
                  <c:v>42981</c:v>
                </c:pt>
                <c:pt idx="1627">
                  <c:v>42980</c:v>
                </c:pt>
                <c:pt idx="1628">
                  <c:v>42979</c:v>
                </c:pt>
                <c:pt idx="1629">
                  <c:v>42978</c:v>
                </c:pt>
                <c:pt idx="1630">
                  <c:v>42977</c:v>
                </c:pt>
                <c:pt idx="1631">
                  <c:v>42976</c:v>
                </c:pt>
                <c:pt idx="1632">
                  <c:v>42975</c:v>
                </c:pt>
                <c:pt idx="1633">
                  <c:v>42974</c:v>
                </c:pt>
                <c:pt idx="1634">
                  <c:v>42973</c:v>
                </c:pt>
                <c:pt idx="1635">
                  <c:v>42972</c:v>
                </c:pt>
                <c:pt idx="1636">
                  <c:v>42971</c:v>
                </c:pt>
                <c:pt idx="1637">
                  <c:v>42970</c:v>
                </c:pt>
                <c:pt idx="1638">
                  <c:v>42969</c:v>
                </c:pt>
                <c:pt idx="1639">
                  <c:v>42968</c:v>
                </c:pt>
                <c:pt idx="1640">
                  <c:v>42967</c:v>
                </c:pt>
                <c:pt idx="1641">
                  <c:v>42966</c:v>
                </c:pt>
                <c:pt idx="1642">
                  <c:v>42965</c:v>
                </c:pt>
                <c:pt idx="1643">
                  <c:v>42964</c:v>
                </c:pt>
                <c:pt idx="1644">
                  <c:v>42963</c:v>
                </c:pt>
                <c:pt idx="1645">
                  <c:v>42962</c:v>
                </c:pt>
                <c:pt idx="1646">
                  <c:v>42961</c:v>
                </c:pt>
                <c:pt idx="1647">
                  <c:v>42960</c:v>
                </c:pt>
                <c:pt idx="1648">
                  <c:v>42959</c:v>
                </c:pt>
                <c:pt idx="1649">
                  <c:v>42958</c:v>
                </c:pt>
                <c:pt idx="1650">
                  <c:v>42957</c:v>
                </c:pt>
                <c:pt idx="1651">
                  <c:v>42956</c:v>
                </c:pt>
                <c:pt idx="1652">
                  <c:v>42955</c:v>
                </c:pt>
                <c:pt idx="1653">
                  <c:v>42954</c:v>
                </c:pt>
                <c:pt idx="1654">
                  <c:v>42953</c:v>
                </c:pt>
                <c:pt idx="1655">
                  <c:v>42952</c:v>
                </c:pt>
                <c:pt idx="1656">
                  <c:v>42951</c:v>
                </c:pt>
                <c:pt idx="1657">
                  <c:v>42950</c:v>
                </c:pt>
                <c:pt idx="1658">
                  <c:v>42949</c:v>
                </c:pt>
                <c:pt idx="1659">
                  <c:v>42948</c:v>
                </c:pt>
                <c:pt idx="1660">
                  <c:v>42947</c:v>
                </c:pt>
                <c:pt idx="1661">
                  <c:v>42946</c:v>
                </c:pt>
                <c:pt idx="1662">
                  <c:v>42945</c:v>
                </c:pt>
                <c:pt idx="1663">
                  <c:v>42944</c:v>
                </c:pt>
                <c:pt idx="1664">
                  <c:v>42943</c:v>
                </c:pt>
                <c:pt idx="1665">
                  <c:v>42942</c:v>
                </c:pt>
                <c:pt idx="1666">
                  <c:v>42941</c:v>
                </c:pt>
                <c:pt idx="1667">
                  <c:v>42940</c:v>
                </c:pt>
                <c:pt idx="1668">
                  <c:v>42939</c:v>
                </c:pt>
                <c:pt idx="1669">
                  <c:v>42938</c:v>
                </c:pt>
                <c:pt idx="1670">
                  <c:v>42937</c:v>
                </c:pt>
                <c:pt idx="1671">
                  <c:v>42936</c:v>
                </c:pt>
                <c:pt idx="1672">
                  <c:v>42935</c:v>
                </c:pt>
                <c:pt idx="1673">
                  <c:v>42934</c:v>
                </c:pt>
                <c:pt idx="1674">
                  <c:v>42933</c:v>
                </c:pt>
                <c:pt idx="1675">
                  <c:v>42932</c:v>
                </c:pt>
                <c:pt idx="1676">
                  <c:v>42931</c:v>
                </c:pt>
                <c:pt idx="1677">
                  <c:v>42930</c:v>
                </c:pt>
                <c:pt idx="1678">
                  <c:v>42929</c:v>
                </c:pt>
                <c:pt idx="1679">
                  <c:v>42928</c:v>
                </c:pt>
                <c:pt idx="1680">
                  <c:v>42927</c:v>
                </c:pt>
                <c:pt idx="1681">
                  <c:v>42926</c:v>
                </c:pt>
                <c:pt idx="1682">
                  <c:v>42925</c:v>
                </c:pt>
                <c:pt idx="1683">
                  <c:v>42924</c:v>
                </c:pt>
                <c:pt idx="1684">
                  <c:v>42923</c:v>
                </c:pt>
                <c:pt idx="1685">
                  <c:v>42922</c:v>
                </c:pt>
                <c:pt idx="1686">
                  <c:v>42921</c:v>
                </c:pt>
                <c:pt idx="1687">
                  <c:v>42920</c:v>
                </c:pt>
                <c:pt idx="1688">
                  <c:v>42919</c:v>
                </c:pt>
                <c:pt idx="1689">
                  <c:v>42918</c:v>
                </c:pt>
                <c:pt idx="1690">
                  <c:v>42917</c:v>
                </c:pt>
                <c:pt idx="1691">
                  <c:v>42916</c:v>
                </c:pt>
                <c:pt idx="1692">
                  <c:v>42915</c:v>
                </c:pt>
                <c:pt idx="1693">
                  <c:v>42914</c:v>
                </c:pt>
                <c:pt idx="1694">
                  <c:v>42913</c:v>
                </c:pt>
                <c:pt idx="1695">
                  <c:v>42912</c:v>
                </c:pt>
                <c:pt idx="1696">
                  <c:v>42911</c:v>
                </c:pt>
                <c:pt idx="1697">
                  <c:v>42910</c:v>
                </c:pt>
                <c:pt idx="1698">
                  <c:v>42909</c:v>
                </c:pt>
                <c:pt idx="1699">
                  <c:v>42908</c:v>
                </c:pt>
                <c:pt idx="1700">
                  <c:v>42907</c:v>
                </c:pt>
                <c:pt idx="1701">
                  <c:v>42906</c:v>
                </c:pt>
                <c:pt idx="1702">
                  <c:v>42905</c:v>
                </c:pt>
                <c:pt idx="1703">
                  <c:v>42904</c:v>
                </c:pt>
                <c:pt idx="1704">
                  <c:v>42903</c:v>
                </c:pt>
                <c:pt idx="1705">
                  <c:v>42902</c:v>
                </c:pt>
                <c:pt idx="1706">
                  <c:v>42901</c:v>
                </c:pt>
                <c:pt idx="1707">
                  <c:v>42900</c:v>
                </c:pt>
                <c:pt idx="1708">
                  <c:v>42899</c:v>
                </c:pt>
                <c:pt idx="1709">
                  <c:v>42898</c:v>
                </c:pt>
                <c:pt idx="1710">
                  <c:v>42897</c:v>
                </c:pt>
                <c:pt idx="1711">
                  <c:v>42896</c:v>
                </c:pt>
                <c:pt idx="1712">
                  <c:v>42895</c:v>
                </c:pt>
                <c:pt idx="1713">
                  <c:v>42894</c:v>
                </c:pt>
                <c:pt idx="1714">
                  <c:v>42893</c:v>
                </c:pt>
                <c:pt idx="1715">
                  <c:v>42892</c:v>
                </c:pt>
                <c:pt idx="1716">
                  <c:v>42891</c:v>
                </c:pt>
                <c:pt idx="1717">
                  <c:v>42890</c:v>
                </c:pt>
                <c:pt idx="1718">
                  <c:v>42889</c:v>
                </c:pt>
                <c:pt idx="1719">
                  <c:v>42888</c:v>
                </c:pt>
                <c:pt idx="1720">
                  <c:v>42887</c:v>
                </c:pt>
                <c:pt idx="1721">
                  <c:v>42886</c:v>
                </c:pt>
                <c:pt idx="1722">
                  <c:v>42885</c:v>
                </c:pt>
                <c:pt idx="1723">
                  <c:v>42884</c:v>
                </c:pt>
                <c:pt idx="1724">
                  <c:v>42883</c:v>
                </c:pt>
                <c:pt idx="1725">
                  <c:v>42882</c:v>
                </c:pt>
                <c:pt idx="1726">
                  <c:v>42881</c:v>
                </c:pt>
                <c:pt idx="1727">
                  <c:v>42880</c:v>
                </c:pt>
                <c:pt idx="1728">
                  <c:v>42879</c:v>
                </c:pt>
                <c:pt idx="1729">
                  <c:v>42878</c:v>
                </c:pt>
                <c:pt idx="1730">
                  <c:v>42877</c:v>
                </c:pt>
                <c:pt idx="1731">
                  <c:v>42876</c:v>
                </c:pt>
                <c:pt idx="1732">
                  <c:v>42875</c:v>
                </c:pt>
                <c:pt idx="1733">
                  <c:v>42874</c:v>
                </c:pt>
                <c:pt idx="1734">
                  <c:v>42873</c:v>
                </c:pt>
                <c:pt idx="1735">
                  <c:v>42872</c:v>
                </c:pt>
                <c:pt idx="1736">
                  <c:v>42871</c:v>
                </c:pt>
                <c:pt idx="1737">
                  <c:v>42870</c:v>
                </c:pt>
                <c:pt idx="1738">
                  <c:v>42869</c:v>
                </c:pt>
                <c:pt idx="1739">
                  <c:v>42868</c:v>
                </c:pt>
                <c:pt idx="1740">
                  <c:v>42867</c:v>
                </c:pt>
                <c:pt idx="1741">
                  <c:v>42866</c:v>
                </c:pt>
                <c:pt idx="1742">
                  <c:v>42865</c:v>
                </c:pt>
                <c:pt idx="1743">
                  <c:v>42864</c:v>
                </c:pt>
                <c:pt idx="1744">
                  <c:v>42863</c:v>
                </c:pt>
                <c:pt idx="1745">
                  <c:v>42862</c:v>
                </c:pt>
                <c:pt idx="1746">
                  <c:v>42861</c:v>
                </c:pt>
                <c:pt idx="1747">
                  <c:v>42860</c:v>
                </c:pt>
                <c:pt idx="1748">
                  <c:v>42859</c:v>
                </c:pt>
                <c:pt idx="1749">
                  <c:v>42858</c:v>
                </c:pt>
                <c:pt idx="1750">
                  <c:v>42857</c:v>
                </c:pt>
                <c:pt idx="1751">
                  <c:v>42856</c:v>
                </c:pt>
                <c:pt idx="1752">
                  <c:v>42855</c:v>
                </c:pt>
                <c:pt idx="1753">
                  <c:v>42854</c:v>
                </c:pt>
                <c:pt idx="1754">
                  <c:v>42853</c:v>
                </c:pt>
                <c:pt idx="1755">
                  <c:v>42852</c:v>
                </c:pt>
                <c:pt idx="1756">
                  <c:v>42851</c:v>
                </c:pt>
                <c:pt idx="1757">
                  <c:v>42850</c:v>
                </c:pt>
                <c:pt idx="1758">
                  <c:v>42849</c:v>
                </c:pt>
                <c:pt idx="1759">
                  <c:v>42848</c:v>
                </c:pt>
                <c:pt idx="1760">
                  <c:v>42847</c:v>
                </c:pt>
                <c:pt idx="1761">
                  <c:v>42846</c:v>
                </c:pt>
                <c:pt idx="1762">
                  <c:v>42845</c:v>
                </c:pt>
                <c:pt idx="1763">
                  <c:v>42844</c:v>
                </c:pt>
                <c:pt idx="1764">
                  <c:v>42843</c:v>
                </c:pt>
                <c:pt idx="1765">
                  <c:v>42842</c:v>
                </c:pt>
                <c:pt idx="1766">
                  <c:v>42841</c:v>
                </c:pt>
                <c:pt idx="1767">
                  <c:v>42840</c:v>
                </c:pt>
                <c:pt idx="1768">
                  <c:v>42839</c:v>
                </c:pt>
                <c:pt idx="1769">
                  <c:v>42838</c:v>
                </c:pt>
                <c:pt idx="1770">
                  <c:v>42837</c:v>
                </c:pt>
                <c:pt idx="1771">
                  <c:v>42836</c:v>
                </c:pt>
                <c:pt idx="1772">
                  <c:v>42835</c:v>
                </c:pt>
                <c:pt idx="1773">
                  <c:v>42834</c:v>
                </c:pt>
                <c:pt idx="1774">
                  <c:v>42833</c:v>
                </c:pt>
                <c:pt idx="1775">
                  <c:v>42832</c:v>
                </c:pt>
                <c:pt idx="1776">
                  <c:v>42831</c:v>
                </c:pt>
                <c:pt idx="1777">
                  <c:v>42830</c:v>
                </c:pt>
                <c:pt idx="1778">
                  <c:v>42829</c:v>
                </c:pt>
                <c:pt idx="1779">
                  <c:v>42828</c:v>
                </c:pt>
                <c:pt idx="1780">
                  <c:v>42827</c:v>
                </c:pt>
                <c:pt idx="1781">
                  <c:v>42826</c:v>
                </c:pt>
                <c:pt idx="1782">
                  <c:v>42825</c:v>
                </c:pt>
                <c:pt idx="1783">
                  <c:v>42824</c:v>
                </c:pt>
                <c:pt idx="1784">
                  <c:v>42823</c:v>
                </c:pt>
                <c:pt idx="1785">
                  <c:v>42822</c:v>
                </c:pt>
                <c:pt idx="1786">
                  <c:v>42821</c:v>
                </c:pt>
                <c:pt idx="1787">
                  <c:v>42820</c:v>
                </c:pt>
                <c:pt idx="1788">
                  <c:v>42819</c:v>
                </c:pt>
                <c:pt idx="1789">
                  <c:v>42818</c:v>
                </c:pt>
                <c:pt idx="1790">
                  <c:v>42817</c:v>
                </c:pt>
                <c:pt idx="1791">
                  <c:v>42816</c:v>
                </c:pt>
                <c:pt idx="1792">
                  <c:v>42815</c:v>
                </c:pt>
                <c:pt idx="1793">
                  <c:v>42814</c:v>
                </c:pt>
                <c:pt idx="1794">
                  <c:v>42813</c:v>
                </c:pt>
                <c:pt idx="1795">
                  <c:v>42812</c:v>
                </c:pt>
                <c:pt idx="1796">
                  <c:v>42811</c:v>
                </c:pt>
                <c:pt idx="1797">
                  <c:v>42810</c:v>
                </c:pt>
                <c:pt idx="1798">
                  <c:v>42809</c:v>
                </c:pt>
                <c:pt idx="1799">
                  <c:v>42808</c:v>
                </c:pt>
                <c:pt idx="1800">
                  <c:v>42807</c:v>
                </c:pt>
                <c:pt idx="1801">
                  <c:v>42806</c:v>
                </c:pt>
                <c:pt idx="1802">
                  <c:v>42805</c:v>
                </c:pt>
                <c:pt idx="1803">
                  <c:v>42804</c:v>
                </c:pt>
                <c:pt idx="1804">
                  <c:v>42803</c:v>
                </c:pt>
                <c:pt idx="1805">
                  <c:v>42802</c:v>
                </c:pt>
                <c:pt idx="1806">
                  <c:v>42801</c:v>
                </c:pt>
                <c:pt idx="1807">
                  <c:v>42800</c:v>
                </c:pt>
                <c:pt idx="1808">
                  <c:v>42799</c:v>
                </c:pt>
                <c:pt idx="1809">
                  <c:v>42798</c:v>
                </c:pt>
                <c:pt idx="1810">
                  <c:v>42797</c:v>
                </c:pt>
                <c:pt idx="1811">
                  <c:v>42796</c:v>
                </c:pt>
                <c:pt idx="1812">
                  <c:v>42795</c:v>
                </c:pt>
                <c:pt idx="1813">
                  <c:v>42794</c:v>
                </c:pt>
                <c:pt idx="1814">
                  <c:v>42793</c:v>
                </c:pt>
                <c:pt idx="1815">
                  <c:v>42792</c:v>
                </c:pt>
                <c:pt idx="1816">
                  <c:v>42791</c:v>
                </c:pt>
                <c:pt idx="1817">
                  <c:v>42790</c:v>
                </c:pt>
                <c:pt idx="1818">
                  <c:v>42789</c:v>
                </c:pt>
                <c:pt idx="1819">
                  <c:v>42788</c:v>
                </c:pt>
                <c:pt idx="1820">
                  <c:v>42787</c:v>
                </c:pt>
                <c:pt idx="1821">
                  <c:v>42786</c:v>
                </c:pt>
                <c:pt idx="1822">
                  <c:v>42785</c:v>
                </c:pt>
                <c:pt idx="1823">
                  <c:v>42784</c:v>
                </c:pt>
                <c:pt idx="1824">
                  <c:v>42783</c:v>
                </c:pt>
                <c:pt idx="1825">
                  <c:v>42782</c:v>
                </c:pt>
                <c:pt idx="1826">
                  <c:v>42781</c:v>
                </c:pt>
              </c:numCache>
            </c:numRef>
          </c:cat>
          <c:val>
            <c:numRef>
              <c:f>[32]Indexed!$H$4:$H$1830</c:f>
              <c:numCache>
                <c:formatCode>General</c:formatCode>
                <c:ptCount val="1827"/>
                <c:pt idx="0">
                  <c:v>417.02867072111206</c:v>
                </c:pt>
                <c:pt idx="1">
                  <c:v>390.35621198957432</c:v>
                </c:pt>
                <c:pt idx="2">
                  <c:v>389.92180712423982</c:v>
                </c:pt>
                <c:pt idx="3">
                  <c:v>389.92180712423982</c:v>
                </c:pt>
                <c:pt idx="4">
                  <c:v>389.92180712423982</c:v>
                </c:pt>
                <c:pt idx="5">
                  <c:v>395.39530842745438</c:v>
                </c:pt>
                <c:pt idx="6">
                  <c:v>382.79756733275417</c:v>
                </c:pt>
                <c:pt idx="7">
                  <c:v>365.42137271937446</c:v>
                </c:pt>
                <c:pt idx="8">
                  <c:v>351.3032145960035</c:v>
                </c:pt>
                <c:pt idx="9">
                  <c:v>352.606429192007</c:v>
                </c:pt>
                <c:pt idx="10">
                  <c:v>352.606429192007</c:v>
                </c:pt>
                <c:pt idx="11">
                  <c:v>352.606429192007</c:v>
                </c:pt>
                <c:pt idx="12">
                  <c:v>356.08166811468288</c:v>
                </c:pt>
                <c:pt idx="13">
                  <c:v>367.11555169417898</c:v>
                </c:pt>
                <c:pt idx="14">
                  <c:v>353.82276281494353</c:v>
                </c:pt>
                <c:pt idx="15">
                  <c:v>357.38488271068633</c:v>
                </c:pt>
                <c:pt idx="16">
                  <c:v>344.35273675065162</c:v>
                </c:pt>
                <c:pt idx="17">
                  <c:v>344.35273675065162</c:v>
                </c:pt>
                <c:pt idx="18">
                  <c:v>344.35273675065162</c:v>
                </c:pt>
                <c:pt idx="19">
                  <c:v>341.96350999131192</c:v>
                </c:pt>
                <c:pt idx="20">
                  <c:v>356.08166811468288</c:v>
                </c:pt>
                <c:pt idx="21">
                  <c:v>350.65160729800175</c:v>
                </c:pt>
                <c:pt idx="22">
                  <c:v>360.33883579496091</c:v>
                </c:pt>
                <c:pt idx="23">
                  <c:v>355.90790616854912</c:v>
                </c:pt>
                <c:pt idx="24">
                  <c:v>355.90790616854912</c:v>
                </c:pt>
                <c:pt idx="25">
                  <c:v>355.90790616854912</c:v>
                </c:pt>
                <c:pt idx="26">
                  <c:v>369.5482189400521</c:v>
                </c:pt>
                <c:pt idx="27">
                  <c:v>390.96437880104259</c:v>
                </c:pt>
                <c:pt idx="28">
                  <c:v>403.43179843614251</c:v>
                </c:pt>
                <c:pt idx="29">
                  <c:v>422.93657688966118</c:v>
                </c:pt>
                <c:pt idx="30">
                  <c:v>422.93657688966118</c:v>
                </c:pt>
                <c:pt idx="31">
                  <c:v>422.93657688966118</c:v>
                </c:pt>
                <c:pt idx="32">
                  <c:v>422.93657688966118</c:v>
                </c:pt>
                <c:pt idx="33">
                  <c:v>415.37793223284103</c:v>
                </c:pt>
                <c:pt idx="34">
                  <c:v>413.16246741963505</c:v>
                </c:pt>
                <c:pt idx="35">
                  <c:v>409.20938314509129</c:v>
                </c:pt>
                <c:pt idx="36">
                  <c:v>407.86272806255431</c:v>
                </c:pt>
                <c:pt idx="37">
                  <c:v>410.29539530842749</c:v>
                </c:pt>
                <c:pt idx="38">
                  <c:v>410.29539530842749</c:v>
                </c:pt>
                <c:pt idx="39">
                  <c:v>410.29539530842749</c:v>
                </c:pt>
                <c:pt idx="40">
                  <c:v>415.50825369244137</c:v>
                </c:pt>
                <c:pt idx="41">
                  <c:v>410.07819287576029</c:v>
                </c:pt>
                <c:pt idx="42">
                  <c:v>418.50564726324933</c:v>
                </c:pt>
                <c:pt idx="43">
                  <c:v>415.94265855777587</c:v>
                </c:pt>
                <c:pt idx="44">
                  <c:v>404.6481320590791</c:v>
                </c:pt>
                <c:pt idx="45">
                  <c:v>404.6481320590791</c:v>
                </c:pt>
                <c:pt idx="46">
                  <c:v>404.6481320590791</c:v>
                </c:pt>
                <c:pt idx="47">
                  <c:v>407.86272806255431</c:v>
                </c:pt>
                <c:pt idx="48">
                  <c:v>417.76715899218073</c:v>
                </c:pt>
                <c:pt idx="49">
                  <c:v>403.73588184187656</c:v>
                </c:pt>
                <c:pt idx="50">
                  <c:v>410.20851433536063</c:v>
                </c:pt>
                <c:pt idx="51">
                  <c:v>410.16507384882709</c:v>
                </c:pt>
                <c:pt idx="52">
                  <c:v>410.16507384882709</c:v>
                </c:pt>
                <c:pt idx="53">
                  <c:v>410.16507384882709</c:v>
                </c:pt>
                <c:pt idx="54">
                  <c:v>410.16507384882709</c:v>
                </c:pt>
                <c:pt idx="55">
                  <c:v>392.44135534317985</c:v>
                </c:pt>
                <c:pt idx="56">
                  <c:v>393.91833188531717</c:v>
                </c:pt>
                <c:pt idx="57">
                  <c:v>356.34231103388362</c:v>
                </c:pt>
                <c:pt idx="58">
                  <c:v>360.55603822762816</c:v>
                </c:pt>
                <c:pt idx="59">
                  <c:v>360.55603822762816</c:v>
                </c:pt>
                <c:pt idx="60">
                  <c:v>360.55603822762816</c:v>
                </c:pt>
                <c:pt idx="61">
                  <c:v>359.20938314509124</c:v>
                </c:pt>
                <c:pt idx="62">
                  <c:v>372.11120764552561</c:v>
                </c:pt>
                <c:pt idx="63">
                  <c:v>361.81581233709824</c:v>
                </c:pt>
                <c:pt idx="64">
                  <c:v>366.42050390964374</c:v>
                </c:pt>
                <c:pt idx="65">
                  <c:v>371.58992180712426</c:v>
                </c:pt>
                <c:pt idx="66">
                  <c:v>371.58992180712426</c:v>
                </c:pt>
                <c:pt idx="67">
                  <c:v>371.58992180712426</c:v>
                </c:pt>
                <c:pt idx="68">
                  <c:v>368.94005212858389</c:v>
                </c:pt>
                <c:pt idx="69">
                  <c:v>373.67506516072979</c:v>
                </c:pt>
                <c:pt idx="70">
                  <c:v>372.84969591659427</c:v>
                </c:pt>
                <c:pt idx="71">
                  <c:v>358.16681146828847</c:v>
                </c:pt>
                <c:pt idx="72">
                  <c:v>354.56125108601219</c:v>
                </c:pt>
                <c:pt idx="73">
                  <c:v>354.56125108601219</c:v>
                </c:pt>
                <c:pt idx="74">
                  <c:v>354.56125108601219</c:v>
                </c:pt>
                <c:pt idx="75">
                  <c:v>360.03475238922675</c:v>
                </c:pt>
                <c:pt idx="76">
                  <c:v>369.89574283231974</c:v>
                </c:pt>
                <c:pt idx="77">
                  <c:v>364.90008688097311</c:v>
                </c:pt>
                <c:pt idx="78">
                  <c:v>374.1963509991312</c:v>
                </c:pt>
                <c:pt idx="79">
                  <c:v>362.38053866203302</c:v>
                </c:pt>
                <c:pt idx="80">
                  <c:v>362.38053866203302</c:v>
                </c:pt>
                <c:pt idx="81">
                  <c:v>362.38053866203302</c:v>
                </c:pt>
                <c:pt idx="82">
                  <c:v>374.50043440486536</c:v>
                </c:pt>
                <c:pt idx="83">
                  <c:v>374.50043440486536</c:v>
                </c:pt>
                <c:pt idx="84">
                  <c:v>371.02519548218942</c:v>
                </c:pt>
                <c:pt idx="85">
                  <c:v>364.29192006950478</c:v>
                </c:pt>
                <c:pt idx="86">
                  <c:v>360.6863596872285</c:v>
                </c:pt>
                <c:pt idx="87">
                  <c:v>360.6863596872285</c:v>
                </c:pt>
                <c:pt idx="88">
                  <c:v>360.6863596872285</c:v>
                </c:pt>
                <c:pt idx="89">
                  <c:v>334.57862728062554</c:v>
                </c:pt>
                <c:pt idx="90">
                  <c:v>327.80191138140748</c:v>
                </c:pt>
                <c:pt idx="91">
                  <c:v>333.66637706342311</c:v>
                </c:pt>
                <c:pt idx="92">
                  <c:v>333.53605560382277</c:v>
                </c:pt>
                <c:pt idx="93">
                  <c:v>335.79496090356213</c:v>
                </c:pt>
                <c:pt idx="94">
                  <c:v>335.79496090356213</c:v>
                </c:pt>
                <c:pt idx="95">
                  <c:v>335.79496090356213</c:v>
                </c:pt>
                <c:pt idx="96">
                  <c:v>323.84882710686355</c:v>
                </c:pt>
                <c:pt idx="97">
                  <c:v>318.89661164205035</c:v>
                </c:pt>
                <c:pt idx="98">
                  <c:v>328.36663770634232</c:v>
                </c:pt>
                <c:pt idx="99">
                  <c:v>323.89226759339704</c:v>
                </c:pt>
                <c:pt idx="100">
                  <c:v>316.76802780191139</c:v>
                </c:pt>
                <c:pt idx="101">
                  <c:v>316.76802780191139</c:v>
                </c:pt>
                <c:pt idx="102">
                  <c:v>316.76802780191139</c:v>
                </c:pt>
                <c:pt idx="103">
                  <c:v>313.8140747176368</c:v>
                </c:pt>
                <c:pt idx="104">
                  <c:v>309.51346655082534</c:v>
                </c:pt>
                <c:pt idx="105">
                  <c:v>307.38488271068638</c:v>
                </c:pt>
                <c:pt idx="106">
                  <c:v>307.12423979148571</c:v>
                </c:pt>
                <c:pt idx="107">
                  <c:v>300.17376194613377</c:v>
                </c:pt>
                <c:pt idx="108">
                  <c:v>300.17376194613377</c:v>
                </c:pt>
                <c:pt idx="109">
                  <c:v>300.17376194613377</c:v>
                </c:pt>
                <c:pt idx="110">
                  <c:v>302.25890529973935</c:v>
                </c:pt>
                <c:pt idx="111">
                  <c:v>296.43788010425715</c:v>
                </c:pt>
                <c:pt idx="112">
                  <c:v>299.47871416159859</c:v>
                </c:pt>
                <c:pt idx="113">
                  <c:v>298.69678540399656</c:v>
                </c:pt>
                <c:pt idx="114">
                  <c:v>293.26672458731542</c:v>
                </c:pt>
                <c:pt idx="115">
                  <c:v>293.26672458731542</c:v>
                </c:pt>
                <c:pt idx="116">
                  <c:v>293.26672458731542</c:v>
                </c:pt>
                <c:pt idx="117">
                  <c:v>298.17549956559515</c:v>
                </c:pt>
                <c:pt idx="118">
                  <c:v>296.56820156385749</c:v>
                </c:pt>
                <c:pt idx="119">
                  <c:v>293.52736750651604</c:v>
                </c:pt>
                <c:pt idx="120">
                  <c:v>292.18071242397917</c:v>
                </c:pt>
                <c:pt idx="121">
                  <c:v>294.00521285838408</c:v>
                </c:pt>
                <c:pt idx="122">
                  <c:v>294.00521285838408</c:v>
                </c:pt>
                <c:pt idx="123">
                  <c:v>294.00521285838408</c:v>
                </c:pt>
                <c:pt idx="124">
                  <c:v>294.52649869678538</c:v>
                </c:pt>
                <c:pt idx="125">
                  <c:v>288.35794960903559</c:v>
                </c:pt>
                <c:pt idx="126">
                  <c:v>289.83492615117285</c:v>
                </c:pt>
                <c:pt idx="127">
                  <c:v>300.69504778453518</c:v>
                </c:pt>
                <c:pt idx="128">
                  <c:v>304.60469157254562</c:v>
                </c:pt>
                <c:pt idx="129">
                  <c:v>304.60469157254562</c:v>
                </c:pt>
                <c:pt idx="130">
                  <c:v>304.60469157254562</c:v>
                </c:pt>
                <c:pt idx="131">
                  <c:v>306.42919200695047</c:v>
                </c:pt>
                <c:pt idx="132">
                  <c:v>303.82276281494353</c:v>
                </c:pt>
                <c:pt idx="133">
                  <c:v>306.25543006081671</c:v>
                </c:pt>
                <c:pt idx="134">
                  <c:v>306.77671589921812</c:v>
                </c:pt>
                <c:pt idx="135">
                  <c:v>308.38401390095567</c:v>
                </c:pt>
                <c:pt idx="136">
                  <c:v>308.38401390095567</c:v>
                </c:pt>
                <c:pt idx="137">
                  <c:v>308.38401390095567</c:v>
                </c:pt>
                <c:pt idx="138">
                  <c:v>308.34057341442229</c:v>
                </c:pt>
                <c:pt idx="139">
                  <c:v>311.20764552562991</c:v>
                </c:pt>
                <c:pt idx="140">
                  <c:v>317.54995655951348</c:v>
                </c:pt>
                <c:pt idx="141">
                  <c:v>326.58557775847095</c:v>
                </c:pt>
                <c:pt idx="142">
                  <c:v>321.67680278019117</c:v>
                </c:pt>
                <c:pt idx="143">
                  <c:v>321.67680278019117</c:v>
                </c:pt>
                <c:pt idx="144">
                  <c:v>321.67680278019117</c:v>
                </c:pt>
                <c:pt idx="145">
                  <c:v>321.63336229365768</c:v>
                </c:pt>
                <c:pt idx="146">
                  <c:v>321.32927888792352</c:v>
                </c:pt>
                <c:pt idx="147">
                  <c:v>313.37966985230236</c:v>
                </c:pt>
                <c:pt idx="148">
                  <c:v>314.37880104257169</c:v>
                </c:pt>
                <c:pt idx="149">
                  <c:v>322.76281494352736</c:v>
                </c:pt>
                <c:pt idx="150">
                  <c:v>322.76281494352736</c:v>
                </c:pt>
                <c:pt idx="151">
                  <c:v>322.76281494352736</c:v>
                </c:pt>
                <c:pt idx="152">
                  <c:v>324.19635099913114</c:v>
                </c:pt>
                <c:pt idx="153">
                  <c:v>320.67767158992177</c:v>
                </c:pt>
                <c:pt idx="154">
                  <c:v>319.24413553431799</c:v>
                </c:pt>
                <c:pt idx="155">
                  <c:v>322.98001737619455</c:v>
                </c:pt>
                <c:pt idx="156">
                  <c:v>319.28757602085142</c:v>
                </c:pt>
                <c:pt idx="157">
                  <c:v>319.28757602085142</c:v>
                </c:pt>
                <c:pt idx="158">
                  <c:v>319.28757602085142</c:v>
                </c:pt>
                <c:pt idx="159">
                  <c:v>316.55082536924419</c:v>
                </c:pt>
                <c:pt idx="160">
                  <c:v>313.94439617723719</c:v>
                </c:pt>
                <c:pt idx="161">
                  <c:v>319.89574283231974</c:v>
                </c:pt>
                <c:pt idx="162">
                  <c:v>320.6342311033884</c:v>
                </c:pt>
                <c:pt idx="163">
                  <c:v>320.6342311033884</c:v>
                </c:pt>
                <c:pt idx="164">
                  <c:v>320.6342311033884</c:v>
                </c:pt>
                <c:pt idx="165">
                  <c:v>320.6342311033884</c:v>
                </c:pt>
                <c:pt idx="166">
                  <c:v>321.41615986099043</c:v>
                </c:pt>
                <c:pt idx="167">
                  <c:v>320.24326672458733</c:v>
                </c:pt>
                <c:pt idx="168">
                  <c:v>320.15638575152042</c:v>
                </c:pt>
                <c:pt idx="169">
                  <c:v>317.81059947871415</c:v>
                </c:pt>
                <c:pt idx="170">
                  <c:v>321.45960034752392</c:v>
                </c:pt>
                <c:pt idx="171">
                  <c:v>321.45960034752392</c:v>
                </c:pt>
                <c:pt idx="172">
                  <c:v>321.45960034752392</c:v>
                </c:pt>
                <c:pt idx="173">
                  <c:v>316.11642050390964</c:v>
                </c:pt>
                <c:pt idx="174">
                  <c:v>321.63336229365768</c:v>
                </c:pt>
                <c:pt idx="175">
                  <c:v>312.68462206776718</c:v>
                </c:pt>
                <c:pt idx="176">
                  <c:v>311.64205039096436</c:v>
                </c:pt>
                <c:pt idx="177">
                  <c:v>305.0825369244136</c:v>
                </c:pt>
                <c:pt idx="178">
                  <c:v>305.0825369244136</c:v>
                </c:pt>
                <c:pt idx="179">
                  <c:v>305.0825369244136</c:v>
                </c:pt>
                <c:pt idx="180">
                  <c:v>305.2997393570808</c:v>
                </c:pt>
                <c:pt idx="181">
                  <c:v>306.77671589921812</c:v>
                </c:pt>
                <c:pt idx="182">
                  <c:v>307.47176368375324</c:v>
                </c:pt>
                <c:pt idx="183">
                  <c:v>308.12337098175504</c:v>
                </c:pt>
                <c:pt idx="184">
                  <c:v>308.07993049522156</c:v>
                </c:pt>
                <c:pt idx="185">
                  <c:v>308.07993049522156</c:v>
                </c:pt>
                <c:pt idx="186">
                  <c:v>308.07993049522156</c:v>
                </c:pt>
                <c:pt idx="187">
                  <c:v>305.16941789748046</c:v>
                </c:pt>
                <c:pt idx="188">
                  <c:v>325.93397046046914</c:v>
                </c:pt>
                <c:pt idx="189">
                  <c:v>329.75673327541267</c:v>
                </c:pt>
                <c:pt idx="190">
                  <c:v>348.43614248479582</c:v>
                </c:pt>
                <c:pt idx="191">
                  <c:v>356.21198957428322</c:v>
                </c:pt>
                <c:pt idx="192">
                  <c:v>356.21198957428322</c:v>
                </c:pt>
                <c:pt idx="193">
                  <c:v>356.21198957428322</c:v>
                </c:pt>
                <c:pt idx="194">
                  <c:v>353.99652476107735</c:v>
                </c:pt>
                <c:pt idx="195">
                  <c:v>356.12510860121637</c:v>
                </c:pt>
                <c:pt idx="196">
                  <c:v>351.25977410947002</c:v>
                </c:pt>
                <c:pt idx="197">
                  <c:v>337.27193744569939</c:v>
                </c:pt>
                <c:pt idx="198">
                  <c:v>337.01129452649872</c:v>
                </c:pt>
                <c:pt idx="199">
                  <c:v>337.01129452649872</c:v>
                </c:pt>
                <c:pt idx="200">
                  <c:v>337.01129452649872</c:v>
                </c:pt>
                <c:pt idx="201">
                  <c:v>334.83927019982622</c:v>
                </c:pt>
                <c:pt idx="202">
                  <c:v>328.19287576020855</c:v>
                </c:pt>
                <c:pt idx="203">
                  <c:v>322.41529105125977</c:v>
                </c:pt>
                <c:pt idx="204">
                  <c:v>331.45091225021719</c:v>
                </c:pt>
                <c:pt idx="205">
                  <c:v>329.88705473501301</c:v>
                </c:pt>
                <c:pt idx="206">
                  <c:v>329.88705473501301</c:v>
                </c:pt>
                <c:pt idx="207">
                  <c:v>329.88705473501301</c:v>
                </c:pt>
                <c:pt idx="208">
                  <c:v>328.10599478714164</c:v>
                </c:pt>
                <c:pt idx="209">
                  <c:v>335.31711555169414</c:v>
                </c:pt>
                <c:pt idx="210">
                  <c:v>327.49782797567332</c:v>
                </c:pt>
                <c:pt idx="211">
                  <c:v>323.97914856646395</c:v>
                </c:pt>
                <c:pt idx="212">
                  <c:v>325.84708948740229</c:v>
                </c:pt>
                <c:pt idx="213">
                  <c:v>325.84708948740229</c:v>
                </c:pt>
                <c:pt idx="214">
                  <c:v>325.84708948740229</c:v>
                </c:pt>
                <c:pt idx="215">
                  <c:v>334.1442224152911</c:v>
                </c:pt>
                <c:pt idx="216">
                  <c:v>340.96437880104253</c:v>
                </c:pt>
                <c:pt idx="217">
                  <c:v>340.79061685490882</c:v>
                </c:pt>
                <c:pt idx="218">
                  <c:v>345.61251086012163</c:v>
                </c:pt>
                <c:pt idx="219">
                  <c:v>342.05039096437878</c:v>
                </c:pt>
                <c:pt idx="220">
                  <c:v>342.05039096437878</c:v>
                </c:pt>
                <c:pt idx="221">
                  <c:v>342.05039096437878</c:v>
                </c:pt>
                <c:pt idx="222">
                  <c:v>334.96959165942661</c:v>
                </c:pt>
                <c:pt idx="223">
                  <c:v>339.79148566463942</c:v>
                </c:pt>
                <c:pt idx="224">
                  <c:v>352.21546481320593</c:v>
                </c:pt>
                <c:pt idx="225">
                  <c:v>348.95742832319723</c:v>
                </c:pt>
                <c:pt idx="226">
                  <c:v>348.95742832319723</c:v>
                </c:pt>
                <c:pt idx="227">
                  <c:v>348.95742832319723</c:v>
                </c:pt>
                <c:pt idx="228">
                  <c:v>348.95742832319723</c:v>
                </c:pt>
                <c:pt idx="229">
                  <c:v>348.00173761946132</c:v>
                </c:pt>
                <c:pt idx="230">
                  <c:v>369.15725456125108</c:v>
                </c:pt>
                <c:pt idx="231">
                  <c:v>360.25195482189406</c:v>
                </c:pt>
                <c:pt idx="232">
                  <c:v>362.20677671589925</c:v>
                </c:pt>
                <c:pt idx="233">
                  <c:v>356.34231103388362</c:v>
                </c:pt>
                <c:pt idx="234">
                  <c:v>356.34231103388362</c:v>
                </c:pt>
                <c:pt idx="235">
                  <c:v>356.34231103388362</c:v>
                </c:pt>
                <c:pt idx="236">
                  <c:v>350.04344048653343</c:v>
                </c:pt>
                <c:pt idx="237">
                  <c:v>343.26672458731537</c:v>
                </c:pt>
                <c:pt idx="238">
                  <c:v>337.35881841876625</c:v>
                </c:pt>
                <c:pt idx="239">
                  <c:v>334.79582971329279</c:v>
                </c:pt>
                <c:pt idx="240">
                  <c:v>334.27454387489144</c:v>
                </c:pt>
                <c:pt idx="241">
                  <c:v>334.27454387489144</c:v>
                </c:pt>
                <c:pt idx="242">
                  <c:v>334.27454387489144</c:v>
                </c:pt>
                <c:pt idx="243">
                  <c:v>350.30408340573416</c:v>
                </c:pt>
                <c:pt idx="244">
                  <c:v>349.65247610773235</c:v>
                </c:pt>
                <c:pt idx="245">
                  <c:v>356.99391833188537</c:v>
                </c:pt>
                <c:pt idx="246">
                  <c:v>349.65247610773235</c:v>
                </c:pt>
                <c:pt idx="247">
                  <c:v>344.65682015638578</c:v>
                </c:pt>
                <c:pt idx="248">
                  <c:v>344.65682015638578</c:v>
                </c:pt>
                <c:pt idx="249">
                  <c:v>344.65682015638578</c:v>
                </c:pt>
                <c:pt idx="250">
                  <c:v>344.3961772371851</c:v>
                </c:pt>
                <c:pt idx="251">
                  <c:v>341.70286707211119</c:v>
                </c:pt>
                <c:pt idx="252">
                  <c:v>349.82623805386623</c:v>
                </c:pt>
                <c:pt idx="253">
                  <c:v>365.07384882710687</c:v>
                </c:pt>
                <c:pt idx="254">
                  <c:v>363.85751520417034</c:v>
                </c:pt>
                <c:pt idx="255">
                  <c:v>363.85751520417034</c:v>
                </c:pt>
                <c:pt idx="256">
                  <c:v>363.85751520417034</c:v>
                </c:pt>
                <c:pt idx="257">
                  <c:v>356.34231103388362</c:v>
                </c:pt>
                <c:pt idx="258">
                  <c:v>366.37706342311037</c:v>
                </c:pt>
                <c:pt idx="259">
                  <c:v>365.55169417897486</c:v>
                </c:pt>
                <c:pt idx="260">
                  <c:v>365.50825369244137</c:v>
                </c:pt>
                <c:pt idx="261">
                  <c:v>365.50825369244137</c:v>
                </c:pt>
                <c:pt idx="262">
                  <c:v>365.50825369244137</c:v>
                </c:pt>
                <c:pt idx="263">
                  <c:v>365.50825369244137</c:v>
                </c:pt>
                <c:pt idx="264">
                  <c:v>364.59600347523894</c:v>
                </c:pt>
                <c:pt idx="265">
                  <c:v>357.25456125108599</c:v>
                </c:pt>
                <c:pt idx="266">
                  <c:v>352.86707211120768</c:v>
                </c:pt>
                <c:pt idx="267">
                  <c:v>360.12163336229366</c:v>
                </c:pt>
                <c:pt idx="268">
                  <c:v>350.65160729800175</c:v>
                </c:pt>
                <c:pt idx="269">
                  <c:v>350.65160729800175</c:v>
                </c:pt>
                <c:pt idx="270">
                  <c:v>350.65160729800175</c:v>
                </c:pt>
                <c:pt idx="271">
                  <c:v>352.43266724587312</c:v>
                </c:pt>
                <c:pt idx="272">
                  <c:v>347.21980886185929</c:v>
                </c:pt>
                <c:pt idx="273">
                  <c:v>342.65855777584704</c:v>
                </c:pt>
                <c:pt idx="274">
                  <c:v>349.21807124239791</c:v>
                </c:pt>
                <c:pt idx="275">
                  <c:v>346.22067767158995</c:v>
                </c:pt>
                <c:pt idx="276">
                  <c:v>346.22067767158995</c:v>
                </c:pt>
                <c:pt idx="277">
                  <c:v>346.22067767158995</c:v>
                </c:pt>
                <c:pt idx="278">
                  <c:v>335.31711555169414</c:v>
                </c:pt>
                <c:pt idx="279">
                  <c:v>333.62293657688963</c:v>
                </c:pt>
                <c:pt idx="280">
                  <c:v>350.47784535186798</c:v>
                </c:pt>
                <c:pt idx="281">
                  <c:v>351.21633362293653</c:v>
                </c:pt>
                <c:pt idx="282">
                  <c:v>373.50130321459602</c:v>
                </c:pt>
                <c:pt idx="283">
                  <c:v>373.50130321459602</c:v>
                </c:pt>
                <c:pt idx="284">
                  <c:v>373.50130321459602</c:v>
                </c:pt>
                <c:pt idx="285">
                  <c:v>368.37532580364899</c:v>
                </c:pt>
                <c:pt idx="286">
                  <c:v>369.89574283231974</c:v>
                </c:pt>
                <c:pt idx="287">
                  <c:v>366.68114682884448</c:v>
                </c:pt>
                <c:pt idx="288">
                  <c:v>369.33101650738485</c:v>
                </c:pt>
                <c:pt idx="289">
                  <c:v>373.89226759339704</c:v>
                </c:pt>
                <c:pt idx="290">
                  <c:v>373.89226759339704</c:v>
                </c:pt>
                <c:pt idx="291">
                  <c:v>373.89226759339704</c:v>
                </c:pt>
                <c:pt idx="292">
                  <c:v>382.53692441355349</c:v>
                </c:pt>
                <c:pt idx="293">
                  <c:v>373.71850564726327</c:v>
                </c:pt>
                <c:pt idx="294">
                  <c:v>388.61859252823632</c:v>
                </c:pt>
                <c:pt idx="295">
                  <c:v>381.58123370981758</c:v>
                </c:pt>
                <c:pt idx="296">
                  <c:v>373.71850564726327</c:v>
                </c:pt>
                <c:pt idx="297">
                  <c:v>373.71850564726327</c:v>
                </c:pt>
                <c:pt idx="298">
                  <c:v>373.71850564726327</c:v>
                </c:pt>
                <c:pt idx="299">
                  <c:v>367.98436142484792</c:v>
                </c:pt>
                <c:pt idx="300">
                  <c:v>388.74891398783666</c:v>
                </c:pt>
                <c:pt idx="301">
                  <c:v>380.01737619461341</c:v>
                </c:pt>
                <c:pt idx="302">
                  <c:v>384.05734144222413</c:v>
                </c:pt>
                <c:pt idx="303">
                  <c:v>393.8314509122502</c:v>
                </c:pt>
                <c:pt idx="304">
                  <c:v>393.8314509122502</c:v>
                </c:pt>
                <c:pt idx="305">
                  <c:v>393.8314509122502</c:v>
                </c:pt>
                <c:pt idx="306">
                  <c:v>392.13727193744569</c:v>
                </c:pt>
                <c:pt idx="307">
                  <c:v>393.87489139878369</c:v>
                </c:pt>
                <c:pt idx="308">
                  <c:v>400.30408340573416</c:v>
                </c:pt>
                <c:pt idx="309">
                  <c:v>415.24761077324069</c:v>
                </c:pt>
                <c:pt idx="310">
                  <c:v>413.98783666377062</c:v>
                </c:pt>
                <c:pt idx="311">
                  <c:v>413.98783666377062</c:v>
                </c:pt>
                <c:pt idx="312">
                  <c:v>413.98783666377062</c:v>
                </c:pt>
                <c:pt idx="313">
                  <c:v>413.94439617723719</c:v>
                </c:pt>
                <c:pt idx="314">
                  <c:v>408.16681146828842</c:v>
                </c:pt>
                <c:pt idx="315">
                  <c:v>406.12510860121631</c:v>
                </c:pt>
                <c:pt idx="316">
                  <c:v>407.25456125108605</c:v>
                </c:pt>
                <c:pt idx="317">
                  <c:v>401.43353605560384</c:v>
                </c:pt>
                <c:pt idx="318">
                  <c:v>401.43353605560384</c:v>
                </c:pt>
                <c:pt idx="319">
                  <c:v>401.43353605560384</c:v>
                </c:pt>
                <c:pt idx="320">
                  <c:v>401.43353605560384</c:v>
                </c:pt>
                <c:pt idx="321">
                  <c:v>383.18853171155513</c:v>
                </c:pt>
                <c:pt idx="322">
                  <c:v>375.9339704604692</c:v>
                </c:pt>
                <c:pt idx="323">
                  <c:v>376.15117289313645</c:v>
                </c:pt>
                <c:pt idx="324">
                  <c:v>382.23284100781927</c:v>
                </c:pt>
                <c:pt idx="325">
                  <c:v>382.23284100781927</c:v>
                </c:pt>
                <c:pt idx="326">
                  <c:v>382.23284100781927</c:v>
                </c:pt>
                <c:pt idx="327">
                  <c:v>365.29105125977412</c:v>
                </c:pt>
                <c:pt idx="328">
                  <c:v>360.55603822762816</c:v>
                </c:pt>
                <c:pt idx="329">
                  <c:v>370.98175499565599</c:v>
                </c:pt>
                <c:pt idx="330">
                  <c:v>396.52476107732406</c:v>
                </c:pt>
                <c:pt idx="331">
                  <c:v>393.17984361424851</c:v>
                </c:pt>
                <c:pt idx="332">
                  <c:v>393.17984361424851</c:v>
                </c:pt>
                <c:pt idx="333">
                  <c:v>393.17984361424851</c:v>
                </c:pt>
                <c:pt idx="334">
                  <c:v>390.18245004344044</c:v>
                </c:pt>
                <c:pt idx="335">
                  <c:v>411.64205039096441</c:v>
                </c:pt>
                <c:pt idx="336">
                  <c:v>397.17636837532586</c:v>
                </c:pt>
                <c:pt idx="337">
                  <c:v>385.96872284969589</c:v>
                </c:pt>
                <c:pt idx="338">
                  <c:v>381.27715030408342</c:v>
                </c:pt>
                <c:pt idx="339">
                  <c:v>381.27715030408342</c:v>
                </c:pt>
                <c:pt idx="340">
                  <c:v>381.27715030408342</c:v>
                </c:pt>
                <c:pt idx="341">
                  <c:v>387.96698523023457</c:v>
                </c:pt>
                <c:pt idx="342">
                  <c:v>371.02519548218942</c:v>
                </c:pt>
                <c:pt idx="343">
                  <c:v>387.92354474370114</c:v>
                </c:pt>
                <c:pt idx="344">
                  <c:v>369.46133796698524</c:v>
                </c:pt>
                <c:pt idx="345">
                  <c:v>386.31624674196354</c:v>
                </c:pt>
                <c:pt idx="346">
                  <c:v>386.31624674196354</c:v>
                </c:pt>
                <c:pt idx="347">
                  <c:v>386.31624674196354</c:v>
                </c:pt>
                <c:pt idx="348">
                  <c:v>366.33362293657689</c:v>
                </c:pt>
                <c:pt idx="349">
                  <c:v>387.09817549956557</c:v>
                </c:pt>
                <c:pt idx="350">
                  <c:v>395.69939183318854</c:v>
                </c:pt>
                <c:pt idx="351">
                  <c:v>411.64205039096441</c:v>
                </c:pt>
                <c:pt idx="352">
                  <c:v>397.61077324066031</c:v>
                </c:pt>
                <c:pt idx="353">
                  <c:v>397.61077324066031</c:v>
                </c:pt>
                <c:pt idx="354">
                  <c:v>397.61077324066031</c:v>
                </c:pt>
                <c:pt idx="355">
                  <c:v>382.79756733275417</c:v>
                </c:pt>
                <c:pt idx="356">
                  <c:v>401.91138140747177</c:v>
                </c:pt>
                <c:pt idx="357">
                  <c:v>383.2754126846221</c:v>
                </c:pt>
                <c:pt idx="358">
                  <c:v>374.80451781059946</c:v>
                </c:pt>
                <c:pt idx="359">
                  <c:v>395.13466550825365</c:v>
                </c:pt>
                <c:pt idx="360">
                  <c:v>395.13466550825365</c:v>
                </c:pt>
                <c:pt idx="361">
                  <c:v>395.13466550825365</c:v>
                </c:pt>
                <c:pt idx="362">
                  <c:v>384.60034752389225</c:v>
                </c:pt>
                <c:pt idx="363">
                  <c:v>373.80538662033013</c:v>
                </c:pt>
                <c:pt idx="364">
                  <c:v>381.14682884448303</c:v>
                </c:pt>
                <c:pt idx="365">
                  <c:v>382.31972198088624</c:v>
                </c:pt>
                <c:pt idx="366">
                  <c:v>382.31972198088624</c:v>
                </c:pt>
                <c:pt idx="367">
                  <c:v>382.31972198088624</c:v>
                </c:pt>
                <c:pt idx="368">
                  <c:v>382.31972198088624</c:v>
                </c:pt>
                <c:pt idx="369">
                  <c:v>375.67332754126846</c:v>
                </c:pt>
                <c:pt idx="370">
                  <c:v>357.73240660295397</c:v>
                </c:pt>
                <c:pt idx="371">
                  <c:v>361.94613379669846</c:v>
                </c:pt>
                <c:pt idx="372">
                  <c:v>364.94352736750653</c:v>
                </c:pt>
                <c:pt idx="373">
                  <c:v>352.30234578627278</c:v>
                </c:pt>
                <c:pt idx="374">
                  <c:v>352.30234578627278</c:v>
                </c:pt>
                <c:pt idx="375">
                  <c:v>352.30234578627278</c:v>
                </c:pt>
                <c:pt idx="376">
                  <c:v>352.95395308427453</c:v>
                </c:pt>
                <c:pt idx="377">
                  <c:v>343.65768896611644</c:v>
                </c:pt>
                <c:pt idx="378">
                  <c:v>354.56125108601219</c:v>
                </c:pt>
                <c:pt idx="379">
                  <c:v>349.39183318853173</c:v>
                </c:pt>
                <c:pt idx="380">
                  <c:v>340.00868809730667</c:v>
                </c:pt>
                <c:pt idx="381">
                  <c:v>340.00868809730667</c:v>
                </c:pt>
                <c:pt idx="382">
                  <c:v>340.00868809730667</c:v>
                </c:pt>
                <c:pt idx="383">
                  <c:v>340.52997393570809</c:v>
                </c:pt>
                <c:pt idx="384">
                  <c:v>326.19461337966987</c:v>
                </c:pt>
                <c:pt idx="385">
                  <c:v>345.39530842745438</c:v>
                </c:pt>
                <c:pt idx="386">
                  <c:v>353.08427454387493</c:v>
                </c:pt>
                <c:pt idx="387">
                  <c:v>357.42832319721981</c:v>
                </c:pt>
                <c:pt idx="388">
                  <c:v>357.42832319721981</c:v>
                </c:pt>
                <c:pt idx="389">
                  <c:v>357.42832319721981</c:v>
                </c:pt>
                <c:pt idx="390">
                  <c:v>369.28757602085147</c:v>
                </c:pt>
                <c:pt idx="391">
                  <c:v>362.72806255430061</c:v>
                </c:pt>
                <c:pt idx="392">
                  <c:v>371.41615986099043</c:v>
                </c:pt>
                <c:pt idx="393">
                  <c:v>350.65160729800175</c:v>
                </c:pt>
                <c:pt idx="394">
                  <c:v>350.65160729800175</c:v>
                </c:pt>
                <c:pt idx="395">
                  <c:v>350.65160729800175</c:v>
                </c:pt>
                <c:pt idx="396">
                  <c:v>350.65160729800175</c:v>
                </c:pt>
                <c:pt idx="397">
                  <c:v>353.17115551694178</c:v>
                </c:pt>
                <c:pt idx="398">
                  <c:v>347.13292788879232</c:v>
                </c:pt>
                <c:pt idx="399">
                  <c:v>345.17810599478713</c:v>
                </c:pt>
                <c:pt idx="400">
                  <c:v>341.74630755864467</c:v>
                </c:pt>
                <c:pt idx="401">
                  <c:v>336.31624674196354</c:v>
                </c:pt>
                <c:pt idx="402">
                  <c:v>336.31624674196354</c:v>
                </c:pt>
                <c:pt idx="403">
                  <c:v>336.31624674196354</c:v>
                </c:pt>
                <c:pt idx="404">
                  <c:v>343.65768896611644</c:v>
                </c:pt>
                <c:pt idx="405">
                  <c:v>334.96959165942661</c:v>
                </c:pt>
                <c:pt idx="406">
                  <c:v>335.62119895742836</c:v>
                </c:pt>
                <c:pt idx="407">
                  <c:v>321.67680278019117</c:v>
                </c:pt>
                <c:pt idx="408">
                  <c:v>326.58557775847095</c:v>
                </c:pt>
                <c:pt idx="409">
                  <c:v>326.58557775847095</c:v>
                </c:pt>
                <c:pt idx="410">
                  <c:v>326.58557775847095</c:v>
                </c:pt>
                <c:pt idx="411">
                  <c:v>326.58557775847095</c:v>
                </c:pt>
                <c:pt idx="412">
                  <c:v>312.4239791485665</c:v>
                </c:pt>
                <c:pt idx="413">
                  <c:v>304.99565595134663</c:v>
                </c:pt>
                <c:pt idx="414">
                  <c:v>306.95047784535188</c:v>
                </c:pt>
                <c:pt idx="415">
                  <c:v>306.60295395308424</c:v>
                </c:pt>
                <c:pt idx="416">
                  <c:v>306.60295395308424</c:v>
                </c:pt>
                <c:pt idx="417">
                  <c:v>306.60295395308424</c:v>
                </c:pt>
                <c:pt idx="418">
                  <c:v>306.60295395308424</c:v>
                </c:pt>
                <c:pt idx="419">
                  <c:v>303.86620330147701</c:v>
                </c:pt>
                <c:pt idx="420">
                  <c:v>305.99478714161597</c:v>
                </c:pt>
                <c:pt idx="421">
                  <c:v>310.46915725456125</c:v>
                </c:pt>
                <c:pt idx="422">
                  <c:v>310.42571676802777</c:v>
                </c:pt>
                <c:pt idx="423">
                  <c:v>310.42571676802777</c:v>
                </c:pt>
                <c:pt idx="424">
                  <c:v>310.42571676802777</c:v>
                </c:pt>
                <c:pt idx="425">
                  <c:v>313.90095569070377</c:v>
                </c:pt>
                <c:pt idx="426">
                  <c:v>317.07211120764549</c:v>
                </c:pt>
                <c:pt idx="427">
                  <c:v>317.76715899218073</c:v>
                </c:pt>
                <c:pt idx="428">
                  <c:v>310.77324066029541</c:v>
                </c:pt>
                <c:pt idx="429">
                  <c:v>306.38575152041705</c:v>
                </c:pt>
                <c:pt idx="430">
                  <c:v>306.38575152041705</c:v>
                </c:pt>
                <c:pt idx="431">
                  <c:v>306.38575152041705</c:v>
                </c:pt>
                <c:pt idx="432">
                  <c:v>309.64378801042574</c:v>
                </c:pt>
                <c:pt idx="433">
                  <c:v>310.20851433536058</c:v>
                </c:pt>
                <c:pt idx="434">
                  <c:v>317.94092093831455</c:v>
                </c:pt>
                <c:pt idx="435">
                  <c:v>315.42137271937446</c:v>
                </c:pt>
                <c:pt idx="436">
                  <c:v>318.5925282363163</c:v>
                </c:pt>
                <c:pt idx="437">
                  <c:v>318.5925282363163</c:v>
                </c:pt>
                <c:pt idx="438">
                  <c:v>318.5925282363163</c:v>
                </c:pt>
                <c:pt idx="439">
                  <c:v>303.64900086880976</c:v>
                </c:pt>
                <c:pt idx="440">
                  <c:v>300.21720243266725</c:v>
                </c:pt>
                <c:pt idx="441">
                  <c:v>291.39878366637708</c:v>
                </c:pt>
                <c:pt idx="442">
                  <c:v>278.4100781928758</c:v>
                </c:pt>
                <c:pt idx="443">
                  <c:v>279.01824500434407</c:v>
                </c:pt>
                <c:pt idx="444">
                  <c:v>279.01824500434407</c:v>
                </c:pt>
                <c:pt idx="445">
                  <c:v>279.01824500434407</c:v>
                </c:pt>
                <c:pt idx="446">
                  <c:v>275.54300608166812</c:v>
                </c:pt>
                <c:pt idx="447">
                  <c:v>275.54300608166812</c:v>
                </c:pt>
                <c:pt idx="448">
                  <c:v>277.80191138140754</c:v>
                </c:pt>
                <c:pt idx="449">
                  <c:v>278.80104257167682</c:v>
                </c:pt>
                <c:pt idx="450">
                  <c:v>266.72458731537796</c:v>
                </c:pt>
                <c:pt idx="451">
                  <c:v>266.72458731537796</c:v>
                </c:pt>
                <c:pt idx="452">
                  <c:v>266.72458731537796</c:v>
                </c:pt>
                <c:pt idx="453">
                  <c:v>268.59252823631624</c:v>
                </c:pt>
                <c:pt idx="454">
                  <c:v>263.85751520417034</c:v>
                </c:pt>
                <c:pt idx="455">
                  <c:v>269.28757602085142</c:v>
                </c:pt>
                <c:pt idx="456">
                  <c:v>268.72284969591658</c:v>
                </c:pt>
                <c:pt idx="457">
                  <c:v>251.65073848827109</c:v>
                </c:pt>
                <c:pt idx="458">
                  <c:v>251.65073848827109</c:v>
                </c:pt>
                <c:pt idx="459">
                  <c:v>251.65073848827109</c:v>
                </c:pt>
                <c:pt idx="460">
                  <c:v>244.35273675065164</c:v>
                </c:pt>
                <c:pt idx="461">
                  <c:v>244.83058210251954</c:v>
                </c:pt>
                <c:pt idx="462">
                  <c:v>240.70373588184188</c:v>
                </c:pt>
                <c:pt idx="463">
                  <c:v>243.0929626411816</c:v>
                </c:pt>
                <c:pt idx="464">
                  <c:v>239.61772371850563</c:v>
                </c:pt>
                <c:pt idx="465">
                  <c:v>239.61772371850563</c:v>
                </c:pt>
                <c:pt idx="466">
                  <c:v>239.61772371850563</c:v>
                </c:pt>
                <c:pt idx="467">
                  <c:v>237.09817549956557</c:v>
                </c:pt>
                <c:pt idx="468">
                  <c:v>225.71676802780192</c:v>
                </c:pt>
                <c:pt idx="469">
                  <c:v>221.89400521285842</c:v>
                </c:pt>
                <c:pt idx="470">
                  <c:v>215.94265855777587</c:v>
                </c:pt>
                <c:pt idx="471">
                  <c:v>218.67940920938315</c:v>
                </c:pt>
                <c:pt idx="472">
                  <c:v>218.67940920938315</c:v>
                </c:pt>
                <c:pt idx="473">
                  <c:v>218.67940920938315</c:v>
                </c:pt>
                <c:pt idx="474">
                  <c:v>219.28757602085142</c:v>
                </c:pt>
                <c:pt idx="475">
                  <c:v>217.20243266724589</c:v>
                </c:pt>
                <c:pt idx="476">
                  <c:v>225.71676802780192</c:v>
                </c:pt>
                <c:pt idx="477">
                  <c:v>226.49869678540401</c:v>
                </c:pt>
                <c:pt idx="478">
                  <c:v>229.58297132927891</c:v>
                </c:pt>
                <c:pt idx="479">
                  <c:v>229.58297132927891</c:v>
                </c:pt>
                <c:pt idx="480">
                  <c:v>229.58297132927891</c:v>
                </c:pt>
                <c:pt idx="481">
                  <c:v>236.22936576889663</c:v>
                </c:pt>
                <c:pt idx="482">
                  <c:v>231.58123370981758</c:v>
                </c:pt>
                <c:pt idx="483">
                  <c:v>232.53692441355344</c:v>
                </c:pt>
                <c:pt idx="484">
                  <c:v>228.62728062554302</c:v>
                </c:pt>
                <c:pt idx="485">
                  <c:v>224.1963509991312</c:v>
                </c:pt>
                <c:pt idx="486">
                  <c:v>224.1963509991312</c:v>
                </c:pt>
                <c:pt idx="487">
                  <c:v>224.1963509991312</c:v>
                </c:pt>
                <c:pt idx="488">
                  <c:v>225.62988705473498</c:v>
                </c:pt>
                <c:pt idx="489">
                  <c:v>224.28323197219808</c:v>
                </c:pt>
                <c:pt idx="490">
                  <c:v>225.23892267593396</c:v>
                </c:pt>
                <c:pt idx="491">
                  <c:v>220.15638575152045</c:v>
                </c:pt>
                <c:pt idx="492">
                  <c:v>216.72458731537793</c:v>
                </c:pt>
                <c:pt idx="493">
                  <c:v>216.72458731537793</c:v>
                </c:pt>
                <c:pt idx="494">
                  <c:v>216.72458731537793</c:v>
                </c:pt>
                <c:pt idx="495">
                  <c:v>216.76802780191139</c:v>
                </c:pt>
                <c:pt idx="496">
                  <c:v>210.29539530842746</c:v>
                </c:pt>
                <c:pt idx="497">
                  <c:v>205.56038227628147</c:v>
                </c:pt>
                <c:pt idx="498">
                  <c:v>206.77671589921806</c:v>
                </c:pt>
                <c:pt idx="499">
                  <c:v>202.21546481320593</c:v>
                </c:pt>
                <c:pt idx="500">
                  <c:v>202.21546481320593</c:v>
                </c:pt>
                <c:pt idx="501">
                  <c:v>202.21546481320593</c:v>
                </c:pt>
                <c:pt idx="502">
                  <c:v>208.16681146828847</c:v>
                </c:pt>
                <c:pt idx="503">
                  <c:v>203.99652476107732</c:v>
                </c:pt>
                <c:pt idx="504">
                  <c:v>220.28670721112076</c:v>
                </c:pt>
                <c:pt idx="505">
                  <c:v>215.9860990443093</c:v>
                </c:pt>
                <c:pt idx="506">
                  <c:v>213.46655082536924</c:v>
                </c:pt>
                <c:pt idx="507">
                  <c:v>213.46655082536924</c:v>
                </c:pt>
                <c:pt idx="508">
                  <c:v>213.46655082536924</c:v>
                </c:pt>
                <c:pt idx="509">
                  <c:v>214.90008688097308</c:v>
                </c:pt>
                <c:pt idx="510">
                  <c:v>216.55082536924414</c:v>
                </c:pt>
                <c:pt idx="511">
                  <c:v>215.89921807124242</c:v>
                </c:pt>
                <c:pt idx="512">
                  <c:v>213.5099913119027</c:v>
                </c:pt>
                <c:pt idx="513">
                  <c:v>220.41702867072112</c:v>
                </c:pt>
                <c:pt idx="514">
                  <c:v>220.41702867072112</c:v>
                </c:pt>
                <c:pt idx="515">
                  <c:v>220.41702867072112</c:v>
                </c:pt>
                <c:pt idx="516">
                  <c:v>221.45960034752389</c:v>
                </c:pt>
                <c:pt idx="517">
                  <c:v>218.11468288444834</c:v>
                </c:pt>
                <c:pt idx="518">
                  <c:v>213.0755864465682</c:v>
                </c:pt>
                <c:pt idx="519">
                  <c:v>212.98870547350131</c:v>
                </c:pt>
                <c:pt idx="520">
                  <c:v>200.21720243266725</c:v>
                </c:pt>
                <c:pt idx="521">
                  <c:v>200.21720243266725</c:v>
                </c:pt>
                <c:pt idx="522">
                  <c:v>200.21720243266725</c:v>
                </c:pt>
                <c:pt idx="523">
                  <c:v>194.91746307558643</c:v>
                </c:pt>
                <c:pt idx="524">
                  <c:v>196.13379669852301</c:v>
                </c:pt>
                <c:pt idx="525">
                  <c:v>195.61251086012163</c:v>
                </c:pt>
                <c:pt idx="526">
                  <c:v>201.91138140747174</c:v>
                </c:pt>
                <c:pt idx="527">
                  <c:v>201.91138140747174</c:v>
                </c:pt>
                <c:pt idx="528">
                  <c:v>201.91138140747174</c:v>
                </c:pt>
                <c:pt idx="529">
                  <c:v>201.91138140747174</c:v>
                </c:pt>
                <c:pt idx="530">
                  <c:v>201.25977410947002</c:v>
                </c:pt>
                <c:pt idx="531">
                  <c:v>207.7758470894874</c:v>
                </c:pt>
                <c:pt idx="532">
                  <c:v>198.78366637706341</c:v>
                </c:pt>
                <c:pt idx="533">
                  <c:v>197.69765421372719</c:v>
                </c:pt>
                <c:pt idx="534">
                  <c:v>198.47958297132928</c:v>
                </c:pt>
                <c:pt idx="535">
                  <c:v>198.47958297132928</c:v>
                </c:pt>
                <c:pt idx="536">
                  <c:v>198.47958297132928</c:v>
                </c:pt>
                <c:pt idx="537">
                  <c:v>193.8314509122502</c:v>
                </c:pt>
                <c:pt idx="538">
                  <c:v>195.3084274543875</c:v>
                </c:pt>
                <c:pt idx="539">
                  <c:v>195.91659426585579</c:v>
                </c:pt>
                <c:pt idx="540">
                  <c:v>190.09556907037359</c:v>
                </c:pt>
                <c:pt idx="541">
                  <c:v>185.31711555169417</c:v>
                </c:pt>
                <c:pt idx="542">
                  <c:v>185.31711555169417</c:v>
                </c:pt>
                <c:pt idx="543">
                  <c:v>185.31711555169417</c:v>
                </c:pt>
                <c:pt idx="544">
                  <c:v>186.72893136403127</c:v>
                </c:pt>
                <c:pt idx="545">
                  <c:v>191.3553431798436</c:v>
                </c:pt>
                <c:pt idx="546">
                  <c:v>192.87576020851432</c:v>
                </c:pt>
                <c:pt idx="547">
                  <c:v>196.43788010425715</c:v>
                </c:pt>
                <c:pt idx="548">
                  <c:v>198.08861859252823</c:v>
                </c:pt>
                <c:pt idx="549">
                  <c:v>198.08861859252823</c:v>
                </c:pt>
                <c:pt idx="550">
                  <c:v>198.08861859252823</c:v>
                </c:pt>
                <c:pt idx="551">
                  <c:v>200.4344048653345</c:v>
                </c:pt>
                <c:pt idx="552">
                  <c:v>210.59947871416159</c:v>
                </c:pt>
                <c:pt idx="553">
                  <c:v>207.47176368375327</c:v>
                </c:pt>
                <c:pt idx="554">
                  <c:v>213.5099913119027</c:v>
                </c:pt>
                <c:pt idx="555">
                  <c:v>211.77237185056472</c:v>
                </c:pt>
                <c:pt idx="556">
                  <c:v>211.77237185056472</c:v>
                </c:pt>
                <c:pt idx="557">
                  <c:v>211.77237185056472</c:v>
                </c:pt>
                <c:pt idx="558">
                  <c:v>211.5551694178975</c:v>
                </c:pt>
                <c:pt idx="559">
                  <c:v>221.76368375325802</c:v>
                </c:pt>
                <c:pt idx="560">
                  <c:v>222.84969591659424</c:v>
                </c:pt>
                <c:pt idx="561">
                  <c:v>218.8966116420504</c:v>
                </c:pt>
                <c:pt idx="562">
                  <c:v>217.44135534317985</c:v>
                </c:pt>
                <c:pt idx="563">
                  <c:v>217.44135534317985</c:v>
                </c:pt>
                <c:pt idx="564">
                  <c:v>217.44135534317985</c:v>
                </c:pt>
                <c:pt idx="565">
                  <c:v>220.41702867072112</c:v>
                </c:pt>
                <c:pt idx="566">
                  <c:v>218.8966116420504</c:v>
                </c:pt>
                <c:pt idx="567">
                  <c:v>217.59339704604693</c:v>
                </c:pt>
                <c:pt idx="568">
                  <c:v>224.10947002606432</c:v>
                </c:pt>
                <c:pt idx="569">
                  <c:v>217.2893136403128</c:v>
                </c:pt>
                <c:pt idx="570">
                  <c:v>217.2893136403128</c:v>
                </c:pt>
                <c:pt idx="571">
                  <c:v>217.2893136403128</c:v>
                </c:pt>
                <c:pt idx="572">
                  <c:v>228.67072111207648</c:v>
                </c:pt>
                <c:pt idx="573">
                  <c:v>224.37011294526496</c:v>
                </c:pt>
                <c:pt idx="574">
                  <c:v>223.80538662033018</c:v>
                </c:pt>
                <c:pt idx="575">
                  <c:v>222.45873153779323</c:v>
                </c:pt>
                <c:pt idx="576">
                  <c:v>214.90008688097308</c:v>
                </c:pt>
                <c:pt idx="577">
                  <c:v>214.90008688097308</c:v>
                </c:pt>
                <c:pt idx="578">
                  <c:v>214.90008688097308</c:v>
                </c:pt>
                <c:pt idx="579">
                  <c:v>217.63683753258039</c:v>
                </c:pt>
                <c:pt idx="580">
                  <c:v>219.41789748045178</c:v>
                </c:pt>
                <c:pt idx="581">
                  <c:v>215.94265855777587</c:v>
                </c:pt>
                <c:pt idx="582">
                  <c:v>214.85664639443965</c:v>
                </c:pt>
                <c:pt idx="583">
                  <c:v>220.24326672458733</c:v>
                </c:pt>
                <c:pt idx="584">
                  <c:v>220.24326672458733</c:v>
                </c:pt>
                <c:pt idx="585">
                  <c:v>220.24326672458733</c:v>
                </c:pt>
                <c:pt idx="586">
                  <c:v>217.11555169417895</c:v>
                </c:pt>
                <c:pt idx="587">
                  <c:v>215.94265855777587</c:v>
                </c:pt>
                <c:pt idx="588">
                  <c:v>213.24934839270199</c:v>
                </c:pt>
                <c:pt idx="589">
                  <c:v>221.19895742832321</c:v>
                </c:pt>
                <c:pt idx="590">
                  <c:v>216.46394439617725</c:v>
                </c:pt>
                <c:pt idx="591">
                  <c:v>216.46394439617725</c:v>
                </c:pt>
                <c:pt idx="592">
                  <c:v>216.46394439617725</c:v>
                </c:pt>
                <c:pt idx="593">
                  <c:v>216.46394439617725</c:v>
                </c:pt>
                <c:pt idx="594">
                  <c:v>215.89921807124242</c:v>
                </c:pt>
                <c:pt idx="595">
                  <c:v>223.80538662033018</c:v>
                </c:pt>
                <c:pt idx="596">
                  <c:v>213.48827106863598</c:v>
                </c:pt>
                <c:pt idx="597">
                  <c:v>210.64291920069508</c:v>
                </c:pt>
                <c:pt idx="598">
                  <c:v>210.64291920069508</c:v>
                </c:pt>
                <c:pt idx="599">
                  <c:v>210.64291920069508</c:v>
                </c:pt>
                <c:pt idx="600">
                  <c:v>213.68375325803649</c:v>
                </c:pt>
                <c:pt idx="601">
                  <c:v>209.77410947002605</c:v>
                </c:pt>
                <c:pt idx="602">
                  <c:v>216.50738488271068</c:v>
                </c:pt>
                <c:pt idx="603">
                  <c:v>222.19808861859255</c:v>
                </c:pt>
                <c:pt idx="604">
                  <c:v>220.80799304952214</c:v>
                </c:pt>
                <c:pt idx="605">
                  <c:v>220.80799304952214</c:v>
                </c:pt>
                <c:pt idx="606">
                  <c:v>220.80799304952214</c:v>
                </c:pt>
                <c:pt idx="607">
                  <c:v>219.28757602085142</c:v>
                </c:pt>
                <c:pt idx="608">
                  <c:v>221.37271937445701</c:v>
                </c:pt>
                <c:pt idx="609">
                  <c:v>221.63336229365771</c:v>
                </c:pt>
                <c:pt idx="610">
                  <c:v>213.90095569070377</c:v>
                </c:pt>
                <c:pt idx="611">
                  <c:v>211.51172893136402</c:v>
                </c:pt>
                <c:pt idx="612">
                  <c:v>211.51172893136402</c:v>
                </c:pt>
                <c:pt idx="613">
                  <c:v>211.51172893136402</c:v>
                </c:pt>
                <c:pt idx="614">
                  <c:v>210.77324066029539</c:v>
                </c:pt>
                <c:pt idx="615">
                  <c:v>227.93223284100782</c:v>
                </c:pt>
                <c:pt idx="616">
                  <c:v>230.88618592528238</c:v>
                </c:pt>
                <c:pt idx="617">
                  <c:v>233.27541268462207</c:v>
                </c:pt>
                <c:pt idx="618">
                  <c:v>233.36229365768895</c:v>
                </c:pt>
                <c:pt idx="619">
                  <c:v>233.36229365768895</c:v>
                </c:pt>
                <c:pt idx="620">
                  <c:v>233.36229365768895</c:v>
                </c:pt>
                <c:pt idx="621">
                  <c:v>222.50217202432668</c:v>
                </c:pt>
                <c:pt idx="622">
                  <c:v>212.51086012163336</c:v>
                </c:pt>
                <c:pt idx="623">
                  <c:v>203.38835794960906</c:v>
                </c:pt>
                <c:pt idx="624">
                  <c:v>201.3032145960035</c:v>
                </c:pt>
                <c:pt idx="625">
                  <c:v>208.12337098175499</c:v>
                </c:pt>
                <c:pt idx="626">
                  <c:v>208.12337098175499</c:v>
                </c:pt>
                <c:pt idx="627">
                  <c:v>208.12337098175499</c:v>
                </c:pt>
                <c:pt idx="628">
                  <c:v>201.86794092093828</c:v>
                </c:pt>
                <c:pt idx="629">
                  <c:v>214.81320590790619</c:v>
                </c:pt>
                <c:pt idx="630">
                  <c:v>198.95742832319721</c:v>
                </c:pt>
                <c:pt idx="631">
                  <c:v>195.22154648132059</c:v>
                </c:pt>
                <c:pt idx="632">
                  <c:v>195.22154648132059</c:v>
                </c:pt>
                <c:pt idx="633">
                  <c:v>195.22154648132059</c:v>
                </c:pt>
                <c:pt idx="634">
                  <c:v>195.22154648132059</c:v>
                </c:pt>
                <c:pt idx="635">
                  <c:v>196.43788010425715</c:v>
                </c:pt>
                <c:pt idx="636">
                  <c:v>202.60642919200697</c:v>
                </c:pt>
                <c:pt idx="637">
                  <c:v>196.00347523892268</c:v>
                </c:pt>
                <c:pt idx="638">
                  <c:v>199.47871416159862</c:v>
                </c:pt>
                <c:pt idx="639">
                  <c:v>192.91920069504778</c:v>
                </c:pt>
                <c:pt idx="640">
                  <c:v>192.91920069504778</c:v>
                </c:pt>
                <c:pt idx="641">
                  <c:v>192.91920069504778</c:v>
                </c:pt>
                <c:pt idx="642">
                  <c:v>198.65334491746307</c:v>
                </c:pt>
                <c:pt idx="643">
                  <c:v>189.09643788010428</c:v>
                </c:pt>
                <c:pt idx="644">
                  <c:v>198.47958297132928</c:v>
                </c:pt>
                <c:pt idx="645">
                  <c:v>209.38314509122503</c:v>
                </c:pt>
                <c:pt idx="646">
                  <c:v>209.60034752389225</c:v>
                </c:pt>
                <c:pt idx="647">
                  <c:v>209.60034752389225</c:v>
                </c:pt>
                <c:pt idx="648">
                  <c:v>209.60034752389225</c:v>
                </c:pt>
                <c:pt idx="649">
                  <c:v>202.38922675933972</c:v>
                </c:pt>
                <c:pt idx="650">
                  <c:v>200.17376194613382</c:v>
                </c:pt>
                <c:pt idx="651">
                  <c:v>197.26324934839269</c:v>
                </c:pt>
                <c:pt idx="652">
                  <c:v>193.13640312771503</c:v>
                </c:pt>
                <c:pt idx="653">
                  <c:v>195.742832319722</c:v>
                </c:pt>
                <c:pt idx="654">
                  <c:v>195.742832319722</c:v>
                </c:pt>
                <c:pt idx="655">
                  <c:v>195.742832319722</c:v>
                </c:pt>
                <c:pt idx="656">
                  <c:v>208.03649000868808</c:v>
                </c:pt>
                <c:pt idx="657">
                  <c:v>216.46394439617725</c:v>
                </c:pt>
                <c:pt idx="658">
                  <c:v>196.82884448305822</c:v>
                </c:pt>
                <c:pt idx="659">
                  <c:v>196.69852302345788</c:v>
                </c:pt>
                <c:pt idx="660">
                  <c:v>191.83318853171153</c:v>
                </c:pt>
                <c:pt idx="661">
                  <c:v>191.83318853171153</c:v>
                </c:pt>
                <c:pt idx="662">
                  <c:v>191.83318853171153</c:v>
                </c:pt>
                <c:pt idx="663">
                  <c:v>190.13900955690707</c:v>
                </c:pt>
                <c:pt idx="664">
                  <c:v>190.74717636837531</c:v>
                </c:pt>
                <c:pt idx="665">
                  <c:v>179.88705473501304</c:v>
                </c:pt>
                <c:pt idx="666">
                  <c:v>188.53171155516941</c:v>
                </c:pt>
                <c:pt idx="667">
                  <c:v>198.52302345786273</c:v>
                </c:pt>
                <c:pt idx="668">
                  <c:v>198.52302345786273</c:v>
                </c:pt>
                <c:pt idx="669">
                  <c:v>198.52302345786273</c:v>
                </c:pt>
                <c:pt idx="670">
                  <c:v>197.7845351867941</c:v>
                </c:pt>
                <c:pt idx="671">
                  <c:v>201.69417897480452</c:v>
                </c:pt>
                <c:pt idx="672">
                  <c:v>206.86359687228494</c:v>
                </c:pt>
                <c:pt idx="673">
                  <c:v>200.56472632493487</c:v>
                </c:pt>
                <c:pt idx="674">
                  <c:v>200.39096437880107</c:v>
                </c:pt>
                <c:pt idx="675">
                  <c:v>200.39096437880107</c:v>
                </c:pt>
                <c:pt idx="676">
                  <c:v>200.39096437880107</c:v>
                </c:pt>
                <c:pt idx="677">
                  <c:v>200.39096437880107</c:v>
                </c:pt>
                <c:pt idx="678">
                  <c:v>209.77410947002605</c:v>
                </c:pt>
                <c:pt idx="679">
                  <c:v>202.17202432667247</c:v>
                </c:pt>
                <c:pt idx="680">
                  <c:v>201.43353605560384</c:v>
                </c:pt>
                <c:pt idx="681">
                  <c:v>179.06168549087749</c:v>
                </c:pt>
                <c:pt idx="682">
                  <c:v>179.06168549087749</c:v>
                </c:pt>
                <c:pt idx="683">
                  <c:v>179.06168549087749</c:v>
                </c:pt>
                <c:pt idx="684">
                  <c:v>178.49695916594268</c:v>
                </c:pt>
                <c:pt idx="685">
                  <c:v>173.28410078192877</c:v>
                </c:pt>
                <c:pt idx="686">
                  <c:v>182.71068635968723</c:v>
                </c:pt>
                <c:pt idx="687">
                  <c:v>193.39704604691573</c:v>
                </c:pt>
                <c:pt idx="688">
                  <c:v>188.879235447437</c:v>
                </c:pt>
                <c:pt idx="689">
                  <c:v>188.879235447437</c:v>
                </c:pt>
                <c:pt idx="690">
                  <c:v>188.879235447437</c:v>
                </c:pt>
                <c:pt idx="691">
                  <c:v>194.56993918331887</c:v>
                </c:pt>
                <c:pt idx="692">
                  <c:v>184.622067767159</c:v>
                </c:pt>
                <c:pt idx="693">
                  <c:v>187.9669852302346</c:v>
                </c:pt>
                <c:pt idx="694">
                  <c:v>166.15986099044309</c:v>
                </c:pt>
                <c:pt idx="695">
                  <c:v>156.86359687228497</c:v>
                </c:pt>
                <c:pt idx="696">
                  <c:v>156.86359687228497</c:v>
                </c:pt>
                <c:pt idx="697">
                  <c:v>156.86359687228497</c:v>
                </c:pt>
                <c:pt idx="698">
                  <c:v>157.64552562988706</c:v>
                </c:pt>
                <c:pt idx="699">
                  <c:v>150.69504778453518</c:v>
                </c:pt>
                <c:pt idx="700">
                  <c:v>162.38053866203305</c:v>
                </c:pt>
                <c:pt idx="701">
                  <c:v>149.73935708079929</c:v>
                </c:pt>
                <c:pt idx="702">
                  <c:v>186.75065160729801</c:v>
                </c:pt>
                <c:pt idx="703">
                  <c:v>186.75065160729801</c:v>
                </c:pt>
                <c:pt idx="704">
                  <c:v>186.75065160729801</c:v>
                </c:pt>
                <c:pt idx="705">
                  <c:v>168.59252823631624</c:v>
                </c:pt>
                <c:pt idx="706">
                  <c:v>189.92180712423979</c:v>
                </c:pt>
                <c:pt idx="707">
                  <c:v>207.90616854908777</c:v>
                </c:pt>
                <c:pt idx="708">
                  <c:v>199.69591659426587</c:v>
                </c:pt>
                <c:pt idx="709">
                  <c:v>223.58818418766288</c:v>
                </c:pt>
                <c:pt idx="710">
                  <c:v>223.58818418766288</c:v>
                </c:pt>
                <c:pt idx="711">
                  <c:v>223.58818418766288</c:v>
                </c:pt>
                <c:pt idx="712">
                  <c:v>233.36229365768895</c:v>
                </c:pt>
                <c:pt idx="713">
                  <c:v>240.1824500434405</c:v>
                </c:pt>
                <c:pt idx="714">
                  <c:v>225.02172024326671</c:v>
                </c:pt>
                <c:pt idx="715">
                  <c:v>237.14161598609905</c:v>
                </c:pt>
                <c:pt idx="716">
                  <c:v>228.32319721980889</c:v>
                </c:pt>
                <c:pt idx="717">
                  <c:v>228.32319721980889</c:v>
                </c:pt>
                <c:pt idx="718">
                  <c:v>228.32319721980889</c:v>
                </c:pt>
                <c:pt idx="719">
                  <c:v>219.72198088618592</c:v>
                </c:pt>
                <c:pt idx="720">
                  <c:v>227.49782797567332</c:v>
                </c:pt>
                <c:pt idx="721">
                  <c:v>226.32493483927024</c:v>
                </c:pt>
                <c:pt idx="722">
                  <c:v>238.96611642050391</c:v>
                </c:pt>
                <c:pt idx="723">
                  <c:v>247.56733275412688</c:v>
                </c:pt>
                <c:pt idx="724">
                  <c:v>247.56733275412688</c:v>
                </c:pt>
                <c:pt idx="725">
                  <c:v>247.56733275412688</c:v>
                </c:pt>
                <c:pt idx="726">
                  <c:v>256.29887054735013</c:v>
                </c:pt>
                <c:pt idx="727">
                  <c:v>260.59947871416165</c:v>
                </c:pt>
                <c:pt idx="728">
                  <c:v>250.868809730669</c:v>
                </c:pt>
                <c:pt idx="729">
                  <c:v>254.12684622067769</c:v>
                </c:pt>
                <c:pt idx="730">
                  <c:v>254.12684622067769</c:v>
                </c:pt>
                <c:pt idx="731">
                  <c:v>254.12684622067769</c:v>
                </c:pt>
                <c:pt idx="732">
                  <c:v>254.12684622067769</c:v>
                </c:pt>
                <c:pt idx="733">
                  <c:v>257.73240660295397</c:v>
                </c:pt>
                <c:pt idx="734">
                  <c:v>257.47176368375324</c:v>
                </c:pt>
                <c:pt idx="735">
                  <c:v>248.69678540399653</c:v>
                </c:pt>
                <c:pt idx="736">
                  <c:v>249.04430929626412</c:v>
                </c:pt>
                <c:pt idx="737">
                  <c:v>247.08948740225892</c:v>
                </c:pt>
                <c:pt idx="738">
                  <c:v>247.08948740225892</c:v>
                </c:pt>
                <c:pt idx="739">
                  <c:v>247.08948740225892</c:v>
                </c:pt>
                <c:pt idx="740">
                  <c:v>254.90877497827978</c:v>
                </c:pt>
                <c:pt idx="741">
                  <c:v>246.611642050391</c:v>
                </c:pt>
                <c:pt idx="742">
                  <c:v>241.0947002606429</c:v>
                </c:pt>
                <c:pt idx="743">
                  <c:v>233.62293657688969</c:v>
                </c:pt>
                <c:pt idx="744">
                  <c:v>230.6255430060817</c:v>
                </c:pt>
                <c:pt idx="745">
                  <c:v>230.6255430060817</c:v>
                </c:pt>
                <c:pt idx="746">
                  <c:v>230.6255430060817</c:v>
                </c:pt>
                <c:pt idx="747">
                  <c:v>239.05299739357079</c:v>
                </c:pt>
                <c:pt idx="748">
                  <c:v>240.22589052997395</c:v>
                </c:pt>
                <c:pt idx="749">
                  <c:v>245.30842745438747</c:v>
                </c:pt>
                <c:pt idx="750">
                  <c:v>240.70373588184188</c:v>
                </c:pt>
                <c:pt idx="751">
                  <c:v>250.91225021720246</c:v>
                </c:pt>
                <c:pt idx="752">
                  <c:v>250.91225021720246</c:v>
                </c:pt>
                <c:pt idx="753">
                  <c:v>250.91225021720246</c:v>
                </c:pt>
                <c:pt idx="754">
                  <c:v>257.16768027801913</c:v>
                </c:pt>
                <c:pt idx="755">
                  <c:v>257.03735881841874</c:v>
                </c:pt>
                <c:pt idx="756">
                  <c:v>256.1685490877498</c:v>
                </c:pt>
                <c:pt idx="757">
                  <c:v>250.47784535186796</c:v>
                </c:pt>
                <c:pt idx="758">
                  <c:v>250.47784535186796</c:v>
                </c:pt>
                <c:pt idx="759">
                  <c:v>250.47784535186796</c:v>
                </c:pt>
                <c:pt idx="760">
                  <c:v>250.47784535186796</c:v>
                </c:pt>
                <c:pt idx="761">
                  <c:v>250.56472632493484</c:v>
                </c:pt>
                <c:pt idx="762">
                  <c:v>244.00521285838403</c:v>
                </c:pt>
                <c:pt idx="763">
                  <c:v>249.86967854039966</c:v>
                </c:pt>
                <c:pt idx="764">
                  <c:v>249.56559513466553</c:v>
                </c:pt>
                <c:pt idx="765">
                  <c:v>246.1772371850565</c:v>
                </c:pt>
                <c:pt idx="766">
                  <c:v>246.1772371850565</c:v>
                </c:pt>
                <c:pt idx="767">
                  <c:v>246.1772371850565</c:v>
                </c:pt>
                <c:pt idx="768">
                  <c:v>248.95742832319723</c:v>
                </c:pt>
                <c:pt idx="769">
                  <c:v>249.86967854039966</c:v>
                </c:pt>
                <c:pt idx="770">
                  <c:v>253.12771503040835</c:v>
                </c:pt>
                <c:pt idx="771">
                  <c:v>232.68896611642052</c:v>
                </c:pt>
                <c:pt idx="772">
                  <c:v>236.88097306689838</c:v>
                </c:pt>
                <c:pt idx="773">
                  <c:v>236.88097306689838</c:v>
                </c:pt>
                <c:pt idx="774">
                  <c:v>236.88097306689838</c:v>
                </c:pt>
                <c:pt idx="775">
                  <c:v>240.616854908775</c:v>
                </c:pt>
                <c:pt idx="776">
                  <c:v>233.62293657688969</c:v>
                </c:pt>
                <c:pt idx="777">
                  <c:v>233.62293657688969</c:v>
                </c:pt>
                <c:pt idx="778">
                  <c:v>231.14682884448308</c:v>
                </c:pt>
                <c:pt idx="779">
                  <c:v>234.70894874022591</c:v>
                </c:pt>
                <c:pt idx="780">
                  <c:v>234.70894874022591</c:v>
                </c:pt>
                <c:pt idx="781">
                  <c:v>234.70894874022591</c:v>
                </c:pt>
                <c:pt idx="782">
                  <c:v>239.37880104257167</c:v>
                </c:pt>
                <c:pt idx="783">
                  <c:v>240.74717636837534</c:v>
                </c:pt>
                <c:pt idx="784">
                  <c:v>240.74717636837534</c:v>
                </c:pt>
                <c:pt idx="785">
                  <c:v>240.66029539530845</c:v>
                </c:pt>
                <c:pt idx="786">
                  <c:v>239.18331885317116</c:v>
                </c:pt>
                <c:pt idx="787">
                  <c:v>239.18331885317116</c:v>
                </c:pt>
                <c:pt idx="788">
                  <c:v>239.18331885317116</c:v>
                </c:pt>
                <c:pt idx="789">
                  <c:v>236.88097306689838</c:v>
                </c:pt>
                <c:pt idx="790">
                  <c:v>230.40834057341445</c:v>
                </c:pt>
                <c:pt idx="791">
                  <c:v>230.23457862728063</c:v>
                </c:pt>
                <c:pt idx="792">
                  <c:v>229.97393570807992</c:v>
                </c:pt>
                <c:pt idx="793">
                  <c:v>222.4152910512598</c:v>
                </c:pt>
                <c:pt idx="794">
                  <c:v>222.4152910512598</c:v>
                </c:pt>
                <c:pt idx="795">
                  <c:v>222.4152910512598</c:v>
                </c:pt>
                <c:pt idx="796">
                  <c:v>221.41615986099046</c:v>
                </c:pt>
                <c:pt idx="797">
                  <c:v>213.98783666377062</c:v>
                </c:pt>
                <c:pt idx="798">
                  <c:v>206.1685490877498</c:v>
                </c:pt>
                <c:pt idx="799">
                  <c:v>201.7810599478714</c:v>
                </c:pt>
                <c:pt idx="800">
                  <c:v>208.2102519548219</c:v>
                </c:pt>
                <c:pt idx="801">
                  <c:v>208.2102519548219</c:v>
                </c:pt>
                <c:pt idx="802">
                  <c:v>208.2102519548219</c:v>
                </c:pt>
                <c:pt idx="803">
                  <c:v>202.51954821894006</c:v>
                </c:pt>
                <c:pt idx="804">
                  <c:v>201.12945264986965</c:v>
                </c:pt>
                <c:pt idx="805">
                  <c:v>196.4813205907906</c:v>
                </c:pt>
                <c:pt idx="806">
                  <c:v>201.52041702867072</c:v>
                </c:pt>
                <c:pt idx="807">
                  <c:v>206.38575152041702</c:v>
                </c:pt>
                <c:pt idx="808">
                  <c:v>206.38575152041702</c:v>
                </c:pt>
                <c:pt idx="809">
                  <c:v>206.38575152041702</c:v>
                </c:pt>
                <c:pt idx="810">
                  <c:v>209.20938314509124</c:v>
                </c:pt>
                <c:pt idx="811">
                  <c:v>209.20938314509124</c:v>
                </c:pt>
                <c:pt idx="812">
                  <c:v>202.93223284100782</c:v>
                </c:pt>
                <c:pt idx="813">
                  <c:v>206.4291920069505</c:v>
                </c:pt>
                <c:pt idx="814">
                  <c:v>199.26151172893137</c:v>
                </c:pt>
                <c:pt idx="815">
                  <c:v>199.26151172893137</c:v>
                </c:pt>
                <c:pt idx="816">
                  <c:v>199.26151172893137</c:v>
                </c:pt>
                <c:pt idx="817">
                  <c:v>197.87141615986098</c:v>
                </c:pt>
                <c:pt idx="818">
                  <c:v>197.9582971329279</c:v>
                </c:pt>
                <c:pt idx="819">
                  <c:v>202.34578627280624</c:v>
                </c:pt>
                <c:pt idx="820">
                  <c:v>207.73240660295394</c:v>
                </c:pt>
                <c:pt idx="821">
                  <c:v>207.25456125108602</c:v>
                </c:pt>
                <c:pt idx="822">
                  <c:v>207.25456125108602</c:v>
                </c:pt>
                <c:pt idx="823">
                  <c:v>207.25456125108602</c:v>
                </c:pt>
                <c:pt idx="824">
                  <c:v>203.30147697654212</c:v>
                </c:pt>
                <c:pt idx="825">
                  <c:v>201.12945264986965</c:v>
                </c:pt>
                <c:pt idx="826">
                  <c:v>203.73588184187662</c:v>
                </c:pt>
                <c:pt idx="827">
                  <c:v>200.95569070373588</c:v>
                </c:pt>
                <c:pt idx="828">
                  <c:v>204.99565595134666</c:v>
                </c:pt>
                <c:pt idx="829">
                  <c:v>204.99565595134666</c:v>
                </c:pt>
                <c:pt idx="830">
                  <c:v>204.99565595134666</c:v>
                </c:pt>
                <c:pt idx="831">
                  <c:v>210.251954821894</c:v>
                </c:pt>
                <c:pt idx="832">
                  <c:v>207.12423979148568</c:v>
                </c:pt>
                <c:pt idx="833">
                  <c:v>211.46828844483059</c:v>
                </c:pt>
                <c:pt idx="834">
                  <c:v>215.42137271937446</c:v>
                </c:pt>
                <c:pt idx="835">
                  <c:v>210.16507384882712</c:v>
                </c:pt>
                <c:pt idx="836">
                  <c:v>210.16507384882712</c:v>
                </c:pt>
                <c:pt idx="837">
                  <c:v>210.16507384882712</c:v>
                </c:pt>
                <c:pt idx="838">
                  <c:v>206.55951346655081</c:v>
                </c:pt>
                <c:pt idx="839">
                  <c:v>207.99304952215465</c:v>
                </c:pt>
                <c:pt idx="840">
                  <c:v>208.99218071242399</c:v>
                </c:pt>
                <c:pt idx="841">
                  <c:v>211.51172893136402</c:v>
                </c:pt>
                <c:pt idx="842">
                  <c:v>208.6446568201564</c:v>
                </c:pt>
                <c:pt idx="843">
                  <c:v>208.6446568201564</c:v>
                </c:pt>
                <c:pt idx="844">
                  <c:v>208.6446568201564</c:v>
                </c:pt>
                <c:pt idx="845">
                  <c:v>204.60469157254565</c:v>
                </c:pt>
                <c:pt idx="846">
                  <c:v>194.00521285838403</c:v>
                </c:pt>
                <c:pt idx="847">
                  <c:v>194.00521285838403</c:v>
                </c:pt>
                <c:pt idx="848">
                  <c:v>196.43788010425715</c:v>
                </c:pt>
                <c:pt idx="849">
                  <c:v>188.83579496090357</c:v>
                </c:pt>
                <c:pt idx="850">
                  <c:v>188.83579496090357</c:v>
                </c:pt>
                <c:pt idx="851">
                  <c:v>188.83579496090357</c:v>
                </c:pt>
                <c:pt idx="852">
                  <c:v>197.65421372719373</c:v>
                </c:pt>
                <c:pt idx="853">
                  <c:v>196.17723718505647</c:v>
                </c:pt>
                <c:pt idx="854">
                  <c:v>201.80278019113814</c:v>
                </c:pt>
                <c:pt idx="855">
                  <c:v>194.874022589053</c:v>
                </c:pt>
                <c:pt idx="856">
                  <c:v>195.91659426585579</c:v>
                </c:pt>
                <c:pt idx="857">
                  <c:v>195.91659426585579</c:v>
                </c:pt>
                <c:pt idx="858">
                  <c:v>195.91659426585579</c:v>
                </c:pt>
                <c:pt idx="859">
                  <c:v>188.01042571676803</c:v>
                </c:pt>
                <c:pt idx="860">
                  <c:v>186.25108601216334</c:v>
                </c:pt>
                <c:pt idx="861">
                  <c:v>185.20851433536055</c:v>
                </c:pt>
                <c:pt idx="862">
                  <c:v>191.83318853171153</c:v>
                </c:pt>
                <c:pt idx="863">
                  <c:v>193.52736750651607</c:v>
                </c:pt>
                <c:pt idx="864">
                  <c:v>193.52736750651607</c:v>
                </c:pt>
                <c:pt idx="865">
                  <c:v>193.52736750651607</c:v>
                </c:pt>
                <c:pt idx="866">
                  <c:v>188.79235447437011</c:v>
                </c:pt>
                <c:pt idx="867">
                  <c:v>182.36316246741961</c:v>
                </c:pt>
                <c:pt idx="868">
                  <c:v>183.75325803649</c:v>
                </c:pt>
                <c:pt idx="869">
                  <c:v>186.14248479582974</c:v>
                </c:pt>
                <c:pt idx="870">
                  <c:v>187.70634231103389</c:v>
                </c:pt>
                <c:pt idx="871">
                  <c:v>187.70634231103389</c:v>
                </c:pt>
                <c:pt idx="872">
                  <c:v>187.70634231103389</c:v>
                </c:pt>
                <c:pt idx="873">
                  <c:v>211.120764552563</c:v>
                </c:pt>
                <c:pt idx="874">
                  <c:v>214.90008688097308</c:v>
                </c:pt>
                <c:pt idx="875">
                  <c:v>210.72980017376196</c:v>
                </c:pt>
                <c:pt idx="876">
                  <c:v>215.46481320590792</c:v>
                </c:pt>
                <c:pt idx="877">
                  <c:v>213.55343179843612</c:v>
                </c:pt>
                <c:pt idx="878">
                  <c:v>213.55343179843612</c:v>
                </c:pt>
                <c:pt idx="879">
                  <c:v>213.55343179843612</c:v>
                </c:pt>
                <c:pt idx="880">
                  <c:v>216.4205039096438</c:v>
                </c:pt>
                <c:pt idx="881">
                  <c:v>219.28757602085142</c:v>
                </c:pt>
                <c:pt idx="882">
                  <c:v>220.85143353605562</c:v>
                </c:pt>
                <c:pt idx="883">
                  <c:v>217.85403996524758</c:v>
                </c:pt>
                <c:pt idx="884">
                  <c:v>219.37445699391836</c:v>
                </c:pt>
                <c:pt idx="885">
                  <c:v>219.37445699391836</c:v>
                </c:pt>
                <c:pt idx="886">
                  <c:v>219.37445699391836</c:v>
                </c:pt>
                <c:pt idx="887">
                  <c:v>219.11381407471762</c:v>
                </c:pt>
                <c:pt idx="888">
                  <c:v>219.28757602085142</c:v>
                </c:pt>
                <c:pt idx="889">
                  <c:v>214.55256298870546</c:v>
                </c:pt>
                <c:pt idx="890">
                  <c:v>213.42311033883581</c:v>
                </c:pt>
                <c:pt idx="891">
                  <c:v>212.72806255430061</c:v>
                </c:pt>
                <c:pt idx="892">
                  <c:v>212.72806255430061</c:v>
                </c:pt>
                <c:pt idx="893">
                  <c:v>212.72806255430061</c:v>
                </c:pt>
                <c:pt idx="894">
                  <c:v>212.98870547350131</c:v>
                </c:pt>
                <c:pt idx="895">
                  <c:v>203.3449174630756</c:v>
                </c:pt>
                <c:pt idx="896">
                  <c:v>195.43874891398784</c:v>
                </c:pt>
                <c:pt idx="897">
                  <c:v>196.65508253692443</c:v>
                </c:pt>
                <c:pt idx="898">
                  <c:v>196.65508253692443</c:v>
                </c:pt>
                <c:pt idx="899">
                  <c:v>196.65508253692443</c:v>
                </c:pt>
                <c:pt idx="900">
                  <c:v>196.65508253692443</c:v>
                </c:pt>
                <c:pt idx="901">
                  <c:v>194.04865334491748</c:v>
                </c:pt>
                <c:pt idx="902">
                  <c:v>187.44569939183319</c:v>
                </c:pt>
                <c:pt idx="903">
                  <c:v>184.36142484795829</c:v>
                </c:pt>
                <c:pt idx="904">
                  <c:v>188.66203301476975</c:v>
                </c:pt>
                <c:pt idx="905">
                  <c:v>186.62033014769764</c:v>
                </c:pt>
                <c:pt idx="906">
                  <c:v>186.62033014769764</c:v>
                </c:pt>
                <c:pt idx="907">
                  <c:v>186.62033014769764</c:v>
                </c:pt>
                <c:pt idx="908">
                  <c:v>194.52649869678541</c:v>
                </c:pt>
                <c:pt idx="909">
                  <c:v>191.87662901824501</c:v>
                </c:pt>
                <c:pt idx="910">
                  <c:v>192.13727193744569</c:v>
                </c:pt>
                <c:pt idx="911">
                  <c:v>195.52562988705472</c:v>
                </c:pt>
                <c:pt idx="912">
                  <c:v>189.18331885317116</c:v>
                </c:pt>
                <c:pt idx="913">
                  <c:v>189.18331885317116</c:v>
                </c:pt>
                <c:pt idx="914">
                  <c:v>189.18331885317116</c:v>
                </c:pt>
                <c:pt idx="915">
                  <c:v>183.49261511728932</c:v>
                </c:pt>
                <c:pt idx="916">
                  <c:v>182.62380538662032</c:v>
                </c:pt>
                <c:pt idx="917">
                  <c:v>191.87662901824501</c:v>
                </c:pt>
                <c:pt idx="918">
                  <c:v>183.01476976542139</c:v>
                </c:pt>
                <c:pt idx="919">
                  <c:v>180.36490008688099</c:v>
                </c:pt>
                <c:pt idx="920">
                  <c:v>180.36490008688099</c:v>
                </c:pt>
                <c:pt idx="921">
                  <c:v>180.36490008688099</c:v>
                </c:pt>
                <c:pt idx="922">
                  <c:v>185.18679409209383</c:v>
                </c:pt>
                <c:pt idx="923">
                  <c:v>181.3640312771503</c:v>
                </c:pt>
                <c:pt idx="924">
                  <c:v>185.14335360556038</c:v>
                </c:pt>
                <c:pt idx="925">
                  <c:v>182.18940052128582</c:v>
                </c:pt>
                <c:pt idx="926">
                  <c:v>191.48566463944397</c:v>
                </c:pt>
                <c:pt idx="927">
                  <c:v>191.48566463944397</c:v>
                </c:pt>
                <c:pt idx="928">
                  <c:v>191.48566463944397</c:v>
                </c:pt>
                <c:pt idx="929">
                  <c:v>189.40052128583841</c:v>
                </c:pt>
                <c:pt idx="930">
                  <c:v>195.00434404865334</c:v>
                </c:pt>
                <c:pt idx="931">
                  <c:v>206.1685490877498</c:v>
                </c:pt>
                <c:pt idx="932">
                  <c:v>203.38835794960906</c:v>
                </c:pt>
                <c:pt idx="933">
                  <c:v>206.29887054735013</c:v>
                </c:pt>
                <c:pt idx="934">
                  <c:v>206.29887054735013</c:v>
                </c:pt>
                <c:pt idx="935">
                  <c:v>206.29887054735013</c:v>
                </c:pt>
                <c:pt idx="936">
                  <c:v>207.51520417028669</c:v>
                </c:pt>
                <c:pt idx="937">
                  <c:v>208.4708948740226</c:v>
                </c:pt>
                <c:pt idx="938">
                  <c:v>203.95308427454387</c:v>
                </c:pt>
                <c:pt idx="939">
                  <c:v>204.99565595134666</c:v>
                </c:pt>
                <c:pt idx="940">
                  <c:v>197.74109470026067</c:v>
                </c:pt>
                <c:pt idx="941">
                  <c:v>197.74109470026067</c:v>
                </c:pt>
                <c:pt idx="942">
                  <c:v>197.74109470026067</c:v>
                </c:pt>
                <c:pt idx="943">
                  <c:v>194.04865334491748</c:v>
                </c:pt>
                <c:pt idx="944">
                  <c:v>188.40139009556907</c:v>
                </c:pt>
                <c:pt idx="945">
                  <c:v>187.05473501303217</c:v>
                </c:pt>
                <c:pt idx="946">
                  <c:v>192.87576020851432</c:v>
                </c:pt>
                <c:pt idx="947">
                  <c:v>193.35360556038228</c:v>
                </c:pt>
                <c:pt idx="948">
                  <c:v>193.35360556038228</c:v>
                </c:pt>
                <c:pt idx="949">
                  <c:v>193.35360556038228</c:v>
                </c:pt>
                <c:pt idx="950">
                  <c:v>188.879235447437</c:v>
                </c:pt>
                <c:pt idx="951">
                  <c:v>186.35968722849697</c:v>
                </c:pt>
                <c:pt idx="952">
                  <c:v>179.62641181581233</c:v>
                </c:pt>
                <c:pt idx="953">
                  <c:v>175.5430060816681</c:v>
                </c:pt>
                <c:pt idx="954">
                  <c:v>171.24239791485664</c:v>
                </c:pt>
                <c:pt idx="955">
                  <c:v>171.24239791485664</c:v>
                </c:pt>
                <c:pt idx="956">
                  <c:v>171.24239791485664</c:v>
                </c:pt>
                <c:pt idx="957">
                  <c:v>171.9808861859253</c:v>
                </c:pt>
                <c:pt idx="958">
                  <c:v>171.9808861859253</c:v>
                </c:pt>
                <c:pt idx="959">
                  <c:v>172.02432667245876</c:v>
                </c:pt>
                <c:pt idx="960">
                  <c:v>174.23979148566465</c:v>
                </c:pt>
                <c:pt idx="961">
                  <c:v>167.63683753258039</c:v>
                </c:pt>
                <c:pt idx="962">
                  <c:v>167.63683753258039</c:v>
                </c:pt>
                <c:pt idx="963">
                  <c:v>167.63683753258039</c:v>
                </c:pt>
                <c:pt idx="964">
                  <c:v>165.377932232841</c:v>
                </c:pt>
                <c:pt idx="965">
                  <c:v>160.90356211989572</c:v>
                </c:pt>
                <c:pt idx="966">
                  <c:v>141.96350999131192</c:v>
                </c:pt>
                <c:pt idx="967">
                  <c:v>144.17897480451779</c:v>
                </c:pt>
                <c:pt idx="968">
                  <c:v>144.43961772371853</c:v>
                </c:pt>
                <c:pt idx="969">
                  <c:v>144.43961772371853</c:v>
                </c:pt>
                <c:pt idx="970">
                  <c:v>144.43961772371853</c:v>
                </c:pt>
                <c:pt idx="971">
                  <c:v>148.34926151172894</c:v>
                </c:pt>
                <c:pt idx="972">
                  <c:v>147.43701129452649</c:v>
                </c:pt>
                <c:pt idx="973">
                  <c:v>148.95742832319723</c:v>
                </c:pt>
                <c:pt idx="974">
                  <c:v>140.87749782797567</c:v>
                </c:pt>
                <c:pt idx="975">
                  <c:v>141.87662901824498</c:v>
                </c:pt>
                <c:pt idx="976">
                  <c:v>141.87662901824498</c:v>
                </c:pt>
                <c:pt idx="977">
                  <c:v>141.87662901824498</c:v>
                </c:pt>
                <c:pt idx="978">
                  <c:v>145.00434404865337</c:v>
                </c:pt>
                <c:pt idx="979">
                  <c:v>143.17984361424848</c:v>
                </c:pt>
                <c:pt idx="980">
                  <c:v>151.34665508253696</c:v>
                </c:pt>
                <c:pt idx="981">
                  <c:v>151.7810599478714</c:v>
                </c:pt>
                <c:pt idx="982">
                  <c:v>147.65421372719376</c:v>
                </c:pt>
                <c:pt idx="983">
                  <c:v>147.65421372719376</c:v>
                </c:pt>
                <c:pt idx="984">
                  <c:v>147.65421372719376</c:v>
                </c:pt>
                <c:pt idx="985">
                  <c:v>145.39530842745438</c:v>
                </c:pt>
                <c:pt idx="986">
                  <c:v>144.83058210251954</c:v>
                </c:pt>
                <c:pt idx="987">
                  <c:v>149.82623805386621</c:v>
                </c:pt>
                <c:pt idx="988">
                  <c:v>142.00695047784535</c:v>
                </c:pt>
                <c:pt idx="989">
                  <c:v>141.65942658557776</c:v>
                </c:pt>
                <c:pt idx="990">
                  <c:v>141.65942658557776</c:v>
                </c:pt>
                <c:pt idx="991">
                  <c:v>141.65942658557776</c:v>
                </c:pt>
                <c:pt idx="992">
                  <c:v>144.74370112945266</c:v>
                </c:pt>
                <c:pt idx="993">
                  <c:v>144.61337966985229</c:v>
                </c:pt>
                <c:pt idx="994">
                  <c:v>143.09296264118157</c:v>
                </c:pt>
                <c:pt idx="995">
                  <c:v>147.69765421372719</c:v>
                </c:pt>
                <c:pt idx="996">
                  <c:v>147.69765421372719</c:v>
                </c:pt>
                <c:pt idx="997">
                  <c:v>147.69765421372719</c:v>
                </c:pt>
                <c:pt idx="998">
                  <c:v>147.69765421372719</c:v>
                </c:pt>
                <c:pt idx="999">
                  <c:v>146.91572545612513</c:v>
                </c:pt>
                <c:pt idx="1000">
                  <c:v>150.86880973066897</c:v>
                </c:pt>
                <c:pt idx="1001">
                  <c:v>154.82189400521287</c:v>
                </c:pt>
                <c:pt idx="1002">
                  <c:v>150.39096437880104</c:v>
                </c:pt>
                <c:pt idx="1003">
                  <c:v>156.64639443961775</c:v>
                </c:pt>
                <c:pt idx="1004">
                  <c:v>156.64639443961775</c:v>
                </c:pt>
                <c:pt idx="1005">
                  <c:v>156.64639443961775</c:v>
                </c:pt>
                <c:pt idx="1006">
                  <c:v>162.07645525629889</c:v>
                </c:pt>
                <c:pt idx="1007">
                  <c:v>166.85490877497827</c:v>
                </c:pt>
                <c:pt idx="1008">
                  <c:v>167.28931364031277</c:v>
                </c:pt>
                <c:pt idx="1009">
                  <c:v>162.38053866203305</c:v>
                </c:pt>
                <c:pt idx="1010">
                  <c:v>169.15725456125108</c:v>
                </c:pt>
                <c:pt idx="1011">
                  <c:v>169.15725456125108</c:v>
                </c:pt>
                <c:pt idx="1012">
                  <c:v>169.15725456125108</c:v>
                </c:pt>
                <c:pt idx="1013">
                  <c:v>170.59079061685492</c:v>
                </c:pt>
                <c:pt idx="1014">
                  <c:v>172.67593397046048</c:v>
                </c:pt>
                <c:pt idx="1015">
                  <c:v>174.89139878366638</c:v>
                </c:pt>
                <c:pt idx="1016">
                  <c:v>183.01476976542139</c:v>
                </c:pt>
                <c:pt idx="1017">
                  <c:v>188.22762814943528</c:v>
                </c:pt>
                <c:pt idx="1018">
                  <c:v>188.22762814943528</c:v>
                </c:pt>
                <c:pt idx="1019">
                  <c:v>188.22762814943528</c:v>
                </c:pt>
                <c:pt idx="1020">
                  <c:v>184.8827106863597</c:v>
                </c:pt>
                <c:pt idx="1021">
                  <c:v>182.01563857515202</c:v>
                </c:pt>
                <c:pt idx="1022">
                  <c:v>182.71068635968723</c:v>
                </c:pt>
                <c:pt idx="1023">
                  <c:v>182.92788879235445</c:v>
                </c:pt>
                <c:pt idx="1024">
                  <c:v>182.88444830582105</c:v>
                </c:pt>
                <c:pt idx="1025">
                  <c:v>182.88444830582105</c:v>
                </c:pt>
                <c:pt idx="1026">
                  <c:v>182.88444830582105</c:v>
                </c:pt>
                <c:pt idx="1027">
                  <c:v>185.70807993049522</c:v>
                </c:pt>
                <c:pt idx="1028">
                  <c:v>186.9244135534318</c:v>
                </c:pt>
                <c:pt idx="1029">
                  <c:v>185.79496090356213</c:v>
                </c:pt>
                <c:pt idx="1030">
                  <c:v>188.53171155516941</c:v>
                </c:pt>
                <c:pt idx="1031">
                  <c:v>188.53171155516941</c:v>
                </c:pt>
                <c:pt idx="1032">
                  <c:v>188.53171155516941</c:v>
                </c:pt>
                <c:pt idx="1033">
                  <c:v>188.53171155516941</c:v>
                </c:pt>
                <c:pt idx="1034">
                  <c:v>188.53171155516941</c:v>
                </c:pt>
                <c:pt idx="1035">
                  <c:v>187.44569939183319</c:v>
                </c:pt>
                <c:pt idx="1036">
                  <c:v>185.75152041702867</c:v>
                </c:pt>
                <c:pt idx="1037">
                  <c:v>181.66811468288446</c:v>
                </c:pt>
                <c:pt idx="1038">
                  <c:v>182.49348392701998</c:v>
                </c:pt>
                <c:pt idx="1039">
                  <c:v>182.49348392701998</c:v>
                </c:pt>
                <c:pt idx="1040">
                  <c:v>182.49348392701998</c:v>
                </c:pt>
                <c:pt idx="1041">
                  <c:v>183.66637706342311</c:v>
                </c:pt>
                <c:pt idx="1042">
                  <c:v>183.18853171155519</c:v>
                </c:pt>
                <c:pt idx="1043">
                  <c:v>181.23370981754996</c:v>
                </c:pt>
                <c:pt idx="1044">
                  <c:v>186.35968722849697</c:v>
                </c:pt>
                <c:pt idx="1045">
                  <c:v>188.18418766290185</c:v>
                </c:pt>
                <c:pt idx="1046">
                  <c:v>188.18418766290185</c:v>
                </c:pt>
                <c:pt idx="1047">
                  <c:v>188.18418766290185</c:v>
                </c:pt>
                <c:pt idx="1048">
                  <c:v>186.31624674196351</c:v>
                </c:pt>
                <c:pt idx="1049">
                  <c:v>190.70373588184188</c:v>
                </c:pt>
                <c:pt idx="1050">
                  <c:v>184.36142484795829</c:v>
                </c:pt>
                <c:pt idx="1051">
                  <c:v>183.53605560382275</c:v>
                </c:pt>
                <c:pt idx="1052">
                  <c:v>179.53953084274542</c:v>
                </c:pt>
                <c:pt idx="1053">
                  <c:v>179.53953084274542</c:v>
                </c:pt>
                <c:pt idx="1054">
                  <c:v>179.53953084274542</c:v>
                </c:pt>
                <c:pt idx="1055">
                  <c:v>170.89487402258908</c:v>
                </c:pt>
                <c:pt idx="1056">
                  <c:v>170.41702867072109</c:v>
                </c:pt>
                <c:pt idx="1057">
                  <c:v>175.15204170286708</c:v>
                </c:pt>
                <c:pt idx="1058">
                  <c:v>176.15117289313639</c:v>
                </c:pt>
                <c:pt idx="1059">
                  <c:v>180.79930495221546</c:v>
                </c:pt>
                <c:pt idx="1060">
                  <c:v>180.79930495221546</c:v>
                </c:pt>
                <c:pt idx="1061">
                  <c:v>180.79930495221546</c:v>
                </c:pt>
                <c:pt idx="1062">
                  <c:v>191.09470026064292</c:v>
                </c:pt>
                <c:pt idx="1063">
                  <c:v>174.32667245873154</c:v>
                </c:pt>
                <c:pt idx="1064">
                  <c:v>175.36924413553433</c:v>
                </c:pt>
                <c:pt idx="1065">
                  <c:v>172.06776715899218</c:v>
                </c:pt>
                <c:pt idx="1066">
                  <c:v>171.76368375325802</c:v>
                </c:pt>
                <c:pt idx="1067">
                  <c:v>171.76368375325802</c:v>
                </c:pt>
                <c:pt idx="1068">
                  <c:v>171.76368375325802</c:v>
                </c:pt>
                <c:pt idx="1069">
                  <c:v>166.85490877497827</c:v>
                </c:pt>
                <c:pt idx="1070">
                  <c:v>168.67940920938312</c:v>
                </c:pt>
                <c:pt idx="1071">
                  <c:v>170.50390964378801</c:v>
                </c:pt>
                <c:pt idx="1072">
                  <c:v>169.54821894005215</c:v>
                </c:pt>
                <c:pt idx="1073">
                  <c:v>167.89748045178106</c:v>
                </c:pt>
                <c:pt idx="1074">
                  <c:v>167.89748045178106</c:v>
                </c:pt>
                <c:pt idx="1075">
                  <c:v>167.89748045178106</c:v>
                </c:pt>
                <c:pt idx="1076">
                  <c:v>164.33536055603821</c:v>
                </c:pt>
                <c:pt idx="1077">
                  <c:v>164.76976542137271</c:v>
                </c:pt>
                <c:pt idx="1078">
                  <c:v>173.71850564726324</c:v>
                </c:pt>
                <c:pt idx="1079">
                  <c:v>178.36663770634235</c:v>
                </c:pt>
                <c:pt idx="1080">
                  <c:v>180.62554300608167</c:v>
                </c:pt>
                <c:pt idx="1081">
                  <c:v>180.62554300608167</c:v>
                </c:pt>
                <c:pt idx="1082">
                  <c:v>180.62554300608167</c:v>
                </c:pt>
                <c:pt idx="1083">
                  <c:v>177.58470894874023</c:v>
                </c:pt>
                <c:pt idx="1084">
                  <c:v>179.49609035621199</c:v>
                </c:pt>
                <c:pt idx="1085">
                  <c:v>186.62033014769764</c:v>
                </c:pt>
                <c:pt idx="1086">
                  <c:v>185.70807993049522</c:v>
                </c:pt>
                <c:pt idx="1087">
                  <c:v>184.92615117289316</c:v>
                </c:pt>
                <c:pt idx="1088">
                  <c:v>184.92615117289316</c:v>
                </c:pt>
                <c:pt idx="1089">
                  <c:v>184.92615117289316</c:v>
                </c:pt>
                <c:pt idx="1090">
                  <c:v>180.40834057341445</c:v>
                </c:pt>
                <c:pt idx="1091">
                  <c:v>183.36229365768898</c:v>
                </c:pt>
                <c:pt idx="1092">
                  <c:v>182.27628149435276</c:v>
                </c:pt>
                <c:pt idx="1093">
                  <c:v>182.4066029539531</c:v>
                </c:pt>
                <c:pt idx="1094">
                  <c:v>182.4066029539531</c:v>
                </c:pt>
                <c:pt idx="1095">
                  <c:v>182.4066029539531</c:v>
                </c:pt>
                <c:pt idx="1096">
                  <c:v>182.4066029539531</c:v>
                </c:pt>
                <c:pt idx="1097">
                  <c:v>183.44917463075586</c:v>
                </c:pt>
                <c:pt idx="1098">
                  <c:v>181.05994787141617</c:v>
                </c:pt>
                <c:pt idx="1099">
                  <c:v>175.49956559513467</c:v>
                </c:pt>
                <c:pt idx="1100">
                  <c:v>167.59339704604693</c:v>
                </c:pt>
                <c:pt idx="1101">
                  <c:v>167.59339704604693</c:v>
                </c:pt>
                <c:pt idx="1102">
                  <c:v>167.59339704604693</c:v>
                </c:pt>
                <c:pt idx="1103">
                  <c:v>167.59339704604693</c:v>
                </c:pt>
                <c:pt idx="1104">
                  <c:v>171.06863596872287</c:v>
                </c:pt>
                <c:pt idx="1105">
                  <c:v>180.36490008688099</c:v>
                </c:pt>
                <c:pt idx="1106">
                  <c:v>171.02519548218939</c:v>
                </c:pt>
                <c:pt idx="1107">
                  <c:v>171.45960034752389</c:v>
                </c:pt>
                <c:pt idx="1108">
                  <c:v>172.02432667245876</c:v>
                </c:pt>
                <c:pt idx="1109">
                  <c:v>172.02432667245876</c:v>
                </c:pt>
                <c:pt idx="1110">
                  <c:v>172.02432667245876</c:v>
                </c:pt>
                <c:pt idx="1111">
                  <c:v>166.02953953084273</c:v>
                </c:pt>
                <c:pt idx="1112">
                  <c:v>166.11642050390964</c:v>
                </c:pt>
                <c:pt idx="1113">
                  <c:v>162.42397914856647</c:v>
                </c:pt>
                <c:pt idx="1114">
                  <c:v>165.42137271937446</c:v>
                </c:pt>
                <c:pt idx="1115">
                  <c:v>169.24413553431799</c:v>
                </c:pt>
                <c:pt idx="1116">
                  <c:v>169.24413553431799</c:v>
                </c:pt>
                <c:pt idx="1117">
                  <c:v>169.24413553431799</c:v>
                </c:pt>
                <c:pt idx="1118">
                  <c:v>158.94874022589053</c:v>
                </c:pt>
                <c:pt idx="1119">
                  <c:v>148.74022589052998</c:v>
                </c:pt>
                <c:pt idx="1120">
                  <c:v>147.13292788879235</c:v>
                </c:pt>
                <c:pt idx="1121">
                  <c:v>155.34317984361422</c:v>
                </c:pt>
                <c:pt idx="1122">
                  <c:v>155.34317984361422</c:v>
                </c:pt>
                <c:pt idx="1123">
                  <c:v>155.34317984361422</c:v>
                </c:pt>
                <c:pt idx="1124">
                  <c:v>155.34317984361422</c:v>
                </c:pt>
                <c:pt idx="1125">
                  <c:v>147.17636837532581</c:v>
                </c:pt>
                <c:pt idx="1126">
                  <c:v>145.87315377932234</c:v>
                </c:pt>
                <c:pt idx="1127">
                  <c:v>147.65421372719376</c:v>
                </c:pt>
                <c:pt idx="1128">
                  <c:v>150.60816681146829</c:v>
                </c:pt>
                <c:pt idx="1129">
                  <c:v>156.42919200695047</c:v>
                </c:pt>
                <c:pt idx="1130">
                  <c:v>156.42919200695047</c:v>
                </c:pt>
                <c:pt idx="1131">
                  <c:v>156.42919200695047</c:v>
                </c:pt>
                <c:pt idx="1132">
                  <c:v>155.99478714161597</c:v>
                </c:pt>
                <c:pt idx="1133">
                  <c:v>153.95308427454387</c:v>
                </c:pt>
                <c:pt idx="1134">
                  <c:v>146.56820156385751</c:v>
                </c:pt>
                <c:pt idx="1135">
                  <c:v>147.69765421372719</c:v>
                </c:pt>
                <c:pt idx="1136">
                  <c:v>142.05039096437881</c:v>
                </c:pt>
                <c:pt idx="1137">
                  <c:v>142.05039096437881</c:v>
                </c:pt>
                <c:pt idx="1138">
                  <c:v>142.05039096437881</c:v>
                </c:pt>
                <c:pt idx="1139">
                  <c:v>134.66550825369242</c:v>
                </c:pt>
                <c:pt idx="1140">
                  <c:v>142.26759339704606</c:v>
                </c:pt>
                <c:pt idx="1141">
                  <c:v>137.83666377063423</c:v>
                </c:pt>
                <c:pt idx="1142">
                  <c:v>137.83666377063423</c:v>
                </c:pt>
                <c:pt idx="1143">
                  <c:v>137.14161598609905</c:v>
                </c:pt>
                <c:pt idx="1144">
                  <c:v>137.14161598609905</c:v>
                </c:pt>
                <c:pt idx="1145">
                  <c:v>137.14161598609905</c:v>
                </c:pt>
                <c:pt idx="1146">
                  <c:v>138.70547350130323</c:v>
                </c:pt>
                <c:pt idx="1147">
                  <c:v>134.18766290182452</c:v>
                </c:pt>
                <c:pt idx="1148">
                  <c:v>126.06429192006952</c:v>
                </c:pt>
                <c:pt idx="1149">
                  <c:v>126.06429192006952</c:v>
                </c:pt>
                <c:pt idx="1150">
                  <c:v>131.71155516941789</c:v>
                </c:pt>
                <c:pt idx="1151">
                  <c:v>131.71155516941789</c:v>
                </c:pt>
                <c:pt idx="1152">
                  <c:v>131.71155516941789</c:v>
                </c:pt>
                <c:pt idx="1153">
                  <c:v>135.88184187662901</c:v>
                </c:pt>
                <c:pt idx="1154">
                  <c:v>136.44656820156388</c:v>
                </c:pt>
                <c:pt idx="1155">
                  <c:v>148.17549956559512</c:v>
                </c:pt>
                <c:pt idx="1156">
                  <c:v>147.17636837532581</c:v>
                </c:pt>
                <c:pt idx="1157">
                  <c:v>148.56646394439619</c:v>
                </c:pt>
                <c:pt idx="1158">
                  <c:v>148.56646394439619</c:v>
                </c:pt>
                <c:pt idx="1159">
                  <c:v>148.56646394439619</c:v>
                </c:pt>
                <c:pt idx="1160">
                  <c:v>152.12858384013904</c:v>
                </c:pt>
                <c:pt idx="1161">
                  <c:v>156.51607298001738</c:v>
                </c:pt>
                <c:pt idx="1162">
                  <c:v>152.95395308427456</c:v>
                </c:pt>
                <c:pt idx="1163">
                  <c:v>151.17289313640313</c:v>
                </c:pt>
                <c:pt idx="1164">
                  <c:v>153.38835794960906</c:v>
                </c:pt>
                <c:pt idx="1165">
                  <c:v>153.38835794960906</c:v>
                </c:pt>
                <c:pt idx="1166">
                  <c:v>153.38835794960906</c:v>
                </c:pt>
                <c:pt idx="1167">
                  <c:v>163.64031277150306</c:v>
                </c:pt>
                <c:pt idx="1168">
                  <c:v>160.20851433536058</c:v>
                </c:pt>
                <c:pt idx="1169">
                  <c:v>160.20851433536058</c:v>
                </c:pt>
                <c:pt idx="1170">
                  <c:v>173.89226759339707</c:v>
                </c:pt>
                <c:pt idx="1171">
                  <c:v>167.50651607298005</c:v>
                </c:pt>
                <c:pt idx="1172">
                  <c:v>167.50651607298005</c:v>
                </c:pt>
                <c:pt idx="1173">
                  <c:v>167.50651607298005</c:v>
                </c:pt>
                <c:pt idx="1174">
                  <c:v>164.6828844483058</c:v>
                </c:pt>
                <c:pt idx="1175">
                  <c:v>168.15812337098177</c:v>
                </c:pt>
                <c:pt idx="1176">
                  <c:v>160.72980017376196</c:v>
                </c:pt>
                <c:pt idx="1177">
                  <c:v>158.86185925282362</c:v>
                </c:pt>
                <c:pt idx="1178">
                  <c:v>158.12337098175499</c:v>
                </c:pt>
                <c:pt idx="1179">
                  <c:v>158.12337098175499</c:v>
                </c:pt>
                <c:pt idx="1180">
                  <c:v>158.12337098175499</c:v>
                </c:pt>
                <c:pt idx="1181">
                  <c:v>158.03649000868811</c:v>
                </c:pt>
                <c:pt idx="1182">
                  <c:v>158.03649000868811</c:v>
                </c:pt>
                <c:pt idx="1183">
                  <c:v>156.9070373588184</c:v>
                </c:pt>
                <c:pt idx="1184">
                  <c:v>159.99131190269333</c:v>
                </c:pt>
                <c:pt idx="1185">
                  <c:v>171.32927888792352</c:v>
                </c:pt>
                <c:pt idx="1186">
                  <c:v>171.32927888792352</c:v>
                </c:pt>
                <c:pt idx="1187">
                  <c:v>171.32927888792352</c:v>
                </c:pt>
                <c:pt idx="1188">
                  <c:v>173.37098175499563</c:v>
                </c:pt>
                <c:pt idx="1189">
                  <c:v>165.20417028670721</c:v>
                </c:pt>
                <c:pt idx="1190">
                  <c:v>164.42224152910515</c:v>
                </c:pt>
                <c:pt idx="1191">
                  <c:v>162.6411815812337</c:v>
                </c:pt>
                <c:pt idx="1192">
                  <c:v>169.89574283231971</c:v>
                </c:pt>
                <c:pt idx="1193">
                  <c:v>169.89574283231971</c:v>
                </c:pt>
                <c:pt idx="1194">
                  <c:v>169.89574283231971</c:v>
                </c:pt>
                <c:pt idx="1195">
                  <c:v>175.67332754126846</c:v>
                </c:pt>
                <c:pt idx="1196">
                  <c:v>177.80191138140748</c:v>
                </c:pt>
                <c:pt idx="1197">
                  <c:v>172.8931364031277</c:v>
                </c:pt>
                <c:pt idx="1198">
                  <c:v>173.41442224152911</c:v>
                </c:pt>
                <c:pt idx="1199">
                  <c:v>175.15204170286708</c:v>
                </c:pt>
                <c:pt idx="1200">
                  <c:v>175.15204170286708</c:v>
                </c:pt>
                <c:pt idx="1201">
                  <c:v>175.15204170286708</c:v>
                </c:pt>
                <c:pt idx="1202">
                  <c:v>174.28323197219808</c:v>
                </c:pt>
                <c:pt idx="1203">
                  <c:v>163.85751520417028</c:v>
                </c:pt>
                <c:pt idx="1204">
                  <c:v>156.42919200695047</c:v>
                </c:pt>
                <c:pt idx="1205">
                  <c:v>150.56472632493484</c:v>
                </c:pt>
                <c:pt idx="1206">
                  <c:v>153.77932232841007</c:v>
                </c:pt>
                <c:pt idx="1207">
                  <c:v>153.77932232841007</c:v>
                </c:pt>
                <c:pt idx="1208">
                  <c:v>153.77932232841007</c:v>
                </c:pt>
                <c:pt idx="1209">
                  <c:v>159.77410947002608</c:v>
                </c:pt>
                <c:pt idx="1210">
                  <c:v>153.90964378801041</c:v>
                </c:pt>
                <c:pt idx="1211">
                  <c:v>168.0278019113814</c:v>
                </c:pt>
                <c:pt idx="1212">
                  <c:v>172.71937445699393</c:v>
                </c:pt>
                <c:pt idx="1213">
                  <c:v>175.71676802780192</c:v>
                </c:pt>
                <c:pt idx="1214">
                  <c:v>175.71676802780192</c:v>
                </c:pt>
                <c:pt idx="1215">
                  <c:v>175.71676802780192</c:v>
                </c:pt>
                <c:pt idx="1216">
                  <c:v>179.40920938314508</c:v>
                </c:pt>
                <c:pt idx="1217">
                  <c:v>183.97046046915727</c:v>
                </c:pt>
                <c:pt idx="1218">
                  <c:v>187.70634231103389</c:v>
                </c:pt>
                <c:pt idx="1219">
                  <c:v>183.92701998262382</c:v>
                </c:pt>
                <c:pt idx="1220">
                  <c:v>184.49174630755866</c:v>
                </c:pt>
                <c:pt idx="1221">
                  <c:v>184.49174630755866</c:v>
                </c:pt>
                <c:pt idx="1222">
                  <c:v>184.49174630755866</c:v>
                </c:pt>
                <c:pt idx="1223">
                  <c:v>182.31972198088619</c:v>
                </c:pt>
                <c:pt idx="1224">
                  <c:v>180.75586446568201</c:v>
                </c:pt>
                <c:pt idx="1225">
                  <c:v>183.62293657688969</c:v>
                </c:pt>
                <c:pt idx="1226">
                  <c:v>187.0981754995656</c:v>
                </c:pt>
                <c:pt idx="1227">
                  <c:v>189.3136403127715</c:v>
                </c:pt>
                <c:pt idx="1228">
                  <c:v>189.3136403127715</c:v>
                </c:pt>
                <c:pt idx="1229">
                  <c:v>189.3136403127715</c:v>
                </c:pt>
                <c:pt idx="1230">
                  <c:v>191.83318853171153</c:v>
                </c:pt>
                <c:pt idx="1231">
                  <c:v>196.13379669852301</c:v>
                </c:pt>
                <c:pt idx="1232">
                  <c:v>198.78366637706341</c:v>
                </c:pt>
                <c:pt idx="1233">
                  <c:v>196.13379669852301</c:v>
                </c:pt>
                <c:pt idx="1234">
                  <c:v>196.4813205907906</c:v>
                </c:pt>
                <c:pt idx="1235">
                  <c:v>196.4813205907906</c:v>
                </c:pt>
                <c:pt idx="1236">
                  <c:v>196.4813205907906</c:v>
                </c:pt>
                <c:pt idx="1237">
                  <c:v>195.43874891398784</c:v>
                </c:pt>
                <c:pt idx="1238">
                  <c:v>192.6585577758471</c:v>
                </c:pt>
                <c:pt idx="1239">
                  <c:v>193.91833188531712</c:v>
                </c:pt>
                <c:pt idx="1240">
                  <c:v>196.17723718505647</c:v>
                </c:pt>
                <c:pt idx="1241">
                  <c:v>194.35273675065162</c:v>
                </c:pt>
                <c:pt idx="1242">
                  <c:v>194.35273675065162</c:v>
                </c:pt>
                <c:pt idx="1243">
                  <c:v>194.35273675065162</c:v>
                </c:pt>
                <c:pt idx="1244">
                  <c:v>200.08688097306694</c:v>
                </c:pt>
                <c:pt idx="1245">
                  <c:v>195.742832319722</c:v>
                </c:pt>
                <c:pt idx="1246">
                  <c:v>196.9157254561251</c:v>
                </c:pt>
                <c:pt idx="1247">
                  <c:v>189.3136403127715</c:v>
                </c:pt>
                <c:pt idx="1248">
                  <c:v>192.44135534317982</c:v>
                </c:pt>
                <c:pt idx="1249">
                  <c:v>192.44135534317982</c:v>
                </c:pt>
                <c:pt idx="1250">
                  <c:v>192.44135534317982</c:v>
                </c:pt>
                <c:pt idx="1251">
                  <c:v>189.48740225890529</c:v>
                </c:pt>
                <c:pt idx="1252">
                  <c:v>181.32059079061688</c:v>
                </c:pt>
                <c:pt idx="1253">
                  <c:v>189.40052128583841</c:v>
                </c:pt>
                <c:pt idx="1254">
                  <c:v>195.04778453518679</c:v>
                </c:pt>
                <c:pt idx="1255">
                  <c:v>194.874022589053</c:v>
                </c:pt>
                <c:pt idx="1256">
                  <c:v>194.874022589053</c:v>
                </c:pt>
                <c:pt idx="1257">
                  <c:v>194.874022589053</c:v>
                </c:pt>
                <c:pt idx="1258">
                  <c:v>193.96177237185057</c:v>
                </c:pt>
                <c:pt idx="1259">
                  <c:v>215.20417028670721</c:v>
                </c:pt>
                <c:pt idx="1260">
                  <c:v>225.58644656820155</c:v>
                </c:pt>
                <c:pt idx="1261">
                  <c:v>228.1494352736751</c:v>
                </c:pt>
                <c:pt idx="1262">
                  <c:v>228.1494352736751</c:v>
                </c:pt>
                <c:pt idx="1263">
                  <c:v>228.1494352736751</c:v>
                </c:pt>
                <c:pt idx="1264">
                  <c:v>228.1494352736751</c:v>
                </c:pt>
                <c:pt idx="1265">
                  <c:v>229.19200695047786</c:v>
                </c:pt>
                <c:pt idx="1266">
                  <c:v>225.15204170286708</c:v>
                </c:pt>
                <c:pt idx="1267">
                  <c:v>227.36750651607301</c:v>
                </c:pt>
                <c:pt idx="1268">
                  <c:v>226.19461337966987</c:v>
                </c:pt>
                <c:pt idx="1269">
                  <c:v>220.24326672458733</c:v>
                </c:pt>
                <c:pt idx="1270">
                  <c:v>220.24326672458733</c:v>
                </c:pt>
                <c:pt idx="1271">
                  <c:v>220.24326672458733</c:v>
                </c:pt>
                <c:pt idx="1272">
                  <c:v>215.89921807124242</c:v>
                </c:pt>
                <c:pt idx="1273">
                  <c:v>218.24500434404865</c:v>
                </c:pt>
                <c:pt idx="1274">
                  <c:v>216.94178974804518</c:v>
                </c:pt>
                <c:pt idx="1275">
                  <c:v>208.81841876629016</c:v>
                </c:pt>
                <c:pt idx="1276">
                  <c:v>204.64813205907907</c:v>
                </c:pt>
                <c:pt idx="1277">
                  <c:v>204.64813205907907</c:v>
                </c:pt>
                <c:pt idx="1278">
                  <c:v>204.64813205907907</c:v>
                </c:pt>
                <c:pt idx="1279">
                  <c:v>204.60469157254565</c:v>
                </c:pt>
                <c:pt idx="1280">
                  <c:v>206.29887054735013</c:v>
                </c:pt>
                <c:pt idx="1281">
                  <c:v>219.89574283231968</c:v>
                </c:pt>
                <c:pt idx="1282">
                  <c:v>223.02345786272809</c:v>
                </c:pt>
                <c:pt idx="1283">
                  <c:v>223.15377932232838</c:v>
                </c:pt>
                <c:pt idx="1284">
                  <c:v>223.15377932232838</c:v>
                </c:pt>
                <c:pt idx="1285">
                  <c:v>223.15377932232838</c:v>
                </c:pt>
                <c:pt idx="1286">
                  <c:v>227.01998262380539</c:v>
                </c:pt>
                <c:pt idx="1287">
                  <c:v>231.92875760208517</c:v>
                </c:pt>
                <c:pt idx="1288">
                  <c:v>230.40834057341445</c:v>
                </c:pt>
                <c:pt idx="1289">
                  <c:v>228.80104257167679</c:v>
                </c:pt>
                <c:pt idx="1290">
                  <c:v>229.40920938314511</c:v>
                </c:pt>
                <c:pt idx="1291">
                  <c:v>229.40920938314511</c:v>
                </c:pt>
                <c:pt idx="1292">
                  <c:v>229.40920938314511</c:v>
                </c:pt>
                <c:pt idx="1293">
                  <c:v>231.9721980886186</c:v>
                </c:pt>
                <c:pt idx="1294">
                  <c:v>227.15030408340576</c:v>
                </c:pt>
                <c:pt idx="1295">
                  <c:v>229.32232841007817</c:v>
                </c:pt>
                <c:pt idx="1296">
                  <c:v>230.27801911381408</c:v>
                </c:pt>
                <c:pt idx="1297">
                  <c:v>234.40486533449177</c:v>
                </c:pt>
                <c:pt idx="1298">
                  <c:v>234.40486533449177</c:v>
                </c:pt>
                <c:pt idx="1299">
                  <c:v>234.40486533449177</c:v>
                </c:pt>
                <c:pt idx="1300">
                  <c:v>233.53605560382275</c:v>
                </c:pt>
                <c:pt idx="1301">
                  <c:v>231.92875760208517</c:v>
                </c:pt>
                <c:pt idx="1302">
                  <c:v>230.97306689834926</c:v>
                </c:pt>
                <c:pt idx="1303">
                  <c:v>235.83840139009556</c:v>
                </c:pt>
                <c:pt idx="1304">
                  <c:v>239.00955690703736</c:v>
                </c:pt>
                <c:pt idx="1305">
                  <c:v>239.00955690703736</c:v>
                </c:pt>
                <c:pt idx="1306">
                  <c:v>239.00955690703736</c:v>
                </c:pt>
                <c:pt idx="1307">
                  <c:v>244.22241529105128</c:v>
                </c:pt>
                <c:pt idx="1308">
                  <c:v>249.56559513466553</c:v>
                </c:pt>
                <c:pt idx="1309">
                  <c:v>247.43701129452651</c:v>
                </c:pt>
                <c:pt idx="1310">
                  <c:v>243.91833188531712</c:v>
                </c:pt>
                <c:pt idx="1311">
                  <c:v>244.78714161598609</c:v>
                </c:pt>
                <c:pt idx="1312">
                  <c:v>244.78714161598609</c:v>
                </c:pt>
                <c:pt idx="1313">
                  <c:v>244.78714161598609</c:v>
                </c:pt>
                <c:pt idx="1314">
                  <c:v>240.8774978279757</c:v>
                </c:pt>
                <c:pt idx="1315">
                  <c:v>235.36055603822766</c:v>
                </c:pt>
                <c:pt idx="1316">
                  <c:v>242.13727193744572</c:v>
                </c:pt>
                <c:pt idx="1317">
                  <c:v>235.92528236316247</c:v>
                </c:pt>
                <c:pt idx="1318">
                  <c:v>231.23370981754996</c:v>
                </c:pt>
                <c:pt idx="1319">
                  <c:v>231.23370981754996</c:v>
                </c:pt>
                <c:pt idx="1320">
                  <c:v>231.23370981754996</c:v>
                </c:pt>
                <c:pt idx="1321">
                  <c:v>229.53953084274548</c:v>
                </c:pt>
                <c:pt idx="1322">
                  <c:v>223.63162467419633</c:v>
                </c:pt>
                <c:pt idx="1323">
                  <c:v>223.63162467419633</c:v>
                </c:pt>
                <c:pt idx="1324">
                  <c:v>236.66377063423107</c:v>
                </c:pt>
                <c:pt idx="1325">
                  <c:v>227.80191138140745</c:v>
                </c:pt>
                <c:pt idx="1326">
                  <c:v>227.80191138140745</c:v>
                </c:pt>
                <c:pt idx="1327">
                  <c:v>227.80191138140745</c:v>
                </c:pt>
                <c:pt idx="1328">
                  <c:v>230.84274543874895</c:v>
                </c:pt>
                <c:pt idx="1329">
                  <c:v>227.01998262380539</c:v>
                </c:pt>
                <c:pt idx="1330">
                  <c:v>237.14161598609905</c:v>
                </c:pt>
                <c:pt idx="1331">
                  <c:v>230.92962641181578</c:v>
                </c:pt>
                <c:pt idx="1332">
                  <c:v>248.04517810599478</c:v>
                </c:pt>
                <c:pt idx="1333">
                  <c:v>248.04517810599478</c:v>
                </c:pt>
                <c:pt idx="1334">
                  <c:v>248.04517810599478</c:v>
                </c:pt>
                <c:pt idx="1335">
                  <c:v>258.2102519548219</c:v>
                </c:pt>
                <c:pt idx="1336">
                  <c:v>256.08166811468294</c:v>
                </c:pt>
                <c:pt idx="1337">
                  <c:v>257.38488271068638</c:v>
                </c:pt>
                <c:pt idx="1338">
                  <c:v>253.90964378801044</c:v>
                </c:pt>
                <c:pt idx="1339">
                  <c:v>252.95395308427456</c:v>
                </c:pt>
                <c:pt idx="1340">
                  <c:v>252.95395308427456</c:v>
                </c:pt>
                <c:pt idx="1341">
                  <c:v>252.95395308427456</c:v>
                </c:pt>
                <c:pt idx="1342">
                  <c:v>257.08079930495222</c:v>
                </c:pt>
                <c:pt idx="1343">
                  <c:v>260.86012163336227</c:v>
                </c:pt>
                <c:pt idx="1344">
                  <c:v>263.03214596003477</c:v>
                </c:pt>
                <c:pt idx="1345">
                  <c:v>266.68114682884448</c:v>
                </c:pt>
                <c:pt idx="1346">
                  <c:v>266.68114682884448</c:v>
                </c:pt>
                <c:pt idx="1347">
                  <c:v>266.68114682884448</c:v>
                </c:pt>
                <c:pt idx="1348">
                  <c:v>266.68114682884448</c:v>
                </c:pt>
                <c:pt idx="1349">
                  <c:v>259.03562119895747</c:v>
                </c:pt>
                <c:pt idx="1350">
                  <c:v>258.12337098175504</c:v>
                </c:pt>
                <c:pt idx="1351">
                  <c:v>258.07993049522156</c:v>
                </c:pt>
                <c:pt idx="1352">
                  <c:v>256.73327541268463</c:v>
                </c:pt>
                <c:pt idx="1353">
                  <c:v>255.16941789748046</c:v>
                </c:pt>
                <c:pt idx="1354">
                  <c:v>255.16941789748046</c:v>
                </c:pt>
                <c:pt idx="1355">
                  <c:v>255.16941789748046</c:v>
                </c:pt>
                <c:pt idx="1356">
                  <c:v>250.17376194613382</c:v>
                </c:pt>
                <c:pt idx="1357">
                  <c:v>271.80712423979145</c:v>
                </c:pt>
                <c:pt idx="1358">
                  <c:v>272.02432667245876</c:v>
                </c:pt>
                <c:pt idx="1359">
                  <c:v>266.50738488271071</c:v>
                </c:pt>
                <c:pt idx="1360">
                  <c:v>266.50738488271071</c:v>
                </c:pt>
                <c:pt idx="1361">
                  <c:v>266.50738488271071</c:v>
                </c:pt>
                <c:pt idx="1362">
                  <c:v>266.50738488271071</c:v>
                </c:pt>
                <c:pt idx="1363">
                  <c:v>267.11555169417898</c:v>
                </c:pt>
                <c:pt idx="1364">
                  <c:v>260.51259774109468</c:v>
                </c:pt>
                <c:pt idx="1365">
                  <c:v>256.42919200695047</c:v>
                </c:pt>
                <c:pt idx="1366">
                  <c:v>241.00781928757601</c:v>
                </c:pt>
                <c:pt idx="1367">
                  <c:v>231.92875760208517</c:v>
                </c:pt>
                <c:pt idx="1368">
                  <c:v>231.92875760208517</c:v>
                </c:pt>
                <c:pt idx="1369">
                  <c:v>231.92875760208517</c:v>
                </c:pt>
                <c:pt idx="1370">
                  <c:v>237.61946133796701</c:v>
                </c:pt>
                <c:pt idx="1371">
                  <c:v>245.43874891398784</c:v>
                </c:pt>
                <c:pt idx="1372">
                  <c:v>234.62206776715897</c:v>
                </c:pt>
                <c:pt idx="1373">
                  <c:v>230.23457862728063</c:v>
                </c:pt>
                <c:pt idx="1374">
                  <c:v>225.10860121633365</c:v>
                </c:pt>
                <c:pt idx="1375">
                  <c:v>225.10860121633365</c:v>
                </c:pt>
                <c:pt idx="1376">
                  <c:v>225.10860121633365</c:v>
                </c:pt>
                <c:pt idx="1377">
                  <c:v>228.75760208514336</c:v>
                </c:pt>
                <c:pt idx="1378">
                  <c:v>221.58992180712423</c:v>
                </c:pt>
                <c:pt idx="1379">
                  <c:v>210.99044309296264</c:v>
                </c:pt>
                <c:pt idx="1380">
                  <c:v>210.59947871416159</c:v>
                </c:pt>
                <c:pt idx="1381">
                  <c:v>206.68983492615118</c:v>
                </c:pt>
                <c:pt idx="1382">
                  <c:v>206.68983492615118</c:v>
                </c:pt>
                <c:pt idx="1383">
                  <c:v>206.68983492615118</c:v>
                </c:pt>
                <c:pt idx="1384">
                  <c:v>202.51954821894006</c:v>
                </c:pt>
                <c:pt idx="1385">
                  <c:v>199.34839270199828</c:v>
                </c:pt>
                <c:pt idx="1386">
                  <c:v>203.25803649000869</c:v>
                </c:pt>
                <c:pt idx="1387">
                  <c:v>199.73935708079929</c:v>
                </c:pt>
                <c:pt idx="1388">
                  <c:v>206.4291920069505</c:v>
                </c:pt>
                <c:pt idx="1389">
                  <c:v>206.4291920069505</c:v>
                </c:pt>
                <c:pt idx="1390">
                  <c:v>206.4291920069505</c:v>
                </c:pt>
                <c:pt idx="1391">
                  <c:v>217.81059947871415</c:v>
                </c:pt>
                <c:pt idx="1392">
                  <c:v>206.77671589921806</c:v>
                </c:pt>
                <c:pt idx="1393">
                  <c:v>204.64813205907907</c:v>
                </c:pt>
                <c:pt idx="1394">
                  <c:v>212.94526498696786</c:v>
                </c:pt>
                <c:pt idx="1395">
                  <c:v>219.89574283231968</c:v>
                </c:pt>
                <c:pt idx="1396">
                  <c:v>219.89574283231968</c:v>
                </c:pt>
                <c:pt idx="1397">
                  <c:v>219.89574283231968</c:v>
                </c:pt>
                <c:pt idx="1398">
                  <c:v>223.37098175499568</c:v>
                </c:pt>
                <c:pt idx="1399">
                  <c:v>234.62206776715897</c:v>
                </c:pt>
                <c:pt idx="1400">
                  <c:v>227.01998262380539</c:v>
                </c:pt>
                <c:pt idx="1401">
                  <c:v>224.37011294526496</c:v>
                </c:pt>
                <c:pt idx="1402">
                  <c:v>226.88966116420502</c:v>
                </c:pt>
                <c:pt idx="1403">
                  <c:v>226.88966116420502</c:v>
                </c:pt>
                <c:pt idx="1404">
                  <c:v>226.88966116420502</c:v>
                </c:pt>
                <c:pt idx="1405">
                  <c:v>228.45351867940923</c:v>
                </c:pt>
                <c:pt idx="1406">
                  <c:v>219.28757602085142</c:v>
                </c:pt>
                <c:pt idx="1407">
                  <c:v>219.28757602085142</c:v>
                </c:pt>
                <c:pt idx="1408">
                  <c:v>208.34057341442227</c:v>
                </c:pt>
                <c:pt idx="1409">
                  <c:v>210.51259774109471</c:v>
                </c:pt>
                <c:pt idx="1410">
                  <c:v>210.51259774109471</c:v>
                </c:pt>
                <c:pt idx="1411">
                  <c:v>210.51259774109471</c:v>
                </c:pt>
                <c:pt idx="1412">
                  <c:v>216.50738488271068</c:v>
                </c:pt>
                <c:pt idx="1413">
                  <c:v>231.92875760208517</c:v>
                </c:pt>
                <c:pt idx="1414">
                  <c:v>223.93570807993052</c:v>
                </c:pt>
                <c:pt idx="1415">
                  <c:v>217.46307558644656</c:v>
                </c:pt>
                <c:pt idx="1416">
                  <c:v>226.49869678540401</c:v>
                </c:pt>
                <c:pt idx="1417">
                  <c:v>226.49869678540401</c:v>
                </c:pt>
                <c:pt idx="1418">
                  <c:v>226.49869678540401</c:v>
                </c:pt>
                <c:pt idx="1419">
                  <c:v>226.49869678540401</c:v>
                </c:pt>
                <c:pt idx="1420">
                  <c:v>223.67506516072982</c:v>
                </c:pt>
                <c:pt idx="1421">
                  <c:v>227.62814943527366</c:v>
                </c:pt>
                <c:pt idx="1422">
                  <c:v>241.35534317984363</c:v>
                </c:pt>
                <c:pt idx="1423">
                  <c:v>235.49087749782797</c:v>
                </c:pt>
                <c:pt idx="1424">
                  <c:v>235.49087749782797</c:v>
                </c:pt>
                <c:pt idx="1425">
                  <c:v>235.49087749782797</c:v>
                </c:pt>
                <c:pt idx="1426">
                  <c:v>255.95134665508255</c:v>
                </c:pt>
                <c:pt idx="1427">
                  <c:v>265.29105125977412</c:v>
                </c:pt>
                <c:pt idx="1428">
                  <c:v>265.63857515204171</c:v>
                </c:pt>
                <c:pt idx="1429">
                  <c:v>261.25108601216334</c:v>
                </c:pt>
                <c:pt idx="1430">
                  <c:v>263.16246741963511</c:v>
                </c:pt>
                <c:pt idx="1431">
                  <c:v>263.16246741963511</c:v>
                </c:pt>
                <c:pt idx="1432">
                  <c:v>263.16246741963511</c:v>
                </c:pt>
                <c:pt idx="1433">
                  <c:v>255.60382276281496</c:v>
                </c:pt>
                <c:pt idx="1434">
                  <c:v>259.68722849695916</c:v>
                </c:pt>
                <c:pt idx="1435">
                  <c:v>258.16681146828847</c:v>
                </c:pt>
                <c:pt idx="1436">
                  <c:v>257.90616854908774</c:v>
                </c:pt>
                <c:pt idx="1437">
                  <c:v>237.14161598609905</c:v>
                </c:pt>
                <c:pt idx="1438">
                  <c:v>237.14161598609905</c:v>
                </c:pt>
                <c:pt idx="1439">
                  <c:v>237.14161598609905</c:v>
                </c:pt>
                <c:pt idx="1440">
                  <c:v>239.87836663770636</c:v>
                </c:pt>
                <c:pt idx="1441">
                  <c:v>234.4483058210252</c:v>
                </c:pt>
                <c:pt idx="1442">
                  <c:v>233.44917463075586</c:v>
                </c:pt>
                <c:pt idx="1443">
                  <c:v>226.02085143353605</c:v>
                </c:pt>
                <c:pt idx="1444">
                  <c:v>213.33622936576887</c:v>
                </c:pt>
                <c:pt idx="1445">
                  <c:v>213.33622936576887</c:v>
                </c:pt>
                <c:pt idx="1446">
                  <c:v>213.33622936576887</c:v>
                </c:pt>
                <c:pt idx="1447">
                  <c:v>206.86359687228494</c:v>
                </c:pt>
                <c:pt idx="1448">
                  <c:v>212.03301476976543</c:v>
                </c:pt>
                <c:pt idx="1449">
                  <c:v>211.03388357949609</c:v>
                </c:pt>
                <c:pt idx="1450">
                  <c:v>208.42745438748912</c:v>
                </c:pt>
                <c:pt idx="1451">
                  <c:v>202.12858384013904</c:v>
                </c:pt>
                <c:pt idx="1452">
                  <c:v>202.12858384013904</c:v>
                </c:pt>
                <c:pt idx="1453">
                  <c:v>202.12858384013904</c:v>
                </c:pt>
                <c:pt idx="1454">
                  <c:v>192.2241529105126</c:v>
                </c:pt>
                <c:pt idx="1455">
                  <c:v>193.48392701998262</c:v>
                </c:pt>
                <c:pt idx="1456">
                  <c:v>195.04778453518679</c:v>
                </c:pt>
                <c:pt idx="1457">
                  <c:v>192.05039096437881</c:v>
                </c:pt>
                <c:pt idx="1458">
                  <c:v>192.05039096437881</c:v>
                </c:pt>
                <c:pt idx="1459">
                  <c:v>192.05039096437881</c:v>
                </c:pt>
                <c:pt idx="1460">
                  <c:v>192.05039096437881</c:v>
                </c:pt>
                <c:pt idx="1461">
                  <c:v>188.96611642050391</c:v>
                </c:pt>
                <c:pt idx="1462">
                  <c:v>188.74891398783669</c:v>
                </c:pt>
                <c:pt idx="1463">
                  <c:v>185.18679409209383</c:v>
                </c:pt>
                <c:pt idx="1464">
                  <c:v>183.27541268462207</c:v>
                </c:pt>
                <c:pt idx="1465">
                  <c:v>175.5430060816681</c:v>
                </c:pt>
                <c:pt idx="1466">
                  <c:v>175.5430060816681</c:v>
                </c:pt>
                <c:pt idx="1467">
                  <c:v>175.5430060816681</c:v>
                </c:pt>
                <c:pt idx="1468">
                  <c:v>173.7619461337967</c:v>
                </c:pt>
                <c:pt idx="1469">
                  <c:v>182.49348392701998</c:v>
                </c:pt>
                <c:pt idx="1470">
                  <c:v>190.616854908775</c:v>
                </c:pt>
                <c:pt idx="1471">
                  <c:v>171.15551694178976</c:v>
                </c:pt>
                <c:pt idx="1472">
                  <c:v>177.32406602953955</c:v>
                </c:pt>
                <c:pt idx="1473">
                  <c:v>177.32406602953955</c:v>
                </c:pt>
                <c:pt idx="1474">
                  <c:v>177.32406602953955</c:v>
                </c:pt>
                <c:pt idx="1475">
                  <c:v>184.57862728062554</c:v>
                </c:pt>
                <c:pt idx="1476">
                  <c:v>189.92180712423979</c:v>
                </c:pt>
                <c:pt idx="1477">
                  <c:v>181.01650738488274</c:v>
                </c:pt>
                <c:pt idx="1478">
                  <c:v>188.05386620330148</c:v>
                </c:pt>
                <c:pt idx="1479">
                  <c:v>189.70460469157254</c:v>
                </c:pt>
                <c:pt idx="1480">
                  <c:v>189.70460469157254</c:v>
                </c:pt>
                <c:pt idx="1481">
                  <c:v>189.70460469157254</c:v>
                </c:pt>
                <c:pt idx="1482">
                  <c:v>186.83753258036489</c:v>
                </c:pt>
                <c:pt idx="1483">
                  <c:v>187.14161598609905</c:v>
                </c:pt>
                <c:pt idx="1484">
                  <c:v>190.92093831450913</c:v>
                </c:pt>
                <c:pt idx="1485">
                  <c:v>186.27280625543008</c:v>
                </c:pt>
                <c:pt idx="1486">
                  <c:v>185.70807993049522</c:v>
                </c:pt>
                <c:pt idx="1487">
                  <c:v>185.70807993049522</c:v>
                </c:pt>
                <c:pt idx="1488">
                  <c:v>185.70807993049522</c:v>
                </c:pt>
                <c:pt idx="1489">
                  <c:v>191.09470026064292</c:v>
                </c:pt>
                <c:pt idx="1490">
                  <c:v>192.26759339704606</c:v>
                </c:pt>
                <c:pt idx="1491">
                  <c:v>186.44656820156388</c:v>
                </c:pt>
                <c:pt idx="1492">
                  <c:v>185.96872284969592</c:v>
                </c:pt>
                <c:pt idx="1493">
                  <c:v>185.96872284969592</c:v>
                </c:pt>
                <c:pt idx="1494">
                  <c:v>185.96872284969592</c:v>
                </c:pt>
                <c:pt idx="1495">
                  <c:v>185.96872284969592</c:v>
                </c:pt>
                <c:pt idx="1496">
                  <c:v>186.01216333622938</c:v>
                </c:pt>
                <c:pt idx="1497">
                  <c:v>188.14074717636839</c:v>
                </c:pt>
                <c:pt idx="1498">
                  <c:v>186.6637706342311</c:v>
                </c:pt>
                <c:pt idx="1499">
                  <c:v>197.87141615986098</c:v>
                </c:pt>
                <c:pt idx="1500">
                  <c:v>198.95742832319721</c:v>
                </c:pt>
                <c:pt idx="1501">
                  <c:v>198.95742832319721</c:v>
                </c:pt>
                <c:pt idx="1502">
                  <c:v>198.95742832319721</c:v>
                </c:pt>
                <c:pt idx="1503">
                  <c:v>203.64900086880974</c:v>
                </c:pt>
                <c:pt idx="1504">
                  <c:v>195.39530842745438</c:v>
                </c:pt>
                <c:pt idx="1505">
                  <c:v>189.70460469157254</c:v>
                </c:pt>
                <c:pt idx="1506">
                  <c:v>178.62728062554299</c:v>
                </c:pt>
                <c:pt idx="1507">
                  <c:v>178.62728062554299</c:v>
                </c:pt>
                <c:pt idx="1508">
                  <c:v>178.62728062554299</c:v>
                </c:pt>
                <c:pt idx="1509">
                  <c:v>178.62728062554299</c:v>
                </c:pt>
                <c:pt idx="1510">
                  <c:v>181.62467419635101</c:v>
                </c:pt>
                <c:pt idx="1511">
                  <c:v>184.53518679409208</c:v>
                </c:pt>
                <c:pt idx="1512">
                  <c:v>183.53605560382275</c:v>
                </c:pt>
                <c:pt idx="1513">
                  <c:v>191.65942658557776</c:v>
                </c:pt>
                <c:pt idx="1514">
                  <c:v>191.65942658557776</c:v>
                </c:pt>
                <c:pt idx="1515">
                  <c:v>191.65942658557776</c:v>
                </c:pt>
                <c:pt idx="1516">
                  <c:v>191.65942658557776</c:v>
                </c:pt>
                <c:pt idx="1517">
                  <c:v>192.96264118158123</c:v>
                </c:pt>
                <c:pt idx="1518">
                  <c:v>198.74022589052998</c:v>
                </c:pt>
                <c:pt idx="1519">
                  <c:v>191.05125977410947</c:v>
                </c:pt>
                <c:pt idx="1520">
                  <c:v>189.87836663770634</c:v>
                </c:pt>
                <c:pt idx="1521">
                  <c:v>184.1876629018245</c:v>
                </c:pt>
                <c:pt idx="1522">
                  <c:v>184.1876629018245</c:v>
                </c:pt>
                <c:pt idx="1523">
                  <c:v>184.1876629018245</c:v>
                </c:pt>
                <c:pt idx="1524">
                  <c:v>183.49261511728932</c:v>
                </c:pt>
                <c:pt idx="1525">
                  <c:v>182.66724587315377</c:v>
                </c:pt>
                <c:pt idx="1526">
                  <c:v>181.84187662901826</c:v>
                </c:pt>
                <c:pt idx="1527">
                  <c:v>186.83753258036489</c:v>
                </c:pt>
                <c:pt idx="1528">
                  <c:v>187.70634231103389</c:v>
                </c:pt>
                <c:pt idx="1529">
                  <c:v>187.70634231103389</c:v>
                </c:pt>
                <c:pt idx="1530">
                  <c:v>187.70634231103389</c:v>
                </c:pt>
                <c:pt idx="1531">
                  <c:v>187.66290182450044</c:v>
                </c:pt>
                <c:pt idx="1532">
                  <c:v>180.62554300608167</c:v>
                </c:pt>
                <c:pt idx="1533">
                  <c:v>179.01824500434404</c:v>
                </c:pt>
                <c:pt idx="1534">
                  <c:v>173.3275412684622</c:v>
                </c:pt>
                <c:pt idx="1535">
                  <c:v>182.4066029539531</c:v>
                </c:pt>
                <c:pt idx="1536">
                  <c:v>182.4066029539531</c:v>
                </c:pt>
                <c:pt idx="1537">
                  <c:v>182.4066029539531</c:v>
                </c:pt>
                <c:pt idx="1538">
                  <c:v>184.14422241529104</c:v>
                </c:pt>
                <c:pt idx="1539">
                  <c:v>190.0086880973067</c:v>
                </c:pt>
                <c:pt idx="1540">
                  <c:v>208.2102519548219</c:v>
                </c:pt>
                <c:pt idx="1541">
                  <c:v>208.73153779322328</c:v>
                </c:pt>
                <c:pt idx="1542">
                  <c:v>215.81233709817548</c:v>
                </c:pt>
                <c:pt idx="1543">
                  <c:v>215.81233709817548</c:v>
                </c:pt>
                <c:pt idx="1544">
                  <c:v>215.81233709817548</c:v>
                </c:pt>
                <c:pt idx="1545">
                  <c:v>213.46655082536924</c:v>
                </c:pt>
                <c:pt idx="1546">
                  <c:v>213.46655082536924</c:v>
                </c:pt>
                <c:pt idx="1547">
                  <c:v>214.59600347523892</c:v>
                </c:pt>
                <c:pt idx="1548">
                  <c:v>206.95047784535188</c:v>
                </c:pt>
                <c:pt idx="1549">
                  <c:v>200.52128583840138</c:v>
                </c:pt>
                <c:pt idx="1550">
                  <c:v>200.52128583840138</c:v>
                </c:pt>
                <c:pt idx="1551">
                  <c:v>200.52128583840138</c:v>
                </c:pt>
                <c:pt idx="1552">
                  <c:v>200.60816681146827</c:v>
                </c:pt>
                <c:pt idx="1553">
                  <c:v>197.04604691572544</c:v>
                </c:pt>
                <c:pt idx="1554">
                  <c:v>198.95742832319721</c:v>
                </c:pt>
                <c:pt idx="1555">
                  <c:v>198.08861859252823</c:v>
                </c:pt>
                <c:pt idx="1556">
                  <c:v>194.52649869678541</c:v>
                </c:pt>
                <c:pt idx="1557">
                  <c:v>194.52649869678541</c:v>
                </c:pt>
                <c:pt idx="1558">
                  <c:v>194.52649869678541</c:v>
                </c:pt>
                <c:pt idx="1559">
                  <c:v>188.96611642050391</c:v>
                </c:pt>
                <c:pt idx="1560">
                  <c:v>191.52910512597742</c:v>
                </c:pt>
                <c:pt idx="1561">
                  <c:v>190.92093831450913</c:v>
                </c:pt>
                <c:pt idx="1562">
                  <c:v>187.88010425716769</c:v>
                </c:pt>
                <c:pt idx="1563">
                  <c:v>189.87836663770634</c:v>
                </c:pt>
                <c:pt idx="1564">
                  <c:v>189.87836663770634</c:v>
                </c:pt>
                <c:pt idx="1565">
                  <c:v>189.87836663770634</c:v>
                </c:pt>
                <c:pt idx="1566">
                  <c:v>192.61511728931367</c:v>
                </c:pt>
                <c:pt idx="1567">
                  <c:v>192.78887923544744</c:v>
                </c:pt>
                <c:pt idx="1568">
                  <c:v>192.48479582971331</c:v>
                </c:pt>
                <c:pt idx="1569">
                  <c:v>180.9296264118158</c:v>
                </c:pt>
                <c:pt idx="1570">
                  <c:v>177.45438748913989</c:v>
                </c:pt>
                <c:pt idx="1571">
                  <c:v>177.45438748913989</c:v>
                </c:pt>
                <c:pt idx="1572">
                  <c:v>177.45438748913989</c:v>
                </c:pt>
                <c:pt idx="1573">
                  <c:v>176.36837532580364</c:v>
                </c:pt>
                <c:pt idx="1574">
                  <c:v>178.36663770634235</c:v>
                </c:pt>
                <c:pt idx="1575">
                  <c:v>180.71242397914858</c:v>
                </c:pt>
                <c:pt idx="1576">
                  <c:v>180.53866203301479</c:v>
                </c:pt>
                <c:pt idx="1577">
                  <c:v>180.27801911381408</c:v>
                </c:pt>
                <c:pt idx="1578">
                  <c:v>180.27801911381408</c:v>
                </c:pt>
                <c:pt idx="1579">
                  <c:v>180.27801911381408</c:v>
                </c:pt>
                <c:pt idx="1580">
                  <c:v>179.45264986967854</c:v>
                </c:pt>
                <c:pt idx="1581">
                  <c:v>180.9296264118158</c:v>
                </c:pt>
                <c:pt idx="1582">
                  <c:v>175.45612510860121</c:v>
                </c:pt>
                <c:pt idx="1583">
                  <c:v>180.23457862728063</c:v>
                </c:pt>
                <c:pt idx="1584">
                  <c:v>175.49956559513467</c:v>
                </c:pt>
                <c:pt idx="1585">
                  <c:v>175.49956559513467</c:v>
                </c:pt>
                <c:pt idx="1586">
                  <c:v>175.49956559513467</c:v>
                </c:pt>
                <c:pt idx="1587">
                  <c:v>176.28149435273676</c:v>
                </c:pt>
                <c:pt idx="1588">
                  <c:v>180.75586446568201</c:v>
                </c:pt>
                <c:pt idx="1589">
                  <c:v>182.36316246741961</c:v>
                </c:pt>
                <c:pt idx="1590">
                  <c:v>177.93223284100782</c:v>
                </c:pt>
                <c:pt idx="1591">
                  <c:v>172.32841007819289</c:v>
                </c:pt>
                <c:pt idx="1592">
                  <c:v>172.32841007819289</c:v>
                </c:pt>
                <c:pt idx="1593">
                  <c:v>172.32841007819289</c:v>
                </c:pt>
                <c:pt idx="1594">
                  <c:v>171.02519548218939</c:v>
                </c:pt>
                <c:pt idx="1595">
                  <c:v>171.85056472632493</c:v>
                </c:pt>
                <c:pt idx="1596">
                  <c:v>175.36924413553433</c:v>
                </c:pt>
                <c:pt idx="1597">
                  <c:v>173.80538662033013</c:v>
                </c:pt>
                <c:pt idx="1598">
                  <c:v>170.85143353605559</c:v>
                </c:pt>
                <c:pt idx="1599">
                  <c:v>170.85143353605559</c:v>
                </c:pt>
                <c:pt idx="1600">
                  <c:v>170.85143353605559</c:v>
                </c:pt>
                <c:pt idx="1601">
                  <c:v>164.90008688097308</c:v>
                </c:pt>
                <c:pt idx="1602">
                  <c:v>161.120764552563</c:v>
                </c:pt>
                <c:pt idx="1603">
                  <c:v>148.47958297132928</c:v>
                </c:pt>
                <c:pt idx="1604">
                  <c:v>151.47697654213727</c:v>
                </c:pt>
                <c:pt idx="1605">
                  <c:v>156.68983492615118</c:v>
                </c:pt>
                <c:pt idx="1606">
                  <c:v>156.68983492615118</c:v>
                </c:pt>
                <c:pt idx="1607">
                  <c:v>156.68983492615118</c:v>
                </c:pt>
                <c:pt idx="1608">
                  <c:v>155.99478714161597</c:v>
                </c:pt>
                <c:pt idx="1609">
                  <c:v>156.25543006081668</c:v>
                </c:pt>
                <c:pt idx="1610">
                  <c:v>156.1685490877498</c:v>
                </c:pt>
                <c:pt idx="1611">
                  <c:v>153.90964378801041</c:v>
                </c:pt>
                <c:pt idx="1612">
                  <c:v>150.52128583840138</c:v>
                </c:pt>
                <c:pt idx="1613">
                  <c:v>150.52128583840138</c:v>
                </c:pt>
                <c:pt idx="1614">
                  <c:v>150.52128583840138</c:v>
                </c:pt>
                <c:pt idx="1615">
                  <c:v>150.21720243266725</c:v>
                </c:pt>
                <c:pt idx="1616">
                  <c:v>150.26064291920071</c:v>
                </c:pt>
                <c:pt idx="1617">
                  <c:v>148.95742832319723</c:v>
                </c:pt>
                <c:pt idx="1618">
                  <c:v>145.26498696785404</c:v>
                </c:pt>
                <c:pt idx="1619">
                  <c:v>140.96437880104259</c:v>
                </c:pt>
                <c:pt idx="1620">
                  <c:v>140.96437880104259</c:v>
                </c:pt>
                <c:pt idx="1621">
                  <c:v>140.96437880104259</c:v>
                </c:pt>
                <c:pt idx="1622">
                  <c:v>142.44135534317982</c:v>
                </c:pt>
                <c:pt idx="1623">
                  <c:v>140.09556907037359</c:v>
                </c:pt>
                <c:pt idx="1624">
                  <c:v>139.31364031277153</c:v>
                </c:pt>
                <c:pt idx="1625">
                  <c:v>141.61598609904431</c:v>
                </c:pt>
                <c:pt idx="1626">
                  <c:v>141.61598609904431</c:v>
                </c:pt>
                <c:pt idx="1627">
                  <c:v>141.61598609904431</c:v>
                </c:pt>
                <c:pt idx="1628">
                  <c:v>141.61598609904431</c:v>
                </c:pt>
                <c:pt idx="1629">
                  <c:v>138.879235447437</c:v>
                </c:pt>
                <c:pt idx="1630">
                  <c:v>137.31537793223285</c:v>
                </c:pt>
                <c:pt idx="1631">
                  <c:v>136.75065160729801</c:v>
                </c:pt>
                <c:pt idx="1632">
                  <c:v>135.01303214596004</c:v>
                </c:pt>
                <c:pt idx="1633">
                  <c:v>131.58123370981755</c:v>
                </c:pt>
                <c:pt idx="1634">
                  <c:v>131.58123370981755</c:v>
                </c:pt>
                <c:pt idx="1635">
                  <c:v>131.58123370981755</c:v>
                </c:pt>
                <c:pt idx="1636">
                  <c:v>131.27715030408339</c:v>
                </c:pt>
                <c:pt idx="1637">
                  <c:v>132.27628149435273</c:v>
                </c:pt>
                <c:pt idx="1638">
                  <c:v>132.27628149435273</c:v>
                </c:pt>
                <c:pt idx="1639">
                  <c:v>128.41007819287574</c:v>
                </c:pt>
                <c:pt idx="1640">
                  <c:v>131.9721980886186</c:v>
                </c:pt>
                <c:pt idx="1641">
                  <c:v>131.9721980886186</c:v>
                </c:pt>
                <c:pt idx="1642">
                  <c:v>131.9721980886186</c:v>
                </c:pt>
                <c:pt idx="1643">
                  <c:v>128.67072111207648</c:v>
                </c:pt>
                <c:pt idx="1644">
                  <c:v>133.31885317115552</c:v>
                </c:pt>
                <c:pt idx="1645">
                  <c:v>128.93136403127716</c:v>
                </c:pt>
                <c:pt idx="1646">
                  <c:v>127.01998262380539</c:v>
                </c:pt>
                <c:pt idx="1647">
                  <c:v>121.67680278019115</c:v>
                </c:pt>
                <c:pt idx="1648">
                  <c:v>121.67680278019115</c:v>
                </c:pt>
                <c:pt idx="1649">
                  <c:v>121.67680278019115</c:v>
                </c:pt>
                <c:pt idx="1650">
                  <c:v>119.41789748045177</c:v>
                </c:pt>
                <c:pt idx="1651">
                  <c:v>124.15291051259774</c:v>
                </c:pt>
                <c:pt idx="1652">
                  <c:v>125.28236316246742</c:v>
                </c:pt>
                <c:pt idx="1653">
                  <c:v>124.1963509991312</c:v>
                </c:pt>
                <c:pt idx="1654">
                  <c:v>121.28583840139011</c:v>
                </c:pt>
                <c:pt idx="1655">
                  <c:v>121.28583840139011</c:v>
                </c:pt>
                <c:pt idx="1656">
                  <c:v>121.28583840139011</c:v>
                </c:pt>
                <c:pt idx="1657">
                  <c:v>120.89487402258905</c:v>
                </c:pt>
                <c:pt idx="1658">
                  <c:v>124.37011294526499</c:v>
                </c:pt>
                <c:pt idx="1659">
                  <c:v>123.11033883579496</c:v>
                </c:pt>
                <c:pt idx="1660">
                  <c:v>122.15464813205909</c:v>
                </c:pt>
                <c:pt idx="1661">
                  <c:v>127.1937445699392</c:v>
                </c:pt>
                <c:pt idx="1662">
                  <c:v>127.1937445699392</c:v>
                </c:pt>
                <c:pt idx="1663">
                  <c:v>127.1937445699392</c:v>
                </c:pt>
                <c:pt idx="1664">
                  <c:v>131.3640312771503</c:v>
                </c:pt>
                <c:pt idx="1665">
                  <c:v>129.49609035621199</c:v>
                </c:pt>
                <c:pt idx="1666">
                  <c:v>129.88705473501304</c:v>
                </c:pt>
                <c:pt idx="1667">
                  <c:v>137.57602085143355</c:v>
                </c:pt>
                <c:pt idx="1668">
                  <c:v>139.05299739357079</c:v>
                </c:pt>
                <c:pt idx="1669">
                  <c:v>139.05299739357079</c:v>
                </c:pt>
                <c:pt idx="1670">
                  <c:v>139.05299739357079</c:v>
                </c:pt>
                <c:pt idx="1671">
                  <c:v>139.00955690703736</c:v>
                </c:pt>
                <c:pt idx="1672">
                  <c:v>138.22762814943528</c:v>
                </c:pt>
                <c:pt idx="1673">
                  <c:v>138.57515204170286</c:v>
                </c:pt>
                <c:pt idx="1674">
                  <c:v>137.79322328410078</c:v>
                </c:pt>
                <c:pt idx="1675">
                  <c:v>138.09730668983494</c:v>
                </c:pt>
                <c:pt idx="1676">
                  <c:v>138.09730668983494</c:v>
                </c:pt>
                <c:pt idx="1677">
                  <c:v>138.09730668983494</c:v>
                </c:pt>
                <c:pt idx="1678">
                  <c:v>135.23023457862729</c:v>
                </c:pt>
                <c:pt idx="1679">
                  <c:v>136.62033014769764</c:v>
                </c:pt>
                <c:pt idx="1680">
                  <c:v>136.27280625543005</c:v>
                </c:pt>
                <c:pt idx="1681">
                  <c:v>132.49348392701998</c:v>
                </c:pt>
                <c:pt idx="1682">
                  <c:v>131.19026933101651</c:v>
                </c:pt>
                <c:pt idx="1683">
                  <c:v>131.19026933101651</c:v>
                </c:pt>
                <c:pt idx="1684">
                  <c:v>131.19026933101651</c:v>
                </c:pt>
                <c:pt idx="1685">
                  <c:v>130.75586446568201</c:v>
                </c:pt>
                <c:pt idx="1686">
                  <c:v>132.53692441355344</c:v>
                </c:pt>
                <c:pt idx="1687">
                  <c:v>126.5855777584709</c:v>
                </c:pt>
                <c:pt idx="1688">
                  <c:v>126.5855777584709</c:v>
                </c:pt>
                <c:pt idx="1689">
                  <c:v>129.71329278887924</c:v>
                </c:pt>
                <c:pt idx="1690">
                  <c:v>129.71329278887924</c:v>
                </c:pt>
                <c:pt idx="1691">
                  <c:v>129.71329278887924</c:v>
                </c:pt>
                <c:pt idx="1692">
                  <c:v>136.70721112076455</c:v>
                </c:pt>
                <c:pt idx="1693">
                  <c:v>140.05212858384016</c:v>
                </c:pt>
                <c:pt idx="1694">
                  <c:v>137.53258036490007</c:v>
                </c:pt>
                <c:pt idx="1695">
                  <c:v>141.18158123370984</c:v>
                </c:pt>
                <c:pt idx="1696">
                  <c:v>137.83666377063423</c:v>
                </c:pt>
                <c:pt idx="1697">
                  <c:v>137.83666377063423</c:v>
                </c:pt>
                <c:pt idx="1698">
                  <c:v>137.83666377063423</c:v>
                </c:pt>
                <c:pt idx="1699">
                  <c:v>138.53171155516941</c:v>
                </c:pt>
                <c:pt idx="1700">
                  <c:v>139.05299739357079</c:v>
                </c:pt>
                <c:pt idx="1701">
                  <c:v>133.92701998262379</c:v>
                </c:pt>
                <c:pt idx="1702">
                  <c:v>135.53431798436142</c:v>
                </c:pt>
                <c:pt idx="1703">
                  <c:v>129.71329278887924</c:v>
                </c:pt>
                <c:pt idx="1704">
                  <c:v>129.71329278887924</c:v>
                </c:pt>
                <c:pt idx="1705">
                  <c:v>129.71329278887924</c:v>
                </c:pt>
                <c:pt idx="1706">
                  <c:v>132.75412684622069</c:v>
                </c:pt>
                <c:pt idx="1707">
                  <c:v>134.92615117289313</c:v>
                </c:pt>
                <c:pt idx="1708">
                  <c:v>137.01129452649869</c:v>
                </c:pt>
                <c:pt idx="1709">
                  <c:v>135.53431798436142</c:v>
                </c:pt>
                <c:pt idx="1710">
                  <c:v>132.92788879235448</c:v>
                </c:pt>
                <c:pt idx="1711">
                  <c:v>132.92788879235448</c:v>
                </c:pt>
                <c:pt idx="1712">
                  <c:v>132.92788879235448</c:v>
                </c:pt>
                <c:pt idx="1713">
                  <c:v>140.96437880104259</c:v>
                </c:pt>
                <c:pt idx="1714">
                  <c:v>141.18158123370984</c:v>
                </c:pt>
                <c:pt idx="1715">
                  <c:v>137.14161598609905</c:v>
                </c:pt>
                <c:pt idx="1716">
                  <c:v>135.57775847089488</c:v>
                </c:pt>
                <c:pt idx="1717">
                  <c:v>135.57775847089488</c:v>
                </c:pt>
                <c:pt idx="1718">
                  <c:v>135.57775847089488</c:v>
                </c:pt>
                <c:pt idx="1719">
                  <c:v>135.57775847089488</c:v>
                </c:pt>
                <c:pt idx="1720">
                  <c:v>133.62293657688966</c:v>
                </c:pt>
                <c:pt idx="1721">
                  <c:v>133.66637706342311</c:v>
                </c:pt>
                <c:pt idx="1722">
                  <c:v>133.36229365768898</c:v>
                </c:pt>
                <c:pt idx="1723">
                  <c:v>129.27888792354477</c:v>
                </c:pt>
                <c:pt idx="1724">
                  <c:v>129.27888792354477</c:v>
                </c:pt>
                <c:pt idx="1725">
                  <c:v>129.27888792354477</c:v>
                </c:pt>
                <c:pt idx="1726">
                  <c:v>129.27888792354477</c:v>
                </c:pt>
                <c:pt idx="1727">
                  <c:v>127.84535186794092</c:v>
                </c:pt>
                <c:pt idx="1728">
                  <c:v>125.93397046046914</c:v>
                </c:pt>
                <c:pt idx="1729">
                  <c:v>122.89313640312771</c:v>
                </c:pt>
                <c:pt idx="1730">
                  <c:v>121.89400521285837</c:v>
                </c:pt>
                <c:pt idx="1731">
                  <c:v>120.85143353605561</c:v>
                </c:pt>
                <c:pt idx="1732">
                  <c:v>120.85143353605561</c:v>
                </c:pt>
                <c:pt idx="1733">
                  <c:v>120.85143353605561</c:v>
                </c:pt>
                <c:pt idx="1734">
                  <c:v>119.37445699391833</c:v>
                </c:pt>
                <c:pt idx="1735">
                  <c:v>117.28931364031277</c:v>
                </c:pt>
                <c:pt idx="1736">
                  <c:v>126.06429192006952</c:v>
                </c:pt>
                <c:pt idx="1737">
                  <c:v>125.23892267593398</c:v>
                </c:pt>
                <c:pt idx="1738">
                  <c:v>125.67332754126845</c:v>
                </c:pt>
                <c:pt idx="1739">
                  <c:v>125.67332754126845</c:v>
                </c:pt>
                <c:pt idx="1740">
                  <c:v>125.67332754126845</c:v>
                </c:pt>
                <c:pt idx="1741">
                  <c:v>126.10773240660296</c:v>
                </c:pt>
                <c:pt idx="1742">
                  <c:v>127.36750651607298</c:v>
                </c:pt>
                <c:pt idx="1743">
                  <c:v>125.15204170286707</c:v>
                </c:pt>
                <c:pt idx="1744">
                  <c:v>121.89400521285837</c:v>
                </c:pt>
                <c:pt idx="1745">
                  <c:v>122.50217202432667</c:v>
                </c:pt>
                <c:pt idx="1746">
                  <c:v>122.50217202432667</c:v>
                </c:pt>
                <c:pt idx="1747">
                  <c:v>122.50217202432667</c:v>
                </c:pt>
                <c:pt idx="1748">
                  <c:v>120.72111207645526</c:v>
                </c:pt>
                <c:pt idx="1749">
                  <c:v>121.63336229365768</c:v>
                </c:pt>
                <c:pt idx="1750">
                  <c:v>120.63423110338836</c:v>
                </c:pt>
                <c:pt idx="1751">
                  <c:v>122.89313640312771</c:v>
                </c:pt>
                <c:pt idx="1752">
                  <c:v>120.19982623805387</c:v>
                </c:pt>
                <c:pt idx="1753">
                  <c:v>120.19982623805387</c:v>
                </c:pt>
                <c:pt idx="1754">
                  <c:v>120.19982623805387</c:v>
                </c:pt>
                <c:pt idx="1755">
                  <c:v>120.02606429192006</c:v>
                </c:pt>
                <c:pt idx="1756">
                  <c:v>116.37706342311034</c:v>
                </c:pt>
                <c:pt idx="1757">
                  <c:v>117.24587315377933</c:v>
                </c:pt>
                <c:pt idx="1758">
                  <c:v>115.42137271937447</c:v>
                </c:pt>
                <c:pt idx="1759">
                  <c:v>118.67940920938315</c:v>
                </c:pt>
                <c:pt idx="1760">
                  <c:v>118.67940920938315</c:v>
                </c:pt>
                <c:pt idx="1761">
                  <c:v>118.67940920938315</c:v>
                </c:pt>
                <c:pt idx="1762">
                  <c:v>121.4596003475239</c:v>
                </c:pt>
                <c:pt idx="1763">
                  <c:v>118.41876629018246</c:v>
                </c:pt>
                <c:pt idx="1764">
                  <c:v>117.89748045178105</c:v>
                </c:pt>
                <c:pt idx="1765">
                  <c:v>117.85403996524761</c:v>
                </c:pt>
                <c:pt idx="1766">
                  <c:v>116.15986099044309</c:v>
                </c:pt>
                <c:pt idx="1767">
                  <c:v>116.15986099044309</c:v>
                </c:pt>
                <c:pt idx="1768">
                  <c:v>116.15986099044309</c:v>
                </c:pt>
                <c:pt idx="1769">
                  <c:v>116.15986099044309</c:v>
                </c:pt>
                <c:pt idx="1770">
                  <c:v>115.94265855777586</c:v>
                </c:pt>
                <c:pt idx="1771">
                  <c:v>118.07124239791487</c:v>
                </c:pt>
                <c:pt idx="1772">
                  <c:v>120.06950477845353</c:v>
                </c:pt>
                <c:pt idx="1773">
                  <c:v>123.89226759339704</c:v>
                </c:pt>
                <c:pt idx="1774">
                  <c:v>123.89226759339704</c:v>
                </c:pt>
                <c:pt idx="1775">
                  <c:v>123.89226759339704</c:v>
                </c:pt>
                <c:pt idx="1776">
                  <c:v>124.32667245873155</c:v>
                </c:pt>
                <c:pt idx="1777">
                  <c:v>122.76281494352739</c:v>
                </c:pt>
                <c:pt idx="1778">
                  <c:v>124.1963509991312</c:v>
                </c:pt>
                <c:pt idx="1779">
                  <c:v>124.41355343179845</c:v>
                </c:pt>
                <c:pt idx="1780">
                  <c:v>125.54300608166811</c:v>
                </c:pt>
                <c:pt idx="1781">
                  <c:v>125.54300608166811</c:v>
                </c:pt>
                <c:pt idx="1782">
                  <c:v>125.54300608166811</c:v>
                </c:pt>
                <c:pt idx="1783">
                  <c:v>125.84708948740226</c:v>
                </c:pt>
                <c:pt idx="1784">
                  <c:v>123.80538662033015</c:v>
                </c:pt>
                <c:pt idx="1785">
                  <c:v>124.63075586446568</c:v>
                </c:pt>
                <c:pt idx="1786">
                  <c:v>124.93483927019983</c:v>
                </c:pt>
                <c:pt idx="1787">
                  <c:v>123.50130321459601</c:v>
                </c:pt>
                <c:pt idx="1788">
                  <c:v>123.50130321459601</c:v>
                </c:pt>
                <c:pt idx="1789">
                  <c:v>123.50130321459601</c:v>
                </c:pt>
                <c:pt idx="1790">
                  <c:v>114.98696785403996</c:v>
                </c:pt>
                <c:pt idx="1791">
                  <c:v>113.20590790616853</c:v>
                </c:pt>
                <c:pt idx="1792">
                  <c:v>110.8601216333623</c:v>
                </c:pt>
                <c:pt idx="1793">
                  <c:v>113.85751520417028</c:v>
                </c:pt>
                <c:pt idx="1794">
                  <c:v>112.07645525629889</c:v>
                </c:pt>
                <c:pt idx="1795">
                  <c:v>112.07645525629889</c:v>
                </c:pt>
                <c:pt idx="1796">
                  <c:v>112.07645525629889</c:v>
                </c:pt>
                <c:pt idx="1797">
                  <c:v>113.11902693310165</c:v>
                </c:pt>
                <c:pt idx="1798">
                  <c:v>113.46655082536925</c:v>
                </c:pt>
                <c:pt idx="1799">
                  <c:v>111.12076455256299</c:v>
                </c:pt>
                <c:pt idx="1800">
                  <c:v>111.64205039096437</c:v>
                </c:pt>
                <c:pt idx="1801">
                  <c:v>109.38314509122502</c:v>
                </c:pt>
                <c:pt idx="1802">
                  <c:v>109.38314509122502</c:v>
                </c:pt>
                <c:pt idx="1803">
                  <c:v>109.38314509122502</c:v>
                </c:pt>
                <c:pt idx="1804">
                  <c:v>109.25282363162468</c:v>
                </c:pt>
                <c:pt idx="1805">
                  <c:v>110.251954821894</c:v>
                </c:pt>
                <c:pt idx="1806">
                  <c:v>111.38140747176368</c:v>
                </c:pt>
                <c:pt idx="1807">
                  <c:v>111.68549087749784</c:v>
                </c:pt>
                <c:pt idx="1808">
                  <c:v>111.07732406602955</c:v>
                </c:pt>
                <c:pt idx="1809">
                  <c:v>111.07732406602955</c:v>
                </c:pt>
                <c:pt idx="1810">
                  <c:v>111.07732406602955</c:v>
                </c:pt>
                <c:pt idx="1811">
                  <c:v>107.29800173761946</c:v>
                </c:pt>
                <c:pt idx="1812">
                  <c:v>106.64639443961772</c:v>
                </c:pt>
                <c:pt idx="1813">
                  <c:v>101.82450043440487</c:v>
                </c:pt>
                <c:pt idx="1814">
                  <c:v>103.21459600347525</c:v>
                </c:pt>
                <c:pt idx="1815">
                  <c:v>100.95569070373587</c:v>
                </c:pt>
                <c:pt idx="1816">
                  <c:v>100.95569070373587</c:v>
                </c:pt>
                <c:pt idx="1817">
                  <c:v>100.95569070373587</c:v>
                </c:pt>
                <c:pt idx="1818">
                  <c:v>101.99826238053866</c:v>
                </c:pt>
                <c:pt idx="1819">
                  <c:v>103.17115551694178</c:v>
                </c:pt>
                <c:pt idx="1820">
                  <c:v>103.25803649000869</c:v>
                </c:pt>
                <c:pt idx="1821">
                  <c:v>101.43353605560384</c:v>
                </c:pt>
                <c:pt idx="1822">
                  <c:v>101.43353605560384</c:v>
                </c:pt>
                <c:pt idx="1823">
                  <c:v>101.43353605560384</c:v>
                </c:pt>
                <c:pt idx="1824">
                  <c:v>101.43353605560384</c:v>
                </c:pt>
                <c:pt idx="1825">
                  <c:v>99.826238053866206</c:v>
                </c:pt>
                <c:pt idx="1826">
                  <c:v>100</c:v>
                </c:pt>
              </c:numCache>
            </c:numRef>
          </c:val>
          <c:smooth val="0"/>
          <c:extLst>
            <c:ext xmlns:c16="http://schemas.microsoft.com/office/drawing/2014/chart" uri="{C3380CC4-5D6E-409C-BE32-E72D297353CC}">
              <c16:uniqueId val="{00000005-7F42-4D4F-88A4-F1EFF1B99B9D}"/>
            </c:ext>
          </c:extLst>
        </c:ser>
        <c:ser>
          <c:idx val="6"/>
          <c:order val="6"/>
          <c:tx>
            <c:strRef>
              <c:f>Indexed!$I$3</c:f>
              <c:strCache>
                <c:ptCount val="1"/>
                <c:pt idx="0">
                  <c:v>S&amp;P500</c:v>
                </c:pt>
              </c:strCache>
            </c:strRef>
          </c:tx>
          <c:spPr>
            <a:ln w="28575" cap="rnd">
              <a:solidFill>
                <a:schemeClr val="accent1">
                  <a:lumMod val="60000"/>
                </a:schemeClr>
              </a:solidFill>
              <a:round/>
            </a:ln>
            <a:effectLst/>
          </c:spPr>
          <c:marker>
            <c:symbol val="none"/>
          </c:marker>
          <c:cat>
            <c:numRef>
              <c:f>Indexed!$B$4:$B$1830</c:f>
              <c:numCache>
                <c:formatCode>[$-14009]dddd\,\ d\ mmmm\,\ yyyy;@</c:formatCode>
                <c:ptCount val="1827"/>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formatCode="m/d/yyyy">
                  <c:v>43351</c:v>
                </c:pt>
                <c:pt idx="1257" formatCode="m/d/yyyy">
                  <c:v>43350</c:v>
                </c:pt>
                <c:pt idx="1258" formatCode="m/d/yyyy">
                  <c:v>43349</c:v>
                </c:pt>
                <c:pt idx="1259" formatCode="m/d/yyyy">
                  <c:v>43348</c:v>
                </c:pt>
                <c:pt idx="1260" formatCode="m/d/yyyy">
                  <c:v>43347</c:v>
                </c:pt>
                <c:pt idx="1261" formatCode="m/d/yyyy">
                  <c:v>43346</c:v>
                </c:pt>
                <c:pt idx="1262" formatCode="m/d/yyyy">
                  <c:v>43345</c:v>
                </c:pt>
                <c:pt idx="1263" formatCode="m/d/yyyy">
                  <c:v>43344</c:v>
                </c:pt>
                <c:pt idx="1264" formatCode="m/d/yyyy">
                  <c:v>43343</c:v>
                </c:pt>
                <c:pt idx="1265" formatCode="m/d/yyyy">
                  <c:v>43342</c:v>
                </c:pt>
                <c:pt idx="1266" formatCode="m/d/yyyy">
                  <c:v>43341</c:v>
                </c:pt>
                <c:pt idx="1267" formatCode="m/d/yyyy">
                  <c:v>43340</c:v>
                </c:pt>
                <c:pt idx="1268" formatCode="m/d/yyyy">
                  <c:v>43339</c:v>
                </c:pt>
                <c:pt idx="1269" formatCode="m/d/yyyy">
                  <c:v>43338</c:v>
                </c:pt>
                <c:pt idx="1270" formatCode="m/d/yyyy">
                  <c:v>43337</c:v>
                </c:pt>
                <c:pt idx="1271" formatCode="m/d/yyyy">
                  <c:v>43336</c:v>
                </c:pt>
                <c:pt idx="1272" formatCode="m/d/yyyy">
                  <c:v>43335</c:v>
                </c:pt>
                <c:pt idx="1273" formatCode="m/d/yyyy">
                  <c:v>43334</c:v>
                </c:pt>
                <c:pt idx="1274" formatCode="m/d/yyyy">
                  <c:v>43333</c:v>
                </c:pt>
                <c:pt idx="1275" formatCode="m/d/yyyy">
                  <c:v>43332</c:v>
                </c:pt>
                <c:pt idx="1276" formatCode="m/d/yyyy">
                  <c:v>43331</c:v>
                </c:pt>
                <c:pt idx="1277" formatCode="m/d/yyyy">
                  <c:v>43330</c:v>
                </c:pt>
                <c:pt idx="1278" formatCode="m/d/yyyy">
                  <c:v>43329</c:v>
                </c:pt>
                <c:pt idx="1279" formatCode="m/d/yyyy">
                  <c:v>43328</c:v>
                </c:pt>
                <c:pt idx="1280" formatCode="m/d/yyyy">
                  <c:v>43327</c:v>
                </c:pt>
                <c:pt idx="1281" formatCode="m/d/yyyy">
                  <c:v>43326</c:v>
                </c:pt>
                <c:pt idx="1282" formatCode="m/d/yyyy">
                  <c:v>43325</c:v>
                </c:pt>
                <c:pt idx="1283" formatCode="m/d/yyyy">
                  <c:v>43324</c:v>
                </c:pt>
                <c:pt idx="1284" formatCode="m/d/yyyy">
                  <c:v>43323</c:v>
                </c:pt>
                <c:pt idx="1285" formatCode="m/d/yyyy">
                  <c:v>43322</c:v>
                </c:pt>
                <c:pt idx="1286" formatCode="m/d/yyyy">
                  <c:v>43321</c:v>
                </c:pt>
                <c:pt idx="1287" formatCode="m/d/yyyy">
                  <c:v>43320</c:v>
                </c:pt>
                <c:pt idx="1288" formatCode="m/d/yyyy">
                  <c:v>43319</c:v>
                </c:pt>
                <c:pt idx="1289" formatCode="m/d/yyyy">
                  <c:v>43318</c:v>
                </c:pt>
                <c:pt idx="1290" formatCode="m/d/yyyy">
                  <c:v>43317</c:v>
                </c:pt>
                <c:pt idx="1291" formatCode="m/d/yyyy">
                  <c:v>43316</c:v>
                </c:pt>
                <c:pt idx="1292" formatCode="m/d/yyyy">
                  <c:v>43315</c:v>
                </c:pt>
                <c:pt idx="1293" formatCode="m/d/yyyy">
                  <c:v>43314</c:v>
                </c:pt>
                <c:pt idx="1294" formatCode="m/d/yyyy">
                  <c:v>43313</c:v>
                </c:pt>
                <c:pt idx="1295" formatCode="m/d/yyyy">
                  <c:v>43312</c:v>
                </c:pt>
                <c:pt idx="1296" formatCode="m/d/yyyy">
                  <c:v>43311</c:v>
                </c:pt>
                <c:pt idx="1297" formatCode="m/d/yyyy">
                  <c:v>43310</c:v>
                </c:pt>
                <c:pt idx="1298" formatCode="m/d/yyyy">
                  <c:v>43309</c:v>
                </c:pt>
                <c:pt idx="1299" formatCode="m/d/yyyy">
                  <c:v>43308</c:v>
                </c:pt>
                <c:pt idx="1300" formatCode="m/d/yyyy">
                  <c:v>43307</c:v>
                </c:pt>
                <c:pt idx="1301" formatCode="m/d/yyyy">
                  <c:v>43306</c:v>
                </c:pt>
                <c:pt idx="1302" formatCode="m/d/yyyy">
                  <c:v>43305</c:v>
                </c:pt>
                <c:pt idx="1303" formatCode="m/d/yyyy">
                  <c:v>43304</c:v>
                </c:pt>
                <c:pt idx="1304" formatCode="m/d/yyyy">
                  <c:v>43303</c:v>
                </c:pt>
                <c:pt idx="1305" formatCode="m/d/yyyy">
                  <c:v>43302</c:v>
                </c:pt>
                <c:pt idx="1306" formatCode="m/d/yyyy">
                  <c:v>43301</c:v>
                </c:pt>
                <c:pt idx="1307" formatCode="m/d/yyyy">
                  <c:v>43300</c:v>
                </c:pt>
                <c:pt idx="1308" formatCode="m/d/yyyy">
                  <c:v>43299</c:v>
                </c:pt>
                <c:pt idx="1309" formatCode="m/d/yyyy">
                  <c:v>43298</c:v>
                </c:pt>
                <c:pt idx="1310" formatCode="m/d/yyyy">
                  <c:v>43297</c:v>
                </c:pt>
                <c:pt idx="1311" formatCode="m/d/yyyy">
                  <c:v>43296</c:v>
                </c:pt>
                <c:pt idx="1312" formatCode="m/d/yyyy">
                  <c:v>43295</c:v>
                </c:pt>
                <c:pt idx="1313" formatCode="m/d/yyyy">
                  <c:v>43294</c:v>
                </c:pt>
                <c:pt idx="1314" formatCode="m/d/yyyy">
                  <c:v>43293</c:v>
                </c:pt>
                <c:pt idx="1315" formatCode="m/d/yyyy">
                  <c:v>43292</c:v>
                </c:pt>
                <c:pt idx="1316" formatCode="m/d/yyyy">
                  <c:v>43291</c:v>
                </c:pt>
                <c:pt idx="1317" formatCode="m/d/yyyy">
                  <c:v>43290</c:v>
                </c:pt>
                <c:pt idx="1318" formatCode="m/d/yyyy">
                  <c:v>43289</c:v>
                </c:pt>
                <c:pt idx="1319" formatCode="m/d/yyyy">
                  <c:v>43288</c:v>
                </c:pt>
                <c:pt idx="1320" formatCode="m/d/yyyy">
                  <c:v>43287</c:v>
                </c:pt>
                <c:pt idx="1321" formatCode="m/d/yyyy">
                  <c:v>43286</c:v>
                </c:pt>
                <c:pt idx="1322" formatCode="m/d/yyyy">
                  <c:v>43285</c:v>
                </c:pt>
                <c:pt idx="1323" formatCode="m/d/yyyy">
                  <c:v>43284</c:v>
                </c:pt>
                <c:pt idx="1324" formatCode="m/d/yyyy">
                  <c:v>43283</c:v>
                </c:pt>
                <c:pt idx="1325" formatCode="m/d/yyyy">
                  <c:v>43282</c:v>
                </c:pt>
                <c:pt idx="1326" formatCode="m/d/yyyy">
                  <c:v>43281</c:v>
                </c:pt>
                <c:pt idx="1327" formatCode="m/d/yyyy">
                  <c:v>43280</c:v>
                </c:pt>
                <c:pt idx="1328" formatCode="m/d/yyyy">
                  <c:v>43279</c:v>
                </c:pt>
                <c:pt idx="1329" formatCode="m/d/yyyy">
                  <c:v>43278</c:v>
                </c:pt>
                <c:pt idx="1330" formatCode="m/d/yyyy">
                  <c:v>43277</c:v>
                </c:pt>
                <c:pt idx="1331" formatCode="m/d/yyyy">
                  <c:v>43276</c:v>
                </c:pt>
                <c:pt idx="1332" formatCode="m/d/yyyy">
                  <c:v>43275</c:v>
                </c:pt>
                <c:pt idx="1333" formatCode="m/d/yyyy">
                  <c:v>43274</c:v>
                </c:pt>
                <c:pt idx="1334" formatCode="m/d/yyyy">
                  <c:v>43273</c:v>
                </c:pt>
                <c:pt idx="1335" formatCode="m/d/yyyy">
                  <c:v>43272</c:v>
                </c:pt>
                <c:pt idx="1336" formatCode="m/d/yyyy">
                  <c:v>43271</c:v>
                </c:pt>
                <c:pt idx="1337" formatCode="m/d/yyyy">
                  <c:v>43270</c:v>
                </c:pt>
                <c:pt idx="1338" formatCode="m/d/yyyy">
                  <c:v>43269</c:v>
                </c:pt>
                <c:pt idx="1339" formatCode="m/d/yyyy">
                  <c:v>43268</c:v>
                </c:pt>
                <c:pt idx="1340" formatCode="m/d/yyyy">
                  <c:v>43267</c:v>
                </c:pt>
                <c:pt idx="1341" formatCode="m/d/yyyy">
                  <c:v>43266</c:v>
                </c:pt>
                <c:pt idx="1342" formatCode="m/d/yyyy">
                  <c:v>43265</c:v>
                </c:pt>
                <c:pt idx="1343" formatCode="m/d/yyyy">
                  <c:v>43264</c:v>
                </c:pt>
                <c:pt idx="1344" formatCode="m/d/yyyy">
                  <c:v>43263</c:v>
                </c:pt>
                <c:pt idx="1345" formatCode="m/d/yyyy">
                  <c:v>43262</c:v>
                </c:pt>
                <c:pt idx="1346" formatCode="m/d/yyyy">
                  <c:v>43261</c:v>
                </c:pt>
                <c:pt idx="1347" formatCode="m/d/yyyy">
                  <c:v>43260</c:v>
                </c:pt>
                <c:pt idx="1348" formatCode="m/d/yyyy">
                  <c:v>43259</c:v>
                </c:pt>
                <c:pt idx="1349" formatCode="m/d/yyyy">
                  <c:v>43258</c:v>
                </c:pt>
                <c:pt idx="1350" formatCode="m/d/yyyy">
                  <c:v>43257</c:v>
                </c:pt>
                <c:pt idx="1351" formatCode="m/d/yyyy">
                  <c:v>43256</c:v>
                </c:pt>
                <c:pt idx="1352" formatCode="m/d/yyyy">
                  <c:v>43255</c:v>
                </c:pt>
                <c:pt idx="1353" formatCode="m/d/yyyy">
                  <c:v>43254</c:v>
                </c:pt>
                <c:pt idx="1354" formatCode="m/d/yyyy">
                  <c:v>43253</c:v>
                </c:pt>
                <c:pt idx="1355" formatCode="m/d/yyyy">
                  <c:v>43252</c:v>
                </c:pt>
                <c:pt idx="1356" formatCode="m/d/yyyy">
                  <c:v>43251</c:v>
                </c:pt>
                <c:pt idx="1357" formatCode="m/d/yyyy">
                  <c:v>43250</c:v>
                </c:pt>
                <c:pt idx="1358" formatCode="m/d/yyyy">
                  <c:v>43249</c:v>
                </c:pt>
                <c:pt idx="1359" formatCode="m/d/yyyy">
                  <c:v>43248</c:v>
                </c:pt>
                <c:pt idx="1360" formatCode="m/d/yyyy">
                  <c:v>43247</c:v>
                </c:pt>
                <c:pt idx="1361" formatCode="m/d/yyyy">
                  <c:v>43246</c:v>
                </c:pt>
                <c:pt idx="1362" formatCode="m/d/yyyy">
                  <c:v>43245</c:v>
                </c:pt>
                <c:pt idx="1363" formatCode="m/d/yyyy">
                  <c:v>43244</c:v>
                </c:pt>
                <c:pt idx="1364" formatCode="m/d/yyyy">
                  <c:v>43243</c:v>
                </c:pt>
                <c:pt idx="1365" formatCode="m/d/yyyy">
                  <c:v>43242</c:v>
                </c:pt>
                <c:pt idx="1366" formatCode="m/d/yyyy">
                  <c:v>43241</c:v>
                </c:pt>
                <c:pt idx="1367" formatCode="m/d/yyyy">
                  <c:v>43240</c:v>
                </c:pt>
                <c:pt idx="1368" formatCode="m/d/yyyy">
                  <c:v>43239</c:v>
                </c:pt>
                <c:pt idx="1369" formatCode="m/d/yyyy">
                  <c:v>43238</c:v>
                </c:pt>
                <c:pt idx="1370" formatCode="m/d/yyyy">
                  <c:v>43237</c:v>
                </c:pt>
                <c:pt idx="1371" formatCode="m/d/yyyy">
                  <c:v>43236</c:v>
                </c:pt>
                <c:pt idx="1372" formatCode="m/d/yyyy">
                  <c:v>43235</c:v>
                </c:pt>
                <c:pt idx="1373" formatCode="m/d/yyyy">
                  <c:v>43234</c:v>
                </c:pt>
                <c:pt idx="1374" formatCode="m/d/yyyy">
                  <c:v>43233</c:v>
                </c:pt>
                <c:pt idx="1375" formatCode="m/d/yyyy">
                  <c:v>43232</c:v>
                </c:pt>
                <c:pt idx="1376" formatCode="m/d/yyyy">
                  <c:v>43231</c:v>
                </c:pt>
                <c:pt idx="1377" formatCode="m/d/yyyy">
                  <c:v>43230</c:v>
                </c:pt>
                <c:pt idx="1378" formatCode="m/d/yyyy">
                  <c:v>43229</c:v>
                </c:pt>
                <c:pt idx="1379" formatCode="m/d/yyyy">
                  <c:v>43228</c:v>
                </c:pt>
                <c:pt idx="1380" formatCode="m/d/yyyy">
                  <c:v>43227</c:v>
                </c:pt>
                <c:pt idx="1381" formatCode="m/d/yyyy">
                  <c:v>43226</c:v>
                </c:pt>
                <c:pt idx="1382" formatCode="m/d/yyyy">
                  <c:v>43225</c:v>
                </c:pt>
                <c:pt idx="1383" formatCode="m/d/yyyy">
                  <c:v>43224</c:v>
                </c:pt>
                <c:pt idx="1384" formatCode="m/d/yyyy">
                  <c:v>43223</c:v>
                </c:pt>
                <c:pt idx="1385" formatCode="m/d/yyyy">
                  <c:v>43222</c:v>
                </c:pt>
                <c:pt idx="1386" formatCode="m/d/yyyy">
                  <c:v>43221</c:v>
                </c:pt>
                <c:pt idx="1387" formatCode="m/d/yyyy">
                  <c:v>43220</c:v>
                </c:pt>
                <c:pt idx="1388" formatCode="m/d/yyyy">
                  <c:v>43219</c:v>
                </c:pt>
                <c:pt idx="1389" formatCode="m/d/yyyy">
                  <c:v>43218</c:v>
                </c:pt>
                <c:pt idx="1390" formatCode="m/d/yyyy">
                  <c:v>43217</c:v>
                </c:pt>
                <c:pt idx="1391" formatCode="m/d/yyyy">
                  <c:v>43216</c:v>
                </c:pt>
                <c:pt idx="1392" formatCode="m/d/yyyy">
                  <c:v>43215</c:v>
                </c:pt>
                <c:pt idx="1393" formatCode="m/d/yyyy">
                  <c:v>43214</c:v>
                </c:pt>
                <c:pt idx="1394" formatCode="m/d/yyyy">
                  <c:v>43213</c:v>
                </c:pt>
                <c:pt idx="1395" formatCode="m/d/yyyy">
                  <c:v>43212</c:v>
                </c:pt>
                <c:pt idx="1396" formatCode="m/d/yyyy">
                  <c:v>43211</c:v>
                </c:pt>
                <c:pt idx="1397" formatCode="m/d/yyyy">
                  <c:v>43210</c:v>
                </c:pt>
                <c:pt idx="1398" formatCode="m/d/yyyy">
                  <c:v>43209</c:v>
                </c:pt>
                <c:pt idx="1399" formatCode="m/d/yyyy">
                  <c:v>43208</c:v>
                </c:pt>
                <c:pt idx="1400" formatCode="m/d/yyyy">
                  <c:v>43207</c:v>
                </c:pt>
                <c:pt idx="1401" formatCode="m/d/yyyy">
                  <c:v>43206</c:v>
                </c:pt>
                <c:pt idx="1402" formatCode="m/d/yyyy">
                  <c:v>43205</c:v>
                </c:pt>
                <c:pt idx="1403" formatCode="m/d/yyyy">
                  <c:v>43204</c:v>
                </c:pt>
                <c:pt idx="1404" formatCode="m/d/yyyy">
                  <c:v>43203</c:v>
                </c:pt>
                <c:pt idx="1405" formatCode="m/d/yyyy">
                  <c:v>43202</c:v>
                </c:pt>
                <c:pt idx="1406" formatCode="m/d/yyyy">
                  <c:v>43201</c:v>
                </c:pt>
                <c:pt idx="1407" formatCode="m/d/yyyy">
                  <c:v>43200</c:v>
                </c:pt>
                <c:pt idx="1408" formatCode="m/d/yyyy">
                  <c:v>43199</c:v>
                </c:pt>
                <c:pt idx="1409" formatCode="m/d/yyyy">
                  <c:v>43198</c:v>
                </c:pt>
                <c:pt idx="1410" formatCode="m/d/yyyy">
                  <c:v>43197</c:v>
                </c:pt>
                <c:pt idx="1411" formatCode="m/d/yyyy">
                  <c:v>43196</c:v>
                </c:pt>
                <c:pt idx="1412" formatCode="m/d/yyyy">
                  <c:v>43195</c:v>
                </c:pt>
                <c:pt idx="1413" formatCode="m/d/yyyy">
                  <c:v>43194</c:v>
                </c:pt>
                <c:pt idx="1414" formatCode="m/d/yyyy">
                  <c:v>43193</c:v>
                </c:pt>
                <c:pt idx="1415" formatCode="m/d/yyyy">
                  <c:v>43192</c:v>
                </c:pt>
                <c:pt idx="1416" formatCode="m/d/yyyy">
                  <c:v>43191</c:v>
                </c:pt>
                <c:pt idx="1417" formatCode="m/d/yyyy">
                  <c:v>43190</c:v>
                </c:pt>
                <c:pt idx="1418" formatCode="m/d/yyyy">
                  <c:v>43189</c:v>
                </c:pt>
                <c:pt idx="1419" formatCode="m/d/yyyy">
                  <c:v>43188</c:v>
                </c:pt>
                <c:pt idx="1420" formatCode="m/d/yyyy">
                  <c:v>43187</c:v>
                </c:pt>
                <c:pt idx="1421" formatCode="m/d/yyyy">
                  <c:v>43186</c:v>
                </c:pt>
                <c:pt idx="1422" formatCode="m/d/yyyy">
                  <c:v>43185</c:v>
                </c:pt>
                <c:pt idx="1423" formatCode="m/d/yyyy">
                  <c:v>43184</c:v>
                </c:pt>
                <c:pt idx="1424" formatCode="m/d/yyyy">
                  <c:v>43183</c:v>
                </c:pt>
                <c:pt idx="1425" formatCode="m/d/yyyy">
                  <c:v>43182</c:v>
                </c:pt>
                <c:pt idx="1426" formatCode="m/d/yyyy">
                  <c:v>43181</c:v>
                </c:pt>
                <c:pt idx="1427" formatCode="m/d/yyyy">
                  <c:v>43180</c:v>
                </c:pt>
                <c:pt idx="1428" formatCode="m/d/yyyy">
                  <c:v>43179</c:v>
                </c:pt>
                <c:pt idx="1429" formatCode="m/d/yyyy">
                  <c:v>43178</c:v>
                </c:pt>
                <c:pt idx="1430" formatCode="m/d/yyyy">
                  <c:v>43177</c:v>
                </c:pt>
                <c:pt idx="1431" formatCode="m/d/yyyy">
                  <c:v>43176</c:v>
                </c:pt>
                <c:pt idx="1432" formatCode="m/d/yyyy">
                  <c:v>43175</c:v>
                </c:pt>
                <c:pt idx="1433" formatCode="m/d/yyyy">
                  <c:v>43174</c:v>
                </c:pt>
                <c:pt idx="1434" formatCode="m/d/yyyy">
                  <c:v>43173</c:v>
                </c:pt>
                <c:pt idx="1435" formatCode="m/d/yyyy">
                  <c:v>43172</c:v>
                </c:pt>
                <c:pt idx="1436" formatCode="m/d/yyyy">
                  <c:v>43171</c:v>
                </c:pt>
                <c:pt idx="1437" formatCode="m/d/yyyy">
                  <c:v>43170</c:v>
                </c:pt>
                <c:pt idx="1438" formatCode="m/d/yyyy">
                  <c:v>43169</c:v>
                </c:pt>
                <c:pt idx="1439" formatCode="m/d/yyyy">
                  <c:v>43168</c:v>
                </c:pt>
                <c:pt idx="1440" formatCode="m/d/yyyy">
                  <c:v>43167</c:v>
                </c:pt>
                <c:pt idx="1441" formatCode="m/d/yyyy">
                  <c:v>43166</c:v>
                </c:pt>
                <c:pt idx="1442" formatCode="m/d/yyyy">
                  <c:v>43165</c:v>
                </c:pt>
                <c:pt idx="1443" formatCode="m/d/yyyy">
                  <c:v>43164</c:v>
                </c:pt>
                <c:pt idx="1444" formatCode="m/d/yyyy">
                  <c:v>43163</c:v>
                </c:pt>
                <c:pt idx="1445" formatCode="m/d/yyyy">
                  <c:v>43162</c:v>
                </c:pt>
                <c:pt idx="1446" formatCode="m/d/yyyy">
                  <c:v>43161</c:v>
                </c:pt>
                <c:pt idx="1447" formatCode="m/d/yyyy">
                  <c:v>43160</c:v>
                </c:pt>
                <c:pt idx="1448" formatCode="m/d/yyyy">
                  <c:v>43159</c:v>
                </c:pt>
                <c:pt idx="1449" formatCode="m/d/yyyy">
                  <c:v>43158</c:v>
                </c:pt>
                <c:pt idx="1450" formatCode="m/d/yyyy">
                  <c:v>43157</c:v>
                </c:pt>
                <c:pt idx="1451" formatCode="m/d/yyyy">
                  <c:v>43156</c:v>
                </c:pt>
                <c:pt idx="1452" formatCode="m/d/yyyy">
                  <c:v>43155</c:v>
                </c:pt>
                <c:pt idx="1453" formatCode="m/d/yyyy">
                  <c:v>43154</c:v>
                </c:pt>
                <c:pt idx="1454" formatCode="m/d/yyyy">
                  <c:v>43153</c:v>
                </c:pt>
                <c:pt idx="1455" formatCode="m/d/yyyy">
                  <c:v>43152</c:v>
                </c:pt>
                <c:pt idx="1456" formatCode="m/d/yyyy">
                  <c:v>43151</c:v>
                </c:pt>
                <c:pt idx="1457" formatCode="m/d/yyyy">
                  <c:v>43150</c:v>
                </c:pt>
                <c:pt idx="1458" formatCode="m/d/yyyy">
                  <c:v>43149</c:v>
                </c:pt>
                <c:pt idx="1459" formatCode="m/d/yyyy">
                  <c:v>43148</c:v>
                </c:pt>
                <c:pt idx="1460" formatCode="m/d/yyyy">
                  <c:v>43147</c:v>
                </c:pt>
                <c:pt idx="1461" formatCode="m/d/yyyy">
                  <c:v>43146</c:v>
                </c:pt>
                <c:pt idx="1462" formatCode="m/d/yyyy">
                  <c:v>43145</c:v>
                </c:pt>
                <c:pt idx="1463" formatCode="m/d/yyyy">
                  <c:v>43144</c:v>
                </c:pt>
                <c:pt idx="1464" formatCode="m/d/yyyy">
                  <c:v>43143</c:v>
                </c:pt>
                <c:pt idx="1465" formatCode="m/d/yyyy">
                  <c:v>43142</c:v>
                </c:pt>
                <c:pt idx="1466" formatCode="m/d/yyyy">
                  <c:v>43141</c:v>
                </c:pt>
                <c:pt idx="1467" formatCode="m/d/yyyy">
                  <c:v>43140</c:v>
                </c:pt>
                <c:pt idx="1468" formatCode="m/d/yyyy">
                  <c:v>43139</c:v>
                </c:pt>
                <c:pt idx="1469" formatCode="m/d/yyyy">
                  <c:v>43138</c:v>
                </c:pt>
                <c:pt idx="1470" formatCode="m/d/yyyy">
                  <c:v>43137</c:v>
                </c:pt>
                <c:pt idx="1471" formatCode="m/d/yyyy">
                  <c:v>43136</c:v>
                </c:pt>
                <c:pt idx="1472" formatCode="m/d/yyyy">
                  <c:v>43135</c:v>
                </c:pt>
                <c:pt idx="1473" formatCode="m/d/yyyy">
                  <c:v>43134</c:v>
                </c:pt>
                <c:pt idx="1474" formatCode="m/d/yyyy">
                  <c:v>43133</c:v>
                </c:pt>
                <c:pt idx="1475" formatCode="m/d/yyyy">
                  <c:v>43132</c:v>
                </c:pt>
                <c:pt idx="1476" formatCode="m/d/yyyy">
                  <c:v>43131</c:v>
                </c:pt>
                <c:pt idx="1477" formatCode="m/d/yyyy">
                  <c:v>43130</c:v>
                </c:pt>
                <c:pt idx="1478" formatCode="m/d/yyyy">
                  <c:v>43129</c:v>
                </c:pt>
                <c:pt idx="1479" formatCode="m/d/yyyy">
                  <c:v>43128</c:v>
                </c:pt>
                <c:pt idx="1480" formatCode="m/d/yyyy">
                  <c:v>43127</c:v>
                </c:pt>
                <c:pt idx="1481" formatCode="m/d/yyyy">
                  <c:v>43126</c:v>
                </c:pt>
                <c:pt idx="1482" formatCode="m/d/yyyy">
                  <c:v>43125</c:v>
                </c:pt>
                <c:pt idx="1483" formatCode="m/d/yyyy">
                  <c:v>43124</c:v>
                </c:pt>
                <c:pt idx="1484" formatCode="m/d/yyyy">
                  <c:v>43123</c:v>
                </c:pt>
                <c:pt idx="1485" formatCode="m/d/yyyy">
                  <c:v>43122</c:v>
                </c:pt>
                <c:pt idx="1486" formatCode="m/d/yyyy">
                  <c:v>43121</c:v>
                </c:pt>
                <c:pt idx="1487" formatCode="m/d/yyyy">
                  <c:v>43120</c:v>
                </c:pt>
                <c:pt idx="1488" formatCode="m/d/yyyy">
                  <c:v>43119</c:v>
                </c:pt>
                <c:pt idx="1489" formatCode="m/d/yyyy">
                  <c:v>43118</c:v>
                </c:pt>
                <c:pt idx="1490" formatCode="m/d/yyyy">
                  <c:v>43117</c:v>
                </c:pt>
                <c:pt idx="1491" formatCode="m/d/yyyy">
                  <c:v>43116</c:v>
                </c:pt>
                <c:pt idx="1492" formatCode="m/d/yyyy">
                  <c:v>43115</c:v>
                </c:pt>
                <c:pt idx="1493" formatCode="m/d/yyyy">
                  <c:v>43114</c:v>
                </c:pt>
                <c:pt idx="1494" formatCode="m/d/yyyy">
                  <c:v>43113</c:v>
                </c:pt>
                <c:pt idx="1495" formatCode="m/d/yyyy">
                  <c:v>43112</c:v>
                </c:pt>
                <c:pt idx="1496" formatCode="m/d/yyyy">
                  <c:v>43111</c:v>
                </c:pt>
                <c:pt idx="1497" formatCode="m/d/yyyy">
                  <c:v>43110</c:v>
                </c:pt>
                <c:pt idx="1498" formatCode="m/d/yyyy">
                  <c:v>43109</c:v>
                </c:pt>
                <c:pt idx="1499" formatCode="m/d/yyyy">
                  <c:v>43108</c:v>
                </c:pt>
                <c:pt idx="1500" formatCode="m/d/yyyy">
                  <c:v>43107</c:v>
                </c:pt>
                <c:pt idx="1501" formatCode="m/d/yyyy">
                  <c:v>43106</c:v>
                </c:pt>
                <c:pt idx="1502" formatCode="m/d/yyyy">
                  <c:v>43105</c:v>
                </c:pt>
                <c:pt idx="1503" formatCode="m/d/yyyy">
                  <c:v>43104</c:v>
                </c:pt>
                <c:pt idx="1504" formatCode="m/d/yyyy">
                  <c:v>43103</c:v>
                </c:pt>
                <c:pt idx="1505" formatCode="m/d/yyyy">
                  <c:v>43102</c:v>
                </c:pt>
                <c:pt idx="1506" formatCode="m/d/yyyy">
                  <c:v>43101</c:v>
                </c:pt>
                <c:pt idx="1507" formatCode="m/d/yyyy">
                  <c:v>43100</c:v>
                </c:pt>
                <c:pt idx="1508" formatCode="m/d/yyyy">
                  <c:v>43099</c:v>
                </c:pt>
                <c:pt idx="1509" formatCode="m/d/yyyy">
                  <c:v>43098</c:v>
                </c:pt>
                <c:pt idx="1510" formatCode="m/d/yyyy">
                  <c:v>43097</c:v>
                </c:pt>
                <c:pt idx="1511" formatCode="m/d/yyyy">
                  <c:v>43096</c:v>
                </c:pt>
                <c:pt idx="1512" formatCode="m/d/yyyy">
                  <c:v>43095</c:v>
                </c:pt>
                <c:pt idx="1513" formatCode="m/d/yyyy">
                  <c:v>43094</c:v>
                </c:pt>
                <c:pt idx="1514" formatCode="m/d/yyyy">
                  <c:v>43093</c:v>
                </c:pt>
                <c:pt idx="1515" formatCode="m/d/yyyy">
                  <c:v>43092</c:v>
                </c:pt>
                <c:pt idx="1516" formatCode="m/d/yyyy">
                  <c:v>43091</c:v>
                </c:pt>
                <c:pt idx="1517" formatCode="m/d/yyyy">
                  <c:v>43090</c:v>
                </c:pt>
                <c:pt idx="1518" formatCode="m/d/yyyy">
                  <c:v>43089</c:v>
                </c:pt>
                <c:pt idx="1519" formatCode="m/d/yyyy">
                  <c:v>43088</c:v>
                </c:pt>
                <c:pt idx="1520" formatCode="m/d/yyyy">
                  <c:v>43087</c:v>
                </c:pt>
                <c:pt idx="1521" formatCode="m/d/yyyy">
                  <c:v>43086</c:v>
                </c:pt>
                <c:pt idx="1522" formatCode="m/d/yyyy">
                  <c:v>43085</c:v>
                </c:pt>
                <c:pt idx="1523" formatCode="m/d/yyyy">
                  <c:v>43084</c:v>
                </c:pt>
                <c:pt idx="1524" formatCode="m/d/yyyy">
                  <c:v>43083</c:v>
                </c:pt>
                <c:pt idx="1525" formatCode="m/d/yyyy">
                  <c:v>43082</c:v>
                </c:pt>
                <c:pt idx="1526" formatCode="m/d/yyyy">
                  <c:v>43081</c:v>
                </c:pt>
                <c:pt idx="1527" formatCode="m/d/yyyy">
                  <c:v>43080</c:v>
                </c:pt>
                <c:pt idx="1528" formatCode="m/d/yyyy">
                  <c:v>43079</c:v>
                </c:pt>
                <c:pt idx="1529" formatCode="m/d/yyyy">
                  <c:v>43078</c:v>
                </c:pt>
                <c:pt idx="1530" formatCode="m/d/yyyy">
                  <c:v>43077</c:v>
                </c:pt>
                <c:pt idx="1531" formatCode="m/d/yyyy">
                  <c:v>43076</c:v>
                </c:pt>
                <c:pt idx="1532" formatCode="m/d/yyyy">
                  <c:v>43075</c:v>
                </c:pt>
                <c:pt idx="1533" formatCode="m/d/yyyy">
                  <c:v>43074</c:v>
                </c:pt>
                <c:pt idx="1534" formatCode="m/d/yyyy">
                  <c:v>43073</c:v>
                </c:pt>
                <c:pt idx="1535" formatCode="m/d/yyyy">
                  <c:v>43072</c:v>
                </c:pt>
                <c:pt idx="1536" formatCode="m/d/yyyy">
                  <c:v>43071</c:v>
                </c:pt>
                <c:pt idx="1537" formatCode="m/d/yyyy">
                  <c:v>43070</c:v>
                </c:pt>
                <c:pt idx="1538" formatCode="m/d/yyyy">
                  <c:v>43069</c:v>
                </c:pt>
                <c:pt idx="1539" formatCode="m/d/yyyy">
                  <c:v>43068</c:v>
                </c:pt>
                <c:pt idx="1540" formatCode="m/d/yyyy">
                  <c:v>43067</c:v>
                </c:pt>
                <c:pt idx="1541" formatCode="m/d/yyyy">
                  <c:v>43066</c:v>
                </c:pt>
                <c:pt idx="1542" formatCode="m/d/yyyy">
                  <c:v>43065</c:v>
                </c:pt>
                <c:pt idx="1543" formatCode="m/d/yyyy">
                  <c:v>43064</c:v>
                </c:pt>
                <c:pt idx="1544" formatCode="m/d/yyyy">
                  <c:v>43063</c:v>
                </c:pt>
                <c:pt idx="1545" formatCode="m/d/yyyy">
                  <c:v>43062</c:v>
                </c:pt>
                <c:pt idx="1546" formatCode="m/d/yyyy">
                  <c:v>43061</c:v>
                </c:pt>
                <c:pt idx="1547" formatCode="m/d/yyyy">
                  <c:v>43060</c:v>
                </c:pt>
                <c:pt idx="1548" formatCode="m/d/yyyy">
                  <c:v>43059</c:v>
                </c:pt>
                <c:pt idx="1549" formatCode="m/d/yyyy">
                  <c:v>43058</c:v>
                </c:pt>
                <c:pt idx="1550" formatCode="m/d/yyyy">
                  <c:v>43057</c:v>
                </c:pt>
                <c:pt idx="1551" formatCode="m/d/yyyy">
                  <c:v>43056</c:v>
                </c:pt>
                <c:pt idx="1552" formatCode="m/d/yyyy">
                  <c:v>43055</c:v>
                </c:pt>
                <c:pt idx="1553" formatCode="m/d/yyyy">
                  <c:v>43054</c:v>
                </c:pt>
                <c:pt idx="1554" formatCode="m/d/yyyy">
                  <c:v>43053</c:v>
                </c:pt>
                <c:pt idx="1555" formatCode="m/d/yyyy">
                  <c:v>43052</c:v>
                </c:pt>
                <c:pt idx="1556" formatCode="m/d/yyyy">
                  <c:v>43051</c:v>
                </c:pt>
                <c:pt idx="1557" formatCode="m/d/yyyy">
                  <c:v>43050</c:v>
                </c:pt>
                <c:pt idx="1558" formatCode="m/d/yyyy">
                  <c:v>43049</c:v>
                </c:pt>
                <c:pt idx="1559" formatCode="m/d/yyyy">
                  <c:v>43048</c:v>
                </c:pt>
                <c:pt idx="1560" formatCode="m/d/yyyy">
                  <c:v>43047</c:v>
                </c:pt>
                <c:pt idx="1561" formatCode="m/d/yyyy">
                  <c:v>43046</c:v>
                </c:pt>
                <c:pt idx="1562" formatCode="m/d/yyyy">
                  <c:v>43045</c:v>
                </c:pt>
                <c:pt idx="1563" formatCode="m/d/yyyy">
                  <c:v>43044</c:v>
                </c:pt>
                <c:pt idx="1564" formatCode="m/d/yyyy">
                  <c:v>43043</c:v>
                </c:pt>
                <c:pt idx="1565" formatCode="m/d/yyyy">
                  <c:v>43042</c:v>
                </c:pt>
                <c:pt idx="1566" formatCode="m/d/yyyy">
                  <c:v>43041</c:v>
                </c:pt>
                <c:pt idx="1567" formatCode="m/d/yyyy">
                  <c:v>43040</c:v>
                </c:pt>
                <c:pt idx="1568" formatCode="m/d/yyyy">
                  <c:v>43039</c:v>
                </c:pt>
                <c:pt idx="1569" formatCode="m/d/yyyy">
                  <c:v>43038</c:v>
                </c:pt>
                <c:pt idx="1570" formatCode="m/d/yyyy">
                  <c:v>43037</c:v>
                </c:pt>
                <c:pt idx="1571" formatCode="m/d/yyyy">
                  <c:v>43036</c:v>
                </c:pt>
                <c:pt idx="1572" formatCode="m/d/yyyy">
                  <c:v>43035</c:v>
                </c:pt>
                <c:pt idx="1573" formatCode="m/d/yyyy">
                  <c:v>43034</c:v>
                </c:pt>
                <c:pt idx="1574" formatCode="m/d/yyyy">
                  <c:v>43033</c:v>
                </c:pt>
                <c:pt idx="1575" formatCode="m/d/yyyy">
                  <c:v>43032</c:v>
                </c:pt>
                <c:pt idx="1576" formatCode="m/d/yyyy">
                  <c:v>43031</c:v>
                </c:pt>
                <c:pt idx="1577" formatCode="m/d/yyyy">
                  <c:v>43030</c:v>
                </c:pt>
                <c:pt idx="1578" formatCode="m/d/yyyy">
                  <c:v>43029</c:v>
                </c:pt>
                <c:pt idx="1579" formatCode="m/d/yyyy">
                  <c:v>43028</c:v>
                </c:pt>
                <c:pt idx="1580" formatCode="m/d/yyyy">
                  <c:v>43027</c:v>
                </c:pt>
                <c:pt idx="1581" formatCode="m/d/yyyy">
                  <c:v>43026</c:v>
                </c:pt>
                <c:pt idx="1582" formatCode="m/d/yyyy">
                  <c:v>43025</c:v>
                </c:pt>
                <c:pt idx="1583" formatCode="m/d/yyyy">
                  <c:v>43024</c:v>
                </c:pt>
                <c:pt idx="1584" formatCode="m/d/yyyy">
                  <c:v>43023</c:v>
                </c:pt>
                <c:pt idx="1585" formatCode="m/d/yyyy">
                  <c:v>43022</c:v>
                </c:pt>
                <c:pt idx="1586" formatCode="m/d/yyyy">
                  <c:v>43021</c:v>
                </c:pt>
                <c:pt idx="1587" formatCode="m/d/yyyy">
                  <c:v>43020</c:v>
                </c:pt>
                <c:pt idx="1588" formatCode="m/d/yyyy">
                  <c:v>43019</c:v>
                </c:pt>
                <c:pt idx="1589" formatCode="m/d/yyyy">
                  <c:v>43018</c:v>
                </c:pt>
                <c:pt idx="1590" formatCode="m/d/yyyy">
                  <c:v>43017</c:v>
                </c:pt>
                <c:pt idx="1591" formatCode="m/d/yyyy">
                  <c:v>43016</c:v>
                </c:pt>
                <c:pt idx="1592" formatCode="m/d/yyyy">
                  <c:v>43015</c:v>
                </c:pt>
                <c:pt idx="1593" formatCode="m/d/yyyy">
                  <c:v>43014</c:v>
                </c:pt>
                <c:pt idx="1594" formatCode="m/d/yyyy">
                  <c:v>43013</c:v>
                </c:pt>
                <c:pt idx="1595" formatCode="m/d/yyyy">
                  <c:v>43012</c:v>
                </c:pt>
                <c:pt idx="1596" formatCode="m/d/yyyy">
                  <c:v>43011</c:v>
                </c:pt>
                <c:pt idx="1597" formatCode="m/d/yyyy">
                  <c:v>43010</c:v>
                </c:pt>
                <c:pt idx="1598" formatCode="m/d/yyyy">
                  <c:v>43009</c:v>
                </c:pt>
                <c:pt idx="1599" formatCode="m/d/yyyy">
                  <c:v>43008</c:v>
                </c:pt>
                <c:pt idx="1600" formatCode="m/d/yyyy">
                  <c:v>43007</c:v>
                </c:pt>
                <c:pt idx="1601" formatCode="m/d/yyyy">
                  <c:v>43006</c:v>
                </c:pt>
                <c:pt idx="1602" formatCode="m/d/yyyy">
                  <c:v>43005</c:v>
                </c:pt>
                <c:pt idx="1603" formatCode="m/d/yyyy">
                  <c:v>43004</c:v>
                </c:pt>
                <c:pt idx="1604" formatCode="m/d/yyyy">
                  <c:v>43003</c:v>
                </c:pt>
                <c:pt idx="1605" formatCode="m/d/yyyy">
                  <c:v>43002</c:v>
                </c:pt>
                <c:pt idx="1606" formatCode="m/d/yyyy">
                  <c:v>43001</c:v>
                </c:pt>
                <c:pt idx="1607" formatCode="m/d/yyyy">
                  <c:v>43000</c:v>
                </c:pt>
                <c:pt idx="1608" formatCode="m/d/yyyy">
                  <c:v>42999</c:v>
                </c:pt>
                <c:pt idx="1609" formatCode="m/d/yyyy">
                  <c:v>42998</c:v>
                </c:pt>
                <c:pt idx="1610" formatCode="m/d/yyyy">
                  <c:v>42997</c:v>
                </c:pt>
                <c:pt idx="1611" formatCode="m/d/yyyy">
                  <c:v>42996</c:v>
                </c:pt>
                <c:pt idx="1612" formatCode="m/d/yyyy">
                  <c:v>42995</c:v>
                </c:pt>
                <c:pt idx="1613" formatCode="m/d/yyyy">
                  <c:v>42994</c:v>
                </c:pt>
                <c:pt idx="1614" formatCode="m/d/yyyy">
                  <c:v>42993</c:v>
                </c:pt>
                <c:pt idx="1615" formatCode="m/d/yyyy">
                  <c:v>42992</c:v>
                </c:pt>
                <c:pt idx="1616" formatCode="m/d/yyyy">
                  <c:v>42991</c:v>
                </c:pt>
                <c:pt idx="1617" formatCode="m/d/yyyy">
                  <c:v>42990</c:v>
                </c:pt>
                <c:pt idx="1618" formatCode="m/d/yyyy">
                  <c:v>42989</c:v>
                </c:pt>
                <c:pt idx="1619" formatCode="m/d/yyyy">
                  <c:v>42988</c:v>
                </c:pt>
                <c:pt idx="1620" formatCode="m/d/yyyy">
                  <c:v>42987</c:v>
                </c:pt>
                <c:pt idx="1621" formatCode="m/d/yyyy">
                  <c:v>42986</c:v>
                </c:pt>
                <c:pt idx="1622" formatCode="m/d/yyyy">
                  <c:v>42985</c:v>
                </c:pt>
                <c:pt idx="1623" formatCode="m/d/yyyy">
                  <c:v>42984</c:v>
                </c:pt>
                <c:pt idx="1624" formatCode="m/d/yyyy">
                  <c:v>42983</c:v>
                </c:pt>
                <c:pt idx="1625" formatCode="m/d/yyyy">
                  <c:v>42982</c:v>
                </c:pt>
                <c:pt idx="1626" formatCode="m/d/yyyy">
                  <c:v>42981</c:v>
                </c:pt>
                <c:pt idx="1627" formatCode="m/d/yyyy">
                  <c:v>42980</c:v>
                </c:pt>
                <c:pt idx="1628" formatCode="m/d/yyyy">
                  <c:v>42979</c:v>
                </c:pt>
                <c:pt idx="1629" formatCode="m/d/yyyy">
                  <c:v>42978</c:v>
                </c:pt>
                <c:pt idx="1630" formatCode="m/d/yyyy">
                  <c:v>42977</c:v>
                </c:pt>
                <c:pt idx="1631" formatCode="m/d/yyyy">
                  <c:v>42976</c:v>
                </c:pt>
                <c:pt idx="1632" formatCode="m/d/yyyy">
                  <c:v>42975</c:v>
                </c:pt>
                <c:pt idx="1633" formatCode="m/d/yyyy">
                  <c:v>42974</c:v>
                </c:pt>
                <c:pt idx="1634" formatCode="m/d/yyyy">
                  <c:v>42973</c:v>
                </c:pt>
                <c:pt idx="1635" formatCode="m/d/yyyy">
                  <c:v>42972</c:v>
                </c:pt>
                <c:pt idx="1636" formatCode="m/d/yyyy">
                  <c:v>42971</c:v>
                </c:pt>
                <c:pt idx="1637" formatCode="m/d/yyyy">
                  <c:v>42970</c:v>
                </c:pt>
                <c:pt idx="1638" formatCode="m/d/yyyy">
                  <c:v>42969</c:v>
                </c:pt>
                <c:pt idx="1639" formatCode="m/d/yyyy">
                  <c:v>42968</c:v>
                </c:pt>
                <c:pt idx="1640" formatCode="m/d/yyyy">
                  <c:v>42967</c:v>
                </c:pt>
                <c:pt idx="1641" formatCode="m/d/yyyy">
                  <c:v>42966</c:v>
                </c:pt>
                <c:pt idx="1642" formatCode="m/d/yyyy">
                  <c:v>42965</c:v>
                </c:pt>
                <c:pt idx="1643" formatCode="m/d/yyyy">
                  <c:v>42964</c:v>
                </c:pt>
                <c:pt idx="1644" formatCode="m/d/yyyy">
                  <c:v>42963</c:v>
                </c:pt>
                <c:pt idx="1645" formatCode="m/d/yyyy">
                  <c:v>42962</c:v>
                </c:pt>
                <c:pt idx="1646" formatCode="m/d/yyyy">
                  <c:v>42961</c:v>
                </c:pt>
                <c:pt idx="1647" formatCode="m/d/yyyy">
                  <c:v>42960</c:v>
                </c:pt>
                <c:pt idx="1648" formatCode="m/d/yyyy">
                  <c:v>42959</c:v>
                </c:pt>
                <c:pt idx="1649" formatCode="m/d/yyyy">
                  <c:v>42958</c:v>
                </c:pt>
                <c:pt idx="1650" formatCode="m/d/yyyy">
                  <c:v>42957</c:v>
                </c:pt>
                <c:pt idx="1651" formatCode="m/d/yyyy">
                  <c:v>42956</c:v>
                </c:pt>
                <c:pt idx="1652" formatCode="m/d/yyyy">
                  <c:v>42955</c:v>
                </c:pt>
                <c:pt idx="1653" formatCode="m/d/yyyy">
                  <c:v>42954</c:v>
                </c:pt>
                <c:pt idx="1654" formatCode="m/d/yyyy">
                  <c:v>42953</c:v>
                </c:pt>
                <c:pt idx="1655" formatCode="m/d/yyyy">
                  <c:v>42952</c:v>
                </c:pt>
                <c:pt idx="1656" formatCode="m/d/yyyy">
                  <c:v>42951</c:v>
                </c:pt>
                <c:pt idx="1657" formatCode="m/d/yyyy">
                  <c:v>42950</c:v>
                </c:pt>
                <c:pt idx="1658" formatCode="m/d/yyyy">
                  <c:v>42949</c:v>
                </c:pt>
                <c:pt idx="1659" formatCode="m/d/yyyy">
                  <c:v>42948</c:v>
                </c:pt>
                <c:pt idx="1660" formatCode="m/d/yyyy">
                  <c:v>42947</c:v>
                </c:pt>
                <c:pt idx="1661" formatCode="m/d/yyyy">
                  <c:v>42946</c:v>
                </c:pt>
                <c:pt idx="1662" formatCode="m/d/yyyy">
                  <c:v>42945</c:v>
                </c:pt>
                <c:pt idx="1663" formatCode="m/d/yyyy">
                  <c:v>42944</c:v>
                </c:pt>
                <c:pt idx="1664" formatCode="m/d/yyyy">
                  <c:v>42943</c:v>
                </c:pt>
                <c:pt idx="1665" formatCode="m/d/yyyy">
                  <c:v>42942</c:v>
                </c:pt>
                <c:pt idx="1666" formatCode="m/d/yyyy">
                  <c:v>42941</c:v>
                </c:pt>
                <c:pt idx="1667" formatCode="m/d/yyyy">
                  <c:v>42940</c:v>
                </c:pt>
                <c:pt idx="1668" formatCode="m/d/yyyy">
                  <c:v>42939</c:v>
                </c:pt>
                <c:pt idx="1669" formatCode="m/d/yyyy">
                  <c:v>42938</c:v>
                </c:pt>
                <c:pt idx="1670" formatCode="m/d/yyyy">
                  <c:v>42937</c:v>
                </c:pt>
                <c:pt idx="1671" formatCode="m/d/yyyy">
                  <c:v>42936</c:v>
                </c:pt>
                <c:pt idx="1672" formatCode="m/d/yyyy">
                  <c:v>42935</c:v>
                </c:pt>
                <c:pt idx="1673" formatCode="m/d/yyyy">
                  <c:v>42934</c:v>
                </c:pt>
                <c:pt idx="1674" formatCode="m/d/yyyy">
                  <c:v>42933</c:v>
                </c:pt>
                <c:pt idx="1675" formatCode="m/d/yyyy">
                  <c:v>42932</c:v>
                </c:pt>
                <c:pt idx="1676" formatCode="m/d/yyyy">
                  <c:v>42931</c:v>
                </c:pt>
                <c:pt idx="1677" formatCode="m/d/yyyy">
                  <c:v>42930</c:v>
                </c:pt>
                <c:pt idx="1678" formatCode="m/d/yyyy">
                  <c:v>42929</c:v>
                </c:pt>
                <c:pt idx="1679" formatCode="m/d/yyyy">
                  <c:v>42928</c:v>
                </c:pt>
                <c:pt idx="1680" formatCode="m/d/yyyy">
                  <c:v>42927</c:v>
                </c:pt>
                <c:pt idx="1681" formatCode="m/d/yyyy">
                  <c:v>42926</c:v>
                </c:pt>
                <c:pt idx="1682" formatCode="m/d/yyyy">
                  <c:v>42925</c:v>
                </c:pt>
                <c:pt idx="1683" formatCode="m/d/yyyy">
                  <c:v>42924</c:v>
                </c:pt>
                <c:pt idx="1684" formatCode="m/d/yyyy">
                  <c:v>42923</c:v>
                </c:pt>
                <c:pt idx="1685" formatCode="m/d/yyyy">
                  <c:v>42922</c:v>
                </c:pt>
                <c:pt idx="1686" formatCode="m/d/yyyy">
                  <c:v>42921</c:v>
                </c:pt>
                <c:pt idx="1687" formatCode="m/d/yyyy">
                  <c:v>42920</c:v>
                </c:pt>
                <c:pt idx="1688" formatCode="m/d/yyyy">
                  <c:v>42919</c:v>
                </c:pt>
                <c:pt idx="1689" formatCode="m/d/yyyy">
                  <c:v>42918</c:v>
                </c:pt>
                <c:pt idx="1690" formatCode="m/d/yyyy">
                  <c:v>42917</c:v>
                </c:pt>
                <c:pt idx="1691" formatCode="m/d/yyyy">
                  <c:v>42916</c:v>
                </c:pt>
                <c:pt idx="1692" formatCode="m/d/yyyy">
                  <c:v>42915</c:v>
                </c:pt>
                <c:pt idx="1693" formatCode="m/d/yyyy">
                  <c:v>42914</c:v>
                </c:pt>
                <c:pt idx="1694" formatCode="m/d/yyyy">
                  <c:v>42913</c:v>
                </c:pt>
                <c:pt idx="1695" formatCode="m/d/yyyy">
                  <c:v>42912</c:v>
                </c:pt>
                <c:pt idx="1696" formatCode="m/d/yyyy">
                  <c:v>42911</c:v>
                </c:pt>
                <c:pt idx="1697" formatCode="m/d/yyyy">
                  <c:v>42910</c:v>
                </c:pt>
                <c:pt idx="1698" formatCode="m/d/yyyy">
                  <c:v>42909</c:v>
                </c:pt>
                <c:pt idx="1699" formatCode="m/d/yyyy">
                  <c:v>42908</c:v>
                </c:pt>
                <c:pt idx="1700" formatCode="m/d/yyyy">
                  <c:v>42907</c:v>
                </c:pt>
                <c:pt idx="1701" formatCode="m/d/yyyy">
                  <c:v>42906</c:v>
                </c:pt>
                <c:pt idx="1702" formatCode="m/d/yyyy">
                  <c:v>42905</c:v>
                </c:pt>
                <c:pt idx="1703" formatCode="m/d/yyyy">
                  <c:v>42904</c:v>
                </c:pt>
                <c:pt idx="1704" formatCode="m/d/yyyy">
                  <c:v>42903</c:v>
                </c:pt>
                <c:pt idx="1705" formatCode="m/d/yyyy">
                  <c:v>42902</c:v>
                </c:pt>
                <c:pt idx="1706" formatCode="m/d/yyyy">
                  <c:v>42901</c:v>
                </c:pt>
                <c:pt idx="1707" formatCode="m/d/yyyy">
                  <c:v>42900</c:v>
                </c:pt>
                <c:pt idx="1708" formatCode="m/d/yyyy">
                  <c:v>42899</c:v>
                </c:pt>
                <c:pt idx="1709" formatCode="m/d/yyyy">
                  <c:v>42898</c:v>
                </c:pt>
                <c:pt idx="1710" formatCode="m/d/yyyy">
                  <c:v>42897</c:v>
                </c:pt>
                <c:pt idx="1711" formatCode="m/d/yyyy">
                  <c:v>42896</c:v>
                </c:pt>
                <c:pt idx="1712" formatCode="m/d/yyyy">
                  <c:v>42895</c:v>
                </c:pt>
                <c:pt idx="1713" formatCode="m/d/yyyy">
                  <c:v>42894</c:v>
                </c:pt>
                <c:pt idx="1714" formatCode="m/d/yyyy">
                  <c:v>42893</c:v>
                </c:pt>
                <c:pt idx="1715" formatCode="m/d/yyyy">
                  <c:v>42892</c:v>
                </c:pt>
                <c:pt idx="1716" formatCode="m/d/yyyy">
                  <c:v>42891</c:v>
                </c:pt>
                <c:pt idx="1717" formatCode="m/d/yyyy">
                  <c:v>42890</c:v>
                </c:pt>
                <c:pt idx="1718" formatCode="m/d/yyyy">
                  <c:v>42889</c:v>
                </c:pt>
                <c:pt idx="1719" formatCode="m/d/yyyy">
                  <c:v>42888</c:v>
                </c:pt>
                <c:pt idx="1720" formatCode="m/d/yyyy">
                  <c:v>42887</c:v>
                </c:pt>
                <c:pt idx="1721" formatCode="m/d/yyyy">
                  <c:v>42886</c:v>
                </c:pt>
                <c:pt idx="1722" formatCode="m/d/yyyy">
                  <c:v>42885</c:v>
                </c:pt>
                <c:pt idx="1723" formatCode="m/d/yyyy">
                  <c:v>42884</c:v>
                </c:pt>
                <c:pt idx="1724" formatCode="m/d/yyyy">
                  <c:v>42883</c:v>
                </c:pt>
                <c:pt idx="1725" formatCode="m/d/yyyy">
                  <c:v>42882</c:v>
                </c:pt>
                <c:pt idx="1726" formatCode="m/d/yyyy">
                  <c:v>42881</c:v>
                </c:pt>
                <c:pt idx="1727" formatCode="m/d/yyyy">
                  <c:v>42880</c:v>
                </c:pt>
                <c:pt idx="1728" formatCode="m/d/yyyy">
                  <c:v>42879</c:v>
                </c:pt>
                <c:pt idx="1729" formatCode="m/d/yyyy">
                  <c:v>42878</c:v>
                </c:pt>
                <c:pt idx="1730" formatCode="m/d/yyyy">
                  <c:v>42877</c:v>
                </c:pt>
                <c:pt idx="1731" formatCode="m/d/yyyy">
                  <c:v>42876</c:v>
                </c:pt>
                <c:pt idx="1732" formatCode="m/d/yyyy">
                  <c:v>42875</c:v>
                </c:pt>
                <c:pt idx="1733" formatCode="m/d/yyyy">
                  <c:v>42874</c:v>
                </c:pt>
                <c:pt idx="1734" formatCode="m/d/yyyy">
                  <c:v>42873</c:v>
                </c:pt>
                <c:pt idx="1735" formatCode="m/d/yyyy">
                  <c:v>42872</c:v>
                </c:pt>
                <c:pt idx="1736" formatCode="m/d/yyyy">
                  <c:v>42871</c:v>
                </c:pt>
                <c:pt idx="1737" formatCode="m/d/yyyy">
                  <c:v>42870</c:v>
                </c:pt>
                <c:pt idx="1738" formatCode="m/d/yyyy">
                  <c:v>42869</c:v>
                </c:pt>
                <c:pt idx="1739" formatCode="m/d/yyyy">
                  <c:v>42868</c:v>
                </c:pt>
                <c:pt idx="1740" formatCode="m/d/yyyy">
                  <c:v>42867</c:v>
                </c:pt>
                <c:pt idx="1741" formatCode="m/d/yyyy">
                  <c:v>42866</c:v>
                </c:pt>
                <c:pt idx="1742" formatCode="m/d/yyyy">
                  <c:v>42865</c:v>
                </c:pt>
                <c:pt idx="1743" formatCode="m/d/yyyy">
                  <c:v>42864</c:v>
                </c:pt>
                <c:pt idx="1744" formatCode="m/d/yyyy">
                  <c:v>42863</c:v>
                </c:pt>
                <c:pt idx="1745" formatCode="m/d/yyyy">
                  <c:v>42862</c:v>
                </c:pt>
                <c:pt idx="1746" formatCode="m/d/yyyy">
                  <c:v>42861</c:v>
                </c:pt>
                <c:pt idx="1747" formatCode="m/d/yyyy">
                  <c:v>42860</c:v>
                </c:pt>
                <c:pt idx="1748" formatCode="m/d/yyyy">
                  <c:v>42859</c:v>
                </c:pt>
                <c:pt idx="1749" formatCode="m/d/yyyy">
                  <c:v>42858</c:v>
                </c:pt>
                <c:pt idx="1750" formatCode="m/d/yyyy">
                  <c:v>42857</c:v>
                </c:pt>
                <c:pt idx="1751" formatCode="m/d/yyyy">
                  <c:v>42856</c:v>
                </c:pt>
                <c:pt idx="1752" formatCode="m/d/yyyy">
                  <c:v>42855</c:v>
                </c:pt>
                <c:pt idx="1753" formatCode="m/d/yyyy">
                  <c:v>42854</c:v>
                </c:pt>
                <c:pt idx="1754" formatCode="m/d/yyyy">
                  <c:v>42853</c:v>
                </c:pt>
                <c:pt idx="1755" formatCode="m/d/yyyy">
                  <c:v>42852</c:v>
                </c:pt>
                <c:pt idx="1756" formatCode="m/d/yyyy">
                  <c:v>42851</c:v>
                </c:pt>
                <c:pt idx="1757" formatCode="m/d/yyyy">
                  <c:v>42850</c:v>
                </c:pt>
                <c:pt idx="1758" formatCode="m/d/yyyy">
                  <c:v>42849</c:v>
                </c:pt>
                <c:pt idx="1759" formatCode="m/d/yyyy">
                  <c:v>42848</c:v>
                </c:pt>
                <c:pt idx="1760" formatCode="m/d/yyyy">
                  <c:v>42847</c:v>
                </c:pt>
                <c:pt idx="1761" formatCode="m/d/yyyy">
                  <c:v>42846</c:v>
                </c:pt>
                <c:pt idx="1762" formatCode="m/d/yyyy">
                  <c:v>42845</c:v>
                </c:pt>
                <c:pt idx="1763" formatCode="m/d/yyyy">
                  <c:v>42844</c:v>
                </c:pt>
                <c:pt idx="1764" formatCode="m/d/yyyy">
                  <c:v>42843</c:v>
                </c:pt>
                <c:pt idx="1765" formatCode="m/d/yyyy">
                  <c:v>42842</c:v>
                </c:pt>
                <c:pt idx="1766" formatCode="m/d/yyyy">
                  <c:v>42841</c:v>
                </c:pt>
                <c:pt idx="1767" formatCode="m/d/yyyy">
                  <c:v>42840</c:v>
                </c:pt>
                <c:pt idx="1768" formatCode="m/d/yyyy">
                  <c:v>42839</c:v>
                </c:pt>
                <c:pt idx="1769" formatCode="m/d/yyyy">
                  <c:v>42838</c:v>
                </c:pt>
                <c:pt idx="1770" formatCode="m/d/yyyy">
                  <c:v>42837</c:v>
                </c:pt>
                <c:pt idx="1771" formatCode="m/d/yyyy">
                  <c:v>42836</c:v>
                </c:pt>
                <c:pt idx="1772" formatCode="m/d/yyyy">
                  <c:v>42835</c:v>
                </c:pt>
                <c:pt idx="1773" formatCode="m/d/yyyy">
                  <c:v>42834</c:v>
                </c:pt>
                <c:pt idx="1774" formatCode="m/d/yyyy">
                  <c:v>42833</c:v>
                </c:pt>
                <c:pt idx="1775" formatCode="m/d/yyyy">
                  <c:v>42832</c:v>
                </c:pt>
                <c:pt idx="1776" formatCode="m/d/yyyy">
                  <c:v>42831</c:v>
                </c:pt>
                <c:pt idx="1777" formatCode="m/d/yyyy">
                  <c:v>42830</c:v>
                </c:pt>
                <c:pt idx="1778" formatCode="m/d/yyyy">
                  <c:v>42829</c:v>
                </c:pt>
                <c:pt idx="1779" formatCode="m/d/yyyy">
                  <c:v>42828</c:v>
                </c:pt>
                <c:pt idx="1780" formatCode="m/d/yyyy">
                  <c:v>42827</c:v>
                </c:pt>
                <c:pt idx="1781" formatCode="m/d/yyyy">
                  <c:v>42826</c:v>
                </c:pt>
                <c:pt idx="1782" formatCode="m/d/yyyy">
                  <c:v>42825</c:v>
                </c:pt>
                <c:pt idx="1783" formatCode="m/d/yyyy">
                  <c:v>42824</c:v>
                </c:pt>
                <c:pt idx="1784" formatCode="m/d/yyyy">
                  <c:v>42823</c:v>
                </c:pt>
                <c:pt idx="1785" formatCode="m/d/yyyy">
                  <c:v>42822</c:v>
                </c:pt>
                <c:pt idx="1786" formatCode="m/d/yyyy">
                  <c:v>42821</c:v>
                </c:pt>
                <c:pt idx="1787" formatCode="m/d/yyyy">
                  <c:v>42820</c:v>
                </c:pt>
                <c:pt idx="1788" formatCode="m/d/yyyy">
                  <c:v>42819</c:v>
                </c:pt>
                <c:pt idx="1789" formatCode="m/d/yyyy">
                  <c:v>42818</c:v>
                </c:pt>
                <c:pt idx="1790" formatCode="m/d/yyyy">
                  <c:v>42817</c:v>
                </c:pt>
                <c:pt idx="1791" formatCode="m/d/yyyy">
                  <c:v>42816</c:v>
                </c:pt>
                <c:pt idx="1792" formatCode="m/d/yyyy">
                  <c:v>42815</c:v>
                </c:pt>
                <c:pt idx="1793" formatCode="m/d/yyyy">
                  <c:v>42814</c:v>
                </c:pt>
                <c:pt idx="1794" formatCode="m/d/yyyy">
                  <c:v>42813</c:v>
                </c:pt>
                <c:pt idx="1795" formatCode="m/d/yyyy">
                  <c:v>42812</c:v>
                </c:pt>
                <c:pt idx="1796" formatCode="m/d/yyyy">
                  <c:v>42811</c:v>
                </c:pt>
                <c:pt idx="1797" formatCode="m/d/yyyy">
                  <c:v>42810</c:v>
                </c:pt>
                <c:pt idx="1798" formatCode="m/d/yyyy">
                  <c:v>42809</c:v>
                </c:pt>
                <c:pt idx="1799" formatCode="m/d/yyyy">
                  <c:v>42808</c:v>
                </c:pt>
                <c:pt idx="1800" formatCode="m/d/yyyy">
                  <c:v>42807</c:v>
                </c:pt>
                <c:pt idx="1801" formatCode="m/d/yyyy">
                  <c:v>42806</c:v>
                </c:pt>
                <c:pt idx="1802" formatCode="m/d/yyyy">
                  <c:v>42805</c:v>
                </c:pt>
                <c:pt idx="1803" formatCode="m/d/yyyy">
                  <c:v>42804</c:v>
                </c:pt>
                <c:pt idx="1804" formatCode="m/d/yyyy">
                  <c:v>42803</c:v>
                </c:pt>
                <c:pt idx="1805" formatCode="m/d/yyyy">
                  <c:v>42802</c:v>
                </c:pt>
                <c:pt idx="1806" formatCode="m/d/yyyy">
                  <c:v>42801</c:v>
                </c:pt>
                <c:pt idx="1807" formatCode="m/d/yyyy">
                  <c:v>42800</c:v>
                </c:pt>
                <c:pt idx="1808" formatCode="m/d/yyyy">
                  <c:v>42799</c:v>
                </c:pt>
                <c:pt idx="1809" formatCode="m/d/yyyy">
                  <c:v>42798</c:v>
                </c:pt>
                <c:pt idx="1810" formatCode="m/d/yyyy">
                  <c:v>42797</c:v>
                </c:pt>
                <c:pt idx="1811" formatCode="m/d/yyyy">
                  <c:v>42796</c:v>
                </c:pt>
                <c:pt idx="1812" formatCode="m/d/yyyy">
                  <c:v>42795</c:v>
                </c:pt>
                <c:pt idx="1813" formatCode="m/d/yyyy">
                  <c:v>42794</c:v>
                </c:pt>
                <c:pt idx="1814" formatCode="m/d/yyyy">
                  <c:v>42793</c:v>
                </c:pt>
                <c:pt idx="1815" formatCode="m/d/yyyy">
                  <c:v>42792</c:v>
                </c:pt>
                <c:pt idx="1816" formatCode="m/d/yyyy">
                  <c:v>42791</c:v>
                </c:pt>
                <c:pt idx="1817" formatCode="m/d/yyyy">
                  <c:v>42790</c:v>
                </c:pt>
                <c:pt idx="1818" formatCode="m/d/yyyy">
                  <c:v>42789</c:v>
                </c:pt>
                <c:pt idx="1819" formatCode="m/d/yyyy">
                  <c:v>42788</c:v>
                </c:pt>
                <c:pt idx="1820" formatCode="m/d/yyyy">
                  <c:v>42787</c:v>
                </c:pt>
                <c:pt idx="1821" formatCode="m/d/yyyy">
                  <c:v>42786</c:v>
                </c:pt>
                <c:pt idx="1822" formatCode="m/d/yyyy">
                  <c:v>42785</c:v>
                </c:pt>
                <c:pt idx="1823" formatCode="m/d/yyyy">
                  <c:v>42784</c:v>
                </c:pt>
                <c:pt idx="1824" formatCode="m/d/yyyy">
                  <c:v>42783</c:v>
                </c:pt>
                <c:pt idx="1825" formatCode="m/d/yyyy">
                  <c:v>42782</c:v>
                </c:pt>
                <c:pt idx="1826" formatCode="m/d/yyyy">
                  <c:v>42781</c:v>
                </c:pt>
              </c:numCache>
            </c:numRef>
          </c:cat>
          <c:val>
            <c:numRef>
              <c:f>Indexed!$I$4:$I$1830</c:f>
              <c:numCache>
                <c:formatCode>0</c:formatCode>
                <c:ptCount val="1827"/>
                <c:pt idx="0">
                  <c:v>0</c:v>
                </c:pt>
                <c:pt idx="1">
                  <c:v>187.36490369266787</c:v>
                </c:pt>
                <c:pt idx="2">
                  <c:v>188.08726189209324</c:v>
                </c:pt>
                <c:pt idx="3">
                  <c:v>188.08726189209324</c:v>
                </c:pt>
                <c:pt idx="4">
                  <c:v>188.08726189209324</c:v>
                </c:pt>
                <c:pt idx="5">
                  <c:v>191.72416728743215</c:v>
                </c:pt>
                <c:pt idx="6">
                  <c:v>195.26146642545496</c:v>
                </c:pt>
                <c:pt idx="7">
                  <c:v>192.46738320740661</c:v>
                </c:pt>
                <c:pt idx="8">
                  <c:v>190.86389273172287</c:v>
                </c:pt>
                <c:pt idx="9">
                  <c:v>191.57305523039267</c:v>
                </c:pt>
                <c:pt idx="10">
                  <c:v>191.57305523039267</c:v>
                </c:pt>
                <c:pt idx="11">
                  <c:v>191.57305523039267</c:v>
                </c:pt>
                <c:pt idx="12">
                  <c:v>190.59018835798659</c:v>
                </c:pt>
                <c:pt idx="13">
                  <c:v>195.35511333404278</c:v>
                </c:pt>
                <c:pt idx="14">
                  <c:v>193.53155262317762</c:v>
                </c:pt>
                <c:pt idx="15">
                  <c:v>192.21240821538791</c:v>
                </c:pt>
                <c:pt idx="16">
                  <c:v>188.64956901138663</c:v>
                </c:pt>
                <c:pt idx="17">
                  <c:v>188.64956901138663</c:v>
                </c:pt>
                <c:pt idx="18">
                  <c:v>188.64956901138663</c:v>
                </c:pt>
                <c:pt idx="19">
                  <c:v>184.16558476109398</c:v>
                </c:pt>
                <c:pt idx="20">
                  <c:v>185.16249866978825</c:v>
                </c:pt>
                <c:pt idx="21">
                  <c:v>185.4400340534213</c:v>
                </c:pt>
                <c:pt idx="22">
                  <c:v>187.72501862296477</c:v>
                </c:pt>
                <c:pt idx="23">
                  <c:v>187.20612961583484</c:v>
                </c:pt>
                <c:pt idx="24">
                  <c:v>187.20612961583484</c:v>
                </c:pt>
                <c:pt idx="25">
                  <c:v>187.20612961583484</c:v>
                </c:pt>
                <c:pt idx="26">
                  <c:v>190.81536660636371</c:v>
                </c:pt>
                <c:pt idx="27">
                  <c:v>192.94498244120467</c:v>
                </c:pt>
                <c:pt idx="28">
                  <c:v>194.83281898478236</c:v>
                </c:pt>
                <c:pt idx="29">
                  <c:v>198.4824944131106</c:v>
                </c:pt>
                <c:pt idx="30">
                  <c:v>198.4824944131106</c:v>
                </c:pt>
                <c:pt idx="31">
                  <c:v>198.4824944131106</c:v>
                </c:pt>
                <c:pt idx="32">
                  <c:v>198.4824944131106</c:v>
                </c:pt>
                <c:pt idx="33">
                  <c:v>198.31988932638075</c:v>
                </c:pt>
                <c:pt idx="34">
                  <c:v>201.18548472916888</c:v>
                </c:pt>
                <c:pt idx="35">
                  <c:v>200.62019793551133</c:v>
                </c:pt>
                <c:pt idx="36">
                  <c:v>198.79919123124401</c:v>
                </c:pt>
                <c:pt idx="37">
                  <c:v>199.08609130573586</c:v>
                </c:pt>
                <c:pt idx="38">
                  <c:v>199.08609130573586</c:v>
                </c:pt>
                <c:pt idx="39">
                  <c:v>199.08609130573586</c:v>
                </c:pt>
                <c:pt idx="40">
                  <c:v>199.89571139725447</c:v>
                </c:pt>
                <c:pt idx="41">
                  <c:v>200.08853889539213</c:v>
                </c:pt>
                <c:pt idx="42">
                  <c:v>204.045546450995</c:v>
                </c:pt>
                <c:pt idx="43">
                  <c:v>204.17409811642014</c:v>
                </c:pt>
                <c:pt idx="44">
                  <c:v>202.88091944237524</c:v>
                </c:pt>
                <c:pt idx="45">
                  <c:v>202.88091944237524</c:v>
                </c:pt>
                <c:pt idx="46">
                  <c:v>202.88091944237524</c:v>
                </c:pt>
                <c:pt idx="47">
                  <c:v>203.41513248909226</c:v>
                </c:pt>
                <c:pt idx="48">
                  <c:v>204.02511439821222</c:v>
                </c:pt>
                <c:pt idx="49">
                  <c:v>203.73949132701927</c:v>
                </c:pt>
                <c:pt idx="50">
                  <c:v>203.9455145259125</c:v>
                </c:pt>
                <c:pt idx="51">
                  <c:v>201.16164733425563</c:v>
                </c:pt>
                <c:pt idx="52">
                  <c:v>201.16164733425563</c:v>
                </c:pt>
                <c:pt idx="53">
                  <c:v>201.16164733425563</c:v>
                </c:pt>
                <c:pt idx="54">
                  <c:v>201.16164733425563</c:v>
                </c:pt>
                <c:pt idx="55">
                  <c:v>199.91742045333618</c:v>
                </c:pt>
                <c:pt idx="56">
                  <c:v>197.90273491539853</c:v>
                </c:pt>
                <c:pt idx="57">
                  <c:v>194.44588698520806</c:v>
                </c:pt>
                <c:pt idx="58">
                  <c:v>196.68575077152283</c:v>
                </c:pt>
                <c:pt idx="59">
                  <c:v>196.68575077152283</c:v>
                </c:pt>
                <c:pt idx="60">
                  <c:v>196.68575077152283</c:v>
                </c:pt>
                <c:pt idx="61">
                  <c:v>198.73023305310207</c:v>
                </c:pt>
                <c:pt idx="62">
                  <c:v>200.48313291476006</c:v>
                </c:pt>
                <c:pt idx="63">
                  <c:v>197.25827391720762</c:v>
                </c:pt>
                <c:pt idx="64">
                  <c:v>198.74300308609131</c:v>
                </c:pt>
                <c:pt idx="65">
                  <c:v>200.57550282004897</c:v>
                </c:pt>
                <c:pt idx="66">
                  <c:v>200.57550282004897</c:v>
                </c:pt>
                <c:pt idx="67">
                  <c:v>200.57550282004897</c:v>
                </c:pt>
                <c:pt idx="68">
                  <c:v>198.67830158561242</c:v>
                </c:pt>
                <c:pt idx="69">
                  <c:v>200.11535596466956</c:v>
                </c:pt>
                <c:pt idx="70">
                  <c:v>199.49984037458762</c:v>
                </c:pt>
                <c:pt idx="71">
                  <c:v>195.45259125252741</c:v>
                </c:pt>
                <c:pt idx="72">
                  <c:v>193.18633606470149</c:v>
                </c:pt>
                <c:pt idx="73">
                  <c:v>193.18633606470149</c:v>
                </c:pt>
                <c:pt idx="74">
                  <c:v>193.18633606470149</c:v>
                </c:pt>
                <c:pt idx="75">
                  <c:v>194.83239331701608</c:v>
                </c:pt>
                <c:pt idx="76">
                  <c:v>192.10556560604448</c:v>
                </c:pt>
                <c:pt idx="77">
                  <c:v>194.4024688730446</c:v>
                </c:pt>
                <c:pt idx="78">
                  <c:v>198.15983824624882</c:v>
                </c:pt>
                <c:pt idx="79">
                  <c:v>195.57816324358836</c:v>
                </c:pt>
                <c:pt idx="80">
                  <c:v>195.57816324358836</c:v>
                </c:pt>
                <c:pt idx="81">
                  <c:v>195.57816324358836</c:v>
                </c:pt>
                <c:pt idx="82">
                  <c:v>200.12599765882732</c:v>
                </c:pt>
                <c:pt idx="83">
                  <c:v>200.12599765882732</c:v>
                </c:pt>
                <c:pt idx="84">
                  <c:v>199.66797914227945</c:v>
                </c:pt>
                <c:pt idx="85">
                  <c:v>199.3376609556241</c:v>
                </c:pt>
                <c:pt idx="86">
                  <c:v>199.97701394061934</c:v>
                </c:pt>
                <c:pt idx="87">
                  <c:v>199.97701394061934</c:v>
                </c:pt>
                <c:pt idx="88">
                  <c:v>199.97701394061934</c:v>
                </c:pt>
                <c:pt idx="89">
                  <c:v>200.25710333085027</c:v>
                </c:pt>
                <c:pt idx="90">
                  <c:v>199.58156858571886</c:v>
                </c:pt>
                <c:pt idx="91">
                  <c:v>200.10216026391402</c:v>
                </c:pt>
                <c:pt idx="92">
                  <c:v>199.33170160689582</c:v>
                </c:pt>
                <c:pt idx="93">
                  <c:v>199.33382994572736</c:v>
                </c:pt>
                <c:pt idx="94">
                  <c:v>199.33382994572736</c:v>
                </c:pt>
                <c:pt idx="95">
                  <c:v>199.33382994572736</c:v>
                </c:pt>
                <c:pt idx="96">
                  <c:v>197.90443758646379</c:v>
                </c:pt>
                <c:pt idx="97">
                  <c:v>197.79546663828881</c:v>
                </c:pt>
                <c:pt idx="98">
                  <c:v>199.43599020964137</c:v>
                </c:pt>
                <c:pt idx="99">
                  <c:v>200.13621368521868</c:v>
                </c:pt>
                <c:pt idx="100">
                  <c:v>199.95871022666807</c:v>
                </c:pt>
                <c:pt idx="101">
                  <c:v>199.95871022666807</c:v>
                </c:pt>
                <c:pt idx="102">
                  <c:v>199.95871022666807</c:v>
                </c:pt>
                <c:pt idx="103">
                  <c:v>199.21506863892733</c:v>
                </c:pt>
                <c:pt idx="104">
                  <c:v>198.38544216239225</c:v>
                </c:pt>
                <c:pt idx="105">
                  <c:v>197.11184420559752</c:v>
                </c:pt>
                <c:pt idx="106">
                  <c:v>196.3890603384059</c:v>
                </c:pt>
                <c:pt idx="107">
                  <c:v>196.03618176013623</c:v>
                </c:pt>
                <c:pt idx="108">
                  <c:v>196.03618176013623</c:v>
                </c:pt>
                <c:pt idx="109">
                  <c:v>196.03618176013623</c:v>
                </c:pt>
                <c:pt idx="110">
                  <c:v>195.6547834415239</c:v>
                </c:pt>
                <c:pt idx="111">
                  <c:v>193.75034585506015</c:v>
                </c:pt>
                <c:pt idx="112">
                  <c:v>194.73406406299881</c:v>
                </c:pt>
                <c:pt idx="113">
                  <c:v>194.38033414919653</c:v>
                </c:pt>
                <c:pt idx="114">
                  <c:v>193.461743109503</c:v>
                </c:pt>
                <c:pt idx="115">
                  <c:v>193.461743109503</c:v>
                </c:pt>
                <c:pt idx="116">
                  <c:v>193.461743109503</c:v>
                </c:pt>
                <c:pt idx="117">
                  <c:v>193.6694689794615</c:v>
                </c:pt>
                <c:pt idx="118">
                  <c:v>193.0909864850484</c:v>
                </c:pt>
                <c:pt idx="119">
                  <c:v>192.38608066404171</c:v>
                </c:pt>
                <c:pt idx="120">
                  <c:v>190.97414068319677</c:v>
                </c:pt>
                <c:pt idx="121">
                  <c:v>190.3318080238374</c:v>
                </c:pt>
                <c:pt idx="122">
                  <c:v>190.3318080238374</c:v>
                </c:pt>
                <c:pt idx="123">
                  <c:v>190.3318080238374</c:v>
                </c:pt>
                <c:pt idx="124">
                  <c:v>188.92242204959032</c:v>
                </c:pt>
                <c:pt idx="125">
                  <c:v>185.75289986165799</c:v>
                </c:pt>
                <c:pt idx="126">
                  <c:v>185.19314674896242</c:v>
                </c:pt>
                <c:pt idx="127">
                  <c:v>185.64180057465148</c:v>
                </c:pt>
                <c:pt idx="128">
                  <c:v>186.9251888900713</c:v>
                </c:pt>
                <c:pt idx="129">
                  <c:v>186.9251888900713</c:v>
                </c:pt>
                <c:pt idx="130">
                  <c:v>186.9251888900713</c:v>
                </c:pt>
                <c:pt idx="131">
                  <c:v>187.28360114930297</c:v>
                </c:pt>
                <c:pt idx="132">
                  <c:v>185.74225816750027</c:v>
                </c:pt>
                <c:pt idx="133">
                  <c:v>184.98329254017241</c:v>
                </c:pt>
                <c:pt idx="134">
                  <c:v>183.05672022986059</c:v>
                </c:pt>
                <c:pt idx="135">
                  <c:v>185.4651484516335</c:v>
                </c:pt>
                <c:pt idx="136">
                  <c:v>185.4651484516335</c:v>
                </c:pt>
                <c:pt idx="137">
                  <c:v>185.4651484516335</c:v>
                </c:pt>
                <c:pt idx="138">
                  <c:v>183.35809300840694</c:v>
                </c:pt>
                <c:pt idx="139">
                  <c:v>185.56816005108016</c:v>
                </c:pt>
                <c:pt idx="140">
                  <c:v>185.2774289666915</c:v>
                </c:pt>
                <c:pt idx="141">
                  <c:v>189.12887091624987</c:v>
                </c:pt>
                <c:pt idx="142">
                  <c:v>189.65542194317334</c:v>
                </c:pt>
                <c:pt idx="143">
                  <c:v>189.65542194317334</c:v>
                </c:pt>
                <c:pt idx="144">
                  <c:v>189.65542194317334</c:v>
                </c:pt>
                <c:pt idx="145">
                  <c:v>189.37873789507287</c:v>
                </c:pt>
                <c:pt idx="146">
                  <c:v>187.10822602958393</c:v>
                </c:pt>
                <c:pt idx="147">
                  <c:v>185.3438331382356</c:v>
                </c:pt>
                <c:pt idx="148">
                  <c:v>185.49451952750874</c:v>
                </c:pt>
                <c:pt idx="149">
                  <c:v>188.69809513674576</c:v>
                </c:pt>
                <c:pt idx="150">
                  <c:v>188.69809513674576</c:v>
                </c:pt>
                <c:pt idx="151">
                  <c:v>188.69809513674576</c:v>
                </c:pt>
                <c:pt idx="152">
                  <c:v>190.4331169522188</c:v>
                </c:pt>
                <c:pt idx="153">
                  <c:v>190.72895604980312</c:v>
                </c:pt>
                <c:pt idx="154">
                  <c:v>189.12631690965202</c:v>
                </c:pt>
                <c:pt idx="155">
                  <c:v>190.21943173353196</c:v>
                </c:pt>
                <c:pt idx="156">
                  <c:v>189.78737895072894</c:v>
                </c:pt>
                <c:pt idx="157">
                  <c:v>189.78737895072894</c:v>
                </c:pt>
                <c:pt idx="158">
                  <c:v>189.78737895072894</c:v>
                </c:pt>
                <c:pt idx="159">
                  <c:v>191.26444609981908</c:v>
                </c:pt>
                <c:pt idx="160">
                  <c:v>192.14940938597425</c:v>
                </c:pt>
                <c:pt idx="161">
                  <c:v>192.40310737469403</c:v>
                </c:pt>
                <c:pt idx="162">
                  <c:v>193.058635734809</c:v>
                </c:pt>
                <c:pt idx="163">
                  <c:v>193.058635734809</c:v>
                </c:pt>
                <c:pt idx="164">
                  <c:v>193.058635734809</c:v>
                </c:pt>
                <c:pt idx="165">
                  <c:v>193.058635734809</c:v>
                </c:pt>
                <c:pt idx="166">
                  <c:v>193.12333723528786</c:v>
                </c:pt>
                <c:pt idx="167">
                  <c:v>192.57592848781528</c:v>
                </c:pt>
                <c:pt idx="168">
                  <c:v>192.5159093327658</c:v>
                </c:pt>
                <c:pt idx="169">
                  <c:v>192.7759923379802</c:v>
                </c:pt>
                <c:pt idx="170">
                  <c:v>191.9493455358093</c:v>
                </c:pt>
                <c:pt idx="171">
                  <c:v>191.9493455358093</c:v>
                </c:pt>
                <c:pt idx="172">
                  <c:v>191.9493455358093</c:v>
                </c:pt>
                <c:pt idx="173">
                  <c:v>190.27349153985313</c:v>
                </c:pt>
                <c:pt idx="174">
                  <c:v>191.38831541981483</c:v>
                </c:pt>
                <c:pt idx="175">
                  <c:v>190.96435032457165</c:v>
                </c:pt>
                <c:pt idx="176">
                  <c:v>190.67915292114503</c:v>
                </c:pt>
                <c:pt idx="177">
                  <c:v>189.06757475790147</c:v>
                </c:pt>
                <c:pt idx="178">
                  <c:v>189.06757475790147</c:v>
                </c:pt>
                <c:pt idx="179">
                  <c:v>189.06757475790147</c:v>
                </c:pt>
                <c:pt idx="180">
                  <c:v>187.54070448015327</c:v>
                </c:pt>
                <c:pt idx="181">
                  <c:v>187.30531020538473</c:v>
                </c:pt>
                <c:pt idx="182">
                  <c:v>189.34042779610513</c:v>
                </c:pt>
                <c:pt idx="183">
                  <c:v>190.6868149409386</c:v>
                </c:pt>
                <c:pt idx="184">
                  <c:v>190.18835798659146</c:v>
                </c:pt>
                <c:pt idx="185">
                  <c:v>190.18835798659146</c:v>
                </c:pt>
                <c:pt idx="186">
                  <c:v>190.18835798659146</c:v>
                </c:pt>
                <c:pt idx="187">
                  <c:v>189.88315419814833</c:v>
                </c:pt>
                <c:pt idx="188">
                  <c:v>189.3242524209854</c:v>
                </c:pt>
                <c:pt idx="189">
                  <c:v>188.85814621687774</c:v>
                </c:pt>
                <c:pt idx="190">
                  <c:v>188.67085239970206</c:v>
                </c:pt>
                <c:pt idx="191">
                  <c:v>188.84835585825266</c:v>
                </c:pt>
                <c:pt idx="192">
                  <c:v>188.84835585825266</c:v>
                </c:pt>
                <c:pt idx="193">
                  <c:v>188.84835585825266</c:v>
                </c:pt>
                <c:pt idx="194">
                  <c:v>188.53251037565181</c:v>
                </c:pt>
                <c:pt idx="195">
                  <c:v>187.40704480153241</c:v>
                </c:pt>
                <c:pt idx="196">
                  <c:v>188.27923805469828</c:v>
                </c:pt>
                <c:pt idx="197">
                  <c:v>186.74725976375439</c:v>
                </c:pt>
                <c:pt idx="198">
                  <c:v>187.0920506544642</c:v>
                </c:pt>
                <c:pt idx="199">
                  <c:v>187.0920506544642</c:v>
                </c:pt>
                <c:pt idx="200">
                  <c:v>187.0920506544642</c:v>
                </c:pt>
                <c:pt idx="201">
                  <c:v>188.10897094817494</c:v>
                </c:pt>
                <c:pt idx="202">
                  <c:v>187.32105991273812</c:v>
                </c:pt>
                <c:pt idx="203">
                  <c:v>187.3559646695754</c:v>
                </c:pt>
                <c:pt idx="204">
                  <c:v>188.24305629456211</c:v>
                </c:pt>
                <c:pt idx="205">
                  <c:v>187.79567947217197</c:v>
                </c:pt>
                <c:pt idx="206">
                  <c:v>187.79567947217197</c:v>
                </c:pt>
                <c:pt idx="207">
                  <c:v>187.79567947217197</c:v>
                </c:pt>
                <c:pt idx="208">
                  <c:v>185.90954559965945</c:v>
                </c:pt>
                <c:pt idx="209">
                  <c:v>185.53538363307436</c:v>
                </c:pt>
                <c:pt idx="210">
                  <c:v>184.01872938171761</c:v>
                </c:pt>
                <c:pt idx="211">
                  <c:v>181.27019261466424</c:v>
                </c:pt>
                <c:pt idx="212">
                  <c:v>184.193253165904</c:v>
                </c:pt>
                <c:pt idx="213">
                  <c:v>184.193253165904</c:v>
                </c:pt>
                <c:pt idx="214">
                  <c:v>184.193253165904</c:v>
                </c:pt>
                <c:pt idx="215">
                  <c:v>185.59242311375971</c:v>
                </c:pt>
                <c:pt idx="216">
                  <c:v>186.1998510162818</c:v>
                </c:pt>
                <c:pt idx="217">
                  <c:v>185.98318612323081</c:v>
                </c:pt>
                <c:pt idx="218">
                  <c:v>186.63956581887837</c:v>
                </c:pt>
                <c:pt idx="219">
                  <c:v>185.99765882728531</c:v>
                </c:pt>
                <c:pt idx="220">
                  <c:v>185.99765882728531</c:v>
                </c:pt>
                <c:pt idx="221">
                  <c:v>185.99765882728531</c:v>
                </c:pt>
                <c:pt idx="222">
                  <c:v>183.92337980206449</c:v>
                </c:pt>
                <c:pt idx="223">
                  <c:v>185.51154623816112</c:v>
                </c:pt>
                <c:pt idx="224">
                  <c:v>184.89049696711717</c:v>
                </c:pt>
                <c:pt idx="225">
                  <c:v>185.26508460146854</c:v>
                </c:pt>
                <c:pt idx="226">
                  <c:v>185.26508460146854</c:v>
                </c:pt>
                <c:pt idx="227">
                  <c:v>185.26508460146854</c:v>
                </c:pt>
                <c:pt idx="228">
                  <c:v>185.26508460146854</c:v>
                </c:pt>
                <c:pt idx="229">
                  <c:v>183.88592103862933</c:v>
                </c:pt>
                <c:pt idx="230">
                  <c:v>182.9307225710333</c:v>
                </c:pt>
                <c:pt idx="231">
                  <c:v>182.68809194423753</c:v>
                </c:pt>
                <c:pt idx="232">
                  <c:v>182.63743748004683</c:v>
                </c:pt>
                <c:pt idx="233">
                  <c:v>182.21560072363519</c:v>
                </c:pt>
                <c:pt idx="234">
                  <c:v>182.21560072363519</c:v>
                </c:pt>
                <c:pt idx="235">
                  <c:v>182.21560072363519</c:v>
                </c:pt>
                <c:pt idx="236">
                  <c:v>181.61072682771095</c:v>
                </c:pt>
                <c:pt idx="237">
                  <c:v>180.56145578376078</c:v>
                </c:pt>
                <c:pt idx="238">
                  <c:v>180.75726295626262</c:v>
                </c:pt>
                <c:pt idx="239">
                  <c:v>179.83569224220494</c:v>
                </c:pt>
                <c:pt idx="240">
                  <c:v>177.35234649356178</c:v>
                </c:pt>
                <c:pt idx="241">
                  <c:v>177.35234649356178</c:v>
                </c:pt>
                <c:pt idx="242">
                  <c:v>177.35234649356178</c:v>
                </c:pt>
                <c:pt idx="243">
                  <c:v>179.71097158667661</c:v>
                </c:pt>
                <c:pt idx="244">
                  <c:v>179.78929445567732</c:v>
                </c:pt>
                <c:pt idx="245">
                  <c:v>180.76364797275727</c:v>
                </c:pt>
                <c:pt idx="246">
                  <c:v>181.12801958071722</c:v>
                </c:pt>
                <c:pt idx="247">
                  <c:v>180.79982973289347</c:v>
                </c:pt>
                <c:pt idx="248">
                  <c:v>180.79982973289347</c:v>
                </c:pt>
                <c:pt idx="249">
                  <c:v>180.79982973289347</c:v>
                </c:pt>
                <c:pt idx="250">
                  <c:v>180.44822815792276</c:v>
                </c:pt>
                <c:pt idx="251">
                  <c:v>179.61264233265936</c:v>
                </c:pt>
                <c:pt idx="252">
                  <c:v>179.94083218048314</c:v>
                </c:pt>
                <c:pt idx="253">
                  <c:v>179.90933276577633</c:v>
                </c:pt>
                <c:pt idx="254">
                  <c:v>180.05278280302227</c:v>
                </c:pt>
                <c:pt idx="255">
                  <c:v>180.05278280302227</c:v>
                </c:pt>
                <c:pt idx="256">
                  <c:v>180.05278280302227</c:v>
                </c:pt>
                <c:pt idx="257">
                  <c:v>178.47610939661595</c:v>
                </c:pt>
                <c:pt idx="258">
                  <c:v>179.12610407576886</c:v>
                </c:pt>
                <c:pt idx="259">
                  <c:v>178.86729807385336</c:v>
                </c:pt>
                <c:pt idx="260">
                  <c:v>178.95541130147919</c:v>
                </c:pt>
                <c:pt idx="261">
                  <c:v>178.95541130147919</c:v>
                </c:pt>
                <c:pt idx="262">
                  <c:v>178.95541130147919</c:v>
                </c:pt>
                <c:pt idx="263">
                  <c:v>178.95541130147919</c:v>
                </c:pt>
                <c:pt idx="264">
                  <c:v>178.81792061296159</c:v>
                </c:pt>
                <c:pt idx="265">
                  <c:v>178.60976907523678</c:v>
                </c:pt>
                <c:pt idx="266">
                  <c:v>178.27519421091839</c:v>
                </c:pt>
                <c:pt idx="267">
                  <c:v>178.65488985846548</c:v>
                </c:pt>
                <c:pt idx="268">
                  <c:v>176.90156432904115</c:v>
                </c:pt>
                <c:pt idx="269">
                  <c:v>176.90156432904115</c:v>
                </c:pt>
                <c:pt idx="270">
                  <c:v>176.90156432904115</c:v>
                </c:pt>
                <c:pt idx="271">
                  <c:v>177.0403320208577</c:v>
                </c:pt>
                <c:pt idx="272">
                  <c:v>175.19123124401406</c:v>
                </c:pt>
                <c:pt idx="273">
                  <c:v>175.70841758007873</c:v>
                </c:pt>
                <c:pt idx="274">
                  <c:v>177.21783547940834</c:v>
                </c:pt>
                <c:pt idx="275">
                  <c:v>177.66734064063002</c:v>
                </c:pt>
                <c:pt idx="276">
                  <c:v>177.66734064063002</c:v>
                </c:pt>
                <c:pt idx="277">
                  <c:v>177.66734064063002</c:v>
                </c:pt>
                <c:pt idx="278">
                  <c:v>175.05586889432797</c:v>
                </c:pt>
                <c:pt idx="279">
                  <c:v>172.95051612216665</c:v>
                </c:pt>
                <c:pt idx="280">
                  <c:v>176.74151324890923</c:v>
                </c:pt>
                <c:pt idx="281">
                  <c:v>178.28796424390765</c:v>
                </c:pt>
                <c:pt idx="282">
                  <c:v>180.16813876769183</c:v>
                </c:pt>
                <c:pt idx="283">
                  <c:v>180.16813876769183</c:v>
                </c:pt>
                <c:pt idx="284">
                  <c:v>180.16813876769183</c:v>
                </c:pt>
                <c:pt idx="285">
                  <c:v>178.8494200276684</c:v>
                </c:pt>
                <c:pt idx="286">
                  <c:v>177.40087261892094</c:v>
                </c:pt>
                <c:pt idx="287">
                  <c:v>177.27615196339258</c:v>
                </c:pt>
                <c:pt idx="288">
                  <c:v>178.46802170905607</c:v>
                </c:pt>
                <c:pt idx="289">
                  <c:v>177.97892944556776</c:v>
                </c:pt>
                <c:pt idx="290">
                  <c:v>177.97892944556776</c:v>
                </c:pt>
                <c:pt idx="291">
                  <c:v>177.97892944556776</c:v>
                </c:pt>
                <c:pt idx="292">
                  <c:v>179.26870277748219</c:v>
                </c:pt>
                <c:pt idx="293">
                  <c:v>178.06448866659574</c:v>
                </c:pt>
                <c:pt idx="294">
                  <c:v>178.21517505586891</c:v>
                </c:pt>
                <c:pt idx="295">
                  <c:v>178.25348515483665</c:v>
                </c:pt>
                <c:pt idx="296">
                  <c:v>177.93636266893688</c:v>
                </c:pt>
                <c:pt idx="297">
                  <c:v>177.93636266893688</c:v>
                </c:pt>
                <c:pt idx="298">
                  <c:v>177.93636266893688</c:v>
                </c:pt>
                <c:pt idx="299">
                  <c:v>176.01277003298924</c:v>
                </c:pt>
                <c:pt idx="300">
                  <c:v>177.64903692667872</c:v>
                </c:pt>
                <c:pt idx="301">
                  <c:v>176.01106736192401</c:v>
                </c:pt>
                <c:pt idx="302">
                  <c:v>177.21655847610941</c:v>
                </c:pt>
                <c:pt idx="303">
                  <c:v>178.16196658508034</c:v>
                </c:pt>
                <c:pt idx="304">
                  <c:v>178.16196658508034</c:v>
                </c:pt>
                <c:pt idx="305">
                  <c:v>178.16196658508034</c:v>
                </c:pt>
                <c:pt idx="306">
                  <c:v>177.52133659678623</c:v>
                </c:pt>
                <c:pt idx="307">
                  <c:v>175.57348089815898</c:v>
                </c:pt>
                <c:pt idx="308">
                  <c:v>176.29413642651909</c:v>
                </c:pt>
                <c:pt idx="309">
                  <c:v>175.71522826433969</c:v>
                </c:pt>
                <c:pt idx="310">
                  <c:v>175.74970735341066</c:v>
                </c:pt>
                <c:pt idx="311">
                  <c:v>175.74970735341066</c:v>
                </c:pt>
                <c:pt idx="312">
                  <c:v>175.74970735341066</c:v>
                </c:pt>
                <c:pt idx="313">
                  <c:v>174.40332020857721</c:v>
                </c:pt>
                <c:pt idx="314">
                  <c:v>173.67032031499414</c:v>
                </c:pt>
                <c:pt idx="315">
                  <c:v>173.4144939874428</c:v>
                </c:pt>
                <c:pt idx="316">
                  <c:v>173.58348409066721</c:v>
                </c:pt>
                <c:pt idx="317">
                  <c:v>171.11290837501329</c:v>
                </c:pt>
                <c:pt idx="318">
                  <c:v>171.11290837501329</c:v>
                </c:pt>
                <c:pt idx="319">
                  <c:v>171.11290837501329</c:v>
                </c:pt>
                <c:pt idx="320">
                  <c:v>171.11290837501329</c:v>
                </c:pt>
                <c:pt idx="321">
                  <c:v>169.11312120889644</c:v>
                </c:pt>
                <c:pt idx="322">
                  <c:v>168.50271363201023</c:v>
                </c:pt>
                <c:pt idx="323">
                  <c:v>169.03650101096096</c:v>
                </c:pt>
                <c:pt idx="324">
                  <c:v>169.18335639033734</c:v>
                </c:pt>
                <c:pt idx="325">
                  <c:v>169.18335639033734</c:v>
                </c:pt>
                <c:pt idx="326">
                  <c:v>169.18335639033734</c:v>
                </c:pt>
                <c:pt idx="327">
                  <c:v>166.41566457380014</c:v>
                </c:pt>
                <c:pt idx="328">
                  <c:v>165.54815366606363</c:v>
                </c:pt>
                <c:pt idx="329">
                  <c:v>166.45823135043099</c:v>
                </c:pt>
                <c:pt idx="330">
                  <c:v>167.73821432372034</c:v>
                </c:pt>
                <c:pt idx="331">
                  <c:v>166.56805363413855</c:v>
                </c:pt>
                <c:pt idx="332">
                  <c:v>166.56805363413855</c:v>
                </c:pt>
                <c:pt idx="333">
                  <c:v>166.56805363413855</c:v>
                </c:pt>
                <c:pt idx="334">
                  <c:v>166.66851122698733</c:v>
                </c:pt>
                <c:pt idx="335">
                  <c:v>169.16547834415238</c:v>
                </c:pt>
                <c:pt idx="336">
                  <c:v>168.67979142279449</c:v>
                </c:pt>
                <c:pt idx="337">
                  <c:v>168.94498244120464</c:v>
                </c:pt>
                <c:pt idx="338">
                  <c:v>167.85527295945514</c:v>
                </c:pt>
                <c:pt idx="339">
                  <c:v>167.85527295945514</c:v>
                </c:pt>
                <c:pt idx="340">
                  <c:v>167.85527295945514</c:v>
                </c:pt>
                <c:pt idx="341">
                  <c:v>167.68500585293179</c:v>
                </c:pt>
                <c:pt idx="342">
                  <c:v>165.95977439608384</c:v>
                </c:pt>
                <c:pt idx="343">
                  <c:v>164.96498882622112</c:v>
                </c:pt>
                <c:pt idx="344">
                  <c:v>162.66255187825902</c:v>
                </c:pt>
                <c:pt idx="345">
                  <c:v>163.53900180908801</c:v>
                </c:pt>
                <c:pt idx="346">
                  <c:v>163.53900180908801</c:v>
                </c:pt>
                <c:pt idx="347">
                  <c:v>163.53900180908801</c:v>
                </c:pt>
                <c:pt idx="348">
                  <c:v>160.41162073002022</c:v>
                </c:pt>
                <c:pt idx="349">
                  <c:v>162.59316803235072</c:v>
                </c:pt>
                <c:pt idx="350">
                  <c:v>164.74576992657231</c:v>
                </c:pt>
                <c:pt idx="351">
                  <c:v>166.08790039374267</c:v>
                </c:pt>
                <c:pt idx="352">
                  <c:v>162.22837075662446</c:v>
                </c:pt>
                <c:pt idx="353">
                  <c:v>162.22837075662446</c:v>
                </c:pt>
                <c:pt idx="354">
                  <c:v>162.22837075662446</c:v>
                </c:pt>
                <c:pt idx="355">
                  <c:v>163.00266042353942</c:v>
                </c:pt>
                <c:pt idx="356">
                  <c:v>167.09290198999679</c:v>
                </c:pt>
                <c:pt idx="357">
                  <c:v>165.217409811642</c:v>
                </c:pt>
                <c:pt idx="358">
                  <c:v>165.01010960944981</c:v>
                </c:pt>
                <c:pt idx="359">
                  <c:v>166.29605193146747</c:v>
                </c:pt>
                <c:pt idx="360">
                  <c:v>166.29605193146747</c:v>
                </c:pt>
                <c:pt idx="361">
                  <c:v>166.29605193146747</c:v>
                </c:pt>
                <c:pt idx="362">
                  <c:v>166.6050867298074</c:v>
                </c:pt>
                <c:pt idx="363">
                  <c:v>167.34404597211875</c:v>
                </c:pt>
                <c:pt idx="364">
                  <c:v>167.3976801106736</c:v>
                </c:pt>
                <c:pt idx="365">
                  <c:v>167.49302969032669</c:v>
                </c:pt>
                <c:pt idx="366">
                  <c:v>167.49302969032669</c:v>
                </c:pt>
                <c:pt idx="367">
                  <c:v>167.49302969032669</c:v>
                </c:pt>
                <c:pt idx="368">
                  <c:v>167.49302969032669</c:v>
                </c:pt>
                <c:pt idx="369">
                  <c:v>166.70767266148772</c:v>
                </c:pt>
                <c:pt idx="370">
                  <c:v>166.43098861338726</c:v>
                </c:pt>
                <c:pt idx="371">
                  <c:v>166.48845376183888</c:v>
                </c:pt>
                <c:pt idx="372">
                  <c:v>166.67404490794934</c:v>
                </c:pt>
                <c:pt idx="373">
                  <c:v>165.44982441204638</c:v>
                </c:pt>
                <c:pt idx="374">
                  <c:v>165.44982441204638</c:v>
                </c:pt>
                <c:pt idx="375">
                  <c:v>165.44982441204638</c:v>
                </c:pt>
                <c:pt idx="376">
                  <c:v>164.80749175268701</c:v>
                </c:pt>
                <c:pt idx="377">
                  <c:v>163.03799084814304</c:v>
                </c:pt>
                <c:pt idx="378">
                  <c:v>162.87368309034798</c:v>
                </c:pt>
                <c:pt idx="379">
                  <c:v>160.64105565606047</c:v>
                </c:pt>
                <c:pt idx="380">
                  <c:v>158.10322443332979</c:v>
                </c:pt>
                <c:pt idx="381">
                  <c:v>158.10322443332979</c:v>
                </c:pt>
                <c:pt idx="382">
                  <c:v>158.10322443332979</c:v>
                </c:pt>
                <c:pt idx="383">
                  <c:v>161.21655847610941</c:v>
                </c:pt>
                <c:pt idx="384">
                  <c:v>159.65818878365437</c:v>
                </c:pt>
                <c:pt idx="385">
                  <c:v>163.86591465361283</c:v>
                </c:pt>
                <c:pt idx="386">
                  <c:v>164.11024795147389</c:v>
                </c:pt>
                <c:pt idx="387">
                  <c:v>163.51899542407151</c:v>
                </c:pt>
                <c:pt idx="388">
                  <c:v>163.51899542407151</c:v>
                </c:pt>
                <c:pt idx="389">
                  <c:v>163.51899542407151</c:v>
                </c:pt>
                <c:pt idx="390">
                  <c:v>164.01277003298927</c:v>
                </c:pt>
                <c:pt idx="391">
                  <c:v>163.96083856549964</c:v>
                </c:pt>
                <c:pt idx="392">
                  <c:v>161.70735341066299</c:v>
                </c:pt>
                <c:pt idx="393">
                  <c:v>160.40225603916141</c:v>
                </c:pt>
                <c:pt idx="394">
                  <c:v>160.40225603916141</c:v>
                </c:pt>
                <c:pt idx="395">
                  <c:v>160.40225603916141</c:v>
                </c:pt>
                <c:pt idx="396">
                  <c:v>160.40225603916141</c:v>
                </c:pt>
                <c:pt idx="397">
                  <c:v>161.56390337341705</c:v>
                </c:pt>
                <c:pt idx="398">
                  <c:v>162.17260827923806</c:v>
                </c:pt>
                <c:pt idx="399">
                  <c:v>161.80440566138131</c:v>
                </c:pt>
                <c:pt idx="400">
                  <c:v>161.73715015430457</c:v>
                </c:pt>
                <c:pt idx="401">
                  <c:v>162.8042992444397</c:v>
                </c:pt>
                <c:pt idx="402">
                  <c:v>162.8042992444397</c:v>
                </c:pt>
                <c:pt idx="403">
                  <c:v>162.8042992444397</c:v>
                </c:pt>
                <c:pt idx="404">
                  <c:v>161.91507928062148</c:v>
                </c:pt>
                <c:pt idx="405">
                  <c:v>159.54623816111524</c:v>
                </c:pt>
                <c:pt idx="406">
                  <c:v>158.64041715441098</c:v>
                </c:pt>
                <c:pt idx="407">
                  <c:v>157.52474193891669</c:v>
                </c:pt>
                <c:pt idx="408">
                  <c:v>159.88379269979782</c:v>
                </c:pt>
                <c:pt idx="409">
                  <c:v>159.88379269979782</c:v>
                </c:pt>
                <c:pt idx="410">
                  <c:v>159.88379269979782</c:v>
                </c:pt>
                <c:pt idx="411">
                  <c:v>159.88379269979782</c:v>
                </c:pt>
                <c:pt idx="412">
                  <c:v>158.86091305735872</c:v>
                </c:pt>
                <c:pt idx="413">
                  <c:v>158.64807917420453</c:v>
                </c:pt>
                <c:pt idx="414">
                  <c:v>159.00223475577315</c:v>
                </c:pt>
                <c:pt idx="415">
                  <c:v>157.62732787059699</c:v>
                </c:pt>
                <c:pt idx="416">
                  <c:v>157.62732787059699</c:v>
                </c:pt>
                <c:pt idx="417">
                  <c:v>157.62732787059699</c:v>
                </c:pt>
                <c:pt idx="418">
                  <c:v>157.62732787059699</c:v>
                </c:pt>
                <c:pt idx="419">
                  <c:v>157.07183143556455</c:v>
                </c:pt>
                <c:pt idx="420">
                  <c:v>156.95477279982975</c:v>
                </c:pt>
                <c:pt idx="421">
                  <c:v>157.28083430882197</c:v>
                </c:pt>
                <c:pt idx="422">
                  <c:v>157.8976269022028</c:v>
                </c:pt>
                <c:pt idx="423">
                  <c:v>157.8976269022028</c:v>
                </c:pt>
                <c:pt idx="424">
                  <c:v>157.8976269022028</c:v>
                </c:pt>
                <c:pt idx="425">
                  <c:v>158.45397467276788</c:v>
                </c:pt>
                <c:pt idx="426">
                  <c:v>157.54687666276473</c:v>
                </c:pt>
                <c:pt idx="427">
                  <c:v>157.2680642758327</c:v>
                </c:pt>
                <c:pt idx="428">
                  <c:v>155.26189209322123</c:v>
                </c:pt>
                <c:pt idx="429">
                  <c:v>155.94168351601576</c:v>
                </c:pt>
                <c:pt idx="430">
                  <c:v>155.94168351601576</c:v>
                </c:pt>
                <c:pt idx="431">
                  <c:v>155.94168351601576</c:v>
                </c:pt>
                <c:pt idx="432">
                  <c:v>156.13919335958283</c:v>
                </c:pt>
                <c:pt idx="433">
                  <c:v>156.34010854528043</c:v>
                </c:pt>
                <c:pt idx="434">
                  <c:v>157.59284878152602</c:v>
                </c:pt>
                <c:pt idx="435">
                  <c:v>157.15483664999468</c:v>
                </c:pt>
                <c:pt idx="436">
                  <c:v>157.45961477067149</c:v>
                </c:pt>
                <c:pt idx="437">
                  <c:v>157.45961477067149</c:v>
                </c:pt>
                <c:pt idx="438">
                  <c:v>157.45961477067149</c:v>
                </c:pt>
                <c:pt idx="439">
                  <c:v>156.08045120783228</c:v>
                </c:pt>
                <c:pt idx="440">
                  <c:v>156.17792912631691</c:v>
                </c:pt>
                <c:pt idx="441">
                  <c:v>155.8986910716186</c:v>
                </c:pt>
                <c:pt idx="442">
                  <c:v>154.16111524954775</c:v>
                </c:pt>
                <c:pt idx="443">
                  <c:v>154.87283175481537</c:v>
                </c:pt>
                <c:pt idx="444">
                  <c:v>154.87283175481537</c:v>
                </c:pt>
                <c:pt idx="445">
                  <c:v>154.87283175481537</c:v>
                </c:pt>
                <c:pt idx="446">
                  <c:v>154.50250079812707</c:v>
                </c:pt>
                <c:pt idx="447">
                  <c:v>154.50250079812707</c:v>
                </c:pt>
                <c:pt idx="448">
                  <c:v>154.74768543152069</c:v>
                </c:pt>
                <c:pt idx="449">
                  <c:v>152.28647440672555</c:v>
                </c:pt>
                <c:pt idx="450">
                  <c:v>151.43301053527722</c:v>
                </c:pt>
                <c:pt idx="451">
                  <c:v>151.43301053527722</c:v>
                </c:pt>
                <c:pt idx="452">
                  <c:v>151.43301053527722</c:v>
                </c:pt>
                <c:pt idx="453">
                  <c:v>152.46866021070554</c:v>
                </c:pt>
                <c:pt idx="454">
                  <c:v>151.86931999574333</c:v>
                </c:pt>
                <c:pt idx="455">
                  <c:v>153.64605725231456</c:v>
                </c:pt>
                <c:pt idx="456">
                  <c:v>154.38586783015856</c:v>
                </c:pt>
                <c:pt idx="457">
                  <c:v>152.60827923805471</c:v>
                </c:pt>
                <c:pt idx="458">
                  <c:v>152.60827923805471</c:v>
                </c:pt>
                <c:pt idx="459">
                  <c:v>152.60827923805471</c:v>
                </c:pt>
                <c:pt idx="460">
                  <c:v>150.55911461104608</c:v>
                </c:pt>
                <c:pt idx="461">
                  <c:v>152.07662019793551</c:v>
                </c:pt>
                <c:pt idx="462">
                  <c:v>150.92178354794083</c:v>
                </c:pt>
                <c:pt idx="463">
                  <c:v>151.13334042779613</c:v>
                </c:pt>
                <c:pt idx="464">
                  <c:v>149.38554857933383</c:v>
                </c:pt>
                <c:pt idx="465">
                  <c:v>149.38554857933383</c:v>
                </c:pt>
                <c:pt idx="466">
                  <c:v>149.38554857933383</c:v>
                </c:pt>
                <c:pt idx="467">
                  <c:v>149.42854102373099</c:v>
                </c:pt>
                <c:pt idx="468">
                  <c:v>146.57614132169843</c:v>
                </c:pt>
                <c:pt idx="469">
                  <c:v>143.41428115355964</c:v>
                </c:pt>
                <c:pt idx="470">
                  <c:v>140.90624667447057</c:v>
                </c:pt>
                <c:pt idx="471">
                  <c:v>139.19165691178034</c:v>
                </c:pt>
                <c:pt idx="472">
                  <c:v>139.19165691178034</c:v>
                </c:pt>
                <c:pt idx="473">
                  <c:v>139.19165691178034</c:v>
                </c:pt>
                <c:pt idx="474">
                  <c:v>140.90071299350856</c:v>
                </c:pt>
                <c:pt idx="475">
                  <c:v>139.23720336277538</c:v>
                </c:pt>
                <c:pt idx="476">
                  <c:v>144.33031818665532</c:v>
                </c:pt>
                <c:pt idx="477">
                  <c:v>144.76833031818666</c:v>
                </c:pt>
                <c:pt idx="478">
                  <c:v>147.51048206874532</c:v>
                </c:pt>
                <c:pt idx="479">
                  <c:v>147.51048206874532</c:v>
                </c:pt>
                <c:pt idx="480">
                  <c:v>147.51048206874532</c:v>
                </c:pt>
                <c:pt idx="481">
                  <c:v>147.00393742683835</c:v>
                </c:pt>
                <c:pt idx="482">
                  <c:v>146.24071512184739</c:v>
                </c:pt>
                <c:pt idx="483">
                  <c:v>146.56251995317655</c:v>
                </c:pt>
                <c:pt idx="484">
                  <c:v>145.87293817175694</c:v>
                </c:pt>
                <c:pt idx="485">
                  <c:v>148.2945620942854</c:v>
                </c:pt>
                <c:pt idx="486">
                  <c:v>148.2945620942854</c:v>
                </c:pt>
                <c:pt idx="487">
                  <c:v>148.2945620942854</c:v>
                </c:pt>
                <c:pt idx="488">
                  <c:v>148.27455570926892</c:v>
                </c:pt>
                <c:pt idx="489">
                  <c:v>148.5014366287113</c:v>
                </c:pt>
                <c:pt idx="490">
                  <c:v>149.49153985314462</c:v>
                </c:pt>
                <c:pt idx="491">
                  <c:v>150.44035330424603</c:v>
                </c:pt>
                <c:pt idx="492">
                  <c:v>148.01021602639142</c:v>
                </c:pt>
                <c:pt idx="493">
                  <c:v>148.01021602639142</c:v>
                </c:pt>
                <c:pt idx="494">
                  <c:v>148.01021602639142</c:v>
                </c:pt>
                <c:pt idx="495">
                  <c:v>146.72044269447696</c:v>
                </c:pt>
                <c:pt idx="496">
                  <c:v>145.55496435032455</c:v>
                </c:pt>
                <c:pt idx="497">
                  <c:v>143.06480791742044</c:v>
                </c:pt>
                <c:pt idx="498">
                  <c:v>145.0943918271789</c:v>
                </c:pt>
                <c:pt idx="499">
                  <c:v>142.53229754176866</c:v>
                </c:pt>
                <c:pt idx="500">
                  <c:v>142.53229754176866</c:v>
                </c:pt>
                <c:pt idx="501">
                  <c:v>142.53229754176866</c:v>
                </c:pt>
                <c:pt idx="502">
                  <c:v>143.90975843354263</c:v>
                </c:pt>
                <c:pt idx="503">
                  <c:v>143.15206980951368</c:v>
                </c:pt>
                <c:pt idx="504">
                  <c:v>141.98020644886665</c:v>
                </c:pt>
                <c:pt idx="505">
                  <c:v>142.6668085559221</c:v>
                </c:pt>
                <c:pt idx="506">
                  <c:v>140.40481004575929</c:v>
                </c:pt>
                <c:pt idx="507">
                  <c:v>140.40481004575929</c:v>
                </c:pt>
                <c:pt idx="508">
                  <c:v>140.40481004575929</c:v>
                </c:pt>
                <c:pt idx="509">
                  <c:v>138.19687134191764</c:v>
                </c:pt>
                <c:pt idx="510">
                  <c:v>137.78525061189742</c:v>
                </c:pt>
                <c:pt idx="511">
                  <c:v>141.13312759391297</c:v>
                </c:pt>
                <c:pt idx="512">
                  <c:v>139.66414813238268</c:v>
                </c:pt>
                <c:pt idx="513">
                  <c:v>141.29913802277321</c:v>
                </c:pt>
                <c:pt idx="514">
                  <c:v>141.29913802277321</c:v>
                </c:pt>
                <c:pt idx="515">
                  <c:v>141.29913802277321</c:v>
                </c:pt>
                <c:pt idx="516">
                  <c:v>142.89709481749495</c:v>
                </c:pt>
                <c:pt idx="517">
                  <c:v>144.10939661594125</c:v>
                </c:pt>
                <c:pt idx="518">
                  <c:v>144.77812067681174</c:v>
                </c:pt>
                <c:pt idx="519">
                  <c:v>144.02639140151112</c:v>
                </c:pt>
                <c:pt idx="520">
                  <c:v>142.21432372033627</c:v>
                </c:pt>
                <c:pt idx="521">
                  <c:v>142.21432372033627</c:v>
                </c:pt>
                <c:pt idx="522">
                  <c:v>142.21432372033627</c:v>
                </c:pt>
                <c:pt idx="523">
                  <c:v>142.1385548579334</c:v>
                </c:pt>
                <c:pt idx="524">
                  <c:v>144.68277109715868</c:v>
                </c:pt>
                <c:pt idx="525">
                  <c:v>141.82568904969673</c:v>
                </c:pt>
                <c:pt idx="526">
                  <c:v>145.87464084282217</c:v>
                </c:pt>
                <c:pt idx="527">
                  <c:v>145.87464084282217</c:v>
                </c:pt>
                <c:pt idx="528">
                  <c:v>145.87464084282217</c:v>
                </c:pt>
                <c:pt idx="529">
                  <c:v>145.87464084282217</c:v>
                </c:pt>
                <c:pt idx="530">
                  <c:v>147.07076726614875</c:v>
                </c:pt>
                <c:pt idx="531">
                  <c:v>152.42481643077579</c:v>
                </c:pt>
                <c:pt idx="532">
                  <c:v>150.11812280515059</c:v>
                </c:pt>
                <c:pt idx="533">
                  <c:v>148.99691390869427</c:v>
                </c:pt>
                <c:pt idx="534">
                  <c:v>149.32467808875174</c:v>
                </c:pt>
                <c:pt idx="535">
                  <c:v>149.32467808875174</c:v>
                </c:pt>
                <c:pt idx="536">
                  <c:v>149.32467808875174</c:v>
                </c:pt>
                <c:pt idx="537">
                  <c:v>148.32606150899224</c:v>
                </c:pt>
                <c:pt idx="538">
                  <c:v>148.07832286900074</c:v>
                </c:pt>
                <c:pt idx="539">
                  <c:v>146.58380334149197</c:v>
                </c:pt>
                <c:pt idx="540">
                  <c:v>146.0585293178674</c:v>
                </c:pt>
                <c:pt idx="541">
                  <c:v>144.60615089922314</c:v>
                </c:pt>
                <c:pt idx="542">
                  <c:v>144.60615089922314</c:v>
                </c:pt>
                <c:pt idx="543">
                  <c:v>144.60615089922314</c:v>
                </c:pt>
                <c:pt idx="544">
                  <c:v>144.11024795147389</c:v>
                </c:pt>
                <c:pt idx="545">
                  <c:v>143.65648611258911</c:v>
                </c:pt>
                <c:pt idx="546">
                  <c:v>144.29200808768755</c:v>
                </c:pt>
                <c:pt idx="547">
                  <c:v>143.96041289773331</c:v>
                </c:pt>
                <c:pt idx="548">
                  <c:v>143.57135255932744</c:v>
                </c:pt>
                <c:pt idx="549">
                  <c:v>143.57135255932744</c:v>
                </c:pt>
                <c:pt idx="550">
                  <c:v>143.57135255932744</c:v>
                </c:pt>
                <c:pt idx="551">
                  <c:v>143.59604128977332</c:v>
                </c:pt>
                <c:pt idx="552">
                  <c:v>143.89060338405875</c:v>
                </c:pt>
                <c:pt idx="553">
                  <c:v>141.90443758646376</c:v>
                </c:pt>
                <c:pt idx="554">
                  <c:v>143.04437586463766</c:v>
                </c:pt>
                <c:pt idx="555">
                  <c:v>142.65318718740022</c:v>
                </c:pt>
                <c:pt idx="556">
                  <c:v>142.65318718740022</c:v>
                </c:pt>
                <c:pt idx="557">
                  <c:v>142.65318718740022</c:v>
                </c:pt>
                <c:pt idx="558">
                  <c:v>142.56294562094286</c:v>
                </c:pt>
                <c:pt idx="559">
                  <c:v>141.65244226880921</c:v>
                </c:pt>
                <c:pt idx="560">
                  <c:v>140.74747259763757</c:v>
                </c:pt>
                <c:pt idx="561">
                  <c:v>140.24092795573054</c:v>
                </c:pt>
                <c:pt idx="562">
                  <c:v>139.24103437267212</c:v>
                </c:pt>
                <c:pt idx="563">
                  <c:v>139.24103437267212</c:v>
                </c:pt>
                <c:pt idx="564">
                  <c:v>139.24103437267212</c:v>
                </c:pt>
                <c:pt idx="565">
                  <c:v>138.18112163456422</c:v>
                </c:pt>
                <c:pt idx="566">
                  <c:v>138.70128764499307</c:v>
                </c:pt>
                <c:pt idx="567">
                  <c:v>136.9986165797595</c:v>
                </c:pt>
                <c:pt idx="568">
                  <c:v>137.89124188570821</c:v>
                </c:pt>
                <c:pt idx="569">
                  <c:v>136.87900393742686</c:v>
                </c:pt>
                <c:pt idx="570">
                  <c:v>136.87900393742686</c:v>
                </c:pt>
                <c:pt idx="571">
                  <c:v>136.87900393742686</c:v>
                </c:pt>
                <c:pt idx="572">
                  <c:v>137.73161647334257</c:v>
                </c:pt>
                <c:pt idx="573">
                  <c:v>139.44961157816326</c:v>
                </c:pt>
                <c:pt idx="574">
                  <c:v>138.65276151963394</c:v>
                </c:pt>
                <c:pt idx="575">
                  <c:v>138.42034691922956</c:v>
                </c:pt>
                <c:pt idx="576">
                  <c:v>137.2663616047675</c:v>
                </c:pt>
                <c:pt idx="577">
                  <c:v>137.2663616047675</c:v>
                </c:pt>
                <c:pt idx="578">
                  <c:v>137.2663616047675</c:v>
                </c:pt>
                <c:pt idx="579">
                  <c:v>136.87644993082898</c:v>
                </c:pt>
                <c:pt idx="580">
                  <c:v>137.3442588060019</c:v>
                </c:pt>
                <c:pt idx="581">
                  <c:v>136.10811961264233</c:v>
                </c:pt>
                <c:pt idx="582">
                  <c:v>134.30754496115779</c:v>
                </c:pt>
                <c:pt idx="583">
                  <c:v>135.57688624028944</c:v>
                </c:pt>
                <c:pt idx="584">
                  <c:v>135.57688624028944</c:v>
                </c:pt>
                <c:pt idx="585">
                  <c:v>135.57688624028944</c:v>
                </c:pt>
                <c:pt idx="586">
                  <c:v>134.17260827923806</c:v>
                </c:pt>
                <c:pt idx="587">
                  <c:v>134.93412791316376</c:v>
                </c:pt>
                <c:pt idx="588">
                  <c:v>133.88613387251252</c:v>
                </c:pt>
                <c:pt idx="589">
                  <c:v>135.35043098861337</c:v>
                </c:pt>
                <c:pt idx="590">
                  <c:v>133.23443652229437</c:v>
                </c:pt>
                <c:pt idx="591">
                  <c:v>133.23443652229437</c:v>
                </c:pt>
                <c:pt idx="592">
                  <c:v>133.23443652229437</c:v>
                </c:pt>
                <c:pt idx="593">
                  <c:v>133.23443652229437</c:v>
                </c:pt>
                <c:pt idx="594">
                  <c:v>132.63211663296798</c:v>
                </c:pt>
                <c:pt idx="595">
                  <c:v>131.9693519208258</c:v>
                </c:pt>
                <c:pt idx="596">
                  <c:v>129.96658508034477</c:v>
                </c:pt>
                <c:pt idx="597">
                  <c:v>128.08555922102801</c:v>
                </c:pt>
                <c:pt idx="598">
                  <c:v>128.08555922102801</c:v>
                </c:pt>
                <c:pt idx="599">
                  <c:v>128.08555922102801</c:v>
                </c:pt>
                <c:pt idx="600">
                  <c:v>131.26572310311801</c:v>
                </c:pt>
                <c:pt idx="601">
                  <c:v>129.84271576034905</c:v>
                </c:pt>
                <c:pt idx="602">
                  <c:v>133.28892199638182</c:v>
                </c:pt>
                <c:pt idx="603">
                  <c:v>132.71725018622965</c:v>
                </c:pt>
                <c:pt idx="604">
                  <c:v>131.86080664041714</c:v>
                </c:pt>
                <c:pt idx="605">
                  <c:v>131.86080664041714</c:v>
                </c:pt>
                <c:pt idx="606">
                  <c:v>131.86080664041714</c:v>
                </c:pt>
                <c:pt idx="607">
                  <c:v>132.60998190911994</c:v>
                </c:pt>
                <c:pt idx="608">
                  <c:v>132.53123337235286</c:v>
                </c:pt>
                <c:pt idx="609">
                  <c:v>133.01010960944981</c:v>
                </c:pt>
                <c:pt idx="610">
                  <c:v>130.5348515483665</c:v>
                </c:pt>
                <c:pt idx="611">
                  <c:v>129.45876343513888</c:v>
                </c:pt>
                <c:pt idx="612">
                  <c:v>129.45876343513888</c:v>
                </c:pt>
                <c:pt idx="613">
                  <c:v>129.45876343513888</c:v>
                </c:pt>
                <c:pt idx="614">
                  <c:v>127.78972012344366</c:v>
                </c:pt>
                <c:pt idx="615">
                  <c:v>135.79397680110674</c:v>
                </c:pt>
                <c:pt idx="616">
                  <c:v>136.51931467489624</c:v>
                </c:pt>
                <c:pt idx="617">
                  <c:v>137.59242311375971</c:v>
                </c:pt>
                <c:pt idx="618">
                  <c:v>135.95530488453761</c:v>
                </c:pt>
                <c:pt idx="619">
                  <c:v>135.95530488453761</c:v>
                </c:pt>
                <c:pt idx="620">
                  <c:v>135.95530488453761</c:v>
                </c:pt>
                <c:pt idx="621">
                  <c:v>132.48270724699373</c:v>
                </c:pt>
                <c:pt idx="622">
                  <c:v>132.93050973715015</c:v>
                </c:pt>
                <c:pt idx="623">
                  <c:v>131.14057677982336</c:v>
                </c:pt>
                <c:pt idx="624">
                  <c:v>130.07257635415559</c:v>
                </c:pt>
                <c:pt idx="625">
                  <c:v>129.5864637650314</c:v>
                </c:pt>
                <c:pt idx="626">
                  <c:v>129.5864637650314</c:v>
                </c:pt>
                <c:pt idx="627">
                  <c:v>129.5864637650314</c:v>
                </c:pt>
                <c:pt idx="628">
                  <c:v>128.96584016175373</c:v>
                </c:pt>
                <c:pt idx="629">
                  <c:v>129.23826753219112</c:v>
                </c:pt>
                <c:pt idx="630">
                  <c:v>127.35000532084709</c:v>
                </c:pt>
                <c:pt idx="631">
                  <c:v>125.80397999361497</c:v>
                </c:pt>
                <c:pt idx="632">
                  <c:v>125.80397999361497</c:v>
                </c:pt>
                <c:pt idx="633">
                  <c:v>125.80397999361497</c:v>
                </c:pt>
                <c:pt idx="634">
                  <c:v>125.80397999361497</c:v>
                </c:pt>
                <c:pt idx="635">
                  <c:v>125.50856656379696</c:v>
                </c:pt>
                <c:pt idx="636">
                  <c:v>126.49185910396936</c:v>
                </c:pt>
                <c:pt idx="637">
                  <c:v>124.42013408534638</c:v>
                </c:pt>
                <c:pt idx="638">
                  <c:v>125.73842715760348</c:v>
                </c:pt>
                <c:pt idx="639">
                  <c:v>121.89847823773543</c:v>
                </c:pt>
                <c:pt idx="640">
                  <c:v>121.89847823773543</c:v>
                </c:pt>
                <c:pt idx="641">
                  <c:v>121.89847823773543</c:v>
                </c:pt>
                <c:pt idx="642">
                  <c:v>121.42173033947003</c:v>
                </c:pt>
                <c:pt idx="643">
                  <c:v>120.03831009896774</c:v>
                </c:pt>
                <c:pt idx="644">
                  <c:v>122.17175694370543</c:v>
                </c:pt>
                <c:pt idx="645">
                  <c:v>124.73427689688199</c:v>
                </c:pt>
                <c:pt idx="646">
                  <c:v>124.71214217303395</c:v>
                </c:pt>
                <c:pt idx="647">
                  <c:v>124.71214217303395</c:v>
                </c:pt>
                <c:pt idx="648">
                  <c:v>124.71214217303395</c:v>
                </c:pt>
                <c:pt idx="649">
                  <c:v>122.64297116100884</c:v>
                </c:pt>
                <c:pt idx="650">
                  <c:v>121.24805789081623</c:v>
                </c:pt>
                <c:pt idx="651">
                  <c:v>122.10024475896563</c:v>
                </c:pt>
                <c:pt idx="652">
                  <c:v>121.00627859955304</c:v>
                </c:pt>
                <c:pt idx="653">
                  <c:v>120.49420027668405</c:v>
                </c:pt>
                <c:pt idx="654">
                  <c:v>120.49420027668405</c:v>
                </c:pt>
                <c:pt idx="655">
                  <c:v>120.49420027668405</c:v>
                </c:pt>
                <c:pt idx="656">
                  <c:v>123.97275726295625</c:v>
                </c:pt>
                <c:pt idx="657">
                  <c:v>125.1254655741194</c:v>
                </c:pt>
                <c:pt idx="658">
                  <c:v>121.88528253697987</c:v>
                </c:pt>
                <c:pt idx="659">
                  <c:v>122.52761519633926</c:v>
                </c:pt>
                <c:pt idx="660">
                  <c:v>120.750877939768</c:v>
                </c:pt>
                <c:pt idx="661">
                  <c:v>120.750877939768</c:v>
                </c:pt>
                <c:pt idx="662">
                  <c:v>120.750877939768</c:v>
                </c:pt>
                <c:pt idx="663">
                  <c:v>119.09332765776313</c:v>
                </c:pt>
                <c:pt idx="664">
                  <c:v>119.15760349047568</c:v>
                </c:pt>
                <c:pt idx="665">
                  <c:v>116.4865382568905</c:v>
                </c:pt>
                <c:pt idx="666">
                  <c:v>120.1728211131212</c:v>
                </c:pt>
                <c:pt idx="667">
                  <c:v>122.36075343194636</c:v>
                </c:pt>
                <c:pt idx="668">
                  <c:v>122.36075343194636</c:v>
                </c:pt>
                <c:pt idx="669">
                  <c:v>122.36075343194636</c:v>
                </c:pt>
                <c:pt idx="670">
                  <c:v>119.1678195168671</c:v>
                </c:pt>
                <c:pt idx="671">
                  <c:v>118.4786634032138</c:v>
                </c:pt>
                <c:pt idx="672">
                  <c:v>121.14760029796743</c:v>
                </c:pt>
                <c:pt idx="673">
                  <c:v>117.55368734702564</c:v>
                </c:pt>
                <c:pt idx="674">
                  <c:v>118.75364478024902</c:v>
                </c:pt>
                <c:pt idx="675">
                  <c:v>118.75364478024902</c:v>
                </c:pt>
                <c:pt idx="676">
                  <c:v>118.75364478024902</c:v>
                </c:pt>
                <c:pt idx="677">
                  <c:v>118.75364478024902</c:v>
                </c:pt>
                <c:pt idx="678">
                  <c:v>117.05778439927637</c:v>
                </c:pt>
                <c:pt idx="679">
                  <c:v>113.20251143982121</c:v>
                </c:pt>
                <c:pt idx="680">
                  <c:v>113.38427157603491</c:v>
                </c:pt>
                <c:pt idx="681">
                  <c:v>105.93380866233906</c:v>
                </c:pt>
                <c:pt idx="682">
                  <c:v>105.93380866233906</c:v>
                </c:pt>
                <c:pt idx="683">
                  <c:v>105.93380866233906</c:v>
                </c:pt>
                <c:pt idx="684">
                  <c:v>107.56198786846866</c:v>
                </c:pt>
                <c:pt idx="685">
                  <c:v>105.16122166648931</c:v>
                </c:pt>
                <c:pt idx="686">
                  <c:v>110.01766521230181</c:v>
                </c:pt>
                <c:pt idx="687">
                  <c:v>111.80802383739493</c:v>
                </c:pt>
                <c:pt idx="688">
                  <c:v>108.18218580397998</c:v>
                </c:pt>
                <c:pt idx="689">
                  <c:v>108.18218580397998</c:v>
                </c:pt>
                <c:pt idx="690">
                  <c:v>108.18218580397998</c:v>
                </c:pt>
                <c:pt idx="691">
                  <c:v>111.95360221347239</c:v>
                </c:pt>
                <c:pt idx="692">
                  <c:v>105.37660955624135</c:v>
                </c:pt>
                <c:pt idx="693">
                  <c:v>104.17494945195276</c:v>
                </c:pt>
                <c:pt idx="694">
                  <c:v>95.238906033840593</c:v>
                </c:pt>
                <c:pt idx="695">
                  <c:v>98.113014791954882</c:v>
                </c:pt>
                <c:pt idx="696">
                  <c:v>98.113014791954882</c:v>
                </c:pt>
                <c:pt idx="697">
                  <c:v>98.113014791954882</c:v>
                </c:pt>
                <c:pt idx="698">
                  <c:v>102.55996594657869</c:v>
                </c:pt>
                <c:pt idx="699">
                  <c:v>102.0793870384165</c:v>
                </c:pt>
                <c:pt idx="700">
                  <c:v>107.65946578695329</c:v>
                </c:pt>
                <c:pt idx="701">
                  <c:v>101.56986272214536</c:v>
                </c:pt>
                <c:pt idx="702">
                  <c:v>115.39938278173885</c:v>
                </c:pt>
                <c:pt idx="703">
                  <c:v>115.39938278173885</c:v>
                </c:pt>
                <c:pt idx="704">
                  <c:v>115.39938278173885</c:v>
                </c:pt>
                <c:pt idx="705">
                  <c:v>105.59284878152602</c:v>
                </c:pt>
                <c:pt idx="706">
                  <c:v>116.69171012025114</c:v>
                </c:pt>
                <c:pt idx="707">
                  <c:v>122.68724060870491</c:v>
                </c:pt>
                <c:pt idx="708">
                  <c:v>116.91220602319889</c:v>
                </c:pt>
                <c:pt idx="709">
                  <c:v>126.52420985420878</c:v>
                </c:pt>
                <c:pt idx="710">
                  <c:v>126.52420985420878</c:v>
                </c:pt>
                <c:pt idx="711">
                  <c:v>126.52420985420878</c:v>
                </c:pt>
                <c:pt idx="712">
                  <c:v>128.71937852506119</c:v>
                </c:pt>
                <c:pt idx="713">
                  <c:v>133.23911886772373</c:v>
                </c:pt>
                <c:pt idx="714">
                  <c:v>127.84377992976481</c:v>
                </c:pt>
                <c:pt idx="715">
                  <c:v>131.54113014791955</c:v>
                </c:pt>
                <c:pt idx="716">
                  <c:v>125.75162285835904</c:v>
                </c:pt>
                <c:pt idx="717">
                  <c:v>125.75162285835904</c:v>
                </c:pt>
                <c:pt idx="718">
                  <c:v>125.75162285835904</c:v>
                </c:pt>
                <c:pt idx="719">
                  <c:v>126.79621155687985</c:v>
                </c:pt>
                <c:pt idx="720">
                  <c:v>132.65467702458233</c:v>
                </c:pt>
                <c:pt idx="721">
                  <c:v>133.15781632435883</c:v>
                </c:pt>
                <c:pt idx="722">
                  <c:v>137.31573906565924</c:v>
                </c:pt>
                <c:pt idx="723">
                  <c:v>142.07725869958497</c:v>
                </c:pt>
                <c:pt idx="724">
                  <c:v>142.07725869958497</c:v>
                </c:pt>
                <c:pt idx="725">
                  <c:v>142.07725869958497</c:v>
                </c:pt>
                <c:pt idx="726">
                  <c:v>143.58752793444717</c:v>
                </c:pt>
                <c:pt idx="727">
                  <c:v>144.13749068851763</c:v>
                </c:pt>
                <c:pt idx="728">
                  <c:v>143.46238161115249</c:v>
                </c:pt>
                <c:pt idx="729">
                  <c:v>143.88251569649887</c:v>
                </c:pt>
                <c:pt idx="730">
                  <c:v>143.88251569649887</c:v>
                </c:pt>
                <c:pt idx="731">
                  <c:v>143.88251569649887</c:v>
                </c:pt>
                <c:pt idx="732">
                  <c:v>143.88251569649887</c:v>
                </c:pt>
                <c:pt idx="733">
                  <c:v>143.61775034585506</c:v>
                </c:pt>
                <c:pt idx="734">
                  <c:v>143.85229328509098</c:v>
                </c:pt>
                <c:pt idx="735">
                  <c:v>142.92859423220176</c:v>
                </c:pt>
                <c:pt idx="736">
                  <c:v>142.68766627647122</c:v>
                </c:pt>
                <c:pt idx="737">
                  <c:v>141.64988826221133</c:v>
                </c:pt>
                <c:pt idx="738">
                  <c:v>141.64988826221133</c:v>
                </c:pt>
                <c:pt idx="739">
                  <c:v>141.64988826221133</c:v>
                </c:pt>
                <c:pt idx="740">
                  <c:v>142.41906991593063</c:v>
                </c:pt>
                <c:pt idx="741">
                  <c:v>141.94700436309461</c:v>
                </c:pt>
                <c:pt idx="742">
                  <c:v>140.36777695009047</c:v>
                </c:pt>
                <c:pt idx="743">
                  <c:v>138.2960519314675</c:v>
                </c:pt>
                <c:pt idx="744">
                  <c:v>137.29998935830585</c:v>
                </c:pt>
                <c:pt idx="745">
                  <c:v>137.29998935830585</c:v>
                </c:pt>
                <c:pt idx="746">
                  <c:v>137.29998935830585</c:v>
                </c:pt>
                <c:pt idx="747">
                  <c:v>139.77482175162285</c:v>
                </c:pt>
                <c:pt idx="748">
                  <c:v>139.33808662339044</c:v>
                </c:pt>
                <c:pt idx="749">
                  <c:v>139.458976269022</c:v>
                </c:pt>
                <c:pt idx="750">
                  <c:v>138.07087368309035</c:v>
                </c:pt>
                <c:pt idx="751">
                  <c:v>140.27753538363305</c:v>
                </c:pt>
                <c:pt idx="752">
                  <c:v>140.27753538363305</c:v>
                </c:pt>
                <c:pt idx="753">
                  <c:v>140.27753538363305</c:v>
                </c:pt>
                <c:pt idx="754">
                  <c:v>141.55751835692243</c:v>
                </c:pt>
                <c:pt idx="755">
                  <c:v>141.39619027349153</c:v>
                </c:pt>
                <c:pt idx="756">
                  <c:v>141.35532616792594</c:v>
                </c:pt>
                <c:pt idx="757">
                  <c:v>141.73119080557623</c:v>
                </c:pt>
                <c:pt idx="758">
                  <c:v>141.73119080557623</c:v>
                </c:pt>
                <c:pt idx="759">
                  <c:v>141.73119080557623</c:v>
                </c:pt>
                <c:pt idx="760">
                  <c:v>141.73119080557623</c:v>
                </c:pt>
                <c:pt idx="761">
                  <c:v>141.18591039693518</c:v>
                </c:pt>
                <c:pt idx="762">
                  <c:v>140.0144727040545</c:v>
                </c:pt>
                <c:pt idx="763">
                  <c:v>139.75311269554115</c:v>
                </c:pt>
                <c:pt idx="764">
                  <c:v>139.96509524316272</c:v>
                </c:pt>
                <c:pt idx="765">
                  <c:v>138.99542407151216</c:v>
                </c:pt>
                <c:pt idx="766">
                  <c:v>138.99542407151216</c:v>
                </c:pt>
                <c:pt idx="767">
                  <c:v>138.99542407151216</c:v>
                </c:pt>
                <c:pt idx="768">
                  <c:v>139.39342343301053</c:v>
                </c:pt>
                <c:pt idx="769">
                  <c:v>138.47185271895285</c:v>
                </c:pt>
                <c:pt idx="770">
                  <c:v>137.79631797382143</c:v>
                </c:pt>
                <c:pt idx="771">
                  <c:v>138.18367564116207</c:v>
                </c:pt>
                <c:pt idx="772">
                  <c:v>137.69713738427157</c:v>
                </c:pt>
                <c:pt idx="773">
                  <c:v>137.69713738427157</c:v>
                </c:pt>
                <c:pt idx="774">
                  <c:v>137.69713738427157</c:v>
                </c:pt>
                <c:pt idx="775">
                  <c:v>138.67617324678088</c:v>
                </c:pt>
                <c:pt idx="776">
                  <c:v>137.52389060338405</c:v>
                </c:pt>
                <c:pt idx="777">
                  <c:v>137.52389060338405</c:v>
                </c:pt>
                <c:pt idx="778">
                  <c:v>137.1199318931574</c:v>
                </c:pt>
                <c:pt idx="779">
                  <c:v>137.917207619453</c:v>
                </c:pt>
                <c:pt idx="780">
                  <c:v>137.917207619453</c:v>
                </c:pt>
                <c:pt idx="781">
                  <c:v>137.917207619453</c:v>
                </c:pt>
                <c:pt idx="782">
                  <c:v>137.91252527402364</c:v>
                </c:pt>
                <c:pt idx="783">
                  <c:v>137.20889645631584</c:v>
                </c:pt>
                <c:pt idx="784">
                  <c:v>137.20889645631584</c:v>
                </c:pt>
                <c:pt idx="785">
                  <c:v>137.2357135255933</c:v>
                </c:pt>
                <c:pt idx="786">
                  <c:v>137.11695221879324</c:v>
                </c:pt>
                <c:pt idx="787">
                  <c:v>137.11695221879324</c:v>
                </c:pt>
                <c:pt idx="788">
                  <c:v>137.11695221879324</c:v>
                </c:pt>
                <c:pt idx="789">
                  <c:v>136.44226880919442</c:v>
                </c:pt>
                <c:pt idx="790">
                  <c:v>135.83654357773759</c:v>
                </c:pt>
                <c:pt idx="791">
                  <c:v>135.89528572948814</c:v>
                </c:pt>
                <c:pt idx="792">
                  <c:v>135.84973927849313</c:v>
                </c:pt>
                <c:pt idx="793">
                  <c:v>134.88560178780463</c:v>
                </c:pt>
                <c:pt idx="794">
                  <c:v>134.88560178780463</c:v>
                </c:pt>
                <c:pt idx="795">
                  <c:v>134.88560178780463</c:v>
                </c:pt>
                <c:pt idx="796">
                  <c:v>134.87581142917952</c:v>
                </c:pt>
                <c:pt idx="797">
                  <c:v>133.72906246674472</c:v>
                </c:pt>
                <c:pt idx="798">
                  <c:v>133.34127913163775</c:v>
                </c:pt>
                <c:pt idx="799">
                  <c:v>133.48770884324784</c:v>
                </c:pt>
                <c:pt idx="800">
                  <c:v>133.91124827072468</c:v>
                </c:pt>
                <c:pt idx="801">
                  <c:v>133.91124827072468</c:v>
                </c:pt>
                <c:pt idx="802">
                  <c:v>133.91124827072468</c:v>
                </c:pt>
                <c:pt idx="803">
                  <c:v>132.69894647227838</c:v>
                </c:pt>
                <c:pt idx="804">
                  <c:v>132.50015962541238</c:v>
                </c:pt>
                <c:pt idx="805">
                  <c:v>131.66755347451314</c:v>
                </c:pt>
                <c:pt idx="806">
                  <c:v>132.54740874747259</c:v>
                </c:pt>
                <c:pt idx="807">
                  <c:v>133.70139406193465</c:v>
                </c:pt>
                <c:pt idx="808">
                  <c:v>133.70139406193465</c:v>
                </c:pt>
                <c:pt idx="809">
                  <c:v>133.70139406193465</c:v>
                </c:pt>
                <c:pt idx="810">
                  <c:v>134.23986378631477</c:v>
                </c:pt>
                <c:pt idx="811">
                  <c:v>134.23986378631477</c:v>
                </c:pt>
                <c:pt idx="812">
                  <c:v>133.68181334468449</c:v>
                </c:pt>
                <c:pt idx="813">
                  <c:v>133.38895392146429</c:v>
                </c:pt>
                <c:pt idx="814">
                  <c:v>132.39501968713418</c:v>
                </c:pt>
                <c:pt idx="815">
                  <c:v>132.39501968713418</c:v>
                </c:pt>
                <c:pt idx="816">
                  <c:v>132.39501968713418</c:v>
                </c:pt>
                <c:pt idx="817">
                  <c:v>132.10769394487602</c:v>
                </c:pt>
                <c:pt idx="818">
                  <c:v>132.31712248589974</c:v>
                </c:pt>
                <c:pt idx="819">
                  <c:v>132.8160051080132</c:v>
                </c:pt>
                <c:pt idx="820">
                  <c:v>132.89475364478025</c:v>
                </c:pt>
                <c:pt idx="821">
                  <c:v>132.82792380546985</c:v>
                </c:pt>
                <c:pt idx="822">
                  <c:v>132.82792380546985</c:v>
                </c:pt>
                <c:pt idx="823">
                  <c:v>132.82792380546985</c:v>
                </c:pt>
                <c:pt idx="824">
                  <c:v>131.81355751835693</c:v>
                </c:pt>
                <c:pt idx="825">
                  <c:v>131.70330956688306</c:v>
                </c:pt>
                <c:pt idx="826">
                  <c:v>131.60966265829521</c:v>
                </c:pt>
                <c:pt idx="827">
                  <c:v>131.40406512716825</c:v>
                </c:pt>
                <c:pt idx="828">
                  <c:v>131.66244546131745</c:v>
                </c:pt>
                <c:pt idx="829">
                  <c:v>131.66244546131745</c:v>
                </c:pt>
                <c:pt idx="830">
                  <c:v>131.66244546131745</c:v>
                </c:pt>
                <c:pt idx="831">
                  <c:v>131.32616792593382</c:v>
                </c:pt>
                <c:pt idx="832">
                  <c:v>130.96860700223476</c:v>
                </c:pt>
                <c:pt idx="833">
                  <c:v>130.87666276471214</c:v>
                </c:pt>
                <c:pt idx="834">
                  <c:v>131.0320314994147</c:v>
                </c:pt>
                <c:pt idx="835">
                  <c:v>130.54847291688836</c:v>
                </c:pt>
                <c:pt idx="836">
                  <c:v>130.54847291688836</c:v>
                </c:pt>
                <c:pt idx="837">
                  <c:v>130.54847291688836</c:v>
                </c:pt>
                <c:pt idx="838">
                  <c:v>129.29913802277321</c:v>
                </c:pt>
                <c:pt idx="839">
                  <c:v>129.69117803554326</c:v>
                </c:pt>
                <c:pt idx="840">
                  <c:v>129.27061828243055</c:v>
                </c:pt>
                <c:pt idx="841">
                  <c:v>129.37831222730659</c:v>
                </c:pt>
                <c:pt idx="842">
                  <c:v>128.66021070554433</c:v>
                </c:pt>
                <c:pt idx="843">
                  <c:v>128.66021070554433</c:v>
                </c:pt>
                <c:pt idx="844">
                  <c:v>128.66021070554433</c:v>
                </c:pt>
                <c:pt idx="845">
                  <c:v>128.13834202405025</c:v>
                </c:pt>
                <c:pt idx="846">
                  <c:v>127.89273172289029</c:v>
                </c:pt>
                <c:pt idx="847">
                  <c:v>127.52963711822922</c:v>
                </c:pt>
                <c:pt idx="848">
                  <c:v>127.98637863147813</c:v>
                </c:pt>
                <c:pt idx="849">
                  <c:v>127.1129083750133</c:v>
                </c:pt>
                <c:pt idx="850">
                  <c:v>127.1129083750133</c:v>
                </c:pt>
                <c:pt idx="851">
                  <c:v>127.1129083750133</c:v>
                </c:pt>
                <c:pt idx="852">
                  <c:v>127.61306800042567</c:v>
                </c:pt>
                <c:pt idx="853">
                  <c:v>127.26146642545493</c:v>
                </c:pt>
                <c:pt idx="854">
                  <c:v>127.51644141747364</c:v>
                </c:pt>
                <c:pt idx="855">
                  <c:v>126.25944450356496</c:v>
                </c:pt>
                <c:pt idx="856">
                  <c:v>126.43481962328403</c:v>
                </c:pt>
                <c:pt idx="857">
                  <c:v>126.43481962328403</c:v>
                </c:pt>
                <c:pt idx="858">
                  <c:v>126.43481962328403</c:v>
                </c:pt>
                <c:pt idx="859">
                  <c:v>125.06672342236884</c:v>
                </c:pt>
                <c:pt idx="860">
                  <c:v>124.26944769607321</c:v>
                </c:pt>
                <c:pt idx="861">
                  <c:v>123.14823879961689</c:v>
                </c:pt>
                <c:pt idx="862">
                  <c:v>125.0948174949452</c:v>
                </c:pt>
                <c:pt idx="863">
                  <c:v>125.65755028200492</c:v>
                </c:pt>
                <c:pt idx="864">
                  <c:v>125.65755028200492</c:v>
                </c:pt>
                <c:pt idx="865">
                  <c:v>125.65755028200492</c:v>
                </c:pt>
                <c:pt idx="866">
                  <c:v>123.89613706502077</c:v>
                </c:pt>
                <c:pt idx="867">
                  <c:v>122.91624986697882</c:v>
                </c:pt>
                <c:pt idx="868">
                  <c:v>125.15696498882622</c:v>
                </c:pt>
                <c:pt idx="869">
                  <c:v>126.71022666808555</c:v>
                </c:pt>
                <c:pt idx="870">
                  <c:v>126.07385335745451</c:v>
                </c:pt>
                <c:pt idx="871">
                  <c:v>126.07385335745451</c:v>
                </c:pt>
                <c:pt idx="872">
                  <c:v>126.07385335745451</c:v>
                </c:pt>
                <c:pt idx="873">
                  <c:v>126.74768543152068</c:v>
                </c:pt>
                <c:pt idx="874">
                  <c:v>127.05629456209428</c:v>
                </c:pt>
                <c:pt idx="875">
                  <c:v>126.27859955304883</c:v>
                </c:pt>
                <c:pt idx="876">
                  <c:v>127.35043098861341</c:v>
                </c:pt>
                <c:pt idx="877">
                  <c:v>127.36277535383633</c:v>
                </c:pt>
                <c:pt idx="878">
                  <c:v>127.36277535383633</c:v>
                </c:pt>
                <c:pt idx="879">
                  <c:v>127.36277535383633</c:v>
                </c:pt>
                <c:pt idx="880">
                  <c:v>127.98935830584229</c:v>
                </c:pt>
                <c:pt idx="881">
                  <c:v>127.98680429924445</c:v>
                </c:pt>
                <c:pt idx="882">
                  <c:v>127.94296051931467</c:v>
                </c:pt>
                <c:pt idx="883">
                  <c:v>127.61349366819196</c:v>
                </c:pt>
                <c:pt idx="884">
                  <c:v>128.01489837182078</c:v>
                </c:pt>
                <c:pt idx="885">
                  <c:v>128.01489837182078</c:v>
                </c:pt>
                <c:pt idx="886">
                  <c:v>128.01489837182078</c:v>
                </c:pt>
                <c:pt idx="887">
                  <c:v>128.10769394487602</c:v>
                </c:pt>
                <c:pt idx="888">
                  <c:v>127.73991699478557</c:v>
                </c:pt>
                <c:pt idx="889">
                  <c:v>126.82302862615728</c:v>
                </c:pt>
                <c:pt idx="890">
                  <c:v>126.78216452059168</c:v>
                </c:pt>
                <c:pt idx="891">
                  <c:v>126.79408321804833</c:v>
                </c:pt>
                <c:pt idx="892">
                  <c:v>126.79408321804833</c:v>
                </c:pt>
                <c:pt idx="893">
                  <c:v>126.79408321804833</c:v>
                </c:pt>
                <c:pt idx="894">
                  <c:v>126.67872725337874</c:v>
                </c:pt>
                <c:pt idx="895">
                  <c:v>125.05182505054806</c:v>
                </c:pt>
                <c:pt idx="896">
                  <c:v>123.71054591891028</c:v>
                </c:pt>
                <c:pt idx="897">
                  <c:v>124.56996913908694</c:v>
                </c:pt>
                <c:pt idx="898">
                  <c:v>124.56996913908694</c:v>
                </c:pt>
                <c:pt idx="899">
                  <c:v>124.56996913908694</c:v>
                </c:pt>
                <c:pt idx="900">
                  <c:v>124.56996913908694</c:v>
                </c:pt>
                <c:pt idx="901">
                  <c:v>124.48994359902098</c:v>
                </c:pt>
                <c:pt idx="902">
                  <c:v>122.93029690326701</c:v>
                </c:pt>
                <c:pt idx="903">
                  <c:v>122.13089283813983</c:v>
                </c:pt>
                <c:pt idx="904">
                  <c:v>122.52335851867618</c:v>
                </c:pt>
                <c:pt idx="905">
                  <c:v>121.19229541342982</c:v>
                </c:pt>
                <c:pt idx="906">
                  <c:v>121.19229541342982</c:v>
                </c:pt>
                <c:pt idx="907">
                  <c:v>121.19229541342982</c:v>
                </c:pt>
                <c:pt idx="908">
                  <c:v>124.42055975311268</c:v>
                </c:pt>
                <c:pt idx="909">
                  <c:v>124.48355858252633</c:v>
                </c:pt>
                <c:pt idx="910">
                  <c:v>123.46536128551666</c:v>
                </c:pt>
                <c:pt idx="911">
                  <c:v>124.4503564967543</c:v>
                </c:pt>
                <c:pt idx="912">
                  <c:v>122.96179631797382</c:v>
                </c:pt>
                <c:pt idx="913">
                  <c:v>122.96179631797382</c:v>
                </c:pt>
                <c:pt idx="914">
                  <c:v>122.96179631797382</c:v>
                </c:pt>
                <c:pt idx="915">
                  <c:v>121.21315313397893</c:v>
                </c:pt>
                <c:pt idx="916">
                  <c:v>120.91518569756306</c:v>
                </c:pt>
                <c:pt idx="917">
                  <c:v>124.56400979035864</c:v>
                </c:pt>
                <c:pt idx="918">
                  <c:v>122.75194210918379</c:v>
                </c:pt>
                <c:pt idx="919">
                  <c:v>124.23752261360008</c:v>
                </c:pt>
                <c:pt idx="920">
                  <c:v>124.23752261360008</c:v>
                </c:pt>
                <c:pt idx="921">
                  <c:v>124.23752261360008</c:v>
                </c:pt>
                <c:pt idx="922">
                  <c:v>125.06502075130361</c:v>
                </c:pt>
                <c:pt idx="923">
                  <c:v>122.76173246780888</c:v>
                </c:pt>
                <c:pt idx="924">
                  <c:v>122.66765989145472</c:v>
                </c:pt>
                <c:pt idx="925">
                  <c:v>121.09141215281471</c:v>
                </c:pt>
                <c:pt idx="926">
                  <c:v>124.80791742045334</c:v>
                </c:pt>
                <c:pt idx="927">
                  <c:v>124.80791742045334</c:v>
                </c:pt>
                <c:pt idx="928">
                  <c:v>124.80791742045334</c:v>
                </c:pt>
                <c:pt idx="929">
                  <c:v>125.7235287857827</c:v>
                </c:pt>
                <c:pt idx="930">
                  <c:v>126.86516973502182</c:v>
                </c:pt>
                <c:pt idx="931">
                  <c:v>128.26136000851335</c:v>
                </c:pt>
                <c:pt idx="932">
                  <c:v>128.59295519846759</c:v>
                </c:pt>
                <c:pt idx="933">
                  <c:v>128.80110673619239</c:v>
                </c:pt>
                <c:pt idx="934">
                  <c:v>128.80110673619239</c:v>
                </c:pt>
                <c:pt idx="935">
                  <c:v>128.80110673619239</c:v>
                </c:pt>
                <c:pt idx="936">
                  <c:v>127.85654996275406</c:v>
                </c:pt>
                <c:pt idx="937">
                  <c:v>128.53293604341812</c:v>
                </c:pt>
                <c:pt idx="938">
                  <c:v>127.93317016068957</c:v>
                </c:pt>
                <c:pt idx="939">
                  <c:v>127.06310524635522</c:v>
                </c:pt>
                <c:pt idx="940">
                  <c:v>126.70469298712355</c:v>
                </c:pt>
                <c:pt idx="941">
                  <c:v>126.70469298712355</c:v>
                </c:pt>
                <c:pt idx="942">
                  <c:v>126.70469298712355</c:v>
                </c:pt>
                <c:pt idx="943">
                  <c:v>127.49217835479409</c:v>
                </c:pt>
                <c:pt idx="944">
                  <c:v>127.03713951261042</c:v>
                </c:pt>
                <c:pt idx="945">
                  <c:v>127.87229967010747</c:v>
                </c:pt>
                <c:pt idx="946">
                  <c:v>128.30903479833989</c:v>
                </c:pt>
                <c:pt idx="947">
                  <c:v>128.28647440672555</c:v>
                </c:pt>
                <c:pt idx="948">
                  <c:v>128.28647440672555</c:v>
                </c:pt>
                <c:pt idx="949">
                  <c:v>128.28647440672555</c:v>
                </c:pt>
                <c:pt idx="950">
                  <c:v>127.69649888262211</c:v>
                </c:pt>
                <c:pt idx="951">
                  <c:v>127.40534213046718</c:v>
                </c:pt>
                <c:pt idx="952">
                  <c:v>126.83324465254869</c:v>
                </c:pt>
                <c:pt idx="953">
                  <c:v>126.67659891454718</c:v>
                </c:pt>
                <c:pt idx="954">
                  <c:v>127.29211450462914</c:v>
                </c:pt>
                <c:pt idx="955">
                  <c:v>127.29211450462914</c:v>
                </c:pt>
                <c:pt idx="956">
                  <c:v>127.29211450462914</c:v>
                </c:pt>
                <c:pt idx="957">
                  <c:v>127.52240076620198</c:v>
                </c:pt>
                <c:pt idx="958">
                  <c:v>127.52240076620198</c:v>
                </c:pt>
                <c:pt idx="959">
                  <c:v>126.55145259125253</c:v>
                </c:pt>
                <c:pt idx="960">
                  <c:v>126.18197297009684</c:v>
                </c:pt>
                <c:pt idx="961">
                  <c:v>125.2212408215388</c:v>
                </c:pt>
                <c:pt idx="962">
                  <c:v>125.2212408215388</c:v>
                </c:pt>
                <c:pt idx="963">
                  <c:v>125.2212408215388</c:v>
                </c:pt>
                <c:pt idx="964">
                  <c:v>124.50441630307544</c:v>
                </c:pt>
                <c:pt idx="965">
                  <c:v>124.03022241140791</c:v>
                </c:pt>
                <c:pt idx="966">
                  <c:v>124.18346280727891</c:v>
                </c:pt>
                <c:pt idx="967">
                  <c:v>125.37405554964349</c:v>
                </c:pt>
                <c:pt idx="968">
                  <c:v>125.59157177822709</c:v>
                </c:pt>
                <c:pt idx="969">
                  <c:v>125.59157177822709</c:v>
                </c:pt>
                <c:pt idx="970">
                  <c:v>125.59157177822709</c:v>
                </c:pt>
                <c:pt idx="971">
                  <c:v>125.74992018729381</c:v>
                </c:pt>
                <c:pt idx="972">
                  <c:v>124.56996913908694</c:v>
                </c:pt>
                <c:pt idx="973">
                  <c:v>124.19921251463234</c:v>
                </c:pt>
                <c:pt idx="974">
                  <c:v>123.00393742683835</c:v>
                </c:pt>
                <c:pt idx="975">
                  <c:v>122.88943279770139</c:v>
                </c:pt>
                <c:pt idx="976">
                  <c:v>122.88943279770139</c:v>
                </c:pt>
                <c:pt idx="977">
                  <c:v>122.88943279770139</c:v>
                </c:pt>
                <c:pt idx="978">
                  <c:v>123.08779397680109</c:v>
                </c:pt>
                <c:pt idx="979">
                  <c:v>122.5855060125572</c:v>
                </c:pt>
                <c:pt idx="980">
                  <c:v>122.83579865914653</c:v>
                </c:pt>
                <c:pt idx="981">
                  <c:v>122.87879110354369</c:v>
                </c:pt>
                <c:pt idx="982">
                  <c:v>122.30882196445674</c:v>
                </c:pt>
                <c:pt idx="983">
                  <c:v>122.30882196445674</c:v>
                </c:pt>
                <c:pt idx="984">
                  <c:v>122.30882196445674</c:v>
                </c:pt>
                <c:pt idx="985">
                  <c:v>121.03820368202618</c:v>
                </c:pt>
                <c:pt idx="986">
                  <c:v>120.30009577524743</c:v>
                </c:pt>
                <c:pt idx="987">
                  <c:v>119.3261679259338</c:v>
                </c:pt>
                <c:pt idx="988">
                  <c:v>116.82239012450782</c:v>
                </c:pt>
                <c:pt idx="989">
                  <c:v>117.14632329466852</c:v>
                </c:pt>
                <c:pt idx="990">
                  <c:v>117.14632329466852</c:v>
                </c:pt>
                <c:pt idx="991">
                  <c:v>117.14632329466852</c:v>
                </c:pt>
                <c:pt idx="992">
                  <c:v>118.7127806746834</c:v>
                </c:pt>
                <c:pt idx="993">
                  <c:v>118.4641906991593</c:v>
                </c:pt>
                <c:pt idx="994">
                  <c:v>119.28870916249868</c:v>
                </c:pt>
                <c:pt idx="995">
                  <c:v>120.29626476535064</c:v>
                </c:pt>
                <c:pt idx="996">
                  <c:v>120.29626476535064</c:v>
                </c:pt>
                <c:pt idx="997">
                  <c:v>120.29626476535064</c:v>
                </c:pt>
                <c:pt idx="998">
                  <c:v>120.29626476535064</c:v>
                </c:pt>
                <c:pt idx="999">
                  <c:v>120.13365967862082</c:v>
                </c:pt>
                <c:pt idx="1000">
                  <c:v>121.58220708736832</c:v>
                </c:pt>
                <c:pt idx="1001">
                  <c:v>121.92657231031181</c:v>
                </c:pt>
                <c:pt idx="1002">
                  <c:v>120.89943599020965</c:v>
                </c:pt>
                <c:pt idx="1003">
                  <c:v>121.72097477918487</c:v>
                </c:pt>
                <c:pt idx="1004">
                  <c:v>121.72097477918487</c:v>
                </c:pt>
                <c:pt idx="1005">
                  <c:v>121.72097477918487</c:v>
                </c:pt>
                <c:pt idx="1006">
                  <c:v>122.43567095881664</c:v>
                </c:pt>
                <c:pt idx="1007">
                  <c:v>121.35617750345855</c:v>
                </c:pt>
                <c:pt idx="1008">
                  <c:v>120.65169735021814</c:v>
                </c:pt>
                <c:pt idx="1009">
                  <c:v>119.69224220495902</c:v>
                </c:pt>
                <c:pt idx="1010">
                  <c:v>122.65191018410131</c:v>
                </c:pt>
                <c:pt idx="1011">
                  <c:v>122.65191018410131</c:v>
                </c:pt>
                <c:pt idx="1012">
                  <c:v>122.65191018410131</c:v>
                </c:pt>
                <c:pt idx="1013">
                  <c:v>122.19729700968394</c:v>
                </c:pt>
                <c:pt idx="1014">
                  <c:v>122.56762796637224</c:v>
                </c:pt>
                <c:pt idx="1015">
                  <c:v>122.76471214217304</c:v>
                </c:pt>
                <c:pt idx="1016">
                  <c:v>124.82579546663828</c:v>
                </c:pt>
                <c:pt idx="1017">
                  <c:v>125.38639991486644</c:v>
                </c:pt>
                <c:pt idx="1018">
                  <c:v>125.38639991486644</c:v>
                </c:pt>
                <c:pt idx="1019">
                  <c:v>125.38639991486644</c:v>
                </c:pt>
                <c:pt idx="1020">
                  <c:v>124.18942215600724</c:v>
                </c:pt>
                <c:pt idx="1021">
                  <c:v>124.45376183888474</c:v>
                </c:pt>
                <c:pt idx="1022">
                  <c:v>125.39448760242631</c:v>
                </c:pt>
                <c:pt idx="1023">
                  <c:v>125.27530062785996</c:v>
                </c:pt>
                <c:pt idx="1024">
                  <c:v>125.14121528147282</c:v>
                </c:pt>
                <c:pt idx="1025">
                  <c:v>125.14121528147282</c:v>
                </c:pt>
                <c:pt idx="1026">
                  <c:v>125.14121528147282</c:v>
                </c:pt>
                <c:pt idx="1027">
                  <c:v>124.55762477386401</c:v>
                </c:pt>
                <c:pt idx="1028">
                  <c:v>124.6035968926253</c:v>
                </c:pt>
                <c:pt idx="1029">
                  <c:v>124.87730126636161</c:v>
                </c:pt>
                <c:pt idx="1030">
                  <c:v>123.7829094391827</c:v>
                </c:pt>
                <c:pt idx="1031">
                  <c:v>123.65776311588806</c:v>
                </c:pt>
                <c:pt idx="1032">
                  <c:v>123.65776311588806</c:v>
                </c:pt>
                <c:pt idx="1033">
                  <c:v>123.65776311588806</c:v>
                </c:pt>
                <c:pt idx="1034">
                  <c:v>123.65776311588806</c:v>
                </c:pt>
                <c:pt idx="1035">
                  <c:v>123.4628072789188</c:v>
                </c:pt>
                <c:pt idx="1036">
                  <c:v>123.74417367244865</c:v>
                </c:pt>
                <c:pt idx="1037">
                  <c:v>123.681174843035</c:v>
                </c:pt>
                <c:pt idx="1038">
                  <c:v>123.75907204426943</c:v>
                </c:pt>
                <c:pt idx="1039">
                  <c:v>123.75907204426943</c:v>
                </c:pt>
                <c:pt idx="1040">
                  <c:v>123.75907204426943</c:v>
                </c:pt>
                <c:pt idx="1041">
                  <c:v>122.94647227838674</c:v>
                </c:pt>
                <c:pt idx="1042">
                  <c:v>122.94178993295732</c:v>
                </c:pt>
                <c:pt idx="1043">
                  <c:v>122.5156964988826</c:v>
                </c:pt>
                <c:pt idx="1044">
                  <c:v>123.26359476428648</c:v>
                </c:pt>
                <c:pt idx="1045">
                  <c:v>123.13461743109502</c:v>
                </c:pt>
                <c:pt idx="1046">
                  <c:v>123.13461743109502</c:v>
                </c:pt>
                <c:pt idx="1047">
                  <c:v>123.13461743109502</c:v>
                </c:pt>
                <c:pt idx="1048">
                  <c:v>122.56635096307332</c:v>
                </c:pt>
                <c:pt idx="1049">
                  <c:v>122.31137597105459</c:v>
                </c:pt>
                <c:pt idx="1050">
                  <c:v>122.04916462700861</c:v>
                </c:pt>
                <c:pt idx="1051">
                  <c:v>122.04703628817708</c:v>
                </c:pt>
                <c:pt idx="1052">
                  <c:v>120.65127168245185</c:v>
                </c:pt>
                <c:pt idx="1053">
                  <c:v>120.65127168245185</c:v>
                </c:pt>
                <c:pt idx="1054">
                  <c:v>120.65127168245185</c:v>
                </c:pt>
                <c:pt idx="1055">
                  <c:v>119.84420559753113</c:v>
                </c:pt>
                <c:pt idx="1056">
                  <c:v>119.41555815685857</c:v>
                </c:pt>
                <c:pt idx="1057">
                  <c:v>119.97275726295626</c:v>
                </c:pt>
                <c:pt idx="1058">
                  <c:v>119.1171650526764</c:v>
                </c:pt>
                <c:pt idx="1059">
                  <c:v>119.21719697775886</c:v>
                </c:pt>
                <c:pt idx="1060">
                  <c:v>119.21719697775886</c:v>
                </c:pt>
                <c:pt idx="1061">
                  <c:v>119.21719697775886</c:v>
                </c:pt>
                <c:pt idx="1062">
                  <c:v>121.52303926785144</c:v>
                </c:pt>
                <c:pt idx="1063">
                  <c:v>120.21836756411621</c:v>
                </c:pt>
                <c:pt idx="1064">
                  <c:v>120.57337448121741</c:v>
                </c:pt>
                <c:pt idx="1065">
                  <c:v>120.58912418857082</c:v>
                </c:pt>
                <c:pt idx="1066">
                  <c:v>120.14387570501223</c:v>
                </c:pt>
                <c:pt idx="1067">
                  <c:v>120.14387570501223</c:v>
                </c:pt>
                <c:pt idx="1068">
                  <c:v>120.14387570501223</c:v>
                </c:pt>
                <c:pt idx="1069">
                  <c:v>119.54794083218047</c:v>
                </c:pt>
                <c:pt idx="1070">
                  <c:v>119.65180376715973</c:v>
                </c:pt>
                <c:pt idx="1071">
                  <c:v>118.82600830052144</c:v>
                </c:pt>
                <c:pt idx="1072">
                  <c:v>118.47610939661595</c:v>
                </c:pt>
                <c:pt idx="1073">
                  <c:v>116.76364797275727</c:v>
                </c:pt>
                <c:pt idx="1074">
                  <c:v>116.76364797275727</c:v>
                </c:pt>
                <c:pt idx="1075">
                  <c:v>116.76364797275727</c:v>
                </c:pt>
                <c:pt idx="1076">
                  <c:v>117.01308928381397</c:v>
                </c:pt>
                <c:pt idx="1077">
                  <c:v>117.97169309354048</c:v>
                </c:pt>
                <c:pt idx="1078">
                  <c:v>118.74640842822177</c:v>
                </c:pt>
                <c:pt idx="1079">
                  <c:v>118.88091944237522</c:v>
                </c:pt>
                <c:pt idx="1080">
                  <c:v>119.34404597211876</c:v>
                </c:pt>
                <c:pt idx="1081">
                  <c:v>119.34404597211876</c:v>
                </c:pt>
                <c:pt idx="1082">
                  <c:v>119.34404597211876</c:v>
                </c:pt>
                <c:pt idx="1083">
                  <c:v>118.52676386080662</c:v>
                </c:pt>
                <c:pt idx="1084">
                  <c:v>118.86261572842396</c:v>
                </c:pt>
                <c:pt idx="1085">
                  <c:v>118.92731722890284</c:v>
                </c:pt>
                <c:pt idx="1086">
                  <c:v>119.021389805257</c:v>
                </c:pt>
                <c:pt idx="1087">
                  <c:v>118.87496009364691</c:v>
                </c:pt>
                <c:pt idx="1088">
                  <c:v>118.87496009364691</c:v>
                </c:pt>
                <c:pt idx="1089">
                  <c:v>118.87496009364691</c:v>
                </c:pt>
                <c:pt idx="1090">
                  <c:v>118.11769713738427</c:v>
                </c:pt>
                <c:pt idx="1091">
                  <c:v>118.53570288389912</c:v>
                </c:pt>
                <c:pt idx="1092">
                  <c:v>118.32542300734279</c:v>
                </c:pt>
                <c:pt idx="1093">
                  <c:v>118.14834521655848</c:v>
                </c:pt>
                <c:pt idx="1094">
                  <c:v>118.14834521655848</c:v>
                </c:pt>
                <c:pt idx="1095">
                  <c:v>118.14834521655848</c:v>
                </c:pt>
                <c:pt idx="1096">
                  <c:v>118.14834521655848</c:v>
                </c:pt>
                <c:pt idx="1097">
                  <c:v>116.87687559859529</c:v>
                </c:pt>
                <c:pt idx="1098">
                  <c:v>117.18761306800043</c:v>
                </c:pt>
                <c:pt idx="1099">
                  <c:v>116.83430882196446</c:v>
                </c:pt>
                <c:pt idx="1100">
                  <c:v>115.34745131424924</c:v>
                </c:pt>
                <c:pt idx="1101">
                  <c:v>115.26572310311802</c:v>
                </c:pt>
                <c:pt idx="1102">
                  <c:v>115.26572310311802</c:v>
                </c:pt>
                <c:pt idx="1103">
                  <c:v>115.26572310311802</c:v>
                </c:pt>
                <c:pt idx="1104">
                  <c:v>115.18782590188358</c:v>
                </c:pt>
                <c:pt idx="1105">
                  <c:v>116.27583271256785</c:v>
                </c:pt>
                <c:pt idx="1106">
                  <c:v>116.53506438224966</c:v>
                </c:pt>
                <c:pt idx="1107">
                  <c:v>115.98893263807597</c:v>
                </c:pt>
                <c:pt idx="1108">
                  <c:v>115.20825795466638</c:v>
                </c:pt>
                <c:pt idx="1109">
                  <c:v>115.20825795466638</c:v>
                </c:pt>
                <c:pt idx="1110">
                  <c:v>115.20825795466638</c:v>
                </c:pt>
                <c:pt idx="1111">
                  <c:v>115.10482068745344</c:v>
                </c:pt>
                <c:pt idx="1112">
                  <c:v>114.12365648611259</c:v>
                </c:pt>
                <c:pt idx="1113">
                  <c:v>112.37629030541663</c:v>
                </c:pt>
                <c:pt idx="1114">
                  <c:v>112.54017239544535</c:v>
                </c:pt>
                <c:pt idx="1115">
                  <c:v>113.43024369479622</c:v>
                </c:pt>
                <c:pt idx="1116">
                  <c:v>113.43024369479622</c:v>
                </c:pt>
                <c:pt idx="1117">
                  <c:v>113.43024369479622</c:v>
                </c:pt>
                <c:pt idx="1118">
                  <c:v>112.47547089496648</c:v>
                </c:pt>
                <c:pt idx="1119">
                  <c:v>112.32095349579652</c:v>
                </c:pt>
                <c:pt idx="1120">
                  <c:v>112.07406619133766</c:v>
                </c:pt>
                <c:pt idx="1121">
                  <c:v>113.6835160157497</c:v>
                </c:pt>
                <c:pt idx="1122">
                  <c:v>113.6835160157497</c:v>
                </c:pt>
                <c:pt idx="1123">
                  <c:v>113.6835160157497</c:v>
                </c:pt>
                <c:pt idx="1124">
                  <c:v>113.6835160157497</c:v>
                </c:pt>
                <c:pt idx="1125">
                  <c:v>112.20432052782803</c:v>
                </c:pt>
                <c:pt idx="1126">
                  <c:v>111.35894434393956</c:v>
                </c:pt>
                <c:pt idx="1127">
                  <c:v>111.11205703948069</c:v>
                </c:pt>
                <c:pt idx="1128">
                  <c:v>109.93338299457274</c:v>
                </c:pt>
                <c:pt idx="1129">
                  <c:v>110.51441949558371</c:v>
                </c:pt>
                <c:pt idx="1130">
                  <c:v>110.51441949558371</c:v>
                </c:pt>
                <c:pt idx="1131">
                  <c:v>110.51441949558371</c:v>
                </c:pt>
                <c:pt idx="1132">
                  <c:v>110.5305948707034</c:v>
                </c:pt>
                <c:pt idx="1133">
                  <c:v>110.03341491965521</c:v>
                </c:pt>
                <c:pt idx="1134">
                  <c:v>109.58433542619986</c:v>
                </c:pt>
                <c:pt idx="1135">
                  <c:v>108.53208470788549</c:v>
                </c:pt>
                <c:pt idx="1136">
                  <c:v>107.7765244226881</c:v>
                </c:pt>
                <c:pt idx="1137">
                  <c:v>107.7765244226881</c:v>
                </c:pt>
                <c:pt idx="1138">
                  <c:v>107.7765244226881</c:v>
                </c:pt>
                <c:pt idx="1139">
                  <c:v>104.19878684686601</c:v>
                </c:pt>
                <c:pt idx="1140">
                  <c:v>106.84388634670641</c:v>
                </c:pt>
                <c:pt idx="1141">
                  <c:v>106.70852399702034</c:v>
                </c:pt>
                <c:pt idx="1142">
                  <c:v>106.70852399702034</c:v>
                </c:pt>
                <c:pt idx="1143">
                  <c:v>105.80993934234328</c:v>
                </c:pt>
                <c:pt idx="1144">
                  <c:v>105.80993934234328</c:v>
                </c:pt>
                <c:pt idx="1145">
                  <c:v>105.80993934234328</c:v>
                </c:pt>
                <c:pt idx="1146">
                  <c:v>105.9414706821326</c:v>
                </c:pt>
                <c:pt idx="1147">
                  <c:v>105.04203469192295</c:v>
                </c:pt>
                <c:pt idx="1148">
                  <c:v>100.07874853676707</c:v>
                </c:pt>
                <c:pt idx="1149">
                  <c:v>100.07874853676707</c:v>
                </c:pt>
                <c:pt idx="1150">
                  <c:v>102.86772374161966</c:v>
                </c:pt>
                <c:pt idx="1151">
                  <c:v>102.86772374161966</c:v>
                </c:pt>
                <c:pt idx="1152">
                  <c:v>102.86772374161966</c:v>
                </c:pt>
                <c:pt idx="1153">
                  <c:v>105.03011599446633</c:v>
                </c:pt>
                <c:pt idx="1154">
                  <c:v>106.71320634244972</c:v>
                </c:pt>
                <c:pt idx="1155">
                  <c:v>108.38182398637863</c:v>
                </c:pt>
                <c:pt idx="1156">
                  <c:v>108.37245929551985</c:v>
                </c:pt>
                <c:pt idx="1157">
                  <c:v>110.67149090135149</c:v>
                </c:pt>
                <c:pt idx="1158">
                  <c:v>110.67149090135149</c:v>
                </c:pt>
                <c:pt idx="1159">
                  <c:v>110.67149090135149</c:v>
                </c:pt>
                <c:pt idx="1160">
                  <c:v>112.82494413110567</c:v>
                </c:pt>
                <c:pt idx="1161">
                  <c:v>112.84750452272003</c:v>
                </c:pt>
                <c:pt idx="1162">
                  <c:v>112.23922528466532</c:v>
                </c:pt>
                <c:pt idx="1163">
                  <c:v>112.27923805469831</c:v>
                </c:pt>
                <c:pt idx="1164">
                  <c:v>112.08172821113121</c:v>
                </c:pt>
                <c:pt idx="1165">
                  <c:v>112.08172821113121</c:v>
                </c:pt>
                <c:pt idx="1166">
                  <c:v>112.08172821113121</c:v>
                </c:pt>
                <c:pt idx="1167">
                  <c:v>114.7579014579121</c:v>
                </c:pt>
                <c:pt idx="1168">
                  <c:v>114.93285090986485</c:v>
                </c:pt>
                <c:pt idx="1169">
                  <c:v>114.93285090986485</c:v>
                </c:pt>
                <c:pt idx="1170">
                  <c:v>118.77705650739598</c:v>
                </c:pt>
                <c:pt idx="1171">
                  <c:v>117.49153985314462</c:v>
                </c:pt>
                <c:pt idx="1172">
                  <c:v>117.49153985314462</c:v>
                </c:pt>
                <c:pt idx="1173">
                  <c:v>117.49153985314462</c:v>
                </c:pt>
                <c:pt idx="1174">
                  <c:v>116.53761838884751</c:v>
                </c:pt>
                <c:pt idx="1175">
                  <c:v>116.79429605193145</c:v>
                </c:pt>
                <c:pt idx="1176">
                  <c:v>114.17133127593912</c:v>
                </c:pt>
                <c:pt idx="1177">
                  <c:v>113.8001489837182</c:v>
                </c:pt>
                <c:pt idx="1178">
                  <c:v>112.05959348728318</c:v>
                </c:pt>
                <c:pt idx="1179">
                  <c:v>112.05959348728318</c:v>
                </c:pt>
                <c:pt idx="1180">
                  <c:v>112.05959348728318</c:v>
                </c:pt>
                <c:pt idx="1181">
                  <c:v>112.79897839736086</c:v>
                </c:pt>
                <c:pt idx="1182">
                  <c:v>112.79897839736086</c:v>
                </c:pt>
                <c:pt idx="1183">
                  <c:v>112.45674151324891</c:v>
                </c:pt>
                <c:pt idx="1184">
                  <c:v>114.53570288389912</c:v>
                </c:pt>
                <c:pt idx="1185">
                  <c:v>116.47419389166755</c:v>
                </c:pt>
                <c:pt idx="1186">
                  <c:v>116.47419389166755</c:v>
                </c:pt>
                <c:pt idx="1187">
                  <c:v>116.47419389166755</c:v>
                </c:pt>
                <c:pt idx="1188">
                  <c:v>116.21581355751836</c:v>
                </c:pt>
                <c:pt idx="1189">
                  <c:v>114.99755241034373</c:v>
                </c:pt>
                <c:pt idx="1190">
                  <c:v>115.87442800893901</c:v>
                </c:pt>
                <c:pt idx="1191">
                  <c:v>116.04639778652761</c:v>
                </c:pt>
                <c:pt idx="1192">
                  <c:v>118.37863147813133</c:v>
                </c:pt>
                <c:pt idx="1193">
                  <c:v>118.37863147813133</c:v>
                </c:pt>
                <c:pt idx="1194">
                  <c:v>118.37863147813133</c:v>
                </c:pt>
                <c:pt idx="1195">
                  <c:v>119.47770565073958</c:v>
                </c:pt>
                <c:pt idx="1196">
                  <c:v>119.77822709375332</c:v>
                </c:pt>
                <c:pt idx="1197">
                  <c:v>117.29062466744705</c:v>
                </c:pt>
                <c:pt idx="1198">
                  <c:v>116.56103011599446</c:v>
                </c:pt>
                <c:pt idx="1199">
                  <c:v>115.91188677237416</c:v>
                </c:pt>
                <c:pt idx="1200">
                  <c:v>115.91188677237416</c:v>
                </c:pt>
                <c:pt idx="1201">
                  <c:v>115.91188677237416</c:v>
                </c:pt>
                <c:pt idx="1202">
                  <c:v>116.64871767585399</c:v>
                </c:pt>
                <c:pt idx="1203">
                  <c:v>115.43003086091306</c:v>
                </c:pt>
                <c:pt idx="1204">
                  <c:v>114.19091199318932</c:v>
                </c:pt>
                <c:pt idx="1205">
                  <c:v>112.42949877620516</c:v>
                </c:pt>
                <c:pt idx="1206">
                  <c:v>113.17186336064702</c:v>
                </c:pt>
                <c:pt idx="1207">
                  <c:v>113.17186336064702</c:v>
                </c:pt>
                <c:pt idx="1208">
                  <c:v>113.17186336064702</c:v>
                </c:pt>
                <c:pt idx="1209">
                  <c:v>115.16739384910078</c:v>
                </c:pt>
                <c:pt idx="1210">
                  <c:v>113.06161540917314</c:v>
                </c:pt>
                <c:pt idx="1211">
                  <c:v>116.66233904437587</c:v>
                </c:pt>
                <c:pt idx="1212">
                  <c:v>117.30892838139833</c:v>
                </c:pt>
                <c:pt idx="1213">
                  <c:v>117.81547302330533</c:v>
                </c:pt>
                <c:pt idx="1214">
                  <c:v>117.81547302330533</c:v>
                </c:pt>
                <c:pt idx="1215">
                  <c:v>117.81547302330533</c:v>
                </c:pt>
                <c:pt idx="1216">
                  <c:v>117.85803979993617</c:v>
                </c:pt>
                <c:pt idx="1217">
                  <c:v>119.57901457912099</c:v>
                </c:pt>
                <c:pt idx="1218">
                  <c:v>119.6092369905289</c:v>
                </c:pt>
                <c:pt idx="1219">
                  <c:v>117.09226348834734</c:v>
                </c:pt>
                <c:pt idx="1220">
                  <c:v>117.78780461849527</c:v>
                </c:pt>
                <c:pt idx="1221">
                  <c:v>117.78780461849527</c:v>
                </c:pt>
                <c:pt idx="1222">
                  <c:v>117.78780461849527</c:v>
                </c:pt>
                <c:pt idx="1223">
                  <c:v>116.13791635628392</c:v>
                </c:pt>
                <c:pt idx="1224">
                  <c:v>118.57741832499732</c:v>
                </c:pt>
                <c:pt idx="1225">
                  <c:v>122.60678940087261</c:v>
                </c:pt>
                <c:pt idx="1226">
                  <c:v>122.78088751729274</c:v>
                </c:pt>
                <c:pt idx="1227">
                  <c:v>122.82941364265191</c:v>
                </c:pt>
                <c:pt idx="1228">
                  <c:v>122.82941364265191</c:v>
                </c:pt>
                <c:pt idx="1229">
                  <c:v>122.82941364265191</c:v>
                </c:pt>
                <c:pt idx="1230">
                  <c:v>123.51218473981058</c:v>
                </c:pt>
                <c:pt idx="1231">
                  <c:v>124.52953070128765</c:v>
                </c:pt>
                <c:pt idx="1232">
                  <c:v>124.44099180589549</c:v>
                </c:pt>
                <c:pt idx="1233">
                  <c:v>124.49036926678727</c:v>
                </c:pt>
                <c:pt idx="1234">
                  <c:v>124.03873576673405</c:v>
                </c:pt>
                <c:pt idx="1235">
                  <c:v>124.03873576673405</c:v>
                </c:pt>
                <c:pt idx="1236">
                  <c:v>124.03873576673405</c:v>
                </c:pt>
                <c:pt idx="1237">
                  <c:v>124.03958710226668</c:v>
                </c:pt>
                <c:pt idx="1238">
                  <c:v>123.69777588592103</c:v>
                </c:pt>
                <c:pt idx="1239">
                  <c:v>124.10599127381079</c:v>
                </c:pt>
                <c:pt idx="1240">
                  <c:v>124.26817069277429</c:v>
                </c:pt>
                <c:pt idx="1241">
                  <c:v>124.70660849207194</c:v>
                </c:pt>
                <c:pt idx="1242">
                  <c:v>124.70660849207194</c:v>
                </c:pt>
                <c:pt idx="1243">
                  <c:v>124.70660849207194</c:v>
                </c:pt>
                <c:pt idx="1244">
                  <c:v>124.75258061083325</c:v>
                </c:pt>
                <c:pt idx="1245">
                  <c:v>123.78205810365009</c:v>
                </c:pt>
                <c:pt idx="1246">
                  <c:v>123.62711503671385</c:v>
                </c:pt>
                <c:pt idx="1247">
                  <c:v>122.96690433116953</c:v>
                </c:pt>
                <c:pt idx="1248">
                  <c:v>123.65563477705651</c:v>
                </c:pt>
                <c:pt idx="1249">
                  <c:v>123.65563477705651</c:v>
                </c:pt>
                <c:pt idx="1250">
                  <c:v>123.65563477705651</c:v>
                </c:pt>
                <c:pt idx="1251">
                  <c:v>123.62158135575183</c:v>
                </c:pt>
                <c:pt idx="1252">
                  <c:v>122.97201234436524</c:v>
                </c:pt>
                <c:pt idx="1253">
                  <c:v>122.92816856443545</c:v>
                </c:pt>
                <c:pt idx="1254">
                  <c:v>122.47015004788764</c:v>
                </c:pt>
                <c:pt idx="1255">
                  <c:v>122.23816111524954</c:v>
                </c:pt>
                <c:pt idx="1256">
                  <c:v>122.23816111524954</c:v>
                </c:pt>
                <c:pt idx="1257">
                  <c:v>122.23816111524954</c:v>
                </c:pt>
                <c:pt idx="1258">
                  <c:v>122.509311482388</c:v>
                </c:pt>
                <c:pt idx="1259">
                  <c:v>122.95839097584336</c:v>
                </c:pt>
                <c:pt idx="1260">
                  <c:v>123.30403320208576</c:v>
                </c:pt>
                <c:pt idx="1261">
                  <c:v>123.50835372991381</c:v>
                </c:pt>
                <c:pt idx="1262">
                  <c:v>123.50835372991381</c:v>
                </c:pt>
                <c:pt idx="1263">
                  <c:v>123.50835372991381</c:v>
                </c:pt>
                <c:pt idx="1264">
                  <c:v>123.50835372991381</c:v>
                </c:pt>
                <c:pt idx="1265">
                  <c:v>123.49175268702778</c:v>
                </c:pt>
                <c:pt idx="1266">
                  <c:v>124.04128977333191</c:v>
                </c:pt>
                <c:pt idx="1267">
                  <c:v>123.33808662339045</c:v>
                </c:pt>
                <c:pt idx="1268">
                  <c:v>123.30488453761839</c:v>
                </c:pt>
                <c:pt idx="1269">
                  <c:v>122.36628711290838</c:v>
                </c:pt>
                <c:pt idx="1270">
                  <c:v>122.36628711290838</c:v>
                </c:pt>
                <c:pt idx="1271">
                  <c:v>122.36628711290838</c:v>
                </c:pt>
                <c:pt idx="1272">
                  <c:v>121.61242949877619</c:v>
                </c:pt>
                <c:pt idx="1273">
                  <c:v>121.81845269766947</c:v>
                </c:pt>
                <c:pt idx="1274">
                  <c:v>121.86697882302863</c:v>
                </c:pt>
                <c:pt idx="1275">
                  <c:v>121.61540917314038</c:v>
                </c:pt>
                <c:pt idx="1276">
                  <c:v>121.32084707885495</c:v>
                </c:pt>
                <c:pt idx="1277">
                  <c:v>121.32084707885495</c:v>
                </c:pt>
                <c:pt idx="1278">
                  <c:v>121.32084707885495</c:v>
                </c:pt>
                <c:pt idx="1279">
                  <c:v>120.91901670745983</c:v>
                </c:pt>
                <c:pt idx="1280">
                  <c:v>119.96892625305948</c:v>
                </c:pt>
                <c:pt idx="1281">
                  <c:v>120.88794296051933</c:v>
                </c:pt>
                <c:pt idx="1282">
                  <c:v>120.12046397786527</c:v>
                </c:pt>
                <c:pt idx="1283">
                  <c:v>120.60359689262532</c:v>
                </c:pt>
                <c:pt idx="1284">
                  <c:v>120.60359689262532</c:v>
                </c:pt>
                <c:pt idx="1285">
                  <c:v>120.60359689262532</c:v>
                </c:pt>
                <c:pt idx="1286">
                  <c:v>121.46770245823136</c:v>
                </c:pt>
                <c:pt idx="1287">
                  <c:v>121.64307757795041</c:v>
                </c:pt>
                <c:pt idx="1288">
                  <c:v>121.67500266042353</c:v>
                </c:pt>
                <c:pt idx="1289">
                  <c:v>121.33234010854528</c:v>
                </c:pt>
                <c:pt idx="1290">
                  <c:v>120.90454400340533</c:v>
                </c:pt>
                <c:pt idx="1291">
                  <c:v>120.90454400340533</c:v>
                </c:pt>
                <c:pt idx="1292">
                  <c:v>120.90454400340533</c:v>
                </c:pt>
                <c:pt idx="1293">
                  <c:v>120.3456422262424</c:v>
                </c:pt>
                <c:pt idx="1294">
                  <c:v>119.755666702139</c:v>
                </c:pt>
                <c:pt idx="1295">
                  <c:v>119.88038735766733</c:v>
                </c:pt>
                <c:pt idx="1296">
                  <c:v>119.29764818559114</c:v>
                </c:pt>
                <c:pt idx="1297">
                  <c:v>119.98808130254336</c:v>
                </c:pt>
                <c:pt idx="1298">
                  <c:v>119.98808130254336</c:v>
                </c:pt>
                <c:pt idx="1299">
                  <c:v>119.98808130254336</c:v>
                </c:pt>
                <c:pt idx="1300">
                  <c:v>120.7806746834096</c:v>
                </c:pt>
                <c:pt idx="1301">
                  <c:v>121.14802596573375</c:v>
                </c:pt>
                <c:pt idx="1302">
                  <c:v>120.0553368096201</c:v>
                </c:pt>
                <c:pt idx="1303">
                  <c:v>119.48409066723423</c:v>
                </c:pt>
                <c:pt idx="1304">
                  <c:v>119.2648717675854</c:v>
                </c:pt>
                <c:pt idx="1305">
                  <c:v>119.2648717675854</c:v>
                </c:pt>
                <c:pt idx="1306">
                  <c:v>119.2648717675854</c:v>
                </c:pt>
                <c:pt idx="1307">
                  <c:v>119.37809939342343</c:v>
                </c:pt>
                <c:pt idx="1308">
                  <c:v>119.85186761732467</c:v>
                </c:pt>
                <c:pt idx="1309">
                  <c:v>119.59348728317549</c:v>
                </c:pt>
                <c:pt idx="1310">
                  <c:v>119.12014472704054</c:v>
                </c:pt>
                <c:pt idx="1311">
                  <c:v>119.24273704373735</c:v>
                </c:pt>
                <c:pt idx="1312">
                  <c:v>119.24273704373735</c:v>
                </c:pt>
                <c:pt idx="1313">
                  <c:v>119.24273704373735</c:v>
                </c:pt>
                <c:pt idx="1314">
                  <c:v>119.11418537831221</c:v>
                </c:pt>
                <c:pt idx="1315">
                  <c:v>118.08108970948174</c:v>
                </c:pt>
                <c:pt idx="1316">
                  <c:v>118.924763222305</c:v>
                </c:pt>
                <c:pt idx="1317">
                  <c:v>118.51314249228477</c:v>
                </c:pt>
                <c:pt idx="1318">
                  <c:v>117.47664148132384</c:v>
                </c:pt>
                <c:pt idx="1319">
                  <c:v>117.47664148132384</c:v>
                </c:pt>
                <c:pt idx="1320">
                  <c:v>117.47664148132384</c:v>
                </c:pt>
                <c:pt idx="1321">
                  <c:v>116.48866659572204</c:v>
                </c:pt>
                <c:pt idx="1322">
                  <c:v>115.49302969032669</c:v>
                </c:pt>
                <c:pt idx="1323">
                  <c:v>115.49302969032669</c:v>
                </c:pt>
                <c:pt idx="1324">
                  <c:v>116.06725550707672</c:v>
                </c:pt>
                <c:pt idx="1325">
                  <c:v>115.71224858997553</c:v>
                </c:pt>
                <c:pt idx="1326">
                  <c:v>115.71224858997553</c:v>
                </c:pt>
                <c:pt idx="1327">
                  <c:v>115.71224858997553</c:v>
                </c:pt>
                <c:pt idx="1328">
                  <c:v>115.624561030116</c:v>
                </c:pt>
                <c:pt idx="1329">
                  <c:v>114.91454719591358</c:v>
                </c:pt>
                <c:pt idx="1330">
                  <c:v>115.91188677237416</c:v>
                </c:pt>
                <c:pt idx="1331">
                  <c:v>115.65691178035544</c:v>
                </c:pt>
                <c:pt idx="1332">
                  <c:v>117.26636160476748</c:v>
                </c:pt>
                <c:pt idx="1333">
                  <c:v>117.26636160476748</c:v>
                </c:pt>
                <c:pt idx="1334">
                  <c:v>117.26636160476748</c:v>
                </c:pt>
                <c:pt idx="1335">
                  <c:v>117.0484197084176</c:v>
                </c:pt>
                <c:pt idx="1336">
                  <c:v>117.79589230605514</c:v>
                </c:pt>
                <c:pt idx="1337">
                  <c:v>117.59455145259126</c:v>
                </c:pt>
                <c:pt idx="1338">
                  <c:v>118.06959667979142</c:v>
                </c:pt>
                <c:pt idx="1339">
                  <c:v>118.32116632967968</c:v>
                </c:pt>
                <c:pt idx="1340">
                  <c:v>118.32116632967968</c:v>
                </c:pt>
                <c:pt idx="1341">
                  <c:v>118.32116632967968</c:v>
                </c:pt>
                <c:pt idx="1342">
                  <c:v>118.44163030754495</c:v>
                </c:pt>
                <c:pt idx="1343">
                  <c:v>118.14962221985741</c:v>
                </c:pt>
                <c:pt idx="1344">
                  <c:v>118.62722145365541</c:v>
                </c:pt>
                <c:pt idx="1345">
                  <c:v>118.42077258699587</c:v>
                </c:pt>
                <c:pt idx="1346">
                  <c:v>118.29434926040226</c:v>
                </c:pt>
                <c:pt idx="1347">
                  <c:v>118.29434926040226</c:v>
                </c:pt>
                <c:pt idx="1348">
                  <c:v>118.29434926040226</c:v>
                </c:pt>
                <c:pt idx="1349">
                  <c:v>117.92572097477918</c:v>
                </c:pt>
                <c:pt idx="1350">
                  <c:v>118.01000319250825</c:v>
                </c:pt>
                <c:pt idx="1351">
                  <c:v>117.00755560285199</c:v>
                </c:pt>
                <c:pt idx="1352">
                  <c:v>116.92540172395445</c:v>
                </c:pt>
                <c:pt idx="1353">
                  <c:v>116.40395871022666</c:v>
                </c:pt>
                <c:pt idx="1354">
                  <c:v>116.40395871022666</c:v>
                </c:pt>
                <c:pt idx="1355">
                  <c:v>116.40395871022666</c:v>
                </c:pt>
                <c:pt idx="1356">
                  <c:v>115.15462381611152</c:v>
                </c:pt>
                <c:pt idx="1357">
                  <c:v>115.95232521017347</c:v>
                </c:pt>
                <c:pt idx="1358">
                  <c:v>114.49866978823029</c:v>
                </c:pt>
                <c:pt idx="1359">
                  <c:v>115.83824624880282</c:v>
                </c:pt>
                <c:pt idx="1360">
                  <c:v>115.83824624880282</c:v>
                </c:pt>
                <c:pt idx="1361">
                  <c:v>115.83824624880282</c:v>
                </c:pt>
                <c:pt idx="1362">
                  <c:v>115.83824624880282</c:v>
                </c:pt>
                <c:pt idx="1363">
                  <c:v>116.11195062253911</c:v>
                </c:pt>
                <c:pt idx="1364">
                  <c:v>116.34734489730765</c:v>
                </c:pt>
                <c:pt idx="1365">
                  <c:v>115.97062892412472</c:v>
                </c:pt>
                <c:pt idx="1366">
                  <c:v>116.33542619985103</c:v>
                </c:pt>
                <c:pt idx="1367">
                  <c:v>115.482387996169</c:v>
                </c:pt>
                <c:pt idx="1368">
                  <c:v>115.482387996169</c:v>
                </c:pt>
                <c:pt idx="1369">
                  <c:v>115.482387996169</c:v>
                </c:pt>
                <c:pt idx="1370">
                  <c:v>115.78716611684581</c:v>
                </c:pt>
                <c:pt idx="1371">
                  <c:v>115.88634670639566</c:v>
                </c:pt>
                <c:pt idx="1372">
                  <c:v>115.41768649569011</c:v>
                </c:pt>
                <c:pt idx="1373">
                  <c:v>116.2128338831542</c:v>
                </c:pt>
                <c:pt idx="1374">
                  <c:v>116.11024795147387</c:v>
                </c:pt>
                <c:pt idx="1375">
                  <c:v>116.11024795147387</c:v>
                </c:pt>
                <c:pt idx="1376">
                  <c:v>116.11024795147387</c:v>
                </c:pt>
                <c:pt idx="1377">
                  <c:v>115.91231244014048</c:v>
                </c:pt>
                <c:pt idx="1378">
                  <c:v>114.83622432691286</c:v>
                </c:pt>
                <c:pt idx="1379">
                  <c:v>113.73502181547303</c:v>
                </c:pt>
                <c:pt idx="1380">
                  <c:v>113.76524422688092</c:v>
                </c:pt>
                <c:pt idx="1381">
                  <c:v>113.37320421411088</c:v>
                </c:pt>
                <c:pt idx="1382">
                  <c:v>113.37320421411088</c:v>
                </c:pt>
                <c:pt idx="1383">
                  <c:v>113.37320421411088</c:v>
                </c:pt>
                <c:pt idx="1384">
                  <c:v>111.9391295094179</c:v>
                </c:pt>
                <c:pt idx="1385">
                  <c:v>112.1919761626051</c:v>
                </c:pt>
                <c:pt idx="1386">
                  <c:v>113.00627859955306</c:v>
                </c:pt>
                <c:pt idx="1387">
                  <c:v>112.71895285729489</c:v>
                </c:pt>
                <c:pt idx="1388">
                  <c:v>113.64946259444504</c:v>
                </c:pt>
                <c:pt idx="1389">
                  <c:v>113.64946259444504</c:v>
                </c:pt>
                <c:pt idx="1390">
                  <c:v>113.64946259444504</c:v>
                </c:pt>
                <c:pt idx="1391">
                  <c:v>113.52303926785143</c:v>
                </c:pt>
                <c:pt idx="1392">
                  <c:v>112.35075023943813</c:v>
                </c:pt>
                <c:pt idx="1393">
                  <c:v>112.14472704054485</c:v>
                </c:pt>
                <c:pt idx="1394">
                  <c:v>113.66563796956474</c:v>
                </c:pt>
                <c:pt idx="1395">
                  <c:v>113.65925295307014</c:v>
                </c:pt>
                <c:pt idx="1396">
                  <c:v>113.65925295307014</c:v>
                </c:pt>
                <c:pt idx="1397">
                  <c:v>113.65925295307014</c:v>
                </c:pt>
                <c:pt idx="1398">
                  <c:v>114.63786314781315</c:v>
                </c:pt>
                <c:pt idx="1399">
                  <c:v>115.29807385335744</c:v>
                </c:pt>
                <c:pt idx="1400">
                  <c:v>115.20229860593807</c:v>
                </c:pt>
                <c:pt idx="1401">
                  <c:v>113.98701713312759</c:v>
                </c:pt>
                <c:pt idx="1402">
                  <c:v>113.07012876449932</c:v>
                </c:pt>
                <c:pt idx="1403">
                  <c:v>113.07012876449932</c:v>
                </c:pt>
                <c:pt idx="1404">
                  <c:v>113.07012876449932</c:v>
                </c:pt>
                <c:pt idx="1405">
                  <c:v>113.39746727679045</c:v>
                </c:pt>
                <c:pt idx="1406">
                  <c:v>112.46951154623817</c:v>
                </c:pt>
                <c:pt idx="1407">
                  <c:v>113.09439182717888</c:v>
                </c:pt>
                <c:pt idx="1408">
                  <c:v>111.23379802064488</c:v>
                </c:pt>
                <c:pt idx="1409">
                  <c:v>110.86389273172288</c:v>
                </c:pt>
                <c:pt idx="1410">
                  <c:v>110.86389273172288</c:v>
                </c:pt>
                <c:pt idx="1411">
                  <c:v>110.86389273172288</c:v>
                </c:pt>
                <c:pt idx="1412">
                  <c:v>113.348515483665</c:v>
                </c:pt>
                <c:pt idx="1413">
                  <c:v>112.57592848781526</c:v>
                </c:pt>
                <c:pt idx="1414">
                  <c:v>111.28870916249866</c:v>
                </c:pt>
                <c:pt idx="1415">
                  <c:v>109.90230924763222</c:v>
                </c:pt>
                <c:pt idx="1416">
                  <c:v>112.41332340108545</c:v>
                </c:pt>
                <c:pt idx="1417">
                  <c:v>112.41332340108545</c:v>
                </c:pt>
                <c:pt idx="1418">
                  <c:v>112.41332340108545</c:v>
                </c:pt>
                <c:pt idx="1419">
                  <c:v>112.41332340108545</c:v>
                </c:pt>
                <c:pt idx="1420">
                  <c:v>110.88645312333722</c:v>
                </c:pt>
                <c:pt idx="1421">
                  <c:v>111.21081196126423</c:v>
                </c:pt>
                <c:pt idx="1422">
                  <c:v>113.16590401191871</c:v>
                </c:pt>
                <c:pt idx="1423">
                  <c:v>110.173885282537</c:v>
                </c:pt>
                <c:pt idx="1424">
                  <c:v>110.173885282537</c:v>
                </c:pt>
                <c:pt idx="1425">
                  <c:v>110.173885282537</c:v>
                </c:pt>
                <c:pt idx="1426">
                  <c:v>112.53336171118443</c:v>
                </c:pt>
                <c:pt idx="1427">
                  <c:v>115.4381185484729</c:v>
                </c:pt>
                <c:pt idx="1428">
                  <c:v>115.65137809939343</c:v>
                </c:pt>
                <c:pt idx="1429">
                  <c:v>115.48025965733746</c:v>
                </c:pt>
                <c:pt idx="1430">
                  <c:v>117.14419495583699</c:v>
                </c:pt>
                <c:pt idx="1431">
                  <c:v>117.14419495583699</c:v>
                </c:pt>
                <c:pt idx="1432">
                  <c:v>117.14419495583699</c:v>
                </c:pt>
                <c:pt idx="1433">
                  <c:v>116.94498244120464</c:v>
                </c:pt>
                <c:pt idx="1434">
                  <c:v>117.03650101096095</c:v>
                </c:pt>
                <c:pt idx="1435">
                  <c:v>117.71033308502714</c:v>
                </c:pt>
                <c:pt idx="1436">
                  <c:v>118.4641906991593</c:v>
                </c:pt>
                <c:pt idx="1437">
                  <c:v>118.6153027561988</c:v>
                </c:pt>
                <c:pt idx="1438">
                  <c:v>118.6153027561988</c:v>
                </c:pt>
                <c:pt idx="1439">
                  <c:v>118.6153027561988</c:v>
                </c:pt>
                <c:pt idx="1440">
                  <c:v>116.58912418857082</c:v>
                </c:pt>
                <c:pt idx="1441">
                  <c:v>116.07108651697351</c:v>
                </c:pt>
                <c:pt idx="1442">
                  <c:v>116.1272746621262</c:v>
                </c:pt>
                <c:pt idx="1443">
                  <c:v>115.82164520591678</c:v>
                </c:pt>
                <c:pt idx="1444">
                  <c:v>114.55783760774716</c:v>
                </c:pt>
                <c:pt idx="1445">
                  <c:v>114.55783760774716</c:v>
                </c:pt>
                <c:pt idx="1446">
                  <c:v>114.55783760774716</c:v>
                </c:pt>
                <c:pt idx="1447">
                  <c:v>113.97978078110036</c:v>
                </c:pt>
                <c:pt idx="1448">
                  <c:v>115.51899542407152</c:v>
                </c:pt>
                <c:pt idx="1449">
                  <c:v>116.8151537724806</c:v>
                </c:pt>
                <c:pt idx="1450">
                  <c:v>118.31861232308182</c:v>
                </c:pt>
                <c:pt idx="1451">
                  <c:v>116.94370543790573</c:v>
                </c:pt>
                <c:pt idx="1452">
                  <c:v>116.94370543790573</c:v>
                </c:pt>
                <c:pt idx="1453">
                  <c:v>116.94370543790573</c:v>
                </c:pt>
                <c:pt idx="1454">
                  <c:v>115.09886133872513</c:v>
                </c:pt>
                <c:pt idx="1455">
                  <c:v>114.986910716186</c:v>
                </c:pt>
                <c:pt idx="1456">
                  <c:v>115.62243269128447</c:v>
                </c:pt>
                <c:pt idx="1457">
                  <c:v>116.30179844631266</c:v>
                </c:pt>
                <c:pt idx="1458">
                  <c:v>116.30179844631266</c:v>
                </c:pt>
                <c:pt idx="1459">
                  <c:v>116.30179844631266</c:v>
                </c:pt>
                <c:pt idx="1460">
                  <c:v>116.30179844631266</c:v>
                </c:pt>
                <c:pt idx="1461">
                  <c:v>116.25838033414919</c:v>
                </c:pt>
                <c:pt idx="1462">
                  <c:v>114.87198041928275</c:v>
                </c:pt>
                <c:pt idx="1463">
                  <c:v>113.35277216132809</c:v>
                </c:pt>
                <c:pt idx="1464">
                  <c:v>113.05735873151006</c:v>
                </c:pt>
                <c:pt idx="1465">
                  <c:v>111.50579972331596</c:v>
                </c:pt>
                <c:pt idx="1466">
                  <c:v>111.50579972331596</c:v>
                </c:pt>
                <c:pt idx="1467">
                  <c:v>111.50579972331596</c:v>
                </c:pt>
                <c:pt idx="1468">
                  <c:v>109.86485048419708</c:v>
                </c:pt>
                <c:pt idx="1469">
                  <c:v>114.14962221985741</c:v>
                </c:pt>
                <c:pt idx="1470">
                  <c:v>114.72342236884113</c:v>
                </c:pt>
                <c:pt idx="1471">
                  <c:v>112.75683728849633</c:v>
                </c:pt>
                <c:pt idx="1472">
                  <c:v>117.57497073534107</c:v>
                </c:pt>
                <c:pt idx="1473">
                  <c:v>117.57497073534107</c:v>
                </c:pt>
                <c:pt idx="1474">
                  <c:v>117.57497073534107</c:v>
                </c:pt>
                <c:pt idx="1475">
                  <c:v>120.12259231669682</c:v>
                </c:pt>
                <c:pt idx="1476">
                  <c:v>120.20048951793126</c:v>
                </c:pt>
                <c:pt idx="1477">
                  <c:v>120.14174736618068</c:v>
                </c:pt>
                <c:pt idx="1478">
                  <c:v>121.46557411939982</c:v>
                </c:pt>
                <c:pt idx="1479">
                  <c:v>122.28881557944024</c:v>
                </c:pt>
                <c:pt idx="1480">
                  <c:v>122.28881557944024</c:v>
                </c:pt>
                <c:pt idx="1481">
                  <c:v>122.28881557944024</c:v>
                </c:pt>
                <c:pt idx="1482">
                  <c:v>120.85772054911142</c:v>
                </c:pt>
                <c:pt idx="1483">
                  <c:v>120.78493136107269</c:v>
                </c:pt>
                <c:pt idx="1484">
                  <c:v>120.85261253591572</c:v>
                </c:pt>
                <c:pt idx="1485">
                  <c:v>120.59040119186974</c:v>
                </c:pt>
                <c:pt idx="1486">
                  <c:v>119.62541236564861</c:v>
                </c:pt>
                <c:pt idx="1487">
                  <c:v>119.62541236564861</c:v>
                </c:pt>
                <c:pt idx="1488">
                  <c:v>119.62541236564861</c:v>
                </c:pt>
                <c:pt idx="1489">
                  <c:v>119.10311801638822</c:v>
                </c:pt>
                <c:pt idx="1490">
                  <c:v>119.29594551452591</c:v>
                </c:pt>
                <c:pt idx="1491">
                  <c:v>118.18324997339577</c:v>
                </c:pt>
                <c:pt idx="1492">
                  <c:v>118.6012557199106</c:v>
                </c:pt>
                <c:pt idx="1493">
                  <c:v>118.6012557199106</c:v>
                </c:pt>
                <c:pt idx="1494">
                  <c:v>118.6012557199106</c:v>
                </c:pt>
                <c:pt idx="1495">
                  <c:v>118.6012557199106</c:v>
                </c:pt>
                <c:pt idx="1496">
                  <c:v>117.80610833244651</c:v>
                </c:pt>
                <c:pt idx="1497">
                  <c:v>116.98329254017239</c:v>
                </c:pt>
                <c:pt idx="1498">
                  <c:v>117.11354687666275</c:v>
                </c:pt>
                <c:pt idx="1499">
                  <c:v>116.96115781632437</c:v>
                </c:pt>
                <c:pt idx="1500">
                  <c:v>116.76705331488773</c:v>
                </c:pt>
                <c:pt idx="1501">
                  <c:v>116.76705331488773</c:v>
                </c:pt>
                <c:pt idx="1502">
                  <c:v>116.76705331488773</c:v>
                </c:pt>
                <c:pt idx="1503">
                  <c:v>115.95147387464084</c:v>
                </c:pt>
                <c:pt idx="1504">
                  <c:v>115.48621900606577</c:v>
                </c:pt>
                <c:pt idx="1505">
                  <c:v>114.75194210918377</c:v>
                </c:pt>
                <c:pt idx="1506">
                  <c:v>113.80695966797916</c:v>
                </c:pt>
                <c:pt idx="1507">
                  <c:v>113.80695966797916</c:v>
                </c:pt>
                <c:pt idx="1508">
                  <c:v>113.80695966797916</c:v>
                </c:pt>
                <c:pt idx="1509">
                  <c:v>113.80695966797916</c:v>
                </c:pt>
                <c:pt idx="1510">
                  <c:v>114.39991486644674</c:v>
                </c:pt>
                <c:pt idx="1511">
                  <c:v>114.19048632542301</c:v>
                </c:pt>
                <c:pt idx="1512">
                  <c:v>114.10024475896563</c:v>
                </c:pt>
                <c:pt idx="1513">
                  <c:v>114.22113440459722</c:v>
                </c:pt>
                <c:pt idx="1514">
                  <c:v>114.22113440459722</c:v>
                </c:pt>
                <c:pt idx="1515">
                  <c:v>114.22113440459722</c:v>
                </c:pt>
                <c:pt idx="1516">
                  <c:v>114.22113440459722</c:v>
                </c:pt>
                <c:pt idx="1517">
                  <c:v>114.27349153985315</c:v>
                </c:pt>
                <c:pt idx="1518">
                  <c:v>114.04703628817707</c:v>
                </c:pt>
                <c:pt idx="1519">
                  <c:v>114.14153453229754</c:v>
                </c:pt>
                <c:pt idx="1520">
                  <c:v>114.51143982121954</c:v>
                </c:pt>
                <c:pt idx="1521">
                  <c:v>113.90060657656697</c:v>
                </c:pt>
                <c:pt idx="1522">
                  <c:v>113.90060657656697</c:v>
                </c:pt>
                <c:pt idx="1523">
                  <c:v>113.90060657656697</c:v>
                </c:pt>
                <c:pt idx="1524">
                  <c:v>112.88751729275302</c:v>
                </c:pt>
                <c:pt idx="1525">
                  <c:v>113.3489411514313</c:v>
                </c:pt>
                <c:pt idx="1526">
                  <c:v>113.40257528998616</c:v>
                </c:pt>
                <c:pt idx="1527">
                  <c:v>113.22720017026711</c:v>
                </c:pt>
                <c:pt idx="1528">
                  <c:v>112.86580823667127</c:v>
                </c:pt>
                <c:pt idx="1529">
                  <c:v>112.86580823667127</c:v>
                </c:pt>
                <c:pt idx="1530">
                  <c:v>112.86580823667127</c:v>
                </c:pt>
                <c:pt idx="1531">
                  <c:v>112.2477386399915</c:v>
                </c:pt>
                <c:pt idx="1532">
                  <c:v>111.91954879216772</c:v>
                </c:pt>
                <c:pt idx="1533">
                  <c:v>111.93231882515697</c:v>
                </c:pt>
                <c:pt idx="1534">
                  <c:v>112.35245291050336</c:v>
                </c:pt>
                <c:pt idx="1535">
                  <c:v>112.47078854953708</c:v>
                </c:pt>
                <c:pt idx="1536">
                  <c:v>112.47078854953708</c:v>
                </c:pt>
                <c:pt idx="1537">
                  <c:v>112.47078854953708</c:v>
                </c:pt>
                <c:pt idx="1538">
                  <c:v>112.69894647227838</c:v>
                </c:pt>
                <c:pt idx="1539">
                  <c:v>111.78333510694902</c:v>
                </c:pt>
                <c:pt idx="1540">
                  <c:v>111.82462488028094</c:v>
                </c:pt>
                <c:pt idx="1541">
                  <c:v>110.73406406299884</c:v>
                </c:pt>
                <c:pt idx="1542">
                  <c:v>110.77663083962968</c:v>
                </c:pt>
                <c:pt idx="1543">
                  <c:v>110.77663083962968</c:v>
                </c:pt>
                <c:pt idx="1544">
                  <c:v>110.77663083962968</c:v>
                </c:pt>
                <c:pt idx="1545">
                  <c:v>110.54932425242099</c:v>
                </c:pt>
                <c:pt idx="1546">
                  <c:v>110.54932425242099</c:v>
                </c:pt>
                <c:pt idx="1547">
                  <c:v>110.63232946685113</c:v>
                </c:pt>
                <c:pt idx="1548">
                  <c:v>109.91337660955625</c:v>
                </c:pt>
                <c:pt idx="1549">
                  <c:v>109.77333191444079</c:v>
                </c:pt>
                <c:pt idx="1550">
                  <c:v>109.77333191444079</c:v>
                </c:pt>
                <c:pt idx="1551">
                  <c:v>109.77333191444079</c:v>
                </c:pt>
                <c:pt idx="1552">
                  <c:v>110.06236032776417</c:v>
                </c:pt>
                <c:pt idx="1553">
                  <c:v>109.16760668298393</c:v>
                </c:pt>
                <c:pt idx="1554">
                  <c:v>109.77418324997339</c:v>
                </c:pt>
                <c:pt idx="1555">
                  <c:v>110.02830690645951</c:v>
                </c:pt>
                <c:pt idx="1556">
                  <c:v>109.92018729381718</c:v>
                </c:pt>
                <c:pt idx="1557">
                  <c:v>109.92018729381718</c:v>
                </c:pt>
                <c:pt idx="1558">
                  <c:v>109.92018729381718</c:v>
                </c:pt>
                <c:pt idx="1559">
                  <c:v>110.01894221560072</c:v>
                </c:pt>
                <c:pt idx="1560">
                  <c:v>110.43439395551773</c:v>
                </c:pt>
                <c:pt idx="1561">
                  <c:v>110.27519421091839</c:v>
                </c:pt>
                <c:pt idx="1562">
                  <c:v>110.2960519314675</c:v>
                </c:pt>
                <c:pt idx="1563">
                  <c:v>110.15600723635204</c:v>
                </c:pt>
                <c:pt idx="1564">
                  <c:v>110.15600723635204</c:v>
                </c:pt>
                <c:pt idx="1565">
                  <c:v>110.15600723635204</c:v>
                </c:pt>
                <c:pt idx="1566">
                  <c:v>109.81589869107162</c:v>
                </c:pt>
                <c:pt idx="1567">
                  <c:v>109.79504097052251</c:v>
                </c:pt>
                <c:pt idx="1568">
                  <c:v>109.62051718633607</c:v>
                </c:pt>
                <c:pt idx="1569">
                  <c:v>109.51707991912312</c:v>
                </c:pt>
                <c:pt idx="1570">
                  <c:v>109.86783015856125</c:v>
                </c:pt>
                <c:pt idx="1571">
                  <c:v>109.86783015856125</c:v>
                </c:pt>
                <c:pt idx="1572">
                  <c:v>109.86783015856125</c:v>
                </c:pt>
                <c:pt idx="1573">
                  <c:v>108.98797488560179</c:v>
                </c:pt>
                <c:pt idx="1574">
                  <c:v>108.84963286155156</c:v>
                </c:pt>
                <c:pt idx="1575">
                  <c:v>109.35958284558902</c:v>
                </c:pt>
                <c:pt idx="1576">
                  <c:v>109.18293072257103</c:v>
                </c:pt>
                <c:pt idx="1577">
                  <c:v>109.61838884750452</c:v>
                </c:pt>
                <c:pt idx="1578">
                  <c:v>109.61838884750452</c:v>
                </c:pt>
                <c:pt idx="1579">
                  <c:v>109.61838884750452</c:v>
                </c:pt>
                <c:pt idx="1580">
                  <c:v>109.06033840587422</c:v>
                </c:pt>
                <c:pt idx="1581">
                  <c:v>109.02458231350431</c:v>
                </c:pt>
                <c:pt idx="1582">
                  <c:v>108.94370543790572</c:v>
                </c:pt>
                <c:pt idx="1583">
                  <c:v>108.87049058210066</c:v>
                </c:pt>
                <c:pt idx="1584">
                  <c:v>108.68021709056082</c:v>
                </c:pt>
                <c:pt idx="1585">
                  <c:v>108.68021709056082</c:v>
                </c:pt>
                <c:pt idx="1586">
                  <c:v>108.68021709056082</c:v>
                </c:pt>
                <c:pt idx="1587">
                  <c:v>108.58486751090773</c:v>
                </c:pt>
                <c:pt idx="1588">
                  <c:v>108.76833031818664</c:v>
                </c:pt>
                <c:pt idx="1589">
                  <c:v>108.5725231456848</c:v>
                </c:pt>
                <c:pt idx="1590">
                  <c:v>108.32095349579653</c:v>
                </c:pt>
                <c:pt idx="1591">
                  <c:v>108.51676066829839</c:v>
                </c:pt>
                <c:pt idx="1592">
                  <c:v>108.51676066829839</c:v>
                </c:pt>
                <c:pt idx="1593">
                  <c:v>108.51676066829839</c:v>
                </c:pt>
                <c:pt idx="1594">
                  <c:v>108.6333936362669</c:v>
                </c:pt>
                <c:pt idx="1595">
                  <c:v>108.02341172714695</c:v>
                </c:pt>
                <c:pt idx="1596">
                  <c:v>107.8889007129935</c:v>
                </c:pt>
                <c:pt idx="1597">
                  <c:v>107.65648611258911</c:v>
                </c:pt>
                <c:pt idx="1598">
                  <c:v>107.24103437267215</c:v>
                </c:pt>
                <c:pt idx="1599">
                  <c:v>107.24103437267215</c:v>
                </c:pt>
                <c:pt idx="1600">
                  <c:v>107.24103437267215</c:v>
                </c:pt>
                <c:pt idx="1601">
                  <c:v>106.84516335000531</c:v>
                </c:pt>
                <c:pt idx="1602">
                  <c:v>106.71661168458017</c:v>
                </c:pt>
                <c:pt idx="1603">
                  <c:v>106.28243056294562</c:v>
                </c:pt>
                <c:pt idx="1604">
                  <c:v>106.27476854315205</c:v>
                </c:pt>
                <c:pt idx="1605">
                  <c:v>106.51143982121954</c:v>
                </c:pt>
                <c:pt idx="1606">
                  <c:v>106.51143982121954</c:v>
                </c:pt>
                <c:pt idx="1607">
                  <c:v>106.51143982121954</c:v>
                </c:pt>
                <c:pt idx="1608">
                  <c:v>106.44248164307757</c:v>
                </c:pt>
                <c:pt idx="1609">
                  <c:v>106.76769181653718</c:v>
                </c:pt>
                <c:pt idx="1610">
                  <c:v>106.70001064169416</c:v>
                </c:pt>
                <c:pt idx="1611">
                  <c:v>106.58167500266043</c:v>
                </c:pt>
                <c:pt idx="1612">
                  <c:v>106.42673193572416</c:v>
                </c:pt>
                <c:pt idx="1613">
                  <c:v>106.42673193572416</c:v>
                </c:pt>
                <c:pt idx="1614">
                  <c:v>106.42673193572416</c:v>
                </c:pt>
                <c:pt idx="1615">
                  <c:v>106.23049909545598</c:v>
                </c:pt>
                <c:pt idx="1616">
                  <c:v>106.3475577311908</c:v>
                </c:pt>
                <c:pt idx="1617">
                  <c:v>106.26710652335851</c:v>
                </c:pt>
                <c:pt idx="1618">
                  <c:v>105.91082260295839</c:v>
                </c:pt>
                <c:pt idx="1619">
                  <c:v>104.77514100244758</c:v>
                </c:pt>
                <c:pt idx="1620">
                  <c:v>104.77514100244758</c:v>
                </c:pt>
                <c:pt idx="1621">
                  <c:v>104.77514100244758</c:v>
                </c:pt>
                <c:pt idx="1622">
                  <c:v>104.93136107268278</c:v>
                </c:pt>
                <c:pt idx="1623">
                  <c:v>104.95009045440034</c:v>
                </c:pt>
                <c:pt idx="1624">
                  <c:v>104.62275194210918</c:v>
                </c:pt>
                <c:pt idx="1625">
                  <c:v>105.41875066510589</c:v>
                </c:pt>
                <c:pt idx="1626">
                  <c:v>105.41875066510589</c:v>
                </c:pt>
                <c:pt idx="1627">
                  <c:v>105.41875066510589</c:v>
                </c:pt>
                <c:pt idx="1628">
                  <c:v>105.41875066510589</c:v>
                </c:pt>
                <c:pt idx="1629">
                  <c:v>105.21017345961477</c:v>
                </c:pt>
                <c:pt idx="1630">
                  <c:v>104.61168458018517</c:v>
                </c:pt>
                <c:pt idx="1631">
                  <c:v>104.131105672023</c:v>
                </c:pt>
                <c:pt idx="1632">
                  <c:v>104.04341811216344</c:v>
                </c:pt>
                <c:pt idx="1633">
                  <c:v>103.99276364797277</c:v>
                </c:pt>
                <c:pt idx="1634">
                  <c:v>103.99276364797277</c:v>
                </c:pt>
                <c:pt idx="1635">
                  <c:v>103.99276364797277</c:v>
                </c:pt>
                <c:pt idx="1636">
                  <c:v>103.81909119931892</c:v>
                </c:pt>
                <c:pt idx="1637">
                  <c:v>104.03490475683728</c:v>
                </c:pt>
                <c:pt idx="1638">
                  <c:v>104.3954453549005</c:v>
                </c:pt>
                <c:pt idx="1639">
                  <c:v>103.36788336703202</c:v>
                </c:pt>
                <c:pt idx="1640">
                  <c:v>103.24784505693307</c:v>
                </c:pt>
                <c:pt idx="1641">
                  <c:v>103.24784505693307</c:v>
                </c:pt>
                <c:pt idx="1642">
                  <c:v>103.24784505693307</c:v>
                </c:pt>
                <c:pt idx="1643">
                  <c:v>103.43769288070661</c:v>
                </c:pt>
                <c:pt idx="1644">
                  <c:v>105.0594870703416</c:v>
                </c:pt>
                <c:pt idx="1645">
                  <c:v>104.91050335213366</c:v>
                </c:pt>
                <c:pt idx="1646">
                  <c:v>104.96286048738961</c:v>
                </c:pt>
                <c:pt idx="1647">
                  <c:v>103.91912312440141</c:v>
                </c:pt>
                <c:pt idx="1648">
                  <c:v>103.91912312440141</c:v>
                </c:pt>
                <c:pt idx="1649">
                  <c:v>103.91912312440141</c:v>
                </c:pt>
                <c:pt idx="1650">
                  <c:v>103.7867404490795</c:v>
                </c:pt>
                <c:pt idx="1651">
                  <c:v>105.31105672022987</c:v>
                </c:pt>
                <c:pt idx="1652">
                  <c:v>105.34936681919763</c:v>
                </c:pt>
                <c:pt idx="1653">
                  <c:v>105.60434181121634</c:v>
                </c:pt>
                <c:pt idx="1654">
                  <c:v>105.43066936256251</c:v>
                </c:pt>
                <c:pt idx="1655">
                  <c:v>105.43066936256251</c:v>
                </c:pt>
                <c:pt idx="1656">
                  <c:v>105.43066936256251</c:v>
                </c:pt>
                <c:pt idx="1657">
                  <c:v>105.23188251569648</c:v>
                </c:pt>
                <c:pt idx="1658">
                  <c:v>105.46216877726935</c:v>
                </c:pt>
                <c:pt idx="1659">
                  <c:v>105.41023730977972</c:v>
                </c:pt>
                <c:pt idx="1660">
                  <c:v>105.15270831116314</c:v>
                </c:pt>
                <c:pt idx="1661">
                  <c:v>105.22932850909865</c:v>
                </c:pt>
                <c:pt idx="1662">
                  <c:v>105.22932850909865</c:v>
                </c:pt>
                <c:pt idx="1663">
                  <c:v>105.22932850909865</c:v>
                </c:pt>
                <c:pt idx="1664">
                  <c:v>105.37065020751304</c:v>
                </c:pt>
                <c:pt idx="1665">
                  <c:v>105.47323613919335</c:v>
                </c:pt>
                <c:pt idx="1666">
                  <c:v>105.44343939555179</c:v>
                </c:pt>
                <c:pt idx="1667">
                  <c:v>105.13610726827712</c:v>
                </c:pt>
                <c:pt idx="1668">
                  <c:v>105.24805789081621</c:v>
                </c:pt>
                <c:pt idx="1669">
                  <c:v>105.24805789081621</c:v>
                </c:pt>
                <c:pt idx="1670">
                  <c:v>105.24805789081621</c:v>
                </c:pt>
                <c:pt idx="1671">
                  <c:v>105.28679365755028</c:v>
                </c:pt>
                <c:pt idx="1672">
                  <c:v>105.30296903267001</c:v>
                </c:pt>
                <c:pt idx="1673">
                  <c:v>104.7402362456103</c:v>
                </c:pt>
                <c:pt idx="1674">
                  <c:v>104.67766308396295</c:v>
                </c:pt>
                <c:pt idx="1675">
                  <c:v>104.68319676492497</c:v>
                </c:pt>
                <c:pt idx="1676">
                  <c:v>104.68319676492497</c:v>
                </c:pt>
                <c:pt idx="1677">
                  <c:v>104.68319676492497</c:v>
                </c:pt>
                <c:pt idx="1678">
                  <c:v>104.19623284026818</c:v>
                </c:pt>
                <c:pt idx="1679">
                  <c:v>104.00127700329892</c:v>
                </c:pt>
                <c:pt idx="1680">
                  <c:v>103.24699372140044</c:v>
                </c:pt>
                <c:pt idx="1681">
                  <c:v>103.32787059699903</c:v>
                </c:pt>
                <c:pt idx="1682">
                  <c:v>103.23209534957965</c:v>
                </c:pt>
                <c:pt idx="1683">
                  <c:v>103.23209534957965</c:v>
                </c:pt>
                <c:pt idx="1684">
                  <c:v>103.23209534957965</c:v>
                </c:pt>
                <c:pt idx="1685">
                  <c:v>102.57528998616581</c:v>
                </c:pt>
                <c:pt idx="1686">
                  <c:v>103.54538682558263</c:v>
                </c:pt>
                <c:pt idx="1687">
                  <c:v>103.39512610407577</c:v>
                </c:pt>
                <c:pt idx="1688">
                  <c:v>103.39512610407577</c:v>
                </c:pt>
                <c:pt idx="1689">
                  <c:v>103.15675215494306</c:v>
                </c:pt>
                <c:pt idx="1690">
                  <c:v>103.15675215494306</c:v>
                </c:pt>
                <c:pt idx="1691">
                  <c:v>103.15675215494306</c:v>
                </c:pt>
                <c:pt idx="1692">
                  <c:v>102.99882941364264</c:v>
                </c:pt>
                <c:pt idx="1693">
                  <c:v>103.89230605512398</c:v>
                </c:pt>
                <c:pt idx="1694">
                  <c:v>102.98520804512079</c:v>
                </c:pt>
                <c:pt idx="1695">
                  <c:v>103.82334787698201</c:v>
                </c:pt>
                <c:pt idx="1696">
                  <c:v>103.79057145897627</c:v>
                </c:pt>
                <c:pt idx="1697">
                  <c:v>103.79057145897627</c:v>
                </c:pt>
                <c:pt idx="1698">
                  <c:v>103.79057145897627</c:v>
                </c:pt>
                <c:pt idx="1699">
                  <c:v>103.62881770777908</c:v>
                </c:pt>
                <c:pt idx="1700">
                  <c:v>103.67606682983931</c:v>
                </c:pt>
                <c:pt idx="1701">
                  <c:v>103.73651165265511</c:v>
                </c:pt>
                <c:pt idx="1702">
                  <c:v>104.4358837926998</c:v>
                </c:pt>
                <c:pt idx="1703">
                  <c:v>103.57135255932745</c:v>
                </c:pt>
                <c:pt idx="1704">
                  <c:v>103.57135255932745</c:v>
                </c:pt>
                <c:pt idx="1705">
                  <c:v>103.57135255932745</c:v>
                </c:pt>
                <c:pt idx="1706">
                  <c:v>103.54198148345218</c:v>
                </c:pt>
                <c:pt idx="1707">
                  <c:v>103.77439608385654</c:v>
                </c:pt>
                <c:pt idx="1708">
                  <c:v>103.87783335106948</c:v>
                </c:pt>
                <c:pt idx="1709">
                  <c:v>103.41130147919549</c:v>
                </c:pt>
                <c:pt idx="1710">
                  <c:v>103.51261040757689</c:v>
                </c:pt>
                <c:pt idx="1711">
                  <c:v>103.51261040757689</c:v>
                </c:pt>
                <c:pt idx="1712">
                  <c:v>103.51261040757689</c:v>
                </c:pt>
                <c:pt idx="1713">
                  <c:v>103.59859529637119</c:v>
                </c:pt>
                <c:pt idx="1714">
                  <c:v>103.57092689156113</c:v>
                </c:pt>
                <c:pt idx="1715">
                  <c:v>103.40874747259763</c:v>
                </c:pt>
                <c:pt idx="1716">
                  <c:v>103.69692455038842</c:v>
                </c:pt>
                <c:pt idx="1717">
                  <c:v>103.82334787698201</c:v>
                </c:pt>
                <c:pt idx="1718">
                  <c:v>103.82334787698201</c:v>
                </c:pt>
                <c:pt idx="1719">
                  <c:v>103.82334787698201</c:v>
                </c:pt>
                <c:pt idx="1720">
                  <c:v>103.43982121953815</c:v>
                </c:pt>
                <c:pt idx="1721">
                  <c:v>102.66255187825904</c:v>
                </c:pt>
                <c:pt idx="1722">
                  <c:v>102.70980100031923</c:v>
                </c:pt>
                <c:pt idx="1723">
                  <c:v>102.83367032031501</c:v>
                </c:pt>
                <c:pt idx="1724">
                  <c:v>102.83367032031501</c:v>
                </c:pt>
                <c:pt idx="1725">
                  <c:v>102.83367032031501</c:v>
                </c:pt>
                <c:pt idx="1726">
                  <c:v>102.83367032031501</c:v>
                </c:pt>
                <c:pt idx="1727">
                  <c:v>102.80174523784187</c:v>
                </c:pt>
                <c:pt idx="1728">
                  <c:v>102.3471320634245</c:v>
                </c:pt>
                <c:pt idx="1729">
                  <c:v>102.09300840693838</c:v>
                </c:pt>
                <c:pt idx="1730">
                  <c:v>101.9057145897627</c:v>
                </c:pt>
                <c:pt idx="1731">
                  <c:v>101.38256890496966</c:v>
                </c:pt>
                <c:pt idx="1732">
                  <c:v>101.38256890496966</c:v>
                </c:pt>
                <c:pt idx="1733">
                  <c:v>101.38256890496966</c:v>
                </c:pt>
                <c:pt idx="1734">
                  <c:v>100.70107481110992</c:v>
                </c:pt>
                <c:pt idx="1735">
                  <c:v>100.33116952218795</c:v>
                </c:pt>
                <c:pt idx="1736">
                  <c:v>102.18878365435778</c:v>
                </c:pt>
                <c:pt idx="1737">
                  <c:v>102.25901883579867</c:v>
                </c:pt>
                <c:pt idx="1738">
                  <c:v>101.77290624667448</c:v>
                </c:pt>
                <c:pt idx="1739">
                  <c:v>101.77290624667448</c:v>
                </c:pt>
                <c:pt idx="1740">
                  <c:v>101.77290624667448</c:v>
                </c:pt>
                <c:pt idx="1741">
                  <c:v>101.92359263594764</c:v>
                </c:pt>
                <c:pt idx="1742">
                  <c:v>102.14451420666171</c:v>
                </c:pt>
                <c:pt idx="1743">
                  <c:v>102.02915824199212</c:v>
                </c:pt>
                <c:pt idx="1744">
                  <c:v>102.13387251250398</c:v>
                </c:pt>
                <c:pt idx="1745">
                  <c:v>102.1300415026072</c:v>
                </c:pt>
                <c:pt idx="1746">
                  <c:v>102.1300415026072</c:v>
                </c:pt>
                <c:pt idx="1747">
                  <c:v>102.1300415026072</c:v>
                </c:pt>
                <c:pt idx="1748">
                  <c:v>101.71416409492392</c:v>
                </c:pt>
                <c:pt idx="1749">
                  <c:v>101.65499627540704</c:v>
                </c:pt>
                <c:pt idx="1750">
                  <c:v>101.78439927636479</c:v>
                </c:pt>
                <c:pt idx="1751">
                  <c:v>101.6635096307332</c:v>
                </c:pt>
                <c:pt idx="1752">
                  <c:v>101.48770884324784</c:v>
                </c:pt>
                <c:pt idx="1753">
                  <c:v>101.48770884324784</c:v>
                </c:pt>
                <c:pt idx="1754">
                  <c:v>101.48770884324784</c:v>
                </c:pt>
                <c:pt idx="1755">
                  <c:v>101.68223901245079</c:v>
                </c:pt>
                <c:pt idx="1756">
                  <c:v>101.62605086729806</c:v>
                </c:pt>
                <c:pt idx="1757">
                  <c:v>101.67542832818985</c:v>
                </c:pt>
                <c:pt idx="1758">
                  <c:v>101.0599127381079</c:v>
                </c:pt>
                <c:pt idx="1759">
                  <c:v>99.976162605086728</c:v>
                </c:pt>
                <c:pt idx="1760">
                  <c:v>99.976162605086728</c:v>
                </c:pt>
                <c:pt idx="1761">
                  <c:v>99.976162605086728</c:v>
                </c:pt>
                <c:pt idx="1762">
                  <c:v>100.28051505799725</c:v>
                </c:pt>
                <c:pt idx="1763">
                  <c:v>99.528360114930308</c:v>
                </c:pt>
                <c:pt idx="1764">
                  <c:v>99.699478556986278</c:v>
                </c:pt>
                <c:pt idx="1765">
                  <c:v>99.98978397360861</c:v>
                </c:pt>
                <c:pt idx="1766">
                  <c:v>99.135894434393947</c:v>
                </c:pt>
                <c:pt idx="1767">
                  <c:v>99.135894434393947</c:v>
                </c:pt>
                <c:pt idx="1768">
                  <c:v>99.135894434393947</c:v>
                </c:pt>
                <c:pt idx="1769">
                  <c:v>99.135894434393947</c:v>
                </c:pt>
                <c:pt idx="1770">
                  <c:v>99.816111524954763</c:v>
                </c:pt>
                <c:pt idx="1771">
                  <c:v>100.19282749813772</c:v>
                </c:pt>
                <c:pt idx="1772">
                  <c:v>100.33670320314994</c:v>
                </c:pt>
                <c:pt idx="1773">
                  <c:v>100.26774502500797</c:v>
                </c:pt>
                <c:pt idx="1774">
                  <c:v>100.26774502500797</c:v>
                </c:pt>
                <c:pt idx="1775">
                  <c:v>100.26774502500797</c:v>
                </c:pt>
                <c:pt idx="1776">
                  <c:v>100.35075023943811</c:v>
                </c:pt>
                <c:pt idx="1777">
                  <c:v>100.1574970735341</c:v>
                </c:pt>
                <c:pt idx="1778">
                  <c:v>100.46440353304244</c:v>
                </c:pt>
                <c:pt idx="1779">
                  <c:v>100.40821538788975</c:v>
                </c:pt>
                <c:pt idx="1780">
                  <c:v>100.5733744812174</c:v>
                </c:pt>
                <c:pt idx="1781">
                  <c:v>100.5733744812174</c:v>
                </c:pt>
                <c:pt idx="1782">
                  <c:v>100.5733744812174</c:v>
                </c:pt>
                <c:pt idx="1783">
                  <c:v>100.8006810684261</c:v>
                </c:pt>
                <c:pt idx="1784">
                  <c:v>100.50569330637438</c:v>
                </c:pt>
                <c:pt idx="1785">
                  <c:v>100.39672235819943</c:v>
                </c:pt>
                <c:pt idx="1786">
                  <c:v>99.673938491007775</c:v>
                </c:pt>
                <c:pt idx="1787">
                  <c:v>99.775673087155482</c:v>
                </c:pt>
                <c:pt idx="1788">
                  <c:v>99.775673087155482</c:v>
                </c:pt>
                <c:pt idx="1789">
                  <c:v>99.775673087155482</c:v>
                </c:pt>
                <c:pt idx="1790">
                  <c:v>99.859955304884537</c:v>
                </c:pt>
                <c:pt idx="1791">
                  <c:v>99.965946578695323</c:v>
                </c:pt>
                <c:pt idx="1792">
                  <c:v>99.777375758220714</c:v>
                </c:pt>
                <c:pt idx="1793">
                  <c:v>101.03096732999892</c:v>
                </c:pt>
                <c:pt idx="1794">
                  <c:v>101.23443652229436</c:v>
                </c:pt>
                <c:pt idx="1795">
                  <c:v>101.23443652229436</c:v>
                </c:pt>
                <c:pt idx="1796">
                  <c:v>101.23443652229436</c:v>
                </c:pt>
                <c:pt idx="1797">
                  <c:v>101.36767053314888</c:v>
                </c:pt>
                <c:pt idx="1798">
                  <c:v>101.53282962647654</c:v>
                </c:pt>
                <c:pt idx="1799">
                  <c:v>100.68958178141961</c:v>
                </c:pt>
                <c:pt idx="1800">
                  <c:v>101.03096732999892</c:v>
                </c:pt>
                <c:pt idx="1801">
                  <c:v>100.9939342343301</c:v>
                </c:pt>
                <c:pt idx="1802">
                  <c:v>100.9939342343301</c:v>
                </c:pt>
                <c:pt idx="1803">
                  <c:v>100.9939342343301</c:v>
                </c:pt>
                <c:pt idx="1804">
                  <c:v>100.6648930509737</c:v>
                </c:pt>
                <c:pt idx="1805">
                  <c:v>100.58444184314143</c:v>
                </c:pt>
                <c:pt idx="1806">
                  <c:v>100.81472810471426</c:v>
                </c:pt>
                <c:pt idx="1807">
                  <c:v>101.10929019899967</c:v>
                </c:pt>
                <c:pt idx="1808">
                  <c:v>101.44173672448653</c:v>
                </c:pt>
                <c:pt idx="1809">
                  <c:v>101.44173672448653</c:v>
                </c:pt>
                <c:pt idx="1810">
                  <c:v>101.44173672448653</c:v>
                </c:pt>
                <c:pt idx="1811">
                  <c:v>101.39065659252952</c:v>
                </c:pt>
                <c:pt idx="1812">
                  <c:v>101.98829413642652</c:v>
                </c:pt>
                <c:pt idx="1813">
                  <c:v>100.61253591571777</c:v>
                </c:pt>
                <c:pt idx="1814">
                  <c:v>100.87261892093223</c:v>
                </c:pt>
                <c:pt idx="1815">
                  <c:v>100.77003298925189</c:v>
                </c:pt>
                <c:pt idx="1816">
                  <c:v>100.77003298925189</c:v>
                </c:pt>
                <c:pt idx="1817">
                  <c:v>100.77003298925189</c:v>
                </c:pt>
                <c:pt idx="1818">
                  <c:v>100.61977226774503</c:v>
                </c:pt>
                <c:pt idx="1819">
                  <c:v>100.57763115888049</c:v>
                </c:pt>
                <c:pt idx="1820">
                  <c:v>100.68660210705545</c:v>
                </c:pt>
                <c:pt idx="1821">
                  <c:v>100.0813025433649</c:v>
                </c:pt>
                <c:pt idx="1822">
                  <c:v>100.0813025433649</c:v>
                </c:pt>
                <c:pt idx="1823">
                  <c:v>100.0813025433649</c:v>
                </c:pt>
                <c:pt idx="1824">
                  <c:v>100.0813025433649</c:v>
                </c:pt>
                <c:pt idx="1825">
                  <c:v>99.913589443439392</c:v>
                </c:pt>
                <c:pt idx="1826">
                  <c:v>100</c:v>
                </c:pt>
              </c:numCache>
            </c:numRef>
          </c:val>
          <c:smooth val="0"/>
          <c:extLst>
            <c:ext xmlns:c16="http://schemas.microsoft.com/office/drawing/2014/chart" uri="{C3380CC4-5D6E-409C-BE32-E72D297353CC}">
              <c16:uniqueId val="{00000006-7F42-4D4F-88A4-F1EFF1B99B9D}"/>
            </c:ext>
          </c:extLst>
        </c:ser>
        <c:ser>
          <c:idx val="7"/>
          <c:order val="7"/>
          <c:tx>
            <c:strRef>
              <c:f>Indexed!$J$3</c:f>
              <c:strCache>
                <c:ptCount val="1"/>
                <c:pt idx="0">
                  <c:v>NASDAQ</c:v>
                </c:pt>
              </c:strCache>
            </c:strRef>
          </c:tx>
          <c:spPr>
            <a:ln w="28575" cap="rnd">
              <a:solidFill>
                <a:schemeClr val="accent2">
                  <a:lumMod val="60000"/>
                </a:schemeClr>
              </a:solidFill>
              <a:round/>
            </a:ln>
            <a:effectLst/>
          </c:spPr>
          <c:marker>
            <c:symbol val="none"/>
          </c:marker>
          <c:cat>
            <c:numRef>
              <c:f>Indexed!$B$4:$B$1830</c:f>
              <c:numCache>
                <c:formatCode>[$-14009]dddd\,\ d\ mmmm\,\ yyyy;@</c:formatCode>
                <c:ptCount val="1827"/>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formatCode="m/d/yyyy">
                  <c:v>43351</c:v>
                </c:pt>
                <c:pt idx="1257" formatCode="m/d/yyyy">
                  <c:v>43350</c:v>
                </c:pt>
                <c:pt idx="1258" formatCode="m/d/yyyy">
                  <c:v>43349</c:v>
                </c:pt>
                <c:pt idx="1259" formatCode="m/d/yyyy">
                  <c:v>43348</c:v>
                </c:pt>
                <c:pt idx="1260" formatCode="m/d/yyyy">
                  <c:v>43347</c:v>
                </c:pt>
                <c:pt idx="1261" formatCode="m/d/yyyy">
                  <c:v>43346</c:v>
                </c:pt>
                <c:pt idx="1262" formatCode="m/d/yyyy">
                  <c:v>43345</c:v>
                </c:pt>
                <c:pt idx="1263" formatCode="m/d/yyyy">
                  <c:v>43344</c:v>
                </c:pt>
                <c:pt idx="1264" formatCode="m/d/yyyy">
                  <c:v>43343</c:v>
                </c:pt>
                <c:pt idx="1265" formatCode="m/d/yyyy">
                  <c:v>43342</c:v>
                </c:pt>
                <c:pt idx="1266" formatCode="m/d/yyyy">
                  <c:v>43341</c:v>
                </c:pt>
                <c:pt idx="1267" formatCode="m/d/yyyy">
                  <c:v>43340</c:v>
                </c:pt>
                <c:pt idx="1268" formatCode="m/d/yyyy">
                  <c:v>43339</c:v>
                </c:pt>
                <c:pt idx="1269" formatCode="m/d/yyyy">
                  <c:v>43338</c:v>
                </c:pt>
                <c:pt idx="1270" formatCode="m/d/yyyy">
                  <c:v>43337</c:v>
                </c:pt>
                <c:pt idx="1271" formatCode="m/d/yyyy">
                  <c:v>43336</c:v>
                </c:pt>
                <c:pt idx="1272" formatCode="m/d/yyyy">
                  <c:v>43335</c:v>
                </c:pt>
                <c:pt idx="1273" formatCode="m/d/yyyy">
                  <c:v>43334</c:v>
                </c:pt>
                <c:pt idx="1274" formatCode="m/d/yyyy">
                  <c:v>43333</c:v>
                </c:pt>
                <c:pt idx="1275" formatCode="m/d/yyyy">
                  <c:v>43332</c:v>
                </c:pt>
                <c:pt idx="1276" formatCode="m/d/yyyy">
                  <c:v>43331</c:v>
                </c:pt>
                <c:pt idx="1277" formatCode="m/d/yyyy">
                  <c:v>43330</c:v>
                </c:pt>
                <c:pt idx="1278" formatCode="m/d/yyyy">
                  <c:v>43329</c:v>
                </c:pt>
                <c:pt idx="1279" formatCode="m/d/yyyy">
                  <c:v>43328</c:v>
                </c:pt>
                <c:pt idx="1280" formatCode="m/d/yyyy">
                  <c:v>43327</c:v>
                </c:pt>
                <c:pt idx="1281" formatCode="m/d/yyyy">
                  <c:v>43326</c:v>
                </c:pt>
                <c:pt idx="1282" formatCode="m/d/yyyy">
                  <c:v>43325</c:v>
                </c:pt>
                <c:pt idx="1283" formatCode="m/d/yyyy">
                  <c:v>43324</c:v>
                </c:pt>
                <c:pt idx="1284" formatCode="m/d/yyyy">
                  <c:v>43323</c:v>
                </c:pt>
                <c:pt idx="1285" formatCode="m/d/yyyy">
                  <c:v>43322</c:v>
                </c:pt>
                <c:pt idx="1286" formatCode="m/d/yyyy">
                  <c:v>43321</c:v>
                </c:pt>
                <c:pt idx="1287" formatCode="m/d/yyyy">
                  <c:v>43320</c:v>
                </c:pt>
                <c:pt idx="1288" formatCode="m/d/yyyy">
                  <c:v>43319</c:v>
                </c:pt>
                <c:pt idx="1289" formatCode="m/d/yyyy">
                  <c:v>43318</c:v>
                </c:pt>
                <c:pt idx="1290" formatCode="m/d/yyyy">
                  <c:v>43317</c:v>
                </c:pt>
                <c:pt idx="1291" formatCode="m/d/yyyy">
                  <c:v>43316</c:v>
                </c:pt>
                <c:pt idx="1292" formatCode="m/d/yyyy">
                  <c:v>43315</c:v>
                </c:pt>
                <c:pt idx="1293" formatCode="m/d/yyyy">
                  <c:v>43314</c:v>
                </c:pt>
                <c:pt idx="1294" formatCode="m/d/yyyy">
                  <c:v>43313</c:v>
                </c:pt>
                <c:pt idx="1295" formatCode="m/d/yyyy">
                  <c:v>43312</c:v>
                </c:pt>
                <c:pt idx="1296" formatCode="m/d/yyyy">
                  <c:v>43311</c:v>
                </c:pt>
                <c:pt idx="1297" formatCode="m/d/yyyy">
                  <c:v>43310</c:v>
                </c:pt>
                <c:pt idx="1298" formatCode="m/d/yyyy">
                  <c:v>43309</c:v>
                </c:pt>
                <c:pt idx="1299" formatCode="m/d/yyyy">
                  <c:v>43308</c:v>
                </c:pt>
                <c:pt idx="1300" formatCode="m/d/yyyy">
                  <c:v>43307</c:v>
                </c:pt>
                <c:pt idx="1301" formatCode="m/d/yyyy">
                  <c:v>43306</c:v>
                </c:pt>
                <c:pt idx="1302" formatCode="m/d/yyyy">
                  <c:v>43305</c:v>
                </c:pt>
                <c:pt idx="1303" formatCode="m/d/yyyy">
                  <c:v>43304</c:v>
                </c:pt>
                <c:pt idx="1304" formatCode="m/d/yyyy">
                  <c:v>43303</c:v>
                </c:pt>
                <c:pt idx="1305" formatCode="m/d/yyyy">
                  <c:v>43302</c:v>
                </c:pt>
                <c:pt idx="1306" formatCode="m/d/yyyy">
                  <c:v>43301</c:v>
                </c:pt>
                <c:pt idx="1307" formatCode="m/d/yyyy">
                  <c:v>43300</c:v>
                </c:pt>
                <c:pt idx="1308" formatCode="m/d/yyyy">
                  <c:v>43299</c:v>
                </c:pt>
                <c:pt idx="1309" formatCode="m/d/yyyy">
                  <c:v>43298</c:v>
                </c:pt>
                <c:pt idx="1310" formatCode="m/d/yyyy">
                  <c:v>43297</c:v>
                </c:pt>
                <c:pt idx="1311" formatCode="m/d/yyyy">
                  <c:v>43296</c:v>
                </c:pt>
                <c:pt idx="1312" formatCode="m/d/yyyy">
                  <c:v>43295</c:v>
                </c:pt>
                <c:pt idx="1313" formatCode="m/d/yyyy">
                  <c:v>43294</c:v>
                </c:pt>
                <c:pt idx="1314" formatCode="m/d/yyyy">
                  <c:v>43293</c:v>
                </c:pt>
                <c:pt idx="1315" formatCode="m/d/yyyy">
                  <c:v>43292</c:v>
                </c:pt>
                <c:pt idx="1316" formatCode="m/d/yyyy">
                  <c:v>43291</c:v>
                </c:pt>
                <c:pt idx="1317" formatCode="m/d/yyyy">
                  <c:v>43290</c:v>
                </c:pt>
                <c:pt idx="1318" formatCode="m/d/yyyy">
                  <c:v>43289</c:v>
                </c:pt>
                <c:pt idx="1319" formatCode="m/d/yyyy">
                  <c:v>43288</c:v>
                </c:pt>
                <c:pt idx="1320" formatCode="m/d/yyyy">
                  <c:v>43287</c:v>
                </c:pt>
                <c:pt idx="1321" formatCode="m/d/yyyy">
                  <c:v>43286</c:v>
                </c:pt>
                <c:pt idx="1322" formatCode="m/d/yyyy">
                  <c:v>43285</c:v>
                </c:pt>
                <c:pt idx="1323" formatCode="m/d/yyyy">
                  <c:v>43284</c:v>
                </c:pt>
                <c:pt idx="1324" formatCode="m/d/yyyy">
                  <c:v>43283</c:v>
                </c:pt>
                <c:pt idx="1325" formatCode="m/d/yyyy">
                  <c:v>43282</c:v>
                </c:pt>
                <c:pt idx="1326" formatCode="m/d/yyyy">
                  <c:v>43281</c:v>
                </c:pt>
                <c:pt idx="1327" formatCode="m/d/yyyy">
                  <c:v>43280</c:v>
                </c:pt>
                <c:pt idx="1328" formatCode="m/d/yyyy">
                  <c:v>43279</c:v>
                </c:pt>
                <c:pt idx="1329" formatCode="m/d/yyyy">
                  <c:v>43278</c:v>
                </c:pt>
                <c:pt idx="1330" formatCode="m/d/yyyy">
                  <c:v>43277</c:v>
                </c:pt>
                <c:pt idx="1331" formatCode="m/d/yyyy">
                  <c:v>43276</c:v>
                </c:pt>
                <c:pt idx="1332" formatCode="m/d/yyyy">
                  <c:v>43275</c:v>
                </c:pt>
                <c:pt idx="1333" formatCode="m/d/yyyy">
                  <c:v>43274</c:v>
                </c:pt>
                <c:pt idx="1334" formatCode="m/d/yyyy">
                  <c:v>43273</c:v>
                </c:pt>
                <c:pt idx="1335" formatCode="m/d/yyyy">
                  <c:v>43272</c:v>
                </c:pt>
                <c:pt idx="1336" formatCode="m/d/yyyy">
                  <c:v>43271</c:v>
                </c:pt>
                <c:pt idx="1337" formatCode="m/d/yyyy">
                  <c:v>43270</c:v>
                </c:pt>
                <c:pt idx="1338" formatCode="m/d/yyyy">
                  <c:v>43269</c:v>
                </c:pt>
                <c:pt idx="1339" formatCode="m/d/yyyy">
                  <c:v>43268</c:v>
                </c:pt>
                <c:pt idx="1340" formatCode="m/d/yyyy">
                  <c:v>43267</c:v>
                </c:pt>
                <c:pt idx="1341" formatCode="m/d/yyyy">
                  <c:v>43266</c:v>
                </c:pt>
                <c:pt idx="1342" formatCode="m/d/yyyy">
                  <c:v>43265</c:v>
                </c:pt>
                <c:pt idx="1343" formatCode="m/d/yyyy">
                  <c:v>43264</c:v>
                </c:pt>
                <c:pt idx="1344" formatCode="m/d/yyyy">
                  <c:v>43263</c:v>
                </c:pt>
                <c:pt idx="1345" formatCode="m/d/yyyy">
                  <c:v>43262</c:v>
                </c:pt>
                <c:pt idx="1346" formatCode="m/d/yyyy">
                  <c:v>43261</c:v>
                </c:pt>
                <c:pt idx="1347" formatCode="m/d/yyyy">
                  <c:v>43260</c:v>
                </c:pt>
                <c:pt idx="1348" formatCode="m/d/yyyy">
                  <c:v>43259</c:v>
                </c:pt>
                <c:pt idx="1349" formatCode="m/d/yyyy">
                  <c:v>43258</c:v>
                </c:pt>
                <c:pt idx="1350" formatCode="m/d/yyyy">
                  <c:v>43257</c:v>
                </c:pt>
                <c:pt idx="1351" formatCode="m/d/yyyy">
                  <c:v>43256</c:v>
                </c:pt>
                <c:pt idx="1352" formatCode="m/d/yyyy">
                  <c:v>43255</c:v>
                </c:pt>
                <c:pt idx="1353" formatCode="m/d/yyyy">
                  <c:v>43254</c:v>
                </c:pt>
                <c:pt idx="1354" formatCode="m/d/yyyy">
                  <c:v>43253</c:v>
                </c:pt>
                <c:pt idx="1355" formatCode="m/d/yyyy">
                  <c:v>43252</c:v>
                </c:pt>
                <c:pt idx="1356" formatCode="m/d/yyyy">
                  <c:v>43251</c:v>
                </c:pt>
                <c:pt idx="1357" formatCode="m/d/yyyy">
                  <c:v>43250</c:v>
                </c:pt>
                <c:pt idx="1358" formatCode="m/d/yyyy">
                  <c:v>43249</c:v>
                </c:pt>
                <c:pt idx="1359" formatCode="m/d/yyyy">
                  <c:v>43248</c:v>
                </c:pt>
                <c:pt idx="1360" formatCode="m/d/yyyy">
                  <c:v>43247</c:v>
                </c:pt>
                <c:pt idx="1361" formatCode="m/d/yyyy">
                  <c:v>43246</c:v>
                </c:pt>
                <c:pt idx="1362" formatCode="m/d/yyyy">
                  <c:v>43245</c:v>
                </c:pt>
                <c:pt idx="1363" formatCode="m/d/yyyy">
                  <c:v>43244</c:v>
                </c:pt>
                <c:pt idx="1364" formatCode="m/d/yyyy">
                  <c:v>43243</c:v>
                </c:pt>
                <c:pt idx="1365" formatCode="m/d/yyyy">
                  <c:v>43242</c:v>
                </c:pt>
                <c:pt idx="1366" formatCode="m/d/yyyy">
                  <c:v>43241</c:v>
                </c:pt>
                <c:pt idx="1367" formatCode="m/d/yyyy">
                  <c:v>43240</c:v>
                </c:pt>
                <c:pt idx="1368" formatCode="m/d/yyyy">
                  <c:v>43239</c:v>
                </c:pt>
                <c:pt idx="1369" formatCode="m/d/yyyy">
                  <c:v>43238</c:v>
                </c:pt>
                <c:pt idx="1370" formatCode="m/d/yyyy">
                  <c:v>43237</c:v>
                </c:pt>
                <c:pt idx="1371" formatCode="m/d/yyyy">
                  <c:v>43236</c:v>
                </c:pt>
                <c:pt idx="1372" formatCode="m/d/yyyy">
                  <c:v>43235</c:v>
                </c:pt>
                <c:pt idx="1373" formatCode="m/d/yyyy">
                  <c:v>43234</c:v>
                </c:pt>
                <c:pt idx="1374" formatCode="m/d/yyyy">
                  <c:v>43233</c:v>
                </c:pt>
                <c:pt idx="1375" formatCode="m/d/yyyy">
                  <c:v>43232</c:v>
                </c:pt>
                <c:pt idx="1376" formatCode="m/d/yyyy">
                  <c:v>43231</c:v>
                </c:pt>
                <c:pt idx="1377" formatCode="m/d/yyyy">
                  <c:v>43230</c:v>
                </c:pt>
                <c:pt idx="1378" formatCode="m/d/yyyy">
                  <c:v>43229</c:v>
                </c:pt>
                <c:pt idx="1379" formatCode="m/d/yyyy">
                  <c:v>43228</c:v>
                </c:pt>
                <c:pt idx="1380" formatCode="m/d/yyyy">
                  <c:v>43227</c:v>
                </c:pt>
                <c:pt idx="1381" formatCode="m/d/yyyy">
                  <c:v>43226</c:v>
                </c:pt>
                <c:pt idx="1382" formatCode="m/d/yyyy">
                  <c:v>43225</c:v>
                </c:pt>
                <c:pt idx="1383" formatCode="m/d/yyyy">
                  <c:v>43224</c:v>
                </c:pt>
                <c:pt idx="1384" formatCode="m/d/yyyy">
                  <c:v>43223</c:v>
                </c:pt>
                <c:pt idx="1385" formatCode="m/d/yyyy">
                  <c:v>43222</c:v>
                </c:pt>
                <c:pt idx="1386" formatCode="m/d/yyyy">
                  <c:v>43221</c:v>
                </c:pt>
                <c:pt idx="1387" formatCode="m/d/yyyy">
                  <c:v>43220</c:v>
                </c:pt>
                <c:pt idx="1388" formatCode="m/d/yyyy">
                  <c:v>43219</c:v>
                </c:pt>
                <c:pt idx="1389" formatCode="m/d/yyyy">
                  <c:v>43218</c:v>
                </c:pt>
                <c:pt idx="1390" formatCode="m/d/yyyy">
                  <c:v>43217</c:v>
                </c:pt>
                <c:pt idx="1391" formatCode="m/d/yyyy">
                  <c:v>43216</c:v>
                </c:pt>
                <c:pt idx="1392" formatCode="m/d/yyyy">
                  <c:v>43215</c:v>
                </c:pt>
                <c:pt idx="1393" formatCode="m/d/yyyy">
                  <c:v>43214</c:v>
                </c:pt>
                <c:pt idx="1394" formatCode="m/d/yyyy">
                  <c:v>43213</c:v>
                </c:pt>
                <c:pt idx="1395" formatCode="m/d/yyyy">
                  <c:v>43212</c:v>
                </c:pt>
                <c:pt idx="1396" formatCode="m/d/yyyy">
                  <c:v>43211</c:v>
                </c:pt>
                <c:pt idx="1397" formatCode="m/d/yyyy">
                  <c:v>43210</c:v>
                </c:pt>
                <c:pt idx="1398" formatCode="m/d/yyyy">
                  <c:v>43209</c:v>
                </c:pt>
                <c:pt idx="1399" formatCode="m/d/yyyy">
                  <c:v>43208</c:v>
                </c:pt>
                <c:pt idx="1400" formatCode="m/d/yyyy">
                  <c:v>43207</c:v>
                </c:pt>
                <c:pt idx="1401" formatCode="m/d/yyyy">
                  <c:v>43206</c:v>
                </c:pt>
                <c:pt idx="1402" formatCode="m/d/yyyy">
                  <c:v>43205</c:v>
                </c:pt>
                <c:pt idx="1403" formatCode="m/d/yyyy">
                  <c:v>43204</c:v>
                </c:pt>
                <c:pt idx="1404" formatCode="m/d/yyyy">
                  <c:v>43203</c:v>
                </c:pt>
                <c:pt idx="1405" formatCode="m/d/yyyy">
                  <c:v>43202</c:v>
                </c:pt>
                <c:pt idx="1406" formatCode="m/d/yyyy">
                  <c:v>43201</c:v>
                </c:pt>
                <c:pt idx="1407" formatCode="m/d/yyyy">
                  <c:v>43200</c:v>
                </c:pt>
                <c:pt idx="1408" formatCode="m/d/yyyy">
                  <c:v>43199</c:v>
                </c:pt>
                <c:pt idx="1409" formatCode="m/d/yyyy">
                  <c:v>43198</c:v>
                </c:pt>
                <c:pt idx="1410" formatCode="m/d/yyyy">
                  <c:v>43197</c:v>
                </c:pt>
                <c:pt idx="1411" formatCode="m/d/yyyy">
                  <c:v>43196</c:v>
                </c:pt>
                <c:pt idx="1412" formatCode="m/d/yyyy">
                  <c:v>43195</c:v>
                </c:pt>
                <c:pt idx="1413" formatCode="m/d/yyyy">
                  <c:v>43194</c:v>
                </c:pt>
                <c:pt idx="1414" formatCode="m/d/yyyy">
                  <c:v>43193</c:v>
                </c:pt>
                <c:pt idx="1415" formatCode="m/d/yyyy">
                  <c:v>43192</c:v>
                </c:pt>
                <c:pt idx="1416" formatCode="m/d/yyyy">
                  <c:v>43191</c:v>
                </c:pt>
                <c:pt idx="1417" formatCode="m/d/yyyy">
                  <c:v>43190</c:v>
                </c:pt>
                <c:pt idx="1418" formatCode="m/d/yyyy">
                  <c:v>43189</c:v>
                </c:pt>
                <c:pt idx="1419" formatCode="m/d/yyyy">
                  <c:v>43188</c:v>
                </c:pt>
                <c:pt idx="1420" formatCode="m/d/yyyy">
                  <c:v>43187</c:v>
                </c:pt>
                <c:pt idx="1421" formatCode="m/d/yyyy">
                  <c:v>43186</c:v>
                </c:pt>
                <c:pt idx="1422" formatCode="m/d/yyyy">
                  <c:v>43185</c:v>
                </c:pt>
                <c:pt idx="1423" formatCode="m/d/yyyy">
                  <c:v>43184</c:v>
                </c:pt>
                <c:pt idx="1424" formatCode="m/d/yyyy">
                  <c:v>43183</c:v>
                </c:pt>
                <c:pt idx="1425" formatCode="m/d/yyyy">
                  <c:v>43182</c:v>
                </c:pt>
                <c:pt idx="1426" formatCode="m/d/yyyy">
                  <c:v>43181</c:v>
                </c:pt>
                <c:pt idx="1427" formatCode="m/d/yyyy">
                  <c:v>43180</c:v>
                </c:pt>
                <c:pt idx="1428" formatCode="m/d/yyyy">
                  <c:v>43179</c:v>
                </c:pt>
                <c:pt idx="1429" formatCode="m/d/yyyy">
                  <c:v>43178</c:v>
                </c:pt>
                <c:pt idx="1430" formatCode="m/d/yyyy">
                  <c:v>43177</c:v>
                </c:pt>
                <c:pt idx="1431" formatCode="m/d/yyyy">
                  <c:v>43176</c:v>
                </c:pt>
                <c:pt idx="1432" formatCode="m/d/yyyy">
                  <c:v>43175</c:v>
                </c:pt>
                <c:pt idx="1433" formatCode="m/d/yyyy">
                  <c:v>43174</c:v>
                </c:pt>
                <c:pt idx="1434" formatCode="m/d/yyyy">
                  <c:v>43173</c:v>
                </c:pt>
                <c:pt idx="1435" formatCode="m/d/yyyy">
                  <c:v>43172</c:v>
                </c:pt>
                <c:pt idx="1436" formatCode="m/d/yyyy">
                  <c:v>43171</c:v>
                </c:pt>
                <c:pt idx="1437" formatCode="m/d/yyyy">
                  <c:v>43170</c:v>
                </c:pt>
                <c:pt idx="1438" formatCode="m/d/yyyy">
                  <c:v>43169</c:v>
                </c:pt>
                <c:pt idx="1439" formatCode="m/d/yyyy">
                  <c:v>43168</c:v>
                </c:pt>
                <c:pt idx="1440" formatCode="m/d/yyyy">
                  <c:v>43167</c:v>
                </c:pt>
                <c:pt idx="1441" formatCode="m/d/yyyy">
                  <c:v>43166</c:v>
                </c:pt>
                <c:pt idx="1442" formatCode="m/d/yyyy">
                  <c:v>43165</c:v>
                </c:pt>
                <c:pt idx="1443" formatCode="m/d/yyyy">
                  <c:v>43164</c:v>
                </c:pt>
                <c:pt idx="1444" formatCode="m/d/yyyy">
                  <c:v>43163</c:v>
                </c:pt>
                <c:pt idx="1445" formatCode="m/d/yyyy">
                  <c:v>43162</c:v>
                </c:pt>
                <c:pt idx="1446" formatCode="m/d/yyyy">
                  <c:v>43161</c:v>
                </c:pt>
                <c:pt idx="1447" formatCode="m/d/yyyy">
                  <c:v>43160</c:v>
                </c:pt>
                <c:pt idx="1448" formatCode="m/d/yyyy">
                  <c:v>43159</c:v>
                </c:pt>
                <c:pt idx="1449" formatCode="m/d/yyyy">
                  <c:v>43158</c:v>
                </c:pt>
                <c:pt idx="1450" formatCode="m/d/yyyy">
                  <c:v>43157</c:v>
                </c:pt>
                <c:pt idx="1451" formatCode="m/d/yyyy">
                  <c:v>43156</c:v>
                </c:pt>
                <c:pt idx="1452" formatCode="m/d/yyyy">
                  <c:v>43155</c:v>
                </c:pt>
                <c:pt idx="1453" formatCode="m/d/yyyy">
                  <c:v>43154</c:v>
                </c:pt>
                <c:pt idx="1454" formatCode="m/d/yyyy">
                  <c:v>43153</c:v>
                </c:pt>
                <c:pt idx="1455" formatCode="m/d/yyyy">
                  <c:v>43152</c:v>
                </c:pt>
                <c:pt idx="1456" formatCode="m/d/yyyy">
                  <c:v>43151</c:v>
                </c:pt>
                <c:pt idx="1457" formatCode="m/d/yyyy">
                  <c:v>43150</c:v>
                </c:pt>
                <c:pt idx="1458" formatCode="m/d/yyyy">
                  <c:v>43149</c:v>
                </c:pt>
                <c:pt idx="1459" formatCode="m/d/yyyy">
                  <c:v>43148</c:v>
                </c:pt>
                <c:pt idx="1460" formatCode="m/d/yyyy">
                  <c:v>43147</c:v>
                </c:pt>
                <c:pt idx="1461" formatCode="m/d/yyyy">
                  <c:v>43146</c:v>
                </c:pt>
                <c:pt idx="1462" formatCode="m/d/yyyy">
                  <c:v>43145</c:v>
                </c:pt>
                <c:pt idx="1463" formatCode="m/d/yyyy">
                  <c:v>43144</c:v>
                </c:pt>
                <c:pt idx="1464" formatCode="m/d/yyyy">
                  <c:v>43143</c:v>
                </c:pt>
                <c:pt idx="1465" formatCode="m/d/yyyy">
                  <c:v>43142</c:v>
                </c:pt>
                <c:pt idx="1466" formatCode="m/d/yyyy">
                  <c:v>43141</c:v>
                </c:pt>
                <c:pt idx="1467" formatCode="m/d/yyyy">
                  <c:v>43140</c:v>
                </c:pt>
                <c:pt idx="1468" formatCode="m/d/yyyy">
                  <c:v>43139</c:v>
                </c:pt>
                <c:pt idx="1469" formatCode="m/d/yyyy">
                  <c:v>43138</c:v>
                </c:pt>
                <c:pt idx="1470" formatCode="m/d/yyyy">
                  <c:v>43137</c:v>
                </c:pt>
                <c:pt idx="1471" formatCode="m/d/yyyy">
                  <c:v>43136</c:v>
                </c:pt>
                <c:pt idx="1472" formatCode="m/d/yyyy">
                  <c:v>43135</c:v>
                </c:pt>
                <c:pt idx="1473" formatCode="m/d/yyyy">
                  <c:v>43134</c:v>
                </c:pt>
                <c:pt idx="1474" formatCode="m/d/yyyy">
                  <c:v>43133</c:v>
                </c:pt>
                <c:pt idx="1475" formatCode="m/d/yyyy">
                  <c:v>43132</c:v>
                </c:pt>
                <c:pt idx="1476" formatCode="m/d/yyyy">
                  <c:v>43131</c:v>
                </c:pt>
                <c:pt idx="1477" formatCode="m/d/yyyy">
                  <c:v>43130</c:v>
                </c:pt>
                <c:pt idx="1478" formatCode="m/d/yyyy">
                  <c:v>43129</c:v>
                </c:pt>
                <c:pt idx="1479" formatCode="m/d/yyyy">
                  <c:v>43128</c:v>
                </c:pt>
                <c:pt idx="1480" formatCode="m/d/yyyy">
                  <c:v>43127</c:v>
                </c:pt>
                <c:pt idx="1481" formatCode="m/d/yyyy">
                  <c:v>43126</c:v>
                </c:pt>
                <c:pt idx="1482" formatCode="m/d/yyyy">
                  <c:v>43125</c:v>
                </c:pt>
                <c:pt idx="1483" formatCode="m/d/yyyy">
                  <c:v>43124</c:v>
                </c:pt>
                <c:pt idx="1484" formatCode="m/d/yyyy">
                  <c:v>43123</c:v>
                </c:pt>
                <c:pt idx="1485" formatCode="m/d/yyyy">
                  <c:v>43122</c:v>
                </c:pt>
                <c:pt idx="1486" formatCode="m/d/yyyy">
                  <c:v>43121</c:v>
                </c:pt>
                <c:pt idx="1487" formatCode="m/d/yyyy">
                  <c:v>43120</c:v>
                </c:pt>
                <c:pt idx="1488" formatCode="m/d/yyyy">
                  <c:v>43119</c:v>
                </c:pt>
                <c:pt idx="1489" formatCode="m/d/yyyy">
                  <c:v>43118</c:v>
                </c:pt>
                <c:pt idx="1490" formatCode="m/d/yyyy">
                  <c:v>43117</c:v>
                </c:pt>
                <c:pt idx="1491" formatCode="m/d/yyyy">
                  <c:v>43116</c:v>
                </c:pt>
                <c:pt idx="1492" formatCode="m/d/yyyy">
                  <c:v>43115</c:v>
                </c:pt>
                <c:pt idx="1493" formatCode="m/d/yyyy">
                  <c:v>43114</c:v>
                </c:pt>
                <c:pt idx="1494" formatCode="m/d/yyyy">
                  <c:v>43113</c:v>
                </c:pt>
                <c:pt idx="1495" formatCode="m/d/yyyy">
                  <c:v>43112</c:v>
                </c:pt>
                <c:pt idx="1496" formatCode="m/d/yyyy">
                  <c:v>43111</c:v>
                </c:pt>
                <c:pt idx="1497" formatCode="m/d/yyyy">
                  <c:v>43110</c:v>
                </c:pt>
                <c:pt idx="1498" formatCode="m/d/yyyy">
                  <c:v>43109</c:v>
                </c:pt>
                <c:pt idx="1499" formatCode="m/d/yyyy">
                  <c:v>43108</c:v>
                </c:pt>
                <c:pt idx="1500" formatCode="m/d/yyyy">
                  <c:v>43107</c:v>
                </c:pt>
                <c:pt idx="1501" formatCode="m/d/yyyy">
                  <c:v>43106</c:v>
                </c:pt>
                <c:pt idx="1502" formatCode="m/d/yyyy">
                  <c:v>43105</c:v>
                </c:pt>
                <c:pt idx="1503" formatCode="m/d/yyyy">
                  <c:v>43104</c:v>
                </c:pt>
                <c:pt idx="1504" formatCode="m/d/yyyy">
                  <c:v>43103</c:v>
                </c:pt>
                <c:pt idx="1505" formatCode="m/d/yyyy">
                  <c:v>43102</c:v>
                </c:pt>
                <c:pt idx="1506" formatCode="m/d/yyyy">
                  <c:v>43101</c:v>
                </c:pt>
                <c:pt idx="1507" formatCode="m/d/yyyy">
                  <c:v>43100</c:v>
                </c:pt>
                <c:pt idx="1508" formatCode="m/d/yyyy">
                  <c:v>43099</c:v>
                </c:pt>
                <c:pt idx="1509" formatCode="m/d/yyyy">
                  <c:v>43098</c:v>
                </c:pt>
                <c:pt idx="1510" formatCode="m/d/yyyy">
                  <c:v>43097</c:v>
                </c:pt>
                <c:pt idx="1511" formatCode="m/d/yyyy">
                  <c:v>43096</c:v>
                </c:pt>
                <c:pt idx="1512" formatCode="m/d/yyyy">
                  <c:v>43095</c:v>
                </c:pt>
                <c:pt idx="1513" formatCode="m/d/yyyy">
                  <c:v>43094</c:v>
                </c:pt>
                <c:pt idx="1514" formatCode="m/d/yyyy">
                  <c:v>43093</c:v>
                </c:pt>
                <c:pt idx="1515" formatCode="m/d/yyyy">
                  <c:v>43092</c:v>
                </c:pt>
                <c:pt idx="1516" formatCode="m/d/yyyy">
                  <c:v>43091</c:v>
                </c:pt>
                <c:pt idx="1517" formatCode="m/d/yyyy">
                  <c:v>43090</c:v>
                </c:pt>
                <c:pt idx="1518" formatCode="m/d/yyyy">
                  <c:v>43089</c:v>
                </c:pt>
                <c:pt idx="1519" formatCode="m/d/yyyy">
                  <c:v>43088</c:v>
                </c:pt>
                <c:pt idx="1520" formatCode="m/d/yyyy">
                  <c:v>43087</c:v>
                </c:pt>
                <c:pt idx="1521" formatCode="m/d/yyyy">
                  <c:v>43086</c:v>
                </c:pt>
                <c:pt idx="1522" formatCode="m/d/yyyy">
                  <c:v>43085</c:v>
                </c:pt>
                <c:pt idx="1523" formatCode="m/d/yyyy">
                  <c:v>43084</c:v>
                </c:pt>
                <c:pt idx="1524" formatCode="m/d/yyyy">
                  <c:v>43083</c:v>
                </c:pt>
                <c:pt idx="1525" formatCode="m/d/yyyy">
                  <c:v>43082</c:v>
                </c:pt>
                <c:pt idx="1526" formatCode="m/d/yyyy">
                  <c:v>43081</c:v>
                </c:pt>
                <c:pt idx="1527" formatCode="m/d/yyyy">
                  <c:v>43080</c:v>
                </c:pt>
                <c:pt idx="1528" formatCode="m/d/yyyy">
                  <c:v>43079</c:v>
                </c:pt>
                <c:pt idx="1529" formatCode="m/d/yyyy">
                  <c:v>43078</c:v>
                </c:pt>
                <c:pt idx="1530" formatCode="m/d/yyyy">
                  <c:v>43077</c:v>
                </c:pt>
                <c:pt idx="1531" formatCode="m/d/yyyy">
                  <c:v>43076</c:v>
                </c:pt>
                <c:pt idx="1532" formatCode="m/d/yyyy">
                  <c:v>43075</c:v>
                </c:pt>
                <c:pt idx="1533" formatCode="m/d/yyyy">
                  <c:v>43074</c:v>
                </c:pt>
                <c:pt idx="1534" formatCode="m/d/yyyy">
                  <c:v>43073</c:v>
                </c:pt>
                <c:pt idx="1535" formatCode="m/d/yyyy">
                  <c:v>43072</c:v>
                </c:pt>
                <c:pt idx="1536" formatCode="m/d/yyyy">
                  <c:v>43071</c:v>
                </c:pt>
                <c:pt idx="1537" formatCode="m/d/yyyy">
                  <c:v>43070</c:v>
                </c:pt>
                <c:pt idx="1538" formatCode="m/d/yyyy">
                  <c:v>43069</c:v>
                </c:pt>
                <c:pt idx="1539" formatCode="m/d/yyyy">
                  <c:v>43068</c:v>
                </c:pt>
                <c:pt idx="1540" formatCode="m/d/yyyy">
                  <c:v>43067</c:v>
                </c:pt>
                <c:pt idx="1541" formatCode="m/d/yyyy">
                  <c:v>43066</c:v>
                </c:pt>
                <c:pt idx="1542" formatCode="m/d/yyyy">
                  <c:v>43065</c:v>
                </c:pt>
                <c:pt idx="1543" formatCode="m/d/yyyy">
                  <c:v>43064</c:v>
                </c:pt>
                <c:pt idx="1544" formatCode="m/d/yyyy">
                  <c:v>43063</c:v>
                </c:pt>
                <c:pt idx="1545" formatCode="m/d/yyyy">
                  <c:v>43062</c:v>
                </c:pt>
                <c:pt idx="1546" formatCode="m/d/yyyy">
                  <c:v>43061</c:v>
                </c:pt>
                <c:pt idx="1547" formatCode="m/d/yyyy">
                  <c:v>43060</c:v>
                </c:pt>
                <c:pt idx="1548" formatCode="m/d/yyyy">
                  <c:v>43059</c:v>
                </c:pt>
                <c:pt idx="1549" formatCode="m/d/yyyy">
                  <c:v>43058</c:v>
                </c:pt>
                <c:pt idx="1550" formatCode="m/d/yyyy">
                  <c:v>43057</c:v>
                </c:pt>
                <c:pt idx="1551" formatCode="m/d/yyyy">
                  <c:v>43056</c:v>
                </c:pt>
                <c:pt idx="1552" formatCode="m/d/yyyy">
                  <c:v>43055</c:v>
                </c:pt>
                <c:pt idx="1553" formatCode="m/d/yyyy">
                  <c:v>43054</c:v>
                </c:pt>
                <c:pt idx="1554" formatCode="m/d/yyyy">
                  <c:v>43053</c:v>
                </c:pt>
                <c:pt idx="1555" formatCode="m/d/yyyy">
                  <c:v>43052</c:v>
                </c:pt>
                <c:pt idx="1556" formatCode="m/d/yyyy">
                  <c:v>43051</c:v>
                </c:pt>
                <c:pt idx="1557" formatCode="m/d/yyyy">
                  <c:v>43050</c:v>
                </c:pt>
                <c:pt idx="1558" formatCode="m/d/yyyy">
                  <c:v>43049</c:v>
                </c:pt>
                <c:pt idx="1559" formatCode="m/d/yyyy">
                  <c:v>43048</c:v>
                </c:pt>
                <c:pt idx="1560" formatCode="m/d/yyyy">
                  <c:v>43047</c:v>
                </c:pt>
                <c:pt idx="1561" formatCode="m/d/yyyy">
                  <c:v>43046</c:v>
                </c:pt>
                <c:pt idx="1562" formatCode="m/d/yyyy">
                  <c:v>43045</c:v>
                </c:pt>
                <c:pt idx="1563" formatCode="m/d/yyyy">
                  <c:v>43044</c:v>
                </c:pt>
                <c:pt idx="1564" formatCode="m/d/yyyy">
                  <c:v>43043</c:v>
                </c:pt>
                <c:pt idx="1565" formatCode="m/d/yyyy">
                  <c:v>43042</c:v>
                </c:pt>
                <c:pt idx="1566" formatCode="m/d/yyyy">
                  <c:v>43041</c:v>
                </c:pt>
                <c:pt idx="1567" formatCode="m/d/yyyy">
                  <c:v>43040</c:v>
                </c:pt>
                <c:pt idx="1568" formatCode="m/d/yyyy">
                  <c:v>43039</c:v>
                </c:pt>
                <c:pt idx="1569" formatCode="m/d/yyyy">
                  <c:v>43038</c:v>
                </c:pt>
                <c:pt idx="1570" formatCode="m/d/yyyy">
                  <c:v>43037</c:v>
                </c:pt>
                <c:pt idx="1571" formatCode="m/d/yyyy">
                  <c:v>43036</c:v>
                </c:pt>
                <c:pt idx="1572" formatCode="m/d/yyyy">
                  <c:v>43035</c:v>
                </c:pt>
                <c:pt idx="1573" formatCode="m/d/yyyy">
                  <c:v>43034</c:v>
                </c:pt>
                <c:pt idx="1574" formatCode="m/d/yyyy">
                  <c:v>43033</c:v>
                </c:pt>
                <c:pt idx="1575" formatCode="m/d/yyyy">
                  <c:v>43032</c:v>
                </c:pt>
                <c:pt idx="1576" formatCode="m/d/yyyy">
                  <c:v>43031</c:v>
                </c:pt>
                <c:pt idx="1577" formatCode="m/d/yyyy">
                  <c:v>43030</c:v>
                </c:pt>
                <c:pt idx="1578" formatCode="m/d/yyyy">
                  <c:v>43029</c:v>
                </c:pt>
                <c:pt idx="1579" formatCode="m/d/yyyy">
                  <c:v>43028</c:v>
                </c:pt>
                <c:pt idx="1580" formatCode="m/d/yyyy">
                  <c:v>43027</c:v>
                </c:pt>
                <c:pt idx="1581" formatCode="m/d/yyyy">
                  <c:v>43026</c:v>
                </c:pt>
                <c:pt idx="1582" formatCode="m/d/yyyy">
                  <c:v>43025</c:v>
                </c:pt>
                <c:pt idx="1583" formatCode="m/d/yyyy">
                  <c:v>43024</c:v>
                </c:pt>
                <c:pt idx="1584" formatCode="m/d/yyyy">
                  <c:v>43023</c:v>
                </c:pt>
                <c:pt idx="1585" formatCode="m/d/yyyy">
                  <c:v>43022</c:v>
                </c:pt>
                <c:pt idx="1586" formatCode="m/d/yyyy">
                  <c:v>43021</c:v>
                </c:pt>
                <c:pt idx="1587" formatCode="m/d/yyyy">
                  <c:v>43020</c:v>
                </c:pt>
                <c:pt idx="1588" formatCode="m/d/yyyy">
                  <c:v>43019</c:v>
                </c:pt>
                <c:pt idx="1589" formatCode="m/d/yyyy">
                  <c:v>43018</c:v>
                </c:pt>
                <c:pt idx="1590" formatCode="m/d/yyyy">
                  <c:v>43017</c:v>
                </c:pt>
                <c:pt idx="1591" formatCode="m/d/yyyy">
                  <c:v>43016</c:v>
                </c:pt>
                <c:pt idx="1592" formatCode="m/d/yyyy">
                  <c:v>43015</c:v>
                </c:pt>
                <c:pt idx="1593" formatCode="m/d/yyyy">
                  <c:v>43014</c:v>
                </c:pt>
                <c:pt idx="1594" formatCode="m/d/yyyy">
                  <c:v>43013</c:v>
                </c:pt>
                <c:pt idx="1595" formatCode="m/d/yyyy">
                  <c:v>43012</c:v>
                </c:pt>
                <c:pt idx="1596" formatCode="m/d/yyyy">
                  <c:v>43011</c:v>
                </c:pt>
                <c:pt idx="1597" formatCode="m/d/yyyy">
                  <c:v>43010</c:v>
                </c:pt>
                <c:pt idx="1598" formatCode="m/d/yyyy">
                  <c:v>43009</c:v>
                </c:pt>
                <c:pt idx="1599" formatCode="m/d/yyyy">
                  <c:v>43008</c:v>
                </c:pt>
                <c:pt idx="1600" formatCode="m/d/yyyy">
                  <c:v>43007</c:v>
                </c:pt>
                <c:pt idx="1601" formatCode="m/d/yyyy">
                  <c:v>43006</c:v>
                </c:pt>
                <c:pt idx="1602" formatCode="m/d/yyyy">
                  <c:v>43005</c:v>
                </c:pt>
                <c:pt idx="1603" formatCode="m/d/yyyy">
                  <c:v>43004</c:v>
                </c:pt>
                <c:pt idx="1604" formatCode="m/d/yyyy">
                  <c:v>43003</c:v>
                </c:pt>
                <c:pt idx="1605" formatCode="m/d/yyyy">
                  <c:v>43002</c:v>
                </c:pt>
                <c:pt idx="1606" formatCode="m/d/yyyy">
                  <c:v>43001</c:v>
                </c:pt>
                <c:pt idx="1607" formatCode="m/d/yyyy">
                  <c:v>43000</c:v>
                </c:pt>
                <c:pt idx="1608" formatCode="m/d/yyyy">
                  <c:v>42999</c:v>
                </c:pt>
                <c:pt idx="1609" formatCode="m/d/yyyy">
                  <c:v>42998</c:v>
                </c:pt>
                <c:pt idx="1610" formatCode="m/d/yyyy">
                  <c:v>42997</c:v>
                </c:pt>
                <c:pt idx="1611" formatCode="m/d/yyyy">
                  <c:v>42996</c:v>
                </c:pt>
                <c:pt idx="1612" formatCode="m/d/yyyy">
                  <c:v>42995</c:v>
                </c:pt>
                <c:pt idx="1613" formatCode="m/d/yyyy">
                  <c:v>42994</c:v>
                </c:pt>
                <c:pt idx="1614" formatCode="m/d/yyyy">
                  <c:v>42993</c:v>
                </c:pt>
                <c:pt idx="1615" formatCode="m/d/yyyy">
                  <c:v>42992</c:v>
                </c:pt>
                <c:pt idx="1616" formatCode="m/d/yyyy">
                  <c:v>42991</c:v>
                </c:pt>
                <c:pt idx="1617" formatCode="m/d/yyyy">
                  <c:v>42990</c:v>
                </c:pt>
                <c:pt idx="1618" formatCode="m/d/yyyy">
                  <c:v>42989</c:v>
                </c:pt>
                <c:pt idx="1619" formatCode="m/d/yyyy">
                  <c:v>42988</c:v>
                </c:pt>
                <c:pt idx="1620" formatCode="m/d/yyyy">
                  <c:v>42987</c:v>
                </c:pt>
                <c:pt idx="1621" formatCode="m/d/yyyy">
                  <c:v>42986</c:v>
                </c:pt>
                <c:pt idx="1622" formatCode="m/d/yyyy">
                  <c:v>42985</c:v>
                </c:pt>
                <c:pt idx="1623" formatCode="m/d/yyyy">
                  <c:v>42984</c:v>
                </c:pt>
                <c:pt idx="1624" formatCode="m/d/yyyy">
                  <c:v>42983</c:v>
                </c:pt>
                <c:pt idx="1625" formatCode="m/d/yyyy">
                  <c:v>42982</c:v>
                </c:pt>
                <c:pt idx="1626" formatCode="m/d/yyyy">
                  <c:v>42981</c:v>
                </c:pt>
                <c:pt idx="1627" formatCode="m/d/yyyy">
                  <c:v>42980</c:v>
                </c:pt>
                <c:pt idx="1628" formatCode="m/d/yyyy">
                  <c:v>42979</c:v>
                </c:pt>
                <c:pt idx="1629" formatCode="m/d/yyyy">
                  <c:v>42978</c:v>
                </c:pt>
                <c:pt idx="1630" formatCode="m/d/yyyy">
                  <c:v>42977</c:v>
                </c:pt>
                <c:pt idx="1631" formatCode="m/d/yyyy">
                  <c:v>42976</c:v>
                </c:pt>
                <c:pt idx="1632" formatCode="m/d/yyyy">
                  <c:v>42975</c:v>
                </c:pt>
                <c:pt idx="1633" formatCode="m/d/yyyy">
                  <c:v>42974</c:v>
                </c:pt>
                <c:pt idx="1634" formatCode="m/d/yyyy">
                  <c:v>42973</c:v>
                </c:pt>
                <c:pt idx="1635" formatCode="m/d/yyyy">
                  <c:v>42972</c:v>
                </c:pt>
                <c:pt idx="1636" formatCode="m/d/yyyy">
                  <c:v>42971</c:v>
                </c:pt>
                <c:pt idx="1637" formatCode="m/d/yyyy">
                  <c:v>42970</c:v>
                </c:pt>
                <c:pt idx="1638" formatCode="m/d/yyyy">
                  <c:v>42969</c:v>
                </c:pt>
                <c:pt idx="1639" formatCode="m/d/yyyy">
                  <c:v>42968</c:v>
                </c:pt>
                <c:pt idx="1640" formatCode="m/d/yyyy">
                  <c:v>42967</c:v>
                </c:pt>
                <c:pt idx="1641" formatCode="m/d/yyyy">
                  <c:v>42966</c:v>
                </c:pt>
                <c:pt idx="1642" formatCode="m/d/yyyy">
                  <c:v>42965</c:v>
                </c:pt>
                <c:pt idx="1643" formatCode="m/d/yyyy">
                  <c:v>42964</c:v>
                </c:pt>
                <c:pt idx="1644" formatCode="m/d/yyyy">
                  <c:v>42963</c:v>
                </c:pt>
                <c:pt idx="1645" formatCode="m/d/yyyy">
                  <c:v>42962</c:v>
                </c:pt>
                <c:pt idx="1646" formatCode="m/d/yyyy">
                  <c:v>42961</c:v>
                </c:pt>
                <c:pt idx="1647" formatCode="m/d/yyyy">
                  <c:v>42960</c:v>
                </c:pt>
                <c:pt idx="1648" formatCode="m/d/yyyy">
                  <c:v>42959</c:v>
                </c:pt>
                <c:pt idx="1649" formatCode="m/d/yyyy">
                  <c:v>42958</c:v>
                </c:pt>
                <c:pt idx="1650" formatCode="m/d/yyyy">
                  <c:v>42957</c:v>
                </c:pt>
                <c:pt idx="1651" formatCode="m/d/yyyy">
                  <c:v>42956</c:v>
                </c:pt>
                <c:pt idx="1652" formatCode="m/d/yyyy">
                  <c:v>42955</c:v>
                </c:pt>
                <c:pt idx="1653" formatCode="m/d/yyyy">
                  <c:v>42954</c:v>
                </c:pt>
                <c:pt idx="1654" formatCode="m/d/yyyy">
                  <c:v>42953</c:v>
                </c:pt>
                <c:pt idx="1655" formatCode="m/d/yyyy">
                  <c:v>42952</c:v>
                </c:pt>
                <c:pt idx="1656" formatCode="m/d/yyyy">
                  <c:v>42951</c:v>
                </c:pt>
                <c:pt idx="1657" formatCode="m/d/yyyy">
                  <c:v>42950</c:v>
                </c:pt>
                <c:pt idx="1658" formatCode="m/d/yyyy">
                  <c:v>42949</c:v>
                </c:pt>
                <c:pt idx="1659" formatCode="m/d/yyyy">
                  <c:v>42948</c:v>
                </c:pt>
                <c:pt idx="1660" formatCode="m/d/yyyy">
                  <c:v>42947</c:v>
                </c:pt>
                <c:pt idx="1661" formatCode="m/d/yyyy">
                  <c:v>42946</c:v>
                </c:pt>
                <c:pt idx="1662" formatCode="m/d/yyyy">
                  <c:v>42945</c:v>
                </c:pt>
                <c:pt idx="1663" formatCode="m/d/yyyy">
                  <c:v>42944</c:v>
                </c:pt>
                <c:pt idx="1664" formatCode="m/d/yyyy">
                  <c:v>42943</c:v>
                </c:pt>
                <c:pt idx="1665" formatCode="m/d/yyyy">
                  <c:v>42942</c:v>
                </c:pt>
                <c:pt idx="1666" formatCode="m/d/yyyy">
                  <c:v>42941</c:v>
                </c:pt>
                <c:pt idx="1667" formatCode="m/d/yyyy">
                  <c:v>42940</c:v>
                </c:pt>
                <c:pt idx="1668" formatCode="m/d/yyyy">
                  <c:v>42939</c:v>
                </c:pt>
                <c:pt idx="1669" formatCode="m/d/yyyy">
                  <c:v>42938</c:v>
                </c:pt>
                <c:pt idx="1670" formatCode="m/d/yyyy">
                  <c:v>42937</c:v>
                </c:pt>
                <c:pt idx="1671" formatCode="m/d/yyyy">
                  <c:v>42936</c:v>
                </c:pt>
                <c:pt idx="1672" formatCode="m/d/yyyy">
                  <c:v>42935</c:v>
                </c:pt>
                <c:pt idx="1673" formatCode="m/d/yyyy">
                  <c:v>42934</c:v>
                </c:pt>
                <c:pt idx="1674" formatCode="m/d/yyyy">
                  <c:v>42933</c:v>
                </c:pt>
                <c:pt idx="1675" formatCode="m/d/yyyy">
                  <c:v>42932</c:v>
                </c:pt>
                <c:pt idx="1676" formatCode="m/d/yyyy">
                  <c:v>42931</c:v>
                </c:pt>
                <c:pt idx="1677" formatCode="m/d/yyyy">
                  <c:v>42930</c:v>
                </c:pt>
                <c:pt idx="1678" formatCode="m/d/yyyy">
                  <c:v>42929</c:v>
                </c:pt>
                <c:pt idx="1679" formatCode="m/d/yyyy">
                  <c:v>42928</c:v>
                </c:pt>
                <c:pt idx="1680" formatCode="m/d/yyyy">
                  <c:v>42927</c:v>
                </c:pt>
                <c:pt idx="1681" formatCode="m/d/yyyy">
                  <c:v>42926</c:v>
                </c:pt>
                <c:pt idx="1682" formatCode="m/d/yyyy">
                  <c:v>42925</c:v>
                </c:pt>
                <c:pt idx="1683" formatCode="m/d/yyyy">
                  <c:v>42924</c:v>
                </c:pt>
                <c:pt idx="1684" formatCode="m/d/yyyy">
                  <c:v>42923</c:v>
                </c:pt>
                <c:pt idx="1685" formatCode="m/d/yyyy">
                  <c:v>42922</c:v>
                </c:pt>
                <c:pt idx="1686" formatCode="m/d/yyyy">
                  <c:v>42921</c:v>
                </c:pt>
                <c:pt idx="1687" formatCode="m/d/yyyy">
                  <c:v>42920</c:v>
                </c:pt>
                <c:pt idx="1688" formatCode="m/d/yyyy">
                  <c:v>42919</c:v>
                </c:pt>
                <c:pt idx="1689" formatCode="m/d/yyyy">
                  <c:v>42918</c:v>
                </c:pt>
                <c:pt idx="1690" formatCode="m/d/yyyy">
                  <c:v>42917</c:v>
                </c:pt>
                <c:pt idx="1691" formatCode="m/d/yyyy">
                  <c:v>42916</c:v>
                </c:pt>
                <c:pt idx="1692" formatCode="m/d/yyyy">
                  <c:v>42915</c:v>
                </c:pt>
                <c:pt idx="1693" formatCode="m/d/yyyy">
                  <c:v>42914</c:v>
                </c:pt>
                <c:pt idx="1694" formatCode="m/d/yyyy">
                  <c:v>42913</c:v>
                </c:pt>
                <c:pt idx="1695" formatCode="m/d/yyyy">
                  <c:v>42912</c:v>
                </c:pt>
                <c:pt idx="1696" formatCode="m/d/yyyy">
                  <c:v>42911</c:v>
                </c:pt>
                <c:pt idx="1697" formatCode="m/d/yyyy">
                  <c:v>42910</c:v>
                </c:pt>
                <c:pt idx="1698" formatCode="m/d/yyyy">
                  <c:v>42909</c:v>
                </c:pt>
                <c:pt idx="1699" formatCode="m/d/yyyy">
                  <c:v>42908</c:v>
                </c:pt>
                <c:pt idx="1700" formatCode="m/d/yyyy">
                  <c:v>42907</c:v>
                </c:pt>
                <c:pt idx="1701" formatCode="m/d/yyyy">
                  <c:v>42906</c:v>
                </c:pt>
                <c:pt idx="1702" formatCode="m/d/yyyy">
                  <c:v>42905</c:v>
                </c:pt>
                <c:pt idx="1703" formatCode="m/d/yyyy">
                  <c:v>42904</c:v>
                </c:pt>
                <c:pt idx="1704" formatCode="m/d/yyyy">
                  <c:v>42903</c:v>
                </c:pt>
                <c:pt idx="1705" formatCode="m/d/yyyy">
                  <c:v>42902</c:v>
                </c:pt>
                <c:pt idx="1706" formatCode="m/d/yyyy">
                  <c:v>42901</c:v>
                </c:pt>
                <c:pt idx="1707" formatCode="m/d/yyyy">
                  <c:v>42900</c:v>
                </c:pt>
                <c:pt idx="1708" formatCode="m/d/yyyy">
                  <c:v>42899</c:v>
                </c:pt>
                <c:pt idx="1709" formatCode="m/d/yyyy">
                  <c:v>42898</c:v>
                </c:pt>
                <c:pt idx="1710" formatCode="m/d/yyyy">
                  <c:v>42897</c:v>
                </c:pt>
                <c:pt idx="1711" formatCode="m/d/yyyy">
                  <c:v>42896</c:v>
                </c:pt>
                <c:pt idx="1712" formatCode="m/d/yyyy">
                  <c:v>42895</c:v>
                </c:pt>
                <c:pt idx="1713" formatCode="m/d/yyyy">
                  <c:v>42894</c:v>
                </c:pt>
                <c:pt idx="1714" formatCode="m/d/yyyy">
                  <c:v>42893</c:v>
                </c:pt>
                <c:pt idx="1715" formatCode="m/d/yyyy">
                  <c:v>42892</c:v>
                </c:pt>
                <c:pt idx="1716" formatCode="m/d/yyyy">
                  <c:v>42891</c:v>
                </c:pt>
                <c:pt idx="1717" formatCode="m/d/yyyy">
                  <c:v>42890</c:v>
                </c:pt>
                <c:pt idx="1718" formatCode="m/d/yyyy">
                  <c:v>42889</c:v>
                </c:pt>
                <c:pt idx="1719" formatCode="m/d/yyyy">
                  <c:v>42888</c:v>
                </c:pt>
                <c:pt idx="1720" formatCode="m/d/yyyy">
                  <c:v>42887</c:v>
                </c:pt>
                <c:pt idx="1721" formatCode="m/d/yyyy">
                  <c:v>42886</c:v>
                </c:pt>
                <c:pt idx="1722" formatCode="m/d/yyyy">
                  <c:v>42885</c:v>
                </c:pt>
                <c:pt idx="1723" formatCode="m/d/yyyy">
                  <c:v>42884</c:v>
                </c:pt>
                <c:pt idx="1724" formatCode="m/d/yyyy">
                  <c:v>42883</c:v>
                </c:pt>
                <c:pt idx="1725" formatCode="m/d/yyyy">
                  <c:v>42882</c:v>
                </c:pt>
                <c:pt idx="1726" formatCode="m/d/yyyy">
                  <c:v>42881</c:v>
                </c:pt>
                <c:pt idx="1727" formatCode="m/d/yyyy">
                  <c:v>42880</c:v>
                </c:pt>
                <c:pt idx="1728" formatCode="m/d/yyyy">
                  <c:v>42879</c:v>
                </c:pt>
                <c:pt idx="1729" formatCode="m/d/yyyy">
                  <c:v>42878</c:v>
                </c:pt>
                <c:pt idx="1730" formatCode="m/d/yyyy">
                  <c:v>42877</c:v>
                </c:pt>
                <c:pt idx="1731" formatCode="m/d/yyyy">
                  <c:v>42876</c:v>
                </c:pt>
                <c:pt idx="1732" formatCode="m/d/yyyy">
                  <c:v>42875</c:v>
                </c:pt>
                <c:pt idx="1733" formatCode="m/d/yyyy">
                  <c:v>42874</c:v>
                </c:pt>
                <c:pt idx="1734" formatCode="m/d/yyyy">
                  <c:v>42873</c:v>
                </c:pt>
                <c:pt idx="1735" formatCode="m/d/yyyy">
                  <c:v>42872</c:v>
                </c:pt>
                <c:pt idx="1736" formatCode="m/d/yyyy">
                  <c:v>42871</c:v>
                </c:pt>
                <c:pt idx="1737" formatCode="m/d/yyyy">
                  <c:v>42870</c:v>
                </c:pt>
                <c:pt idx="1738" formatCode="m/d/yyyy">
                  <c:v>42869</c:v>
                </c:pt>
                <c:pt idx="1739" formatCode="m/d/yyyy">
                  <c:v>42868</c:v>
                </c:pt>
                <c:pt idx="1740" formatCode="m/d/yyyy">
                  <c:v>42867</c:v>
                </c:pt>
                <c:pt idx="1741" formatCode="m/d/yyyy">
                  <c:v>42866</c:v>
                </c:pt>
                <c:pt idx="1742" formatCode="m/d/yyyy">
                  <c:v>42865</c:v>
                </c:pt>
                <c:pt idx="1743" formatCode="m/d/yyyy">
                  <c:v>42864</c:v>
                </c:pt>
                <c:pt idx="1744" formatCode="m/d/yyyy">
                  <c:v>42863</c:v>
                </c:pt>
                <c:pt idx="1745" formatCode="m/d/yyyy">
                  <c:v>42862</c:v>
                </c:pt>
                <c:pt idx="1746" formatCode="m/d/yyyy">
                  <c:v>42861</c:v>
                </c:pt>
                <c:pt idx="1747" formatCode="m/d/yyyy">
                  <c:v>42860</c:v>
                </c:pt>
                <c:pt idx="1748" formatCode="m/d/yyyy">
                  <c:v>42859</c:v>
                </c:pt>
                <c:pt idx="1749" formatCode="m/d/yyyy">
                  <c:v>42858</c:v>
                </c:pt>
                <c:pt idx="1750" formatCode="m/d/yyyy">
                  <c:v>42857</c:v>
                </c:pt>
                <c:pt idx="1751" formatCode="m/d/yyyy">
                  <c:v>42856</c:v>
                </c:pt>
                <c:pt idx="1752" formatCode="m/d/yyyy">
                  <c:v>42855</c:v>
                </c:pt>
                <c:pt idx="1753" formatCode="m/d/yyyy">
                  <c:v>42854</c:v>
                </c:pt>
                <c:pt idx="1754" formatCode="m/d/yyyy">
                  <c:v>42853</c:v>
                </c:pt>
                <c:pt idx="1755" formatCode="m/d/yyyy">
                  <c:v>42852</c:v>
                </c:pt>
                <c:pt idx="1756" formatCode="m/d/yyyy">
                  <c:v>42851</c:v>
                </c:pt>
                <c:pt idx="1757" formatCode="m/d/yyyy">
                  <c:v>42850</c:v>
                </c:pt>
                <c:pt idx="1758" formatCode="m/d/yyyy">
                  <c:v>42849</c:v>
                </c:pt>
                <c:pt idx="1759" formatCode="m/d/yyyy">
                  <c:v>42848</c:v>
                </c:pt>
                <c:pt idx="1760" formatCode="m/d/yyyy">
                  <c:v>42847</c:v>
                </c:pt>
                <c:pt idx="1761" formatCode="m/d/yyyy">
                  <c:v>42846</c:v>
                </c:pt>
                <c:pt idx="1762" formatCode="m/d/yyyy">
                  <c:v>42845</c:v>
                </c:pt>
                <c:pt idx="1763" formatCode="m/d/yyyy">
                  <c:v>42844</c:v>
                </c:pt>
                <c:pt idx="1764" formatCode="m/d/yyyy">
                  <c:v>42843</c:v>
                </c:pt>
                <c:pt idx="1765" formatCode="m/d/yyyy">
                  <c:v>42842</c:v>
                </c:pt>
                <c:pt idx="1766" formatCode="m/d/yyyy">
                  <c:v>42841</c:v>
                </c:pt>
                <c:pt idx="1767" formatCode="m/d/yyyy">
                  <c:v>42840</c:v>
                </c:pt>
                <c:pt idx="1768" formatCode="m/d/yyyy">
                  <c:v>42839</c:v>
                </c:pt>
                <c:pt idx="1769" formatCode="m/d/yyyy">
                  <c:v>42838</c:v>
                </c:pt>
                <c:pt idx="1770" formatCode="m/d/yyyy">
                  <c:v>42837</c:v>
                </c:pt>
                <c:pt idx="1771" formatCode="m/d/yyyy">
                  <c:v>42836</c:v>
                </c:pt>
                <c:pt idx="1772" formatCode="m/d/yyyy">
                  <c:v>42835</c:v>
                </c:pt>
                <c:pt idx="1773" formatCode="m/d/yyyy">
                  <c:v>42834</c:v>
                </c:pt>
                <c:pt idx="1774" formatCode="m/d/yyyy">
                  <c:v>42833</c:v>
                </c:pt>
                <c:pt idx="1775" formatCode="m/d/yyyy">
                  <c:v>42832</c:v>
                </c:pt>
                <c:pt idx="1776" formatCode="m/d/yyyy">
                  <c:v>42831</c:v>
                </c:pt>
                <c:pt idx="1777" formatCode="m/d/yyyy">
                  <c:v>42830</c:v>
                </c:pt>
                <c:pt idx="1778" formatCode="m/d/yyyy">
                  <c:v>42829</c:v>
                </c:pt>
                <c:pt idx="1779" formatCode="m/d/yyyy">
                  <c:v>42828</c:v>
                </c:pt>
                <c:pt idx="1780" formatCode="m/d/yyyy">
                  <c:v>42827</c:v>
                </c:pt>
                <c:pt idx="1781" formatCode="m/d/yyyy">
                  <c:v>42826</c:v>
                </c:pt>
                <c:pt idx="1782" formatCode="m/d/yyyy">
                  <c:v>42825</c:v>
                </c:pt>
                <c:pt idx="1783" formatCode="m/d/yyyy">
                  <c:v>42824</c:v>
                </c:pt>
                <c:pt idx="1784" formatCode="m/d/yyyy">
                  <c:v>42823</c:v>
                </c:pt>
                <c:pt idx="1785" formatCode="m/d/yyyy">
                  <c:v>42822</c:v>
                </c:pt>
                <c:pt idx="1786" formatCode="m/d/yyyy">
                  <c:v>42821</c:v>
                </c:pt>
                <c:pt idx="1787" formatCode="m/d/yyyy">
                  <c:v>42820</c:v>
                </c:pt>
                <c:pt idx="1788" formatCode="m/d/yyyy">
                  <c:v>42819</c:v>
                </c:pt>
                <c:pt idx="1789" formatCode="m/d/yyyy">
                  <c:v>42818</c:v>
                </c:pt>
                <c:pt idx="1790" formatCode="m/d/yyyy">
                  <c:v>42817</c:v>
                </c:pt>
                <c:pt idx="1791" formatCode="m/d/yyyy">
                  <c:v>42816</c:v>
                </c:pt>
                <c:pt idx="1792" formatCode="m/d/yyyy">
                  <c:v>42815</c:v>
                </c:pt>
                <c:pt idx="1793" formatCode="m/d/yyyy">
                  <c:v>42814</c:v>
                </c:pt>
                <c:pt idx="1794" formatCode="m/d/yyyy">
                  <c:v>42813</c:v>
                </c:pt>
                <c:pt idx="1795" formatCode="m/d/yyyy">
                  <c:v>42812</c:v>
                </c:pt>
                <c:pt idx="1796" formatCode="m/d/yyyy">
                  <c:v>42811</c:v>
                </c:pt>
                <c:pt idx="1797" formatCode="m/d/yyyy">
                  <c:v>42810</c:v>
                </c:pt>
                <c:pt idx="1798" formatCode="m/d/yyyy">
                  <c:v>42809</c:v>
                </c:pt>
                <c:pt idx="1799" formatCode="m/d/yyyy">
                  <c:v>42808</c:v>
                </c:pt>
                <c:pt idx="1800" formatCode="m/d/yyyy">
                  <c:v>42807</c:v>
                </c:pt>
                <c:pt idx="1801" formatCode="m/d/yyyy">
                  <c:v>42806</c:v>
                </c:pt>
                <c:pt idx="1802" formatCode="m/d/yyyy">
                  <c:v>42805</c:v>
                </c:pt>
                <c:pt idx="1803" formatCode="m/d/yyyy">
                  <c:v>42804</c:v>
                </c:pt>
                <c:pt idx="1804" formatCode="m/d/yyyy">
                  <c:v>42803</c:v>
                </c:pt>
                <c:pt idx="1805" formatCode="m/d/yyyy">
                  <c:v>42802</c:v>
                </c:pt>
                <c:pt idx="1806" formatCode="m/d/yyyy">
                  <c:v>42801</c:v>
                </c:pt>
                <c:pt idx="1807" formatCode="m/d/yyyy">
                  <c:v>42800</c:v>
                </c:pt>
                <c:pt idx="1808" formatCode="m/d/yyyy">
                  <c:v>42799</c:v>
                </c:pt>
                <c:pt idx="1809" formatCode="m/d/yyyy">
                  <c:v>42798</c:v>
                </c:pt>
                <c:pt idx="1810" formatCode="m/d/yyyy">
                  <c:v>42797</c:v>
                </c:pt>
                <c:pt idx="1811" formatCode="m/d/yyyy">
                  <c:v>42796</c:v>
                </c:pt>
                <c:pt idx="1812" formatCode="m/d/yyyy">
                  <c:v>42795</c:v>
                </c:pt>
                <c:pt idx="1813" formatCode="m/d/yyyy">
                  <c:v>42794</c:v>
                </c:pt>
                <c:pt idx="1814" formatCode="m/d/yyyy">
                  <c:v>42793</c:v>
                </c:pt>
                <c:pt idx="1815" formatCode="m/d/yyyy">
                  <c:v>42792</c:v>
                </c:pt>
                <c:pt idx="1816" formatCode="m/d/yyyy">
                  <c:v>42791</c:v>
                </c:pt>
                <c:pt idx="1817" formatCode="m/d/yyyy">
                  <c:v>42790</c:v>
                </c:pt>
                <c:pt idx="1818" formatCode="m/d/yyyy">
                  <c:v>42789</c:v>
                </c:pt>
                <c:pt idx="1819" formatCode="m/d/yyyy">
                  <c:v>42788</c:v>
                </c:pt>
                <c:pt idx="1820" formatCode="m/d/yyyy">
                  <c:v>42787</c:v>
                </c:pt>
                <c:pt idx="1821" formatCode="m/d/yyyy">
                  <c:v>42786</c:v>
                </c:pt>
                <c:pt idx="1822" formatCode="m/d/yyyy">
                  <c:v>42785</c:v>
                </c:pt>
                <c:pt idx="1823" formatCode="m/d/yyyy">
                  <c:v>42784</c:v>
                </c:pt>
                <c:pt idx="1824" formatCode="m/d/yyyy">
                  <c:v>42783</c:v>
                </c:pt>
                <c:pt idx="1825" formatCode="m/d/yyyy">
                  <c:v>42782</c:v>
                </c:pt>
                <c:pt idx="1826" formatCode="m/d/yyyy">
                  <c:v>42781</c:v>
                </c:pt>
              </c:numCache>
            </c:numRef>
          </c:cat>
          <c:val>
            <c:numRef>
              <c:f>Indexed!$J$4:$J$1830</c:f>
              <c:numCache>
                <c:formatCode>0</c:formatCode>
                <c:ptCount val="1827"/>
                <c:pt idx="0">
                  <c:v>0</c:v>
                </c:pt>
                <c:pt idx="1">
                  <c:v>236.98017335001308</c:v>
                </c:pt>
                <c:pt idx="2">
                  <c:v>236.98421153925463</c:v>
                </c:pt>
                <c:pt idx="3">
                  <c:v>236.98421153925463</c:v>
                </c:pt>
                <c:pt idx="4">
                  <c:v>236.98421153925463</c:v>
                </c:pt>
                <c:pt idx="5">
                  <c:v>243.76299094070907</c:v>
                </c:pt>
                <c:pt idx="6">
                  <c:v>248.9994398086414</c:v>
                </c:pt>
                <c:pt idx="7">
                  <c:v>243.91444881294419</c:v>
                </c:pt>
                <c:pt idx="8">
                  <c:v>240.84221162173679</c:v>
                </c:pt>
                <c:pt idx="9">
                  <c:v>242.25710721306518</c:v>
                </c:pt>
                <c:pt idx="10">
                  <c:v>242.25710721306518</c:v>
                </c:pt>
                <c:pt idx="11">
                  <c:v>242.25710721306518</c:v>
                </c:pt>
                <c:pt idx="12">
                  <c:v>238.49061078041873</c:v>
                </c:pt>
                <c:pt idx="13">
                  <c:v>247.74801355456884</c:v>
                </c:pt>
                <c:pt idx="14">
                  <c:v>246.51861691159289</c:v>
                </c:pt>
                <c:pt idx="15">
                  <c:v>244.69507375280097</c:v>
                </c:pt>
                <c:pt idx="16">
                  <c:v>236.63055208061257</c:v>
                </c:pt>
                <c:pt idx="17">
                  <c:v>236.63055208061257</c:v>
                </c:pt>
                <c:pt idx="18">
                  <c:v>236.63055208061257</c:v>
                </c:pt>
                <c:pt idx="19">
                  <c:v>229.45133896044982</c:v>
                </c:pt>
                <c:pt idx="20">
                  <c:v>232.70484788914399</c:v>
                </c:pt>
                <c:pt idx="21">
                  <c:v>232.65632088310903</c:v>
                </c:pt>
                <c:pt idx="22">
                  <c:v>238.08354412108383</c:v>
                </c:pt>
                <c:pt idx="23">
                  <c:v>236.60218165321751</c:v>
                </c:pt>
                <c:pt idx="24">
                  <c:v>236.60218165321751</c:v>
                </c:pt>
                <c:pt idx="25">
                  <c:v>236.60218165321751</c:v>
                </c:pt>
                <c:pt idx="26">
                  <c:v>243.21962250663299</c:v>
                </c:pt>
                <c:pt idx="27">
                  <c:v>246.41984452112231</c:v>
                </c:pt>
                <c:pt idx="28">
                  <c:v>249.28338465556826</c:v>
                </c:pt>
                <c:pt idx="29">
                  <c:v>255.9310346012675</c:v>
                </c:pt>
                <c:pt idx="30">
                  <c:v>255.9310346012675</c:v>
                </c:pt>
                <c:pt idx="31">
                  <c:v>255.9310346012675</c:v>
                </c:pt>
                <c:pt idx="32">
                  <c:v>255.9310346012675</c:v>
                </c:pt>
                <c:pt idx="33">
                  <c:v>254.43705923594021</c:v>
                </c:pt>
                <c:pt idx="34">
                  <c:v>260.99404753722013</c:v>
                </c:pt>
                <c:pt idx="35">
                  <c:v>260.39359457267369</c:v>
                </c:pt>
                <c:pt idx="36">
                  <c:v>256.77432880139668</c:v>
                </c:pt>
                <c:pt idx="37">
                  <c:v>256.65531391336629</c:v>
                </c:pt>
                <c:pt idx="38">
                  <c:v>256.65531391336629</c:v>
                </c:pt>
                <c:pt idx="39">
                  <c:v>256.65531391336629</c:v>
                </c:pt>
                <c:pt idx="40">
                  <c:v>259.14632679433078</c:v>
                </c:pt>
                <c:pt idx="41">
                  <c:v>259.4781284797163</c:v>
                </c:pt>
                <c:pt idx="42">
                  <c:v>268.4574117097178</c:v>
                </c:pt>
                <c:pt idx="43">
                  <c:v>272.06739823763115</c:v>
                </c:pt>
                <c:pt idx="44">
                  <c:v>268.83980245521906</c:v>
                </c:pt>
                <c:pt idx="45">
                  <c:v>268.83980245521906</c:v>
                </c:pt>
                <c:pt idx="46">
                  <c:v>268.83980245521906</c:v>
                </c:pt>
                <c:pt idx="47">
                  <c:v>270.49963570377906</c:v>
                </c:pt>
                <c:pt idx="48">
                  <c:v>270.92325034711246</c:v>
                </c:pt>
                <c:pt idx="49">
                  <c:v>271.18971928570448</c:v>
                </c:pt>
                <c:pt idx="50">
                  <c:v>272.72833812188117</c:v>
                </c:pt>
                <c:pt idx="51">
                  <c:v>268.98419779222746</c:v>
                </c:pt>
                <c:pt idx="52">
                  <c:v>268.98419779222746</c:v>
                </c:pt>
                <c:pt idx="53">
                  <c:v>268.98419779222746</c:v>
                </c:pt>
                <c:pt idx="54">
                  <c:v>268.98419779222746</c:v>
                </c:pt>
                <c:pt idx="55">
                  <c:v>266.72483950345736</c:v>
                </c:pt>
                <c:pt idx="56">
                  <c:v>263.61792543612444</c:v>
                </c:pt>
                <c:pt idx="57">
                  <c:v>257.42930591259642</c:v>
                </c:pt>
                <c:pt idx="58">
                  <c:v>260.67253893845458</c:v>
                </c:pt>
                <c:pt idx="59">
                  <c:v>260.67253893845458</c:v>
                </c:pt>
                <c:pt idx="60">
                  <c:v>260.67253893845458</c:v>
                </c:pt>
                <c:pt idx="61">
                  <c:v>260.85731616787871</c:v>
                </c:pt>
                <c:pt idx="62">
                  <c:v>267.47561621049448</c:v>
                </c:pt>
                <c:pt idx="63">
                  <c:v>261.84031453198247</c:v>
                </c:pt>
                <c:pt idx="64">
                  <c:v>264.85850872248875</c:v>
                </c:pt>
                <c:pt idx="65">
                  <c:v>268.59287147904269</c:v>
                </c:pt>
                <c:pt idx="66">
                  <c:v>268.59287147904269</c:v>
                </c:pt>
                <c:pt idx="67">
                  <c:v>268.59287147904269</c:v>
                </c:pt>
                <c:pt idx="68">
                  <c:v>266.64713443217909</c:v>
                </c:pt>
                <c:pt idx="69">
                  <c:v>271.28019190849983</c:v>
                </c:pt>
                <c:pt idx="70">
                  <c:v>269.56057627538047</c:v>
                </c:pt>
                <c:pt idx="71">
                  <c:v>261.6257234373067</c:v>
                </c:pt>
                <c:pt idx="72">
                  <c:v>259.22549248724965</c:v>
                </c:pt>
                <c:pt idx="73">
                  <c:v>259.22549248724965</c:v>
                </c:pt>
                <c:pt idx="74">
                  <c:v>259.22549248724965</c:v>
                </c:pt>
                <c:pt idx="75">
                  <c:v>264.3092806180664</c:v>
                </c:pt>
                <c:pt idx="76">
                  <c:v>262.12233479510058</c:v>
                </c:pt>
                <c:pt idx="77">
                  <c:v>266.99632610697938</c:v>
                </c:pt>
                <c:pt idx="78">
                  <c:v>271.20881046973597</c:v>
                </c:pt>
                <c:pt idx="79">
                  <c:v>266.20528779401457</c:v>
                </c:pt>
                <c:pt idx="80">
                  <c:v>266.20528779401457</c:v>
                </c:pt>
                <c:pt idx="81">
                  <c:v>266.20528779401457</c:v>
                </c:pt>
                <c:pt idx="82">
                  <c:v>272.2809411214825</c:v>
                </c:pt>
                <c:pt idx="83">
                  <c:v>272.2809411214825</c:v>
                </c:pt>
                <c:pt idx="84">
                  <c:v>271.07656406802033</c:v>
                </c:pt>
                <c:pt idx="85">
                  <c:v>272.44471976685043</c:v>
                </c:pt>
                <c:pt idx="86">
                  <c:v>275.92752910933012</c:v>
                </c:pt>
                <c:pt idx="87">
                  <c:v>275.92752910933012</c:v>
                </c:pt>
                <c:pt idx="88">
                  <c:v>275.92752910933012</c:v>
                </c:pt>
                <c:pt idx="89">
                  <c:v>274.83245810593456</c:v>
                </c:pt>
                <c:pt idx="90">
                  <c:v>273.59283711147464</c:v>
                </c:pt>
                <c:pt idx="91">
                  <c:v>274.4912740744814</c:v>
                </c:pt>
                <c:pt idx="92">
                  <c:v>272.42906533962031</c:v>
                </c:pt>
                <c:pt idx="93">
                  <c:v>272.55127641147607</c:v>
                </c:pt>
                <c:pt idx="94">
                  <c:v>272.55127641147607</c:v>
                </c:pt>
                <c:pt idx="95">
                  <c:v>272.55127641147607</c:v>
                </c:pt>
                <c:pt idx="96">
                  <c:v>269.85897268465698</c:v>
                </c:pt>
                <c:pt idx="97">
                  <c:v>268.45718832052569</c:v>
                </c:pt>
                <c:pt idx="98">
                  <c:v>272.99092352528771</c:v>
                </c:pt>
                <c:pt idx="99">
                  <c:v>274.63737060610646</c:v>
                </c:pt>
                <c:pt idx="100">
                  <c:v>274.45231843613823</c:v>
                </c:pt>
                <c:pt idx="101">
                  <c:v>274.45231843613823</c:v>
                </c:pt>
                <c:pt idx="102">
                  <c:v>274.45231843613823</c:v>
                </c:pt>
                <c:pt idx="103">
                  <c:v>273.91480967240835</c:v>
                </c:pt>
                <c:pt idx="104">
                  <c:v>271.70284425992884</c:v>
                </c:pt>
                <c:pt idx="105">
                  <c:v>268.91939774273811</c:v>
                </c:pt>
                <c:pt idx="106">
                  <c:v>267.996834746986</c:v>
                </c:pt>
                <c:pt idx="107">
                  <c:v>266.32095184416374</c:v>
                </c:pt>
                <c:pt idx="108">
                  <c:v>266.32095184416374</c:v>
                </c:pt>
                <c:pt idx="109">
                  <c:v>266.32095184416374</c:v>
                </c:pt>
                <c:pt idx="110">
                  <c:v>265.4571230221465</c:v>
                </c:pt>
                <c:pt idx="111">
                  <c:v>261.80934935320238</c:v>
                </c:pt>
                <c:pt idx="112">
                  <c:v>261.80723574776954</c:v>
                </c:pt>
                <c:pt idx="113">
                  <c:v>261.65242703765313</c:v>
                </c:pt>
                <c:pt idx="114">
                  <c:v>259.30673741803338</c:v>
                </c:pt>
                <c:pt idx="115">
                  <c:v>259.30673741803338</c:v>
                </c:pt>
                <c:pt idx="116">
                  <c:v>259.30673741803338</c:v>
                </c:pt>
                <c:pt idx="117">
                  <c:v>261.46330231087529</c:v>
                </c:pt>
                <c:pt idx="118">
                  <c:v>259.84764857099651</c:v>
                </c:pt>
                <c:pt idx="119">
                  <c:v>259.97501477805429</c:v>
                </c:pt>
                <c:pt idx="120">
                  <c:v>258.13152124603056</c:v>
                </c:pt>
                <c:pt idx="121">
                  <c:v>255.99267283449959</c:v>
                </c:pt>
                <c:pt idx="122">
                  <c:v>255.99267283449959</c:v>
                </c:pt>
                <c:pt idx="123">
                  <c:v>255.99267283449959</c:v>
                </c:pt>
                <c:pt idx="124">
                  <c:v>254.72260217477972</c:v>
                </c:pt>
                <c:pt idx="125">
                  <c:v>250.39582846459453</c:v>
                </c:pt>
                <c:pt idx="126">
                  <c:v>248.57933065724538</c:v>
                </c:pt>
                <c:pt idx="127">
                  <c:v>248.92773187798142</c:v>
                </c:pt>
                <c:pt idx="128">
                  <c:v>250.53161472581556</c:v>
                </c:pt>
                <c:pt idx="129">
                  <c:v>250.53161472581556</c:v>
                </c:pt>
                <c:pt idx="130">
                  <c:v>250.53161472581556</c:v>
                </c:pt>
                <c:pt idx="131">
                  <c:v>251.81144577485122</c:v>
                </c:pt>
                <c:pt idx="132">
                  <c:v>249.19770630851082</c:v>
                </c:pt>
                <c:pt idx="133">
                  <c:v>248.02781710955006</c:v>
                </c:pt>
                <c:pt idx="134">
                  <c:v>244.96317515087367</c:v>
                </c:pt>
                <c:pt idx="135">
                  <c:v>250.31097493916943</c:v>
                </c:pt>
                <c:pt idx="136">
                  <c:v>250.31097493916943</c:v>
                </c:pt>
                <c:pt idx="137">
                  <c:v>250.31097493916943</c:v>
                </c:pt>
                <c:pt idx="138">
                  <c:v>248.28129510743304</c:v>
                </c:pt>
                <c:pt idx="139">
                  <c:v>249.37865155410145</c:v>
                </c:pt>
                <c:pt idx="140">
                  <c:v>249.96705868605918</c:v>
                </c:pt>
                <c:pt idx="141">
                  <c:v>257.24073106690679</c:v>
                </c:pt>
                <c:pt idx="142">
                  <c:v>258.57640941396426</c:v>
                </c:pt>
                <c:pt idx="143">
                  <c:v>258.57640941396426</c:v>
                </c:pt>
                <c:pt idx="144">
                  <c:v>258.57640941396426</c:v>
                </c:pt>
                <c:pt idx="145">
                  <c:v>258.65450971227472</c:v>
                </c:pt>
                <c:pt idx="146">
                  <c:v>255.98420122898426</c:v>
                </c:pt>
                <c:pt idx="147">
                  <c:v>253.39891810895895</c:v>
                </c:pt>
                <c:pt idx="148">
                  <c:v>252.84053104766096</c:v>
                </c:pt>
                <c:pt idx="149">
                  <c:v>258.51229671583525</c:v>
                </c:pt>
                <c:pt idx="150">
                  <c:v>258.51229671583525</c:v>
                </c:pt>
                <c:pt idx="151">
                  <c:v>258.51229671583525</c:v>
                </c:pt>
                <c:pt idx="152">
                  <c:v>260.88290282226473</c:v>
                </c:pt>
                <c:pt idx="153">
                  <c:v>260.53243954744789</c:v>
                </c:pt>
                <c:pt idx="154">
                  <c:v>258.40560260093753</c:v>
                </c:pt>
                <c:pt idx="155">
                  <c:v>259.57105838362457</c:v>
                </c:pt>
                <c:pt idx="156">
                  <c:v>259.74138405069908</c:v>
                </c:pt>
                <c:pt idx="157">
                  <c:v>259.74138405069908</c:v>
                </c:pt>
                <c:pt idx="158">
                  <c:v>259.74138405069908</c:v>
                </c:pt>
                <c:pt idx="159">
                  <c:v>262.02270321542971</c:v>
                </c:pt>
                <c:pt idx="160">
                  <c:v>262.68226839695916</c:v>
                </c:pt>
                <c:pt idx="161">
                  <c:v>264.18911441650744</c:v>
                </c:pt>
                <c:pt idx="162">
                  <c:v>264.00334052761087</c:v>
                </c:pt>
                <c:pt idx="163">
                  <c:v>264.00334052761087</c:v>
                </c:pt>
                <c:pt idx="164">
                  <c:v>264.00334052761087</c:v>
                </c:pt>
                <c:pt idx="165">
                  <c:v>264.00334052761087</c:v>
                </c:pt>
                <c:pt idx="166">
                  <c:v>263.44763413661798</c:v>
                </c:pt>
                <c:pt idx="167">
                  <c:v>263.07309638040772</c:v>
                </c:pt>
                <c:pt idx="168">
                  <c:v>262.21139834760737</c:v>
                </c:pt>
                <c:pt idx="169">
                  <c:v>262.32575643017196</c:v>
                </c:pt>
                <c:pt idx="170">
                  <c:v>259.98207731328102</c:v>
                </c:pt>
                <c:pt idx="171">
                  <c:v>259.98207731328102</c:v>
                </c:pt>
                <c:pt idx="172">
                  <c:v>259.98207731328102</c:v>
                </c:pt>
                <c:pt idx="173">
                  <c:v>256.82551929395271</c:v>
                </c:pt>
                <c:pt idx="174">
                  <c:v>258.47605611536505</c:v>
                </c:pt>
                <c:pt idx="175">
                  <c:v>258.09699902396108</c:v>
                </c:pt>
                <c:pt idx="176">
                  <c:v>256.77130445541155</c:v>
                </c:pt>
                <c:pt idx="177">
                  <c:v>252.85359072350607</c:v>
                </c:pt>
                <c:pt idx="178">
                  <c:v>252.85359072350607</c:v>
                </c:pt>
                <c:pt idx="179">
                  <c:v>252.85359072350607</c:v>
                </c:pt>
                <c:pt idx="180">
                  <c:v>249.88294406334632</c:v>
                </c:pt>
                <c:pt idx="181">
                  <c:v>249.61016867602385</c:v>
                </c:pt>
                <c:pt idx="182">
                  <c:v>251.84864866722575</c:v>
                </c:pt>
                <c:pt idx="183">
                  <c:v>254.21281085465273</c:v>
                </c:pt>
                <c:pt idx="184">
                  <c:v>254.71347758547216</c:v>
                </c:pt>
                <c:pt idx="185">
                  <c:v>254.71347758547216</c:v>
                </c:pt>
                <c:pt idx="186">
                  <c:v>254.71347758547216</c:v>
                </c:pt>
                <c:pt idx="187">
                  <c:v>254.59944599480363</c:v>
                </c:pt>
                <c:pt idx="188">
                  <c:v>253.72089066989267</c:v>
                </c:pt>
                <c:pt idx="189">
                  <c:v>254.11529288041464</c:v>
                </c:pt>
                <c:pt idx="190">
                  <c:v>255.35407186945824</c:v>
                </c:pt>
                <c:pt idx="191">
                  <c:v>254.93452978293445</c:v>
                </c:pt>
                <c:pt idx="192">
                  <c:v>254.93452978293445</c:v>
                </c:pt>
                <c:pt idx="193">
                  <c:v>254.93452978293445</c:v>
                </c:pt>
                <c:pt idx="194">
                  <c:v>255.95447328265263</c:v>
                </c:pt>
                <c:pt idx="195">
                  <c:v>253.98548657602794</c:v>
                </c:pt>
                <c:pt idx="196">
                  <c:v>253.6549049393069</c:v>
                </c:pt>
                <c:pt idx="197">
                  <c:v>252.27631868358466</c:v>
                </c:pt>
                <c:pt idx="198">
                  <c:v>252.13212955198441</c:v>
                </c:pt>
                <c:pt idx="199">
                  <c:v>252.13212955198441</c:v>
                </c:pt>
                <c:pt idx="200">
                  <c:v>252.13212955198441</c:v>
                </c:pt>
                <c:pt idx="201">
                  <c:v>253.94649657011672</c:v>
                </c:pt>
                <c:pt idx="202">
                  <c:v>253.67705483689153</c:v>
                </c:pt>
                <c:pt idx="203">
                  <c:v>251.92417139793523</c:v>
                </c:pt>
                <c:pt idx="204">
                  <c:v>255.01960669755169</c:v>
                </c:pt>
                <c:pt idx="205">
                  <c:v>254.9556486534787</c:v>
                </c:pt>
                <c:pt idx="206">
                  <c:v>254.9556486534787</c:v>
                </c:pt>
                <c:pt idx="207">
                  <c:v>254.9556486534787</c:v>
                </c:pt>
                <c:pt idx="208">
                  <c:v>252.33694307356035</c:v>
                </c:pt>
                <c:pt idx="209">
                  <c:v>251.4323371320952</c:v>
                </c:pt>
                <c:pt idx="210">
                  <c:v>249.14558789161845</c:v>
                </c:pt>
                <c:pt idx="211">
                  <c:v>245.29824175522043</c:v>
                </c:pt>
                <c:pt idx="212">
                  <c:v>247.91452442159385</c:v>
                </c:pt>
                <c:pt idx="213">
                  <c:v>247.91452442159385</c:v>
                </c:pt>
                <c:pt idx="214">
                  <c:v>247.91452442159385</c:v>
                </c:pt>
                <c:pt idx="215">
                  <c:v>249.90605625283533</c:v>
                </c:pt>
                <c:pt idx="216">
                  <c:v>251.65569195661436</c:v>
                </c:pt>
                <c:pt idx="217">
                  <c:v>252.2176360612018</c:v>
                </c:pt>
                <c:pt idx="218">
                  <c:v>253.17281387899868</c:v>
                </c:pt>
                <c:pt idx="219">
                  <c:v>252.63460058012456</c:v>
                </c:pt>
                <c:pt idx="220">
                  <c:v>252.63460058012456</c:v>
                </c:pt>
                <c:pt idx="221">
                  <c:v>252.63460058012456</c:v>
                </c:pt>
                <c:pt idx="222">
                  <c:v>250.19220062411506</c:v>
                </c:pt>
                <c:pt idx="223">
                  <c:v>252.00127503677331</c:v>
                </c:pt>
                <c:pt idx="224">
                  <c:v>251.97682251213175</c:v>
                </c:pt>
                <c:pt idx="225">
                  <c:v>251.55899880400864</c:v>
                </c:pt>
                <c:pt idx="226">
                  <c:v>251.55899880400864</c:v>
                </c:pt>
                <c:pt idx="227">
                  <c:v>251.55899880400864</c:v>
                </c:pt>
                <c:pt idx="228">
                  <c:v>251.55899880400864</c:v>
                </c:pt>
                <c:pt idx="229">
                  <c:v>249.54937244820812</c:v>
                </c:pt>
                <c:pt idx="230">
                  <c:v>249.23279559545247</c:v>
                </c:pt>
                <c:pt idx="231">
                  <c:v>249.65177061710406</c:v>
                </c:pt>
                <c:pt idx="232">
                  <c:v>249.1735974595494</c:v>
                </c:pt>
                <c:pt idx="233">
                  <c:v>246.76580564452939</c:v>
                </c:pt>
                <c:pt idx="234">
                  <c:v>246.76580564452939</c:v>
                </c:pt>
                <c:pt idx="235">
                  <c:v>246.76580564452939</c:v>
                </c:pt>
                <c:pt idx="236">
                  <c:v>246.92597569525594</c:v>
                </c:pt>
                <c:pt idx="237">
                  <c:v>245.24237727341466</c:v>
                </c:pt>
                <c:pt idx="238">
                  <c:v>244.92507870173074</c:v>
                </c:pt>
                <c:pt idx="239">
                  <c:v>243.00413785518882</c:v>
                </c:pt>
                <c:pt idx="240">
                  <c:v>241.09495071690748</c:v>
                </c:pt>
                <c:pt idx="241">
                  <c:v>241.09495071690748</c:v>
                </c:pt>
                <c:pt idx="242">
                  <c:v>241.09495071690748</c:v>
                </c:pt>
                <c:pt idx="243">
                  <c:v>243.34557964340212</c:v>
                </c:pt>
                <c:pt idx="244">
                  <c:v>241.25489737844191</c:v>
                </c:pt>
                <c:pt idx="245">
                  <c:v>241.82491786151249</c:v>
                </c:pt>
                <c:pt idx="246">
                  <c:v>243.56541179219997</c:v>
                </c:pt>
                <c:pt idx="247">
                  <c:v>241.76592593101748</c:v>
                </c:pt>
                <c:pt idx="248">
                  <c:v>241.76592593101748</c:v>
                </c:pt>
                <c:pt idx="249">
                  <c:v>241.76592593101748</c:v>
                </c:pt>
                <c:pt idx="250">
                  <c:v>240.92237397412811</c:v>
                </c:pt>
                <c:pt idx="251">
                  <c:v>239.05650715532767</c:v>
                </c:pt>
                <c:pt idx="252">
                  <c:v>239.28266293663998</c:v>
                </c:pt>
                <c:pt idx="253">
                  <c:v>238.54049530539024</c:v>
                </c:pt>
                <c:pt idx="254">
                  <c:v>237.38519513905118</c:v>
                </c:pt>
                <c:pt idx="255">
                  <c:v>237.38519513905118</c:v>
                </c:pt>
                <c:pt idx="256">
                  <c:v>237.38519513905118</c:v>
                </c:pt>
                <c:pt idx="257">
                  <c:v>233.94874764582161</c:v>
                </c:pt>
                <c:pt idx="258">
                  <c:v>236.38575189365301</c:v>
                </c:pt>
                <c:pt idx="259">
                  <c:v>236.04467096490382</c:v>
                </c:pt>
                <c:pt idx="260">
                  <c:v>236.25536134061011</c:v>
                </c:pt>
                <c:pt idx="261">
                  <c:v>236.25536134061011</c:v>
                </c:pt>
                <c:pt idx="262">
                  <c:v>236.25536134061011</c:v>
                </c:pt>
                <c:pt idx="263">
                  <c:v>236.25536134061011</c:v>
                </c:pt>
                <c:pt idx="264">
                  <c:v>236.04119984053452</c:v>
                </c:pt>
                <c:pt idx="265">
                  <c:v>236.07075594902605</c:v>
                </c:pt>
                <c:pt idx="266">
                  <c:v>234.68192815803584</c:v>
                </c:pt>
                <c:pt idx="267">
                  <c:v>234.75059455892665</c:v>
                </c:pt>
                <c:pt idx="268">
                  <c:v>231.48258251653081</c:v>
                </c:pt>
                <c:pt idx="269">
                  <c:v>231.48258251653081</c:v>
                </c:pt>
                <c:pt idx="270">
                  <c:v>231.48258251653081</c:v>
                </c:pt>
                <c:pt idx="271">
                  <c:v>232.59523253096521</c:v>
                </c:pt>
                <c:pt idx="272">
                  <c:v>228.53985950538197</c:v>
                </c:pt>
                <c:pt idx="273">
                  <c:v>228.60687626300816</c:v>
                </c:pt>
                <c:pt idx="274">
                  <c:v>229.902705414954</c:v>
                </c:pt>
                <c:pt idx="275">
                  <c:v>230.7778755344157</c:v>
                </c:pt>
                <c:pt idx="276">
                  <c:v>230.7778755344157</c:v>
                </c:pt>
                <c:pt idx="277">
                  <c:v>230.7778755344157</c:v>
                </c:pt>
                <c:pt idx="278">
                  <c:v>225.53699325020963</c:v>
                </c:pt>
                <c:pt idx="279">
                  <c:v>223.93357436454369</c:v>
                </c:pt>
                <c:pt idx="280">
                  <c:v>230.08107309294368</c:v>
                </c:pt>
                <c:pt idx="281">
                  <c:v>230.29466752814707</c:v>
                </c:pt>
                <c:pt idx="282">
                  <c:v>236.3155217684176</c:v>
                </c:pt>
                <c:pt idx="283">
                  <c:v>236.3155217684176</c:v>
                </c:pt>
                <c:pt idx="284">
                  <c:v>236.3155217684176</c:v>
                </c:pt>
                <c:pt idx="285">
                  <c:v>234.26377795801662</c:v>
                </c:pt>
                <c:pt idx="286">
                  <c:v>233.39737156839834</c:v>
                </c:pt>
                <c:pt idx="287">
                  <c:v>234.27511925546102</c:v>
                </c:pt>
                <c:pt idx="288">
                  <c:v>238.77074082729615</c:v>
                </c:pt>
                <c:pt idx="289">
                  <c:v>239.93167727478934</c:v>
                </c:pt>
                <c:pt idx="290">
                  <c:v>239.93167727478934</c:v>
                </c:pt>
                <c:pt idx="291">
                  <c:v>239.93167727478934</c:v>
                </c:pt>
                <c:pt idx="292">
                  <c:v>241.99149746367348</c:v>
                </c:pt>
                <c:pt idx="293">
                  <c:v>241.44986459178205</c:v>
                </c:pt>
                <c:pt idx="294">
                  <c:v>242.12329708700494</c:v>
                </c:pt>
                <c:pt idx="295">
                  <c:v>242.95774163837072</c:v>
                </c:pt>
                <c:pt idx="296">
                  <c:v>240.86183550307246</c:v>
                </c:pt>
                <c:pt idx="297">
                  <c:v>240.86183550307246</c:v>
                </c:pt>
                <c:pt idx="298">
                  <c:v>240.86183550307246</c:v>
                </c:pt>
                <c:pt idx="299">
                  <c:v>237.45257275614148</c:v>
                </c:pt>
                <c:pt idx="300">
                  <c:v>239.71756732606573</c:v>
                </c:pt>
                <c:pt idx="301">
                  <c:v>236.90028593816587</c:v>
                </c:pt>
                <c:pt idx="302">
                  <c:v>239.10840218302795</c:v>
                </c:pt>
                <c:pt idx="303">
                  <c:v>241.47237534883081</c:v>
                </c:pt>
                <c:pt idx="304">
                  <c:v>241.47237534883081</c:v>
                </c:pt>
                <c:pt idx="305">
                  <c:v>241.47237534883081</c:v>
                </c:pt>
                <c:pt idx="306">
                  <c:v>241.23901956201971</c:v>
                </c:pt>
                <c:pt idx="307">
                  <c:v>238.13012935952602</c:v>
                </c:pt>
                <c:pt idx="308">
                  <c:v>240.50595933629353</c:v>
                </c:pt>
                <c:pt idx="309">
                  <c:v>237.99540849291341</c:v>
                </c:pt>
                <c:pt idx="310">
                  <c:v>238.85786261221011</c:v>
                </c:pt>
                <c:pt idx="311">
                  <c:v>238.85786261221011</c:v>
                </c:pt>
                <c:pt idx="312">
                  <c:v>238.85786261221011</c:v>
                </c:pt>
                <c:pt idx="313">
                  <c:v>237.63987600181463</c:v>
                </c:pt>
                <c:pt idx="314">
                  <c:v>235.22606986239231</c:v>
                </c:pt>
                <c:pt idx="315">
                  <c:v>235.39000316181625</c:v>
                </c:pt>
                <c:pt idx="316">
                  <c:v>235.51389824450465</c:v>
                </c:pt>
                <c:pt idx="317">
                  <c:v>231.63929862667203</c:v>
                </c:pt>
                <c:pt idx="318">
                  <c:v>231.63929862667203</c:v>
                </c:pt>
                <c:pt idx="319">
                  <c:v>231.63929862667203</c:v>
                </c:pt>
                <c:pt idx="320">
                  <c:v>231.63929862667203</c:v>
                </c:pt>
                <c:pt idx="321">
                  <c:v>227.63135284494732</c:v>
                </c:pt>
                <c:pt idx="322">
                  <c:v>224.16916404327566</c:v>
                </c:pt>
                <c:pt idx="323">
                  <c:v>224.41420480321131</c:v>
                </c:pt>
                <c:pt idx="324">
                  <c:v>225.77292660462174</c:v>
                </c:pt>
                <c:pt idx="325">
                  <c:v>225.77292660462174</c:v>
                </c:pt>
                <c:pt idx="326">
                  <c:v>225.77292660462174</c:v>
                </c:pt>
                <c:pt idx="327">
                  <c:v>223.00565002818144</c:v>
                </c:pt>
                <c:pt idx="328">
                  <c:v>222.73431807871549</c:v>
                </c:pt>
                <c:pt idx="329">
                  <c:v>227.3019397055387</c:v>
                </c:pt>
                <c:pt idx="330">
                  <c:v>229.87675790110393</c:v>
                </c:pt>
                <c:pt idx="331">
                  <c:v>227.08782975681513</c:v>
                </c:pt>
                <c:pt idx="332">
                  <c:v>227.08782975681513</c:v>
                </c:pt>
                <c:pt idx="333">
                  <c:v>227.08782975681513</c:v>
                </c:pt>
                <c:pt idx="334">
                  <c:v>225.38543227527049</c:v>
                </c:pt>
                <c:pt idx="335">
                  <c:v>232.4141154475345</c:v>
                </c:pt>
                <c:pt idx="336">
                  <c:v>231.49254911125473</c:v>
                </c:pt>
                <c:pt idx="337">
                  <c:v>231.28874943293511</c:v>
                </c:pt>
                <c:pt idx="338">
                  <c:v>228.88559723959699</c:v>
                </c:pt>
                <c:pt idx="339">
                  <c:v>228.88559723959699</c:v>
                </c:pt>
                <c:pt idx="340">
                  <c:v>228.88559723959699</c:v>
                </c:pt>
                <c:pt idx="341">
                  <c:v>230.23985125716564</c:v>
                </c:pt>
                <c:pt idx="342">
                  <c:v>224.57195194039289</c:v>
                </c:pt>
                <c:pt idx="343">
                  <c:v>224.65769902258637</c:v>
                </c:pt>
                <c:pt idx="344">
                  <c:v>216.67308194602919</c:v>
                </c:pt>
                <c:pt idx="345">
                  <c:v>222.01706693427545</c:v>
                </c:pt>
                <c:pt idx="346">
                  <c:v>222.01706693427545</c:v>
                </c:pt>
                <c:pt idx="347">
                  <c:v>222.01706693427545</c:v>
                </c:pt>
                <c:pt idx="348">
                  <c:v>218.63736029583603</c:v>
                </c:pt>
                <c:pt idx="349">
                  <c:v>223.35052857319607</c:v>
                </c:pt>
                <c:pt idx="350">
                  <c:v>229.55456195097815</c:v>
                </c:pt>
                <c:pt idx="351">
                  <c:v>233.50751962388134</c:v>
                </c:pt>
                <c:pt idx="352">
                  <c:v>226.69449294090157</c:v>
                </c:pt>
                <c:pt idx="353">
                  <c:v>226.69449294090157</c:v>
                </c:pt>
                <c:pt idx="354">
                  <c:v>226.69449294090157</c:v>
                </c:pt>
                <c:pt idx="355">
                  <c:v>225.44145141113233</c:v>
                </c:pt>
                <c:pt idx="356">
                  <c:v>233.66457940970267</c:v>
                </c:pt>
                <c:pt idx="357">
                  <c:v>231.38308840713199</c:v>
                </c:pt>
                <c:pt idx="358">
                  <c:v>232.54900815198715</c:v>
                </c:pt>
                <c:pt idx="359">
                  <c:v>238.41589568755759</c:v>
                </c:pt>
                <c:pt idx="360">
                  <c:v>238.41589568755759</c:v>
                </c:pt>
                <c:pt idx="361">
                  <c:v>238.41589568755759</c:v>
                </c:pt>
                <c:pt idx="362">
                  <c:v>238.25928268012041</c:v>
                </c:pt>
                <c:pt idx="363">
                  <c:v>239.98013554568826</c:v>
                </c:pt>
                <c:pt idx="364">
                  <c:v>241.38920583423834</c:v>
                </c:pt>
                <c:pt idx="365">
                  <c:v>242.21351195304015</c:v>
                </c:pt>
                <c:pt idx="366">
                  <c:v>242.21351195304015</c:v>
                </c:pt>
                <c:pt idx="367">
                  <c:v>242.21351195304015</c:v>
                </c:pt>
                <c:pt idx="368">
                  <c:v>242.21351195304015</c:v>
                </c:pt>
                <c:pt idx="369">
                  <c:v>241.01580220777259</c:v>
                </c:pt>
                <c:pt idx="370">
                  <c:v>240.10093754725546</c:v>
                </c:pt>
                <c:pt idx="371">
                  <c:v>240.70523967941932</c:v>
                </c:pt>
                <c:pt idx="372">
                  <c:v>240.36061889116479</c:v>
                </c:pt>
                <c:pt idx="373">
                  <c:v>238.10359759701964</c:v>
                </c:pt>
                <c:pt idx="374">
                  <c:v>238.10359759701964</c:v>
                </c:pt>
                <c:pt idx="375">
                  <c:v>238.10359759701964</c:v>
                </c:pt>
                <c:pt idx="376">
                  <c:v>236.75375981194068</c:v>
                </c:pt>
                <c:pt idx="377">
                  <c:v>233.88063112601901</c:v>
                </c:pt>
                <c:pt idx="378">
                  <c:v>233.91901969948998</c:v>
                </c:pt>
                <c:pt idx="379">
                  <c:v>230.32102745281335</c:v>
                </c:pt>
                <c:pt idx="380">
                  <c:v>224.60399969756543</c:v>
                </c:pt>
                <c:pt idx="381">
                  <c:v>224.60399969756543</c:v>
                </c:pt>
                <c:pt idx="382">
                  <c:v>224.60399969756543</c:v>
                </c:pt>
                <c:pt idx="383">
                  <c:v>229.18284233534499</c:v>
                </c:pt>
                <c:pt idx="384">
                  <c:v>228.03908967185848</c:v>
                </c:pt>
                <c:pt idx="385">
                  <c:v>234.14735782137117</c:v>
                </c:pt>
                <c:pt idx="386">
                  <c:v>234.31794124520576</c:v>
                </c:pt>
                <c:pt idx="387">
                  <c:v>232.72105219746231</c:v>
                </c:pt>
                <c:pt idx="388">
                  <c:v>232.72105219746231</c:v>
                </c:pt>
                <c:pt idx="389">
                  <c:v>232.72105219746231</c:v>
                </c:pt>
                <c:pt idx="390">
                  <c:v>232.51232077313281</c:v>
                </c:pt>
                <c:pt idx="391">
                  <c:v>231.24644295671061</c:v>
                </c:pt>
                <c:pt idx="392">
                  <c:v>226.77747343386994</c:v>
                </c:pt>
                <c:pt idx="393">
                  <c:v>223.36345077876913</c:v>
                </c:pt>
                <c:pt idx="394">
                  <c:v>223.36345077876913</c:v>
                </c:pt>
                <c:pt idx="395">
                  <c:v>223.36345077876913</c:v>
                </c:pt>
                <c:pt idx="396">
                  <c:v>223.36345077876913</c:v>
                </c:pt>
                <c:pt idx="397">
                  <c:v>225.3247219663748</c:v>
                </c:pt>
                <c:pt idx="398">
                  <c:v>225.60505821866022</c:v>
                </c:pt>
                <c:pt idx="399">
                  <c:v>224.63388229795308</c:v>
                </c:pt>
                <c:pt idx="400">
                  <c:v>224.01521452235954</c:v>
                </c:pt>
                <c:pt idx="401">
                  <c:v>226.85988686196615</c:v>
                </c:pt>
                <c:pt idx="402">
                  <c:v>226.85988686196615</c:v>
                </c:pt>
                <c:pt idx="403">
                  <c:v>226.85988686196615</c:v>
                </c:pt>
                <c:pt idx="404">
                  <c:v>224.54875383198382</c:v>
                </c:pt>
                <c:pt idx="405">
                  <c:v>218.93505216996826</c:v>
                </c:pt>
                <c:pt idx="406">
                  <c:v>220.27823983063661</c:v>
                </c:pt>
                <c:pt idx="407">
                  <c:v>218.20737046863616</c:v>
                </c:pt>
                <c:pt idx="408">
                  <c:v>221.46945410554966</c:v>
                </c:pt>
                <c:pt idx="409">
                  <c:v>221.46945410554966</c:v>
                </c:pt>
                <c:pt idx="410">
                  <c:v>221.46945410554966</c:v>
                </c:pt>
                <c:pt idx="411">
                  <c:v>221.46945410554966</c:v>
                </c:pt>
                <c:pt idx="412">
                  <c:v>221.15533453390705</c:v>
                </c:pt>
                <c:pt idx="413">
                  <c:v>220.81542210247034</c:v>
                </c:pt>
                <c:pt idx="414">
                  <c:v>221.66089864316842</c:v>
                </c:pt>
                <c:pt idx="415">
                  <c:v>220.03378331935721</c:v>
                </c:pt>
                <c:pt idx="416">
                  <c:v>220.03378331935721</c:v>
                </c:pt>
                <c:pt idx="417">
                  <c:v>220.03378331935721</c:v>
                </c:pt>
                <c:pt idx="418">
                  <c:v>220.03378331935721</c:v>
                </c:pt>
                <c:pt idx="419">
                  <c:v>219.45606450105166</c:v>
                </c:pt>
                <c:pt idx="420">
                  <c:v>220.08849648763459</c:v>
                </c:pt>
                <c:pt idx="421">
                  <c:v>218.96464264602778</c:v>
                </c:pt>
                <c:pt idx="422">
                  <c:v>219.19012825976387</c:v>
                </c:pt>
                <c:pt idx="423">
                  <c:v>219.19012825976387</c:v>
                </c:pt>
                <c:pt idx="424">
                  <c:v>219.19012825976387</c:v>
                </c:pt>
                <c:pt idx="425">
                  <c:v>219.34662098071294</c:v>
                </c:pt>
                <c:pt idx="426">
                  <c:v>217.51556850831011</c:v>
                </c:pt>
                <c:pt idx="427">
                  <c:v>216.43079059153459</c:v>
                </c:pt>
                <c:pt idx="428">
                  <c:v>213.76696039481465</c:v>
                </c:pt>
                <c:pt idx="429">
                  <c:v>212.6986789106856</c:v>
                </c:pt>
                <c:pt idx="430">
                  <c:v>212.6986789106856</c:v>
                </c:pt>
                <c:pt idx="431">
                  <c:v>212.6986789106856</c:v>
                </c:pt>
                <c:pt idx="432">
                  <c:v>213.17872510069699</c:v>
                </c:pt>
                <c:pt idx="433">
                  <c:v>212.02990322092847</c:v>
                </c:pt>
                <c:pt idx="434">
                  <c:v>216.21967062122818</c:v>
                </c:pt>
                <c:pt idx="435">
                  <c:v>215.1400478396547</c:v>
                </c:pt>
                <c:pt idx="436">
                  <c:v>214.18267049750494</c:v>
                </c:pt>
                <c:pt idx="437">
                  <c:v>214.18267049750494</c:v>
                </c:pt>
                <c:pt idx="438">
                  <c:v>214.18267049750494</c:v>
                </c:pt>
                <c:pt idx="439">
                  <c:v>212.68682209972093</c:v>
                </c:pt>
                <c:pt idx="440">
                  <c:v>212.20883796379036</c:v>
                </c:pt>
                <c:pt idx="441">
                  <c:v>212.30747288398882</c:v>
                </c:pt>
                <c:pt idx="442">
                  <c:v>209.62046176264383</c:v>
                </c:pt>
                <c:pt idx="443">
                  <c:v>209.74262128314751</c:v>
                </c:pt>
                <c:pt idx="444">
                  <c:v>209.74262128314751</c:v>
                </c:pt>
                <c:pt idx="445">
                  <c:v>209.74262128314751</c:v>
                </c:pt>
                <c:pt idx="446">
                  <c:v>207.8275916583039</c:v>
                </c:pt>
                <c:pt idx="447">
                  <c:v>207.8275916583039</c:v>
                </c:pt>
                <c:pt idx="448">
                  <c:v>206.84681000233698</c:v>
                </c:pt>
                <c:pt idx="449">
                  <c:v>204.15424851875784</c:v>
                </c:pt>
                <c:pt idx="450">
                  <c:v>203.71324388600965</c:v>
                </c:pt>
                <c:pt idx="451">
                  <c:v>203.71324388600965</c:v>
                </c:pt>
                <c:pt idx="452">
                  <c:v>203.71324388600965</c:v>
                </c:pt>
                <c:pt idx="453">
                  <c:v>204.56803403763936</c:v>
                </c:pt>
                <c:pt idx="454">
                  <c:v>202.79619688492363</c:v>
                </c:pt>
                <c:pt idx="455">
                  <c:v>204.47573993373936</c:v>
                </c:pt>
                <c:pt idx="456">
                  <c:v>204.90165720412966</c:v>
                </c:pt>
                <c:pt idx="457">
                  <c:v>203.27189557758138</c:v>
                </c:pt>
                <c:pt idx="458">
                  <c:v>203.27189557758138</c:v>
                </c:pt>
                <c:pt idx="459">
                  <c:v>203.27189557758138</c:v>
                </c:pt>
                <c:pt idx="460">
                  <c:v>201.21504818333037</c:v>
                </c:pt>
                <c:pt idx="461">
                  <c:v>202.53548451397387</c:v>
                </c:pt>
                <c:pt idx="462">
                  <c:v>198.53896594861362</c:v>
                </c:pt>
                <c:pt idx="463">
                  <c:v>201.28711697345452</c:v>
                </c:pt>
                <c:pt idx="464">
                  <c:v>204.40506303011975</c:v>
                </c:pt>
                <c:pt idx="465">
                  <c:v>204.40506303011975</c:v>
                </c:pt>
                <c:pt idx="466">
                  <c:v>204.40506303011975</c:v>
                </c:pt>
                <c:pt idx="467">
                  <c:v>204.3311212075389</c:v>
                </c:pt>
                <c:pt idx="468">
                  <c:v>199.17347717306134</c:v>
                </c:pt>
                <c:pt idx="469">
                  <c:v>191.78085863931926</c:v>
                </c:pt>
                <c:pt idx="470">
                  <c:v>188.29322065353372</c:v>
                </c:pt>
                <c:pt idx="471">
                  <c:v>187.50242291354496</c:v>
                </c:pt>
                <c:pt idx="472">
                  <c:v>187.50242291354496</c:v>
                </c:pt>
                <c:pt idx="473">
                  <c:v>187.50242291354496</c:v>
                </c:pt>
                <c:pt idx="474">
                  <c:v>192.21081409895112</c:v>
                </c:pt>
                <c:pt idx="475">
                  <c:v>189.10527473433871</c:v>
                </c:pt>
                <c:pt idx="476">
                  <c:v>196.43386648887179</c:v>
                </c:pt>
                <c:pt idx="477">
                  <c:v>195.18951995380999</c:v>
                </c:pt>
                <c:pt idx="478">
                  <c:v>198.44318353656024</c:v>
                </c:pt>
                <c:pt idx="479">
                  <c:v>198.44318353656024</c:v>
                </c:pt>
                <c:pt idx="480">
                  <c:v>198.44318353656024</c:v>
                </c:pt>
                <c:pt idx="481">
                  <c:v>197.71672188389263</c:v>
                </c:pt>
                <c:pt idx="482">
                  <c:v>197.35050107914165</c:v>
                </c:pt>
                <c:pt idx="483">
                  <c:v>197.89694541055499</c:v>
                </c:pt>
                <c:pt idx="484">
                  <c:v>197.25236448867932</c:v>
                </c:pt>
                <c:pt idx="485">
                  <c:v>200.56325007217191</c:v>
                </c:pt>
                <c:pt idx="486">
                  <c:v>200.56325007217191</c:v>
                </c:pt>
                <c:pt idx="487">
                  <c:v>200.56325007217191</c:v>
                </c:pt>
                <c:pt idx="488">
                  <c:v>201.29038189241578</c:v>
                </c:pt>
                <c:pt idx="489">
                  <c:v>202.23306709923983</c:v>
                </c:pt>
                <c:pt idx="490">
                  <c:v>203.86839627180623</c:v>
                </c:pt>
                <c:pt idx="491">
                  <c:v>204.08085657726517</c:v>
                </c:pt>
                <c:pt idx="492">
                  <c:v>198.98899206796531</c:v>
                </c:pt>
                <c:pt idx="493">
                  <c:v>198.98899206796531</c:v>
                </c:pt>
                <c:pt idx="494">
                  <c:v>198.98899206796531</c:v>
                </c:pt>
                <c:pt idx="495">
                  <c:v>196.25737184333889</c:v>
                </c:pt>
                <c:pt idx="496">
                  <c:v>195.28853291725667</c:v>
                </c:pt>
                <c:pt idx="497">
                  <c:v>191.67997264341585</c:v>
                </c:pt>
                <c:pt idx="498">
                  <c:v>194.73667569388121</c:v>
                </c:pt>
                <c:pt idx="499">
                  <c:v>190.31234964188994</c:v>
                </c:pt>
                <c:pt idx="500">
                  <c:v>190.31234964188994</c:v>
                </c:pt>
                <c:pt idx="501">
                  <c:v>190.31234964188994</c:v>
                </c:pt>
                <c:pt idx="502">
                  <c:v>194.63395103308912</c:v>
                </c:pt>
                <c:pt idx="503">
                  <c:v>191.90300097603895</c:v>
                </c:pt>
                <c:pt idx="504">
                  <c:v>190.48946290364711</c:v>
                </c:pt>
                <c:pt idx="505">
                  <c:v>191.04410390003164</c:v>
                </c:pt>
                <c:pt idx="506">
                  <c:v>187.53919621131931</c:v>
                </c:pt>
                <c:pt idx="507">
                  <c:v>187.53919621131931</c:v>
                </c:pt>
                <c:pt idx="508">
                  <c:v>187.53919621131931</c:v>
                </c:pt>
                <c:pt idx="509">
                  <c:v>183.39274913050053</c:v>
                </c:pt>
                <c:pt idx="510">
                  <c:v>182.71775291093303</c:v>
                </c:pt>
                <c:pt idx="511">
                  <c:v>188.39908994679902</c:v>
                </c:pt>
                <c:pt idx="512">
                  <c:v>185.22292522991904</c:v>
                </c:pt>
                <c:pt idx="513">
                  <c:v>185.46942661149527</c:v>
                </c:pt>
                <c:pt idx="514">
                  <c:v>185.46942661149527</c:v>
                </c:pt>
                <c:pt idx="515">
                  <c:v>185.46942661149527</c:v>
                </c:pt>
                <c:pt idx="516">
                  <c:v>187.47984342136016</c:v>
                </c:pt>
                <c:pt idx="517">
                  <c:v>189.88887246882862</c:v>
                </c:pt>
                <c:pt idx="518">
                  <c:v>192.29211058108686</c:v>
                </c:pt>
                <c:pt idx="519">
                  <c:v>189.99510262155809</c:v>
                </c:pt>
                <c:pt idx="520">
                  <c:v>186.50497298709158</c:v>
                </c:pt>
                <c:pt idx="521">
                  <c:v>186.50497298709158</c:v>
                </c:pt>
                <c:pt idx="522">
                  <c:v>186.50497298709158</c:v>
                </c:pt>
                <c:pt idx="523">
                  <c:v>187.63992755316664</c:v>
                </c:pt>
                <c:pt idx="524">
                  <c:v>191.45422927291975</c:v>
                </c:pt>
                <c:pt idx="525">
                  <c:v>186.4043619317323</c:v>
                </c:pt>
                <c:pt idx="526">
                  <c:v>194.40245109495072</c:v>
                </c:pt>
                <c:pt idx="527">
                  <c:v>194.40245109495072</c:v>
                </c:pt>
                <c:pt idx="528">
                  <c:v>194.40245109495072</c:v>
                </c:pt>
                <c:pt idx="529">
                  <c:v>194.40245109495072</c:v>
                </c:pt>
                <c:pt idx="530">
                  <c:v>196.89353271105125</c:v>
                </c:pt>
                <c:pt idx="531">
                  <c:v>207.17531240119325</c:v>
                </c:pt>
                <c:pt idx="532">
                  <c:v>205.16865884002584</c:v>
                </c:pt>
                <c:pt idx="533">
                  <c:v>202.34689248450027</c:v>
                </c:pt>
                <c:pt idx="534">
                  <c:v>200.97523129373275</c:v>
                </c:pt>
                <c:pt idx="535">
                  <c:v>200.97523129373275</c:v>
                </c:pt>
                <c:pt idx="536">
                  <c:v>200.97523129373275</c:v>
                </c:pt>
                <c:pt idx="537">
                  <c:v>199.76728001319714</c:v>
                </c:pt>
                <c:pt idx="538">
                  <c:v>200.44987146529562</c:v>
                </c:pt>
                <c:pt idx="539">
                  <c:v>197.03737816697139</c:v>
                </c:pt>
                <c:pt idx="540">
                  <c:v>195.54661616925341</c:v>
                </c:pt>
                <c:pt idx="541">
                  <c:v>194.3795451108698</c:v>
                </c:pt>
                <c:pt idx="542">
                  <c:v>194.3795451108698</c:v>
                </c:pt>
                <c:pt idx="543">
                  <c:v>194.3795451108698</c:v>
                </c:pt>
                <c:pt idx="544">
                  <c:v>193.5745363815075</c:v>
                </c:pt>
                <c:pt idx="545">
                  <c:v>191.5383782632006</c:v>
                </c:pt>
                <c:pt idx="546">
                  <c:v>192.6447046451205</c:v>
                </c:pt>
                <c:pt idx="547">
                  <c:v>191.25079045406432</c:v>
                </c:pt>
                <c:pt idx="548">
                  <c:v>189.35328828890752</c:v>
                </c:pt>
                <c:pt idx="549">
                  <c:v>189.35328828890752</c:v>
                </c:pt>
                <c:pt idx="550">
                  <c:v>189.35328828890752</c:v>
                </c:pt>
                <c:pt idx="551">
                  <c:v>189.75200362921521</c:v>
                </c:pt>
                <c:pt idx="552">
                  <c:v>189.23193640625215</c:v>
                </c:pt>
                <c:pt idx="553">
                  <c:v>185.28970141456909</c:v>
                </c:pt>
                <c:pt idx="554">
                  <c:v>188.47787759646977</c:v>
                </c:pt>
                <c:pt idx="555">
                  <c:v>189.21035357353975</c:v>
                </c:pt>
                <c:pt idx="556">
                  <c:v>189.21035357353975</c:v>
                </c:pt>
                <c:pt idx="557">
                  <c:v>189.21035357353975</c:v>
                </c:pt>
                <c:pt idx="558">
                  <c:v>190.87869279518307</c:v>
                </c:pt>
                <c:pt idx="559">
                  <c:v>188.99409565181529</c:v>
                </c:pt>
                <c:pt idx="560">
                  <c:v>188.01063332554335</c:v>
                </c:pt>
                <c:pt idx="561">
                  <c:v>187.35130871698996</c:v>
                </c:pt>
                <c:pt idx="562">
                  <c:v>184.64448469268521</c:v>
                </c:pt>
                <c:pt idx="563">
                  <c:v>184.64448469268521</c:v>
                </c:pt>
                <c:pt idx="564">
                  <c:v>184.64448469268521</c:v>
                </c:pt>
                <c:pt idx="565">
                  <c:v>181.93869169542089</c:v>
                </c:pt>
                <c:pt idx="566">
                  <c:v>181.16765530703984</c:v>
                </c:pt>
                <c:pt idx="567">
                  <c:v>178.74730214591096</c:v>
                </c:pt>
                <c:pt idx="568">
                  <c:v>181.05293636501108</c:v>
                </c:pt>
                <c:pt idx="569">
                  <c:v>178.07859519128991</c:v>
                </c:pt>
                <c:pt idx="570">
                  <c:v>178.07859519128991</c:v>
                </c:pt>
                <c:pt idx="571">
                  <c:v>178.07859519128991</c:v>
                </c:pt>
                <c:pt idx="572">
                  <c:v>179.76673013210893</c:v>
                </c:pt>
                <c:pt idx="573">
                  <c:v>183.97177391639059</c:v>
                </c:pt>
                <c:pt idx="574">
                  <c:v>183.52906808902577</c:v>
                </c:pt>
                <c:pt idx="575">
                  <c:v>185.01938330835958</c:v>
                </c:pt>
                <c:pt idx="576">
                  <c:v>180.48454834142117</c:v>
                </c:pt>
                <c:pt idx="577">
                  <c:v>180.48454834142117</c:v>
                </c:pt>
                <c:pt idx="578">
                  <c:v>180.48454834142117</c:v>
                </c:pt>
                <c:pt idx="579">
                  <c:v>179.9800152592002</c:v>
                </c:pt>
                <c:pt idx="580">
                  <c:v>181.29737569250651</c:v>
                </c:pt>
                <c:pt idx="581">
                  <c:v>180.23344170573114</c:v>
                </c:pt>
                <c:pt idx="582">
                  <c:v>178.5540017596195</c:v>
                </c:pt>
                <c:pt idx="583">
                  <c:v>182.44784721553964</c:v>
                </c:pt>
                <c:pt idx="584">
                  <c:v>182.44784721553964</c:v>
                </c:pt>
                <c:pt idx="585">
                  <c:v>182.44784721553964</c:v>
                </c:pt>
                <c:pt idx="586">
                  <c:v>181.25025775676011</c:v>
                </c:pt>
                <c:pt idx="587">
                  <c:v>180.30085369038946</c:v>
                </c:pt>
                <c:pt idx="588">
                  <c:v>177.74715436536849</c:v>
                </c:pt>
                <c:pt idx="589">
                  <c:v>179.28958800159467</c:v>
                </c:pt>
                <c:pt idx="590">
                  <c:v>175.40569195661442</c:v>
                </c:pt>
                <c:pt idx="591">
                  <c:v>175.40569195661442</c:v>
                </c:pt>
                <c:pt idx="592">
                  <c:v>175.40569195661442</c:v>
                </c:pt>
                <c:pt idx="593">
                  <c:v>175.40569195661442</c:v>
                </c:pt>
                <c:pt idx="594">
                  <c:v>174.49495140425887</c:v>
                </c:pt>
                <c:pt idx="595">
                  <c:v>172.84764513423971</c:v>
                </c:pt>
                <c:pt idx="596">
                  <c:v>169.67531240119328</c:v>
                </c:pt>
                <c:pt idx="597">
                  <c:v>167.66594380215278</c:v>
                </c:pt>
                <c:pt idx="598">
                  <c:v>167.66594380215278</c:v>
                </c:pt>
                <c:pt idx="599">
                  <c:v>167.66594380215278</c:v>
                </c:pt>
                <c:pt idx="600">
                  <c:v>172.13001594655157</c:v>
                </c:pt>
                <c:pt idx="601">
                  <c:v>170.27696823062013</c:v>
                </c:pt>
                <c:pt idx="602">
                  <c:v>174.09525658826283</c:v>
                </c:pt>
                <c:pt idx="603">
                  <c:v>172.80829426886436</c:v>
                </c:pt>
                <c:pt idx="604">
                  <c:v>170.91202933615605</c:v>
                </c:pt>
                <c:pt idx="605">
                  <c:v>170.91202933615605</c:v>
                </c:pt>
                <c:pt idx="606">
                  <c:v>170.91202933615605</c:v>
                </c:pt>
                <c:pt idx="607">
                  <c:v>170.85924075168745</c:v>
                </c:pt>
                <c:pt idx="608">
                  <c:v>170.30044127957328</c:v>
                </c:pt>
                <c:pt idx="609">
                  <c:v>170.04844108711492</c:v>
                </c:pt>
                <c:pt idx="610">
                  <c:v>167.12987847627949</c:v>
                </c:pt>
                <c:pt idx="611">
                  <c:v>164.77200555379903</c:v>
                </c:pt>
                <c:pt idx="612">
                  <c:v>164.77200555379903</c:v>
                </c:pt>
                <c:pt idx="613">
                  <c:v>164.77200555379903</c:v>
                </c:pt>
                <c:pt idx="614">
                  <c:v>163.12097040265044</c:v>
                </c:pt>
                <c:pt idx="615">
                  <c:v>172.187461336486</c:v>
                </c:pt>
                <c:pt idx="616">
                  <c:v>171.04314160812726</c:v>
                </c:pt>
                <c:pt idx="617">
                  <c:v>170.54467440166064</c:v>
                </c:pt>
                <c:pt idx="618">
                  <c:v>168.64304812834226</c:v>
                </c:pt>
                <c:pt idx="619">
                  <c:v>168.64304812834226</c:v>
                </c:pt>
                <c:pt idx="620">
                  <c:v>168.64304812834226</c:v>
                </c:pt>
                <c:pt idx="621">
                  <c:v>165.23605364090017</c:v>
                </c:pt>
                <c:pt idx="622">
                  <c:v>166.38905118018229</c:v>
                </c:pt>
                <c:pt idx="623">
                  <c:v>165.10824065545825</c:v>
                </c:pt>
                <c:pt idx="624">
                  <c:v>164.14034683749639</c:v>
                </c:pt>
                <c:pt idx="625">
                  <c:v>163.07191069931127</c:v>
                </c:pt>
                <c:pt idx="626">
                  <c:v>163.07191069931127</c:v>
                </c:pt>
                <c:pt idx="627">
                  <c:v>163.07191069931127</c:v>
                </c:pt>
                <c:pt idx="628">
                  <c:v>160.99468333722834</c:v>
                </c:pt>
                <c:pt idx="629">
                  <c:v>161.73992686581528</c:v>
                </c:pt>
                <c:pt idx="630">
                  <c:v>160.50032305513932</c:v>
                </c:pt>
                <c:pt idx="631">
                  <c:v>160.23168895976247</c:v>
                </c:pt>
                <c:pt idx="632">
                  <c:v>160.23168895976247</c:v>
                </c:pt>
                <c:pt idx="633">
                  <c:v>160.23168895976247</c:v>
                </c:pt>
                <c:pt idx="634">
                  <c:v>160.23168895976247</c:v>
                </c:pt>
                <c:pt idx="635">
                  <c:v>159.54938963199209</c:v>
                </c:pt>
                <c:pt idx="636">
                  <c:v>161.11130967928187</c:v>
                </c:pt>
                <c:pt idx="637">
                  <c:v>157.83484321515473</c:v>
                </c:pt>
                <c:pt idx="638">
                  <c:v>158.68928969110431</c:v>
                </c:pt>
                <c:pt idx="639">
                  <c:v>154.90425195551464</c:v>
                </c:pt>
                <c:pt idx="640">
                  <c:v>154.90425195551464</c:v>
                </c:pt>
                <c:pt idx="641">
                  <c:v>154.90425195551464</c:v>
                </c:pt>
                <c:pt idx="642">
                  <c:v>153.6869698802634</c:v>
                </c:pt>
                <c:pt idx="643">
                  <c:v>152.30274734338701</c:v>
                </c:pt>
                <c:pt idx="644">
                  <c:v>154.69789189337806</c:v>
                </c:pt>
                <c:pt idx="645">
                  <c:v>157.95925381136328</c:v>
                </c:pt>
                <c:pt idx="646">
                  <c:v>156.73880991985484</c:v>
                </c:pt>
                <c:pt idx="647">
                  <c:v>156.73880991985484</c:v>
                </c:pt>
                <c:pt idx="648">
                  <c:v>156.73880991985484</c:v>
                </c:pt>
                <c:pt idx="649">
                  <c:v>154.3045550774645</c:v>
                </c:pt>
                <c:pt idx="650">
                  <c:v>152.15189090359212</c:v>
                </c:pt>
                <c:pt idx="651">
                  <c:v>151.37403255296041</c:v>
                </c:pt>
                <c:pt idx="652">
                  <c:v>149.68304510399628</c:v>
                </c:pt>
                <c:pt idx="653">
                  <c:v>147.86556782095874</c:v>
                </c:pt>
                <c:pt idx="654">
                  <c:v>147.86556782095874</c:v>
                </c:pt>
                <c:pt idx="655">
                  <c:v>147.86556782095874</c:v>
                </c:pt>
                <c:pt idx="656">
                  <c:v>152.75612430062</c:v>
                </c:pt>
                <c:pt idx="657">
                  <c:v>153.18845112244477</c:v>
                </c:pt>
                <c:pt idx="658">
                  <c:v>147.9133902918494</c:v>
                </c:pt>
                <c:pt idx="659">
                  <c:v>150.01725251914274</c:v>
                </c:pt>
                <c:pt idx="660">
                  <c:v>148.37372668160512</c:v>
                </c:pt>
                <c:pt idx="661">
                  <c:v>148.37372668160512</c:v>
                </c:pt>
                <c:pt idx="662">
                  <c:v>148.37372668160512</c:v>
                </c:pt>
                <c:pt idx="663">
                  <c:v>145.9720007423395</c:v>
                </c:pt>
                <c:pt idx="664">
                  <c:v>145.98275779112768</c:v>
                </c:pt>
                <c:pt idx="665">
                  <c:v>141.99354233397028</c:v>
                </c:pt>
                <c:pt idx="666">
                  <c:v>147.10570089218206</c:v>
                </c:pt>
                <c:pt idx="667">
                  <c:v>148.64215457157391</c:v>
                </c:pt>
                <c:pt idx="668">
                  <c:v>148.64215457157391</c:v>
                </c:pt>
                <c:pt idx="669">
                  <c:v>148.64215457157391</c:v>
                </c:pt>
                <c:pt idx="670">
                  <c:v>146.61828285883178</c:v>
                </c:pt>
                <c:pt idx="671">
                  <c:v>144.22652351429005</c:v>
                </c:pt>
                <c:pt idx="672">
                  <c:v>146.33263681728829</c:v>
                </c:pt>
                <c:pt idx="673">
                  <c:v>140.7768616911593</c:v>
                </c:pt>
                <c:pt idx="674">
                  <c:v>140.10927168249867</c:v>
                </c:pt>
                <c:pt idx="675">
                  <c:v>140.10927168249867</c:v>
                </c:pt>
                <c:pt idx="676">
                  <c:v>140.10927168249867</c:v>
                </c:pt>
                <c:pt idx="677">
                  <c:v>140.10927168249867</c:v>
                </c:pt>
                <c:pt idx="678">
                  <c:v>139.03232957123024</c:v>
                </c:pt>
                <c:pt idx="679">
                  <c:v>135.5329722447521</c:v>
                </c:pt>
                <c:pt idx="680">
                  <c:v>135.97937258567836</c:v>
                </c:pt>
                <c:pt idx="681">
                  <c:v>126.69746573553469</c:v>
                </c:pt>
                <c:pt idx="682">
                  <c:v>126.69746573553469</c:v>
                </c:pt>
                <c:pt idx="683">
                  <c:v>126.69746573553469</c:v>
                </c:pt>
                <c:pt idx="684">
                  <c:v>128.66033501505299</c:v>
                </c:pt>
                <c:pt idx="685">
                  <c:v>126.48265125166685</c:v>
                </c:pt>
                <c:pt idx="686">
                  <c:v>132.3168208624885</c:v>
                </c:pt>
                <c:pt idx="687">
                  <c:v>133.58933161953729</c:v>
                </c:pt>
                <c:pt idx="688">
                  <c:v>128.91924308868207</c:v>
                </c:pt>
                <c:pt idx="689">
                  <c:v>128.91924308868207</c:v>
                </c:pt>
                <c:pt idx="690">
                  <c:v>128.91924308868207</c:v>
                </c:pt>
                <c:pt idx="691">
                  <c:v>133.99119159231819</c:v>
                </c:pt>
                <c:pt idx="692">
                  <c:v>126.89013032181791</c:v>
                </c:pt>
                <c:pt idx="693">
                  <c:v>127.46685248065106</c:v>
                </c:pt>
                <c:pt idx="694">
                  <c:v>117.89234015644116</c:v>
                </c:pt>
                <c:pt idx="695">
                  <c:v>118.21613419847958</c:v>
                </c:pt>
                <c:pt idx="696">
                  <c:v>118.21613419847958</c:v>
                </c:pt>
                <c:pt idx="697">
                  <c:v>118.21613419847958</c:v>
                </c:pt>
                <c:pt idx="698">
                  <c:v>122.87398787512203</c:v>
                </c:pt>
                <c:pt idx="699">
                  <c:v>120.11196953658771</c:v>
                </c:pt>
                <c:pt idx="700">
                  <c:v>126.03930962429375</c:v>
                </c:pt>
                <c:pt idx="701">
                  <c:v>118.6470175824478</c:v>
                </c:pt>
                <c:pt idx="702">
                  <c:v>135.320151079829</c:v>
                </c:pt>
                <c:pt idx="703">
                  <c:v>135.320151079829</c:v>
                </c:pt>
                <c:pt idx="704">
                  <c:v>135.320151079829</c:v>
                </c:pt>
                <c:pt idx="705">
                  <c:v>123.75421002708164</c:v>
                </c:pt>
                <c:pt idx="706">
                  <c:v>136.64632679433075</c:v>
                </c:pt>
                <c:pt idx="707">
                  <c:v>143.38584124932984</c:v>
                </c:pt>
                <c:pt idx="708">
                  <c:v>136.62269909132152</c:v>
                </c:pt>
                <c:pt idx="709">
                  <c:v>147.36156743604195</c:v>
                </c:pt>
                <c:pt idx="710">
                  <c:v>147.36156743604195</c:v>
                </c:pt>
                <c:pt idx="711">
                  <c:v>147.36156743604195</c:v>
                </c:pt>
                <c:pt idx="712">
                  <c:v>150.16212900210328</c:v>
                </c:pt>
                <c:pt idx="713">
                  <c:v>154.9648763454903</c:v>
                </c:pt>
                <c:pt idx="714">
                  <c:v>149.22552685481767</c:v>
                </c:pt>
                <c:pt idx="715">
                  <c:v>153.83206975241606</c:v>
                </c:pt>
                <c:pt idx="716">
                  <c:v>147.21980121798663</c:v>
                </c:pt>
                <c:pt idx="717">
                  <c:v>147.21980121798663</c:v>
                </c:pt>
                <c:pt idx="718">
                  <c:v>147.21980121798663</c:v>
                </c:pt>
                <c:pt idx="719">
                  <c:v>147.20454201778864</c:v>
                </c:pt>
                <c:pt idx="720">
                  <c:v>154.32369781284797</c:v>
                </c:pt>
                <c:pt idx="721">
                  <c:v>154.06315727973825</c:v>
                </c:pt>
                <c:pt idx="722">
                  <c:v>158.45648378538144</c:v>
                </c:pt>
                <c:pt idx="723">
                  <c:v>164.56205408080504</c:v>
                </c:pt>
                <c:pt idx="724">
                  <c:v>164.56205408080504</c:v>
                </c:pt>
                <c:pt idx="725">
                  <c:v>164.56205408080504</c:v>
                </c:pt>
                <c:pt idx="726">
                  <c:v>167.55847641697483</c:v>
                </c:pt>
                <c:pt idx="727">
                  <c:v>168.69630067497906</c:v>
                </c:pt>
                <c:pt idx="728">
                  <c:v>167.2453535048046</c:v>
                </c:pt>
                <c:pt idx="729">
                  <c:v>167.21842651526609</c:v>
                </c:pt>
                <c:pt idx="730">
                  <c:v>167.21842651526609</c:v>
                </c:pt>
                <c:pt idx="731">
                  <c:v>167.21842651526609</c:v>
                </c:pt>
                <c:pt idx="732">
                  <c:v>167.21842651526609</c:v>
                </c:pt>
                <c:pt idx="733">
                  <c:v>166.88836039206524</c:v>
                </c:pt>
                <c:pt idx="734">
                  <c:v>167.12883026545512</c:v>
                </c:pt>
                <c:pt idx="735">
                  <c:v>165.63349738119132</c:v>
                </c:pt>
                <c:pt idx="736">
                  <c:v>165.45215690856853</c:v>
                </c:pt>
                <c:pt idx="737">
                  <c:v>163.59842184127683</c:v>
                </c:pt>
                <c:pt idx="738">
                  <c:v>163.59842184127683</c:v>
                </c:pt>
                <c:pt idx="739">
                  <c:v>163.59842184127683</c:v>
                </c:pt>
                <c:pt idx="740">
                  <c:v>164.48582681495128</c:v>
                </c:pt>
                <c:pt idx="741">
                  <c:v>163.3951548602615</c:v>
                </c:pt>
                <c:pt idx="742">
                  <c:v>162.69562019713237</c:v>
                </c:pt>
                <c:pt idx="743">
                  <c:v>159.3521369753791</c:v>
                </c:pt>
                <c:pt idx="744">
                  <c:v>157.24770768321349</c:v>
                </c:pt>
                <c:pt idx="745">
                  <c:v>157.24770768321349</c:v>
                </c:pt>
                <c:pt idx="746">
                  <c:v>157.24770768321349</c:v>
                </c:pt>
                <c:pt idx="747">
                  <c:v>159.79087334863834</c:v>
                </c:pt>
                <c:pt idx="748">
                  <c:v>159.38241480279891</c:v>
                </c:pt>
                <c:pt idx="749">
                  <c:v>159.28819611509013</c:v>
                </c:pt>
                <c:pt idx="750">
                  <c:v>157.04792901035151</c:v>
                </c:pt>
                <c:pt idx="751">
                  <c:v>160.06541866571357</c:v>
                </c:pt>
                <c:pt idx="752">
                  <c:v>160.06541866571357</c:v>
                </c:pt>
                <c:pt idx="753">
                  <c:v>160.06541866571357</c:v>
                </c:pt>
                <c:pt idx="754">
                  <c:v>161.570151079829</c:v>
                </c:pt>
                <c:pt idx="755">
                  <c:v>161.24864248106348</c:v>
                </c:pt>
                <c:pt idx="756">
                  <c:v>161.02592345655253</c:v>
                </c:pt>
                <c:pt idx="757">
                  <c:v>161.33758574708219</c:v>
                </c:pt>
                <c:pt idx="758">
                  <c:v>161.33758574708219</c:v>
                </c:pt>
                <c:pt idx="759">
                  <c:v>161.33758574708219</c:v>
                </c:pt>
                <c:pt idx="760">
                  <c:v>161.33758574708219</c:v>
                </c:pt>
                <c:pt idx="761">
                  <c:v>160.79091802647679</c:v>
                </c:pt>
                <c:pt idx="762">
                  <c:v>159.09941506399241</c:v>
                </c:pt>
                <c:pt idx="763">
                  <c:v>158.97283931099901</c:v>
                </c:pt>
                <c:pt idx="764">
                  <c:v>159.36124438090263</c:v>
                </c:pt>
                <c:pt idx="765">
                  <c:v>157.72756485160087</c:v>
                </c:pt>
                <c:pt idx="766">
                  <c:v>157.72756485160087</c:v>
                </c:pt>
                <c:pt idx="767">
                  <c:v>157.72756485160087</c:v>
                </c:pt>
                <c:pt idx="768">
                  <c:v>158.14968450572565</c:v>
                </c:pt>
                <c:pt idx="769">
                  <c:v>156.87492267297199</c:v>
                </c:pt>
                <c:pt idx="770">
                  <c:v>155.83253715134106</c:v>
                </c:pt>
                <c:pt idx="771">
                  <c:v>155.88209518441639</c:v>
                </c:pt>
                <c:pt idx="772">
                  <c:v>155.0109632541963</c:v>
                </c:pt>
                <c:pt idx="773">
                  <c:v>155.0109632541963</c:v>
                </c:pt>
                <c:pt idx="774">
                  <c:v>155.0109632541963</c:v>
                </c:pt>
                <c:pt idx="775">
                  <c:v>156.23821192417142</c:v>
                </c:pt>
                <c:pt idx="776">
                  <c:v>154.18328911372916</c:v>
                </c:pt>
                <c:pt idx="777">
                  <c:v>154.18328911372916</c:v>
                </c:pt>
                <c:pt idx="778">
                  <c:v>153.72602862131066</c:v>
                </c:pt>
                <c:pt idx="779">
                  <c:v>154.76776115914933</c:v>
                </c:pt>
                <c:pt idx="780">
                  <c:v>154.76776115914933</c:v>
                </c:pt>
                <c:pt idx="781">
                  <c:v>154.76776115914933</c:v>
                </c:pt>
                <c:pt idx="782">
                  <c:v>155.03881816807117</c:v>
                </c:pt>
                <c:pt idx="783">
                  <c:v>153.84442489311687</c:v>
                </c:pt>
                <c:pt idx="784">
                  <c:v>153.84442489311687</c:v>
                </c:pt>
                <c:pt idx="785">
                  <c:v>153.72010021582832</c:v>
                </c:pt>
                <c:pt idx="786">
                  <c:v>153.3644989895935</c:v>
                </c:pt>
                <c:pt idx="787">
                  <c:v>153.3644989895935</c:v>
                </c:pt>
                <c:pt idx="788">
                  <c:v>153.3644989895935</c:v>
                </c:pt>
                <c:pt idx="789">
                  <c:v>152.71603453253238</c:v>
                </c:pt>
                <c:pt idx="790">
                  <c:v>151.69389150846132</c:v>
                </c:pt>
                <c:pt idx="791">
                  <c:v>151.61866090207994</c:v>
                </c:pt>
                <c:pt idx="792">
                  <c:v>151.46177295409871</c:v>
                </c:pt>
                <c:pt idx="793">
                  <c:v>150.09827406073438</c:v>
                </c:pt>
                <c:pt idx="794">
                  <c:v>150.09827406073438</c:v>
                </c:pt>
                <c:pt idx="795">
                  <c:v>150.09827406073438</c:v>
                </c:pt>
                <c:pt idx="796">
                  <c:v>149.79650962979255</c:v>
                </c:pt>
                <c:pt idx="797">
                  <c:v>148.70934316704012</c:v>
                </c:pt>
                <c:pt idx="798">
                  <c:v>148.0586276342741</c:v>
                </c:pt>
                <c:pt idx="799">
                  <c:v>148.15561291120795</c:v>
                </c:pt>
                <c:pt idx="800">
                  <c:v>148.75192458380877</c:v>
                </c:pt>
                <c:pt idx="801">
                  <c:v>148.75192458380877</c:v>
                </c:pt>
                <c:pt idx="802">
                  <c:v>148.75192458380877</c:v>
                </c:pt>
                <c:pt idx="803">
                  <c:v>147.27707477008096</c:v>
                </c:pt>
                <c:pt idx="804">
                  <c:v>147.20784130431795</c:v>
                </c:pt>
                <c:pt idx="805">
                  <c:v>146.41688891027314</c:v>
                </c:pt>
                <c:pt idx="806">
                  <c:v>147.23043798028675</c:v>
                </c:pt>
                <c:pt idx="807">
                  <c:v>148.90558198039673</c:v>
                </c:pt>
                <c:pt idx="808">
                  <c:v>148.90558198039673</c:v>
                </c:pt>
                <c:pt idx="809">
                  <c:v>148.90558198039673</c:v>
                </c:pt>
                <c:pt idx="810">
                  <c:v>149.58784694059909</c:v>
                </c:pt>
                <c:pt idx="811">
                  <c:v>149.58784694059909</c:v>
                </c:pt>
                <c:pt idx="812">
                  <c:v>148.60422996027108</c:v>
                </c:pt>
                <c:pt idx="813">
                  <c:v>148.33882641628747</c:v>
                </c:pt>
                <c:pt idx="814">
                  <c:v>146.40386360199608</c:v>
                </c:pt>
                <c:pt idx="815">
                  <c:v>146.40386360199608</c:v>
                </c:pt>
                <c:pt idx="816">
                  <c:v>146.40386360199608</c:v>
                </c:pt>
                <c:pt idx="817">
                  <c:v>146.16889253948833</c:v>
                </c:pt>
                <c:pt idx="818">
                  <c:v>146.52152097109001</c:v>
                </c:pt>
                <c:pt idx="819">
                  <c:v>147.27633586736869</c:v>
                </c:pt>
                <c:pt idx="820">
                  <c:v>146.92028786274969</c:v>
                </c:pt>
                <c:pt idx="821">
                  <c:v>146.76376077423259</c:v>
                </c:pt>
                <c:pt idx="822">
                  <c:v>146.76376077423259</c:v>
                </c:pt>
                <c:pt idx="823">
                  <c:v>146.76376077423259</c:v>
                </c:pt>
                <c:pt idx="824">
                  <c:v>145.7015967172099</c:v>
                </c:pt>
                <c:pt idx="825">
                  <c:v>145.75459150708662</c:v>
                </c:pt>
                <c:pt idx="826">
                  <c:v>145.82315480527336</c:v>
                </c:pt>
                <c:pt idx="827">
                  <c:v>145.44830774095104</c:v>
                </c:pt>
                <c:pt idx="828">
                  <c:v>145.63793079746506</c:v>
                </c:pt>
                <c:pt idx="829">
                  <c:v>145.63793079746506</c:v>
                </c:pt>
                <c:pt idx="830">
                  <c:v>145.63793079746506</c:v>
                </c:pt>
                <c:pt idx="831">
                  <c:v>144.93690114512736</c:v>
                </c:pt>
                <c:pt idx="832">
                  <c:v>144.52641491277512</c:v>
                </c:pt>
                <c:pt idx="833">
                  <c:v>144.93971928570448</c:v>
                </c:pt>
                <c:pt idx="834">
                  <c:v>144.91428728537457</c:v>
                </c:pt>
                <c:pt idx="835">
                  <c:v>144.11005182629256</c:v>
                </c:pt>
                <c:pt idx="836">
                  <c:v>144.11005182629256</c:v>
                </c:pt>
                <c:pt idx="837">
                  <c:v>144.11005182629256</c:v>
                </c:pt>
                <c:pt idx="838">
                  <c:v>142.49412314586974</c:v>
                </c:pt>
                <c:pt idx="839">
                  <c:v>142.69371279710765</c:v>
                </c:pt>
                <c:pt idx="840">
                  <c:v>142.22761983970969</c:v>
                </c:pt>
                <c:pt idx="841">
                  <c:v>143.07194506687929</c:v>
                </c:pt>
                <c:pt idx="842">
                  <c:v>141.64797643759539</c:v>
                </c:pt>
                <c:pt idx="843">
                  <c:v>141.64797643759539</c:v>
                </c:pt>
                <c:pt idx="844">
                  <c:v>141.64797643759539</c:v>
                </c:pt>
                <c:pt idx="845">
                  <c:v>140.66295038697882</c:v>
                </c:pt>
                <c:pt idx="846">
                  <c:v>139.52876909118405</c:v>
                </c:pt>
                <c:pt idx="847">
                  <c:v>139.26245480664807</c:v>
                </c:pt>
                <c:pt idx="848">
                  <c:v>140.2710054575698</c:v>
                </c:pt>
                <c:pt idx="849">
                  <c:v>139.00895962498109</c:v>
                </c:pt>
                <c:pt idx="850">
                  <c:v>139.00895962498109</c:v>
                </c:pt>
                <c:pt idx="851">
                  <c:v>139.00895962498109</c:v>
                </c:pt>
                <c:pt idx="852">
                  <c:v>140.16560012647267</c:v>
                </c:pt>
                <c:pt idx="853">
                  <c:v>139.60422308675751</c:v>
                </c:pt>
                <c:pt idx="854">
                  <c:v>140.02560383816999</c:v>
                </c:pt>
                <c:pt idx="855">
                  <c:v>138.30624596181079</c:v>
                </c:pt>
                <c:pt idx="856">
                  <c:v>138.45041790962705</c:v>
                </c:pt>
                <c:pt idx="857">
                  <c:v>138.45041790962705</c:v>
                </c:pt>
                <c:pt idx="858">
                  <c:v>138.45041790962705</c:v>
                </c:pt>
                <c:pt idx="859">
                  <c:v>136.62427999945012</c:v>
                </c:pt>
                <c:pt idx="860">
                  <c:v>135.81597198355857</c:v>
                </c:pt>
                <c:pt idx="861">
                  <c:v>134.4418191441101</c:v>
                </c:pt>
                <c:pt idx="862">
                  <c:v>136.71901420067911</c:v>
                </c:pt>
                <c:pt idx="863">
                  <c:v>137.16888566597473</c:v>
                </c:pt>
                <c:pt idx="864">
                  <c:v>137.16888566597473</c:v>
                </c:pt>
                <c:pt idx="865">
                  <c:v>137.16888566597473</c:v>
                </c:pt>
                <c:pt idx="866">
                  <c:v>135.2750951981634</c:v>
                </c:pt>
                <c:pt idx="867">
                  <c:v>133.77977949768365</c:v>
                </c:pt>
                <c:pt idx="868">
                  <c:v>135.90094579547173</c:v>
                </c:pt>
                <c:pt idx="869">
                  <c:v>137.45879328595191</c:v>
                </c:pt>
                <c:pt idx="870">
                  <c:v>136.43283546183142</c:v>
                </c:pt>
                <c:pt idx="871">
                  <c:v>136.43283546183142</c:v>
                </c:pt>
                <c:pt idx="872">
                  <c:v>136.43283546183142</c:v>
                </c:pt>
                <c:pt idx="873">
                  <c:v>137.99714405509809</c:v>
                </c:pt>
                <c:pt idx="874">
                  <c:v>138.80002199524353</c:v>
                </c:pt>
                <c:pt idx="875">
                  <c:v>137.36075979819367</c:v>
                </c:pt>
                <c:pt idx="876">
                  <c:v>139.40279477063086</c:v>
                </c:pt>
                <c:pt idx="877">
                  <c:v>139.49235665287384</c:v>
                </c:pt>
                <c:pt idx="878">
                  <c:v>139.49235665287384</c:v>
                </c:pt>
                <c:pt idx="879">
                  <c:v>139.49235665287384</c:v>
                </c:pt>
                <c:pt idx="880">
                  <c:v>140.61282528903126</c:v>
                </c:pt>
                <c:pt idx="881">
                  <c:v>140.51853786618645</c:v>
                </c:pt>
                <c:pt idx="882">
                  <c:v>140.66673081946027</c:v>
                </c:pt>
                <c:pt idx="883">
                  <c:v>140.10872180141044</c:v>
                </c:pt>
                <c:pt idx="884">
                  <c:v>140.50687007684587</c:v>
                </c:pt>
                <c:pt idx="885">
                  <c:v>140.50687007684587</c:v>
                </c:pt>
                <c:pt idx="886">
                  <c:v>140.50687007684587</c:v>
                </c:pt>
                <c:pt idx="887">
                  <c:v>140.81195097810101</c:v>
                </c:pt>
                <c:pt idx="888">
                  <c:v>140.38598215635869</c:v>
                </c:pt>
                <c:pt idx="889">
                  <c:v>138.91637339675296</c:v>
                </c:pt>
                <c:pt idx="890">
                  <c:v>138.97277057586297</c:v>
                </c:pt>
                <c:pt idx="891">
                  <c:v>139.24147340637586</c:v>
                </c:pt>
                <c:pt idx="892">
                  <c:v>139.24147340637586</c:v>
                </c:pt>
                <c:pt idx="893">
                  <c:v>139.24147340637586</c:v>
                </c:pt>
                <c:pt idx="894">
                  <c:v>139.47781917160415</c:v>
                </c:pt>
                <c:pt idx="895">
                  <c:v>137.07298296743332</c:v>
                </c:pt>
                <c:pt idx="896">
                  <c:v>135.30783030669619</c:v>
                </c:pt>
                <c:pt idx="897">
                  <c:v>136.83244435890737</c:v>
                </c:pt>
                <c:pt idx="898">
                  <c:v>136.83244435890737</c:v>
                </c:pt>
                <c:pt idx="899">
                  <c:v>136.83244435890737</c:v>
                </c:pt>
                <c:pt idx="900">
                  <c:v>136.83244435890737</c:v>
                </c:pt>
                <c:pt idx="901">
                  <c:v>137.01308029638594</c:v>
                </c:pt>
                <c:pt idx="902">
                  <c:v>135.01096325419627</c:v>
                </c:pt>
                <c:pt idx="903">
                  <c:v>134.49654949617147</c:v>
                </c:pt>
                <c:pt idx="904">
                  <c:v>134.95688588592719</c:v>
                </c:pt>
                <c:pt idx="905">
                  <c:v>133.20467261454712</c:v>
                </c:pt>
                <c:pt idx="906">
                  <c:v>133.20467261454712</c:v>
                </c:pt>
                <c:pt idx="907">
                  <c:v>133.20467261454712</c:v>
                </c:pt>
                <c:pt idx="908">
                  <c:v>137.32228530580264</c:v>
                </c:pt>
                <c:pt idx="909">
                  <c:v>137.81752196087595</c:v>
                </c:pt>
                <c:pt idx="910">
                  <c:v>136.58633820436333</c:v>
                </c:pt>
                <c:pt idx="911">
                  <c:v>137.51859285429526</c:v>
                </c:pt>
                <c:pt idx="912">
                  <c:v>135.68305541426668</c:v>
                </c:pt>
                <c:pt idx="913">
                  <c:v>135.68305541426668</c:v>
                </c:pt>
                <c:pt idx="914">
                  <c:v>135.68305541426668</c:v>
                </c:pt>
                <c:pt idx="915">
                  <c:v>133.45986899083076</c:v>
                </c:pt>
                <c:pt idx="916">
                  <c:v>133.58568865732786</c:v>
                </c:pt>
                <c:pt idx="917">
                  <c:v>137.75138157623414</c:v>
                </c:pt>
                <c:pt idx="918">
                  <c:v>135.12315617997609</c:v>
                </c:pt>
                <c:pt idx="919">
                  <c:v>136.76814263915429</c:v>
                </c:pt>
                <c:pt idx="920">
                  <c:v>136.76814263915429</c:v>
                </c:pt>
                <c:pt idx="921">
                  <c:v>136.76814263915429</c:v>
                </c:pt>
                <c:pt idx="922">
                  <c:v>138.14312030023507</c:v>
                </c:pt>
                <c:pt idx="923">
                  <c:v>135.11310366633217</c:v>
                </c:pt>
                <c:pt idx="924">
                  <c:v>134.60513382730986</c:v>
                </c:pt>
                <c:pt idx="925">
                  <c:v>132.76260258719051</c:v>
                </c:pt>
                <c:pt idx="926">
                  <c:v>137.54026160592772</c:v>
                </c:pt>
                <c:pt idx="927">
                  <c:v>137.54026160592772</c:v>
                </c:pt>
                <c:pt idx="928">
                  <c:v>137.54026160592772</c:v>
                </c:pt>
                <c:pt idx="929">
                  <c:v>139.37975131627786</c:v>
                </c:pt>
                <c:pt idx="930">
                  <c:v>140.48463426034121</c:v>
                </c:pt>
                <c:pt idx="931">
                  <c:v>142.17199593087994</c:v>
                </c:pt>
                <c:pt idx="932">
                  <c:v>142.5107742325722</c:v>
                </c:pt>
                <c:pt idx="933">
                  <c:v>143.14454655430765</c:v>
                </c:pt>
                <c:pt idx="934">
                  <c:v>143.14454655430765</c:v>
                </c:pt>
                <c:pt idx="935">
                  <c:v>143.14454655430765</c:v>
                </c:pt>
                <c:pt idx="936">
                  <c:v>141.56930907441264</c:v>
                </c:pt>
                <c:pt idx="937">
                  <c:v>142.99485861182518</c:v>
                </c:pt>
                <c:pt idx="938">
                  <c:v>141.79032690430694</c:v>
                </c:pt>
                <c:pt idx="939">
                  <c:v>140.97811816944588</c:v>
                </c:pt>
                <c:pt idx="940">
                  <c:v>139.98750738902712</c:v>
                </c:pt>
                <c:pt idx="941">
                  <c:v>139.98750738902712</c:v>
                </c:pt>
                <c:pt idx="942">
                  <c:v>139.98750738902712</c:v>
                </c:pt>
                <c:pt idx="943">
                  <c:v>141.0314910025707</c:v>
                </c:pt>
                <c:pt idx="944">
                  <c:v>140.65281195441489</c:v>
                </c:pt>
                <c:pt idx="945">
                  <c:v>141.29876757901104</c:v>
                </c:pt>
                <c:pt idx="946">
                  <c:v>141.90686732744044</c:v>
                </c:pt>
                <c:pt idx="947">
                  <c:v>141.66558981620224</c:v>
                </c:pt>
                <c:pt idx="948">
                  <c:v>141.66558981620224</c:v>
                </c:pt>
                <c:pt idx="949">
                  <c:v>141.66558981620224</c:v>
                </c:pt>
                <c:pt idx="950">
                  <c:v>140.83903262169557</c:v>
                </c:pt>
                <c:pt idx="951">
                  <c:v>140.95052101233111</c:v>
                </c:pt>
                <c:pt idx="952">
                  <c:v>139.90569539337119</c:v>
                </c:pt>
                <c:pt idx="953">
                  <c:v>139.16084709181641</c:v>
                </c:pt>
                <c:pt idx="954">
                  <c:v>140.2504536518978</c:v>
                </c:pt>
                <c:pt idx="955">
                  <c:v>140.2504536518978</c:v>
                </c:pt>
                <c:pt idx="956">
                  <c:v>140.2504536518978</c:v>
                </c:pt>
                <c:pt idx="957">
                  <c:v>140.39548478891439</c:v>
                </c:pt>
                <c:pt idx="958">
                  <c:v>140.39548478891439</c:v>
                </c:pt>
                <c:pt idx="959">
                  <c:v>139.34488541852826</c:v>
                </c:pt>
                <c:pt idx="960">
                  <c:v>139.03678017128797</c:v>
                </c:pt>
                <c:pt idx="961">
                  <c:v>137.57756760100628</c:v>
                </c:pt>
                <c:pt idx="962">
                  <c:v>137.57756760100628</c:v>
                </c:pt>
                <c:pt idx="963">
                  <c:v>137.57756760100628</c:v>
                </c:pt>
                <c:pt idx="964">
                  <c:v>136.91623248972411</c:v>
                </c:pt>
                <c:pt idx="965">
                  <c:v>135.92323316332843</c:v>
                </c:pt>
                <c:pt idx="966">
                  <c:v>135.48927388202301</c:v>
                </c:pt>
                <c:pt idx="967">
                  <c:v>137.56815088737062</c:v>
                </c:pt>
                <c:pt idx="968">
                  <c:v>138.01511829316914</c:v>
                </c:pt>
                <c:pt idx="969">
                  <c:v>138.01511829316914</c:v>
                </c:pt>
                <c:pt idx="970">
                  <c:v>138.01511829316914</c:v>
                </c:pt>
                <c:pt idx="971">
                  <c:v>138.35248752457284</c:v>
                </c:pt>
                <c:pt idx="972">
                  <c:v>137.25243322381539</c:v>
                </c:pt>
                <c:pt idx="973">
                  <c:v>136.67780748663102</c:v>
                </c:pt>
                <c:pt idx="974">
                  <c:v>134.80719794344475</c:v>
                </c:pt>
                <c:pt idx="975">
                  <c:v>133.97610422996027</c:v>
                </c:pt>
                <c:pt idx="976">
                  <c:v>133.97610422996027</c:v>
                </c:pt>
                <c:pt idx="977">
                  <c:v>133.97610422996027</c:v>
                </c:pt>
                <c:pt idx="978">
                  <c:v>134.67154915249577</c:v>
                </c:pt>
                <c:pt idx="979">
                  <c:v>133.90840012097385</c:v>
                </c:pt>
                <c:pt idx="980">
                  <c:v>134.42128452222209</c:v>
                </c:pt>
                <c:pt idx="981">
                  <c:v>134.43164634397812</c:v>
                </c:pt>
                <c:pt idx="982">
                  <c:v>133.03859134212226</c:v>
                </c:pt>
                <c:pt idx="983">
                  <c:v>133.03859134212226</c:v>
                </c:pt>
                <c:pt idx="984">
                  <c:v>133.03859134212226</c:v>
                </c:pt>
                <c:pt idx="985">
                  <c:v>130.86401784364134</c:v>
                </c:pt>
                <c:pt idx="986">
                  <c:v>130.17532614822048</c:v>
                </c:pt>
                <c:pt idx="987">
                  <c:v>129.34435272122406</c:v>
                </c:pt>
                <c:pt idx="988">
                  <c:v>126.00901461308993</c:v>
                </c:pt>
                <c:pt idx="989">
                  <c:v>128.07328540203181</c:v>
                </c:pt>
                <c:pt idx="990">
                  <c:v>128.07328540203181</c:v>
                </c:pt>
                <c:pt idx="991">
                  <c:v>128.07328540203181</c:v>
                </c:pt>
                <c:pt idx="992">
                  <c:v>130.0419971681124</c:v>
                </c:pt>
                <c:pt idx="993">
                  <c:v>129.69132768788751</c:v>
                </c:pt>
                <c:pt idx="994">
                  <c:v>130.72307644721829</c:v>
                </c:pt>
                <c:pt idx="995">
                  <c:v>131.23271311328926</c:v>
                </c:pt>
                <c:pt idx="996">
                  <c:v>131.23271311328926</c:v>
                </c:pt>
                <c:pt idx="997">
                  <c:v>131.23271311328926</c:v>
                </c:pt>
                <c:pt idx="998">
                  <c:v>131.23271311328926</c:v>
                </c:pt>
                <c:pt idx="999">
                  <c:v>131.08278459783071</c:v>
                </c:pt>
                <c:pt idx="1000">
                  <c:v>133.18881198190894</c:v>
                </c:pt>
                <c:pt idx="1001">
                  <c:v>133.78819955184693</c:v>
                </c:pt>
                <c:pt idx="1002">
                  <c:v>132.35594833867177</c:v>
                </c:pt>
                <c:pt idx="1003">
                  <c:v>134.31335317487594</c:v>
                </c:pt>
                <c:pt idx="1004">
                  <c:v>134.31335317487594</c:v>
                </c:pt>
                <c:pt idx="1005">
                  <c:v>134.31335317487594</c:v>
                </c:pt>
                <c:pt idx="1006">
                  <c:v>135.71831653904843</c:v>
                </c:pt>
                <c:pt idx="1007">
                  <c:v>134.41408451672328</c:v>
                </c:pt>
                <c:pt idx="1008">
                  <c:v>132.90787429718324</c:v>
                </c:pt>
                <c:pt idx="1009">
                  <c:v>131.40480871011647</c:v>
                </c:pt>
                <c:pt idx="1010">
                  <c:v>136.04298695407118</c:v>
                </c:pt>
                <c:pt idx="1011">
                  <c:v>136.04298695407118</c:v>
                </c:pt>
                <c:pt idx="1012">
                  <c:v>136.04298695407118</c:v>
                </c:pt>
                <c:pt idx="1013">
                  <c:v>135.93381837427657</c:v>
                </c:pt>
                <c:pt idx="1014">
                  <c:v>136.49627799238417</c:v>
                </c:pt>
                <c:pt idx="1015">
                  <c:v>136.84746298612927</c:v>
                </c:pt>
                <c:pt idx="1016">
                  <c:v>139.5888436000715</c:v>
                </c:pt>
                <c:pt idx="1017">
                  <c:v>140.28834389563258</c:v>
                </c:pt>
                <c:pt idx="1018">
                  <c:v>140.28834389563258</c:v>
                </c:pt>
                <c:pt idx="1019">
                  <c:v>140.28834389563258</c:v>
                </c:pt>
                <c:pt idx="1020">
                  <c:v>138.10215415916309</c:v>
                </c:pt>
                <c:pt idx="1021">
                  <c:v>138.32327509176142</c:v>
                </c:pt>
                <c:pt idx="1022">
                  <c:v>139.1093988425003</c:v>
                </c:pt>
                <c:pt idx="1023">
                  <c:v>140.25151904650622</c:v>
                </c:pt>
                <c:pt idx="1024">
                  <c:v>139.98594366468254</c:v>
                </c:pt>
                <c:pt idx="1025">
                  <c:v>139.98594366468254</c:v>
                </c:pt>
                <c:pt idx="1026">
                  <c:v>139.98594366468254</c:v>
                </c:pt>
                <c:pt idx="1027">
                  <c:v>139.50967790715259</c:v>
                </c:pt>
                <c:pt idx="1028">
                  <c:v>139.22327577911278</c:v>
                </c:pt>
                <c:pt idx="1029">
                  <c:v>139.54645120492694</c:v>
                </c:pt>
                <c:pt idx="1030">
                  <c:v>137.73259970031481</c:v>
                </c:pt>
                <c:pt idx="1031">
                  <c:v>137.43695269647941</c:v>
                </c:pt>
                <c:pt idx="1032">
                  <c:v>137.43695269647941</c:v>
                </c:pt>
                <c:pt idx="1033">
                  <c:v>137.43695269647941</c:v>
                </c:pt>
                <c:pt idx="1034">
                  <c:v>137.43695269647941</c:v>
                </c:pt>
                <c:pt idx="1035">
                  <c:v>137.40291162036212</c:v>
                </c:pt>
                <c:pt idx="1036">
                  <c:v>137.47413840506994</c:v>
                </c:pt>
                <c:pt idx="1037">
                  <c:v>137.05806744291547</c:v>
                </c:pt>
                <c:pt idx="1038">
                  <c:v>137.19814965013816</c:v>
                </c:pt>
                <c:pt idx="1039">
                  <c:v>137.19814965013816</c:v>
                </c:pt>
                <c:pt idx="1040">
                  <c:v>137.19814965013816</c:v>
                </c:pt>
                <c:pt idx="1041">
                  <c:v>136.56570047977127</c:v>
                </c:pt>
                <c:pt idx="1042">
                  <c:v>136.85584867272453</c:v>
                </c:pt>
                <c:pt idx="1043">
                  <c:v>135.9113248010118</c:v>
                </c:pt>
                <c:pt idx="1044">
                  <c:v>136.67782467041502</c:v>
                </c:pt>
                <c:pt idx="1045">
                  <c:v>136.41676862378512</c:v>
                </c:pt>
                <c:pt idx="1046">
                  <c:v>136.41676862378512</c:v>
                </c:pt>
                <c:pt idx="1047">
                  <c:v>136.41676862378512</c:v>
                </c:pt>
                <c:pt idx="1048">
                  <c:v>135.61071168359842</c:v>
                </c:pt>
                <c:pt idx="1049">
                  <c:v>135.6754773655197</c:v>
                </c:pt>
                <c:pt idx="1050">
                  <c:v>134.87017651182933</c:v>
                </c:pt>
                <c:pt idx="1051">
                  <c:v>134.53029844796063</c:v>
                </c:pt>
                <c:pt idx="1052">
                  <c:v>132.81898258251655</c:v>
                </c:pt>
                <c:pt idx="1053">
                  <c:v>132.81898258251655</c:v>
                </c:pt>
                <c:pt idx="1054">
                  <c:v>132.81898258251655</c:v>
                </c:pt>
                <c:pt idx="1055">
                  <c:v>131.785292055593</c:v>
                </c:pt>
                <c:pt idx="1056">
                  <c:v>131.34213944984398</c:v>
                </c:pt>
                <c:pt idx="1057">
                  <c:v>132.16945273084696</c:v>
                </c:pt>
                <c:pt idx="1058">
                  <c:v>131.24185488638082</c:v>
                </c:pt>
                <c:pt idx="1059">
                  <c:v>131.32993896319923</c:v>
                </c:pt>
                <c:pt idx="1060">
                  <c:v>131.32993896319923</c:v>
                </c:pt>
                <c:pt idx="1061">
                  <c:v>131.32993896319923</c:v>
                </c:pt>
                <c:pt idx="1062">
                  <c:v>134.70297829344403</c:v>
                </c:pt>
                <c:pt idx="1063">
                  <c:v>132.81291670676217</c:v>
                </c:pt>
                <c:pt idx="1064">
                  <c:v>132.72661974348048</c:v>
                </c:pt>
                <c:pt idx="1065">
                  <c:v>132.56392367650497</c:v>
                </c:pt>
                <c:pt idx="1066">
                  <c:v>132.11798729774685</c:v>
                </c:pt>
                <c:pt idx="1067">
                  <c:v>132.11798729774685</c:v>
                </c:pt>
                <c:pt idx="1068">
                  <c:v>132.11798729774685</c:v>
                </c:pt>
                <c:pt idx="1069">
                  <c:v>131.12790921463233</c:v>
                </c:pt>
                <c:pt idx="1070">
                  <c:v>131.34262059579615</c:v>
                </c:pt>
                <c:pt idx="1071">
                  <c:v>130.44263709222881</c:v>
                </c:pt>
                <c:pt idx="1072">
                  <c:v>129.87613928487966</c:v>
                </c:pt>
                <c:pt idx="1073">
                  <c:v>127.29991201902588</c:v>
                </c:pt>
                <c:pt idx="1074">
                  <c:v>127.29991201902588</c:v>
                </c:pt>
                <c:pt idx="1075">
                  <c:v>127.29991201902588</c:v>
                </c:pt>
                <c:pt idx="1076">
                  <c:v>127.52883438956326</c:v>
                </c:pt>
                <c:pt idx="1077">
                  <c:v>128.98010805163383</c:v>
                </c:pt>
                <c:pt idx="1078">
                  <c:v>130.19055098085039</c:v>
                </c:pt>
                <c:pt idx="1079">
                  <c:v>130.21127462436249</c:v>
                </c:pt>
                <c:pt idx="1080">
                  <c:v>130.51690540670583</c:v>
                </c:pt>
                <c:pt idx="1081">
                  <c:v>130.51690540670583</c:v>
                </c:pt>
                <c:pt idx="1082">
                  <c:v>130.51690540670583</c:v>
                </c:pt>
                <c:pt idx="1083">
                  <c:v>129.43740291162038</c:v>
                </c:pt>
                <c:pt idx="1084">
                  <c:v>129.8150509327358</c:v>
                </c:pt>
                <c:pt idx="1085">
                  <c:v>129.72550623427682</c:v>
                </c:pt>
                <c:pt idx="1086">
                  <c:v>129.81420892731947</c:v>
                </c:pt>
                <c:pt idx="1087">
                  <c:v>129.35170738077892</c:v>
                </c:pt>
                <c:pt idx="1088">
                  <c:v>129.35170738077892</c:v>
                </c:pt>
                <c:pt idx="1089">
                  <c:v>129.35170738077892</c:v>
                </c:pt>
                <c:pt idx="1090">
                  <c:v>128.18601102511582</c:v>
                </c:pt>
                <c:pt idx="1091">
                  <c:v>128.69054410733679</c:v>
                </c:pt>
                <c:pt idx="1092">
                  <c:v>128.65096985276935</c:v>
                </c:pt>
                <c:pt idx="1093">
                  <c:v>128.40427944956906</c:v>
                </c:pt>
                <c:pt idx="1094">
                  <c:v>128.40427944956906</c:v>
                </c:pt>
                <c:pt idx="1095">
                  <c:v>128.40427944956906</c:v>
                </c:pt>
                <c:pt idx="1096">
                  <c:v>128.40427944956906</c:v>
                </c:pt>
                <c:pt idx="1097">
                  <c:v>127.6231905475441</c:v>
                </c:pt>
                <c:pt idx="1098">
                  <c:v>127.51017280013197</c:v>
                </c:pt>
                <c:pt idx="1099">
                  <c:v>127.41121138803734</c:v>
                </c:pt>
                <c:pt idx="1100">
                  <c:v>125.57746106154543</c:v>
                </c:pt>
                <c:pt idx="1101">
                  <c:v>125.41065807019234</c:v>
                </c:pt>
                <c:pt idx="1102">
                  <c:v>125.41065807019234</c:v>
                </c:pt>
                <c:pt idx="1103">
                  <c:v>125.41065807019234</c:v>
                </c:pt>
                <c:pt idx="1104">
                  <c:v>125.24146653286228</c:v>
                </c:pt>
                <c:pt idx="1105">
                  <c:v>126.73523569278144</c:v>
                </c:pt>
                <c:pt idx="1106">
                  <c:v>127.19581265551325</c:v>
                </c:pt>
                <c:pt idx="1107">
                  <c:v>126.25847160551531</c:v>
                </c:pt>
                <c:pt idx="1108">
                  <c:v>124.82073876524203</c:v>
                </c:pt>
                <c:pt idx="1109">
                  <c:v>124.82073876524203</c:v>
                </c:pt>
                <c:pt idx="1110">
                  <c:v>124.82073876524203</c:v>
                </c:pt>
                <c:pt idx="1111">
                  <c:v>125.1277958016579</c:v>
                </c:pt>
                <c:pt idx="1112">
                  <c:v>123.43247803912405</c:v>
                </c:pt>
                <c:pt idx="1113">
                  <c:v>120.77261729650964</c:v>
                </c:pt>
                <c:pt idx="1114">
                  <c:v>121.75888057957469</c:v>
                </c:pt>
                <c:pt idx="1115">
                  <c:v>123.11947541344183</c:v>
                </c:pt>
                <c:pt idx="1116">
                  <c:v>123.11947541344183</c:v>
                </c:pt>
                <c:pt idx="1117">
                  <c:v>123.11947541344183</c:v>
                </c:pt>
                <c:pt idx="1118">
                  <c:v>121.54884318766068</c:v>
                </c:pt>
                <c:pt idx="1119">
                  <c:v>120.7292626094607</c:v>
                </c:pt>
                <c:pt idx="1120">
                  <c:v>120.6362811542004</c:v>
                </c:pt>
                <c:pt idx="1121">
                  <c:v>122.98826003876661</c:v>
                </c:pt>
                <c:pt idx="1122">
                  <c:v>122.98826003876661</c:v>
                </c:pt>
                <c:pt idx="1123">
                  <c:v>122.98826003876661</c:v>
                </c:pt>
                <c:pt idx="1124">
                  <c:v>122.98826003876661</c:v>
                </c:pt>
                <c:pt idx="1125">
                  <c:v>121.73788199551848</c:v>
                </c:pt>
                <c:pt idx="1126">
                  <c:v>120.88264506550459</c:v>
                </c:pt>
                <c:pt idx="1127">
                  <c:v>120.69604635497575</c:v>
                </c:pt>
                <c:pt idx="1128">
                  <c:v>118.66975172868868</c:v>
                </c:pt>
                <c:pt idx="1129">
                  <c:v>119.7963377919525</c:v>
                </c:pt>
                <c:pt idx="1130">
                  <c:v>119.7963377919525</c:v>
                </c:pt>
                <c:pt idx="1131">
                  <c:v>119.7963377919525</c:v>
                </c:pt>
                <c:pt idx="1132">
                  <c:v>120.04708356817839</c:v>
                </c:pt>
                <c:pt idx="1133">
                  <c:v>119.5488913022559</c:v>
                </c:pt>
                <c:pt idx="1134">
                  <c:v>118.51652392670084</c:v>
                </c:pt>
                <c:pt idx="1135">
                  <c:v>117.2530518400396</c:v>
                </c:pt>
                <c:pt idx="1136">
                  <c:v>115.79906314009595</c:v>
                </c:pt>
                <c:pt idx="1137">
                  <c:v>115.79906314009595</c:v>
                </c:pt>
                <c:pt idx="1138">
                  <c:v>115.79906314009595</c:v>
                </c:pt>
                <c:pt idx="1139">
                  <c:v>111.06745666249674</c:v>
                </c:pt>
                <c:pt idx="1140">
                  <c:v>114.54603879411079</c:v>
                </c:pt>
                <c:pt idx="1141">
                  <c:v>114.01916679268109</c:v>
                </c:pt>
                <c:pt idx="1142">
                  <c:v>114.01916679268109</c:v>
                </c:pt>
                <c:pt idx="1143">
                  <c:v>113.14700383542061</c:v>
                </c:pt>
                <c:pt idx="1144">
                  <c:v>113.14700383542061</c:v>
                </c:pt>
                <c:pt idx="1145">
                  <c:v>113.14700383542061</c:v>
                </c:pt>
                <c:pt idx="1146">
                  <c:v>113.06056940186686</c:v>
                </c:pt>
                <c:pt idx="1147">
                  <c:v>112.62862062329022</c:v>
                </c:pt>
                <c:pt idx="1148">
                  <c:v>106.4177824670415</c:v>
                </c:pt>
                <c:pt idx="1149">
                  <c:v>106.4177824670415</c:v>
                </c:pt>
                <c:pt idx="1150">
                  <c:v>108.82481819556521</c:v>
                </c:pt>
                <c:pt idx="1151">
                  <c:v>108.82481819556521</c:v>
                </c:pt>
                <c:pt idx="1152">
                  <c:v>108.82481819556521</c:v>
                </c:pt>
                <c:pt idx="1153">
                  <c:v>112.18273579588416</c:v>
                </c:pt>
                <c:pt idx="1154">
                  <c:v>114.04580165789149</c:v>
                </c:pt>
                <c:pt idx="1155">
                  <c:v>116.57326134473421</c:v>
                </c:pt>
                <c:pt idx="1156">
                  <c:v>116.05468911097975</c:v>
                </c:pt>
                <c:pt idx="1157">
                  <c:v>118.75137470272054</c:v>
                </c:pt>
                <c:pt idx="1158">
                  <c:v>118.75137470272054</c:v>
                </c:pt>
                <c:pt idx="1159">
                  <c:v>118.75137470272054</c:v>
                </c:pt>
                <c:pt idx="1160">
                  <c:v>121.49509231128771</c:v>
                </c:pt>
                <c:pt idx="1161">
                  <c:v>121.97586022022737</c:v>
                </c:pt>
                <c:pt idx="1162">
                  <c:v>120.83346507567741</c:v>
                </c:pt>
                <c:pt idx="1163">
                  <c:v>120.63909929477752</c:v>
                </c:pt>
                <c:pt idx="1164">
                  <c:v>119.75812105632157</c:v>
                </c:pt>
                <c:pt idx="1165">
                  <c:v>119.75812105632157</c:v>
                </c:pt>
                <c:pt idx="1166">
                  <c:v>119.75812105632157</c:v>
                </c:pt>
                <c:pt idx="1167">
                  <c:v>123.52149004027879</c:v>
                </c:pt>
                <c:pt idx="1168">
                  <c:v>123.00884621200667</c:v>
                </c:pt>
                <c:pt idx="1169">
                  <c:v>123.00884621200667</c:v>
                </c:pt>
                <c:pt idx="1170">
                  <c:v>127.87333489132975</c:v>
                </c:pt>
                <c:pt idx="1171">
                  <c:v>125.96634727740128</c:v>
                </c:pt>
                <c:pt idx="1172">
                  <c:v>125.96634727740128</c:v>
                </c:pt>
                <c:pt idx="1173">
                  <c:v>125.96634727740128</c:v>
                </c:pt>
                <c:pt idx="1174">
                  <c:v>124.97907015107985</c:v>
                </c:pt>
                <c:pt idx="1175">
                  <c:v>125.29714199304401</c:v>
                </c:pt>
                <c:pt idx="1176">
                  <c:v>121.70758698431466</c:v>
                </c:pt>
                <c:pt idx="1177">
                  <c:v>121.69303231926096</c:v>
                </c:pt>
                <c:pt idx="1178">
                  <c:v>119.23800228200653</c:v>
                </c:pt>
                <c:pt idx="1179">
                  <c:v>119.23800228200653</c:v>
                </c:pt>
                <c:pt idx="1180">
                  <c:v>119.23800228200653</c:v>
                </c:pt>
                <c:pt idx="1181">
                  <c:v>119.80965522455772</c:v>
                </c:pt>
                <c:pt idx="1182">
                  <c:v>119.80965522455772</c:v>
                </c:pt>
                <c:pt idx="1183">
                  <c:v>118.71972217258021</c:v>
                </c:pt>
                <c:pt idx="1184">
                  <c:v>120.7758306641189</c:v>
                </c:pt>
                <c:pt idx="1185">
                  <c:v>124.54588414005472</c:v>
                </c:pt>
                <c:pt idx="1186">
                  <c:v>124.54588414005472</c:v>
                </c:pt>
                <c:pt idx="1187">
                  <c:v>124.54588414005472</c:v>
                </c:pt>
                <c:pt idx="1188">
                  <c:v>124.73763798578558</c:v>
                </c:pt>
                <c:pt idx="1189">
                  <c:v>122.63023589898685</c:v>
                </c:pt>
                <c:pt idx="1190">
                  <c:v>123.73828065930743</c:v>
                </c:pt>
                <c:pt idx="1191">
                  <c:v>123.73817755660339</c:v>
                </c:pt>
                <c:pt idx="1192">
                  <c:v>127.27860412685759</c:v>
                </c:pt>
                <c:pt idx="1193">
                  <c:v>127.27860412685759</c:v>
                </c:pt>
                <c:pt idx="1194">
                  <c:v>127.27860412685759</c:v>
                </c:pt>
                <c:pt idx="1195">
                  <c:v>129.40910121936133</c:v>
                </c:pt>
                <c:pt idx="1196">
                  <c:v>130.09420150392478</c:v>
                </c:pt>
                <c:pt idx="1197">
                  <c:v>126.74697221725803</c:v>
                </c:pt>
                <c:pt idx="1198">
                  <c:v>125.93739260134996</c:v>
                </c:pt>
                <c:pt idx="1199">
                  <c:v>126.42099583465077</c:v>
                </c:pt>
                <c:pt idx="1200">
                  <c:v>126.42099583465077</c:v>
                </c:pt>
                <c:pt idx="1201">
                  <c:v>126.42099583465077</c:v>
                </c:pt>
                <c:pt idx="1202">
                  <c:v>127.74522978155973</c:v>
                </c:pt>
                <c:pt idx="1203">
                  <c:v>125.542990390828</c:v>
                </c:pt>
                <c:pt idx="1204">
                  <c:v>123.06424673164429</c:v>
                </c:pt>
                <c:pt idx="1205">
                  <c:v>121.15069491222525</c:v>
                </c:pt>
                <c:pt idx="1206">
                  <c:v>123.15982293828962</c:v>
                </c:pt>
                <c:pt idx="1207">
                  <c:v>123.15982293828962</c:v>
                </c:pt>
                <c:pt idx="1208">
                  <c:v>123.15982293828962</c:v>
                </c:pt>
                <c:pt idx="1209">
                  <c:v>125.75670511251944</c:v>
                </c:pt>
                <c:pt idx="1210">
                  <c:v>122.14922741707106</c:v>
                </c:pt>
                <c:pt idx="1211">
                  <c:v>127.80506371747111</c:v>
                </c:pt>
                <c:pt idx="1212">
                  <c:v>128.33930756223967</c:v>
                </c:pt>
                <c:pt idx="1213">
                  <c:v>128.00245384435615</c:v>
                </c:pt>
                <c:pt idx="1214">
                  <c:v>128.00245384435615</c:v>
                </c:pt>
                <c:pt idx="1215">
                  <c:v>128.00245384435615</c:v>
                </c:pt>
                <c:pt idx="1216">
                  <c:v>128.62301183619041</c:v>
                </c:pt>
                <c:pt idx="1217">
                  <c:v>131.33055757942347</c:v>
                </c:pt>
                <c:pt idx="1218">
                  <c:v>131.37843160166614</c:v>
                </c:pt>
                <c:pt idx="1219">
                  <c:v>127.68829990514551</c:v>
                </c:pt>
                <c:pt idx="1220">
                  <c:v>128.8250072171893</c:v>
                </c:pt>
                <c:pt idx="1221">
                  <c:v>128.8250072171893</c:v>
                </c:pt>
                <c:pt idx="1222">
                  <c:v>128.8250072171893</c:v>
                </c:pt>
                <c:pt idx="1223">
                  <c:v>125.94100119599136</c:v>
                </c:pt>
                <c:pt idx="1224">
                  <c:v>127.5389040869912</c:v>
                </c:pt>
                <c:pt idx="1225">
                  <c:v>132.96839558445487</c:v>
                </c:pt>
                <c:pt idx="1226">
                  <c:v>132.93287670291301</c:v>
                </c:pt>
                <c:pt idx="1227">
                  <c:v>133.83499099569721</c:v>
                </c:pt>
                <c:pt idx="1228">
                  <c:v>133.83499099569721</c:v>
                </c:pt>
                <c:pt idx="1229">
                  <c:v>133.83499099569721</c:v>
                </c:pt>
                <c:pt idx="1230">
                  <c:v>135.3997979187001</c:v>
                </c:pt>
                <c:pt idx="1231">
                  <c:v>137.90132727547669</c:v>
                </c:pt>
                <c:pt idx="1232">
                  <c:v>137.46248779951335</c:v>
                </c:pt>
                <c:pt idx="1233">
                  <c:v>138.11126156468666</c:v>
                </c:pt>
                <c:pt idx="1234">
                  <c:v>138.26679199373137</c:v>
                </c:pt>
                <c:pt idx="1235">
                  <c:v>138.26679199373137</c:v>
                </c:pt>
                <c:pt idx="1236">
                  <c:v>138.26679199373137</c:v>
                </c:pt>
                <c:pt idx="1237">
                  <c:v>138.19144110086194</c:v>
                </c:pt>
                <c:pt idx="1238">
                  <c:v>137.30472347854777</c:v>
                </c:pt>
                <c:pt idx="1239">
                  <c:v>137.59865210398252</c:v>
                </c:pt>
                <c:pt idx="1240">
                  <c:v>137.35424714405511</c:v>
                </c:pt>
                <c:pt idx="1241">
                  <c:v>137.24610959130089</c:v>
                </c:pt>
                <c:pt idx="1242">
                  <c:v>137.24610959130089</c:v>
                </c:pt>
                <c:pt idx="1243">
                  <c:v>137.24610959130089</c:v>
                </c:pt>
                <c:pt idx="1244">
                  <c:v>137.95540464374579</c:v>
                </c:pt>
                <c:pt idx="1245">
                  <c:v>136.61173583712522</c:v>
                </c:pt>
                <c:pt idx="1246">
                  <c:v>136.71602422226195</c:v>
                </c:pt>
                <c:pt idx="1247">
                  <c:v>135.67958428989732</c:v>
                </c:pt>
                <c:pt idx="1248">
                  <c:v>137.64286598023179</c:v>
                </c:pt>
                <c:pt idx="1249">
                  <c:v>137.64286598023179</c:v>
                </c:pt>
                <c:pt idx="1250">
                  <c:v>137.64286598023179</c:v>
                </c:pt>
                <c:pt idx="1251">
                  <c:v>137.70586173240039</c:v>
                </c:pt>
                <c:pt idx="1252">
                  <c:v>136.68375307589736</c:v>
                </c:pt>
                <c:pt idx="1253">
                  <c:v>136.99727121509974</c:v>
                </c:pt>
                <c:pt idx="1254">
                  <c:v>136.16705387459962</c:v>
                </c:pt>
                <c:pt idx="1255">
                  <c:v>135.79555764815859</c:v>
                </c:pt>
                <c:pt idx="1256">
                  <c:v>135.79555764815859</c:v>
                </c:pt>
                <c:pt idx="1257">
                  <c:v>135.79555764815859</c:v>
                </c:pt>
                <c:pt idx="1258">
                  <c:v>136.14241232833399</c:v>
                </c:pt>
                <c:pt idx="1259">
                  <c:v>137.38732592826801</c:v>
                </c:pt>
                <c:pt idx="1260">
                  <c:v>139.03822360914452</c:v>
                </c:pt>
                <c:pt idx="1261">
                  <c:v>139.35253220241123</c:v>
                </c:pt>
                <c:pt idx="1262">
                  <c:v>139.35253220241123</c:v>
                </c:pt>
                <c:pt idx="1263">
                  <c:v>139.35253220241123</c:v>
                </c:pt>
                <c:pt idx="1264">
                  <c:v>139.35253220241123</c:v>
                </c:pt>
                <c:pt idx="1265">
                  <c:v>138.98868275985319</c:v>
                </c:pt>
                <c:pt idx="1266">
                  <c:v>139.35510977001223</c:v>
                </c:pt>
                <c:pt idx="1267">
                  <c:v>137.9864385576619</c:v>
                </c:pt>
                <c:pt idx="1268">
                  <c:v>137.77777586846847</c:v>
                </c:pt>
                <c:pt idx="1269">
                  <c:v>136.54191812270597</c:v>
                </c:pt>
                <c:pt idx="1270">
                  <c:v>136.54191812270597</c:v>
                </c:pt>
                <c:pt idx="1271">
                  <c:v>136.54191812270597</c:v>
                </c:pt>
                <c:pt idx="1272">
                  <c:v>135.38172057792502</c:v>
                </c:pt>
                <c:pt idx="1273">
                  <c:v>135.56453885597239</c:v>
                </c:pt>
                <c:pt idx="1274">
                  <c:v>135.05033130335568</c:v>
                </c:pt>
                <c:pt idx="1275">
                  <c:v>134.39447781917161</c:v>
                </c:pt>
                <c:pt idx="1276">
                  <c:v>134.31412644515623</c:v>
                </c:pt>
                <c:pt idx="1277">
                  <c:v>134.31412644515623</c:v>
                </c:pt>
                <c:pt idx="1278">
                  <c:v>134.31412644515623</c:v>
                </c:pt>
                <c:pt idx="1279">
                  <c:v>134.14562225918647</c:v>
                </c:pt>
                <c:pt idx="1280">
                  <c:v>133.58876455466506</c:v>
                </c:pt>
                <c:pt idx="1281">
                  <c:v>135.25174243569828</c:v>
                </c:pt>
                <c:pt idx="1282">
                  <c:v>134.37213889996289</c:v>
                </c:pt>
                <c:pt idx="1283">
                  <c:v>134.70557304482907</c:v>
                </c:pt>
                <c:pt idx="1284">
                  <c:v>134.70557304482907</c:v>
                </c:pt>
                <c:pt idx="1285">
                  <c:v>134.70557304482907</c:v>
                </c:pt>
                <c:pt idx="1286">
                  <c:v>135.61067731603043</c:v>
                </c:pt>
                <c:pt idx="1287">
                  <c:v>135.55129015850324</c:v>
                </c:pt>
                <c:pt idx="1288">
                  <c:v>135.47117935746397</c:v>
                </c:pt>
                <c:pt idx="1289">
                  <c:v>135.05900911427904</c:v>
                </c:pt>
                <c:pt idx="1290">
                  <c:v>134.23997841716729</c:v>
                </c:pt>
                <c:pt idx="1291">
                  <c:v>134.23997841716729</c:v>
                </c:pt>
                <c:pt idx="1292">
                  <c:v>134.23997841716729</c:v>
                </c:pt>
                <c:pt idx="1293">
                  <c:v>134.0796537123847</c:v>
                </c:pt>
                <c:pt idx="1294">
                  <c:v>132.44033790192873</c:v>
                </c:pt>
                <c:pt idx="1295">
                  <c:v>131.83036512104258</c:v>
                </c:pt>
                <c:pt idx="1296">
                  <c:v>131.11234070632227</c:v>
                </c:pt>
                <c:pt idx="1297">
                  <c:v>132.95813686540285</c:v>
                </c:pt>
                <c:pt idx="1298">
                  <c:v>132.95813686540285</c:v>
                </c:pt>
                <c:pt idx="1299">
                  <c:v>132.95813686540285</c:v>
                </c:pt>
                <c:pt idx="1300">
                  <c:v>134.93025102071678</c:v>
                </c:pt>
                <c:pt idx="1301">
                  <c:v>136.30588166558982</c:v>
                </c:pt>
                <c:pt idx="1302">
                  <c:v>134.73406375871221</c:v>
                </c:pt>
                <c:pt idx="1303">
                  <c:v>134.75305184003957</c:v>
                </c:pt>
                <c:pt idx="1304">
                  <c:v>134.38059332169422</c:v>
                </c:pt>
                <c:pt idx="1305">
                  <c:v>134.38059332169422</c:v>
                </c:pt>
                <c:pt idx="1306">
                  <c:v>134.38059332169422</c:v>
                </c:pt>
                <c:pt idx="1307">
                  <c:v>134.4681962525604</c:v>
                </c:pt>
                <c:pt idx="1308">
                  <c:v>134.96906918878796</c:v>
                </c:pt>
                <c:pt idx="1309">
                  <c:v>134.98065105920847</c:v>
                </c:pt>
                <c:pt idx="1310">
                  <c:v>134.13178931306106</c:v>
                </c:pt>
                <c:pt idx="1311">
                  <c:v>134.47988122568495</c:v>
                </c:pt>
                <c:pt idx="1312">
                  <c:v>134.47988122568495</c:v>
                </c:pt>
                <c:pt idx="1313">
                  <c:v>134.47988122568495</c:v>
                </c:pt>
                <c:pt idx="1314">
                  <c:v>134.44448263063114</c:v>
                </c:pt>
                <c:pt idx="1315">
                  <c:v>132.60057668779129</c:v>
                </c:pt>
                <c:pt idx="1316">
                  <c:v>133.33238249728498</c:v>
                </c:pt>
                <c:pt idx="1317">
                  <c:v>133.28088269661686</c:v>
                </c:pt>
                <c:pt idx="1318">
                  <c:v>132.11558156798594</c:v>
                </c:pt>
                <c:pt idx="1319">
                  <c:v>132.11558156798594</c:v>
                </c:pt>
                <c:pt idx="1320">
                  <c:v>132.11558156798594</c:v>
                </c:pt>
                <c:pt idx="1321">
                  <c:v>130.36352295066192</c:v>
                </c:pt>
                <c:pt idx="1322">
                  <c:v>128.92432948874807</c:v>
                </c:pt>
                <c:pt idx="1323">
                  <c:v>128.92432948874807</c:v>
                </c:pt>
                <c:pt idx="1324">
                  <c:v>130.04149883837621</c:v>
                </c:pt>
                <c:pt idx="1325">
                  <c:v>129.05544176071925</c:v>
                </c:pt>
                <c:pt idx="1326">
                  <c:v>129.05544176071925</c:v>
                </c:pt>
                <c:pt idx="1327">
                  <c:v>129.05544176071925</c:v>
                </c:pt>
                <c:pt idx="1328">
                  <c:v>128.94166792681082</c:v>
                </c:pt>
                <c:pt idx="1329">
                  <c:v>127.93473255158574</c:v>
                </c:pt>
                <c:pt idx="1330">
                  <c:v>129.93736510729556</c:v>
                </c:pt>
                <c:pt idx="1331">
                  <c:v>129.42836424123286</c:v>
                </c:pt>
                <c:pt idx="1332">
                  <c:v>132.19170573113564</c:v>
                </c:pt>
                <c:pt idx="1333">
                  <c:v>132.19170573113564</c:v>
                </c:pt>
                <c:pt idx="1334">
                  <c:v>132.19170573113564</c:v>
                </c:pt>
                <c:pt idx="1335">
                  <c:v>132.53770122211074</c:v>
                </c:pt>
                <c:pt idx="1336">
                  <c:v>133.71587300496267</c:v>
                </c:pt>
                <c:pt idx="1337">
                  <c:v>132.75478396546748</c:v>
                </c:pt>
                <c:pt idx="1338">
                  <c:v>133.12320429457131</c:v>
                </c:pt>
                <c:pt idx="1339">
                  <c:v>133.11208638631896</c:v>
                </c:pt>
                <c:pt idx="1340">
                  <c:v>133.11208638631896</c:v>
                </c:pt>
                <c:pt idx="1341">
                  <c:v>133.11208638631896</c:v>
                </c:pt>
                <c:pt idx="1342">
                  <c:v>133.36406939499335</c:v>
                </c:pt>
                <c:pt idx="1343">
                  <c:v>132.24122939664298</c:v>
                </c:pt>
                <c:pt idx="1344">
                  <c:v>132.38033212817729</c:v>
                </c:pt>
                <c:pt idx="1345">
                  <c:v>131.62649670758699</c:v>
                </c:pt>
                <c:pt idx="1346">
                  <c:v>131.3788096449143</c:v>
                </c:pt>
                <c:pt idx="1347">
                  <c:v>131.3788096449143</c:v>
                </c:pt>
                <c:pt idx="1348">
                  <c:v>131.3788096449143</c:v>
                </c:pt>
                <c:pt idx="1349">
                  <c:v>131.19939375610025</c:v>
                </c:pt>
                <c:pt idx="1350">
                  <c:v>132.1302908870957</c:v>
                </c:pt>
                <c:pt idx="1351">
                  <c:v>131.24738806483097</c:v>
                </c:pt>
                <c:pt idx="1352">
                  <c:v>130.70776569566834</c:v>
                </c:pt>
                <c:pt idx="1353">
                  <c:v>129.81200940296662</c:v>
                </c:pt>
                <c:pt idx="1354">
                  <c:v>129.81200940296662</c:v>
                </c:pt>
                <c:pt idx="1355">
                  <c:v>129.81200940296662</c:v>
                </c:pt>
                <c:pt idx="1356">
                  <c:v>127.88373108065383</c:v>
                </c:pt>
                <c:pt idx="1357">
                  <c:v>128.23318051221423</c:v>
                </c:pt>
                <c:pt idx="1358">
                  <c:v>127.10147368131643</c:v>
                </c:pt>
                <c:pt idx="1359">
                  <c:v>127.74174147340638</c:v>
                </c:pt>
                <c:pt idx="1360">
                  <c:v>127.74174147340638</c:v>
                </c:pt>
                <c:pt idx="1361">
                  <c:v>127.74174147340638</c:v>
                </c:pt>
                <c:pt idx="1362">
                  <c:v>127.74174147340638</c:v>
                </c:pt>
                <c:pt idx="1363">
                  <c:v>127.57978430914316</c:v>
                </c:pt>
                <c:pt idx="1364">
                  <c:v>127.60600676353739</c:v>
                </c:pt>
                <c:pt idx="1365">
                  <c:v>126.78977702321875</c:v>
                </c:pt>
                <c:pt idx="1366">
                  <c:v>127.05751756182725</c:v>
                </c:pt>
                <c:pt idx="1367">
                  <c:v>126.37537288811296</c:v>
                </c:pt>
                <c:pt idx="1368">
                  <c:v>126.37537288811296</c:v>
                </c:pt>
                <c:pt idx="1369">
                  <c:v>126.37537288811296</c:v>
                </c:pt>
                <c:pt idx="1370">
                  <c:v>126.8588214673577</c:v>
                </c:pt>
                <c:pt idx="1371">
                  <c:v>127.13070329791182</c:v>
                </c:pt>
                <c:pt idx="1372">
                  <c:v>126.32877046588678</c:v>
                </c:pt>
                <c:pt idx="1373">
                  <c:v>127.35443616567916</c:v>
                </c:pt>
                <c:pt idx="1374">
                  <c:v>127.20954249893461</c:v>
                </c:pt>
                <c:pt idx="1375">
                  <c:v>127.20954249893461</c:v>
                </c:pt>
                <c:pt idx="1376">
                  <c:v>127.20954249893461</c:v>
                </c:pt>
                <c:pt idx="1377">
                  <c:v>127.24549097507665</c:v>
                </c:pt>
                <c:pt idx="1378">
                  <c:v>126.12734214976011</c:v>
                </c:pt>
                <c:pt idx="1379">
                  <c:v>124.87287436591839</c:v>
                </c:pt>
                <c:pt idx="1380">
                  <c:v>124.84385095473105</c:v>
                </c:pt>
                <c:pt idx="1381">
                  <c:v>123.88850129909407</c:v>
                </c:pt>
                <c:pt idx="1382">
                  <c:v>123.88850129909407</c:v>
                </c:pt>
                <c:pt idx="1383">
                  <c:v>123.88850129909407</c:v>
                </c:pt>
                <c:pt idx="1384">
                  <c:v>121.80125579093522</c:v>
                </c:pt>
                <c:pt idx="1385">
                  <c:v>122.02028030188472</c:v>
                </c:pt>
                <c:pt idx="1386">
                  <c:v>122.53247735177268</c:v>
                </c:pt>
                <c:pt idx="1387">
                  <c:v>121.4251886779484</c:v>
                </c:pt>
                <c:pt idx="1388">
                  <c:v>122.34508818717953</c:v>
                </c:pt>
                <c:pt idx="1389">
                  <c:v>122.34508818717953</c:v>
                </c:pt>
                <c:pt idx="1390">
                  <c:v>122.34508818717953</c:v>
                </c:pt>
                <c:pt idx="1391">
                  <c:v>122.32580798152399</c:v>
                </c:pt>
                <c:pt idx="1392">
                  <c:v>120.35070384779291</c:v>
                </c:pt>
                <c:pt idx="1393">
                  <c:v>120.41282322697717</c:v>
                </c:pt>
                <c:pt idx="1394">
                  <c:v>122.49633985400656</c:v>
                </c:pt>
                <c:pt idx="1395">
                  <c:v>122.79748566872415</c:v>
                </c:pt>
                <c:pt idx="1396">
                  <c:v>122.79748566872415</c:v>
                </c:pt>
                <c:pt idx="1397">
                  <c:v>122.79748566872415</c:v>
                </c:pt>
                <c:pt idx="1398">
                  <c:v>124.37719093246085</c:v>
                </c:pt>
                <c:pt idx="1399">
                  <c:v>125.35975970196445</c:v>
                </c:pt>
                <c:pt idx="1400">
                  <c:v>125.11683254746163</c:v>
                </c:pt>
                <c:pt idx="1401">
                  <c:v>122.97205573044829</c:v>
                </c:pt>
                <c:pt idx="1402">
                  <c:v>122.11913861127532</c:v>
                </c:pt>
                <c:pt idx="1403">
                  <c:v>122.11913861127532</c:v>
                </c:pt>
                <c:pt idx="1404">
                  <c:v>122.11913861127532</c:v>
                </c:pt>
                <c:pt idx="1405">
                  <c:v>122.6964793863327</c:v>
                </c:pt>
                <c:pt idx="1406">
                  <c:v>121.47261592180692</c:v>
                </c:pt>
                <c:pt idx="1407">
                  <c:v>121.90693606257648</c:v>
                </c:pt>
                <c:pt idx="1408">
                  <c:v>119.43321006832272</c:v>
                </c:pt>
                <c:pt idx="1409">
                  <c:v>118.82777380641436</c:v>
                </c:pt>
                <c:pt idx="1410">
                  <c:v>118.82777380641436</c:v>
                </c:pt>
                <c:pt idx="1411">
                  <c:v>118.82777380641436</c:v>
                </c:pt>
                <c:pt idx="1412">
                  <c:v>121.6019410802414</c:v>
                </c:pt>
                <c:pt idx="1413">
                  <c:v>121.01004564013034</c:v>
                </c:pt>
                <c:pt idx="1414">
                  <c:v>119.27749061765394</c:v>
                </c:pt>
                <c:pt idx="1415">
                  <c:v>118.05464099638453</c:v>
                </c:pt>
                <c:pt idx="1416">
                  <c:v>121.37671322326547</c:v>
                </c:pt>
                <c:pt idx="1417">
                  <c:v>121.37671322326547</c:v>
                </c:pt>
                <c:pt idx="1418">
                  <c:v>121.37671322326547</c:v>
                </c:pt>
                <c:pt idx="1419">
                  <c:v>121.37671322326547</c:v>
                </c:pt>
                <c:pt idx="1420">
                  <c:v>119.41399859780321</c:v>
                </c:pt>
                <c:pt idx="1421">
                  <c:v>120.43780844892291</c:v>
                </c:pt>
                <c:pt idx="1422">
                  <c:v>124.07625132315137</c:v>
                </c:pt>
                <c:pt idx="1423">
                  <c:v>120.16046217505465</c:v>
                </c:pt>
                <c:pt idx="1424">
                  <c:v>120.16046217505465</c:v>
                </c:pt>
                <c:pt idx="1425">
                  <c:v>120.16046217505465</c:v>
                </c:pt>
                <c:pt idx="1426">
                  <c:v>123.15062961384602</c:v>
                </c:pt>
                <c:pt idx="1427">
                  <c:v>126.21979090771622</c:v>
                </c:pt>
                <c:pt idx="1428">
                  <c:v>126.54657492817178</c:v>
                </c:pt>
                <c:pt idx="1429">
                  <c:v>126.20190258856523</c:v>
                </c:pt>
                <c:pt idx="1430">
                  <c:v>128.5688657327853</c:v>
                </c:pt>
                <c:pt idx="1431">
                  <c:v>128.5688657327853</c:v>
                </c:pt>
                <c:pt idx="1432">
                  <c:v>128.5688657327853</c:v>
                </c:pt>
                <c:pt idx="1433">
                  <c:v>128.56462133813565</c:v>
                </c:pt>
                <c:pt idx="1434">
                  <c:v>128.82358096311671</c:v>
                </c:pt>
                <c:pt idx="1435">
                  <c:v>129.06760787979601</c:v>
                </c:pt>
                <c:pt idx="1436">
                  <c:v>130.39613777270665</c:v>
                </c:pt>
                <c:pt idx="1437">
                  <c:v>129.9233259557621</c:v>
                </c:pt>
                <c:pt idx="1438">
                  <c:v>129.9233259557621</c:v>
                </c:pt>
                <c:pt idx="1439">
                  <c:v>129.9233259557621</c:v>
                </c:pt>
                <c:pt idx="1440">
                  <c:v>127.64021967749474</c:v>
                </c:pt>
                <c:pt idx="1441">
                  <c:v>127.1024187894368</c:v>
                </c:pt>
                <c:pt idx="1442">
                  <c:v>126.67897598394346</c:v>
                </c:pt>
                <c:pt idx="1443">
                  <c:v>125.9692513368984</c:v>
                </c:pt>
                <c:pt idx="1444">
                  <c:v>124.71760169363375</c:v>
                </c:pt>
                <c:pt idx="1445">
                  <c:v>124.71760169363375</c:v>
                </c:pt>
                <c:pt idx="1446">
                  <c:v>124.71760169363375</c:v>
                </c:pt>
                <c:pt idx="1447">
                  <c:v>123.38920927099515</c:v>
                </c:pt>
                <c:pt idx="1448">
                  <c:v>124.97781573484734</c:v>
                </c:pt>
                <c:pt idx="1449">
                  <c:v>125.96321982871206</c:v>
                </c:pt>
                <c:pt idx="1450">
                  <c:v>127.52883438956326</c:v>
                </c:pt>
                <c:pt idx="1451">
                  <c:v>126.08412493298327</c:v>
                </c:pt>
                <c:pt idx="1452">
                  <c:v>126.08412493298327</c:v>
                </c:pt>
                <c:pt idx="1453">
                  <c:v>126.08412493298327</c:v>
                </c:pt>
                <c:pt idx="1454">
                  <c:v>123.89656049379323</c:v>
                </c:pt>
                <c:pt idx="1455">
                  <c:v>124.03647086317584</c:v>
                </c:pt>
                <c:pt idx="1456">
                  <c:v>124.31278611000371</c:v>
                </c:pt>
                <c:pt idx="1457">
                  <c:v>124.40140288412631</c:v>
                </c:pt>
                <c:pt idx="1458">
                  <c:v>124.40140288412631</c:v>
                </c:pt>
                <c:pt idx="1459">
                  <c:v>124.40140288412631</c:v>
                </c:pt>
                <c:pt idx="1460">
                  <c:v>124.40140288412631</c:v>
                </c:pt>
                <c:pt idx="1461">
                  <c:v>124.69292577980013</c:v>
                </c:pt>
                <c:pt idx="1462">
                  <c:v>122.75433718708331</c:v>
                </c:pt>
                <c:pt idx="1463">
                  <c:v>120.51864096889049</c:v>
                </c:pt>
                <c:pt idx="1464">
                  <c:v>119.97656131861486</c:v>
                </c:pt>
                <c:pt idx="1465">
                  <c:v>118.12976850006187</c:v>
                </c:pt>
                <c:pt idx="1466">
                  <c:v>118.12976850006187</c:v>
                </c:pt>
                <c:pt idx="1467">
                  <c:v>118.12976850006187</c:v>
                </c:pt>
                <c:pt idx="1468">
                  <c:v>116.45723643512092</c:v>
                </c:pt>
                <c:pt idx="1469">
                  <c:v>121.1797698747646</c:v>
                </c:pt>
                <c:pt idx="1470">
                  <c:v>122.27777930522525</c:v>
                </c:pt>
                <c:pt idx="1471">
                  <c:v>119.72846184512601</c:v>
                </c:pt>
                <c:pt idx="1472">
                  <c:v>124.42685206824025</c:v>
                </c:pt>
                <c:pt idx="1473">
                  <c:v>124.42685206824025</c:v>
                </c:pt>
                <c:pt idx="1474">
                  <c:v>124.42685206824025</c:v>
                </c:pt>
                <c:pt idx="1475">
                  <c:v>126.91707449514044</c:v>
                </c:pt>
                <c:pt idx="1476">
                  <c:v>127.3573058576083</c:v>
                </c:pt>
                <c:pt idx="1477">
                  <c:v>127.20265180154793</c:v>
                </c:pt>
                <c:pt idx="1478">
                  <c:v>128.30280920500942</c:v>
                </c:pt>
                <c:pt idx="1479">
                  <c:v>128.97756485160085</c:v>
                </c:pt>
                <c:pt idx="1480">
                  <c:v>128.97756485160085</c:v>
                </c:pt>
                <c:pt idx="1481">
                  <c:v>128.97756485160085</c:v>
                </c:pt>
                <c:pt idx="1482">
                  <c:v>127.35184141429417</c:v>
                </c:pt>
                <c:pt idx="1483">
                  <c:v>127.41877225300028</c:v>
                </c:pt>
                <c:pt idx="1484">
                  <c:v>128.19599480362371</c:v>
                </c:pt>
                <c:pt idx="1485">
                  <c:v>127.29802180278516</c:v>
                </c:pt>
                <c:pt idx="1486">
                  <c:v>126.06676931113647</c:v>
                </c:pt>
                <c:pt idx="1487">
                  <c:v>126.06676931113647</c:v>
                </c:pt>
                <c:pt idx="1488">
                  <c:v>126.06676931113647</c:v>
                </c:pt>
                <c:pt idx="1489">
                  <c:v>125.37369575079389</c:v>
                </c:pt>
                <c:pt idx="1490">
                  <c:v>125.41204995669688</c:v>
                </c:pt>
                <c:pt idx="1491">
                  <c:v>124.13024277250047</c:v>
                </c:pt>
                <c:pt idx="1492">
                  <c:v>124.7725210673192</c:v>
                </c:pt>
                <c:pt idx="1493">
                  <c:v>124.7725210673192</c:v>
                </c:pt>
                <c:pt idx="1494">
                  <c:v>124.7725210673192</c:v>
                </c:pt>
                <c:pt idx="1495">
                  <c:v>124.7725210673192</c:v>
                </c:pt>
                <c:pt idx="1496">
                  <c:v>123.92561827254858</c:v>
                </c:pt>
                <c:pt idx="1497">
                  <c:v>122.92543612443809</c:v>
                </c:pt>
                <c:pt idx="1498">
                  <c:v>123.09737706720922</c:v>
                </c:pt>
                <c:pt idx="1499">
                  <c:v>122.9909750766397</c:v>
                </c:pt>
                <c:pt idx="1500">
                  <c:v>122.63307122334797</c:v>
                </c:pt>
                <c:pt idx="1501">
                  <c:v>122.63307122334797</c:v>
                </c:pt>
                <c:pt idx="1502">
                  <c:v>122.63307122334797</c:v>
                </c:pt>
                <c:pt idx="1503">
                  <c:v>121.62536257784255</c:v>
                </c:pt>
                <c:pt idx="1504">
                  <c:v>121.41255859670348</c:v>
                </c:pt>
                <c:pt idx="1505">
                  <c:v>120.40502178903813</c:v>
                </c:pt>
                <c:pt idx="1506">
                  <c:v>118.62634549028775</c:v>
                </c:pt>
                <c:pt idx="1507">
                  <c:v>118.62634549028775</c:v>
                </c:pt>
                <c:pt idx="1508">
                  <c:v>118.62634549028775</c:v>
                </c:pt>
                <c:pt idx="1509">
                  <c:v>118.62634549028775</c:v>
                </c:pt>
                <c:pt idx="1510">
                  <c:v>119.43004825206549</c:v>
                </c:pt>
                <c:pt idx="1511">
                  <c:v>119.2440509739769</c:v>
                </c:pt>
                <c:pt idx="1512">
                  <c:v>119.19100463274816</c:v>
                </c:pt>
                <c:pt idx="1513">
                  <c:v>119.59844933533124</c:v>
                </c:pt>
                <c:pt idx="1514">
                  <c:v>119.59844933533124</c:v>
                </c:pt>
                <c:pt idx="1515">
                  <c:v>119.59844933533124</c:v>
                </c:pt>
                <c:pt idx="1516">
                  <c:v>119.59844933533124</c:v>
                </c:pt>
                <c:pt idx="1517">
                  <c:v>119.69125895275148</c:v>
                </c:pt>
                <c:pt idx="1518">
                  <c:v>119.61561593555395</c:v>
                </c:pt>
                <c:pt idx="1519">
                  <c:v>119.66531143890134</c:v>
                </c:pt>
                <c:pt idx="1520">
                  <c:v>120.1964278349807</c:v>
                </c:pt>
                <c:pt idx="1521">
                  <c:v>119.1967440166064</c:v>
                </c:pt>
                <c:pt idx="1522">
                  <c:v>119.1967440166064</c:v>
                </c:pt>
                <c:pt idx="1523">
                  <c:v>119.1967440166064</c:v>
                </c:pt>
                <c:pt idx="1524">
                  <c:v>117.82106182038135</c:v>
                </c:pt>
                <c:pt idx="1525">
                  <c:v>118.15224488954263</c:v>
                </c:pt>
                <c:pt idx="1526">
                  <c:v>117.9205731135642</c:v>
                </c:pt>
                <c:pt idx="1527">
                  <c:v>118.1398553812738</c:v>
                </c:pt>
                <c:pt idx="1528">
                  <c:v>117.53847449239103</c:v>
                </c:pt>
                <c:pt idx="1529">
                  <c:v>117.53847449239103</c:v>
                </c:pt>
                <c:pt idx="1530">
                  <c:v>117.53847449239103</c:v>
                </c:pt>
                <c:pt idx="1531">
                  <c:v>117.07038821604829</c:v>
                </c:pt>
                <c:pt idx="1532">
                  <c:v>116.44376434845964</c:v>
                </c:pt>
                <c:pt idx="1533">
                  <c:v>116.20040759935664</c:v>
                </c:pt>
                <c:pt idx="1534">
                  <c:v>116.42642591039689</c:v>
                </c:pt>
                <c:pt idx="1535">
                  <c:v>117.66743879136139</c:v>
                </c:pt>
                <c:pt idx="1536">
                  <c:v>117.66743879136139</c:v>
                </c:pt>
                <c:pt idx="1537">
                  <c:v>117.66743879136139</c:v>
                </c:pt>
                <c:pt idx="1538">
                  <c:v>118.1208672999464</c:v>
                </c:pt>
                <c:pt idx="1539">
                  <c:v>117.26882655375776</c:v>
                </c:pt>
                <c:pt idx="1540">
                  <c:v>118.7804668490439</c:v>
                </c:pt>
                <c:pt idx="1541">
                  <c:v>118.19901914960892</c:v>
                </c:pt>
                <c:pt idx="1542">
                  <c:v>118.38183742765627</c:v>
                </c:pt>
                <c:pt idx="1543">
                  <c:v>118.38183742765627</c:v>
                </c:pt>
                <c:pt idx="1544">
                  <c:v>118.38183742765627</c:v>
                </c:pt>
                <c:pt idx="1545">
                  <c:v>118.00724812009405</c:v>
                </c:pt>
                <c:pt idx="1546">
                  <c:v>118.00724812009405</c:v>
                </c:pt>
                <c:pt idx="1547">
                  <c:v>117.92332251900528</c:v>
                </c:pt>
                <c:pt idx="1548">
                  <c:v>116.69016262733184</c:v>
                </c:pt>
                <c:pt idx="1549">
                  <c:v>116.55401550664671</c:v>
                </c:pt>
                <c:pt idx="1550">
                  <c:v>116.55401550664671</c:v>
                </c:pt>
                <c:pt idx="1551">
                  <c:v>116.55401550664671</c:v>
                </c:pt>
                <c:pt idx="1552">
                  <c:v>116.73444523871714</c:v>
                </c:pt>
                <c:pt idx="1553">
                  <c:v>115.23802977606093</c:v>
                </c:pt>
                <c:pt idx="1554">
                  <c:v>115.78213711284937</c:v>
                </c:pt>
                <c:pt idx="1555">
                  <c:v>116.12105288481366</c:v>
                </c:pt>
                <c:pt idx="1556">
                  <c:v>116.00667761846502</c:v>
                </c:pt>
                <c:pt idx="1557">
                  <c:v>116.00667761846502</c:v>
                </c:pt>
                <c:pt idx="1558">
                  <c:v>116.00667761846502</c:v>
                </c:pt>
                <c:pt idx="1559">
                  <c:v>115.99145278583507</c:v>
                </c:pt>
                <c:pt idx="1560">
                  <c:v>116.66273730805715</c:v>
                </c:pt>
                <c:pt idx="1561">
                  <c:v>116.29612127627402</c:v>
                </c:pt>
                <c:pt idx="1562">
                  <c:v>116.61665039935114</c:v>
                </c:pt>
                <c:pt idx="1563">
                  <c:v>116.23858996741956</c:v>
                </c:pt>
                <c:pt idx="1564">
                  <c:v>116.23858996741956</c:v>
                </c:pt>
                <c:pt idx="1565">
                  <c:v>116.23858996741956</c:v>
                </c:pt>
                <c:pt idx="1566">
                  <c:v>115.38813012935954</c:v>
                </c:pt>
                <c:pt idx="1567">
                  <c:v>115.41545234593021</c:v>
                </c:pt>
                <c:pt idx="1568">
                  <c:v>115.60681096462891</c:v>
                </c:pt>
                <c:pt idx="1569">
                  <c:v>115.11353326093231</c:v>
                </c:pt>
                <c:pt idx="1570">
                  <c:v>115.15305596414775</c:v>
                </c:pt>
                <c:pt idx="1571">
                  <c:v>115.15305596414775</c:v>
                </c:pt>
                <c:pt idx="1572">
                  <c:v>115.15305596414775</c:v>
                </c:pt>
                <c:pt idx="1573">
                  <c:v>112.67018819680246</c:v>
                </c:pt>
                <c:pt idx="1574">
                  <c:v>112.79248518757818</c:v>
                </c:pt>
                <c:pt idx="1575">
                  <c:v>113.38599590338592</c:v>
                </c:pt>
                <c:pt idx="1576">
                  <c:v>113.18659527377206</c:v>
                </c:pt>
                <c:pt idx="1577">
                  <c:v>113.91221492102332</c:v>
                </c:pt>
                <c:pt idx="1578">
                  <c:v>113.91221492102332</c:v>
                </c:pt>
                <c:pt idx="1579">
                  <c:v>113.91221492102332</c:v>
                </c:pt>
                <c:pt idx="1580">
                  <c:v>113.50004467783843</c:v>
                </c:pt>
                <c:pt idx="1581">
                  <c:v>113.82916569291892</c:v>
                </c:pt>
                <c:pt idx="1582">
                  <c:v>113.81949122252315</c:v>
                </c:pt>
                <c:pt idx="1583">
                  <c:v>113.82547117935748</c:v>
                </c:pt>
                <c:pt idx="1584">
                  <c:v>113.51265757529936</c:v>
                </c:pt>
                <c:pt idx="1585">
                  <c:v>113.51265757529936</c:v>
                </c:pt>
                <c:pt idx="1586">
                  <c:v>113.51265757529936</c:v>
                </c:pt>
                <c:pt idx="1587">
                  <c:v>113.26708411805949</c:v>
                </c:pt>
                <c:pt idx="1588">
                  <c:v>113.47394250993223</c:v>
                </c:pt>
                <c:pt idx="1589">
                  <c:v>113.19391556575893</c:v>
                </c:pt>
                <c:pt idx="1590">
                  <c:v>113.06467632624447</c:v>
                </c:pt>
                <c:pt idx="1591">
                  <c:v>113.24422968533057</c:v>
                </c:pt>
                <c:pt idx="1592">
                  <c:v>113.24422968533057</c:v>
                </c:pt>
                <c:pt idx="1593">
                  <c:v>113.24422968533057</c:v>
                </c:pt>
                <c:pt idx="1594">
                  <c:v>113.16133511128218</c:v>
                </c:pt>
                <c:pt idx="1595">
                  <c:v>112.28961893240587</c:v>
                </c:pt>
                <c:pt idx="1596">
                  <c:v>112.23956256959433</c:v>
                </c:pt>
                <c:pt idx="1597">
                  <c:v>111.98187454462973</c:v>
                </c:pt>
                <c:pt idx="1598">
                  <c:v>111.62515637243446</c:v>
                </c:pt>
                <c:pt idx="1599">
                  <c:v>111.62515637243446</c:v>
                </c:pt>
                <c:pt idx="1600">
                  <c:v>111.62515637243446</c:v>
                </c:pt>
                <c:pt idx="1601">
                  <c:v>110.8947080818773</c:v>
                </c:pt>
                <c:pt idx="1602">
                  <c:v>110.89147753048402</c:v>
                </c:pt>
                <c:pt idx="1603">
                  <c:v>109.63536010337765</c:v>
                </c:pt>
                <c:pt idx="1604">
                  <c:v>109.47089410664945</c:v>
                </c:pt>
                <c:pt idx="1605">
                  <c:v>110.43883947596331</c:v>
                </c:pt>
                <c:pt idx="1606">
                  <c:v>110.43883947596331</c:v>
                </c:pt>
                <c:pt idx="1607">
                  <c:v>110.43883947596331</c:v>
                </c:pt>
                <c:pt idx="1608">
                  <c:v>110.36616925339897</c:v>
                </c:pt>
                <c:pt idx="1609">
                  <c:v>110.9392656338067</c:v>
                </c:pt>
                <c:pt idx="1610">
                  <c:v>111.02997882957813</c:v>
                </c:pt>
                <c:pt idx="1611">
                  <c:v>110.91512241727727</c:v>
                </c:pt>
                <c:pt idx="1612">
                  <c:v>110.80906410238786</c:v>
                </c:pt>
                <c:pt idx="1613">
                  <c:v>110.80906410238786</c:v>
                </c:pt>
                <c:pt idx="1614">
                  <c:v>110.80906410238786</c:v>
                </c:pt>
                <c:pt idx="1615">
                  <c:v>110.47599081698583</c:v>
                </c:pt>
                <c:pt idx="1616">
                  <c:v>111.01047523473049</c:v>
                </c:pt>
                <c:pt idx="1617">
                  <c:v>110.90898780638688</c:v>
                </c:pt>
                <c:pt idx="1618">
                  <c:v>110.53063525012716</c:v>
                </c:pt>
                <c:pt idx="1619">
                  <c:v>109.29216556919567</c:v>
                </c:pt>
                <c:pt idx="1620">
                  <c:v>109.29216556919567</c:v>
                </c:pt>
                <c:pt idx="1621">
                  <c:v>109.29216556919567</c:v>
                </c:pt>
                <c:pt idx="1622">
                  <c:v>109.93959899921641</c:v>
                </c:pt>
                <c:pt idx="1623">
                  <c:v>109.86132686306587</c:v>
                </c:pt>
                <c:pt idx="1624">
                  <c:v>109.55648653478684</c:v>
                </c:pt>
                <c:pt idx="1625">
                  <c:v>110.58333791567574</c:v>
                </c:pt>
                <c:pt idx="1626">
                  <c:v>110.58333791567574</c:v>
                </c:pt>
                <c:pt idx="1627">
                  <c:v>110.58333791567574</c:v>
                </c:pt>
                <c:pt idx="1628">
                  <c:v>110.58333791567574</c:v>
                </c:pt>
                <c:pt idx="1629">
                  <c:v>110.46873926013501</c:v>
                </c:pt>
                <c:pt idx="1630">
                  <c:v>109.43164634397813</c:v>
                </c:pt>
                <c:pt idx="1631">
                  <c:v>108.29024785890053</c:v>
                </c:pt>
                <c:pt idx="1632">
                  <c:v>107.96597267090992</c:v>
                </c:pt>
                <c:pt idx="1633">
                  <c:v>107.66745597514537</c:v>
                </c:pt>
                <c:pt idx="1634">
                  <c:v>107.66745597514537</c:v>
                </c:pt>
                <c:pt idx="1635">
                  <c:v>107.66745597514537</c:v>
                </c:pt>
                <c:pt idx="1636">
                  <c:v>107.7651114196555</c:v>
                </c:pt>
                <c:pt idx="1637">
                  <c:v>107.88677261042301</c:v>
                </c:pt>
                <c:pt idx="1638">
                  <c:v>108.21450173899896</c:v>
                </c:pt>
                <c:pt idx="1639">
                  <c:v>106.76503237424907</c:v>
                </c:pt>
                <c:pt idx="1640">
                  <c:v>106.82345723987187</c:v>
                </c:pt>
                <c:pt idx="1641">
                  <c:v>106.82345723987187</c:v>
                </c:pt>
                <c:pt idx="1642">
                  <c:v>106.82345723987187</c:v>
                </c:pt>
                <c:pt idx="1643">
                  <c:v>106.91602628431602</c:v>
                </c:pt>
                <c:pt idx="1644">
                  <c:v>109.0329825550225</c:v>
                </c:pt>
                <c:pt idx="1645">
                  <c:v>108.82512750367735</c:v>
                </c:pt>
                <c:pt idx="1646">
                  <c:v>108.94917724042176</c:v>
                </c:pt>
                <c:pt idx="1647">
                  <c:v>107.51128974609242</c:v>
                </c:pt>
                <c:pt idx="1648">
                  <c:v>107.51128974609242</c:v>
                </c:pt>
                <c:pt idx="1649">
                  <c:v>107.51128974609242</c:v>
                </c:pt>
                <c:pt idx="1650">
                  <c:v>106.82938564535421</c:v>
                </c:pt>
                <c:pt idx="1651">
                  <c:v>109.15710102690295</c:v>
                </c:pt>
                <c:pt idx="1652">
                  <c:v>109.46860866337656</c:v>
                </c:pt>
                <c:pt idx="1653">
                  <c:v>109.69735919607386</c:v>
                </c:pt>
                <c:pt idx="1654">
                  <c:v>109.14390388078579</c:v>
                </c:pt>
                <c:pt idx="1655">
                  <c:v>109.14390388078579</c:v>
                </c:pt>
                <c:pt idx="1656">
                  <c:v>109.14390388078579</c:v>
                </c:pt>
                <c:pt idx="1657">
                  <c:v>108.9510502728785</c:v>
                </c:pt>
                <c:pt idx="1658">
                  <c:v>109.33431739136412</c:v>
                </c:pt>
                <c:pt idx="1659">
                  <c:v>109.33935224007809</c:v>
                </c:pt>
                <c:pt idx="1660">
                  <c:v>109.08477448001869</c:v>
                </c:pt>
                <c:pt idx="1661">
                  <c:v>109.54107268053284</c:v>
                </c:pt>
                <c:pt idx="1662">
                  <c:v>109.54107268053284</c:v>
                </c:pt>
                <c:pt idx="1663">
                  <c:v>109.54107268053284</c:v>
                </c:pt>
                <c:pt idx="1664">
                  <c:v>109.67010571463922</c:v>
                </c:pt>
                <c:pt idx="1665">
                  <c:v>110.36709717773532</c:v>
                </c:pt>
                <c:pt idx="1666">
                  <c:v>110.18541302943238</c:v>
                </c:pt>
                <c:pt idx="1667">
                  <c:v>110.16193998047923</c:v>
                </c:pt>
                <c:pt idx="1668">
                  <c:v>109.76578502398857</c:v>
                </c:pt>
                <c:pt idx="1669">
                  <c:v>109.76578502398857</c:v>
                </c:pt>
                <c:pt idx="1670">
                  <c:v>109.76578502398857</c:v>
                </c:pt>
                <c:pt idx="1671">
                  <c:v>109.80441417043565</c:v>
                </c:pt>
                <c:pt idx="1672">
                  <c:v>109.71918260176238</c:v>
                </c:pt>
                <c:pt idx="1673">
                  <c:v>109.01916679268109</c:v>
                </c:pt>
                <c:pt idx="1674">
                  <c:v>108.50581842926468</c:v>
                </c:pt>
                <c:pt idx="1675">
                  <c:v>108.47203510990748</c:v>
                </c:pt>
                <c:pt idx="1676">
                  <c:v>108.47203510990748</c:v>
                </c:pt>
                <c:pt idx="1677">
                  <c:v>108.47203510990748</c:v>
                </c:pt>
                <c:pt idx="1678">
                  <c:v>107.81857017170037</c:v>
                </c:pt>
                <c:pt idx="1679">
                  <c:v>107.59061009306738</c:v>
                </c:pt>
                <c:pt idx="1680">
                  <c:v>106.42441540766809</c:v>
                </c:pt>
                <c:pt idx="1681">
                  <c:v>106.13380325254664</c:v>
                </c:pt>
                <c:pt idx="1682">
                  <c:v>105.73318051221423</c:v>
                </c:pt>
                <c:pt idx="1683">
                  <c:v>105.73318051221423</c:v>
                </c:pt>
                <c:pt idx="1684">
                  <c:v>105.73318051221423</c:v>
                </c:pt>
                <c:pt idx="1685">
                  <c:v>104.64003409262747</c:v>
                </c:pt>
                <c:pt idx="1686">
                  <c:v>105.69496377658332</c:v>
                </c:pt>
                <c:pt idx="1687">
                  <c:v>104.99395130802964</c:v>
                </c:pt>
                <c:pt idx="1688">
                  <c:v>104.99395130802964</c:v>
                </c:pt>
                <c:pt idx="1689">
                  <c:v>105.5156509904733</c:v>
                </c:pt>
                <c:pt idx="1690">
                  <c:v>105.5156509904733</c:v>
                </c:pt>
                <c:pt idx="1691">
                  <c:v>105.5156509904733</c:v>
                </c:pt>
                <c:pt idx="1692">
                  <c:v>105.58320044540368</c:v>
                </c:pt>
                <c:pt idx="1693">
                  <c:v>107.13082358439988</c:v>
                </c:pt>
                <c:pt idx="1694">
                  <c:v>105.62224200266692</c:v>
                </c:pt>
                <c:pt idx="1695">
                  <c:v>107.34965907372531</c:v>
                </c:pt>
                <c:pt idx="1696">
                  <c:v>107.66070274803074</c:v>
                </c:pt>
                <c:pt idx="1697">
                  <c:v>107.66070274803074</c:v>
                </c:pt>
                <c:pt idx="1698">
                  <c:v>107.66070274803074</c:v>
                </c:pt>
                <c:pt idx="1699">
                  <c:v>107.16984795787911</c:v>
                </c:pt>
                <c:pt idx="1700">
                  <c:v>107.1229018599728</c:v>
                </c:pt>
                <c:pt idx="1701">
                  <c:v>106.33378813081671</c:v>
                </c:pt>
                <c:pt idx="1702">
                  <c:v>107.20985180704675</c:v>
                </c:pt>
                <c:pt idx="1703">
                  <c:v>105.71048073354137</c:v>
                </c:pt>
                <c:pt idx="1704">
                  <c:v>105.71048073354137</c:v>
                </c:pt>
                <c:pt idx="1705">
                  <c:v>105.71048073354137</c:v>
                </c:pt>
                <c:pt idx="1706">
                  <c:v>105.94663747714559</c:v>
                </c:pt>
                <c:pt idx="1707">
                  <c:v>106.45168607288676</c:v>
                </c:pt>
                <c:pt idx="1708">
                  <c:v>106.88947733802566</c:v>
                </c:pt>
                <c:pt idx="1709">
                  <c:v>106.11785670098841</c:v>
                </c:pt>
                <c:pt idx="1710">
                  <c:v>106.67552204335813</c:v>
                </c:pt>
                <c:pt idx="1711">
                  <c:v>106.67552204335813</c:v>
                </c:pt>
                <c:pt idx="1712">
                  <c:v>106.67552204335813</c:v>
                </c:pt>
                <c:pt idx="1713">
                  <c:v>108.63182711738588</c:v>
                </c:pt>
                <c:pt idx="1714">
                  <c:v>108.21281772816629</c:v>
                </c:pt>
                <c:pt idx="1715">
                  <c:v>107.82924130156854</c:v>
                </c:pt>
                <c:pt idx="1716">
                  <c:v>108.18367403049092</c:v>
                </c:pt>
                <c:pt idx="1717">
                  <c:v>108.35743645436675</c:v>
                </c:pt>
                <c:pt idx="1718">
                  <c:v>108.35743645436675</c:v>
                </c:pt>
                <c:pt idx="1719">
                  <c:v>108.35743645436675</c:v>
                </c:pt>
                <c:pt idx="1720">
                  <c:v>107.34417744662717</c:v>
                </c:pt>
                <c:pt idx="1721">
                  <c:v>106.51397728991105</c:v>
                </c:pt>
                <c:pt idx="1722">
                  <c:v>106.59425992879041</c:v>
                </c:pt>
                <c:pt idx="1723">
                  <c:v>106.7146323357574</c:v>
                </c:pt>
                <c:pt idx="1724">
                  <c:v>106.7146323357574</c:v>
                </c:pt>
                <c:pt idx="1725">
                  <c:v>106.7146323357574</c:v>
                </c:pt>
                <c:pt idx="1726">
                  <c:v>106.7146323357574</c:v>
                </c:pt>
                <c:pt idx="1727">
                  <c:v>106.62979599411628</c:v>
                </c:pt>
                <c:pt idx="1728">
                  <c:v>105.90407324416095</c:v>
                </c:pt>
                <c:pt idx="1729">
                  <c:v>105.48630108738988</c:v>
                </c:pt>
                <c:pt idx="1730">
                  <c:v>105.3987668916597</c:v>
                </c:pt>
                <c:pt idx="1731">
                  <c:v>104.54103831296484</c:v>
                </c:pt>
                <c:pt idx="1732">
                  <c:v>104.54103831296484</c:v>
                </c:pt>
                <c:pt idx="1733">
                  <c:v>104.54103831296484</c:v>
                </c:pt>
                <c:pt idx="1734">
                  <c:v>104.05004605254116</c:v>
                </c:pt>
                <c:pt idx="1735">
                  <c:v>103.29578103735069</c:v>
                </c:pt>
                <c:pt idx="1736">
                  <c:v>106.02171342947089</c:v>
                </c:pt>
                <c:pt idx="1737">
                  <c:v>105.67466972767139</c:v>
                </c:pt>
                <c:pt idx="1738">
                  <c:v>105.1859285429526</c:v>
                </c:pt>
                <c:pt idx="1739">
                  <c:v>105.1859285429526</c:v>
                </c:pt>
                <c:pt idx="1740">
                  <c:v>105.1859285429526</c:v>
                </c:pt>
                <c:pt idx="1741">
                  <c:v>105.09540436880525</c:v>
                </c:pt>
                <c:pt idx="1742">
                  <c:v>105.32186945822966</c:v>
                </c:pt>
                <c:pt idx="1743">
                  <c:v>105.17484500226828</c:v>
                </c:pt>
                <c:pt idx="1744">
                  <c:v>104.86679130637999</c:v>
                </c:pt>
                <c:pt idx="1745">
                  <c:v>104.83410774919923</c:v>
                </c:pt>
                <c:pt idx="1746">
                  <c:v>104.83410774919923</c:v>
                </c:pt>
                <c:pt idx="1747">
                  <c:v>104.83410774919923</c:v>
                </c:pt>
                <c:pt idx="1748">
                  <c:v>104.39727877596472</c:v>
                </c:pt>
                <c:pt idx="1749">
                  <c:v>104.34938756993802</c:v>
                </c:pt>
                <c:pt idx="1750">
                  <c:v>104.74145278583507</c:v>
                </c:pt>
                <c:pt idx="1751">
                  <c:v>104.67677302283383</c:v>
                </c:pt>
                <c:pt idx="1752">
                  <c:v>103.92075526167466</c:v>
                </c:pt>
                <c:pt idx="1753">
                  <c:v>103.92075526167466</c:v>
                </c:pt>
                <c:pt idx="1754">
                  <c:v>103.92075526167466</c:v>
                </c:pt>
                <c:pt idx="1755">
                  <c:v>103.94362687818759</c:v>
                </c:pt>
                <c:pt idx="1756">
                  <c:v>103.53616499182053</c:v>
                </c:pt>
                <c:pt idx="1757">
                  <c:v>103.54075306215032</c:v>
                </c:pt>
                <c:pt idx="1758">
                  <c:v>102.82465323123876</c:v>
                </c:pt>
                <c:pt idx="1759">
                  <c:v>101.56513341489904</c:v>
                </c:pt>
                <c:pt idx="1760">
                  <c:v>101.56513341489904</c:v>
                </c:pt>
                <c:pt idx="1761">
                  <c:v>101.56513341489904</c:v>
                </c:pt>
                <c:pt idx="1762">
                  <c:v>101.672617983861</c:v>
                </c:pt>
                <c:pt idx="1763">
                  <c:v>100.74910987998847</c:v>
                </c:pt>
                <c:pt idx="1764">
                  <c:v>100.51604621750548</c:v>
                </c:pt>
                <c:pt idx="1765">
                  <c:v>100.64177996508255</c:v>
                </c:pt>
                <c:pt idx="1766">
                  <c:v>99.754443726544139</c:v>
                </c:pt>
                <c:pt idx="1767">
                  <c:v>99.754443726544139</c:v>
                </c:pt>
                <c:pt idx="1768">
                  <c:v>99.754443726544139</c:v>
                </c:pt>
                <c:pt idx="1769">
                  <c:v>99.754443726544139</c:v>
                </c:pt>
                <c:pt idx="1770">
                  <c:v>100.28731286859218</c:v>
                </c:pt>
                <c:pt idx="1771">
                  <c:v>100.81334286460553</c:v>
                </c:pt>
                <c:pt idx="1772">
                  <c:v>101.05656214343651</c:v>
                </c:pt>
                <c:pt idx="1773">
                  <c:v>101.00305184003959</c:v>
                </c:pt>
                <c:pt idx="1774">
                  <c:v>101.00305184003959</c:v>
                </c:pt>
                <c:pt idx="1775">
                  <c:v>101.00305184003959</c:v>
                </c:pt>
                <c:pt idx="1776">
                  <c:v>101.02260698623924</c:v>
                </c:pt>
                <c:pt idx="1777">
                  <c:v>100.77390608031014</c:v>
                </c:pt>
                <c:pt idx="1778">
                  <c:v>101.3604058122431</c:v>
                </c:pt>
                <c:pt idx="1779">
                  <c:v>101.29294227623278</c:v>
                </c:pt>
                <c:pt idx="1780">
                  <c:v>101.58602889625119</c:v>
                </c:pt>
                <c:pt idx="1781">
                  <c:v>101.58602889625119</c:v>
                </c:pt>
                <c:pt idx="1782">
                  <c:v>101.58602889625119</c:v>
                </c:pt>
                <c:pt idx="1783">
                  <c:v>101.63080983737267</c:v>
                </c:pt>
                <c:pt idx="1784">
                  <c:v>101.34217381741198</c:v>
                </c:pt>
                <c:pt idx="1785">
                  <c:v>100.95713676917369</c:v>
                </c:pt>
                <c:pt idx="1786">
                  <c:v>100.35972533439643</c:v>
                </c:pt>
                <c:pt idx="1787">
                  <c:v>100.15977482369438</c:v>
                </c:pt>
                <c:pt idx="1788">
                  <c:v>100.15977482369438</c:v>
                </c:pt>
                <c:pt idx="1789">
                  <c:v>100.15977482369438</c:v>
                </c:pt>
                <c:pt idx="1790">
                  <c:v>99.969979929340298</c:v>
                </c:pt>
                <c:pt idx="1791">
                  <c:v>100.03782150859877</c:v>
                </c:pt>
                <c:pt idx="1792">
                  <c:v>99.55983737266817</c:v>
                </c:pt>
                <c:pt idx="1793">
                  <c:v>101.4105996453267</c:v>
                </c:pt>
                <c:pt idx="1794">
                  <c:v>101.40144068845115</c:v>
                </c:pt>
                <c:pt idx="1795">
                  <c:v>101.40144068845115</c:v>
                </c:pt>
                <c:pt idx="1796">
                  <c:v>101.40144068845115</c:v>
                </c:pt>
                <c:pt idx="1797">
                  <c:v>101.39738531542555</c:v>
                </c:pt>
                <c:pt idx="1798">
                  <c:v>101.38513327742875</c:v>
                </c:pt>
                <c:pt idx="1799">
                  <c:v>100.64226111103474</c:v>
                </c:pt>
                <c:pt idx="1800">
                  <c:v>100.968203126074</c:v>
                </c:pt>
                <c:pt idx="1801">
                  <c:v>100.72661630672368</c:v>
                </c:pt>
                <c:pt idx="1802">
                  <c:v>100.72661630672368</c:v>
                </c:pt>
                <c:pt idx="1803">
                  <c:v>100.72661630672368</c:v>
                </c:pt>
                <c:pt idx="1804">
                  <c:v>100.33279834485793</c:v>
                </c:pt>
                <c:pt idx="1805">
                  <c:v>100.3112326959295</c:v>
                </c:pt>
                <c:pt idx="1806">
                  <c:v>100.24897584647321</c:v>
                </c:pt>
                <c:pt idx="1807">
                  <c:v>100.5109598174395</c:v>
                </c:pt>
                <c:pt idx="1808">
                  <c:v>100.88175150873624</c:v>
                </c:pt>
                <c:pt idx="1809">
                  <c:v>100.88175150873624</c:v>
                </c:pt>
                <c:pt idx="1810">
                  <c:v>100.88175150873624</c:v>
                </c:pt>
                <c:pt idx="1811">
                  <c:v>100.7179728633683</c:v>
                </c:pt>
                <c:pt idx="1812">
                  <c:v>101.45355910534349</c:v>
                </c:pt>
                <c:pt idx="1813">
                  <c:v>100.10306833647225</c:v>
                </c:pt>
                <c:pt idx="1814">
                  <c:v>100.72960628514085</c:v>
                </c:pt>
                <c:pt idx="1815">
                  <c:v>100.44447575711753</c:v>
                </c:pt>
                <c:pt idx="1816">
                  <c:v>100.44447575711753</c:v>
                </c:pt>
                <c:pt idx="1817">
                  <c:v>100.44447575711753</c:v>
                </c:pt>
                <c:pt idx="1818">
                  <c:v>100.27609185763579</c:v>
                </c:pt>
                <c:pt idx="1819">
                  <c:v>100.70773132810031</c:v>
                </c:pt>
                <c:pt idx="1820">
                  <c:v>100.799200610368</c:v>
                </c:pt>
                <c:pt idx="1821">
                  <c:v>100.3288632583204</c:v>
                </c:pt>
                <c:pt idx="1822">
                  <c:v>100.3288632583204</c:v>
                </c:pt>
                <c:pt idx="1823">
                  <c:v>100.3288632583204</c:v>
                </c:pt>
                <c:pt idx="1824">
                  <c:v>100.3288632583204</c:v>
                </c:pt>
                <c:pt idx="1825">
                  <c:v>99.921985620609547</c:v>
                </c:pt>
                <c:pt idx="1826">
                  <c:v>100</c:v>
                </c:pt>
              </c:numCache>
            </c:numRef>
          </c:val>
          <c:smooth val="0"/>
          <c:extLst>
            <c:ext xmlns:c16="http://schemas.microsoft.com/office/drawing/2014/chart" uri="{C3380CC4-5D6E-409C-BE32-E72D297353CC}">
              <c16:uniqueId val="{00000007-7F42-4D4F-88A4-F1EFF1B99B9D}"/>
            </c:ext>
          </c:extLst>
        </c:ser>
        <c:dLbls>
          <c:showLegendKey val="0"/>
          <c:showVal val="0"/>
          <c:showCatName val="0"/>
          <c:showSerName val="0"/>
          <c:showPercent val="0"/>
          <c:showBubbleSize val="0"/>
        </c:dLbls>
        <c:smooth val="0"/>
        <c:axId val="1987182688"/>
        <c:axId val="1987184128"/>
      </c:lineChart>
      <c:dateAx>
        <c:axId val="19871826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7184128"/>
        <c:crosses val="autoZero"/>
        <c:auto val="1"/>
        <c:lblOffset val="100"/>
        <c:baseTimeUnit val="days"/>
        <c:majorUnit val="12"/>
        <c:majorTimeUnit val="months"/>
      </c:dateAx>
      <c:valAx>
        <c:axId val="198718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71826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Price</a:t>
            </a:r>
            <a:r>
              <a:rPr lang="en-US" baseline="0"/>
              <a:t> Movement </a:t>
            </a:r>
            <a:r>
              <a:rPr lang="en-US" sz="700" baseline="0"/>
              <a:t>(Indexed to February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Indexed!$C$3</c:f>
              <c:strCache>
                <c:ptCount val="1"/>
                <c:pt idx="0">
                  <c:v>Intel</c:v>
                </c:pt>
              </c:strCache>
            </c:strRef>
          </c:tx>
          <c:spPr>
            <a:ln w="28575" cap="rnd">
              <a:solidFill>
                <a:schemeClr val="accent1">
                  <a:lumMod val="75000"/>
                </a:schemeClr>
              </a:solidFill>
              <a:round/>
            </a:ln>
            <a:effectLst/>
          </c:spPr>
          <c:marker>
            <c:symbol val="none"/>
          </c:marker>
          <c:cat>
            <c:numRef>
              <c:f>Indexed!$B$4:$B$3657</c:f>
              <c:numCache>
                <c:formatCode>[$-14009]dddd\,\ d\ mmmm\,\ yyyy;@</c:formatCode>
                <c:ptCount val="3654"/>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formatCode="m/d/yyyy">
                  <c:v>43351</c:v>
                </c:pt>
                <c:pt idx="1257" formatCode="m/d/yyyy">
                  <c:v>43350</c:v>
                </c:pt>
                <c:pt idx="1258" formatCode="m/d/yyyy">
                  <c:v>43349</c:v>
                </c:pt>
                <c:pt idx="1259" formatCode="m/d/yyyy">
                  <c:v>43348</c:v>
                </c:pt>
                <c:pt idx="1260" formatCode="m/d/yyyy">
                  <c:v>43347</c:v>
                </c:pt>
                <c:pt idx="1261" formatCode="m/d/yyyy">
                  <c:v>43346</c:v>
                </c:pt>
                <c:pt idx="1262" formatCode="m/d/yyyy">
                  <c:v>43345</c:v>
                </c:pt>
                <c:pt idx="1263" formatCode="m/d/yyyy">
                  <c:v>43344</c:v>
                </c:pt>
                <c:pt idx="1264" formatCode="m/d/yyyy">
                  <c:v>43343</c:v>
                </c:pt>
                <c:pt idx="1265" formatCode="m/d/yyyy">
                  <c:v>43342</c:v>
                </c:pt>
                <c:pt idx="1266" formatCode="m/d/yyyy">
                  <c:v>43341</c:v>
                </c:pt>
                <c:pt idx="1267" formatCode="m/d/yyyy">
                  <c:v>43340</c:v>
                </c:pt>
                <c:pt idx="1268" formatCode="m/d/yyyy">
                  <c:v>43339</c:v>
                </c:pt>
                <c:pt idx="1269" formatCode="m/d/yyyy">
                  <c:v>43338</c:v>
                </c:pt>
                <c:pt idx="1270" formatCode="m/d/yyyy">
                  <c:v>43337</c:v>
                </c:pt>
                <c:pt idx="1271" formatCode="m/d/yyyy">
                  <c:v>43336</c:v>
                </c:pt>
                <c:pt idx="1272" formatCode="m/d/yyyy">
                  <c:v>43335</c:v>
                </c:pt>
                <c:pt idx="1273" formatCode="m/d/yyyy">
                  <c:v>43334</c:v>
                </c:pt>
                <c:pt idx="1274" formatCode="m/d/yyyy">
                  <c:v>43333</c:v>
                </c:pt>
                <c:pt idx="1275" formatCode="m/d/yyyy">
                  <c:v>43332</c:v>
                </c:pt>
                <c:pt idx="1276" formatCode="m/d/yyyy">
                  <c:v>43331</c:v>
                </c:pt>
                <c:pt idx="1277" formatCode="m/d/yyyy">
                  <c:v>43330</c:v>
                </c:pt>
                <c:pt idx="1278" formatCode="m/d/yyyy">
                  <c:v>43329</c:v>
                </c:pt>
                <c:pt idx="1279" formatCode="m/d/yyyy">
                  <c:v>43328</c:v>
                </c:pt>
                <c:pt idx="1280" formatCode="m/d/yyyy">
                  <c:v>43327</c:v>
                </c:pt>
                <c:pt idx="1281" formatCode="m/d/yyyy">
                  <c:v>43326</c:v>
                </c:pt>
                <c:pt idx="1282" formatCode="m/d/yyyy">
                  <c:v>43325</c:v>
                </c:pt>
                <c:pt idx="1283" formatCode="m/d/yyyy">
                  <c:v>43324</c:v>
                </c:pt>
                <c:pt idx="1284" formatCode="m/d/yyyy">
                  <c:v>43323</c:v>
                </c:pt>
                <c:pt idx="1285" formatCode="m/d/yyyy">
                  <c:v>43322</c:v>
                </c:pt>
                <c:pt idx="1286" formatCode="m/d/yyyy">
                  <c:v>43321</c:v>
                </c:pt>
                <c:pt idx="1287" formatCode="m/d/yyyy">
                  <c:v>43320</c:v>
                </c:pt>
                <c:pt idx="1288" formatCode="m/d/yyyy">
                  <c:v>43319</c:v>
                </c:pt>
                <c:pt idx="1289" formatCode="m/d/yyyy">
                  <c:v>43318</c:v>
                </c:pt>
                <c:pt idx="1290" formatCode="m/d/yyyy">
                  <c:v>43317</c:v>
                </c:pt>
                <c:pt idx="1291" formatCode="m/d/yyyy">
                  <c:v>43316</c:v>
                </c:pt>
                <c:pt idx="1292" formatCode="m/d/yyyy">
                  <c:v>43315</c:v>
                </c:pt>
                <c:pt idx="1293" formatCode="m/d/yyyy">
                  <c:v>43314</c:v>
                </c:pt>
                <c:pt idx="1294" formatCode="m/d/yyyy">
                  <c:v>43313</c:v>
                </c:pt>
                <c:pt idx="1295" formatCode="m/d/yyyy">
                  <c:v>43312</c:v>
                </c:pt>
                <c:pt idx="1296" formatCode="m/d/yyyy">
                  <c:v>43311</c:v>
                </c:pt>
                <c:pt idx="1297" formatCode="m/d/yyyy">
                  <c:v>43310</c:v>
                </c:pt>
                <c:pt idx="1298" formatCode="m/d/yyyy">
                  <c:v>43309</c:v>
                </c:pt>
                <c:pt idx="1299" formatCode="m/d/yyyy">
                  <c:v>43308</c:v>
                </c:pt>
                <c:pt idx="1300" formatCode="m/d/yyyy">
                  <c:v>43307</c:v>
                </c:pt>
                <c:pt idx="1301" formatCode="m/d/yyyy">
                  <c:v>43306</c:v>
                </c:pt>
                <c:pt idx="1302" formatCode="m/d/yyyy">
                  <c:v>43305</c:v>
                </c:pt>
                <c:pt idx="1303" formatCode="m/d/yyyy">
                  <c:v>43304</c:v>
                </c:pt>
                <c:pt idx="1304" formatCode="m/d/yyyy">
                  <c:v>43303</c:v>
                </c:pt>
                <c:pt idx="1305" formatCode="m/d/yyyy">
                  <c:v>43302</c:v>
                </c:pt>
                <c:pt idx="1306" formatCode="m/d/yyyy">
                  <c:v>43301</c:v>
                </c:pt>
                <c:pt idx="1307" formatCode="m/d/yyyy">
                  <c:v>43300</c:v>
                </c:pt>
                <c:pt idx="1308" formatCode="m/d/yyyy">
                  <c:v>43299</c:v>
                </c:pt>
                <c:pt idx="1309" formatCode="m/d/yyyy">
                  <c:v>43298</c:v>
                </c:pt>
                <c:pt idx="1310" formatCode="m/d/yyyy">
                  <c:v>43297</c:v>
                </c:pt>
                <c:pt idx="1311" formatCode="m/d/yyyy">
                  <c:v>43296</c:v>
                </c:pt>
                <c:pt idx="1312" formatCode="m/d/yyyy">
                  <c:v>43295</c:v>
                </c:pt>
                <c:pt idx="1313" formatCode="m/d/yyyy">
                  <c:v>43294</c:v>
                </c:pt>
                <c:pt idx="1314" formatCode="m/d/yyyy">
                  <c:v>43293</c:v>
                </c:pt>
                <c:pt idx="1315" formatCode="m/d/yyyy">
                  <c:v>43292</c:v>
                </c:pt>
                <c:pt idx="1316" formatCode="m/d/yyyy">
                  <c:v>43291</c:v>
                </c:pt>
                <c:pt idx="1317" formatCode="m/d/yyyy">
                  <c:v>43290</c:v>
                </c:pt>
                <c:pt idx="1318" formatCode="m/d/yyyy">
                  <c:v>43289</c:v>
                </c:pt>
                <c:pt idx="1319" formatCode="m/d/yyyy">
                  <c:v>43288</c:v>
                </c:pt>
                <c:pt idx="1320" formatCode="m/d/yyyy">
                  <c:v>43287</c:v>
                </c:pt>
                <c:pt idx="1321" formatCode="m/d/yyyy">
                  <c:v>43286</c:v>
                </c:pt>
                <c:pt idx="1322" formatCode="m/d/yyyy">
                  <c:v>43285</c:v>
                </c:pt>
                <c:pt idx="1323" formatCode="m/d/yyyy">
                  <c:v>43284</c:v>
                </c:pt>
                <c:pt idx="1324" formatCode="m/d/yyyy">
                  <c:v>43283</c:v>
                </c:pt>
                <c:pt idx="1325" formatCode="m/d/yyyy">
                  <c:v>43282</c:v>
                </c:pt>
                <c:pt idx="1326" formatCode="m/d/yyyy">
                  <c:v>43281</c:v>
                </c:pt>
                <c:pt idx="1327" formatCode="m/d/yyyy">
                  <c:v>43280</c:v>
                </c:pt>
                <c:pt idx="1328" formatCode="m/d/yyyy">
                  <c:v>43279</c:v>
                </c:pt>
                <c:pt idx="1329" formatCode="m/d/yyyy">
                  <c:v>43278</c:v>
                </c:pt>
                <c:pt idx="1330" formatCode="m/d/yyyy">
                  <c:v>43277</c:v>
                </c:pt>
                <c:pt idx="1331" formatCode="m/d/yyyy">
                  <c:v>43276</c:v>
                </c:pt>
                <c:pt idx="1332" formatCode="m/d/yyyy">
                  <c:v>43275</c:v>
                </c:pt>
                <c:pt idx="1333" formatCode="m/d/yyyy">
                  <c:v>43274</c:v>
                </c:pt>
                <c:pt idx="1334" formatCode="m/d/yyyy">
                  <c:v>43273</c:v>
                </c:pt>
                <c:pt idx="1335" formatCode="m/d/yyyy">
                  <c:v>43272</c:v>
                </c:pt>
                <c:pt idx="1336" formatCode="m/d/yyyy">
                  <c:v>43271</c:v>
                </c:pt>
                <c:pt idx="1337" formatCode="m/d/yyyy">
                  <c:v>43270</c:v>
                </c:pt>
                <c:pt idx="1338" formatCode="m/d/yyyy">
                  <c:v>43269</c:v>
                </c:pt>
                <c:pt idx="1339" formatCode="m/d/yyyy">
                  <c:v>43268</c:v>
                </c:pt>
                <c:pt idx="1340" formatCode="m/d/yyyy">
                  <c:v>43267</c:v>
                </c:pt>
                <c:pt idx="1341" formatCode="m/d/yyyy">
                  <c:v>43266</c:v>
                </c:pt>
                <c:pt idx="1342" formatCode="m/d/yyyy">
                  <c:v>43265</c:v>
                </c:pt>
                <c:pt idx="1343" formatCode="m/d/yyyy">
                  <c:v>43264</c:v>
                </c:pt>
                <c:pt idx="1344" formatCode="m/d/yyyy">
                  <c:v>43263</c:v>
                </c:pt>
                <c:pt idx="1345" formatCode="m/d/yyyy">
                  <c:v>43262</c:v>
                </c:pt>
                <c:pt idx="1346" formatCode="m/d/yyyy">
                  <c:v>43261</c:v>
                </c:pt>
                <c:pt idx="1347" formatCode="m/d/yyyy">
                  <c:v>43260</c:v>
                </c:pt>
                <c:pt idx="1348" formatCode="m/d/yyyy">
                  <c:v>43259</c:v>
                </c:pt>
                <c:pt idx="1349" formatCode="m/d/yyyy">
                  <c:v>43258</c:v>
                </c:pt>
                <c:pt idx="1350" formatCode="m/d/yyyy">
                  <c:v>43257</c:v>
                </c:pt>
                <c:pt idx="1351" formatCode="m/d/yyyy">
                  <c:v>43256</c:v>
                </c:pt>
                <c:pt idx="1352" formatCode="m/d/yyyy">
                  <c:v>43255</c:v>
                </c:pt>
                <c:pt idx="1353" formatCode="m/d/yyyy">
                  <c:v>43254</c:v>
                </c:pt>
                <c:pt idx="1354" formatCode="m/d/yyyy">
                  <c:v>43253</c:v>
                </c:pt>
                <c:pt idx="1355" formatCode="m/d/yyyy">
                  <c:v>43252</c:v>
                </c:pt>
                <c:pt idx="1356" formatCode="m/d/yyyy">
                  <c:v>43251</c:v>
                </c:pt>
                <c:pt idx="1357" formatCode="m/d/yyyy">
                  <c:v>43250</c:v>
                </c:pt>
                <c:pt idx="1358" formatCode="m/d/yyyy">
                  <c:v>43249</c:v>
                </c:pt>
                <c:pt idx="1359" formatCode="m/d/yyyy">
                  <c:v>43248</c:v>
                </c:pt>
                <c:pt idx="1360" formatCode="m/d/yyyy">
                  <c:v>43247</c:v>
                </c:pt>
                <c:pt idx="1361" formatCode="m/d/yyyy">
                  <c:v>43246</c:v>
                </c:pt>
                <c:pt idx="1362" formatCode="m/d/yyyy">
                  <c:v>43245</c:v>
                </c:pt>
                <c:pt idx="1363" formatCode="m/d/yyyy">
                  <c:v>43244</c:v>
                </c:pt>
                <c:pt idx="1364" formatCode="m/d/yyyy">
                  <c:v>43243</c:v>
                </c:pt>
                <c:pt idx="1365" formatCode="m/d/yyyy">
                  <c:v>43242</c:v>
                </c:pt>
                <c:pt idx="1366" formatCode="m/d/yyyy">
                  <c:v>43241</c:v>
                </c:pt>
                <c:pt idx="1367" formatCode="m/d/yyyy">
                  <c:v>43240</c:v>
                </c:pt>
                <c:pt idx="1368" formatCode="m/d/yyyy">
                  <c:v>43239</c:v>
                </c:pt>
                <c:pt idx="1369" formatCode="m/d/yyyy">
                  <c:v>43238</c:v>
                </c:pt>
                <c:pt idx="1370" formatCode="m/d/yyyy">
                  <c:v>43237</c:v>
                </c:pt>
                <c:pt idx="1371" formatCode="m/d/yyyy">
                  <c:v>43236</c:v>
                </c:pt>
                <c:pt idx="1372" formatCode="m/d/yyyy">
                  <c:v>43235</c:v>
                </c:pt>
                <c:pt idx="1373" formatCode="m/d/yyyy">
                  <c:v>43234</c:v>
                </c:pt>
                <c:pt idx="1374" formatCode="m/d/yyyy">
                  <c:v>43233</c:v>
                </c:pt>
                <c:pt idx="1375" formatCode="m/d/yyyy">
                  <c:v>43232</c:v>
                </c:pt>
                <c:pt idx="1376" formatCode="m/d/yyyy">
                  <c:v>43231</c:v>
                </c:pt>
                <c:pt idx="1377" formatCode="m/d/yyyy">
                  <c:v>43230</c:v>
                </c:pt>
                <c:pt idx="1378" formatCode="m/d/yyyy">
                  <c:v>43229</c:v>
                </c:pt>
                <c:pt idx="1379" formatCode="m/d/yyyy">
                  <c:v>43228</c:v>
                </c:pt>
                <c:pt idx="1380" formatCode="m/d/yyyy">
                  <c:v>43227</c:v>
                </c:pt>
                <c:pt idx="1381" formatCode="m/d/yyyy">
                  <c:v>43226</c:v>
                </c:pt>
                <c:pt idx="1382" formatCode="m/d/yyyy">
                  <c:v>43225</c:v>
                </c:pt>
                <c:pt idx="1383" formatCode="m/d/yyyy">
                  <c:v>43224</c:v>
                </c:pt>
                <c:pt idx="1384" formatCode="m/d/yyyy">
                  <c:v>43223</c:v>
                </c:pt>
                <c:pt idx="1385" formatCode="m/d/yyyy">
                  <c:v>43222</c:v>
                </c:pt>
                <c:pt idx="1386" formatCode="m/d/yyyy">
                  <c:v>43221</c:v>
                </c:pt>
                <c:pt idx="1387" formatCode="m/d/yyyy">
                  <c:v>43220</c:v>
                </c:pt>
                <c:pt idx="1388" formatCode="m/d/yyyy">
                  <c:v>43219</c:v>
                </c:pt>
                <c:pt idx="1389" formatCode="m/d/yyyy">
                  <c:v>43218</c:v>
                </c:pt>
                <c:pt idx="1390" formatCode="m/d/yyyy">
                  <c:v>43217</c:v>
                </c:pt>
                <c:pt idx="1391" formatCode="m/d/yyyy">
                  <c:v>43216</c:v>
                </c:pt>
                <c:pt idx="1392" formatCode="m/d/yyyy">
                  <c:v>43215</c:v>
                </c:pt>
                <c:pt idx="1393" formatCode="m/d/yyyy">
                  <c:v>43214</c:v>
                </c:pt>
                <c:pt idx="1394" formatCode="m/d/yyyy">
                  <c:v>43213</c:v>
                </c:pt>
                <c:pt idx="1395" formatCode="m/d/yyyy">
                  <c:v>43212</c:v>
                </c:pt>
                <c:pt idx="1396" formatCode="m/d/yyyy">
                  <c:v>43211</c:v>
                </c:pt>
                <c:pt idx="1397" formatCode="m/d/yyyy">
                  <c:v>43210</c:v>
                </c:pt>
                <c:pt idx="1398" formatCode="m/d/yyyy">
                  <c:v>43209</c:v>
                </c:pt>
                <c:pt idx="1399" formatCode="m/d/yyyy">
                  <c:v>43208</c:v>
                </c:pt>
                <c:pt idx="1400" formatCode="m/d/yyyy">
                  <c:v>43207</c:v>
                </c:pt>
                <c:pt idx="1401" formatCode="m/d/yyyy">
                  <c:v>43206</c:v>
                </c:pt>
                <c:pt idx="1402" formatCode="m/d/yyyy">
                  <c:v>43205</c:v>
                </c:pt>
                <c:pt idx="1403" formatCode="m/d/yyyy">
                  <c:v>43204</c:v>
                </c:pt>
                <c:pt idx="1404" formatCode="m/d/yyyy">
                  <c:v>43203</c:v>
                </c:pt>
                <c:pt idx="1405" formatCode="m/d/yyyy">
                  <c:v>43202</c:v>
                </c:pt>
                <c:pt idx="1406" formatCode="m/d/yyyy">
                  <c:v>43201</c:v>
                </c:pt>
                <c:pt idx="1407" formatCode="m/d/yyyy">
                  <c:v>43200</c:v>
                </c:pt>
                <c:pt idx="1408" formatCode="m/d/yyyy">
                  <c:v>43199</c:v>
                </c:pt>
                <c:pt idx="1409" formatCode="m/d/yyyy">
                  <c:v>43198</c:v>
                </c:pt>
                <c:pt idx="1410" formatCode="m/d/yyyy">
                  <c:v>43197</c:v>
                </c:pt>
                <c:pt idx="1411" formatCode="m/d/yyyy">
                  <c:v>43196</c:v>
                </c:pt>
                <c:pt idx="1412" formatCode="m/d/yyyy">
                  <c:v>43195</c:v>
                </c:pt>
                <c:pt idx="1413" formatCode="m/d/yyyy">
                  <c:v>43194</c:v>
                </c:pt>
                <c:pt idx="1414" formatCode="m/d/yyyy">
                  <c:v>43193</c:v>
                </c:pt>
                <c:pt idx="1415" formatCode="m/d/yyyy">
                  <c:v>43192</c:v>
                </c:pt>
                <c:pt idx="1416" formatCode="m/d/yyyy">
                  <c:v>43191</c:v>
                </c:pt>
                <c:pt idx="1417" formatCode="m/d/yyyy">
                  <c:v>43190</c:v>
                </c:pt>
                <c:pt idx="1418" formatCode="m/d/yyyy">
                  <c:v>43189</c:v>
                </c:pt>
                <c:pt idx="1419" formatCode="m/d/yyyy">
                  <c:v>43188</c:v>
                </c:pt>
                <c:pt idx="1420" formatCode="m/d/yyyy">
                  <c:v>43187</c:v>
                </c:pt>
                <c:pt idx="1421" formatCode="m/d/yyyy">
                  <c:v>43186</c:v>
                </c:pt>
                <c:pt idx="1422" formatCode="m/d/yyyy">
                  <c:v>43185</c:v>
                </c:pt>
                <c:pt idx="1423" formatCode="m/d/yyyy">
                  <c:v>43184</c:v>
                </c:pt>
                <c:pt idx="1424" formatCode="m/d/yyyy">
                  <c:v>43183</c:v>
                </c:pt>
                <c:pt idx="1425" formatCode="m/d/yyyy">
                  <c:v>43182</c:v>
                </c:pt>
                <c:pt idx="1426" formatCode="m/d/yyyy">
                  <c:v>43181</c:v>
                </c:pt>
                <c:pt idx="1427" formatCode="m/d/yyyy">
                  <c:v>43180</c:v>
                </c:pt>
                <c:pt idx="1428" formatCode="m/d/yyyy">
                  <c:v>43179</c:v>
                </c:pt>
                <c:pt idx="1429" formatCode="m/d/yyyy">
                  <c:v>43178</c:v>
                </c:pt>
                <c:pt idx="1430" formatCode="m/d/yyyy">
                  <c:v>43177</c:v>
                </c:pt>
                <c:pt idx="1431" formatCode="m/d/yyyy">
                  <c:v>43176</c:v>
                </c:pt>
                <c:pt idx="1432" formatCode="m/d/yyyy">
                  <c:v>43175</c:v>
                </c:pt>
                <c:pt idx="1433" formatCode="m/d/yyyy">
                  <c:v>43174</c:v>
                </c:pt>
                <c:pt idx="1434" formatCode="m/d/yyyy">
                  <c:v>43173</c:v>
                </c:pt>
                <c:pt idx="1435" formatCode="m/d/yyyy">
                  <c:v>43172</c:v>
                </c:pt>
                <c:pt idx="1436" formatCode="m/d/yyyy">
                  <c:v>43171</c:v>
                </c:pt>
                <c:pt idx="1437" formatCode="m/d/yyyy">
                  <c:v>43170</c:v>
                </c:pt>
                <c:pt idx="1438" formatCode="m/d/yyyy">
                  <c:v>43169</c:v>
                </c:pt>
                <c:pt idx="1439" formatCode="m/d/yyyy">
                  <c:v>43168</c:v>
                </c:pt>
                <c:pt idx="1440" formatCode="m/d/yyyy">
                  <c:v>43167</c:v>
                </c:pt>
                <c:pt idx="1441" formatCode="m/d/yyyy">
                  <c:v>43166</c:v>
                </c:pt>
                <c:pt idx="1442" formatCode="m/d/yyyy">
                  <c:v>43165</c:v>
                </c:pt>
                <c:pt idx="1443" formatCode="m/d/yyyy">
                  <c:v>43164</c:v>
                </c:pt>
                <c:pt idx="1444" formatCode="m/d/yyyy">
                  <c:v>43163</c:v>
                </c:pt>
                <c:pt idx="1445" formatCode="m/d/yyyy">
                  <c:v>43162</c:v>
                </c:pt>
                <c:pt idx="1446" formatCode="m/d/yyyy">
                  <c:v>43161</c:v>
                </c:pt>
                <c:pt idx="1447" formatCode="m/d/yyyy">
                  <c:v>43160</c:v>
                </c:pt>
                <c:pt idx="1448" formatCode="m/d/yyyy">
                  <c:v>43159</c:v>
                </c:pt>
                <c:pt idx="1449" formatCode="m/d/yyyy">
                  <c:v>43158</c:v>
                </c:pt>
                <c:pt idx="1450" formatCode="m/d/yyyy">
                  <c:v>43157</c:v>
                </c:pt>
                <c:pt idx="1451" formatCode="m/d/yyyy">
                  <c:v>43156</c:v>
                </c:pt>
                <c:pt idx="1452" formatCode="m/d/yyyy">
                  <c:v>43155</c:v>
                </c:pt>
                <c:pt idx="1453" formatCode="m/d/yyyy">
                  <c:v>43154</c:v>
                </c:pt>
                <c:pt idx="1454" formatCode="m/d/yyyy">
                  <c:v>43153</c:v>
                </c:pt>
                <c:pt idx="1455" formatCode="m/d/yyyy">
                  <c:v>43152</c:v>
                </c:pt>
                <c:pt idx="1456" formatCode="m/d/yyyy">
                  <c:v>43151</c:v>
                </c:pt>
                <c:pt idx="1457" formatCode="m/d/yyyy">
                  <c:v>43150</c:v>
                </c:pt>
                <c:pt idx="1458" formatCode="m/d/yyyy">
                  <c:v>43149</c:v>
                </c:pt>
                <c:pt idx="1459" formatCode="m/d/yyyy">
                  <c:v>43148</c:v>
                </c:pt>
                <c:pt idx="1460" formatCode="m/d/yyyy">
                  <c:v>43147</c:v>
                </c:pt>
                <c:pt idx="1461" formatCode="m/d/yyyy">
                  <c:v>43146</c:v>
                </c:pt>
                <c:pt idx="1462" formatCode="m/d/yyyy">
                  <c:v>43145</c:v>
                </c:pt>
                <c:pt idx="1463" formatCode="m/d/yyyy">
                  <c:v>43144</c:v>
                </c:pt>
                <c:pt idx="1464" formatCode="m/d/yyyy">
                  <c:v>43143</c:v>
                </c:pt>
                <c:pt idx="1465" formatCode="m/d/yyyy">
                  <c:v>43142</c:v>
                </c:pt>
                <c:pt idx="1466" formatCode="m/d/yyyy">
                  <c:v>43141</c:v>
                </c:pt>
                <c:pt idx="1467" formatCode="m/d/yyyy">
                  <c:v>43140</c:v>
                </c:pt>
                <c:pt idx="1468" formatCode="m/d/yyyy">
                  <c:v>43139</c:v>
                </c:pt>
                <c:pt idx="1469" formatCode="m/d/yyyy">
                  <c:v>43138</c:v>
                </c:pt>
                <c:pt idx="1470" formatCode="m/d/yyyy">
                  <c:v>43137</c:v>
                </c:pt>
                <c:pt idx="1471" formatCode="m/d/yyyy">
                  <c:v>43136</c:v>
                </c:pt>
                <c:pt idx="1472" formatCode="m/d/yyyy">
                  <c:v>43135</c:v>
                </c:pt>
                <c:pt idx="1473" formatCode="m/d/yyyy">
                  <c:v>43134</c:v>
                </c:pt>
                <c:pt idx="1474" formatCode="m/d/yyyy">
                  <c:v>43133</c:v>
                </c:pt>
                <c:pt idx="1475" formatCode="m/d/yyyy">
                  <c:v>43132</c:v>
                </c:pt>
                <c:pt idx="1476" formatCode="m/d/yyyy">
                  <c:v>43131</c:v>
                </c:pt>
                <c:pt idx="1477" formatCode="m/d/yyyy">
                  <c:v>43130</c:v>
                </c:pt>
                <c:pt idx="1478" formatCode="m/d/yyyy">
                  <c:v>43129</c:v>
                </c:pt>
                <c:pt idx="1479" formatCode="m/d/yyyy">
                  <c:v>43128</c:v>
                </c:pt>
                <c:pt idx="1480" formatCode="m/d/yyyy">
                  <c:v>43127</c:v>
                </c:pt>
                <c:pt idx="1481" formatCode="m/d/yyyy">
                  <c:v>43126</c:v>
                </c:pt>
                <c:pt idx="1482" formatCode="m/d/yyyy">
                  <c:v>43125</c:v>
                </c:pt>
                <c:pt idx="1483" formatCode="m/d/yyyy">
                  <c:v>43124</c:v>
                </c:pt>
                <c:pt idx="1484" formatCode="m/d/yyyy">
                  <c:v>43123</c:v>
                </c:pt>
                <c:pt idx="1485" formatCode="m/d/yyyy">
                  <c:v>43122</c:v>
                </c:pt>
                <c:pt idx="1486" formatCode="m/d/yyyy">
                  <c:v>43121</c:v>
                </c:pt>
                <c:pt idx="1487" formatCode="m/d/yyyy">
                  <c:v>43120</c:v>
                </c:pt>
                <c:pt idx="1488" formatCode="m/d/yyyy">
                  <c:v>43119</c:v>
                </c:pt>
                <c:pt idx="1489" formatCode="m/d/yyyy">
                  <c:v>43118</c:v>
                </c:pt>
                <c:pt idx="1490" formatCode="m/d/yyyy">
                  <c:v>43117</c:v>
                </c:pt>
                <c:pt idx="1491" formatCode="m/d/yyyy">
                  <c:v>43116</c:v>
                </c:pt>
                <c:pt idx="1492" formatCode="m/d/yyyy">
                  <c:v>43115</c:v>
                </c:pt>
                <c:pt idx="1493" formatCode="m/d/yyyy">
                  <c:v>43114</c:v>
                </c:pt>
                <c:pt idx="1494" formatCode="m/d/yyyy">
                  <c:v>43113</c:v>
                </c:pt>
                <c:pt idx="1495" formatCode="m/d/yyyy">
                  <c:v>43112</c:v>
                </c:pt>
                <c:pt idx="1496" formatCode="m/d/yyyy">
                  <c:v>43111</c:v>
                </c:pt>
                <c:pt idx="1497" formatCode="m/d/yyyy">
                  <c:v>43110</c:v>
                </c:pt>
                <c:pt idx="1498" formatCode="m/d/yyyy">
                  <c:v>43109</c:v>
                </c:pt>
                <c:pt idx="1499" formatCode="m/d/yyyy">
                  <c:v>43108</c:v>
                </c:pt>
                <c:pt idx="1500" formatCode="m/d/yyyy">
                  <c:v>43107</c:v>
                </c:pt>
                <c:pt idx="1501" formatCode="m/d/yyyy">
                  <c:v>43106</c:v>
                </c:pt>
                <c:pt idx="1502" formatCode="m/d/yyyy">
                  <c:v>43105</c:v>
                </c:pt>
                <c:pt idx="1503" formatCode="m/d/yyyy">
                  <c:v>43104</c:v>
                </c:pt>
                <c:pt idx="1504" formatCode="m/d/yyyy">
                  <c:v>43103</c:v>
                </c:pt>
                <c:pt idx="1505" formatCode="m/d/yyyy">
                  <c:v>43102</c:v>
                </c:pt>
                <c:pt idx="1506" formatCode="m/d/yyyy">
                  <c:v>43101</c:v>
                </c:pt>
                <c:pt idx="1507" formatCode="m/d/yyyy">
                  <c:v>43100</c:v>
                </c:pt>
                <c:pt idx="1508" formatCode="m/d/yyyy">
                  <c:v>43099</c:v>
                </c:pt>
                <c:pt idx="1509" formatCode="m/d/yyyy">
                  <c:v>43098</c:v>
                </c:pt>
                <c:pt idx="1510" formatCode="m/d/yyyy">
                  <c:v>43097</c:v>
                </c:pt>
                <c:pt idx="1511" formatCode="m/d/yyyy">
                  <c:v>43096</c:v>
                </c:pt>
                <c:pt idx="1512" formatCode="m/d/yyyy">
                  <c:v>43095</c:v>
                </c:pt>
                <c:pt idx="1513" formatCode="m/d/yyyy">
                  <c:v>43094</c:v>
                </c:pt>
                <c:pt idx="1514" formatCode="m/d/yyyy">
                  <c:v>43093</c:v>
                </c:pt>
                <c:pt idx="1515" formatCode="m/d/yyyy">
                  <c:v>43092</c:v>
                </c:pt>
                <c:pt idx="1516" formatCode="m/d/yyyy">
                  <c:v>43091</c:v>
                </c:pt>
                <c:pt idx="1517" formatCode="m/d/yyyy">
                  <c:v>43090</c:v>
                </c:pt>
                <c:pt idx="1518" formatCode="m/d/yyyy">
                  <c:v>43089</c:v>
                </c:pt>
                <c:pt idx="1519" formatCode="m/d/yyyy">
                  <c:v>43088</c:v>
                </c:pt>
                <c:pt idx="1520" formatCode="m/d/yyyy">
                  <c:v>43087</c:v>
                </c:pt>
                <c:pt idx="1521" formatCode="m/d/yyyy">
                  <c:v>43086</c:v>
                </c:pt>
                <c:pt idx="1522" formatCode="m/d/yyyy">
                  <c:v>43085</c:v>
                </c:pt>
                <c:pt idx="1523" formatCode="m/d/yyyy">
                  <c:v>43084</c:v>
                </c:pt>
                <c:pt idx="1524" formatCode="m/d/yyyy">
                  <c:v>43083</c:v>
                </c:pt>
                <c:pt idx="1525" formatCode="m/d/yyyy">
                  <c:v>43082</c:v>
                </c:pt>
                <c:pt idx="1526" formatCode="m/d/yyyy">
                  <c:v>43081</c:v>
                </c:pt>
                <c:pt idx="1527" formatCode="m/d/yyyy">
                  <c:v>43080</c:v>
                </c:pt>
                <c:pt idx="1528" formatCode="m/d/yyyy">
                  <c:v>43079</c:v>
                </c:pt>
                <c:pt idx="1529" formatCode="m/d/yyyy">
                  <c:v>43078</c:v>
                </c:pt>
                <c:pt idx="1530" formatCode="m/d/yyyy">
                  <c:v>43077</c:v>
                </c:pt>
                <c:pt idx="1531" formatCode="m/d/yyyy">
                  <c:v>43076</c:v>
                </c:pt>
                <c:pt idx="1532" formatCode="m/d/yyyy">
                  <c:v>43075</c:v>
                </c:pt>
                <c:pt idx="1533" formatCode="m/d/yyyy">
                  <c:v>43074</c:v>
                </c:pt>
                <c:pt idx="1534" formatCode="m/d/yyyy">
                  <c:v>43073</c:v>
                </c:pt>
                <c:pt idx="1535" formatCode="m/d/yyyy">
                  <c:v>43072</c:v>
                </c:pt>
                <c:pt idx="1536" formatCode="m/d/yyyy">
                  <c:v>43071</c:v>
                </c:pt>
                <c:pt idx="1537" formatCode="m/d/yyyy">
                  <c:v>43070</c:v>
                </c:pt>
                <c:pt idx="1538" formatCode="m/d/yyyy">
                  <c:v>43069</c:v>
                </c:pt>
                <c:pt idx="1539" formatCode="m/d/yyyy">
                  <c:v>43068</c:v>
                </c:pt>
                <c:pt idx="1540" formatCode="m/d/yyyy">
                  <c:v>43067</c:v>
                </c:pt>
                <c:pt idx="1541" formatCode="m/d/yyyy">
                  <c:v>43066</c:v>
                </c:pt>
                <c:pt idx="1542" formatCode="m/d/yyyy">
                  <c:v>43065</c:v>
                </c:pt>
                <c:pt idx="1543" formatCode="m/d/yyyy">
                  <c:v>43064</c:v>
                </c:pt>
                <c:pt idx="1544" formatCode="m/d/yyyy">
                  <c:v>43063</c:v>
                </c:pt>
                <c:pt idx="1545" formatCode="m/d/yyyy">
                  <c:v>43062</c:v>
                </c:pt>
                <c:pt idx="1546" formatCode="m/d/yyyy">
                  <c:v>43061</c:v>
                </c:pt>
                <c:pt idx="1547" formatCode="m/d/yyyy">
                  <c:v>43060</c:v>
                </c:pt>
                <c:pt idx="1548" formatCode="m/d/yyyy">
                  <c:v>43059</c:v>
                </c:pt>
                <c:pt idx="1549" formatCode="m/d/yyyy">
                  <c:v>43058</c:v>
                </c:pt>
                <c:pt idx="1550" formatCode="m/d/yyyy">
                  <c:v>43057</c:v>
                </c:pt>
                <c:pt idx="1551" formatCode="m/d/yyyy">
                  <c:v>43056</c:v>
                </c:pt>
                <c:pt idx="1552" formatCode="m/d/yyyy">
                  <c:v>43055</c:v>
                </c:pt>
                <c:pt idx="1553" formatCode="m/d/yyyy">
                  <c:v>43054</c:v>
                </c:pt>
                <c:pt idx="1554" formatCode="m/d/yyyy">
                  <c:v>43053</c:v>
                </c:pt>
                <c:pt idx="1555" formatCode="m/d/yyyy">
                  <c:v>43052</c:v>
                </c:pt>
                <c:pt idx="1556" formatCode="m/d/yyyy">
                  <c:v>43051</c:v>
                </c:pt>
                <c:pt idx="1557" formatCode="m/d/yyyy">
                  <c:v>43050</c:v>
                </c:pt>
                <c:pt idx="1558" formatCode="m/d/yyyy">
                  <c:v>43049</c:v>
                </c:pt>
                <c:pt idx="1559" formatCode="m/d/yyyy">
                  <c:v>43048</c:v>
                </c:pt>
                <c:pt idx="1560" formatCode="m/d/yyyy">
                  <c:v>43047</c:v>
                </c:pt>
                <c:pt idx="1561" formatCode="m/d/yyyy">
                  <c:v>43046</c:v>
                </c:pt>
                <c:pt idx="1562" formatCode="m/d/yyyy">
                  <c:v>43045</c:v>
                </c:pt>
                <c:pt idx="1563" formatCode="m/d/yyyy">
                  <c:v>43044</c:v>
                </c:pt>
                <c:pt idx="1564" formatCode="m/d/yyyy">
                  <c:v>43043</c:v>
                </c:pt>
                <c:pt idx="1565" formatCode="m/d/yyyy">
                  <c:v>43042</c:v>
                </c:pt>
                <c:pt idx="1566" formatCode="m/d/yyyy">
                  <c:v>43041</c:v>
                </c:pt>
                <c:pt idx="1567" formatCode="m/d/yyyy">
                  <c:v>43040</c:v>
                </c:pt>
                <c:pt idx="1568" formatCode="m/d/yyyy">
                  <c:v>43039</c:v>
                </c:pt>
                <c:pt idx="1569" formatCode="m/d/yyyy">
                  <c:v>43038</c:v>
                </c:pt>
                <c:pt idx="1570" formatCode="m/d/yyyy">
                  <c:v>43037</c:v>
                </c:pt>
                <c:pt idx="1571" formatCode="m/d/yyyy">
                  <c:v>43036</c:v>
                </c:pt>
                <c:pt idx="1572" formatCode="m/d/yyyy">
                  <c:v>43035</c:v>
                </c:pt>
                <c:pt idx="1573" formatCode="m/d/yyyy">
                  <c:v>43034</c:v>
                </c:pt>
                <c:pt idx="1574" formatCode="m/d/yyyy">
                  <c:v>43033</c:v>
                </c:pt>
                <c:pt idx="1575" formatCode="m/d/yyyy">
                  <c:v>43032</c:v>
                </c:pt>
                <c:pt idx="1576" formatCode="m/d/yyyy">
                  <c:v>43031</c:v>
                </c:pt>
                <c:pt idx="1577" formatCode="m/d/yyyy">
                  <c:v>43030</c:v>
                </c:pt>
                <c:pt idx="1578" formatCode="m/d/yyyy">
                  <c:v>43029</c:v>
                </c:pt>
                <c:pt idx="1579" formatCode="m/d/yyyy">
                  <c:v>43028</c:v>
                </c:pt>
                <c:pt idx="1580" formatCode="m/d/yyyy">
                  <c:v>43027</c:v>
                </c:pt>
                <c:pt idx="1581" formatCode="m/d/yyyy">
                  <c:v>43026</c:v>
                </c:pt>
                <c:pt idx="1582" formatCode="m/d/yyyy">
                  <c:v>43025</c:v>
                </c:pt>
                <c:pt idx="1583" formatCode="m/d/yyyy">
                  <c:v>43024</c:v>
                </c:pt>
                <c:pt idx="1584" formatCode="m/d/yyyy">
                  <c:v>43023</c:v>
                </c:pt>
                <c:pt idx="1585" formatCode="m/d/yyyy">
                  <c:v>43022</c:v>
                </c:pt>
                <c:pt idx="1586" formatCode="m/d/yyyy">
                  <c:v>43021</c:v>
                </c:pt>
                <c:pt idx="1587" formatCode="m/d/yyyy">
                  <c:v>43020</c:v>
                </c:pt>
                <c:pt idx="1588" formatCode="m/d/yyyy">
                  <c:v>43019</c:v>
                </c:pt>
                <c:pt idx="1589" formatCode="m/d/yyyy">
                  <c:v>43018</c:v>
                </c:pt>
                <c:pt idx="1590" formatCode="m/d/yyyy">
                  <c:v>43017</c:v>
                </c:pt>
                <c:pt idx="1591" formatCode="m/d/yyyy">
                  <c:v>43016</c:v>
                </c:pt>
                <c:pt idx="1592" formatCode="m/d/yyyy">
                  <c:v>43015</c:v>
                </c:pt>
                <c:pt idx="1593" formatCode="m/d/yyyy">
                  <c:v>43014</c:v>
                </c:pt>
                <c:pt idx="1594" formatCode="m/d/yyyy">
                  <c:v>43013</c:v>
                </c:pt>
                <c:pt idx="1595" formatCode="m/d/yyyy">
                  <c:v>43012</c:v>
                </c:pt>
                <c:pt idx="1596" formatCode="m/d/yyyy">
                  <c:v>43011</c:v>
                </c:pt>
                <c:pt idx="1597" formatCode="m/d/yyyy">
                  <c:v>43010</c:v>
                </c:pt>
                <c:pt idx="1598" formatCode="m/d/yyyy">
                  <c:v>43009</c:v>
                </c:pt>
                <c:pt idx="1599" formatCode="m/d/yyyy">
                  <c:v>43008</c:v>
                </c:pt>
                <c:pt idx="1600" formatCode="m/d/yyyy">
                  <c:v>43007</c:v>
                </c:pt>
                <c:pt idx="1601" formatCode="m/d/yyyy">
                  <c:v>43006</c:v>
                </c:pt>
                <c:pt idx="1602" formatCode="m/d/yyyy">
                  <c:v>43005</c:v>
                </c:pt>
                <c:pt idx="1603" formatCode="m/d/yyyy">
                  <c:v>43004</c:v>
                </c:pt>
                <c:pt idx="1604" formatCode="m/d/yyyy">
                  <c:v>43003</c:v>
                </c:pt>
                <c:pt idx="1605" formatCode="m/d/yyyy">
                  <c:v>43002</c:v>
                </c:pt>
                <c:pt idx="1606" formatCode="m/d/yyyy">
                  <c:v>43001</c:v>
                </c:pt>
                <c:pt idx="1607" formatCode="m/d/yyyy">
                  <c:v>43000</c:v>
                </c:pt>
                <c:pt idx="1608" formatCode="m/d/yyyy">
                  <c:v>42999</c:v>
                </c:pt>
                <c:pt idx="1609" formatCode="m/d/yyyy">
                  <c:v>42998</c:v>
                </c:pt>
                <c:pt idx="1610" formatCode="m/d/yyyy">
                  <c:v>42997</c:v>
                </c:pt>
                <c:pt idx="1611" formatCode="m/d/yyyy">
                  <c:v>42996</c:v>
                </c:pt>
                <c:pt idx="1612" formatCode="m/d/yyyy">
                  <c:v>42995</c:v>
                </c:pt>
                <c:pt idx="1613" formatCode="m/d/yyyy">
                  <c:v>42994</c:v>
                </c:pt>
                <c:pt idx="1614" formatCode="m/d/yyyy">
                  <c:v>42993</c:v>
                </c:pt>
                <c:pt idx="1615" formatCode="m/d/yyyy">
                  <c:v>42992</c:v>
                </c:pt>
                <c:pt idx="1616" formatCode="m/d/yyyy">
                  <c:v>42991</c:v>
                </c:pt>
                <c:pt idx="1617" formatCode="m/d/yyyy">
                  <c:v>42990</c:v>
                </c:pt>
                <c:pt idx="1618" formatCode="m/d/yyyy">
                  <c:v>42989</c:v>
                </c:pt>
                <c:pt idx="1619" formatCode="m/d/yyyy">
                  <c:v>42988</c:v>
                </c:pt>
                <c:pt idx="1620" formatCode="m/d/yyyy">
                  <c:v>42987</c:v>
                </c:pt>
                <c:pt idx="1621" formatCode="m/d/yyyy">
                  <c:v>42986</c:v>
                </c:pt>
                <c:pt idx="1622" formatCode="m/d/yyyy">
                  <c:v>42985</c:v>
                </c:pt>
                <c:pt idx="1623" formatCode="m/d/yyyy">
                  <c:v>42984</c:v>
                </c:pt>
                <c:pt idx="1624" formatCode="m/d/yyyy">
                  <c:v>42983</c:v>
                </c:pt>
                <c:pt idx="1625" formatCode="m/d/yyyy">
                  <c:v>42982</c:v>
                </c:pt>
                <c:pt idx="1626" formatCode="m/d/yyyy">
                  <c:v>42981</c:v>
                </c:pt>
                <c:pt idx="1627" formatCode="m/d/yyyy">
                  <c:v>42980</c:v>
                </c:pt>
                <c:pt idx="1628" formatCode="m/d/yyyy">
                  <c:v>42979</c:v>
                </c:pt>
                <c:pt idx="1629" formatCode="m/d/yyyy">
                  <c:v>42978</c:v>
                </c:pt>
                <c:pt idx="1630" formatCode="m/d/yyyy">
                  <c:v>42977</c:v>
                </c:pt>
                <c:pt idx="1631" formatCode="m/d/yyyy">
                  <c:v>42976</c:v>
                </c:pt>
                <c:pt idx="1632" formatCode="m/d/yyyy">
                  <c:v>42975</c:v>
                </c:pt>
                <c:pt idx="1633" formatCode="m/d/yyyy">
                  <c:v>42974</c:v>
                </c:pt>
                <c:pt idx="1634" formatCode="m/d/yyyy">
                  <c:v>42973</c:v>
                </c:pt>
                <c:pt idx="1635" formatCode="m/d/yyyy">
                  <c:v>42972</c:v>
                </c:pt>
                <c:pt idx="1636" formatCode="m/d/yyyy">
                  <c:v>42971</c:v>
                </c:pt>
                <c:pt idx="1637" formatCode="m/d/yyyy">
                  <c:v>42970</c:v>
                </c:pt>
                <c:pt idx="1638" formatCode="m/d/yyyy">
                  <c:v>42969</c:v>
                </c:pt>
                <c:pt idx="1639" formatCode="m/d/yyyy">
                  <c:v>42968</c:v>
                </c:pt>
                <c:pt idx="1640" formatCode="m/d/yyyy">
                  <c:v>42967</c:v>
                </c:pt>
                <c:pt idx="1641" formatCode="m/d/yyyy">
                  <c:v>42966</c:v>
                </c:pt>
                <c:pt idx="1642" formatCode="m/d/yyyy">
                  <c:v>42965</c:v>
                </c:pt>
                <c:pt idx="1643" formatCode="m/d/yyyy">
                  <c:v>42964</c:v>
                </c:pt>
                <c:pt idx="1644" formatCode="m/d/yyyy">
                  <c:v>42963</c:v>
                </c:pt>
                <c:pt idx="1645" formatCode="m/d/yyyy">
                  <c:v>42962</c:v>
                </c:pt>
                <c:pt idx="1646" formatCode="m/d/yyyy">
                  <c:v>42961</c:v>
                </c:pt>
                <c:pt idx="1647" formatCode="m/d/yyyy">
                  <c:v>42960</c:v>
                </c:pt>
                <c:pt idx="1648" formatCode="m/d/yyyy">
                  <c:v>42959</c:v>
                </c:pt>
                <c:pt idx="1649" formatCode="m/d/yyyy">
                  <c:v>42958</c:v>
                </c:pt>
                <c:pt idx="1650" formatCode="m/d/yyyy">
                  <c:v>42957</c:v>
                </c:pt>
                <c:pt idx="1651" formatCode="m/d/yyyy">
                  <c:v>42956</c:v>
                </c:pt>
                <c:pt idx="1652" formatCode="m/d/yyyy">
                  <c:v>42955</c:v>
                </c:pt>
                <c:pt idx="1653" formatCode="m/d/yyyy">
                  <c:v>42954</c:v>
                </c:pt>
                <c:pt idx="1654" formatCode="m/d/yyyy">
                  <c:v>42953</c:v>
                </c:pt>
                <c:pt idx="1655" formatCode="m/d/yyyy">
                  <c:v>42952</c:v>
                </c:pt>
                <c:pt idx="1656" formatCode="m/d/yyyy">
                  <c:v>42951</c:v>
                </c:pt>
                <c:pt idx="1657" formatCode="m/d/yyyy">
                  <c:v>42950</c:v>
                </c:pt>
                <c:pt idx="1658" formatCode="m/d/yyyy">
                  <c:v>42949</c:v>
                </c:pt>
                <c:pt idx="1659" formatCode="m/d/yyyy">
                  <c:v>42948</c:v>
                </c:pt>
                <c:pt idx="1660" formatCode="m/d/yyyy">
                  <c:v>42947</c:v>
                </c:pt>
                <c:pt idx="1661" formatCode="m/d/yyyy">
                  <c:v>42946</c:v>
                </c:pt>
                <c:pt idx="1662" formatCode="m/d/yyyy">
                  <c:v>42945</c:v>
                </c:pt>
                <c:pt idx="1663" formatCode="m/d/yyyy">
                  <c:v>42944</c:v>
                </c:pt>
                <c:pt idx="1664" formatCode="m/d/yyyy">
                  <c:v>42943</c:v>
                </c:pt>
                <c:pt idx="1665" formatCode="m/d/yyyy">
                  <c:v>42942</c:v>
                </c:pt>
                <c:pt idx="1666" formatCode="m/d/yyyy">
                  <c:v>42941</c:v>
                </c:pt>
                <c:pt idx="1667" formatCode="m/d/yyyy">
                  <c:v>42940</c:v>
                </c:pt>
                <c:pt idx="1668" formatCode="m/d/yyyy">
                  <c:v>42939</c:v>
                </c:pt>
                <c:pt idx="1669" formatCode="m/d/yyyy">
                  <c:v>42938</c:v>
                </c:pt>
                <c:pt idx="1670" formatCode="m/d/yyyy">
                  <c:v>42937</c:v>
                </c:pt>
                <c:pt idx="1671" formatCode="m/d/yyyy">
                  <c:v>42936</c:v>
                </c:pt>
                <c:pt idx="1672" formatCode="m/d/yyyy">
                  <c:v>42935</c:v>
                </c:pt>
                <c:pt idx="1673" formatCode="m/d/yyyy">
                  <c:v>42934</c:v>
                </c:pt>
                <c:pt idx="1674" formatCode="m/d/yyyy">
                  <c:v>42933</c:v>
                </c:pt>
                <c:pt idx="1675" formatCode="m/d/yyyy">
                  <c:v>42932</c:v>
                </c:pt>
                <c:pt idx="1676" formatCode="m/d/yyyy">
                  <c:v>42931</c:v>
                </c:pt>
                <c:pt idx="1677" formatCode="m/d/yyyy">
                  <c:v>42930</c:v>
                </c:pt>
                <c:pt idx="1678" formatCode="m/d/yyyy">
                  <c:v>42929</c:v>
                </c:pt>
                <c:pt idx="1679" formatCode="m/d/yyyy">
                  <c:v>42928</c:v>
                </c:pt>
                <c:pt idx="1680" formatCode="m/d/yyyy">
                  <c:v>42927</c:v>
                </c:pt>
                <c:pt idx="1681" formatCode="m/d/yyyy">
                  <c:v>42926</c:v>
                </c:pt>
                <c:pt idx="1682" formatCode="m/d/yyyy">
                  <c:v>42925</c:v>
                </c:pt>
                <c:pt idx="1683" formatCode="m/d/yyyy">
                  <c:v>42924</c:v>
                </c:pt>
                <c:pt idx="1684" formatCode="m/d/yyyy">
                  <c:v>42923</c:v>
                </c:pt>
                <c:pt idx="1685" formatCode="m/d/yyyy">
                  <c:v>42922</c:v>
                </c:pt>
                <c:pt idx="1686" formatCode="m/d/yyyy">
                  <c:v>42921</c:v>
                </c:pt>
                <c:pt idx="1687" formatCode="m/d/yyyy">
                  <c:v>42920</c:v>
                </c:pt>
                <c:pt idx="1688" formatCode="m/d/yyyy">
                  <c:v>42919</c:v>
                </c:pt>
                <c:pt idx="1689" formatCode="m/d/yyyy">
                  <c:v>42918</c:v>
                </c:pt>
                <c:pt idx="1690" formatCode="m/d/yyyy">
                  <c:v>42917</c:v>
                </c:pt>
                <c:pt idx="1691" formatCode="m/d/yyyy">
                  <c:v>42916</c:v>
                </c:pt>
                <c:pt idx="1692" formatCode="m/d/yyyy">
                  <c:v>42915</c:v>
                </c:pt>
                <c:pt idx="1693" formatCode="m/d/yyyy">
                  <c:v>42914</c:v>
                </c:pt>
                <c:pt idx="1694" formatCode="m/d/yyyy">
                  <c:v>42913</c:v>
                </c:pt>
                <c:pt idx="1695" formatCode="m/d/yyyy">
                  <c:v>42912</c:v>
                </c:pt>
                <c:pt idx="1696" formatCode="m/d/yyyy">
                  <c:v>42911</c:v>
                </c:pt>
                <c:pt idx="1697" formatCode="m/d/yyyy">
                  <c:v>42910</c:v>
                </c:pt>
                <c:pt idx="1698" formatCode="m/d/yyyy">
                  <c:v>42909</c:v>
                </c:pt>
                <c:pt idx="1699" formatCode="m/d/yyyy">
                  <c:v>42908</c:v>
                </c:pt>
                <c:pt idx="1700" formatCode="m/d/yyyy">
                  <c:v>42907</c:v>
                </c:pt>
                <c:pt idx="1701" formatCode="m/d/yyyy">
                  <c:v>42906</c:v>
                </c:pt>
                <c:pt idx="1702" formatCode="m/d/yyyy">
                  <c:v>42905</c:v>
                </c:pt>
                <c:pt idx="1703" formatCode="m/d/yyyy">
                  <c:v>42904</c:v>
                </c:pt>
                <c:pt idx="1704" formatCode="m/d/yyyy">
                  <c:v>42903</c:v>
                </c:pt>
                <c:pt idx="1705" formatCode="m/d/yyyy">
                  <c:v>42902</c:v>
                </c:pt>
                <c:pt idx="1706" formatCode="m/d/yyyy">
                  <c:v>42901</c:v>
                </c:pt>
                <c:pt idx="1707" formatCode="m/d/yyyy">
                  <c:v>42900</c:v>
                </c:pt>
                <c:pt idx="1708" formatCode="m/d/yyyy">
                  <c:v>42899</c:v>
                </c:pt>
                <c:pt idx="1709" formatCode="m/d/yyyy">
                  <c:v>42898</c:v>
                </c:pt>
                <c:pt idx="1710" formatCode="m/d/yyyy">
                  <c:v>42897</c:v>
                </c:pt>
                <c:pt idx="1711" formatCode="m/d/yyyy">
                  <c:v>42896</c:v>
                </c:pt>
                <c:pt idx="1712" formatCode="m/d/yyyy">
                  <c:v>42895</c:v>
                </c:pt>
                <c:pt idx="1713" formatCode="m/d/yyyy">
                  <c:v>42894</c:v>
                </c:pt>
                <c:pt idx="1714" formatCode="m/d/yyyy">
                  <c:v>42893</c:v>
                </c:pt>
                <c:pt idx="1715" formatCode="m/d/yyyy">
                  <c:v>42892</c:v>
                </c:pt>
                <c:pt idx="1716" formatCode="m/d/yyyy">
                  <c:v>42891</c:v>
                </c:pt>
                <c:pt idx="1717" formatCode="m/d/yyyy">
                  <c:v>42890</c:v>
                </c:pt>
                <c:pt idx="1718" formatCode="m/d/yyyy">
                  <c:v>42889</c:v>
                </c:pt>
                <c:pt idx="1719" formatCode="m/d/yyyy">
                  <c:v>42888</c:v>
                </c:pt>
                <c:pt idx="1720" formatCode="m/d/yyyy">
                  <c:v>42887</c:v>
                </c:pt>
                <c:pt idx="1721" formatCode="m/d/yyyy">
                  <c:v>42886</c:v>
                </c:pt>
                <c:pt idx="1722" formatCode="m/d/yyyy">
                  <c:v>42885</c:v>
                </c:pt>
                <c:pt idx="1723" formatCode="m/d/yyyy">
                  <c:v>42884</c:v>
                </c:pt>
                <c:pt idx="1724" formatCode="m/d/yyyy">
                  <c:v>42883</c:v>
                </c:pt>
                <c:pt idx="1725" formatCode="m/d/yyyy">
                  <c:v>42882</c:v>
                </c:pt>
                <c:pt idx="1726" formatCode="m/d/yyyy">
                  <c:v>42881</c:v>
                </c:pt>
                <c:pt idx="1727" formatCode="m/d/yyyy">
                  <c:v>42880</c:v>
                </c:pt>
                <c:pt idx="1728" formatCode="m/d/yyyy">
                  <c:v>42879</c:v>
                </c:pt>
                <c:pt idx="1729" formatCode="m/d/yyyy">
                  <c:v>42878</c:v>
                </c:pt>
                <c:pt idx="1730" formatCode="m/d/yyyy">
                  <c:v>42877</c:v>
                </c:pt>
                <c:pt idx="1731" formatCode="m/d/yyyy">
                  <c:v>42876</c:v>
                </c:pt>
                <c:pt idx="1732" formatCode="m/d/yyyy">
                  <c:v>42875</c:v>
                </c:pt>
                <c:pt idx="1733" formatCode="m/d/yyyy">
                  <c:v>42874</c:v>
                </c:pt>
                <c:pt idx="1734" formatCode="m/d/yyyy">
                  <c:v>42873</c:v>
                </c:pt>
                <c:pt idx="1735" formatCode="m/d/yyyy">
                  <c:v>42872</c:v>
                </c:pt>
                <c:pt idx="1736" formatCode="m/d/yyyy">
                  <c:v>42871</c:v>
                </c:pt>
                <c:pt idx="1737" formatCode="m/d/yyyy">
                  <c:v>42870</c:v>
                </c:pt>
                <c:pt idx="1738" formatCode="m/d/yyyy">
                  <c:v>42869</c:v>
                </c:pt>
                <c:pt idx="1739" formatCode="m/d/yyyy">
                  <c:v>42868</c:v>
                </c:pt>
                <c:pt idx="1740" formatCode="m/d/yyyy">
                  <c:v>42867</c:v>
                </c:pt>
                <c:pt idx="1741" formatCode="m/d/yyyy">
                  <c:v>42866</c:v>
                </c:pt>
                <c:pt idx="1742" formatCode="m/d/yyyy">
                  <c:v>42865</c:v>
                </c:pt>
                <c:pt idx="1743" formatCode="m/d/yyyy">
                  <c:v>42864</c:v>
                </c:pt>
                <c:pt idx="1744" formatCode="m/d/yyyy">
                  <c:v>42863</c:v>
                </c:pt>
                <c:pt idx="1745" formatCode="m/d/yyyy">
                  <c:v>42862</c:v>
                </c:pt>
                <c:pt idx="1746" formatCode="m/d/yyyy">
                  <c:v>42861</c:v>
                </c:pt>
                <c:pt idx="1747" formatCode="m/d/yyyy">
                  <c:v>42860</c:v>
                </c:pt>
                <c:pt idx="1748" formatCode="m/d/yyyy">
                  <c:v>42859</c:v>
                </c:pt>
                <c:pt idx="1749" formatCode="m/d/yyyy">
                  <c:v>42858</c:v>
                </c:pt>
                <c:pt idx="1750" formatCode="m/d/yyyy">
                  <c:v>42857</c:v>
                </c:pt>
                <c:pt idx="1751" formatCode="m/d/yyyy">
                  <c:v>42856</c:v>
                </c:pt>
                <c:pt idx="1752" formatCode="m/d/yyyy">
                  <c:v>42855</c:v>
                </c:pt>
                <c:pt idx="1753" formatCode="m/d/yyyy">
                  <c:v>42854</c:v>
                </c:pt>
                <c:pt idx="1754" formatCode="m/d/yyyy">
                  <c:v>42853</c:v>
                </c:pt>
                <c:pt idx="1755" formatCode="m/d/yyyy">
                  <c:v>42852</c:v>
                </c:pt>
                <c:pt idx="1756" formatCode="m/d/yyyy">
                  <c:v>42851</c:v>
                </c:pt>
                <c:pt idx="1757" formatCode="m/d/yyyy">
                  <c:v>42850</c:v>
                </c:pt>
                <c:pt idx="1758" formatCode="m/d/yyyy">
                  <c:v>42849</c:v>
                </c:pt>
                <c:pt idx="1759" formatCode="m/d/yyyy">
                  <c:v>42848</c:v>
                </c:pt>
                <c:pt idx="1760" formatCode="m/d/yyyy">
                  <c:v>42847</c:v>
                </c:pt>
                <c:pt idx="1761" formatCode="m/d/yyyy">
                  <c:v>42846</c:v>
                </c:pt>
                <c:pt idx="1762" formatCode="m/d/yyyy">
                  <c:v>42845</c:v>
                </c:pt>
                <c:pt idx="1763" formatCode="m/d/yyyy">
                  <c:v>42844</c:v>
                </c:pt>
                <c:pt idx="1764" formatCode="m/d/yyyy">
                  <c:v>42843</c:v>
                </c:pt>
                <c:pt idx="1765" formatCode="m/d/yyyy">
                  <c:v>42842</c:v>
                </c:pt>
                <c:pt idx="1766" formatCode="m/d/yyyy">
                  <c:v>42841</c:v>
                </c:pt>
                <c:pt idx="1767" formatCode="m/d/yyyy">
                  <c:v>42840</c:v>
                </c:pt>
                <c:pt idx="1768" formatCode="m/d/yyyy">
                  <c:v>42839</c:v>
                </c:pt>
                <c:pt idx="1769" formatCode="m/d/yyyy">
                  <c:v>42838</c:v>
                </c:pt>
                <c:pt idx="1770" formatCode="m/d/yyyy">
                  <c:v>42837</c:v>
                </c:pt>
                <c:pt idx="1771" formatCode="m/d/yyyy">
                  <c:v>42836</c:v>
                </c:pt>
                <c:pt idx="1772" formatCode="m/d/yyyy">
                  <c:v>42835</c:v>
                </c:pt>
                <c:pt idx="1773" formatCode="m/d/yyyy">
                  <c:v>42834</c:v>
                </c:pt>
                <c:pt idx="1774" formatCode="m/d/yyyy">
                  <c:v>42833</c:v>
                </c:pt>
                <c:pt idx="1775" formatCode="m/d/yyyy">
                  <c:v>42832</c:v>
                </c:pt>
                <c:pt idx="1776" formatCode="m/d/yyyy">
                  <c:v>42831</c:v>
                </c:pt>
                <c:pt idx="1777" formatCode="m/d/yyyy">
                  <c:v>42830</c:v>
                </c:pt>
                <c:pt idx="1778" formatCode="m/d/yyyy">
                  <c:v>42829</c:v>
                </c:pt>
                <c:pt idx="1779" formatCode="m/d/yyyy">
                  <c:v>42828</c:v>
                </c:pt>
                <c:pt idx="1780" formatCode="m/d/yyyy">
                  <c:v>42827</c:v>
                </c:pt>
                <c:pt idx="1781" formatCode="m/d/yyyy">
                  <c:v>42826</c:v>
                </c:pt>
                <c:pt idx="1782" formatCode="m/d/yyyy">
                  <c:v>42825</c:v>
                </c:pt>
                <c:pt idx="1783" formatCode="m/d/yyyy">
                  <c:v>42824</c:v>
                </c:pt>
                <c:pt idx="1784" formatCode="m/d/yyyy">
                  <c:v>42823</c:v>
                </c:pt>
                <c:pt idx="1785" formatCode="m/d/yyyy">
                  <c:v>42822</c:v>
                </c:pt>
                <c:pt idx="1786" formatCode="m/d/yyyy">
                  <c:v>42821</c:v>
                </c:pt>
                <c:pt idx="1787" formatCode="m/d/yyyy">
                  <c:v>42820</c:v>
                </c:pt>
                <c:pt idx="1788" formatCode="m/d/yyyy">
                  <c:v>42819</c:v>
                </c:pt>
                <c:pt idx="1789" formatCode="m/d/yyyy">
                  <c:v>42818</c:v>
                </c:pt>
                <c:pt idx="1790" formatCode="m/d/yyyy">
                  <c:v>42817</c:v>
                </c:pt>
                <c:pt idx="1791" formatCode="m/d/yyyy">
                  <c:v>42816</c:v>
                </c:pt>
                <c:pt idx="1792" formatCode="m/d/yyyy">
                  <c:v>42815</c:v>
                </c:pt>
                <c:pt idx="1793" formatCode="m/d/yyyy">
                  <c:v>42814</c:v>
                </c:pt>
                <c:pt idx="1794" formatCode="m/d/yyyy">
                  <c:v>42813</c:v>
                </c:pt>
                <c:pt idx="1795" formatCode="m/d/yyyy">
                  <c:v>42812</c:v>
                </c:pt>
                <c:pt idx="1796" formatCode="m/d/yyyy">
                  <c:v>42811</c:v>
                </c:pt>
                <c:pt idx="1797" formatCode="m/d/yyyy">
                  <c:v>42810</c:v>
                </c:pt>
                <c:pt idx="1798" formatCode="m/d/yyyy">
                  <c:v>42809</c:v>
                </c:pt>
                <c:pt idx="1799" formatCode="m/d/yyyy">
                  <c:v>42808</c:v>
                </c:pt>
                <c:pt idx="1800" formatCode="m/d/yyyy">
                  <c:v>42807</c:v>
                </c:pt>
                <c:pt idx="1801" formatCode="m/d/yyyy">
                  <c:v>42806</c:v>
                </c:pt>
                <c:pt idx="1802" formatCode="m/d/yyyy">
                  <c:v>42805</c:v>
                </c:pt>
                <c:pt idx="1803" formatCode="m/d/yyyy">
                  <c:v>42804</c:v>
                </c:pt>
                <c:pt idx="1804" formatCode="m/d/yyyy">
                  <c:v>42803</c:v>
                </c:pt>
                <c:pt idx="1805" formatCode="m/d/yyyy">
                  <c:v>42802</c:v>
                </c:pt>
                <c:pt idx="1806" formatCode="m/d/yyyy">
                  <c:v>42801</c:v>
                </c:pt>
                <c:pt idx="1807" formatCode="m/d/yyyy">
                  <c:v>42800</c:v>
                </c:pt>
                <c:pt idx="1808" formatCode="m/d/yyyy">
                  <c:v>42799</c:v>
                </c:pt>
                <c:pt idx="1809" formatCode="m/d/yyyy">
                  <c:v>42798</c:v>
                </c:pt>
                <c:pt idx="1810" formatCode="m/d/yyyy">
                  <c:v>42797</c:v>
                </c:pt>
                <c:pt idx="1811" formatCode="m/d/yyyy">
                  <c:v>42796</c:v>
                </c:pt>
                <c:pt idx="1812" formatCode="m/d/yyyy">
                  <c:v>42795</c:v>
                </c:pt>
                <c:pt idx="1813" formatCode="m/d/yyyy">
                  <c:v>42794</c:v>
                </c:pt>
                <c:pt idx="1814" formatCode="m/d/yyyy">
                  <c:v>42793</c:v>
                </c:pt>
                <c:pt idx="1815" formatCode="m/d/yyyy">
                  <c:v>42792</c:v>
                </c:pt>
                <c:pt idx="1816" formatCode="m/d/yyyy">
                  <c:v>42791</c:v>
                </c:pt>
                <c:pt idx="1817" formatCode="m/d/yyyy">
                  <c:v>42790</c:v>
                </c:pt>
                <c:pt idx="1818" formatCode="m/d/yyyy">
                  <c:v>42789</c:v>
                </c:pt>
                <c:pt idx="1819" formatCode="m/d/yyyy">
                  <c:v>42788</c:v>
                </c:pt>
                <c:pt idx="1820" formatCode="m/d/yyyy">
                  <c:v>42787</c:v>
                </c:pt>
                <c:pt idx="1821" formatCode="m/d/yyyy">
                  <c:v>42786</c:v>
                </c:pt>
                <c:pt idx="1822" formatCode="m/d/yyyy">
                  <c:v>42785</c:v>
                </c:pt>
                <c:pt idx="1823" formatCode="m/d/yyyy">
                  <c:v>42784</c:v>
                </c:pt>
                <c:pt idx="1824" formatCode="m/d/yyyy">
                  <c:v>42783</c:v>
                </c:pt>
                <c:pt idx="1825" formatCode="m/d/yyyy">
                  <c:v>42782</c:v>
                </c:pt>
                <c:pt idx="1826" formatCode="m/d/yyyy">
                  <c:v>42781</c:v>
                </c:pt>
              </c:numCache>
            </c:numRef>
          </c:cat>
          <c:val>
            <c:numRef>
              <c:f>Indexed!$C$4:$C$3657</c:f>
              <c:numCache>
                <c:formatCode>0</c:formatCode>
                <c:ptCount val="3654"/>
                <c:pt idx="0">
                  <c:v>0</c:v>
                </c:pt>
                <c:pt idx="1">
                  <c:v>131.98335644937586</c:v>
                </c:pt>
                <c:pt idx="2">
                  <c:v>132.12205270457699</c:v>
                </c:pt>
                <c:pt idx="3">
                  <c:v>132.12205270457699</c:v>
                </c:pt>
                <c:pt idx="4">
                  <c:v>132.12205270457699</c:v>
                </c:pt>
                <c:pt idx="5">
                  <c:v>135.53398058252429</c:v>
                </c:pt>
                <c:pt idx="6">
                  <c:v>138.44660194174759</c:v>
                </c:pt>
                <c:pt idx="7">
                  <c:v>135.39528432732317</c:v>
                </c:pt>
                <c:pt idx="8">
                  <c:v>133.6477115117892</c:v>
                </c:pt>
                <c:pt idx="9">
                  <c:v>133.17614424410542</c:v>
                </c:pt>
                <c:pt idx="10">
                  <c:v>133.17614424410542</c:v>
                </c:pt>
                <c:pt idx="11">
                  <c:v>133.17614424410542</c:v>
                </c:pt>
                <c:pt idx="12">
                  <c:v>133.92510402219142</c:v>
                </c:pt>
                <c:pt idx="13">
                  <c:v>137.3370319001387</c:v>
                </c:pt>
                <c:pt idx="14">
                  <c:v>135.78363384188629</c:v>
                </c:pt>
                <c:pt idx="15">
                  <c:v>135.4230235783634</c:v>
                </c:pt>
                <c:pt idx="16">
                  <c:v>132.39944521497918</c:v>
                </c:pt>
                <c:pt idx="17">
                  <c:v>132.39944521497918</c:v>
                </c:pt>
                <c:pt idx="18">
                  <c:v>132.39944521497918</c:v>
                </c:pt>
                <c:pt idx="19">
                  <c:v>133.28710124826631</c:v>
                </c:pt>
                <c:pt idx="20">
                  <c:v>143.38418862690708</c:v>
                </c:pt>
                <c:pt idx="21">
                  <c:v>141.47018030513178</c:v>
                </c:pt>
                <c:pt idx="22">
                  <c:v>144.07766990291262</c:v>
                </c:pt>
                <c:pt idx="23">
                  <c:v>144.35506241331484</c:v>
                </c:pt>
                <c:pt idx="24">
                  <c:v>144.35506241331484</c:v>
                </c:pt>
                <c:pt idx="25">
                  <c:v>144.35506241331484</c:v>
                </c:pt>
                <c:pt idx="26">
                  <c:v>144.35506241331484</c:v>
                </c:pt>
                <c:pt idx="27">
                  <c:v>148.73786407766991</c:v>
                </c:pt>
                <c:pt idx="28">
                  <c:v>151.9001386962552</c:v>
                </c:pt>
                <c:pt idx="29">
                  <c:v>154.50762829403607</c:v>
                </c:pt>
                <c:pt idx="30">
                  <c:v>154.50762829403607</c:v>
                </c:pt>
                <c:pt idx="31">
                  <c:v>154.50762829403607</c:v>
                </c:pt>
                <c:pt idx="32">
                  <c:v>154.50762829403607</c:v>
                </c:pt>
                <c:pt idx="33">
                  <c:v>152.39944521497921</c:v>
                </c:pt>
                <c:pt idx="34">
                  <c:v>154.61858529819696</c:v>
                </c:pt>
                <c:pt idx="35">
                  <c:v>155.09015256588071</c:v>
                </c:pt>
                <c:pt idx="36">
                  <c:v>153.14840499306521</c:v>
                </c:pt>
                <c:pt idx="37">
                  <c:v>148.2385575589459</c:v>
                </c:pt>
                <c:pt idx="38">
                  <c:v>148.2385575589459</c:v>
                </c:pt>
                <c:pt idx="39">
                  <c:v>148.2385575589459</c:v>
                </c:pt>
                <c:pt idx="40">
                  <c:v>149.81969486823857</c:v>
                </c:pt>
                <c:pt idx="41">
                  <c:v>149.43134535367545</c:v>
                </c:pt>
                <c:pt idx="42">
                  <c:v>147.40638002773926</c:v>
                </c:pt>
                <c:pt idx="43">
                  <c:v>147.60055478502082</c:v>
                </c:pt>
                <c:pt idx="44">
                  <c:v>142.85714285714286</c:v>
                </c:pt>
                <c:pt idx="45">
                  <c:v>142.85714285714286</c:v>
                </c:pt>
                <c:pt idx="46">
                  <c:v>142.85714285714286</c:v>
                </c:pt>
                <c:pt idx="47">
                  <c:v>143.5228848821082</c:v>
                </c:pt>
                <c:pt idx="48">
                  <c:v>143.77253814147019</c:v>
                </c:pt>
                <c:pt idx="49">
                  <c:v>143.57836338418863</c:v>
                </c:pt>
                <c:pt idx="50">
                  <c:v>144.07766990291262</c:v>
                </c:pt>
                <c:pt idx="51">
                  <c:v>142.33009708737865</c:v>
                </c:pt>
                <c:pt idx="52">
                  <c:v>142.33009708737865</c:v>
                </c:pt>
                <c:pt idx="53">
                  <c:v>142.33009708737865</c:v>
                </c:pt>
                <c:pt idx="54">
                  <c:v>142.33009708737865</c:v>
                </c:pt>
                <c:pt idx="55">
                  <c:v>141.38696255201111</c:v>
                </c:pt>
                <c:pt idx="56">
                  <c:v>140.83217753120667</c:v>
                </c:pt>
                <c:pt idx="57">
                  <c:v>137.58668515950069</c:v>
                </c:pt>
                <c:pt idx="58">
                  <c:v>140.41608876560335</c:v>
                </c:pt>
                <c:pt idx="59">
                  <c:v>140.41608876560335</c:v>
                </c:pt>
                <c:pt idx="60">
                  <c:v>140.41608876560335</c:v>
                </c:pt>
                <c:pt idx="61">
                  <c:v>140.998613037448</c:v>
                </c:pt>
                <c:pt idx="62">
                  <c:v>140.55478502080445</c:v>
                </c:pt>
                <c:pt idx="63">
                  <c:v>137.86407766990294</c:v>
                </c:pt>
                <c:pt idx="64">
                  <c:v>138.69625520110958</c:v>
                </c:pt>
                <c:pt idx="65">
                  <c:v>140.33287101248268</c:v>
                </c:pt>
                <c:pt idx="66">
                  <c:v>140.33287101248268</c:v>
                </c:pt>
                <c:pt idx="67">
                  <c:v>140.33287101248268</c:v>
                </c:pt>
                <c:pt idx="68">
                  <c:v>140.02773925104023</c:v>
                </c:pt>
                <c:pt idx="69">
                  <c:v>143.5506241331484</c:v>
                </c:pt>
                <c:pt idx="70">
                  <c:v>145.82524271844662</c:v>
                </c:pt>
                <c:pt idx="71">
                  <c:v>141.44244105409157</c:v>
                </c:pt>
                <c:pt idx="72">
                  <c:v>136.61581137309292</c:v>
                </c:pt>
                <c:pt idx="73">
                  <c:v>136.61581137309292</c:v>
                </c:pt>
                <c:pt idx="74">
                  <c:v>136.61581137309292</c:v>
                </c:pt>
                <c:pt idx="75">
                  <c:v>137.30929264909847</c:v>
                </c:pt>
                <c:pt idx="76">
                  <c:v>134.81276005547852</c:v>
                </c:pt>
                <c:pt idx="77">
                  <c:v>136.47711511789186</c:v>
                </c:pt>
                <c:pt idx="78">
                  <c:v>138.69625520110958</c:v>
                </c:pt>
                <c:pt idx="79">
                  <c:v>135.3120665742025</c:v>
                </c:pt>
                <c:pt idx="80">
                  <c:v>135.3120665742025</c:v>
                </c:pt>
                <c:pt idx="81">
                  <c:v>135.3120665742025</c:v>
                </c:pt>
                <c:pt idx="82">
                  <c:v>138.03051317614427</c:v>
                </c:pt>
                <c:pt idx="83">
                  <c:v>138.03051317614427</c:v>
                </c:pt>
                <c:pt idx="84">
                  <c:v>136.1997226074896</c:v>
                </c:pt>
                <c:pt idx="85">
                  <c:v>138.2246879334258</c:v>
                </c:pt>
                <c:pt idx="86">
                  <c:v>137.36477115117893</c:v>
                </c:pt>
                <c:pt idx="87">
                  <c:v>137.36477115117893</c:v>
                </c:pt>
                <c:pt idx="88">
                  <c:v>137.36477115117893</c:v>
                </c:pt>
                <c:pt idx="89">
                  <c:v>137.80859916782248</c:v>
                </c:pt>
                <c:pt idx="90">
                  <c:v>139.33425797503466</c:v>
                </c:pt>
                <c:pt idx="91">
                  <c:v>140.38834951456312</c:v>
                </c:pt>
                <c:pt idx="92">
                  <c:v>139.58391123439668</c:v>
                </c:pt>
                <c:pt idx="93">
                  <c:v>139.55617198335645</c:v>
                </c:pt>
                <c:pt idx="94">
                  <c:v>139.55617198335645</c:v>
                </c:pt>
                <c:pt idx="95">
                  <c:v>139.55617198335645</c:v>
                </c:pt>
                <c:pt idx="96">
                  <c:v>140.16643550624136</c:v>
                </c:pt>
                <c:pt idx="97">
                  <c:v>140.80443828016644</c:v>
                </c:pt>
                <c:pt idx="98">
                  <c:v>142.02496532593622</c:v>
                </c:pt>
                <c:pt idx="99">
                  <c:v>142.99583911234396</c:v>
                </c:pt>
                <c:pt idx="100">
                  <c:v>141.24826629680999</c:v>
                </c:pt>
                <c:pt idx="101">
                  <c:v>141.24826629680999</c:v>
                </c:pt>
                <c:pt idx="102">
                  <c:v>141.24826629680999</c:v>
                </c:pt>
                <c:pt idx="103">
                  <c:v>139.55617198335645</c:v>
                </c:pt>
                <c:pt idx="104">
                  <c:v>139.77808599167824</c:v>
                </c:pt>
                <c:pt idx="105">
                  <c:v>138.30790568654646</c:v>
                </c:pt>
                <c:pt idx="106">
                  <c:v>137.44798890429959</c:v>
                </c:pt>
                <c:pt idx="107">
                  <c:v>135.92233009708738</c:v>
                </c:pt>
                <c:pt idx="108">
                  <c:v>135.92233009708738</c:v>
                </c:pt>
                <c:pt idx="109">
                  <c:v>135.92233009708738</c:v>
                </c:pt>
                <c:pt idx="110">
                  <c:v>133.37031900138697</c:v>
                </c:pt>
                <c:pt idx="111">
                  <c:v>132.84327323162276</c:v>
                </c:pt>
                <c:pt idx="112">
                  <c:v>133.92510402219142</c:v>
                </c:pt>
                <c:pt idx="113">
                  <c:v>137.05963938973647</c:v>
                </c:pt>
                <c:pt idx="114">
                  <c:v>137.1983356449376</c:v>
                </c:pt>
                <c:pt idx="115">
                  <c:v>137.1983356449376</c:v>
                </c:pt>
                <c:pt idx="116">
                  <c:v>137.1983356449376</c:v>
                </c:pt>
                <c:pt idx="117">
                  <c:v>155.33980582524273</c:v>
                </c:pt>
                <c:pt idx="118">
                  <c:v>153.59223300970874</c:v>
                </c:pt>
                <c:pt idx="119">
                  <c:v>153.14840499306521</c:v>
                </c:pt>
                <c:pt idx="120">
                  <c:v>151.09570041608876</c:v>
                </c:pt>
                <c:pt idx="121">
                  <c:v>151.06796116504856</c:v>
                </c:pt>
                <c:pt idx="122">
                  <c:v>151.06796116504856</c:v>
                </c:pt>
                <c:pt idx="123">
                  <c:v>151.06796116504856</c:v>
                </c:pt>
                <c:pt idx="124">
                  <c:v>149.51456310679612</c:v>
                </c:pt>
                <c:pt idx="125">
                  <c:v>144.96532593619972</c:v>
                </c:pt>
                <c:pt idx="126">
                  <c:v>144.71567267683773</c:v>
                </c:pt>
                <c:pt idx="127">
                  <c:v>148.2385575589459</c:v>
                </c:pt>
                <c:pt idx="128">
                  <c:v>149.26490984743415</c:v>
                </c:pt>
                <c:pt idx="129">
                  <c:v>149.26490984743415</c:v>
                </c:pt>
                <c:pt idx="130">
                  <c:v>149.26490984743415</c:v>
                </c:pt>
                <c:pt idx="131">
                  <c:v>150.29126213592235</c:v>
                </c:pt>
                <c:pt idx="132">
                  <c:v>149.73647711511791</c:v>
                </c:pt>
                <c:pt idx="133">
                  <c:v>149.65325936199724</c:v>
                </c:pt>
                <c:pt idx="134">
                  <c:v>148.32177531206659</c:v>
                </c:pt>
                <c:pt idx="135">
                  <c:v>149.40360610263522</c:v>
                </c:pt>
                <c:pt idx="136">
                  <c:v>149.40360610263522</c:v>
                </c:pt>
                <c:pt idx="137">
                  <c:v>149.40360610263522</c:v>
                </c:pt>
                <c:pt idx="138">
                  <c:v>147.79472954230238</c:v>
                </c:pt>
                <c:pt idx="139">
                  <c:v>148.37725381414702</c:v>
                </c:pt>
                <c:pt idx="140">
                  <c:v>149.79195561719837</c:v>
                </c:pt>
                <c:pt idx="141">
                  <c:v>151.62274618585298</c:v>
                </c:pt>
                <c:pt idx="142">
                  <c:v>150.40221914008322</c:v>
                </c:pt>
                <c:pt idx="143">
                  <c:v>150.40221914008322</c:v>
                </c:pt>
                <c:pt idx="144">
                  <c:v>150.40221914008322</c:v>
                </c:pt>
                <c:pt idx="145">
                  <c:v>149.875173370319</c:v>
                </c:pt>
                <c:pt idx="146">
                  <c:v>148.40499306518723</c:v>
                </c:pt>
                <c:pt idx="147">
                  <c:v>146.65742024965326</c:v>
                </c:pt>
                <c:pt idx="148">
                  <c:v>146.96255201109568</c:v>
                </c:pt>
                <c:pt idx="149">
                  <c:v>150.51317614424411</c:v>
                </c:pt>
                <c:pt idx="150">
                  <c:v>150.51317614424411</c:v>
                </c:pt>
                <c:pt idx="151">
                  <c:v>150.51317614424411</c:v>
                </c:pt>
                <c:pt idx="152">
                  <c:v>152.09431345353676</c:v>
                </c:pt>
                <c:pt idx="153">
                  <c:v>152.89875173370319</c:v>
                </c:pt>
                <c:pt idx="154">
                  <c:v>151.23439667128991</c:v>
                </c:pt>
                <c:pt idx="155">
                  <c:v>152.53814147018034</c:v>
                </c:pt>
                <c:pt idx="156">
                  <c:v>149.34812760055479</c:v>
                </c:pt>
                <c:pt idx="157">
                  <c:v>149.34812760055479</c:v>
                </c:pt>
                <c:pt idx="158">
                  <c:v>149.34812760055479</c:v>
                </c:pt>
                <c:pt idx="159">
                  <c:v>148.12760055478503</c:v>
                </c:pt>
                <c:pt idx="160">
                  <c:v>148.59916782246881</c:v>
                </c:pt>
                <c:pt idx="161">
                  <c:v>148.82108183079058</c:v>
                </c:pt>
                <c:pt idx="162">
                  <c:v>148.43273231622746</c:v>
                </c:pt>
                <c:pt idx="163">
                  <c:v>148.43273231622746</c:v>
                </c:pt>
                <c:pt idx="164">
                  <c:v>148.43273231622746</c:v>
                </c:pt>
                <c:pt idx="165">
                  <c:v>148.43273231622746</c:v>
                </c:pt>
                <c:pt idx="166">
                  <c:v>149.04299583911236</c:v>
                </c:pt>
                <c:pt idx="167">
                  <c:v>148.87656033287101</c:v>
                </c:pt>
                <c:pt idx="168">
                  <c:v>149.9583911234397</c:v>
                </c:pt>
                <c:pt idx="169">
                  <c:v>149.62552011095701</c:v>
                </c:pt>
                <c:pt idx="170">
                  <c:v>149.48682385575592</c:v>
                </c:pt>
                <c:pt idx="171">
                  <c:v>149.48682385575592</c:v>
                </c:pt>
                <c:pt idx="172">
                  <c:v>149.48682385575592</c:v>
                </c:pt>
                <c:pt idx="173">
                  <c:v>147.37864077669906</c:v>
                </c:pt>
                <c:pt idx="174">
                  <c:v>149.26490984743415</c:v>
                </c:pt>
                <c:pt idx="175">
                  <c:v>149.26490984743415</c:v>
                </c:pt>
                <c:pt idx="176">
                  <c:v>147.65603328710125</c:v>
                </c:pt>
                <c:pt idx="177">
                  <c:v>144.27184466019418</c:v>
                </c:pt>
                <c:pt idx="178">
                  <c:v>144.27184466019418</c:v>
                </c:pt>
                <c:pt idx="179">
                  <c:v>144.27184466019418</c:v>
                </c:pt>
                <c:pt idx="180">
                  <c:v>145.4646324549237</c:v>
                </c:pt>
                <c:pt idx="181">
                  <c:v>144.77115117891816</c:v>
                </c:pt>
                <c:pt idx="182">
                  <c:v>146.15811373092927</c:v>
                </c:pt>
                <c:pt idx="183">
                  <c:v>148.32177531206659</c:v>
                </c:pt>
                <c:pt idx="184">
                  <c:v>148.37725381414702</c:v>
                </c:pt>
                <c:pt idx="185">
                  <c:v>148.37725381414702</c:v>
                </c:pt>
                <c:pt idx="186">
                  <c:v>148.37725381414702</c:v>
                </c:pt>
                <c:pt idx="187">
                  <c:v>148.51595006934815</c:v>
                </c:pt>
                <c:pt idx="188">
                  <c:v>150.18030513176146</c:v>
                </c:pt>
                <c:pt idx="189">
                  <c:v>149.62552011095701</c:v>
                </c:pt>
                <c:pt idx="190">
                  <c:v>149.93065187239944</c:v>
                </c:pt>
                <c:pt idx="191">
                  <c:v>149.57004160887658</c:v>
                </c:pt>
                <c:pt idx="192">
                  <c:v>149.57004160887658</c:v>
                </c:pt>
                <c:pt idx="193">
                  <c:v>149.57004160887658</c:v>
                </c:pt>
                <c:pt idx="194">
                  <c:v>149.48682385575592</c:v>
                </c:pt>
                <c:pt idx="195">
                  <c:v>149.51456310679612</c:v>
                </c:pt>
                <c:pt idx="196">
                  <c:v>149.9583911234397</c:v>
                </c:pt>
                <c:pt idx="197">
                  <c:v>148.90429958391124</c:v>
                </c:pt>
                <c:pt idx="198">
                  <c:v>149.01525658807213</c:v>
                </c:pt>
                <c:pt idx="199">
                  <c:v>149.01525658807213</c:v>
                </c:pt>
                <c:pt idx="200">
                  <c:v>149.01525658807213</c:v>
                </c:pt>
                <c:pt idx="201">
                  <c:v>148.9597780859917</c:v>
                </c:pt>
                <c:pt idx="202">
                  <c:v>147.2122052704577</c:v>
                </c:pt>
                <c:pt idx="203">
                  <c:v>147.51733703190015</c:v>
                </c:pt>
                <c:pt idx="204">
                  <c:v>150.65187239944524</c:v>
                </c:pt>
                <c:pt idx="205">
                  <c:v>147.01803051317614</c:v>
                </c:pt>
                <c:pt idx="206">
                  <c:v>147.01803051317614</c:v>
                </c:pt>
                <c:pt idx="207">
                  <c:v>147.01803051317614</c:v>
                </c:pt>
                <c:pt idx="208">
                  <c:v>155.22884882108187</c:v>
                </c:pt>
                <c:pt idx="209">
                  <c:v>155.97780859916784</c:v>
                </c:pt>
                <c:pt idx="210">
                  <c:v>153.23162274618588</c:v>
                </c:pt>
                <c:pt idx="211">
                  <c:v>151.56726768377254</c:v>
                </c:pt>
                <c:pt idx="212">
                  <c:v>152.48266296809987</c:v>
                </c:pt>
                <c:pt idx="213">
                  <c:v>152.48266296809987</c:v>
                </c:pt>
                <c:pt idx="214">
                  <c:v>152.48266296809987</c:v>
                </c:pt>
                <c:pt idx="215">
                  <c:v>154.81276005547852</c:v>
                </c:pt>
                <c:pt idx="216">
                  <c:v>156.78224687933428</c:v>
                </c:pt>
                <c:pt idx="217">
                  <c:v>157.75312066574202</c:v>
                </c:pt>
                <c:pt idx="218">
                  <c:v>157.36477115117893</c:v>
                </c:pt>
                <c:pt idx="219">
                  <c:v>155.3120665742025</c:v>
                </c:pt>
                <c:pt idx="220">
                  <c:v>155.3120665742025</c:v>
                </c:pt>
                <c:pt idx="221">
                  <c:v>155.3120665742025</c:v>
                </c:pt>
                <c:pt idx="222">
                  <c:v>153.6477115117892</c:v>
                </c:pt>
                <c:pt idx="223">
                  <c:v>155.22884882108187</c:v>
                </c:pt>
                <c:pt idx="224">
                  <c:v>155.58945908460473</c:v>
                </c:pt>
                <c:pt idx="225">
                  <c:v>157.44798890429959</c:v>
                </c:pt>
                <c:pt idx="226">
                  <c:v>157.44798890429959</c:v>
                </c:pt>
                <c:pt idx="227">
                  <c:v>157.44798890429959</c:v>
                </c:pt>
                <c:pt idx="228">
                  <c:v>157.44798890429959</c:v>
                </c:pt>
                <c:pt idx="229">
                  <c:v>155.36754507628294</c:v>
                </c:pt>
                <c:pt idx="230">
                  <c:v>155.72815533980585</c:v>
                </c:pt>
                <c:pt idx="231">
                  <c:v>157.42024965325939</c:v>
                </c:pt>
                <c:pt idx="232">
                  <c:v>159.44521497919558</c:v>
                </c:pt>
                <c:pt idx="233">
                  <c:v>155.09015256588071</c:v>
                </c:pt>
                <c:pt idx="234">
                  <c:v>155.09015256588071</c:v>
                </c:pt>
                <c:pt idx="235">
                  <c:v>155.09015256588071</c:v>
                </c:pt>
                <c:pt idx="236">
                  <c:v>155.53398058252426</c:v>
                </c:pt>
                <c:pt idx="237">
                  <c:v>153.28710124826631</c:v>
                </c:pt>
                <c:pt idx="238">
                  <c:v>154.97919556171985</c:v>
                </c:pt>
                <c:pt idx="239">
                  <c:v>154.97919556171985</c:v>
                </c:pt>
                <c:pt idx="240">
                  <c:v>154.4244105409154</c:v>
                </c:pt>
                <c:pt idx="241">
                  <c:v>154.4244105409154</c:v>
                </c:pt>
                <c:pt idx="242">
                  <c:v>154.4244105409154</c:v>
                </c:pt>
                <c:pt idx="243">
                  <c:v>158.61303744798892</c:v>
                </c:pt>
                <c:pt idx="244">
                  <c:v>158.72399445214981</c:v>
                </c:pt>
                <c:pt idx="245">
                  <c:v>160.8599167822469</c:v>
                </c:pt>
                <c:pt idx="246">
                  <c:v>161.41470180305134</c:v>
                </c:pt>
                <c:pt idx="247">
                  <c:v>160.47156726768378</c:v>
                </c:pt>
                <c:pt idx="248">
                  <c:v>160.47156726768378</c:v>
                </c:pt>
                <c:pt idx="249">
                  <c:v>160.47156726768378</c:v>
                </c:pt>
                <c:pt idx="250">
                  <c:v>159.16782246879336</c:v>
                </c:pt>
                <c:pt idx="251">
                  <c:v>158.11373092926493</c:v>
                </c:pt>
                <c:pt idx="252">
                  <c:v>158.11373092926493</c:v>
                </c:pt>
                <c:pt idx="253">
                  <c:v>158.36338418862692</c:v>
                </c:pt>
                <c:pt idx="254">
                  <c:v>159.14008321775313</c:v>
                </c:pt>
                <c:pt idx="255">
                  <c:v>159.14008321775313</c:v>
                </c:pt>
                <c:pt idx="256">
                  <c:v>159.14008321775313</c:v>
                </c:pt>
                <c:pt idx="257">
                  <c:v>156.00554785020805</c:v>
                </c:pt>
                <c:pt idx="258">
                  <c:v>159.44521497919558</c:v>
                </c:pt>
                <c:pt idx="259">
                  <c:v>157.80859916782248</c:v>
                </c:pt>
                <c:pt idx="260">
                  <c:v>158.44660194174759</c:v>
                </c:pt>
                <c:pt idx="261">
                  <c:v>158.44660194174759</c:v>
                </c:pt>
                <c:pt idx="262">
                  <c:v>158.44660194174759</c:v>
                </c:pt>
                <c:pt idx="263">
                  <c:v>158.44660194174759</c:v>
                </c:pt>
                <c:pt idx="264">
                  <c:v>160.13869625520113</c:v>
                </c:pt>
                <c:pt idx="265">
                  <c:v>157.89181692094317</c:v>
                </c:pt>
                <c:pt idx="266">
                  <c:v>157.75312066574202</c:v>
                </c:pt>
                <c:pt idx="267">
                  <c:v>158.00277392510404</c:v>
                </c:pt>
                <c:pt idx="268">
                  <c:v>155.5617198335645</c:v>
                </c:pt>
                <c:pt idx="269">
                  <c:v>155.5617198335645</c:v>
                </c:pt>
                <c:pt idx="270">
                  <c:v>155.5617198335645</c:v>
                </c:pt>
                <c:pt idx="271">
                  <c:v>155.20110957004164</c:v>
                </c:pt>
                <c:pt idx="272">
                  <c:v>153.5644937586685</c:v>
                </c:pt>
                <c:pt idx="273">
                  <c:v>152.12205270457699</c:v>
                </c:pt>
                <c:pt idx="274">
                  <c:v>153.48127600554787</c:v>
                </c:pt>
                <c:pt idx="275">
                  <c:v>153.5367545076283</c:v>
                </c:pt>
                <c:pt idx="276">
                  <c:v>153.5367545076283</c:v>
                </c:pt>
                <c:pt idx="277">
                  <c:v>153.5367545076283</c:v>
                </c:pt>
                <c:pt idx="278">
                  <c:v>149.81969486823857</c:v>
                </c:pt>
                <c:pt idx="279">
                  <c:v>148.73786407766991</c:v>
                </c:pt>
                <c:pt idx="280">
                  <c:v>152.67683772538143</c:v>
                </c:pt>
                <c:pt idx="281">
                  <c:v>155.25658807212207</c:v>
                </c:pt>
                <c:pt idx="282">
                  <c:v>159.9722607489598</c:v>
                </c:pt>
                <c:pt idx="283">
                  <c:v>159.9722607489598</c:v>
                </c:pt>
                <c:pt idx="284">
                  <c:v>159.9722607489598</c:v>
                </c:pt>
                <c:pt idx="285">
                  <c:v>158.64077669902915</c:v>
                </c:pt>
                <c:pt idx="286">
                  <c:v>157.69764216366161</c:v>
                </c:pt>
                <c:pt idx="287">
                  <c:v>157.83633841886271</c:v>
                </c:pt>
                <c:pt idx="288">
                  <c:v>158.83495145631068</c:v>
                </c:pt>
                <c:pt idx="289">
                  <c:v>159.58391123439668</c:v>
                </c:pt>
                <c:pt idx="290">
                  <c:v>159.58391123439668</c:v>
                </c:pt>
                <c:pt idx="291">
                  <c:v>159.58391123439668</c:v>
                </c:pt>
                <c:pt idx="292">
                  <c:v>161.66435506241334</c:v>
                </c:pt>
                <c:pt idx="293">
                  <c:v>159.83356449375867</c:v>
                </c:pt>
                <c:pt idx="294">
                  <c:v>160.80443828016644</c:v>
                </c:pt>
                <c:pt idx="295">
                  <c:v>162.99583911234396</c:v>
                </c:pt>
                <c:pt idx="296">
                  <c:v>164.32732316227464</c:v>
                </c:pt>
                <c:pt idx="297">
                  <c:v>164.32732316227464</c:v>
                </c:pt>
                <c:pt idx="298">
                  <c:v>164.32732316227464</c:v>
                </c:pt>
                <c:pt idx="299">
                  <c:v>173.56449375866853</c:v>
                </c:pt>
                <c:pt idx="300">
                  <c:v>176.69902912621362</c:v>
                </c:pt>
                <c:pt idx="301">
                  <c:v>173.92510402219142</c:v>
                </c:pt>
                <c:pt idx="302">
                  <c:v>176.50485436893206</c:v>
                </c:pt>
                <c:pt idx="303">
                  <c:v>179.61165048543691</c:v>
                </c:pt>
                <c:pt idx="304">
                  <c:v>179.61165048543691</c:v>
                </c:pt>
                <c:pt idx="305">
                  <c:v>179.61165048543691</c:v>
                </c:pt>
                <c:pt idx="306">
                  <c:v>180.36061026352289</c:v>
                </c:pt>
                <c:pt idx="307">
                  <c:v>178.05825242718447</c:v>
                </c:pt>
                <c:pt idx="308">
                  <c:v>180.91539528432733</c:v>
                </c:pt>
                <c:pt idx="309">
                  <c:v>181.42857142857144</c:v>
                </c:pt>
                <c:pt idx="310">
                  <c:v>189.34812760055482</c:v>
                </c:pt>
                <c:pt idx="311">
                  <c:v>189.34812760055482</c:v>
                </c:pt>
                <c:pt idx="312">
                  <c:v>189.34812760055482</c:v>
                </c:pt>
                <c:pt idx="313">
                  <c:v>185.99167822468794</c:v>
                </c:pt>
                <c:pt idx="314">
                  <c:v>183.77253814147019</c:v>
                </c:pt>
                <c:pt idx="315">
                  <c:v>181.85852981969489</c:v>
                </c:pt>
                <c:pt idx="316">
                  <c:v>184.57697642163663</c:v>
                </c:pt>
                <c:pt idx="317">
                  <c:v>179.05686546463247</c:v>
                </c:pt>
                <c:pt idx="318">
                  <c:v>179.05686546463247</c:v>
                </c:pt>
                <c:pt idx="319">
                  <c:v>179.05686546463247</c:v>
                </c:pt>
                <c:pt idx="320">
                  <c:v>179.05686546463247</c:v>
                </c:pt>
                <c:pt idx="321">
                  <c:v>177.53120665742026</c:v>
                </c:pt>
                <c:pt idx="322">
                  <c:v>176.89320388349518</c:v>
                </c:pt>
                <c:pt idx="323">
                  <c:v>178.91816920943137</c:v>
                </c:pt>
                <c:pt idx="324">
                  <c:v>179.94452149791957</c:v>
                </c:pt>
                <c:pt idx="325">
                  <c:v>179.94452149791957</c:v>
                </c:pt>
                <c:pt idx="326">
                  <c:v>179.94452149791957</c:v>
                </c:pt>
                <c:pt idx="327">
                  <c:v>172.03883495145632</c:v>
                </c:pt>
                <c:pt idx="328">
                  <c:v>172.09431345353676</c:v>
                </c:pt>
                <c:pt idx="329">
                  <c:v>176.08876560332871</c:v>
                </c:pt>
                <c:pt idx="330">
                  <c:v>182.05270457697642</c:v>
                </c:pt>
                <c:pt idx="331">
                  <c:v>176.86546463245494</c:v>
                </c:pt>
                <c:pt idx="332">
                  <c:v>176.86546463245494</c:v>
                </c:pt>
                <c:pt idx="333">
                  <c:v>176.86546463245494</c:v>
                </c:pt>
                <c:pt idx="334">
                  <c:v>176.76837725381415</c:v>
                </c:pt>
                <c:pt idx="335">
                  <c:v>182.46879334257977</c:v>
                </c:pt>
                <c:pt idx="336">
                  <c:v>179.69486823855758</c:v>
                </c:pt>
                <c:pt idx="337">
                  <c:v>176.94868238557561</c:v>
                </c:pt>
                <c:pt idx="338">
                  <c:v>174.47988904299586</c:v>
                </c:pt>
                <c:pt idx="339">
                  <c:v>174.47988904299586</c:v>
                </c:pt>
                <c:pt idx="340">
                  <c:v>174.47988904299586</c:v>
                </c:pt>
                <c:pt idx="341">
                  <c:v>175.61719833564496</c:v>
                </c:pt>
                <c:pt idx="342">
                  <c:v>172.67683772538143</c:v>
                </c:pt>
                <c:pt idx="343">
                  <c:v>173.84188626907076</c:v>
                </c:pt>
                <c:pt idx="344">
                  <c:v>166.01941747572818</c:v>
                </c:pt>
                <c:pt idx="345">
                  <c:v>168.48821081830792</c:v>
                </c:pt>
                <c:pt idx="346">
                  <c:v>168.48821081830792</c:v>
                </c:pt>
                <c:pt idx="347">
                  <c:v>168.48821081830792</c:v>
                </c:pt>
                <c:pt idx="348">
                  <c:v>161.80305131761443</c:v>
                </c:pt>
                <c:pt idx="349">
                  <c:v>166.15811373092927</c:v>
                </c:pt>
                <c:pt idx="350">
                  <c:v>169.875173370319</c:v>
                </c:pt>
                <c:pt idx="351">
                  <c:v>174.42441054091543</c:v>
                </c:pt>
                <c:pt idx="352">
                  <c:v>168.59916782246881</c:v>
                </c:pt>
                <c:pt idx="353">
                  <c:v>168.59916782246881</c:v>
                </c:pt>
                <c:pt idx="354">
                  <c:v>168.59916782246881</c:v>
                </c:pt>
                <c:pt idx="355">
                  <c:v>167.54507628294039</c:v>
                </c:pt>
                <c:pt idx="356">
                  <c:v>175.28432732316227</c:v>
                </c:pt>
                <c:pt idx="357">
                  <c:v>169.54230235783635</c:v>
                </c:pt>
                <c:pt idx="358">
                  <c:v>168.40499306518726</c:v>
                </c:pt>
                <c:pt idx="359">
                  <c:v>174.78502080443829</c:v>
                </c:pt>
                <c:pt idx="360">
                  <c:v>174.78502080443829</c:v>
                </c:pt>
                <c:pt idx="361">
                  <c:v>174.78502080443829</c:v>
                </c:pt>
                <c:pt idx="362">
                  <c:v>170.90152565880723</c:v>
                </c:pt>
                <c:pt idx="363">
                  <c:v>171.56726768377254</c:v>
                </c:pt>
                <c:pt idx="364">
                  <c:v>173.28710124826631</c:v>
                </c:pt>
                <c:pt idx="365">
                  <c:v>171.45631067961168</c:v>
                </c:pt>
                <c:pt idx="366">
                  <c:v>171.45631067961168</c:v>
                </c:pt>
                <c:pt idx="367">
                  <c:v>171.45631067961168</c:v>
                </c:pt>
                <c:pt idx="368">
                  <c:v>171.45631067961168</c:v>
                </c:pt>
                <c:pt idx="369">
                  <c:v>168.26629680998613</c:v>
                </c:pt>
                <c:pt idx="370">
                  <c:v>163.27323162274621</c:v>
                </c:pt>
                <c:pt idx="371">
                  <c:v>163.05131761442442</c:v>
                </c:pt>
                <c:pt idx="372">
                  <c:v>164.10540915395285</c:v>
                </c:pt>
                <c:pt idx="373">
                  <c:v>161.38696255201111</c:v>
                </c:pt>
                <c:pt idx="374">
                  <c:v>161.38696255201111</c:v>
                </c:pt>
                <c:pt idx="375">
                  <c:v>161.38696255201111</c:v>
                </c:pt>
                <c:pt idx="376">
                  <c:v>163.07905686546465</c:v>
                </c:pt>
                <c:pt idx="377">
                  <c:v>160</c:v>
                </c:pt>
                <c:pt idx="378">
                  <c:v>160.88765603328713</c:v>
                </c:pt>
                <c:pt idx="379">
                  <c:v>157.25381414701803</c:v>
                </c:pt>
                <c:pt idx="380">
                  <c:v>153.98058252427185</c:v>
                </c:pt>
                <c:pt idx="381">
                  <c:v>153.98058252427185</c:v>
                </c:pt>
                <c:pt idx="382">
                  <c:v>153.98058252427185</c:v>
                </c:pt>
                <c:pt idx="383">
                  <c:v>155.52011095700416</c:v>
                </c:pt>
                <c:pt idx="384">
                  <c:v>148.65464632454925</c:v>
                </c:pt>
                <c:pt idx="385">
                  <c:v>153.14840499306521</c:v>
                </c:pt>
                <c:pt idx="386">
                  <c:v>153.78640776699029</c:v>
                </c:pt>
                <c:pt idx="387">
                  <c:v>157.17059639389737</c:v>
                </c:pt>
                <c:pt idx="388">
                  <c:v>157.17059639389737</c:v>
                </c:pt>
                <c:pt idx="389">
                  <c:v>157.17059639389737</c:v>
                </c:pt>
                <c:pt idx="390">
                  <c:v>173.25936199722608</c:v>
                </c:pt>
                <c:pt idx="391">
                  <c:v>162.74618585298199</c:v>
                </c:pt>
                <c:pt idx="392">
                  <c:v>160.8599167822469</c:v>
                </c:pt>
                <c:pt idx="393">
                  <c:v>159.72260748959778</c:v>
                </c:pt>
                <c:pt idx="394">
                  <c:v>159.72260748959778</c:v>
                </c:pt>
                <c:pt idx="395">
                  <c:v>159.72260748959778</c:v>
                </c:pt>
                <c:pt idx="396">
                  <c:v>159.72260748959778</c:v>
                </c:pt>
                <c:pt idx="397">
                  <c:v>164.35506241331487</c:v>
                </c:pt>
                <c:pt idx="398">
                  <c:v>157.97503467406381</c:v>
                </c:pt>
                <c:pt idx="399">
                  <c:v>147.68377253814148</c:v>
                </c:pt>
                <c:pt idx="400">
                  <c:v>142.96809986130376</c:v>
                </c:pt>
                <c:pt idx="401">
                  <c:v>143.27323162274618</c:v>
                </c:pt>
                <c:pt idx="402">
                  <c:v>143.27323162274618</c:v>
                </c:pt>
                <c:pt idx="403">
                  <c:v>143.27323162274618</c:v>
                </c:pt>
                <c:pt idx="404">
                  <c:v>144.77115117891816</c:v>
                </c:pt>
                <c:pt idx="405">
                  <c:v>141.747572815534</c:v>
                </c:pt>
                <c:pt idx="406">
                  <c:v>140.38834951456312</c:v>
                </c:pt>
                <c:pt idx="407">
                  <c:v>137.78085991678225</c:v>
                </c:pt>
                <c:pt idx="408">
                  <c:v>138.1969486823856</c:v>
                </c:pt>
                <c:pt idx="409">
                  <c:v>138.1969486823856</c:v>
                </c:pt>
                <c:pt idx="410">
                  <c:v>138.1969486823856</c:v>
                </c:pt>
                <c:pt idx="411">
                  <c:v>138.1969486823856</c:v>
                </c:pt>
                <c:pt idx="412">
                  <c:v>135.22884882108184</c:v>
                </c:pt>
                <c:pt idx="413">
                  <c:v>137.00416088765604</c:v>
                </c:pt>
                <c:pt idx="414">
                  <c:v>130.56865464632457</c:v>
                </c:pt>
                <c:pt idx="415">
                  <c:v>130.56865464632457</c:v>
                </c:pt>
                <c:pt idx="416">
                  <c:v>130.56865464632457</c:v>
                </c:pt>
                <c:pt idx="417">
                  <c:v>130.56865464632457</c:v>
                </c:pt>
                <c:pt idx="418">
                  <c:v>130.56865464632457</c:v>
                </c:pt>
                <c:pt idx="419">
                  <c:v>129.18169209431346</c:v>
                </c:pt>
                <c:pt idx="420">
                  <c:v>128.0721220527046</c:v>
                </c:pt>
                <c:pt idx="421">
                  <c:v>128.59916782246881</c:v>
                </c:pt>
                <c:pt idx="422">
                  <c:v>131.65048543689321</c:v>
                </c:pt>
                <c:pt idx="423">
                  <c:v>131.65048543689321</c:v>
                </c:pt>
                <c:pt idx="424">
                  <c:v>131.65048543689321</c:v>
                </c:pt>
                <c:pt idx="425">
                  <c:v>140.49930651872401</c:v>
                </c:pt>
                <c:pt idx="426">
                  <c:v>141.80305131761443</c:v>
                </c:pt>
                <c:pt idx="427">
                  <c:v>140.54091539528432</c:v>
                </c:pt>
                <c:pt idx="428">
                  <c:v>140</c:v>
                </c:pt>
                <c:pt idx="429">
                  <c:v>137.94729542302358</c:v>
                </c:pt>
                <c:pt idx="430">
                  <c:v>137.94729542302358</c:v>
                </c:pt>
                <c:pt idx="431">
                  <c:v>137.94729542302358</c:v>
                </c:pt>
                <c:pt idx="432">
                  <c:v>139.41747572815535</c:v>
                </c:pt>
                <c:pt idx="433">
                  <c:v>138.89042995839114</c:v>
                </c:pt>
                <c:pt idx="434">
                  <c:v>140.61026352288488</c:v>
                </c:pt>
                <c:pt idx="435">
                  <c:v>139.25104022191402</c:v>
                </c:pt>
                <c:pt idx="436">
                  <c:v>144.20249653259361</c:v>
                </c:pt>
                <c:pt idx="437">
                  <c:v>144.20249653259361</c:v>
                </c:pt>
                <c:pt idx="438">
                  <c:v>144.20249653259361</c:v>
                </c:pt>
                <c:pt idx="439">
                  <c:v>141.44244105409157</c:v>
                </c:pt>
                <c:pt idx="440">
                  <c:v>138.41886269070736</c:v>
                </c:pt>
                <c:pt idx="441">
                  <c:v>137.47572815533982</c:v>
                </c:pt>
                <c:pt idx="442">
                  <c:v>134.11927877947295</c:v>
                </c:pt>
                <c:pt idx="443">
                  <c:v>131.622746185853</c:v>
                </c:pt>
                <c:pt idx="444">
                  <c:v>131.622746185853</c:v>
                </c:pt>
                <c:pt idx="445">
                  <c:v>131.622746185853</c:v>
                </c:pt>
                <c:pt idx="446">
                  <c:v>130.51317614424411</c:v>
                </c:pt>
                <c:pt idx="447">
                  <c:v>130.51317614424411</c:v>
                </c:pt>
                <c:pt idx="448">
                  <c:v>130.40221914008322</c:v>
                </c:pt>
                <c:pt idx="449">
                  <c:v>127.76699029126215</c:v>
                </c:pt>
                <c:pt idx="450">
                  <c:v>125.90846047156728</c:v>
                </c:pt>
                <c:pt idx="451">
                  <c:v>125.90846047156728</c:v>
                </c:pt>
                <c:pt idx="452">
                  <c:v>125.90846047156728</c:v>
                </c:pt>
                <c:pt idx="453">
                  <c:v>126.54646324549236</c:v>
                </c:pt>
                <c:pt idx="454">
                  <c:v>124.99306518723996</c:v>
                </c:pt>
                <c:pt idx="455">
                  <c:v>126.2968099861304</c:v>
                </c:pt>
                <c:pt idx="456">
                  <c:v>128.12760055478503</c:v>
                </c:pt>
                <c:pt idx="457">
                  <c:v>126.10263522884884</c:v>
                </c:pt>
                <c:pt idx="458">
                  <c:v>126.10263522884884</c:v>
                </c:pt>
                <c:pt idx="459">
                  <c:v>126.10263522884884</c:v>
                </c:pt>
                <c:pt idx="460">
                  <c:v>124.68793342579751</c:v>
                </c:pt>
                <c:pt idx="461">
                  <c:v>128.57142857142858</c:v>
                </c:pt>
                <c:pt idx="462">
                  <c:v>126.04715672676838</c:v>
                </c:pt>
                <c:pt idx="463">
                  <c:v>126.49098474341194</c:v>
                </c:pt>
                <c:pt idx="464">
                  <c:v>125.90846047156728</c:v>
                </c:pt>
                <c:pt idx="465">
                  <c:v>125.90846047156728</c:v>
                </c:pt>
                <c:pt idx="466">
                  <c:v>125.90846047156728</c:v>
                </c:pt>
                <c:pt idx="467">
                  <c:v>126.7128987517337</c:v>
                </c:pt>
                <c:pt idx="468">
                  <c:v>126.76837725381415</c:v>
                </c:pt>
                <c:pt idx="469">
                  <c:v>124.4105409153953</c:v>
                </c:pt>
                <c:pt idx="470">
                  <c:v>123.32871012482664</c:v>
                </c:pt>
                <c:pt idx="471">
                  <c:v>122.82940360610264</c:v>
                </c:pt>
                <c:pt idx="472">
                  <c:v>122.82940360610264</c:v>
                </c:pt>
                <c:pt idx="473">
                  <c:v>122.82940360610264</c:v>
                </c:pt>
                <c:pt idx="474">
                  <c:v>122.35783633841888</c:v>
                </c:pt>
                <c:pt idx="475">
                  <c:v>122.74618585298198</c:v>
                </c:pt>
                <c:pt idx="476">
                  <c:v>126.60194174757282</c:v>
                </c:pt>
                <c:pt idx="477">
                  <c:v>129.59778085991681</c:v>
                </c:pt>
                <c:pt idx="478">
                  <c:v>133.70319001386966</c:v>
                </c:pt>
                <c:pt idx="479">
                  <c:v>133.70319001386966</c:v>
                </c:pt>
                <c:pt idx="480">
                  <c:v>133.70319001386966</c:v>
                </c:pt>
                <c:pt idx="481">
                  <c:v>149.51456310679612</c:v>
                </c:pt>
                <c:pt idx="482">
                  <c:v>148.40499306518723</c:v>
                </c:pt>
                <c:pt idx="483">
                  <c:v>148.2108183079057</c:v>
                </c:pt>
                <c:pt idx="484">
                  <c:v>151.40083217753121</c:v>
                </c:pt>
                <c:pt idx="485">
                  <c:v>150.23578363384189</c:v>
                </c:pt>
                <c:pt idx="486">
                  <c:v>150.23578363384189</c:v>
                </c:pt>
                <c:pt idx="487">
                  <c:v>150.23578363384189</c:v>
                </c:pt>
                <c:pt idx="488">
                  <c:v>149.37586685159502</c:v>
                </c:pt>
                <c:pt idx="489">
                  <c:v>148.54368932038835</c:v>
                </c:pt>
                <c:pt idx="490">
                  <c:v>149.32038834951459</c:v>
                </c:pt>
                <c:pt idx="491">
                  <c:v>149.45908460471568</c:v>
                </c:pt>
                <c:pt idx="492">
                  <c:v>146.51872399445216</c:v>
                </c:pt>
                <c:pt idx="493">
                  <c:v>146.51872399445216</c:v>
                </c:pt>
                <c:pt idx="494">
                  <c:v>146.51872399445216</c:v>
                </c:pt>
                <c:pt idx="495">
                  <c:v>148.04438280166437</c:v>
                </c:pt>
                <c:pt idx="496">
                  <c:v>146.10263522884884</c:v>
                </c:pt>
                <c:pt idx="497">
                  <c:v>142.49653259361997</c:v>
                </c:pt>
                <c:pt idx="498">
                  <c:v>143.38418862690708</c:v>
                </c:pt>
                <c:pt idx="499">
                  <c:v>141.49791955617198</c:v>
                </c:pt>
                <c:pt idx="500">
                  <c:v>141.49791955617198</c:v>
                </c:pt>
                <c:pt idx="501">
                  <c:v>141.49791955617198</c:v>
                </c:pt>
                <c:pt idx="502">
                  <c:v>144.90984743411929</c:v>
                </c:pt>
                <c:pt idx="503">
                  <c:v>143.6338418862691</c:v>
                </c:pt>
                <c:pt idx="504">
                  <c:v>141.99722607489599</c:v>
                </c:pt>
                <c:pt idx="505">
                  <c:v>142.66296809986133</c:v>
                </c:pt>
                <c:pt idx="506">
                  <c:v>138.52981969486825</c:v>
                </c:pt>
                <c:pt idx="507">
                  <c:v>138.52981969486825</c:v>
                </c:pt>
                <c:pt idx="508">
                  <c:v>138.52981969486825</c:v>
                </c:pt>
                <c:pt idx="509">
                  <c:v>136.36615811373093</c:v>
                </c:pt>
                <c:pt idx="510">
                  <c:v>135.4230235783634</c:v>
                </c:pt>
                <c:pt idx="511">
                  <c:v>138.55755894590848</c:v>
                </c:pt>
                <c:pt idx="512">
                  <c:v>137.91955617198337</c:v>
                </c:pt>
                <c:pt idx="513">
                  <c:v>138.39112343966715</c:v>
                </c:pt>
                <c:pt idx="514">
                  <c:v>138.39112343966715</c:v>
                </c:pt>
                <c:pt idx="515">
                  <c:v>138.39112343966715</c:v>
                </c:pt>
                <c:pt idx="516">
                  <c:v>139.58391123439668</c:v>
                </c:pt>
                <c:pt idx="517">
                  <c:v>139.72260748959781</c:v>
                </c:pt>
                <c:pt idx="518">
                  <c:v>138.69625520110958</c:v>
                </c:pt>
                <c:pt idx="519">
                  <c:v>137.05963938973647</c:v>
                </c:pt>
                <c:pt idx="520">
                  <c:v>136.69902912621362</c:v>
                </c:pt>
                <c:pt idx="521">
                  <c:v>136.69902912621362</c:v>
                </c:pt>
                <c:pt idx="522">
                  <c:v>136.69902912621362</c:v>
                </c:pt>
                <c:pt idx="523">
                  <c:v>135.81137309292649</c:v>
                </c:pt>
                <c:pt idx="524">
                  <c:v>137.64216366158115</c:v>
                </c:pt>
                <c:pt idx="525">
                  <c:v>135.67267683772539</c:v>
                </c:pt>
                <c:pt idx="526">
                  <c:v>138.91816920943134</c:v>
                </c:pt>
                <c:pt idx="527">
                  <c:v>138.91816920943134</c:v>
                </c:pt>
                <c:pt idx="528">
                  <c:v>138.91816920943134</c:v>
                </c:pt>
                <c:pt idx="529">
                  <c:v>138.91816920943134</c:v>
                </c:pt>
                <c:pt idx="530">
                  <c:v>139.77808599167824</c:v>
                </c:pt>
                <c:pt idx="531">
                  <c:v>144.93758668515952</c:v>
                </c:pt>
                <c:pt idx="532">
                  <c:v>140.8876560332871</c:v>
                </c:pt>
                <c:pt idx="533">
                  <c:v>141.33148404993068</c:v>
                </c:pt>
                <c:pt idx="534">
                  <c:v>139.88904299583913</c:v>
                </c:pt>
                <c:pt idx="535">
                  <c:v>139.88904299583913</c:v>
                </c:pt>
                <c:pt idx="536">
                  <c:v>139.88904299583913</c:v>
                </c:pt>
                <c:pt idx="537">
                  <c:v>137.03190013869627</c:v>
                </c:pt>
                <c:pt idx="538">
                  <c:v>137.44798890429959</c:v>
                </c:pt>
                <c:pt idx="539">
                  <c:v>137.11511789181694</c:v>
                </c:pt>
                <c:pt idx="540">
                  <c:v>136.3106796116505</c:v>
                </c:pt>
                <c:pt idx="541">
                  <c:v>136.69902912621362</c:v>
                </c:pt>
                <c:pt idx="542">
                  <c:v>136.69902912621362</c:v>
                </c:pt>
                <c:pt idx="543">
                  <c:v>136.69902912621362</c:v>
                </c:pt>
                <c:pt idx="544">
                  <c:v>136.39389736477116</c:v>
                </c:pt>
                <c:pt idx="545">
                  <c:v>134.06380027739252</c:v>
                </c:pt>
                <c:pt idx="546">
                  <c:v>134.95145631067962</c:v>
                </c:pt>
                <c:pt idx="547">
                  <c:v>135.72815533980585</c:v>
                </c:pt>
                <c:pt idx="548">
                  <c:v>135.61719833564493</c:v>
                </c:pt>
                <c:pt idx="549">
                  <c:v>135.61719833564493</c:v>
                </c:pt>
                <c:pt idx="550">
                  <c:v>135.61719833564493</c:v>
                </c:pt>
                <c:pt idx="551">
                  <c:v>134.70180305131763</c:v>
                </c:pt>
                <c:pt idx="552">
                  <c:v>136.4493758668516</c:v>
                </c:pt>
                <c:pt idx="553">
                  <c:v>133.6754507628294</c:v>
                </c:pt>
                <c:pt idx="554">
                  <c:v>136.53259361997229</c:v>
                </c:pt>
                <c:pt idx="555">
                  <c:v>133.23162274618588</c:v>
                </c:pt>
                <c:pt idx="556">
                  <c:v>133.23162274618588</c:v>
                </c:pt>
                <c:pt idx="557">
                  <c:v>133.23162274618588</c:v>
                </c:pt>
                <c:pt idx="558">
                  <c:v>134.72954230235786</c:v>
                </c:pt>
                <c:pt idx="559">
                  <c:v>135.70041608876562</c:v>
                </c:pt>
                <c:pt idx="560">
                  <c:v>136.28294036061027</c:v>
                </c:pt>
                <c:pt idx="561">
                  <c:v>133.98058252427185</c:v>
                </c:pt>
                <c:pt idx="562">
                  <c:v>132.39944521497918</c:v>
                </c:pt>
                <c:pt idx="563">
                  <c:v>132.39944521497918</c:v>
                </c:pt>
                <c:pt idx="564">
                  <c:v>132.39944521497918</c:v>
                </c:pt>
                <c:pt idx="565">
                  <c:v>133.12066574202498</c:v>
                </c:pt>
                <c:pt idx="566">
                  <c:v>133.34257975034674</c:v>
                </c:pt>
                <c:pt idx="567">
                  <c:v>136.58807212205272</c:v>
                </c:pt>
                <c:pt idx="568">
                  <c:v>137.50346740638005</c:v>
                </c:pt>
                <c:pt idx="569">
                  <c:v>140.33287101248268</c:v>
                </c:pt>
                <c:pt idx="570">
                  <c:v>140.33287101248268</c:v>
                </c:pt>
                <c:pt idx="571">
                  <c:v>140.33287101248268</c:v>
                </c:pt>
                <c:pt idx="572">
                  <c:v>167.54507628294039</c:v>
                </c:pt>
                <c:pt idx="573">
                  <c:v>169.34812760055479</c:v>
                </c:pt>
                <c:pt idx="574">
                  <c:v>168.37725381414702</c:v>
                </c:pt>
                <c:pt idx="575">
                  <c:v>169.62552011095701</c:v>
                </c:pt>
                <c:pt idx="576">
                  <c:v>166.4355062413315</c:v>
                </c:pt>
                <c:pt idx="577">
                  <c:v>166.4355062413315</c:v>
                </c:pt>
                <c:pt idx="578">
                  <c:v>166.4355062413315</c:v>
                </c:pt>
                <c:pt idx="579">
                  <c:v>164.04993065187242</c:v>
                </c:pt>
                <c:pt idx="580">
                  <c:v>163.74479889042996</c:v>
                </c:pt>
                <c:pt idx="581">
                  <c:v>163.60610263522886</c:v>
                </c:pt>
                <c:pt idx="582">
                  <c:v>162.49653259361997</c:v>
                </c:pt>
                <c:pt idx="583">
                  <c:v>165.13176144244107</c:v>
                </c:pt>
                <c:pt idx="584">
                  <c:v>165.13176144244107</c:v>
                </c:pt>
                <c:pt idx="585">
                  <c:v>165.13176144244107</c:v>
                </c:pt>
                <c:pt idx="586">
                  <c:v>162.05270457697645</c:v>
                </c:pt>
                <c:pt idx="587">
                  <c:v>162.57975034674067</c:v>
                </c:pt>
                <c:pt idx="588">
                  <c:v>161.747572815534</c:v>
                </c:pt>
                <c:pt idx="589">
                  <c:v>165.15950069348128</c:v>
                </c:pt>
                <c:pt idx="590">
                  <c:v>164.02219140083221</c:v>
                </c:pt>
                <c:pt idx="591">
                  <c:v>164.02219140083221</c:v>
                </c:pt>
                <c:pt idx="592">
                  <c:v>164.02219140083221</c:v>
                </c:pt>
                <c:pt idx="593">
                  <c:v>164.02219140083221</c:v>
                </c:pt>
                <c:pt idx="594">
                  <c:v>163.13453536754508</c:v>
                </c:pt>
                <c:pt idx="595">
                  <c:v>165.96393897364771</c:v>
                </c:pt>
                <c:pt idx="596">
                  <c:v>161.63661581137313</c:v>
                </c:pt>
                <c:pt idx="597">
                  <c:v>159.50069348127602</c:v>
                </c:pt>
                <c:pt idx="598">
                  <c:v>159.50069348127602</c:v>
                </c:pt>
                <c:pt idx="599">
                  <c:v>159.50069348127602</c:v>
                </c:pt>
                <c:pt idx="600">
                  <c:v>162.30235783633842</c:v>
                </c:pt>
                <c:pt idx="601">
                  <c:v>163.91123439667129</c:v>
                </c:pt>
                <c:pt idx="602">
                  <c:v>166.21359223300973</c:v>
                </c:pt>
                <c:pt idx="603">
                  <c:v>166.68515950069352</c:v>
                </c:pt>
                <c:pt idx="604">
                  <c:v>165.38141470180307</c:v>
                </c:pt>
                <c:pt idx="605">
                  <c:v>165.38141470180307</c:v>
                </c:pt>
                <c:pt idx="606">
                  <c:v>165.38141470180307</c:v>
                </c:pt>
                <c:pt idx="607">
                  <c:v>166.65742024965326</c:v>
                </c:pt>
                <c:pt idx="608">
                  <c:v>167.79472954230238</c:v>
                </c:pt>
                <c:pt idx="609">
                  <c:v>167.54507628294039</c:v>
                </c:pt>
                <c:pt idx="610">
                  <c:v>166.71289875173372</c:v>
                </c:pt>
                <c:pt idx="611">
                  <c:v>164.57697642163663</c:v>
                </c:pt>
                <c:pt idx="612">
                  <c:v>164.57697642163663</c:v>
                </c:pt>
                <c:pt idx="613">
                  <c:v>164.57697642163663</c:v>
                </c:pt>
                <c:pt idx="614">
                  <c:v>165.60332871012486</c:v>
                </c:pt>
                <c:pt idx="615">
                  <c:v>177.17059639389737</c:v>
                </c:pt>
                <c:pt idx="616">
                  <c:v>174.86823855755895</c:v>
                </c:pt>
                <c:pt idx="617">
                  <c:v>176.61581137309295</c:v>
                </c:pt>
                <c:pt idx="618">
                  <c:v>178.47434119278782</c:v>
                </c:pt>
                <c:pt idx="619">
                  <c:v>178.47434119278782</c:v>
                </c:pt>
                <c:pt idx="620">
                  <c:v>178.47434119278782</c:v>
                </c:pt>
                <c:pt idx="621">
                  <c:v>174.67406380027742</c:v>
                </c:pt>
                <c:pt idx="622">
                  <c:v>171.7891816920943</c:v>
                </c:pt>
                <c:pt idx="623">
                  <c:v>172.31622746185852</c:v>
                </c:pt>
                <c:pt idx="624">
                  <c:v>171.59500693481277</c:v>
                </c:pt>
                <c:pt idx="625">
                  <c:v>174.5631067961165</c:v>
                </c:pt>
                <c:pt idx="626">
                  <c:v>174.5631067961165</c:v>
                </c:pt>
                <c:pt idx="627">
                  <c:v>174.5631067961165</c:v>
                </c:pt>
                <c:pt idx="628">
                  <c:v>171.15117891816922</c:v>
                </c:pt>
                <c:pt idx="629">
                  <c:v>176.3106796116505</c:v>
                </c:pt>
                <c:pt idx="630">
                  <c:v>172.92649098474345</c:v>
                </c:pt>
                <c:pt idx="631">
                  <c:v>172.69070735090156</c:v>
                </c:pt>
                <c:pt idx="632">
                  <c:v>172.69070735090156</c:v>
                </c:pt>
                <c:pt idx="633">
                  <c:v>172.69070735090156</c:v>
                </c:pt>
                <c:pt idx="634">
                  <c:v>172.69070735090156</c:v>
                </c:pt>
                <c:pt idx="635">
                  <c:v>171.92787794729543</c:v>
                </c:pt>
                <c:pt idx="636">
                  <c:v>175.03467406380028</c:v>
                </c:pt>
                <c:pt idx="637">
                  <c:v>167.23994452149793</c:v>
                </c:pt>
                <c:pt idx="638">
                  <c:v>166.21359223300973</c:v>
                </c:pt>
                <c:pt idx="639">
                  <c:v>161.66435506241334</c:v>
                </c:pt>
                <c:pt idx="640">
                  <c:v>161.66435506241334</c:v>
                </c:pt>
                <c:pt idx="641">
                  <c:v>161.66435506241334</c:v>
                </c:pt>
                <c:pt idx="642">
                  <c:v>163.88349514563109</c:v>
                </c:pt>
                <c:pt idx="643">
                  <c:v>160.16643550624136</c:v>
                </c:pt>
                <c:pt idx="644">
                  <c:v>161.96948682385576</c:v>
                </c:pt>
                <c:pt idx="645">
                  <c:v>166.79611650485441</c:v>
                </c:pt>
                <c:pt idx="646">
                  <c:v>165.52011095700419</c:v>
                </c:pt>
                <c:pt idx="647">
                  <c:v>165.52011095700419</c:v>
                </c:pt>
                <c:pt idx="648">
                  <c:v>165.52011095700419</c:v>
                </c:pt>
                <c:pt idx="649">
                  <c:v>164.13314840499308</c:v>
                </c:pt>
                <c:pt idx="650">
                  <c:v>164.16088765603328</c:v>
                </c:pt>
                <c:pt idx="651">
                  <c:v>162.96809986130376</c:v>
                </c:pt>
                <c:pt idx="652">
                  <c:v>160.8599167822469</c:v>
                </c:pt>
                <c:pt idx="653">
                  <c:v>159.41747572815535</c:v>
                </c:pt>
                <c:pt idx="654">
                  <c:v>159.41747572815535</c:v>
                </c:pt>
                <c:pt idx="655">
                  <c:v>159.41747572815535</c:v>
                </c:pt>
                <c:pt idx="656">
                  <c:v>166.38002773925103</c:v>
                </c:pt>
                <c:pt idx="657">
                  <c:v>171.42857142857144</c:v>
                </c:pt>
                <c:pt idx="658">
                  <c:v>162.96809986130376</c:v>
                </c:pt>
                <c:pt idx="659">
                  <c:v>164.96532593619972</c:v>
                </c:pt>
                <c:pt idx="660">
                  <c:v>164.38280166435507</c:v>
                </c:pt>
                <c:pt idx="661">
                  <c:v>164.38280166435507</c:v>
                </c:pt>
                <c:pt idx="662">
                  <c:v>164.38280166435507</c:v>
                </c:pt>
                <c:pt idx="663">
                  <c:v>163.77253814147019</c:v>
                </c:pt>
                <c:pt idx="664">
                  <c:v>166.71289875173372</c:v>
                </c:pt>
                <c:pt idx="665">
                  <c:v>156.3384188626907</c:v>
                </c:pt>
                <c:pt idx="666">
                  <c:v>164.16088765603328</c:v>
                </c:pt>
                <c:pt idx="667">
                  <c:v>167.43411927877949</c:v>
                </c:pt>
                <c:pt idx="668">
                  <c:v>167.43411927877949</c:v>
                </c:pt>
                <c:pt idx="669">
                  <c:v>167.43411927877949</c:v>
                </c:pt>
                <c:pt idx="670">
                  <c:v>168.62690707350902</c:v>
                </c:pt>
                <c:pt idx="671">
                  <c:v>163.30097087378641</c:v>
                </c:pt>
                <c:pt idx="672">
                  <c:v>168.26629680998613</c:v>
                </c:pt>
                <c:pt idx="673">
                  <c:v>162.82940360610266</c:v>
                </c:pt>
                <c:pt idx="674">
                  <c:v>158.50208044382802</c:v>
                </c:pt>
                <c:pt idx="675">
                  <c:v>158.50208044382802</c:v>
                </c:pt>
                <c:pt idx="676">
                  <c:v>158.50208044382802</c:v>
                </c:pt>
                <c:pt idx="677">
                  <c:v>158.50208044382802</c:v>
                </c:pt>
                <c:pt idx="678">
                  <c:v>163.60610263522886</c:v>
                </c:pt>
                <c:pt idx="679">
                  <c:v>161.99722607489599</c:v>
                </c:pt>
                <c:pt idx="680">
                  <c:v>162.08044382801666</c:v>
                </c:pt>
                <c:pt idx="681">
                  <c:v>150.15256588072123</c:v>
                </c:pt>
                <c:pt idx="682">
                  <c:v>150.15256588072123</c:v>
                </c:pt>
                <c:pt idx="683">
                  <c:v>150.15256588072123</c:v>
                </c:pt>
                <c:pt idx="684">
                  <c:v>150.76282940360613</c:v>
                </c:pt>
                <c:pt idx="685">
                  <c:v>143.91123439667132</c:v>
                </c:pt>
                <c:pt idx="686">
                  <c:v>150.124826629681</c:v>
                </c:pt>
                <c:pt idx="687">
                  <c:v>153.92510402219142</c:v>
                </c:pt>
                <c:pt idx="688">
                  <c:v>145.27045769764217</c:v>
                </c:pt>
                <c:pt idx="689">
                  <c:v>145.27045769764217</c:v>
                </c:pt>
                <c:pt idx="690">
                  <c:v>145.27045769764217</c:v>
                </c:pt>
                <c:pt idx="691">
                  <c:v>154.06380027739252</c:v>
                </c:pt>
                <c:pt idx="692">
                  <c:v>142.19140083217755</c:v>
                </c:pt>
                <c:pt idx="693">
                  <c:v>145.35367545076284</c:v>
                </c:pt>
                <c:pt idx="694">
                  <c:v>137.53120665742026</c:v>
                </c:pt>
                <c:pt idx="695">
                  <c:v>127.12898751733704</c:v>
                </c:pt>
                <c:pt idx="696">
                  <c:v>127.12898751733704</c:v>
                </c:pt>
                <c:pt idx="697">
                  <c:v>127.12898751733704</c:v>
                </c:pt>
                <c:pt idx="698">
                  <c:v>127.43411927877948</c:v>
                </c:pt>
                <c:pt idx="699">
                  <c:v>132.06657420249655</c:v>
                </c:pt>
                <c:pt idx="700">
                  <c:v>138.91816920943134</c:v>
                </c:pt>
                <c:pt idx="701">
                  <c:v>123.74479889042998</c:v>
                </c:pt>
                <c:pt idx="702">
                  <c:v>150.98474341192789</c:v>
                </c:pt>
                <c:pt idx="703">
                  <c:v>150.98474341192789</c:v>
                </c:pt>
                <c:pt idx="704">
                  <c:v>150.98474341192789</c:v>
                </c:pt>
                <c:pt idx="705">
                  <c:v>126.3245492371706</c:v>
                </c:pt>
                <c:pt idx="706">
                  <c:v>143.30097087378641</c:v>
                </c:pt>
                <c:pt idx="707">
                  <c:v>149.73647711511791</c:v>
                </c:pt>
                <c:pt idx="708">
                  <c:v>141.05409153952843</c:v>
                </c:pt>
                <c:pt idx="709">
                  <c:v>154.70180305131765</c:v>
                </c:pt>
                <c:pt idx="710">
                  <c:v>154.70180305131765</c:v>
                </c:pt>
                <c:pt idx="711">
                  <c:v>154.70180305131765</c:v>
                </c:pt>
                <c:pt idx="712">
                  <c:v>158.00277392510404</c:v>
                </c:pt>
                <c:pt idx="713">
                  <c:v>162.7739251040222</c:v>
                </c:pt>
                <c:pt idx="714">
                  <c:v>155.25658807212207</c:v>
                </c:pt>
                <c:pt idx="715">
                  <c:v>161.38696255201111</c:v>
                </c:pt>
                <c:pt idx="716">
                  <c:v>154.00832177531208</c:v>
                </c:pt>
                <c:pt idx="717">
                  <c:v>154.00832177531208</c:v>
                </c:pt>
                <c:pt idx="718">
                  <c:v>154.00832177531208</c:v>
                </c:pt>
                <c:pt idx="719">
                  <c:v>154.86823855755895</c:v>
                </c:pt>
                <c:pt idx="720">
                  <c:v>165.46463245492373</c:v>
                </c:pt>
                <c:pt idx="721">
                  <c:v>165.68654646324549</c:v>
                </c:pt>
                <c:pt idx="722">
                  <c:v>171.31761442441055</c:v>
                </c:pt>
                <c:pt idx="723">
                  <c:v>178.47434119278782</c:v>
                </c:pt>
                <c:pt idx="724">
                  <c:v>178.47434119278782</c:v>
                </c:pt>
                <c:pt idx="725">
                  <c:v>178.47434119278782</c:v>
                </c:pt>
                <c:pt idx="726">
                  <c:v>181.55339805825247</c:v>
                </c:pt>
                <c:pt idx="727">
                  <c:v>186.15811373092927</c:v>
                </c:pt>
                <c:pt idx="728">
                  <c:v>183.46740638002777</c:v>
                </c:pt>
                <c:pt idx="729">
                  <c:v>186.60194174757279</c:v>
                </c:pt>
                <c:pt idx="730">
                  <c:v>186.60194174757279</c:v>
                </c:pt>
                <c:pt idx="731">
                  <c:v>186.60194174757279</c:v>
                </c:pt>
                <c:pt idx="732">
                  <c:v>186.60194174757279</c:v>
                </c:pt>
                <c:pt idx="733">
                  <c:v>187.07350901525658</c:v>
                </c:pt>
                <c:pt idx="734">
                  <c:v>187.12898751733701</c:v>
                </c:pt>
                <c:pt idx="735">
                  <c:v>186.99029126213594</c:v>
                </c:pt>
                <c:pt idx="736">
                  <c:v>184.16088765603331</c:v>
                </c:pt>
                <c:pt idx="737">
                  <c:v>183.13453536754508</c:v>
                </c:pt>
                <c:pt idx="738">
                  <c:v>183.13453536754508</c:v>
                </c:pt>
                <c:pt idx="739">
                  <c:v>183.13453536754508</c:v>
                </c:pt>
                <c:pt idx="740">
                  <c:v>186.10263522884884</c:v>
                </c:pt>
                <c:pt idx="741">
                  <c:v>186.79611650485438</c:v>
                </c:pt>
                <c:pt idx="742">
                  <c:v>181.58113730929264</c:v>
                </c:pt>
                <c:pt idx="743">
                  <c:v>178.69625520110958</c:v>
                </c:pt>
                <c:pt idx="744">
                  <c:v>177.33703190013873</c:v>
                </c:pt>
                <c:pt idx="745">
                  <c:v>177.33703190013873</c:v>
                </c:pt>
                <c:pt idx="746">
                  <c:v>177.33703190013873</c:v>
                </c:pt>
                <c:pt idx="747">
                  <c:v>184.38280166435507</c:v>
                </c:pt>
                <c:pt idx="748">
                  <c:v>183.99445214979198</c:v>
                </c:pt>
                <c:pt idx="749">
                  <c:v>186.71289875173372</c:v>
                </c:pt>
                <c:pt idx="750">
                  <c:v>182.21914008321775</c:v>
                </c:pt>
                <c:pt idx="751">
                  <c:v>189.93065187239947</c:v>
                </c:pt>
                <c:pt idx="752">
                  <c:v>189.93065187239947</c:v>
                </c:pt>
                <c:pt idx="753">
                  <c:v>189.93065187239947</c:v>
                </c:pt>
                <c:pt idx="754">
                  <c:v>175.64493758668519</c:v>
                </c:pt>
                <c:pt idx="755">
                  <c:v>174.00832177531208</c:v>
                </c:pt>
                <c:pt idx="756">
                  <c:v>167.96116504854371</c:v>
                </c:pt>
                <c:pt idx="757">
                  <c:v>165.32593619972263</c:v>
                </c:pt>
                <c:pt idx="758">
                  <c:v>165.32593619972263</c:v>
                </c:pt>
                <c:pt idx="759">
                  <c:v>165.32593619972263</c:v>
                </c:pt>
                <c:pt idx="760">
                  <c:v>165.32593619972263</c:v>
                </c:pt>
                <c:pt idx="761">
                  <c:v>165.49237170596393</c:v>
                </c:pt>
                <c:pt idx="762">
                  <c:v>163.49514563106797</c:v>
                </c:pt>
                <c:pt idx="763">
                  <c:v>164.85436893203885</c:v>
                </c:pt>
                <c:pt idx="764">
                  <c:v>165.29819694868243</c:v>
                </c:pt>
                <c:pt idx="765">
                  <c:v>163.49514563106797</c:v>
                </c:pt>
                <c:pt idx="766">
                  <c:v>163.49514563106797</c:v>
                </c:pt>
                <c:pt idx="767">
                  <c:v>163.49514563106797</c:v>
                </c:pt>
                <c:pt idx="768">
                  <c:v>164.49375866851597</c:v>
                </c:pt>
                <c:pt idx="769">
                  <c:v>163.57836338418863</c:v>
                </c:pt>
                <c:pt idx="770">
                  <c:v>163.46740638002774</c:v>
                </c:pt>
                <c:pt idx="771">
                  <c:v>166.24133148404994</c:v>
                </c:pt>
                <c:pt idx="772">
                  <c:v>166.71289875173372</c:v>
                </c:pt>
                <c:pt idx="773">
                  <c:v>166.71289875173372</c:v>
                </c:pt>
                <c:pt idx="774">
                  <c:v>166.71289875173372</c:v>
                </c:pt>
                <c:pt idx="775">
                  <c:v>168.76560332871014</c:v>
                </c:pt>
                <c:pt idx="776">
                  <c:v>166.01941747572818</c:v>
                </c:pt>
                <c:pt idx="777">
                  <c:v>166.01941747572818</c:v>
                </c:pt>
                <c:pt idx="778">
                  <c:v>165.38141470180307</c:v>
                </c:pt>
                <c:pt idx="779">
                  <c:v>166.65742024965326</c:v>
                </c:pt>
                <c:pt idx="780">
                  <c:v>166.65742024965326</c:v>
                </c:pt>
                <c:pt idx="781">
                  <c:v>166.65742024965326</c:v>
                </c:pt>
                <c:pt idx="782">
                  <c:v>165.93619972260751</c:v>
                </c:pt>
                <c:pt idx="783">
                  <c:v>164.79889042995839</c:v>
                </c:pt>
                <c:pt idx="784">
                  <c:v>164.79889042995839</c:v>
                </c:pt>
                <c:pt idx="785">
                  <c:v>164.29958391123441</c:v>
                </c:pt>
                <c:pt idx="786">
                  <c:v>163.5228848821082</c:v>
                </c:pt>
                <c:pt idx="787">
                  <c:v>163.5228848821082</c:v>
                </c:pt>
                <c:pt idx="788">
                  <c:v>163.5228848821082</c:v>
                </c:pt>
                <c:pt idx="789">
                  <c:v>160.77669902912623</c:v>
                </c:pt>
                <c:pt idx="790">
                  <c:v>158.58529819694871</c:v>
                </c:pt>
                <c:pt idx="791">
                  <c:v>158.94590846047157</c:v>
                </c:pt>
                <c:pt idx="792">
                  <c:v>160.05547850208046</c:v>
                </c:pt>
                <c:pt idx="793">
                  <c:v>160.30513176144245</c:v>
                </c:pt>
                <c:pt idx="794">
                  <c:v>160.30513176144245</c:v>
                </c:pt>
                <c:pt idx="795">
                  <c:v>160.30513176144245</c:v>
                </c:pt>
                <c:pt idx="796">
                  <c:v>159.63938973647711</c:v>
                </c:pt>
                <c:pt idx="797">
                  <c:v>158.30790568654646</c:v>
                </c:pt>
                <c:pt idx="798">
                  <c:v>156.97642163661584</c:v>
                </c:pt>
                <c:pt idx="799">
                  <c:v>156.80998613037448</c:v>
                </c:pt>
                <c:pt idx="800">
                  <c:v>157.58668515950072</c:v>
                </c:pt>
                <c:pt idx="801">
                  <c:v>157.58668515950072</c:v>
                </c:pt>
                <c:pt idx="802">
                  <c:v>157.58668515950072</c:v>
                </c:pt>
                <c:pt idx="803">
                  <c:v>155.5617198335645</c:v>
                </c:pt>
                <c:pt idx="804">
                  <c:v>155.3952843273232</c:v>
                </c:pt>
                <c:pt idx="805">
                  <c:v>155.53398058252426</c:v>
                </c:pt>
                <c:pt idx="806">
                  <c:v>159.94452149791957</c:v>
                </c:pt>
                <c:pt idx="807">
                  <c:v>161.0263522884882</c:v>
                </c:pt>
                <c:pt idx="808">
                  <c:v>161.0263522884882</c:v>
                </c:pt>
                <c:pt idx="809">
                  <c:v>161.0263522884882</c:v>
                </c:pt>
                <c:pt idx="810">
                  <c:v>162.30235783633842</c:v>
                </c:pt>
                <c:pt idx="811">
                  <c:v>162.30235783633842</c:v>
                </c:pt>
                <c:pt idx="812">
                  <c:v>163.38418862690708</c:v>
                </c:pt>
                <c:pt idx="813">
                  <c:v>163.13453536754508</c:v>
                </c:pt>
                <c:pt idx="814">
                  <c:v>159.80582524271844</c:v>
                </c:pt>
                <c:pt idx="815">
                  <c:v>159.80582524271844</c:v>
                </c:pt>
                <c:pt idx="816">
                  <c:v>159.80582524271844</c:v>
                </c:pt>
                <c:pt idx="817">
                  <c:v>161.49791955617198</c:v>
                </c:pt>
                <c:pt idx="818">
                  <c:v>160.61026352288491</c:v>
                </c:pt>
                <c:pt idx="819">
                  <c:v>161.85852981969489</c:v>
                </c:pt>
                <c:pt idx="820">
                  <c:v>161.58113730929267</c:v>
                </c:pt>
                <c:pt idx="821">
                  <c:v>160.77669902912623</c:v>
                </c:pt>
                <c:pt idx="822">
                  <c:v>160.77669902912623</c:v>
                </c:pt>
                <c:pt idx="823">
                  <c:v>160.77669902912623</c:v>
                </c:pt>
                <c:pt idx="824">
                  <c:v>160.36061026352291</c:v>
                </c:pt>
                <c:pt idx="825">
                  <c:v>160.58252427184468</c:v>
                </c:pt>
                <c:pt idx="826">
                  <c:v>161.44244105409155</c:v>
                </c:pt>
                <c:pt idx="827">
                  <c:v>161.85852981969489</c:v>
                </c:pt>
                <c:pt idx="828">
                  <c:v>161.63661581137313</c:v>
                </c:pt>
                <c:pt idx="829">
                  <c:v>161.63661581137313</c:v>
                </c:pt>
                <c:pt idx="830">
                  <c:v>161.63661581137313</c:v>
                </c:pt>
                <c:pt idx="831">
                  <c:v>161.0263522884882</c:v>
                </c:pt>
                <c:pt idx="832">
                  <c:v>159.77808599167824</c:v>
                </c:pt>
                <c:pt idx="833">
                  <c:v>159.63938973647711</c:v>
                </c:pt>
                <c:pt idx="834">
                  <c:v>159.80582524271844</c:v>
                </c:pt>
                <c:pt idx="835">
                  <c:v>156.75450762829405</c:v>
                </c:pt>
                <c:pt idx="836">
                  <c:v>156.75450762829405</c:v>
                </c:pt>
                <c:pt idx="837">
                  <c:v>156.75450762829405</c:v>
                </c:pt>
                <c:pt idx="838">
                  <c:v>156.80998613037448</c:v>
                </c:pt>
                <c:pt idx="839">
                  <c:v>157.00416088765604</c:v>
                </c:pt>
                <c:pt idx="840">
                  <c:v>156.28294036061027</c:v>
                </c:pt>
                <c:pt idx="841">
                  <c:v>157.44798890429959</c:v>
                </c:pt>
                <c:pt idx="842">
                  <c:v>156.61581137309295</c:v>
                </c:pt>
                <c:pt idx="843">
                  <c:v>156.61581137309295</c:v>
                </c:pt>
                <c:pt idx="844">
                  <c:v>156.61581137309295</c:v>
                </c:pt>
                <c:pt idx="845">
                  <c:v>144.88210818307905</c:v>
                </c:pt>
                <c:pt idx="846">
                  <c:v>143.46740638002774</c:v>
                </c:pt>
                <c:pt idx="847">
                  <c:v>144.27184466019418</c:v>
                </c:pt>
                <c:pt idx="848">
                  <c:v>144.60471567267686</c:v>
                </c:pt>
                <c:pt idx="849">
                  <c:v>142.46879334257977</c:v>
                </c:pt>
                <c:pt idx="850">
                  <c:v>142.46879334257977</c:v>
                </c:pt>
                <c:pt idx="851">
                  <c:v>142.46879334257977</c:v>
                </c:pt>
                <c:pt idx="852">
                  <c:v>143.85575589459086</c:v>
                </c:pt>
                <c:pt idx="853">
                  <c:v>145.47850208044383</c:v>
                </c:pt>
                <c:pt idx="854">
                  <c:v>146.04715672676838</c:v>
                </c:pt>
                <c:pt idx="855">
                  <c:v>143.24549237170598</c:v>
                </c:pt>
                <c:pt idx="856">
                  <c:v>144.49375866851597</c:v>
                </c:pt>
                <c:pt idx="857">
                  <c:v>144.49375866851597</c:v>
                </c:pt>
                <c:pt idx="858">
                  <c:v>144.49375866851597</c:v>
                </c:pt>
                <c:pt idx="859">
                  <c:v>141.7753120665742</c:v>
                </c:pt>
                <c:pt idx="860">
                  <c:v>140.02773925104023</c:v>
                </c:pt>
                <c:pt idx="861">
                  <c:v>137.93342579750347</c:v>
                </c:pt>
                <c:pt idx="862">
                  <c:v>140.41608876560335</c:v>
                </c:pt>
                <c:pt idx="863">
                  <c:v>141.24826629680999</c:v>
                </c:pt>
                <c:pt idx="864">
                  <c:v>141.24826629680999</c:v>
                </c:pt>
                <c:pt idx="865">
                  <c:v>141.24826629680999</c:v>
                </c:pt>
                <c:pt idx="866">
                  <c:v>138.77947295423024</c:v>
                </c:pt>
                <c:pt idx="867">
                  <c:v>137.00416088765604</c:v>
                </c:pt>
                <c:pt idx="868">
                  <c:v>140.80443828016644</c:v>
                </c:pt>
                <c:pt idx="869">
                  <c:v>142.94036061026355</c:v>
                </c:pt>
                <c:pt idx="870">
                  <c:v>140.8599167822469</c:v>
                </c:pt>
                <c:pt idx="871">
                  <c:v>140.8599167822469</c:v>
                </c:pt>
                <c:pt idx="872">
                  <c:v>140.8599167822469</c:v>
                </c:pt>
                <c:pt idx="873">
                  <c:v>141.24826629680999</c:v>
                </c:pt>
                <c:pt idx="874">
                  <c:v>141.52565880721221</c:v>
                </c:pt>
                <c:pt idx="875">
                  <c:v>138.1969486823856</c:v>
                </c:pt>
                <c:pt idx="876">
                  <c:v>141.19278779472955</c:v>
                </c:pt>
                <c:pt idx="877">
                  <c:v>140.69348127600557</c:v>
                </c:pt>
                <c:pt idx="878">
                  <c:v>140.69348127600557</c:v>
                </c:pt>
                <c:pt idx="879">
                  <c:v>140.69348127600557</c:v>
                </c:pt>
                <c:pt idx="880">
                  <c:v>143.05131761442442</c:v>
                </c:pt>
                <c:pt idx="881">
                  <c:v>143.5228848821082</c:v>
                </c:pt>
                <c:pt idx="882">
                  <c:v>144.10540915395288</c:v>
                </c:pt>
                <c:pt idx="883">
                  <c:v>144.79889042995842</c:v>
                </c:pt>
                <c:pt idx="884">
                  <c:v>145.74202496532595</c:v>
                </c:pt>
                <c:pt idx="885">
                  <c:v>145.74202496532595</c:v>
                </c:pt>
                <c:pt idx="886">
                  <c:v>145.74202496532595</c:v>
                </c:pt>
                <c:pt idx="887">
                  <c:v>147.04576976421637</c:v>
                </c:pt>
                <c:pt idx="888">
                  <c:v>146.4355062413315</c:v>
                </c:pt>
                <c:pt idx="889">
                  <c:v>143.74479889042996</c:v>
                </c:pt>
                <c:pt idx="890">
                  <c:v>143.10679611650488</c:v>
                </c:pt>
                <c:pt idx="891">
                  <c:v>141.24826629680999</c:v>
                </c:pt>
                <c:pt idx="892">
                  <c:v>141.24826629680999</c:v>
                </c:pt>
                <c:pt idx="893">
                  <c:v>141.24826629680999</c:v>
                </c:pt>
                <c:pt idx="894">
                  <c:v>138.9736477115118</c:v>
                </c:pt>
                <c:pt idx="895">
                  <c:v>135.70041608876562</c:v>
                </c:pt>
                <c:pt idx="896">
                  <c:v>130.31900138696255</c:v>
                </c:pt>
                <c:pt idx="897">
                  <c:v>131.51178918169208</c:v>
                </c:pt>
                <c:pt idx="898">
                  <c:v>131.51178918169208</c:v>
                </c:pt>
                <c:pt idx="899">
                  <c:v>131.51178918169208</c:v>
                </c:pt>
                <c:pt idx="900">
                  <c:v>131.51178918169208</c:v>
                </c:pt>
                <c:pt idx="901">
                  <c:v>130.0138696255201</c:v>
                </c:pt>
                <c:pt idx="902">
                  <c:v>127.01803051317614</c:v>
                </c:pt>
                <c:pt idx="903">
                  <c:v>127.01803051317614</c:v>
                </c:pt>
                <c:pt idx="904">
                  <c:v>126.38002773925106</c:v>
                </c:pt>
                <c:pt idx="905">
                  <c:v>124.71567267683774</c:v>
                </c:pt>
                <c:pt idx="906">
                  <c:v>124.71567267683774</c:v>
                </c:pt>
                <c:pt idx="907">
                  <c:v>124.71567267683774</c:v>
                </c:pt>
                <c:pt idx="908">
                  <c:v>129.76421636615814</c:v>
                </c:pt>
                <c:pt idx="909">
                  <c:v>130.79056865464634</c:v>
                </c:pt>
                <c:pt idx="910">
                  <c:v>129.26490984743413</c:v>
                </c:pt>
                <c:pt idx="911">
                  <c:v>131.0124826629681</c:v>
                </c:pt>
                <c:pt idx="912">
                  <c:v>128.9875173370319</c:v>
                </c:pt>
                <c:pt idx="913">
                  <c:v>128.9875173370319</c:v>
                </c:pt>
                <c:pt idx="914">
                  <c:v>128.9875173370319</c:v>
                </c:pt>
                <c:pt idx="915">
                  <c:v>126.76837725381415</c:v>
                </c:pt>
                <c:pt idx="916">
                  <c:v>127.23994452149792</c:v>
                </c:pt>
                <c:pt idx="917">
                  <c:v>129.93065187239947</c:v>
                </c:pt>
                <c:pt idx="918">
                  <c:v>126.49098474341194</c:v>
                </c:pt>
                <c:pt idx="919">
                  <c:v>127.54507628294036</c:v>
                </c:pt>
                <c:pt idx="920">
                  <c:v>127.54507628294036</c:v>
                </c:pt>
                <c:pt idx="921">
                  <c:v>127.54507628294036</c:v>
                </c:pt>
                <c:pt idx="922">
                  <c:v>130.8460471567268</c:v>
                </c:pt>
                <c:pt idx="923">
                  <c:v>129.62552011095701</c:v>
                </c:pt>
                <c:pt idx="924">
                  <c:v>130.26352288488212</c:v>
                </c:pt>
                <c:pt idx="925">
                  <c:v>130.29126213592235</c:v>
                </c:pt>
                <c:pt idx="926">
                  <c:v>135.03467406380031</c:v>
                </c:pt>
                <c:pt idx="927">
                  <c:v>135.03467406380031</c:v>
                </c:pt>
                <c:pt idx="928">
                  <c:v>135.03467406380031</c:v>
                </c:pt>
                <c:pt idx="929">
                  <c:v>137.30929264909847</c:v>
                </c:pt>
                <c:pt idx="930">
                  <c:v>140.22191400832179</c:v>
                </c:pt>
                <c:pt idx="931">
                  <c:v>143.41192787794733</c:v>
                </c:pt>
                <c:pt idx="932">
                  <c:v>145.65880721220529</c:v>
                </c:pt>
                <c:pt idx="933">
                  <c:v>143.10679611650488</c:v>
                </c:pt>
                <c:pt idx="934">
                  <c:v>143.10679611650488</c:v>
                </c:pt>
                <c:pt idx="935">
                  <c:v>143.10679611650488</c:v>
                </c:pt>
                <c:pt idx="936">
                  <c:v>144.6879334257975</c:v>
                </c:pt>
                <c:pt idx="937">
                  <c:v>146.79611650485438</c:v>
                </c:pt>
                <c:pt idx="938">
                  <c:v>143.5506241331484</c:v>
                </c:pt>
                <c:pt idx="939">
                  <c:v>142.44105409153954</c:v>
                </c:pt>
                <c:pt idx="940">
                  <c:v>139.44521497919558</c:v>
                </c:pt>
                <c:pt idx="941">
                  <c:v>139.44521497919558</c:v>
                </c:pt>
                <c:pt idx="942">
                  <c:v>139.44521497919558</c:v>
                </c:pt>
                <c:pt idx="943">
                  <c:v>138.52981969486825</c:v>
                </c:pt>
                <c:pt idx="944">
                  <c:v>137.00416088765604</c:v>
                </c:pt>
                <c:pt idx="945">
                  <c:v>136.39389736477116</c:v>
                </c:pt>
                <c:pt idx="946">
                  <c:v>139.02912621359224</c:v>
                </c:pt>
                <c:pt idx="947">
                  <c:v>138.47434119278782</c:v>
                </c:pt>
                <c:pt idx="948">
                  <c:v>138.47434119278782</c:v>
                </c:pt>
                <c:pt idx="949">
                  <c:v>138.47434119278782</c:v>
                </c:pt>
                <c:pt idx="950">
                  <c:v>134.81276005547852</c:v>
                </c:pt>
                <c:pt idx="951">
                  <c:v>133.73092926490986</c:v>
                </c:pt>
                <c:pt idx="952">
                  <c:v>132.45492371705964</c:v>
                </c:pt>
                <c:pt idx="953">
                  <c:v>132.6490984743412</c:v>
                </c:pt>
                <c:pt idx="954">
                  <c:v>133.37031900138697</c:v>
                </c:pt>
                <c:pt idx="955">
                  <c:v>133.37031900138697</c:v>
                </c:pt>
                <c:pt idx="956">
                  <c:v>133.37031900138697</c:v>
                </c:pt>
                <c:pt idx="957">
                  <c:v>134.59084604715673</c:v>
                </c:pt>
                <c:pt idx="958">
                  <c:v>134.59084604715673</c:v>
                </c:pt>
                <c:pt idx="959">
                  <c:v>133.48127600554784</c:v>
                </c:pt>
                <c:pt idx="960">
                  <c:v>133.28710124826631</c:v>
                </c:pt>
                <c:pt idx="961">
                  <c:v>132.7877947295423</c:v>
                </c:pt>
                <c:pt idx="962">
                  <c:v>132.7877947295423</c:v>
                </c:pt>
                <c:pt idx="963">
                  <c:v>132.7877947295423</c:v>
                </c:pt>
                <c:pt idx="964">
                  <c:v>131.65048543689321</c:v>
                </c:pt>
                <c:pt idx="965">
                  <c:v>133.6754507628294</c:v>
                </c:pt>
                <c:pt idx="966">
                  <c:v>129.95839112343967</c:v>
                </c:pt>
                <c:pt idx="967">
                  <c:v>132.12205270457699</c:v>
                </c:pt>
                <c:pt idx="968">
                  <c:v>131.65048543689321</c:v>
                </c:pt>
                <c:pt idx="969">
                  <c:v>131.65048543689321</c:v>
                </c:pt>
                <c:pt idx="970">
                  <c:v>131.65048543689321</c:v>
                </c:pt>
                <c:pt idx="971">
                  <c:v>130.9015256588072</c:v>
                </c:pt>
                <c:pt idx="972">
                  <c:v>130.56865464632457</c:v>
                </c:pt>
                <c:pt idx="973">
                  <c:v>131.40083217753121</c:v>
                </c:pt>
                <c:pt idx="974">
                  <c:v>127.96116504854371</c:v>
                </c:pt>
                <c:pt idx="975">
                  <c:v>128.12760055478503</c:v>
                </c:pt>
                <c:pt idx="976">
                  <c:v>128.12760055478503</c:v>
                </c:pt>
                <c:pt idx="977">
                  <c:v>128.12760055478503</c:v>
                </c:pt>
                <c:pt idx="978">
                  <c:v>129.54230235783635</c:v>
                </c:pt>
                <c:pt idx="979">
                  <c:v>128.48821081830792</c:v>
                </c:pt>
                <c:pt idx="980">
                  <c:v>129.95839112343967</c:v>
                </c:pt>
                <c:pt idx="981">
                  <c:v>129.81969486823857</c:v>
                </c:pt>
                <c:pt idx="982">
                  <c:v>127.6837725381415</c:v>
                </c:pt>
                <c:pt idx="983">
                  <c:v>127.6837725381415</c:v>
                </c:pt>
                <c:pt idx="984">
                  <c:v>127.6837725381415</c:v>
                </c:pt>
                <c:pt idx="985">
                  <c:v>125.10402219140084</c:v>
                </c:pt>
                <c:pt idx="986">
                  <c:v>123.57836338418863</c:v>
                </c:pt>
                <c:pt idx="987">
                  <c:v>124.24410540915396</c:v>
                </c:pt>
                <c:pt idx="988">
                  <c:v>120.55478502080446</c:v>
                </c:pt>
                <c:pt idx="989">
                  <c:v>122.16366158113732</c:v>
                </c:pt>
                <c:pt idx="990">
                  <c:v>122.16366158113732</c:v>
                </c:pt>
                <c:pt idx="991">
                  <c:v>122.16366158113732</c:v>
                </c:pt>
                <c:pt idx="992">
                  <c:v>124.07766990291262</c:v>
                </c:pt>
                <c:pt idx="993">
                  <c:v>122.69070735090153</c:v>
                </c:pt>
                <c:pt idx="994">
                  <c:v>120.85991678224688</c:v>
                </c:pt>
                <c:pt idx="995">
                  <c:v>123.6338418862691</c:v>
                </c:pt>
                <c:pt idx="996">
                  <c:v>123.6338418862691</c:v>
                </c:pt>
                <c:pt idx="997">
                  <c:v>123.6338418862691</c:v>
                </c:pt>
                <c:pt idx="998">
                  <c:v>123.6338418862691</c:v>
                </c:pt>
                <c:pt idx="999">
                  <c:v>123.52288488210819</c:v>
                </c:pt>
                <c:pt idx="1000">
                  <c:v>122.05270457697644</c:v>
                </c:pt>
                <c:pt idx="1001">
                  <c:v>123.32871012482664</c:v>
                </c:pt>
                <c:pt idx="1002">
                  <c:v>120.83217753120667</c:v>
                </c:pt>
                <c:pt idx="1003">
                  <c:v>124.52149791955618</c:v>
                </c:pt>
                <c:pt idx="1004">
                  <c:v>124.52149791955618</c:v>
                </c:pt>
                <c:pt idx="1005">
                  <c:v>124.52149791955618</c:v>
                </c:pt>
                <c:pt idx="1006">
                  <c:v>126.2968099861304</c:v>
                </c:pt>
                <c:pt idx="1007">
                  <c:v>126.54646324549236</c:v>
                </c:pt>
                <c:pt idx="1008">
                  <c:v>125.2981969486824</c:v>
                </c:pt>
                <c:pt idx="1009">
                  <c:v>124.16088765603328</c:v>
                </c:pt>
                <c:pt idx="1010">
                  <c:v>128.15533980582526</c:v>
                </c:pt>
                <c:pt idx="1011">
                  <c:v>128.15533980582526</c:v>
                </c:pt>
                <c:pt idx="1012">
                  <c:v>128.15533980582526</c:v>
                </c:pt>
                <c:pt idx="1013">
                  <c:v>129.32038834951456</c:v>
                </c:pt>
                <c:pt idx="1014">
                  <c:v>136.58807212205272</c:v>
                </c:pt>
                <c:pt idx="1015">
                  <c:v>140.02773925104023</c:v>
                </c:pt>
                <c:pt idx="1016">
                  <c:v>142.08044382801666</c:v>
                </c:pt>
                <c:pt idx="1017">
                  <c:v>143.5506241331484</c:v>
                </c:pt>
                <c:pt idx="1018">
                  <c:v>143.5506241331484</c:v>
                </c:pt>
                <c:pt idx="1019">
                  <c:v>143.5506241331484</c:v>
                </c:pt>
                <c:pt idx="1020">
                  <c:v>140.22191400832179</c:v>
                </c:pt>
                <c:pt idx="1021">
                  <c:v>140.80443828016644</c:v>
                </c:pt>
                <c:pt idx="1022">
                  <c:v>141.58113730929264</c:v>
                </c:pt>
                <c:pt idx="1023">
                  <c:v>141.7753120665742</c:v>
                </c:pt>
                <c:pt idx="1024">
                  <c:v>145.4368932038835</c:v>
                </c:pt>
                <c:pt idx="1025">
                  <c:v>145.4368932038835</c:v>
                </c:pt>
                <c:pt idx="1026">
                  <c:v>145.4368932038835</c:v>
                </c:pt>
                <c:pt idx="1027">
                  <c:v>159.80582524271844</c:v>
                </c:pt>
                <c:pt idx="1028">
                  <c:v>162.88488210818309</c:v>
                </c:pt>
                <c:pt idx="1029">
                  <c:v>163.05131761442442</c:v>
                </c:pt>
                <c:pt idx="1030">
                  <c:v>163.16227461858531</c:v>
                </c:pt>
                <c:pt idx="1031">
                  <c:v>162.24687933425798</c:v>
                </c:pt>
                <c:pt idx="1032">
                  <c:v>162.24687933425798</c:v>
                </c:pt>
                <c:pt idx="1033">
                  <c:v>162.24687933425798</c:v>
                </c:pt>
                <c:pt idx="1034">
                  <c:v>162.24687933425798</c:v>
                </c:pt>
                <c:pt idx="1035">
                  <c:v>162.44105409153954</c:v>
                </c:pt>
                <c:pt idx="1036">
                  <c:v>157.3092926490985</c:v>
                </c:pt>
                <c:pt idx="1037">
                  <c:v>156.11650485436894</c:v>
                </c:pt>
                <c:pt idx="1038">
                  <c:v>156.50485436893206</c:v>
                </c:pt>
                <c:pt idx="1039">
                  <c:v>156.50485436893206</c:v>
                </c:pt>
                <c:pt idx="1040">
                  <c:v>156.50485436893206</c:v>
                </c:pt>
                <c:pt idx="1041">
                  <c:v>154.78502080443829</c:v>
                </c:pt>
                <c:pt idx="1042">
                  <c:v>154.64632454923719</c:v>
                </c:pt>
                <c:pt idx="1043">
                  <c:v>153.45353675450764</c:v>
                </c:pt>
                <c:pt idx="1044">
                  <c:v>154.45214979195563</c:v>
                </c:pt>
                <c:pt idx="1045">
                  <c:v>154.23023578363387</c:v>
                </c:pt>
                <c:pt idx="1046">
                  <c:v>154.23023578363387</c:v>
                </c:pt>
                <c:pt idx="1047">
                  <c:v>154.23023578363387</c:v>
                </c:pt>
                <c:pt idx="1048">
                  <c:v>155.11789181692095</c:v>
                </c:pt>
                <c:pt idx="1049">
                  <c:v>153.89736477115119</c:v>
                </c:pt>
                <c:pt idx="1050">
                  <c:v>150.79056865464634</c:v>
                </c:pt>
                <c:pt idx="1051">
                  <c:v>151.20665742024966</c:v>
                </c:pt>
                <c:pt idx="1052">
                  <c:v>148.9597780859917</c:v>
                </c:pt>
                <c:pt idx="1053">
                  <c:v>148.9597780859917</c:v>
                </c:pt>
                <c:pt idx="1054">
                  <c:v>148.9597780859917</c:v>
                </c:pt>
                <c:pt idx="1055">
                  <c:v>147.3231622746186</c:v>
                </c:pt>
                <c:pt idx="1056">
                  <c:v>147.46185852981969</c:v>
                </c:pt>
                <c:pt idx="1057">
                  <c:v>148.2385575589459</c:v>
                </c:pt>
                <c:pt idx="1058">
                  <c:v>146.40776699029126</c:v>
                </c:pt>
                <c:pt idx="1059">
                  <c:v>147.73925104022192</c:v>
                </c:pt>
                <c:pt idx="1060">
                  <c:v>147.73925104022192</c:v>
                </c:pt>
                <c:pt idx="1061">
                  <c:v>147.73925104022192</c:v>
                </c:pt>
                <c:pt idx="1062">
                  <c:v>151.56726768377254</c:v>
                </c:pt>
                <c:pt idx="1063">
                  <c:v>149.29264909847436</c:v>
                </c:pt>
                <c:pt idx="1064">
                  <c:v>150.26352288488212</c:v>
                </c:pt>
                <c:pt idx="1065">
                  <c:v>150.06934812760056</c:v>
                </c:pt>
                <c:pt idx="1066">
                  <c:v>150.70735090152567</c:v>
                </c:pt>
                <c:pt idx="1067">
                  <c:v>150.70735090152567</c:v>
                </c:pt>
                <c:pt idx="1068">
                  <c:v>150.70735090152567</c:v>
                </c:pt>
                <c:pt idx="1069">
                  <c:v>148.2385575589459</c:v>
                </c:pt>
                <c:pt idx="1070">
                  <c:v>150.81830790568657</c:v>
                </c:pt>
                <c:pt idx="1071">
                  <c:v>148.59916782246881</c:v>
                </c:pt>
                <c:pt idx="1072">
                  <c:v>147.98890429958394</c:v>
                </c:pt>
                <c:pt idx="1073">
                  <c:v>145.5755894590846</c:v>
                </c:pt>
                <c:pt idx="1074">
                  <c:v>145.5755894590846</c:v>
                </c:pt>
                <c:pt idx="1075">
                  <c:v>145.5755894590846</c:v>
                </c:pt>
                <c:pt idx="1076">
                  <c:v>145.90846047156728</c:v>
                </c:pt>
                <c:pt idx="1077">
                  <c:v>146.87933425797505</c:v>
                </c:pt>
                <c:pt idx="1078">
                  <c:v>148.90429958391124</c:v>
                </c:pt>
                <c:pt idx="1079">
                  <c:v>149.62552011095701</c:v>
                </c:pt>
                <c:pt idx="1080">
                  <c:v>147.85020804438281</c:v>
                </c:pt>
                <c:pt idx="1081">
                  <c:v>147.85020804438281</c:v>
                </c:pt>
                <c:pt idx="1082">
                  <c:v>147.85020804438281</c:v>
                </c:pt>
                <c:pt idx="1083">
                  <c:v>146.90707350901528</c:v>
                </c:pt>
                <c:pt idx="1084">
                  <c:v>147.68377253814148</c:v>
                </c:pt>
                <c:pt idx="1085">
                  <c:v>147.65603328710125</c:v>
                </c:pt>
                <c:pt idx="1086">
                  <c:v>147.29542302357839</c:v>
                </c:pt>
                <c:pt idx="1087">
                  <c:v>145.60332871012486</c:v>
                </c:pt>
                <c:pt idx="1088">
                  <c:v>145.60332871012486</c:v>
                </c:pt>
                <c:pt idx="1089">
                  <c:v>145.60332871012486</c:v>
                </c:pt>
                <c:pt idx="1090">
                  <c:v>142.60748959778087</c:v>
                </c:pt>
                <c:pt idx="1091">
                  <c:v>142.55201109570044</c:v>
                </c:pt>
                <c:pt idx="1092">
                  <c:v>142.57975034674064</c:v>
                </c:pt>
                <c:pt idx="1093">
                  <c:v>143.30097087378641</c:v>
                </c:pt>
                <c:pt idx="1094">
                  <c:v>143.30097087378641</c:v>
                </c:pt>
                <c:pt idx="1095">
                  <c:v>143.30097087378641</c:v>
                </c:pt>
                <c:pt idx="1096">
                  <c:v>143.30097087378641</c:v>
                </c:pt>
                <c:pt idx="1097">
                  <c:v>140.94313453536756</c:v>
                </c:pt>
                <c:pt idx="1098">
                  <c:v>140</c:v>
                </c:pt>
                <c:pt idx="1099">
                  <c:v>138.72399445214981</c:v>
                </c:pt>
                <c:pt idx="1100">
                  <c:v>135.2843273231623</c:v>
                </c:pt>
                <c:pt idx="1101">
                  <c:v>135.47850208044386</c:v>
                </c:pt>
                <c:pt idx="1102">
                  <c:v>135.47850208044386</c:v>
                </c:pt>
                <c:pt idx="1103">
                  <c:v>135.47850208044386</c:v>
                </c:pt>
                <c:pt idx="1104">
                  <c:v>136.56033287101249</c:v>
                </c:pt>
                <c:pt idx="1105">
                  <c:v>138.41886269070736</c:v>
                </c:pt>
                <c:pt idx="1106">
                  <c:v>138.72399445214981</c:v>
                </c:pt>
                <c:pt idx="1107">
                  <c:v>136.53259361997229</c:v>
                </c:pt>
                <c:pt idx="1108">
                  <c:v>135.17337031900138</c:v>
                </c:pt>
                <c:pt idx="1109">
                  <c:v>135.17337031900138</c:v>
                </c:pt>
                <c:pt idx="1110">
                  <c:v>135.17337031900138</c:v>
                </c:pt>
                <c:pt idx="1111">
                  <c:v>130.70735090152564</c:v>
                </c:pt>
                <c:pt idx="1112">
                  <c:v>131.872399445215</c:v>
                </c:pt>
                <c:pt idx="1113">
                  <c:v>129.0984743411928</c:v>
                </c:pt>
                <c:pt idx="1114">
                  <c:v>129.57004160887658</c:v>
                </c:pt>
                <c:pt idx="1115">
                  <c:v>130.48543689320388</c:v>
                </c:pt>
                <c:pt idx="1116">
                  <c:v>130.48543689320388</c:v>
                </c:pt>
                <c:pt idx="1117">
                  <c:v>130.48543689320388</c:v>
                </c:pt>
                <c:pt idx="1118">
                  <c:v>138.03051317614427</c:v>
                </c:pt>
                <c:pt idx="1119">
                  <c:v>132.98196948682386</c:v>
                </c:pt>
                <c:pt idx="1120">
                  <c:v>133.89736477115119</c:v>
                </c:pt>
                <c:pt idx="1121">
                  <c:v>136.4493758668516</c:v>
                </c:pt>
                <c:pt idx="1122">
                  <c:v>136.4493758668516</c:v>
                </c:pt>
                <c:pt idx="1123">
                  <c:v>136.4493758668516</c:v>
                </c:pt>
                <c:pt idx="1124">
                  <c:v>136.4493758668516</c:v>
                </c:pt>
                <c:pt idx="1125">
                  <c:v>134.45214979195563</c:v>
                </c:pt>
                <c:pt idx="1126">
                  <c:v>133.5090152565881</c:v>
                </c:pt>
                <c:pt idx="1127">
                  <c:v>134.81276005547852</c:v>
                </c:pt>
                <c:pt idx="1128">
                  <c:v>134.11927877947295</c:v>
                </c:pt>
                <c:pt idx="1129">
                  <c:v>135.72815533980585</c:v>
                </c:pt>
                <c:pt idx="1130">
                  <c:v>135.72815533980585</c:v>
                </c:pt>
                <c:pt idx="1131">
                  <c:v>135.72815533980585</c:v>
                </c:pt>
                <c:pt idx="1132">
                  <c:v>134.70180305131763</c:v>
                </c:pt>
                <c:pt idx="1133">
                  <c:v>133.17614424410542</c:v>
                </c:pt>
                <c:pt idx="1134">
                  <c:v>132.42718446601944</c:v>
                </c:pt>
                <c:pt idx="1135">
                  <c:v>131.59500693481277</c:v>
                </c:pt>
                <c:pt idx="1136">
                  <c:v>130.98474341192789</c:v>
                </c:pt>
                <c:pt idx="1137">
                  <c:v>130.98474341192789</c:v>
                </c:pt>
                <c:pt idx="1138">
                  <c:v>130.98474341192789</c:v>
                </c:pt>
                <c:pt idx="1139">
                  <c:v>123.41192787794731</c:v>
                </c:pt>
                <c:pt idx="1140">
                  <c:v>130.59639389736478</c:v>
                </c:pt>
                <c:pt idx="1141">
                  <c:v>130.18030513176143</c:v>
                </c:pt>
                <c:pt idx="1142">
                  <c:v>130.18030513176143</c:v>
                </c:pt>
                <c:pt idx="1143">
                  <c:v>129.68099861303745</c:v>
                </c:pt>
                <c:pt idx="1144">
                  <c:v>129.68099861303745</c:v>
                </c:pt>
                <c:pt idx="1145">
                  <c:v>129.68099861303745</c:v>
                </c:pt>
                <c:pt idx="1146">
                  <c:v>128.59916782246881</c:v>
                </c:pt>
                <c:pt idx="1147">
                  <c:v>128.12760055478503</c:v>
                </c:pt>
                <c:pt idx="1148">
                  <c:v>120.91539528432733</c:v>
                </c:pt>
                <c:pt idx="1149">
                  <c:v>120.91539528432733</c:v>
                </c:pt>
                <c:pt idx="1150">
                  <c:v>124.38280166435509</c:v>
                </c:pt>
                <c:pt idx="1151">
                  <c:v>124.38280166435509</c:v>
                </c:pt>
                <c:pt idx="1152">
                  <c:v>124.38280166435509</c:v>
                </c:pt>
                <c:pt idx="1153">
                  <c:v>126.3245492371706</c:v>
                </c:pt>
                <c:pt idx="1154">
                  <c:v>126.40776699029128</c:v>
                </c:pt>
                <c:pt idx="1155">
                  <c:v>132.42718446601944</c:v>
                </c:pt>
                <c:pt idx="1156">
                  <c:v>130.59639389736478</c:v>
                </c:pt>
                <c:pt idx="1157">
                  <c:v>132.7600554785021</c:v>
                </c:pt>
                <c:pt idx="1158">
                  <c:v>132.7600554785021</c:v>
                </c:pt>
                <c:pt idx="1159">
                  <c:v>132.7600554785021</c:v>
                </c:pt>
                <c:pt idx="1160">
                  <c:v>133.95284327323162</c:v>
                </c:pt>
                <c:pt idx="1161">
                  <c:v>132.6768377253814</c:v>
                </c:pt>
                <c:pt idx="1162">
                  <c:v>131.42857142857144</c:v>
                </c:pt>
                <c:pt idx="1163">
                  <c:v>130.95700416088766</c:v>
                </c:pt>
                <c:pt idx="1164">
                  <c:v>128.26629680998613</c:v>
                </c:pt>
                <c:pt idx="1165">
                  <c:v>128.26629680998613</c:v>
                </c:pt>
                <c:pt idx="1166">
                  <c:v>128.26629680998613</c:v>
                </c:pt>
                <c:pt idx="1167">
                  <c:v>134.17475728155338</c:v>
                </c:pt>
                <c:pt idx="1168">
                  <c:v>132.45492371705964</c:v>
                </c:pt>
                <c:pt idx="1169">
                  <c:v>132.45492371705964</c:v>
                </c:pt>
                <c:pt idx="1170">
                  <c:v>139.05686546463247</c:v>
                </c:pt>
                <c:pt idx="1171">
                  <c:v>136.78224687933428</c:v>
                </c:pt>
                <c:pt idx="1172">
                  <c:v>136.78224687933428</c:v>
                </c:pt>
                <c:pt idx="1173">
                  <c:v>136.78224687933428</c:v>
                </c:pt>
                <c:pt idx="1174">
                  <c:v>132.31622746185855</c:v>
                </c:pt>
                <c:pt idx="1175">
                  <c:v>135.53398058252429</c:v>
                </c:pt>
                <c:pt idx="1176">
                  <c:v>133.34257975034674</c:v>
                </c:pt>
                <c:pt idx="1177">
                  <c:v>131.622746185853</c:v>
                </c:pt>
                <c:pt idx="1178">
                  <c:v>129.0984743411928</c:v>
                </c:pt>
                <c:pt idx="1179">
                  <c:v>129.0984743411928</c:v>
                </c:pt>
                <c:pt idx="1180">
                  <c:v>129.0984743411928</c:v>
                </c:pt>
                <c:pt idx="1181">
                  <c:v>130.45769764216368</c:v>
                </c:pt>
                <c:pt idx="1182">
                  <c:v>130.45769764216368</c:v>
                </c:pt>
                <c:pt idx="1183">
                  <c:v>131.45631067961165</c:v>
                </c:pt>
                <c:pt idx="1184">
                  <c:v>133.14840499306518</c:v>
                </c:pt>
                <c:pt idx="1185">
                  <c:v>135.4507628294036</c:v>
                </c:pt>
                <c:pt idx="1186">
                  <c:v>135.4507628294036</c:v>
                </c:pt>
                <c:pt idx="1187">
                  <c:v>135.4507628294036</c:v>
                </c:pt>
                <c:pt idx="1188">
                  <c:v>133.45353675450764</c:v>
                </c:pt>
                <c:pt idx="1189">
                  <c:v>130.62413314840501</c:v>
                </c:pt>
                <c:pt idx="1190">
                  <c:v>131.45631067961165</c:v>
                </c:pt>
                <c:pt idx="1191">
                  <c:v>129.40360610263525</c:v>
                </c:pt>
                <c:pt idx="1192">
                  <c:v>133.45353675450764</c:v>
                </c:pt>
                <c:pt idx="1193">
                  <c:v>133.45353675450764</c:v>
                </c:pt>
                <c:pt idx="1194">
                  <c:v>133.45353675450764</c:v>
                </c:pt>
                <c:pt idx="1195">
                  <c:v>135.89459084604718</c:v>
                </c:pt>
                <c:pt idx="1196">
                  <c:v>135.14563106796118</c:v>
                </c:pt>
                <c:pt idx="1197">
                  <c:v>131.06796116504856</c:v>
                </c:pt>
                <c:pt idx="1198">
                  <c:v>133.06518723994455</c:v>
                </c:pt>
                <c:pt idx="1199">
                  <c:v>130.67961165048544</c:v>
                </c:pt>
                <c:pt idx="1200">
                  <c:v>130.67961165048544</c:v>
                </c:pt>
                <c:pt idx="1201">
                  <c:v>130.67961165048544</c:v>
                </c:pt>
                <c:pt idx="1202">
                  <c:v>133.75866851595009</c:v>
                </c:pt>
                <c:pt idx="1203">
                  <c:v>130.04160887656036</c:v>
                </c:pt>
                <c:pt idx="1204">
                  <c:v>132.48266296809987</c:v>
                </c:pt>
                <c:pt idx="1205">
                  <c:v>125.9361997226075</c:v>
                </c:pt>
                <c:pt idx="1206">
                  <c:v>126.74063800277393</c:v>
                </c:pt>
                <c:pt idx="1207">
                  <c:v>126.74063800277393</c:v>
                </c:pt>
                <c:pt idx="1208">
                  <c:v>126.74063800277393</c:v>
                </c:pt>
                <c:pt idx="1209">
                  <c:v>122.91262135922332</c:v>
                </c:pt>
                <c:pt idx="1210">
                  <c:v>117.66990291262138</c:v>
                </c:pt>
                <c:pt idx="1211">
                  <c:v>123.43966712898752</c:v>
                </c:pt>
                <c:pt idx="1212">
                  <c:v>124.85436893203882</c:v>
                </c:pt>
                <c:pt idx="1213">
                  <c:v>122.05270457697644</c:v>
                </c:pt>
                <c:pt idx="1214">
                  <c:v>122.05270457697644</c:v>
                </c:pt>
                <c:pt idx="1215">
                  <c:v>122.05270457697644</c:v>
                </c:pt>
                <c:pt idx="1216">
                  <c:v>124.74341192787794</c:v>
                </c:pt>
                <c:pt idx="1217">
                  <c:v>127.29542302357837</c:v>
                </c:pt>
                <c:pt idx="1218">
                  <c:v>127.43411927877948</c:v>
                </c:pt>
                <c:pt idx="1219">
                  <c:v>123.52288488210819</c:v>
                </c:pt>
                <c:pt idx="1220">
                  <c:v>124.49375866851598</c:v>
                </c:pt>
                <c:pt idx="1221">
                  <c:v>124.49375866851598</c:v>
                </c:pt>
                <c:pt idx="1222">
                  <c:v>124.49375866851598</c:v>
                </c:pt>
                <c:pt idx="1223">
                  <c:v>122.69070735090153</c:v>
                </c:pt>
                <c:pt idx="1224">
                  <c:v>124.27184466019419</c:v>
                </c:pt>
                <c:pt idx="1225">
                  <c:v>129.12621359223303</c:v>
                </c:pt>
                <c:pt idx="1226">
                  <c:v>130.45769764216368</c:v>
                </c:pt>
                <c:pt idx="1227">
                  <c:v>130.45769764216368</c:v>
                </c:pt>
                <c:pt idx="1228">
                  <c:v>130.45769764216368</c:v>
                </c:pt>
                <c:pt idx="1229">
                  <c:v>130.45769764216368</c:v>
                </c:pt>
                <c:pt idx="1230">
                  <c:v>133.5090152565881</c:v>
                </c:pt>
                <c:pt idx="1231">
                  <c:v>135.25658807212207</c:v>
                </c:pt>
                <c:pt idx="1232">
                  <c:v>133.42579750346741</c:v>
                </c:pt>
                <c:pt idx="1233">
                  <c:v>128.84882108183081</c:v>
                </c:pt>
                <c:pt idx="1234">
                  <c:v>131.17891816920942</c:v>
                </c:pt>
                <c:pt idx="1235">
                  <c:v>131.17891816920942</c:v>
                </c:pt>
                <c:pt idx="1236">
                  <c:v>131.17891816920942</c:v>
                </c:pt>
                <c:pt idx="1237">
                  <c:v>127.26768377253816</c:v>
                </c:pt>
                <c:pt idx="1238">
                  <c:v>126.76837725381415</c:v>
                </c:pt>
                <c:pt idx="1239">
                  <c:v>127.3509015256588</c:v>
                </c:pt>
                <c:pt idx="1240">
                  <c:v>130.124826629681</c:v>
                </c:pt>
                <c:pt idx="1241">
                  <c:v>129.43134535367545</c:v>
                </c:pt>
                <c:pt idx="1242">
                  <c:v>129.43134535367545</c:v>
                </c:pt>
                <c:pt idx="1243">
                  <c:v>129.43134535367545</c:v>
                </c:pt>
                <c:pt idx="1244">
                  <c:v>130.92926490984743</c:v>
                </c:pt>
                <c:pt idx="1245">
                  <c:v>128.01664355062414</c:v>
                </c:pt>
                <c:pt idx="1246">
                  <c:v>127.87794729542303</c:v>
                </c:pt>
                <c:pt idx="1247">
                  <c:v>125.99167822468796</c:v>
                </c:pt>
                <c:pt idx="1248">
                  <c:v>126.3245492371706</c:v>
                </c:pt>
                <c:pt idx="1249">
                  <c:v>126.3245492371706</c:v>
                </c:pt>
                <c:pt idx="1250">
                  <c:v>126.3245492371706</c:v>
                </c:pt>
                <c:pt idx="1251">
                  <c:v>126.40776699029128</c:v>
                </c:pt>
                <c:pt idx="1252">
                  <c:v>124.63245492371706</c:v>
                </c:pt>
                <c:pt idx="1253">
                  <c:v>124.63245492371706</c:v>
                </c:pt>
                <c:pt idx="1254">
                  <c:v>128.43273231622746</c:v>
                </c:pt>
                <c:pt idx="1255">
                  <c:v>128.84882108183081</c:v>
                </c:pt>
                <c:pt idx="1256">
                  <c:v>128.84882108183081</c:v>
                </c:pt>
                <c:pt idx="1257">
                  <c:v>128.84882108183081</c:v>
                </c:pt>
                <c:pt idx="1258">
                  <c:v>131.09570041608879</c:v>
                </c:pt>
                <c:pt idx="1259">
                  <c:v>132.37170596393898</c:v>
                </c:pt>
                <c:pt idx="1260">
                  <c:v>133.03744798890432</c:v>
                </c:pt>
                <c:pt idx="1261">
                  <c:v>134.34119278779474</c:v>
                </c:pt>
                <c:pt idx="1262">
                  <c:v>134.34119278779474</c:v>
                </c:pt>
                <c:pt idx="1263">
                  <c:v>134.34119278779474</c:v>
                </c:pt>
                <c:pt idx="1264">
                  <c:v>134.34119278779474</c:v>
                </c:pt>
                <c:pt idx="1265">
                  <c:v>133.81414701803052</c:v>
                </c:pt>
                <c:pt idx="1266">
                  <c:v>135.22884882108184</c:v>
                </c:pt>
                <c:pt idx="1267">
                  <c:v>134.72954230235786</c:v>
                </c:pt>
                <c:pt idx="1268">
                  <c:v>134.11927877947295</c:v>
                </c:pt>
                <c:pt idx="1269">
                  <c:v>132.20527045769762</c:v>
                </c:pt>
                <c:pt idx="1270">
                  <c:v>132.20527045769762</c:v>
                </c:pt>
                <c:pt idx="1271">
                  <c:v>132.20527045769762</c:v>
                </c:pt>
                <c:pt idx="1272">
                  <c:v>130.31900138696255</c:v>
                </c:pt>
                <c:pt idx="1273">
                  <c:v>130.51317614424411</c:v>
                </c:pt>
                <c:pt idx="1274">
                  <c:v>132.09431345353676</c:v>
                </c:pt>
                <c:pt idx="1275">
                  <c:v>128.9875173370319</c:v>
                </c:pt>
                <c:pt idx="1276">
                  <c:v>130.65187239944521</c:v>
                </c:pt>
                <c:pt idx="1277">
                  <c:v>130.65187239944521</c:v>
                </c:pt>
                <c:pt idx="1278">
                  <c:v>130.65187239944521</c:v>
                </c:pt>
                <c:pt idx="1279">
                  <c:v>130.8460471567268</c:v>
                </c:pt>
                <c:pt idx="1280">
                  <c:v>131.65048543689321</c:v>
                </c:pt>
                <c:pt idx="1281">
                  <c:v>133.48127600554784</c:v>
                </c:pt>
                <c:pt idx="1282">
                  <c:v>134.3966712898752</c:v>
                </c:pt>
                <c:pt idx="1283">
                  <c:v>135.50624133148406</c:v>
                </c:pt>
                <c:pt idx="1284">
                  <c:v>135.50624133148406</c:v>
                </c:pt>
                <c:pt idx="1285">
                  <c:v>135.50624133148406</c:v>
                </c:pt>
                <c:pt idx="1286">
                  <c:v>139.0846047156727</c:v>
                </c:pt>
                <c:pt idx="1287">
                  <c:v>138.58529819694868</c:v>
                </c:pt>
                <c:pt idx="1288">
                  <c:v>137.86407766990294</c:v>
                </c:pt>
                <c:pt idx="1289">
                  <c:v>136.75450762829405</c:v>
                </c:pt>
                <c:pt idx="1290">
                  <c:v>137.66990291262138</c:v>
                </c:pt>
                <c:pt idx="1291">
                  <c:v>137.66990291262138</c:v>
                </c:pt>
                <c:pt idx="1292">
                  <c:v>137.66990291262138</c:v>
                </c:pt>
                <c:pt idx="1293">
                  <c:v>137.25381414701803</c:v>
                </c:pt>
                <c:pt idx="1294">
                  <c:v>135.39528432732317</c:v>
                </c:pt>
                <c:pt idx="1295">
                  <c:v>133.42579750346741</c:v>
                </c:pt>
                <c:pt idx="1296">
                  <c:v>132.28848821081831</c:v>
                </c:pt>
                <c:pt idx="1297">
                  <c:v>132.26074895977808</c:v>
                </c:pt>
                <c:pt idx="1298">
                  <c:v>132.26074895977808</c:v>
                </c:pt>
                <c:pt idx="1299">
                  <c:v>132.26074895977808</c:v>
                </c:pt>
                <c:pt idx="1300">
                  <c:v>144.6879334257975</c:v>
                </c:pt>
                <c:pt idx="1301">
                  <c:v>145.4368932038835</c:v>
                </c:pt>
                <c:pt idx="1302">
                  <c:v>144.74341192787796</c:v>
                </c:pt>
                <c:pt idx="1303">
                  <c:v>145.10402219140087</c:v>
                </c:pt>
                <c:pt idx="1304">
                  <c:v>143.99445214979195</c:v>
                </c:pt>
                <c:pt idx="1305">
                  <c:v>143.99445214979195</c:v>
                </c:pt>
                <c:pt idx="1306">
                  <c:v>143.99445214979195</c:v>
                </c:pt>
                <c:pt idx="1307">
                  <c:v>144.18862690707351</c:v>
                </c:pt>
                <c:pt idx="1308">
                  <c:v>143.46740638002774</c:v>
                </c:pt>
                <c:pt idx="1309">
                  <c:v>143.5506241331484</c:v>
                </c:pt>
                <c:pt idx="1310">
                  <c:v>144.27184466019418</c:v>
                </c:pt>
                <c:pt idx="1311">
                  <c:v>144.85436893203885</c:v>
                </c:pt>
                <c:pt idx="1312">
                  <c:v>144.85436893203885</c:v>
                </c:pt>
                <c:pt idx="1313">
                  <c:v>144.85436893203885</c:v>
                </c:pt>
                <c:pt idx="1314">
                  <c:v>145.21497919556174</c:v>
                </c:pt>
                <c:pt idx="1315">
                  <c:v>142.02496532593622</c:v>
                </c:pt>
                <c:pt idx="1316">
                  <c:v>144.6879334257975</c:v>
                </c:pt>
                <c:pt idx="1317">
                  <c:v>143.85575589459086</c:v>
                </c:pt>
                <c:pt idx="1318">
                  <c:v>142.49653259361997</c:v>
                </c:pt>
                <c:pt idx="1319">
                  <c:v>142.49653259361997</c:v>
                </c:pt>
                <c:pt idx="1320">
                  <c:v>142.49653259361997</c:v>
                </c:pt>
                <c:pt idx="1321">
                  <c:v>140.77669902912621</c:v>
                </c:pt>
                <c:pt idx="1322">
                  <c:v>137.22607489597783</c:v>
                </c:pt>
                <c:pt idx="1323">
                  <c:v>137.22607489597783</c:v>
                </c:pt>
                <c:pt idx="1324">
                  <c:v>139.25104022191402</c:v>
                </c:pt>
                <c:pt idx="1325">
                  <c:v>137.89181692094314</c:v>
                </c:pt>
                <c:pt idx="1326">
                  <c:v>137.89181692094314</c:v>
                </c:pt>
                <c:pt idx="1327">
                  <c:v>137.89181692094314</c:v>
                </c:pt>
                <c:pt idx="1328">
                  <c:v>136.61581137309292</c:v>
                </c:pt>
                <c:pt idx="1329">
                  <c:v>135.25658807212207</c:v>
                </c:pt>
                <c:pt idx="1330">
                  <c:v>137.78085991678225</c:v>
                </c:pt>
                <c:pt idx="1331">
                  <c:v>140.66574202496534</c:v>
                </c:pt>
                <c:pt idx="1332">
                  <c:v>145.63106796116506</c:v>
                </c:pt>
                <c:pt idx="1333">
                  <c:v>145.63106796116506</c:v>
                </c:pt>
                <c:pt idx="1334">
                  <c:v>145.63106796116506</c:v>
                </c:pt>
                <c:pt idx="1335">
                  <c:v>144.77115117891816</c:v>
                </c:pt>
                <c:pt idx="1336">
                  <c:v>148.29403606102636</c:v>
                </c:pt>
                <c:pt idx="1337">
                  <c:v>146.82385575589461</c:v>
                </c:pt>
                <c:pt idx="1338">
                  <c:v>147.62829403606105</c:v>
                </c:pt>
                <c:pt idx="1339">
                  <c:v>152.87101248266296</c:v>
                </c:pt>
                <c:pt idx="1340">
                  <c:v>152.87101248266296</c:v>
                </c:pt>
                <c:pt idx="1341">
                  <c:v>152.87101248266296</c:v>
                </c:pt>
                <c:pt idx="1342">
                  <c:v>154.06380027739252</c:v>
                </c:pt>
                <c:pt idx="1343">
                  <c:v>152.6490984743412</c:v>
                </c:pt>
                <c:pt idx="1344">
                  <c:v>152.06657420249655</c:v>
                </c:pt>
                <c:pt idx="1345">
                  <c:v>151.23439667128991</c:v>
                </c:pt>
                <c:pt idx="1346">
                  <c:v>152.70457697642163</c:v>
                </c:pt>
                <c:pt idx="1347">
                  <c:v>152.70457697642163</c:v>
                </c:pt>
                <c:pt idx="1348">
                  <c:v>152.70457697642163</c:v>
                </c:pt>
                <c:pt idx="1349">
                  <c:v>155.00693481276008</c:v>
                </c:pt>
                <c:pt idx="1350">
                  <c:v>158.1969486823856</c:v>
                </c:pt>
                <c:pt idx="1351">
                  <c:v>156.80998613037448</c:v>
                </c:pt>
                <c:pt idx="1352">
                  <c:v>157.64216366158115</c:v>
                </c:pt>
                <c:pt idx="1353">
                  <c:v>158.33564493758669</c:v>
                </c:pt>
                <c:pt idx="1354">
                  <c:v>158.33564493758669</c:v>
                </c:pt>
                <c:pt idx="1355">
                  <c:v>158.33564493758669</c:v>
                </c:pt>
                <c:pt idx="1356">
                  <c:v>153.12066574202498</c:v>
                </c:pt>
                <c:pt idx="1357">
                  <c:v>154.45214979195563</c:v>
                </c:pt>
                <c:pt idx="1358">
                  <c:v>153.45353675450764</c:v>
                </c:pt>
                <c:pt idx="1359">
                  <c:v>153.78640776699029</c:v>
                </c:pt>
                <c:pt idx="1360">
                  <c:v>153.78640776699029</c:v>
                </c:pt>
                <c:pt idx="1361">
                  <c:v>153.78640776699029</c:v>
                </c:pt>
                <c:pt idx="1362">
                  <c:v>153.78640776699029</c:v>
                </c:pt>
                <c:pt idx="1363">
                  <c:v>151.872399445215</c:v>
                </c:pt>
                <c:pt idx="1364">
                  <c:v>153.14840499306521</c:v>
                </c:pt>
                <c:pt idx="1365">
                  <c:v>151.04022191400836</c:v>
                </c:pt>
                <c:pt idx="1366">
                  <c:v>150.67961165048544</c:v>
                </c:pt>
                <c:pt idx="1367">
                  <c:v>148.40499306518723</c:v>
                </c:pt>
                <c:pt idx="1368">
                  <c:v>148.40499306518723</c:v>
                </c:pt>
                <c:pt idx="1369">
                  <c:v>148.40499306518723</c:v>
                </c:pt>
                <c:pt idx="1370">
                  <c:v>152.03883495145632</c:v>
                </c:pt>
                <c:pt idx="1371">
                  <c:v>151.56726768377254</c:v>
                </c:pt>
                <c:pt idx="1372">
                  <c:v>149.57004160887658</c:v>
                </c:pt>
                <c:pt idx="1373">
                  <c:v>152.28848821081831</c:v>
                </c:pt>
                <c:pt idx="1374">
                  <c:v>151.65048543689321</c:v>
                </c:pt>
                <c:pt idx="1375">
                  <c:v>151.65048543689321</c:v>
                </c:pt>
                <c:pt idx="1376">
                  <c:v>151.65048543689321</c:v>
                </c:pt>
                <c:pt idx="1377">
                  <c:v>152.5104022191401</c:v>
                </c:pt>
                <c:pt idx="1378">
                  <c:v>150.7350901525659</c:v>
                </c:pt>
                <c:pt idx="1379">
                  <c:v>148.76560332871014</c:v>
                </c:pt>
                <c:pt idx="1380">
                  <c:v>147.93342579750347</c:v>
                </c:pt>
                <c:pt idx="1381">
                  <c:v>146.40776699029126</c:v>
                </c:pt>
                <c:pt idx="1382">
                  <c:v>146.40776699029126</c:v>
                </c:pt>
                <c:pt idx="1383">
                  <c:v>146.40776699029126</c:v>
                </c:pt>
                <c:pt idx="1384">
                  <c:v>145.02080443828018</c:v>
                </c:pt>
                <c:pt idx="1385">
                  <c:v>145.10402219140087</c:v>
                </c:pt>
                <c:pt idx="1386">
                  <c:v>147.93342579750347</c:v>
                </c:pt>
                <c:pt idx="1387">
                  <c:v>143.19001386962555</c:v>
                </c:pt>
                <c:pt idx="1388">
                  <c:v>146.26907073509014</c:v>
                </c:pt>
                <c:pt idx="1389">
                  <c:v>146.26907073509014</c:v>
                </c:pt>
                <c:pt idx="1390">
                  <c:v>146.26907073509014</c:v>
                </c:pt>
                <c:pt idx="1391">
                  <c:v>147.15672676837727</c:v>
                </c:pt>
                <c:pt idx="1392">
                  <c:v>142.52427184466021</c:v>
                </c:pt>
                <c:pt idx="1393">
                  <c:v>142.71844660194176</c:v>
                </c:pt>
                <c:pt idx="1394">
                  <c:v>141.747572815534</c:v>
                </c:pt>
                <c:pt idx="1395">
                  <c:v>142.94036061026355</c:v>
                </c:pt>
                <c:pt idx="1396">
                  <c:v>142.94036061026355</c:v>
                </c:pt>
                <c:pt idx="1397">
                  <c:v>142.94036061026355</c:v>
                </c:pt>
                <c:pt idx="1398">
                  <c:v>144.85436893203885</c:v>
                </c:pt>
                <c:pt idx="1399">
                  <c:v>148.71012482662968</c:v>
                </c:pt>
                <c:pt idx="1400">
                  <c:v>148.51595006934815</c:v>
                </c:pt>
                <c:pt idx="1401">
                  <c:v>145.35367545076284</c:v>
                </c:pt>
                <c:pt idx="1402">
                  <c:v>143.85575589459086</c:v>
                </c:pt>
                <c:pt idx="1403">
                  <c:v>143.85575589459086</c:v>
                </c:pt>
                <c:pt idx="1404">
                  <c:v>143.85575589459086</c:v>
                </c:pt>
                <c:pt idx="1405">
                  <c:v>146.24133148404994</c:v>
                </c:pt>
                <c:pt idx="1406">
                  <c:v>141.747572815534</c:v>
                </c:pt>
                <c:pt idx="1407">
                  <c:v>142.21914008321775</c:v>
                </c:pt>
                <c:pt idx="1408">
                  <c:v>137.44798890429959</c:v>
                </c:pt>
                <c:pt idx="1409">
                  <c:v>135.33980582524271</c:v>
                </c:pt>
                <c:pt idx="1410">
                  <c:v>135.33980582524271</c:v>
                </c:pt>
                <c:pt idx="1411">
                  <c:v>135.33980582524271</c:v>
                </c:pt>
                <c:pt idx="1412">
                  <c:v>139.75034674063801</c:v>
                </c:pt>
                <c:pt idx="1413">
                  <c:v>138.66851595006938</c:v>
                </c:pt>
                <c:pt idx="1414">
                  <c:v>138.00277392510404</c:v>
                </c:pt>
                <c:pt idx="1415">
                  <c:v>135.70041608876562</c:v>
                </c:pt>
                <c:pt idx="1416">
                  <c:v>144.46601941747574</c:v>
                </c:pt>
                <c:pt idx="1417">
                  <c:v>144.46601941747574</c:v>
                </c:pt>
                <c:pt idx="1418">
                  <c:v>144.46601941747574</c:v>
                </c:pt>
                <c:pt idx="1419">
                  <c:v>144.46601941747574</c:v>
                </c:pt>
                <c:pt idx="1420">
                  <c:v>137.58668515950069</c:v>
                </c:pt>
                <c:pt idx="1421">
                  <c:v>141.99722607489599</c:v>
                </c:pt>
                <c:pt idx="1422">
                  <c:v>145.5755894590846</c:v>
                </c:pt>
                <c:pt idx="1423">
                  <c:v>136.92094313453538</c:v>
                </c:pt>
                <c:pt idx="1424">
                  <c:v>136.92094313453538</c:v>
                </c:pt>
                <c:pt idx="1425">
                  <c:v>136.92094313453538</c:v>
                </c:pt>
                <c:pt idx="1426">
                  <c:v>140.998613037448</c:v>
                </c:pt>
                <c:pt idx="1427">
                  <c:v>143.02357836338419</c:v>
                </c:pt>
                <c:pt idx="1428">
                  <c:v>142.99583911234396</c:v>
                </c:pt>
                <c:pt idx="1429">
                  <c:v>140.998613037448</c:v>
                </c:pt>
                <c:pt idx="1430">
                  <c:v>141.94174757281556</c:v>
                </c:pt>
                <c:pt idx="1431">
                  <c:v>141.94174757281556</c:v>
                </c:pt>
                <c:pt idx="1432">
                  <c:v>141.94174757281556</c:v>
                </c:pt>
                <c:pt idx="1433">
                  <c:v>141.13730929264912</c:v>
                </c:pt>
                <c:pt idx="1434">
                  <c:v>143.85575589459086</c:v>
                </c:pt>
                <c:pt idx="1435">
                  <c:v>143.6338418862691</c:v>
                </c:pt>
                <c:pt idx="1436">
                  <c:v>142.91262135922332</c:v>
                </c:pt>
                <c:pt idx="1437">
                  <c:v>144.77115117891816</c:v>
                </c:pt>
                <c:pt idx="1438">
                  <c:v>144.77115117891816</c:v>
                </c:pt>
                <c:pt idx="1439">
                  <c:v>144.77115117891816</c:v>
                </c:pt>
                <c:pt idx="1440">
                  <c:v>140.748959778086</c:v>
                </c:pt>
                <c:pt idx="1441">
                  <c:v>142.35783633841888</c:v>
                </c:pt>
                <c:pt idx="1442">
                  <c:v>140.66574202496534</c:v>
                </c:pt>
                <c:pt idx="1443">
                  <c:v>138.00277392510404</c:v>
                </c:pt>
                <c:pt idx="1444">
                  <c:v>135.86685159500692</c:v>
                </c:pt>
                <c:pt idx="1445">
                  <c:v>135.86685159500692</c:v>
                </c:pt>
                <c:pt idx="1446">
                  <c:v>135.86685159500692</c:v>
                </c:pt>
                <c:pt idx="1447">
                  <c:v>132.70457697642166</c:v>
                </c:pt>
                <c:pt idx="1448">
                  <c:v>136.72676837725382</c:v>
                </c:pt>
                <c:pt idx="1449">
                  <c:v>138.44660194174759</c:v>
                </c:pt>
                <c:pt idx="1450">
                  <c:v>136.22746185852984</c:v>
                </c:pt>
                <c:pt idx="1451">
                  <c:v>132.39944521497918</c:v>
                </c:pt>
                <c:pt idx="1452">
                  <c:v>132.39944521497918</c:v>
                </c:pt>
                <c:pt idx="1453">
                  <c:v>132.39944521497918</c:v>
                </c:pt>
                <c:pt idx="1454">
                  <c:v>127.04576976421637</c:v>
                </c:pt>
                <c:pt idx="1455">
                  <c:v>127.43411927877948</c:v>
                </c:pt>
                <c:pt idx="1456">
                  <c:v>128.48821081830792</c:v>
                </c:pt>
                <c:pt idx="1457">
                  <c:v>126.38002773925106</c:v>
                </c:pt>
                <c:pt idx="1458">
                  <c:v>126.38002773925106</c:v>
                </c:pt>
                <c:pt idx="1459">
                  <c:v>126.38002773925106</c:v>
                </c:pt>
                <c:pt idx="1460">
                  <c:v>126.38002773925106</c:v>
                </c:pt>
                <c:pt idx="1461">
                  <c:v>127.37864077669904</c:v>
                </c:pt>
                <c:pt idx="1462">
                  <c:v>125.88072122052706</c:v>
                </c:pt>
                <c:pt idx="1463">
                  <c:v>123.32871012482664</c:v>
                </c:pt>
                <c:pt idx="1464">
                  <c:v>124.35506241331484</c:v>
                </c:pt>
                <c:pt idx="1465">
                  <c:v>121.91400832177533</c:v>
                </c:pt>
                <c:pt idx="1466">
                  <c:v>121.91400832177533</c:v>
                </c:pt>
                <c:pt idx="1467">
                  <c:v>121.91400832177533</c:v>
                </c:pt>
                <c:pt idx="1468">
                  <c:v>118.5852981969487</c:v>
                </c:pt>
                <c:pt idx="1469">
                  <c:v>125.38141470180307</c:v>
                </c:pt>
                <c:pt idx="1470">
                  <c:v>124.57697642163662</c:v>
                </c:pt>
                <c:pt idx="1471">
                  <c:v>123.49514563106798</c:v>
                </c:pt>
                <c:pt idx="1472">
                  <c:v>128.01664355062414</c:v>
                </c:pt>
                <c:pt idx="1473">
                  <c:v>128.01664355062414</c:v>
                </c:pt>
                <c:pt idx="1474">
                  <c:v>128.01664355062414</c:v>
                </c:pt>
                <c:pt idx="1475">
                  <c:v>132.17753120665742</c:v>
                </c:pt>
                <c:pt idx="1476">
                  <c:v>133.5367545076283</c:v>
                </c:pt>
                <c:pt idx="1477">
                  <c:v>135.33980582524271</c:v>
                </c:pt>
                <c:pt idx="1478">
                  <c:v>138.64077669902912</c:v>
                </c:pt>
                <c:pt idx="1479">
                  <c:v>138.91816920943134</c:v>
                </c:pt>
                <c:pt idx="1480">
                  <c:v>138.91816920943134</c:v>
                </c:pt>
                <c:pt idx="1481">
                  <c:v>138.91816920943134</c:v>
                </c:pt>
                <c:pt idx="1482">
                  <c:v>125.65880721220528</c:v>
                </c:pt>
                <c:pt idx="1483">
                  <c:v>126.24133148404995</c:v>
                </c:pt>
                <c:pt idx="1484">
                  <c:v>127.76699029126215</c:v>
                </c:pt>
                <c:pt idx="1485">
                  <c:v>126.90707350901526</c:v>
                </c:pt>
                <c:pt idx="1486">
                  <c:v>124.32732316227464</c:v>
                </c:pt>
                <c:pt idx="1487">
                  <c:v>124.32732316227464</c:v>
                </c:pt>
                <c:pt idx="1488">
                  <c:v>124.32732316227464</c:v>
                </c:pt>
                <c:pt idx="1489">
                  <c:v>123.38418862690708</c:v>
                </c:pt>
                <c:pt idx="1490">
                  <c:v>123.13453536754508</c:v>
                </c:pt>
                <c:pt idx="1491">
                  <c:v>119.66712898751734</c:v>
                </c:pt>
                <c:pt idx="1492">
                  <c:v>119.94452149791957</c:v>
                </c:pt>
                <c:pt idx="1493">
                  <c:v>119.94452149791957</c:v>
                </c:pt>
                <c:pt idx="1494">
                  <c:v>119.94452149791957</c:v>
                </c:pt>
                <c:pt idx="1495">
                  <c:v>119.94452149791957</c:v>
                </c:pt>
                <c:pt idx="1496">
                  <c:v>120.41608876560332</c:v>
                </c:pt>
                <c:pt idx="1497">
                  <c:v>117.89181692094314</c:v>
                </c:pt>
                <c:pt idx="1498">
                  <c:v>120.998613037448</c:v>
                </c:pt>
                <c:pt idx="1499">
                  <c:v>124.10540915395285</c:v>
                </c:pt>
                <c:pt idx="1500">
                  <c:v>124.10540915395285</c:v>
                </c:pt>
                <c:pt idx="1501">
                  <c:v>124.10540915395285</c:v>
                </c:pt>
                <c:pt idx="1502">
                  <c:v>124.10540915395285</c:v>
                </c:pt>
                <c:pt idx="1503">
                  <c:v>123.24549237170596</c:v>
                </c:pt>
                <c:pt idx="1504">
                  <c:v>125.54785020804439</c:v>
                </c:pt>
                <c:pt idx="1505">
                  <c:v>129.95839112343967</c:v>
                </c:pt>
                <c:pt idx="1506">
                  <c:v>128.04438280166434</c:v>
                </c:pt>
                <c:pt idx="1507">
                  <c:v>128.04438280166434</c:v>
                </c:pt>
                <c:pt idx="1508">
                  <c:v>128.04438280166434</c:v>
                </c:pt>
                <c:pt idx="1509">
                  <c:v>128.04438280166434</c:v>
                </c:pt>
                <c:pt idx="1510">
                  <c:v>128.2108183079057</c:v>
                </c:pt>
                <c:pt idx="1511">
                  <c:v>127.90568654646326</c:v>
                </c:pt>
                <c:pt idx="1512">
                  <c:v>127.82246879334258</c:v>
                </c:pt>
                <c:pt idx="1513">
                  <c:v>129.54230235783635</c:v>
                </c:pt>
                <c:pt idx="1514">
                  <c:v>129.54230235783635</c:v>
                </c:pt>
                <c:pt idx="1515">
                  <c:v>129.54230235783635</c:v>
                </c:pt>
                <c:pt idx="1516">
                  <c:v>129.54230235783635</c:v>
                </c:pt>
                <c:pt idx="1517">
                  <c:v>129.70873786407768</c:v>
                </c:pt>
                <c:pt idx="1518">
                  <c:v>131.92787794729543</c:v>
                </c:pt>
                <c:pt idx="1519">
                  <c:v>130.48543689320388</c:v>
                </c:pt>
                <c:pt idx="1520">
                  <c:v>128.32177531206659</c:v>
                </c:pt>
                <c:pt idx="1521">
                  <c:v>123.60610263522886</c:v>
                </c:pt>
                <c:pt idx="1522">
                  <c:v>123.60610263522886</c:v>
                </c:pt>
                <c:pt idx="1523">
                  <c:v>123.60610263522886</c:v>
                </c:pt>
                <c:pt idx="1524">
                  <c:v>120</c:v>
                </c:pt>
                <c:pt idx="1525">
                  <c:v>120.22191400832179</c:v>
                </c:pt>
                <c:pt idx="1526">
                  <c:v>120.19417475728156</c:v>
                </c:pt>
                <c:pt idx="1527">
                  <c:v>121.10957004160888</c:v>
                </c:pt>
                <c:pt idx="1528">
                  <c:v>120.24965325936201</c:v>
                </c:pt>
                <c:pt idx="1529">
                  <c:v>120.24965325936201</c:v>
                </c:pt>
                <c:pt idx="1530">
                  <c:v>120.24965325936201</c:v>
                </c:pt>
                <c:pt idx="1531">
                  <c:v>119.50069348127602</c:v>
                </c:pt>
                <c:pt idx="1532">
                  <c:v>120.52704576976423</c:v>
                </c:pt>
                <c:pt idx="1533">
                  <c:v>120.499306518724</c:v>
                </c:pt>
                <c:pt idx="1534">
                  <c:v>123.41192787794731</c:v>
                </c:pt>
                <c:pt idx="1535">
                  <c:v>123.93897364771152</c:v>
                </c:pt>
                <c:pt idx="1536">
                  <c:v>123.93897364771152</c:v>
                </c:pt>
                <c:pt idx="1537">
                  <c:v>123.93897364771152</c:v>
                </c:pt>
                <c:pt idx="1538">
                  <c:v>124.38280166435509</c:v>
                </c:pt>
                <c:pt idx="1539">
                  <c:v>121.91400832177533</c:v>
                </c:pt>
                <c:pt idx="1540">
                  <c:v>124.07766990291262</c:v>
                </c:pt>
                <c:pt idx="1541">
                  <c:v>123.41192787794731</c:v>
                </c:pt>
                <c:pt idx="1542">
                  <c:v>124.13314840499308</c:v>
                </c:pt>
                <c:pt idx="1543">
                  <c:v>124.13314840499308</c:v>
                </c:pt>
                <c:pt idx="1544">
                  <c:v>124.13314840499308</c:v>
                </c:pt>
                <c:pt idx="1545">
                  <c:v>123.85575589459086</c:v>
                </c:pt>
                <c:pt idx="1546">
                  <c:v>123.85575589459086</c:v>
                </c:pt>
                <c:pt idx="1547">
                  <c:v>124.66019417475729</c:v>
                </c:pt>
                <c:pt idx="1548">
                  <c:v>123.77253814147018</c:v>
                </c:pt>
                <c:pt idx="1549">
                  <c:v>123.80027739251042</c:v>
                </c:pt>
                <c:pt idx="1550">
                  <c:v>123.80027739251042</c:v>
                </c:pt>
                <c:pt idx="1551">
                  <c:v>123.80027739251042</c:v>
                </c:pt>
                <c:pt idx="1552">
                  <c:v>126.62968099861305</c:v>
                </c:pt>
                <c:pt idx="1553">
                  <c:v>126.10263522884884</c:v>
                </c:pt>
                <c:pt idx="1554">
                  <c:v>127.21220527045772</c:v>
                </c:pt>
                <c:pt idx="1555">
                  <c:v>126.90707350901526</c:v>
                </c:pt>
                <c:pt idx="1556">
                  <c:v>126.43550624133148</c:v>
                </c:pt>
                <c:pt idx="1557">
                  <c:v>126.43550624133148</c:v>
                </c:pt>
                <c:pt idx="1558">
                  <c:v>126.43550624133148</c:v>
                </c:pt>
                <c:pt idx="1559">
                  <c:v>128.43273231622746</c:v>
                </c:pt>
                <c:pt idx="1560">
                  <c:v>129.54230235783635</c:v>
                </c:pt>
                <c:pt idx="1561">
                  <c:v>129.76421636615814</c:v>
                </c:pt>
                <c:pt idx="1562">
                  <c:v>129.54230235783635</c:v>
                </c:pt>
                <c:pt idx="1563">
                  <c:v>128.54368932038838</c:v>
                </c:pt>
                <c:pt idx="1564">
                  <c:v>128.54368932038838</c:v>
                </c:pt>
                <c:pt idx="1565">
                  <c:v>128.54368932038838</c:v>
                </c:pt>
                <c:pt idx="1566">
                  <c:v>130.65187239944521</c:v>
                </c:pt>
                <c:pt idx="1567">
                  <c:v>129.57004160887658</c:v>
                </c:pt>
                <c:pt idx="1568">
                  <c:v>126.18585298196949</c:v>
                </c:pt>
                <c:pt idx="1569">
                  <c:v>123.07905686546464</c:v>
                </c:pt>
                <c:pt idx="1570">
                  <c:v>123.16227461858531</c:v>
                </c:pt>
                <c:pt idx="1571">
                  <c:v>123.16227461858531</c:v>
                </c:pt>
                <c:pt idx="1572">
                  <c:v>123.16227461858531</c:v>
                </c:pt>
                <c:pt idx="1573">
                  <c:v>114.70180305131763</c:v>
                </c:pt>
                <c:pt idx="1574">
                  <c:v>113.12066574202497</c:v>
                </c:pt>
                <c:pt idx="1575">
                  <c:v>113.59223300970875</c:v>
                </c:pt>
                <c:pt idx="1576">
                  <c:v>113.25936199722608</c:v>
                </c:pt>
                <c:pt idx="1577">
                  <c:v>112.1497919556172</c:v>
                </c:pt>
                <c:pt idx="1578">
                  <c:v>112.1497919556172</c:v>
                </c:pt>
                <c:pt idx="1579">
                  <c:v>112.1497919556172</c:v>
                </c:pt>
                <c:pt idx="1580">
                  <c:v>111.20665742024967</c:v>
                </c:pt>
                <c:pt idx="1581">
                  <c:v>111.65048543689322</c:v>
                </c:pt>
                <c:pt idx="1582">
                  <c:v>110.37447988904302</c:v>
                </c:pt>
                <c:pt idx="1583">
                  <c:v>110.29126213592232</c:v>
                </c:pt>
                <c:pt idx="1584">
                  <c:v>110.04160887656033</c:v>
                </c:pt>
                <c:pt idx="1585">
                  <c:v>110.04160887656033</c:v>
                </c:pt>
                <c:pt idx="1586">
                  <c:v>110.04160887656033</c:v>
                </c:pt>
                <c:pt idx="1587">
                  <c:v>108.71012482662967</c:v>
                </c:pt>
                <c:pt idx="1588">
                  <c:v>109.01525658807212</c:v>
                </c:pt>
                <c:pt idx="1589">
                  <c:v>109.98613037447988</c:v>
                </c:pt>
                <c:pt idx="1590">
                  <c:v>110.56865464632455</c:v>
                </c:pt>
                <c:pt idx="1591">
                  <c:v>109.93065187239945</c:v>
                </c:pt>
                <c:pt idx="1592">
                  <c:v>109.93065187239945</c:v>
                </c:pt>
                <c:pt idx="1593">
                  <c:v>109.93065187239945</c:v>
                </c:pt>
                <c:pt idx="1594">
                  <c:v>109.65325936199723</c:v>
                </c:pt>
                <c:pt idx="1595">
                  <c:v>109.12621359223303</c:v>
                </c:pt>
                <c:pt idx="1596">
                  <c:v>109.23717059639391</c:v>
                </c:pt>
                <c:pt idx="1597">
                  <c:v>108.29403606102636</c:v>
                </c:pt>
                <c:pt idx="1598">
                  <c:v>105.63106796116506</c:v>
                </c:pt>
                <c:pt idx="1599">
                  <c:v>105.63106796116506</c:v>
                </c:pt>
                <c:pt idx="1600">
                  <c:v>105.63106796116506</c:v>
                </c:pt>
                <c:pt idx="1601">
                  <c:v>104.93758668515952</c:v>
                </c:pt>
                <c:pt idx="1602">
                  <c:v>104.13314840499308</c:v>
                </c:pt>
                <c:pt idx="1603">
                  <c:v>103.93897364771152</c:v>
                </c:pt>
                <c:pt idx="1604">
                  <c:v>103.07905686546464</c:v>
                </c:pt>
                <c:pt idx="1605">
                  <c:v>103.13453536754508</c:v>
                </c:pt>
                <c:pt idx="1606">
                  <c:v>103.13453536754508</c:v>
                </c:pt>
                <c:pt idx="1607">
                  <c:v>103.13453536754508</c:v>
                </c:pt>
                <c:pt idx="1608">
                  <c:v>103.19001386962555</c:v>
                </c:pt>
                <c:pt idx="1609">
                  <c:v>102.82940360610264</c:v>
                </c:pt>
                <c:pt idx="1610">
                  <c:v>103.27323162274618</c:v>
                </c:pt>
                <c:pt idx="1611">
                  <c:v>102.63522884882109</c:v>
                </c:pt>
                <c:pt idx="1612">
                  <c:v>102.63522884882109</c:v>
                </c:pt>
                <c:pt idx="1613">
                  <c:v>102.63522884882109</c:v>
                </c:pt>
                <c:pt idx="1614">
                  <c:v>102.63522884882109</c:v>
                </c:pt>
                <c:pt idx="1615">
                  <c:v>101.19278779472953</c:v>
                </c:pt>
                <c:pt idx="1616">
                  <c:v>100.77669902912622</c:v>
                </c:pt>
                <c:pt idx="1617">
                  <c:v>100.11095700416091</c:v>
                </c:pt>
                <c:pt idx="1618">
                  <c:v>99.223300970873808</c:v>
                </c:pt>
                <c:pt idx="1619">
                  <c:v>97.614424410540906</c:v>
                </c:pt>
                <c:pt idx="1620">
                  <c:v>97.614424410540906</c:v>
                </c:pt>
                <c:pt idx="1621">
                  <c:v>97.614424410540906</c:v>
                </c:pt>
                <c:pt idx="1622">
                  <c:v>98.585298196948685</c:v>
                </c:pt>
                <c:pt idx="1623">
                  <c:v>99.195561719833563</c:v>
                </c:pt>
                <c:pt idx="1624">
                  <c:v>97.142857142857167</c:v>
                </c:pt>
                <c:pt idx="1625">
                  <c:v>97.337031900138712</c:v>
                </c:pt>
                <c:pt idx="1626">
                  <c:v>97.337031900138712</c:v>
                </c:pt>
                <c:pt idx="1627">
                  <c:v>97.337031900138712</c:v>
                </c:pt>
                <c:pt idx="1628">
                  <c:v>97.337031900138712</c:v>
                </c:pt>
                <c:pt idx="1629">
                  <c:v>97.281553398058264</c:v>
                </c:pt>
                <c:pt idx="1630">
                  <c:v>96.782246879334267</c:v>
                </c:pt>
                <c:pt idx="1631">
                  <c:v>96.338418862690716</c:v>
                </c:pt>
                <c:pt idx="1632">
                  <c:v>96.116504854368941</c:v>
                </c:pt>
                <c:pt idx="1633">
                  <c:v>96.171983356449388</c:v>
                </c:pt>
                <c:pt idx="1634">
                  <c:v>96.171983356449388</c:v>
                </c:pt>
                <c:pt idx="1635">
                  <c:v>96.171983356449388</c:v>
                </c:pt>
                <c:pt idx="1636">
                  <c:v>96.282940360610269</c:v>
                </c:pt>
                <c:pt idx="1637">
                  <c:v>96.144244105409143</c:v>
                </c:pt>
                <c:pt idx="1638">
                  <c:v>96.116504854368941</c:v>
                </c:pt>
                <c:pt idx="1639">
                  <c:v>96.86546463245493</c:v>
                </c:pt>
                <c:pt idx="1640">
                  <c:v>97.115117891816922</c:v>
                </c:pt>
                <c:pt idx="1641">
                  <c:v>97.115117891816922</c:v>
                </c:pt>
                <c:pt idx="1642">
                  <c:v>97.115117891816922</c:v>
                </c:pt>
                <c:pt idx="1643">
                  <c:v>97.558945908460487</c:v>
                </c:pt>
                <c:pt idx="1644">
                  <c:v>99.334257975034689</c:v>
                </c:pt>
                <c:pt idx="1645">
                  <c:v>99.861303744798903</c:v>
                </c:pt>
                <c:pt idx="1646">
                  <c:v>100.80443828016645</c:v>
                </c:pt>
                <c:pt idx="1647">
                  <c:v>99.500693481276002</c:v>
                </c:pt>
                <c:pt idx="1648">
                  <c:v>99.500693481276002</c:v>
                </c:pt>
                <c:pt idx="1649">
                  <c:v>99.500693481276002</c:v>
                </c:pt>
                <c:pt idx="1650">
                  <c:v>100.24965325936202</c:v>
                </c:pt>
                <c:pt idx="1651">
                  <c:v>101.49791955617201</c:v>
                </c:pt>
                <c:pt idx="1652">
                  <c:v>100.998613037448</c:v>
                </c:pt>
                <c:pt idx="1653">
                  <c:v>101.05409153952844</c:v>
                </c:pt>
                <c:pt idx="1654">
                  <c:v>100.69348127600554</c:v>
                </c:pt>
                <c:pt idx="1655">
                  <c:v>100.69348127600554</c:v>
                </c:pt>
                <c:pt idx="1656">
                  <c:v>100.69348127600554</c:v>
                </c:pt>
                <c:pt idx="1657">
                  <c:v>101.22052704576978</c:v>
                </c:pt>
                <c:pt idx="1658">
                  <c:v>101.6366158113731</c:v>
                </c:pt>
                <c:pt idx="1659">
                  <c:v>100.83217753120668</c:v>
                </c:pt>
                <c:pt idx="1660">
                  <c:v>98.39112343966714</c:v>
                </c:pt>
                <c:pt idx="1661">
                  <c:v>97.94729542302359</c:v>
                </c:pt>
                <c:pt idx="1662">
                  <c:v>97.94729542302359</c:v>
                </c:pt>
                <c:pt idx="1663">
                  <c:v>97.94729542302359</c:v>
                </c:pt>
                <c:pt idx="1664">
                  <c:v>97.004160887656028</c:v>
                </c:pt>
                <c:pt idx="1665">
                  <c:v>96.393897364771163</c:v>
                </c:pt>
                <c:pt idx="1666">
                  <c:v>96.171983356449388</c:v>
                </c:pt>
                <c:pt idx="1667">
                  <c:v>95.700416088765621</c:v>
                </c:pt>
                <c:pt idx="1668">
                  <c:v>96.338418862690716</c:v>
                </c:pt>
                <c:pt idx="1669">
                  <c:v>96.338418862690716</c:v>
                </c:pt>
                <c:pt idx="1670">
                  <c:v>96.338418862690716</c:v>
                </c:pt>
                <c:pt idx="1671">
                  <c:v>96.393897364771163</c:v>
                </c:pt>
                <c:pt idx="1672">
                  <c:v>95.866851595006949</c:v>
                </c:pt>
                <c:pt idx="1673">
                  <c:v>95.783633841886285</c:v>
                </c:pt>
                <c:pt idx="1674">
                  <c:v>95.617198335644943</c:v>
                </c:pt>
                <c:pt idx="1675">
                  <c:v>96.199722607489605</c:v>
                </c:pt>
                <c:pt idx="1676">
                  <c:v>96.199722607489605</c:v>
                </c:pt>
                <c:pt idx="1677">
                  <c:v>96.199722607489605</c:v>
                </c:pt>
                <c:pt idx="1678">
                  <c:v>94.979195561719848</c:v>
                </c:pt>
                <c:pt idx="1679">
                  <c:v>95.006934812760051</c:v>
                </c:pt>
                <c:pt idx="1680">
                  <c:v>94.091539528432747</c:v>
                </c:pt>
                <c:pt idx="1681">
                  <c:v>93.342579750346744</c:v>
                </c:pt>
                <c:pt idx="1682">
                  <c:v>93.980582524271867</c:v>
                </c:pt>
                <c:pt idx="1683">
                  <c:v>93.980582524271867</c:v>
                </c:pt>
                <c:pt idx="1684">
                  <c:v>93.980582524271867</c:v>
                </c:pt>
                <c:pt idx="1685">
                  <c:v>93.28710124826631</c:v>
                </c:pt>
                <c:pt idx="1686">
                  <c:v>95.256588072122071</c:v>
                </c:pt>
                <c:pt idx="1687">
                  <c:v>92.815533980582529</c:v>
                </c:pt>
                <c:pt idx="1688">
                  <c:v>92.815533980582529</c:v>
                </c:pt>
                <c:pt idx="1689">
                  <c:v>93.59223300970875</c:v>
                </c:pt>
                <c:pt idx="1690">
                  <c:v>93.59223300970875</c:v>
                </c:pt>
                <c:pt idx="1691">
                  <c:v>93.59223300970875</c:v>
                </c:pt>
                <c:pt idx="1692">
                  <c:v>93.037447988904304</c:v>
                </c:pt>
                <c:pt idx="1693">
                  <c:v>94.868238557558954</c:v>
                </c:pt>
                <c:pt idx="1694">
                  <c:v>93.342579750346744</c:v>
                </c:pt>
                <c:pt idx="1695">
                  <c:v>94.507628294036067</c:v>
                </c:pt>
                <c:pt idx="1696">
                  <c:v>94.840499306518723</c:v>
                </c:pt>
                <c:pt idx="1697">
                  <c:v>94.840499306518723</c:v>
                </c:pt>
                <c:pt idx="1698">
                  <c:v>94.840499306518723</c:v>
                </c:pt>
                <c:pt idx="1699">
                  <c:v>95.312066574202504</c:v>
                </c:pt>
                <c:pt idx="1700">
                  <c:v>95.922330097087382</c:v>
                </c:pt>
                <c:pt idx="1701">
                  <c:v>96.699029126213603</c:v>
                </c:pt>
                <c:pt idx="1702">
                  <c:v>98.502080443828021</c:v>
                </c:pt>
                <c:pt idx="1703">
                  <c:v>97.669902912621367</c:v>
                </c:pt>
                <c:pt idx="1704">
                  <c:v>97.669902912621367</c:v>
                </c:pt>
                <c:pt idx="1705">
                  <c:v>97.669902912621367</c:v>
                </c:pt>
                <c:pt idx="1706">
                  <c:v>97.94729542302359</c:v>
                </c:pt>
                <c:pt idx="1707">
                  <c:v>98.557558945908468</c:v>
                </c:pt>
                <c:pt idx="1708">
                  <c:v>99.528432732316247</c:v>
                </c:pt>
                <c:pt idx="1709">
                  <c:v>99.112343966712899</c:v>
                </c:pt>
                <c:pt idx="1710">
                  <c:v>99.056865464632466</c:v>
                </c:pt>
                <c:pt idx="1711">
                  <c:v>99.056865464632466</c:v>
                </c:pt>
                <c:pt idx="1712">
                  <c:v>99.056865464632466</c:v>
                </c:pt>
                <c:pt idx="1713">
                  <c:v>101.19278779472953</c:v>
                </c:pt>
                <c:pt idx="1714">
                  <c:v>100.58252427184466</c:v>
                </c:pt>
                <c:pt idx="1715">
                  <c:v>100.22191400832179</c:v>
                </c:pt>
                <c:pt idx="1716">
                  <c:v>100.80443828016645</c:v>
                </c:pt>
                <c:pt idx="1717">
                  <c:v>100.748959778086</c:v>
                </c:pt>
                <c:pt idx="1718">
                  <c:v>100.748959778086</c:v>
                </c:pt>
                <c:pt idx="1719">
                  <c:v>100.748959778086</c:v>
                </c:pt>
                <c:pt idx="1720">
                  <c:v>100.19417475728156</c:v>
                </c:pt>
                <c:pt idx="1721">
                  <c:v>100.16643550624134</c:v>
                </c:pt>
                <c:pt idx="1722">
                  <c:v>100.3606102635229</c:v>
                </c:pt>
                <c:pt idx="1723">
                  <c:v>100.58252427184466</c:v>
                </c:pt>
                <c:pt idx="1724">
                  <c:v>100.58252427184466</c:v>
                </c:pt>
                <c:pt idx="1725">
                  <c:v>100.58252427184466</c:v>
                </c:pt>
                <c:pt idx="1726">
                  <c:v>100.58252427184466</c:v>
                </c:pt>
                <c:pt idx="1727">
                  <c:v>100.58252427184466</c:v>
                </c:pt>
                <c:pt idx="1728">
                  <c:v>100.19417475728156</c:v>
                </c:pt>
                <c:pt idx="1729">
                  <c:v>99.472954230235786</c:v>
                </c:pt>
                <c:pt idx="1730">
                  <c:v>99.223300970873808</c:v>
                </c:pt>
                <c:pt idx="1731">
                  <c:v>98.196948682385582</c:v>
                </c:pt>
                <c:pt idx="1732">
                  <c:v>98.196948682385582</c:v>
                </c:pt>
                <c:pt idx="1733">
                  <c:v>98.196948682385582</c:v>
                </c:pt>
                <c:pt idx="1734">
                  <c:v>97.697642163661584</c:v>
                </c:pt>
                <c:pt idx="1735">
                  <c:v>97.1983356449376</c:v>
                </c:pt>
                <c:pt idx="1736">
                  <c:v>99.361997226074905</c:v>
                </c:pt>
                <c:pt idx="1737">
                  <c:v>98.834951456310691</c:v>
                </c:pt>
                <c:pt idx="1738">
                  <c:v>98.557558945908468</c:v>
                </c:pt>
                <c:pt idx="1739">
                  <c:v>98.557558945908468</c:v>
                </c:pt>
                <c:pt idx="1740">
                  <c:v>98.557558945908468</c:v>
                </c:pt>
                <c:pt idx="1741">
                  <c:v>99.001386962552004</c:v>
                </c:pt>
                <c:pt idx="1742">
                  <c:v>99.889042995839119</c:v>
                </c:pt>
                <c:pt idx="1743">
                  <c:v>100.88765603328712</c:v>
                </c:pt>
                <c:pt idx="1744">
                  <c:v>101.35922330097087</c:v>
                </c:pt>
                <c:pt idx="1745">
                  <c:v>102.13592233009709</c:v>
                </c:pt>
                <c:pt idx="1746">
                  <c:v>102.13592233009709</c:v>
                </c:pt>
                <c:pt idx="1747">
                  <c:v>102.13592233009709</c:v>
                </c:pt>
                <c:pt idx="1748">
                  <c:v>102.21914008321778</c:v>
                </c:pt>
                <c:pt idx="1749">
                  <c:v>102.57975034674062</c:v>
                </c:pt>
                <c:pt idx="1750">
                  <c:v>102.55201109570042</c:v>
                </c:pt>
                <c:pt idx="1751">
                  <c:v>100.72122052704577</c:v>
                </c:pt>
                <c:pt idx="1752">
                  <c:v>100.27739251040222</c:v>
                </c:pt>
                <c:pt idx="1753">
                  <c:v>100.27739251040222</c:v>
                </c:pt>
                <c:pt idx="1754">
                  <c:v>100.27739251040222</c:v>
                </c:pt>
                <c:pt idx="1755">
                  <c:v>103.82801664355064</c:v>
                </c:pt>
                <c:pt idx="1756">
                  <c:v>102.44105409153954</c:v>
                </c:pt>
                <c:pt idx="1757">
                  <c:v>102.2746185852982</c:v>
                </c:pt>
                <c:pt idx="1758">
                  <c:v>101.94174757281553</c:v>
                </c:pt>
                <c:pt idx="1759">
                  <c:v>100.748959778086</c:v>
                </c:pt>
                <c:pt idx="1760">
                  <c:v>100.748959778086</c:v>
                </c:pt>
                <c:pt idx="1761">
                  <c:v>100.748959778086</c:v>
                </c:pt>
                <c:pt idx="1762">
                  <c:v>100.3606102635229</c:v>
                </c:pt>
                <c:pt idx="1763">
                  <c:v>99.611650485436883</c:v>
                </c:pt>
                <c:pt idx="1764">
                  <c:v>99.209431345353678</c:v>
                </c:pt>
                <c:pt idx="1765">
                  <c:v>98.418862690707357</c:v>
                </c:pt>
                <c:pt idx="1766">
                  <c:v>97.780859916782262</c:v>
                </c:pt>
                <c:pt idx="1767">
                  <c:v>97.780859916782262</c:v>
                </c:pt>
                <c:pt idx="1768">
                  <c:v>97.780859916782262</c:v>
                </c:pt>
                <c:pt idx="1769">
                  <c:v>97.780859916782262</c:v>
                </c:pt>
                <c:pt idx="1770">
                  <c:v>98.834951456310691</c:v>
                </c:pt>
                <c:pt idx="1771">
                  <c:v>99.140083217753144</c:v>
                </c:pt>
                <c:pt idx="1772">
                  <c:v>99.306518723994458</c:v>
                </c:pt>
                <c:pt idx="1773">
                  <c:v>99.944521497919567</c:v>
                </c:pt>
                <c:pt idx="1774">
                  <c:v>99.944521497919567</c:v>
                </c:pt>
                <c:pt idx="1775">
                  <c:v>99.944521497919567</c:v>
                </c:pt>
                <c:pt idx="1776">
                  <c:v>99.944521497919567</c:v>
                </c:pt>
                <c:pt idx="1777">
                  <c:v>100.47156726768378</c:v>
                </c:pt>
                <c:pt idx="1778">
                  <c:v>100.63800277392512</c:v>
                </c:pt>
                <c:pt idx="1779">
                  <c:v>100.30513176144244</c:v>
                </c:pt>
                <c:pt idx="1780">
                  <c:v>100.05547850208045</c:v>
                </c:pt>
                <c:pt idx="1781">
                  <c:v>100.05547850208045</c:v>
                </c:pt>
                <c:pt idx="1782">
                  <c:v>100.05547850208045</c:v>
                </c:pt>
                <c:pt idx="1783">
                  <c:v>99.167822468793361</c:v>
                </c:pt>
                <c:pt idx="1784">
                  <c:v>98.668515950069363</c:v>
                </c:pt>
                <c:pt idx="1785">
                  <c:v>98.751733703190027</c:v>
                </c:pt>
                <c:pt idx="1786">
                  <c:v>98.169209431345365</c:v>
                </c:pt>
                <c:pt idx="1787">
                  <c:v>97.531206657420242</c:v>
                </c:pt>
                <c:pt idx="1788">
                  <c:v>97.531206657420242</c:v>
                </c:pt>
                <c:pt idx="1789">
                  <c:v>97.531206657420242</c:v>
                </c:pt>
                <c:pt idx="1790">
                  <c:v>97.836338418862709</c:v>
                </c:pt>
                <c:pt idx="1791">
                  <c:v>98.113730929264904</c:v>
                </c:pt>
                <c:pt idx="1792">
                  <c:v>97.1983356449376</c:v>
                </c:pt>
                <c:pt idx="1793">
                  <c:v>98.280166435506246</c:v>
                </c:pt>
                <c:pt idx="1794">
                  <c:v>97.836338418862709</c:v>
                </c:pt>
                <c:pt idx="1795">
                  <c:v>97.836338418862709</c:v>
                </c:pt>
                <c:pt idx="1796">
                  <c:v>97.836338418862709</c:v>
                </c:pt>
                <c:pt idx="1797">
                  <c:v>97.475728155339809</c:v>
                </c:pt>
                <c:pt idx="1798">
                  <c:v>97.364771151178928</c:v>
                </c:pt>
                <c:pt idx="1799">
                  <c:v>97.586685159500703</c:v>
                </c:pt>
                <c:pt idx="1800">
                  <c:v>97.531206657420242</c:v>
                </c:pt>
                <c:pt idx="1801">
                  <c:v>99.611650485436883</c:v>
                </c:pt>
                <c:pt idx="1802">
                  <c:v>99.611650485436883</c:v>
                </c:pt>
                <c:pt idx="1803">
                  <c:v>99.611650485436883</c:v>
                </c:pt>
                <c:pt idx="1804">
                  <c:v>99.361997226074905</c:v>
                </c:pt>
                <c:pt idx="1805">
                  <c:v>98.80721220527046</c:v>
                </c:pt>
                <c:pt idx="1806">
                  <c:v>99.306518723994458</c:v>
                </c:pt>
                <c:pt idx="1807">
                  <c:v>98.668515950069363</c:v>
                </c:pt>
                <c:pt idx="1808">
                  <c:v>99.583911234396666</c:v>
                </c:pt>
                <c:pt idx="1809">
                  <c:v>99.583911234396666</c:v>
                </c:pt>
                <c:pt idx="1810">
                  <c:v>99.583911234396666</c:v>
                </c:pt>
                <c:pt idx="1811">
                  <c:v>99.611650485436883</c:v>
                </c:pt>
                <c:pt idx="1812">
                  <c:v>99.667128987517344</c:v>
                </c:pt>
                <c:pt idx="1813">
                  <c:v>100.41608876560335</c:v>
                </c:pt>
                <c:pt idx="1814">
                  <c:v>101.27600554785022</c:v>
                </c:pt>
                <c:pt idx="1815">
                  <c:v>101.33148404993067</c:v>
                </c:pt>
                <c:pt idx="1816">
                  <c:v>101.33148404993067</c:v>
                </c:pt>
                <c:pt idx="1817">
                  <c:v>101.33148404993067</c:v>
                </c:pt>
                <c:pt idx="1818">
                  <c:v>100.3606102635229</c:v>
                </c:pt>
                <c:pt idx="1819">
                  <c:v>100.05547850208045</c:v>
                </c:pt>
                <c:pt idx="1820">
                  <c:v>101.30374479889043</c:v>
                </c:pt>
                <c:pt idx="1821">
                  <c:v>101.19278779472953</c:v>
                </c:pt>
                <c:pt idx="1822">
                  <c:v>101.19278779472953</c:v>
                </c:pt>
                <c:pt idx="1823">
                  <c:v>101.19278779472953</c:v>
                </c:pt>
                <c:pt idx="1824">
                  <c:v>101.19278779472953</c:v>
                </c:pt>
                <c:pt idx="1825">
                  <c:v>100.998613037448</c:v>
                </c:pt>
                <c:pt idx="1826">
                  <c:v>100</c:v>
                </c:pt>
              </c:numCache>
            </c:numRef>
          </c:val>
          <c:smooth val="0"/>
          <c:extLst>
            <c:ext xmlns:c16="http://schemas.microsoft.com/office/drawing/2014/chart" uri="{C3380CC4-5D6E-409C-BE32-E72D297353CC}">
              <c16:uniqueId val="{00000000-9E9F-443E-87D8-A4B4D8C106CA}"/>
            </c:ext>
          </c:extLst>
        </c:ser>
        <c:ser>
          <c:idx val="1"/>
          <c:order val="1"/>
          <c:tx>
            <c:strRef>
              <c:f>Indexed!$D$3</c:f>
              <c:strCache>
                <c:ptCount val="1"/>
                <c:pt idx="0">
                  <c:v>NVIDIA</c:v>
                </c:pt>
              </c:strCache>
            </c:strRef>
          </c:tx>
          <c:spPr>
            <a:ln w="28575" cap="rnd">
              <a:solidFill>
                <a:schemeClr val="accent3"/>
              </a:solidFill>
              <a:round/>
            </a:ln>
            <a:effectLst/>
          </c:spPr>
          <c:marker>
            <c:symbol val="none"/>
          </c:marker>
          <c:cat>
            <c:numRef>
              <c:f>Indexed!$B$4:$B$3657</c:f>
              <c:numCache>
                <c:formatCode>[$-14009]dddd\,\ d\ mmmm\,\ yyyy;@</c:formatCode>
                <c:ptCount val="3654"/>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formatCode="m/d/yyyy">
                  <c:v>43351</c:v>
                </c:pt>
                <c:pt idx="1257" formatCode="m/d/yyyy">
                  <c:v>43350</c:v>
                </c:pt>
                <c:pt idx="1258" formatCode="m/d/yyyy">
                  <c:v>43349</c:v>
                </c:pt>
                <c:pt idx="1259" formatCode="m/d/yyyy">
                  <c:v>43348</c:v>
                </c:pt>
                <c:pt idx="1260" formatCode="m/d/yyyy">
                  <c:v>43347</c:v>
                </c:pt>
                <c:pt idx="1261" formatCode="m/d/yyyy">
                  <c:v>43346</c:v>
                </c:pt>
                <c:pt idx="1262" formatCode="m/d/yyyy">
                  <c:v>43345</c:v>
                </c:pt>
                <c:pt idx="1263" formatCode="m/d/yyyy">
                  <c:v>43344</c:v>
                </c:pt>
                <c:pt idx="1264" formatCode="m/d/yyyy">
                  <c:v>43343</c:v>
                </c:pt>
                <c:pt idx="1265" formatCode="m/d/yyyy">
                  <c:v>43342</c:v>
                </c:pt>
                <c:pt idx="1266" formatCode="m/d/yyyy">
                  <c:v>43341</c:v>
                </c:pt>
                <c:pt idx="1267" formatCode="m/d/yyyy">
                  <c:v>43340</c:v>
                </c:pt>
                <c:pt idx="1268" formatCode="m/d/yyyy">
                  <c:v>43339</c:v>
                </c:pt>
                <c:pt idx="1269" formatCode="m/d/yyyy">
                  <c:v>43338</c:v>
                </c:pt>
                <c:pt idx="1270" formatCode="m/d/yyyy">
                  <c:v>43337</c:v>
                </c:pt>
                <c:pt idx="1271" formatCode="m/d/yyyy">
                  <c:v>43336</c:v>
                </c:pt>
                <c:pt idx="1272" formatCode="m/d/yyyy">
                  <c:v>43335</c:v>
                </c:pt>
                <c:pt idx="1273" formatCode="m/d/yyyy">
                  <c:v>43334</c:v>
                </c:pt>
                <c:pt idx="1274" formatCode="m/d/yyyy">
                  <c:v>43333</c:v>
                </c:pt>
                <c:pt idx="1275" formatCode="m/d/yyyy">
                  <c:v>43332</c:v>
                </c:pt>
                <c:pt idx="1276" formatCode="m/d/yyyy">
                  <c:v>43331</c:v>
                </c:pt>
                <c:pt idx="1277" formatCode="m/d/yyyy">
                  <c:v>43330</c:v>
                </c:pt>
                <c:pt idx="1278" formatCode="m/d/yyyy">
                  <c:v>43329</c:v>
                </c:pt>
                <c:pt idx="1279" formatCode="m/d/yyyy">
                  <c:v>43328</c:v>
                </c:pt>
                <c:pt idx="1280" formatCode="m/d/yyyy">
                  <c:v>43327</c:v>
                </c:pt>
                <c:pt idx="1281" formatCode="m/d/yyyy">
                  <c:v>43326</c:v>
                </c:pt>
                <c:pt idx="1282" formatCode="m/d/yyyy">
                  <c:v>43325</c:v>
                </c:pt>
                <c:pt idx="1283" formatCode="m/d/yyyy">
                  <c:v>43324</c:v>
                </c:pt>
                <c:pt idx="1284" formatCode="m/d/yyyy">
                  <c:v>43323</c:v>
                </c:pt>
                <c:pt idx="1285" formatCode="m/d/yyyy">
                  <c:v>43322</c:v>
                </c:pt>
                <c:pt idx="1286" formatCode="m/d/yyyy">
                  <c:v>43321</c:v>
                </c:pt>
                <c:pt idx="1287" formatCode="m/d/yyyy">
                  <c:v>43320</c:v>
                </c:pt>
                <c:pt idx="1288" formatCode="m/d/yyyy">
                  <c:v>43319</c:v>
                </c:pt>
                <c:pt idx="1289" formatCode="m/d/yyyy">
                  <c:v>43318</c:v>
                </c:pt>
                <c:pt idx="1290" formatCode="m/d/yyyy">
                  <c:v>43317</c:v>
                </c:pt>
                <c:pt idx="1291" formatCode="m/d/yyyy">
                  <c:v>43316</c:v>
                </c:pt>
                <c:pt idx="1292" formatCode="m/d/yyyy">
                  <c:v>43315</c:v>
                </c:pt>
                <c:pt idx="1293" formatCode="m/d/yyyy">
                  <c:v>43314</c:v>
                </c:pt>
                <c:pt idx="1294" formatCode="m/d/yyyy">
                  <c:v>43313</c:v>
                </c:pt>
                <c:pt idx="1295" formatCode="m/d/yyyy">
                  <c:v>43312</c:v>
                </c:pt>
                <c:pt idx="1296" formatCode="m/d/yyyy">
                  <c:v>43311</c:v>
                </c:pt>
                <c:pt idx="1297" formatCode="m/d/yyyy">
                  <c:v>43310</c:v>
                </c:pt>
                <c:pt idx="1298" formatCode="m/d/yyyy">
                  <c:v>43309</c:v>
                </c:pt>
                <c:pt idx="1299" formatCode="m/d/yyyy">
                  <c:v>43308</c:v>
                </c:pt>
                <c:pt idx="1300" formatCode="m/d/yyyy">
                  <c:v>43307</c:v>
                </c:pt>
                <c:pt idx="1301" formatCode="m/d/yyyy">
                  <c:v>43306</c:v>
                </c:pt>
                <c:pt idx="1302" formatCode="m/d/yyyy">
                  <c:v>43305</c:v>
                </c:pt>
                <c:pt idx="1303" formatCode="m/d/yyyy">
                  <c:v>43304</c:v>
                </c:pt>
                <c:pt idx="1304" formatCode="m/d/yyyy">
                  <c:v>43303</c:v>
                </c:pt>
                <c:pt idx="1305" formatCode="m/d/yyyy">
                  <c:v>43302</c:v>
                </c:pt>
                <c:pt idx="1306" formatCode="m/d/yyyy">
                  <c:v>43301</c:v>
                </c:pt>
                <c:pt idx="1307" formatCode="m/d/yyyy">
                  <c:v>43300</c:v>
                </c:pt>
                <c:pt idx="1308" formatCode="m/d/yyyy">
                  <c:v>43299</c:v>
                </c:pt>
                <c:pt idx="1309" formatCode="m/d/yyyy">
                  <c:v>43298</c:v>
                </c:pt>
                <c:pt idx="1310" formatCode="m/d/yyyy">
                  <c:v>43297</c:v>
                </c:pt>
                <c:pt idx="1311" formatCode="m/d/yyyy">
                  <c:v>43296</c:v>
                </c:pt>
                <c:pt idx="1312" formatCode="m/d/yyyy">
                  <c:v>43295</c:v>
                </c:pt>
                <c:pt idx="1313" formatCode="m/d/yyyy">
                  <c:v>43294</c:v>
                </c:pt>
                <c:pt idx="1314" formatCode="m/d/yyyy">
                  <c:v>43293</c:v>
                </c:pt>
                <c:pt idx="1315" formatCode="m/d/yyyy">
                  <c:v>43292</c:v>
                </c:pt>
                <c:pt idx="1316" formatCode="m/d/yyyy">
                  <c:v>43291</c:v>
                </c:pt>
                <c:pt idx="1317" formatCode="m/d/yyyy">
                  <c:v>43290</c:v>
                </c:pt>
                <c:pt idx="1318" formatCode="m/d/yyyy">
                  <c:v>43289</c:v>
                </c:pt>
                <c:pt idx="1319" formatCode="m/d/yyyy">
                  <c:v>43288</c:v>
                </c:pt>
                <c:pt idx="1320" formatCode="m/d/yyyy">
                  <c:v>43287</c:v>
                </c:pt>
                <c:pt idx="1321" formatCode="m/d/yyyy">
                  <c:v>43286</c:v>
                </c:pt>
                <c:pt idx="1322" formatCode="m/d/yyyy">
                  <c:v>43285</c:v>
                </c:pt>
                <c:pt idx="1323" formatCode="m/d/yyyy">
                  <c:v>43284</c:v>
                </c:pt>
                <c:pt idx="1324" formatCode="m/d/yyyy">
                  <c:v>43283</c:v>
                </c:pt>
                <c:pt idx="1325" formatCode="m/d/yyyy">
                  <c:v>43282</c:v>
                </c:pt>
                <c:pt idx="1326" formatCode="m/d/yyyy">
                  <c:v>43281</c:v>
                </c:pt>
                <c:pt idx="1327" formatCode="m/d/yyyy">
                  <c:v>43280</c:v>
                </c:pt>
                <c:pt idx="1328" formatCode="m/d/yyyy">
                  <c:v>43279</c:v>
                </c:pt>
                <c:pt idx="1329" formatCode="m/d/yyyy">
                  <c:v>43278</c:v>
                </c:pt>
                <c:pt idx="1330" formatCode="m/d/yyyy">
                  <c:v>43277</c:v>
                </c:pt>
                <c:pt idx="1331" formatCode="m/d/yyyy">
                  <c:v>43276</c:v>
                </c:pt>
                <c:pt idx="1332" formatCode="m/d/yyyy">
                  <c:v>43275</c:v>
                </c:pt>
                <c:pt idx="1333" formatCode="m/d/yyyy">
                  <c:v>43274</c:v>
                </c:pt>
                <c:pt idx="1334" formatCode="m/d/yyyy">
                  <c:v>43273</c:v>
                </c:pt>
                <c:pt idx="1335" formatCode="m/d/yyyy">
                  <c:v>43272</c:v>
                </c:pt>
                <c:pt idx="1336" formatCode="m/d/yyyy">
                  <c:v>43271</c:v>
                </c:pt>
                <c:pt idx="1337" formatCode="m/d/yyyy">
                  <c:v>43270</c:v>
                </c:pt>
                <c:pt idx="1338" formatCode="m/d/yyyy">
                  <c:v>43269</c:v>
                </c:pt>
                <c:pt idx="1339" formatCode="m/d/yyyy">
                  <c:v>43268</c:v>
                </c:pt>
                <c:pt idx="1340" formatCode="m/d/yyyy">
                  <c:v>43267</c:v>
                </c:pt>
                <c:pt idx="1341" formatCode="m/d/yyyy">
                  <c:v>43266</c:v>
                </c:pt>
                <c:pt idx="1342" formatCode="m/d/yyyy">
                  <c:v>43265</c:v>
                </c:pt>
                <c:pt idx="1343" formatCode="m/d/yyyy">
                  <c:v>43264</c:v>
                </c:pt>
                <c:pt idx="1344" formatCode="m/d/yyyy">
                  <c:v>43263</c:v>
                </c:pt>
                <c:pt idx="1345" formatCode="m/d/yyyy">
                  <c:v>43262</c:v>
                </c:pt>
                <c:pt idx="1346" formatCode="m/d/yyyy">
                  <c:v>43261</c:v>
                </c:pt>
                <c:pt idx="1347" formatCode="m/d/yyyy">
                  <c:v>43260</c:v>
                </c:pt>
                <c:pt idx="1348" formatCode="m/d/yyyy">
                  <c:v>43259</c:v>
                </c:pt>
                <c:pt idx="1349" formatCode="m/d/yyyy">
                  <c:v>43258</c:v>
                </c:pt>
                <c:pt idx="1350" formatCode="m/d/yyyy">
                  <c:v>43257</c:v>
                </c:pt>
                <c:pt idx="1351" formatCode="m/d/yyyy">
                  <c:v>43256</c:v>
                </c:pt>
                <c:pt idx="1352" formatCode="m/d/yyyy">
                  <c:v>43255</c:v>
                </c:pt>
                <c:pt idx="1353" formatCode="m/d/yyyy">
                  <c:v>43254</c:v>
                </c:pt>
                <c:pt idx="1354" formatCode="m/d/yyyy">
                  <c:v>43253</c:v>
                </c:pt>
                <c:pt idx="1355" formatCode="m/d/yyyy">
                  <c:v>43252</c:v>
                </c:pt>
                <c:pt idx="1356" formatCode="m/d/yyyy">
                  <c:v>43251</c:v>
                </c:pt>
                <c:pt idx="1357" formatCode="m/d/yyyy">
                  <c:v>43250</c:v>
                </c:pt>
                <c:pt idx="1358" formatCode="m/d/yyyy">
                  <c:v>43249</c:v>
                </c:pt>
                <c:pt idx="1359" formatCode="m/d/yyyy">
                  <c:v>43248</c:v>
                </c:pt>
                <c:pt idx="1360" formatCode="m/d/yyyy">
                  <c:v>43247</c:v>
                </c:pt>
                <c:pt idx="1361" formatCode="m/d/yyyy">
                  <c:v>43246</c:v>
                </c:pt>
                <c:pt idx="1362" formatCode="m/d/yyyy">
                  <c:v>43245</c:v>
                </c:pt>
                <c:pt idx="1363" formatCode="m/d/yyyy">
                  <c:v>43244</c:v>
                </c:pt>
                <c:pt idx="1364" formatCode="m/d/yyyy">
                  <c:v>43243</c:v>
                </c:pt>
                <c:pt idx="1365" formatCode="m/d/yyyy">
                  <c:v>43242</c:v>
                </c:pt>
                <c:pt idx="1366" formatCode="m/d/yyyy">
                  <c:v>43241</c:v>
                </c:pt>
                <c:pt idx="1367" formatCode="m/d/yyyy">
                  <c:v>43240</c:v>
                </c:pt>
                <c:pt idx="1368" formatCode="m/d/yyyy">
                  <c:v>43239</c:v>
                </c:pt>
                <c:pt idx="1369" formatCode="m/d/yyyy">
                  <c:v>43238</c:v>
                </c:pt>
                <c:pt idx="1370" formatCode="m/d/yyyy">
                  <c:v>43237</c:v>
                </c:pt>
                <c:pt idx="1371" formatCode="m/d/yyyy">
                  <c:v>43236</c:v>
                </c:pt>
                <c:pt idx="1372" formatCode="m/d/yyyy">
                  <c:v>43235</c:v>
                </c:pt>
                <c:pt idx="1373" formatCode="m/d/yyyy">
                  <c:v>43234</c:v>
                </c:pt>
                <c:pt idx="1374" formatCode="m/d/yyyy">
                  <c:v>43233</c:v>
                </c:pt>
                <c:pt idx="1375" formatCode="m/d/yyyy">
                  <c:v>43232</c:v>
                </c:pt>
                <c:pt idx="1376" formatCode="m/d/yyyy">
                  <c:v>43231</c:v>
                </c:pt>
                <c:pt idx="1377" formatCode="m/d/yyyy">
                  <c:v>43230</c:v>
                </c:pt>
                <c:pt idx="1378" formatCode="m/d/yyyy">
                  <c:v>43229</c:v>
                </c:pt>
                <c:pt idx="1379" formatCode="m/d/yyyy">
                  <c:v>43228</c:v>
                </c:pt>
                <c:pt idx="1380" formatCode="m/d/yyyy">
                  <c:v>43227</c:v>
                </c:pt>
                <c:pt idx="1381" formatCode="m/d/yyyy">
                  <c:v>43226</c:v>
                </c:pt>
                <c:pt idx="1382" formatCode="m/d/yyyy">
                  <c:v>43225</c:v>
                </c:pt>
                <c:pt idx="1383" formatCode="m/d/yyyy">
                  <c:v>43224</c:v>
                </c:pt>
                <c:pt idx="1384" formatCode="m/d/yyyy">
                  <c:v>43223</c:v>
                </c:pt>
                <c:pt idx="1385" formatCode="m/d/yyyy">
                  <c:v>43222</c:v>
                </c:pt>
                <c:pt idx="1386" formatCode="m/d/yyyy">
                  <c:v>43221</c:v>
                </c:pt>
                <c:pt idx="1387" formatCode="m/d/yyyy">
                  <c:v>43220</c:v>
                </c:pt>
                <c:pt idx="1388" formatCode="m/d/yyyy">
                  <c:v>43219</c:v>
                </c:pt>
                <c:pt idx="1389" formatCode="m/d/yyyy">
                  <c:v>43218</c:v>
                </c:pt>
                <c:pt idx="1390" formatCode="m/d/yyyy">
                  <c:v>43217</c:v>
                </c:pt>
                <c:pt idx="1391" formatCode="m/d/yyyy">
                  <c:v>43216</c:v>
                </c:pt>
                <c:pt idx="1392" formatCode="m/d/yyyy">
                  <c:v>43215</c:v>
                </c:pt>
                <c:pt idx="1393" formatCode="m/d/yyyy">
                  <c:v>43214</c:v>
                </c:pt>
                <c:pt idx="1394" formatCode="m/d/yyyy">
                  <c:v>43213</c:v>
                </c:pt>
                <c:pt idx="1395" formatCode="m/d/yyyy">
                  <c:v>43212</c:v>
                </c:pt>
                <c:pt idx="1396" formatCode="m/d/yyyy">
                  <c:v>43211</c:v>
                </c:pt>
                <c:pt idx="1397" formatCode="m/d/yyyy">
                  <c:v>43210</c:v>
                </c:pt>
                <c:pt idx="1398" formatCode="m/d/yyyy">
                  <c:v>43209</c:v>
                </c:pt>
                <c:pt idx="1399" formatCode="m/d/yyyy">
                  <c:v>43208</c:v>
                </c:pt>
                <c:pt idx="1400" formatCode="m/d/yyyy">
                  <c:v>43207</c:v>
                </c:pt>
                <c:pt idx="1401" formatCode="m/d/yyyy">
                  <c:v>43206</c:v>
                </c:pt>
                <c:pt idx="1402" formatCode="m/d/yyyy">
                  <c:v>43205</c:v>
                </c:pt>
                <c:pt idx="1403" formatCode="m/d/yyyy">
                  <c:v>43204</c:v>
                </c:pt>
                <c:pt idx="1404" formatCode="m/d/yyyy">
                  <c:v>43203</c:v>
                </c:pt>
                <c:pt idx="1405" formatCode="m/d/yyyy">
                  <c:v>43202</c:v>
                </c:pt>
                <c:pt idx="1406" formatCode="m/d/yyyy">
                  <c:v>43201</c:v>
                </c:pt>
                <c:pt idx="1407" formatCode="m/d/yyyy">
                  <c:v>43200</c:v>
                </c:pt>
                <c:pt idx="1408" formatCode="m/d/yyyy">
                  <c:v>43199</c:v>
                </c:pt>
                <c:pt idx="1409" formatCode="m/d/yyyy">
                  <c:v>43198</c:v>
                </c:pt>
                <c:pt idx="1410" formatCode="m/d/yyyy">
                  <c:v>43197</c:v>
                </c:pt>
                <c:pt idx="1411" formatCode="m/d/yyyy">
                  <c:v>43196</c:v>
                </c:pt>
                <c:pt idx="1412" formatCode="m/d/yyyy">
                  <c:v>43195</c:v>
                </c:pt>
                <c:pt idx="1413" formatCode="m/d/yyyy">
                  <c:v>43194</c:v>
                </c:pt>
                <c:pt idx="1414" formatCode="m/d/yyyy">
                  <c:v>43193</c:v>
                </c:pt>
                <c:pt idx="1415" formatCode="m/d/yyyy">
                  <c:v>43192</c:v>
                </c:pt>
                <c:pt idx="1416" formatCode="m/d/yyyy">
                  <c:v>43191</c:v>
                </c:pt>
                <c:pt idx="1417" formatCode="m/d/yyyy">
                  <c:v>43190</c:v>
                </c:pt>
                <c:pt idx="1418" formatCode="m/d/yyyy">
                  <c:v>43189</c:v>
                </c:pt>
                <c:pt idx="1419" formatCode="m/d/yyyy">
                  <c:v>43188</c:v>
                </c:pt>
                <c:pt idx="1420" formatCode="m/d/yyyy">
                  <c:v>43187</c:v>
                </c:pt>
                <c:pt idx="1421" formatCode="m/d/yyyy">
                  <c:v>43186</c:v>
                </c:pt>
                <c:pt idx="1422" formatCode="m/d/yyyy">
                  <c:v>43185</c:v>
                </c:pt>
                <c:pt idx="1423" formatCode="m/d/yyyy">
                  <c:v>43184</c:v>
                </c:pt>
                <c:pt idx="1424" formatCode="m/d/yyyy">
                  <c:v>43183</c:v>
                </c:pt>
                <c:pt idx="1425" formatCode="m/d/yyyy">
                  <c:v>43182</c:v>
                </c:pt>
                <c:pt idx="1426" formatCode="m/d/yyyy">
                  <c:v>43181</c:v>
                </c:pt>
                <c:pt idx="1427" formatCode="m/d/yyyy">
                  <c:v>43180</c:v>
                </c:pt>
                <c:pt idx="1428" formatCode="m/d/yyyy">
                  <c:v>43179</c:v>
                </c:pt>
                <c:pt idx="1429" formatCode="m/d/yyyy">
                  <c:v>43178</c:v>
                </c:pt>
                <c:pt idx="1430" formatCode="m/d/yyyy">
                  <c:v>43177</c:v>
                </c:pt>
                <c:pt idx="1431" formatCode="m/d/yyyy">
                  <c:v>43176</c:v>
                </c:pt>
                <c:pt idx="1432" formatCode="m/d/yyyy">
                  <c:v>43175</c:v>
                </c:pt>
                <c:pt idx="1433" formatCode="m/d/yyyy">
                  <c:v>43174</c:v>
                </c:pt>
                <c:pt idx="1434" formatCode="m/d/yyyy">
                  <c:v>43173</c:v>
                </c:pt>
                <c:pt idx="1435" formatCode="m/d/yyyy">
                  <c:v>43172</c:v>
                </c:pt>
                <c:pt idx="1436" formatCode="m/d/yyyy">
                  <c:v>43171</c:v>
                </c:pt>
                <c:pt idx="1437" formatCode="m/d/yyyy">
                  <c:v>43170</c:v>
                </c:pt>
                <c:pt idx="1438" formatCode="m/d/yyyy">
                  <c:v>43169</c:v>
                </c:pt>
                <c:pt idx="1439" formatCode="m/d/yyyy">
                  <c:v>43168</c:v>
                </c:pt>
                <c:pt idx="1440" formatCode="m/d/yyyy">
                  <c:v>43167</c:v>
                </c:pt>
                <c:pt idx="1441" formatCode="m/d/yyyy">
                  <c:v>43166</c:v>
                </c:pt>
                <c:pt idx="1442" formatCode="m/d/yyyy">
                  <c:v>43165</c:v>
                </c:pt>
                <c:pt idx="1443" formatCode="m/d/yyyy">
                  <c:v>43164</c:v>
                </c:pt>
                <c:pt idx="1444" formatCode="m/d/yyyy">
                  <c:v>43163</c:v>
                </c:pt>
                <c:pt idx="1445" formatCode="m/d/yyyy">
                  <c:v>43162</c:v>
                </c:pt>
                <c:pt idx="1446" formatCode="m/d/yyyy">
                  <c:v>43161</c:v>
                </c:pt>
                <c:pt idx="1447" formatCode="m/d/yyyy">
                  <c:v>43160</c:v>
                </c:pt>
                <c:pt idx="1448" formatCode="m/d/yyyy">
                  <c:v>43159</c:v>
                </c:pt>
                <c:pt idx="1449" formatCode="m/d/yyyy">
                  <c:v>43158</c:v>
                </c:pt>
                <c:pt idx="1450" formatCode="m/d/yyyy">
                  <c:v>43157</c:v>
                </c:pt>
                <c:pt idx="1451" formatCode="m/d/yyyy">
                  <c:v>43156</c:v>
                </c:pt>
                <c:pt idx="1452" formatCode="m/d/yyyy">
                  <c:v>43155</c:v>
                </c:pt>
                <c:pt idx="1453" formatCode="m/d/yyyy">
                  <c:v>43154</c:v>
                </c:pt>
                <c:pt idx="1454" formatCode="m/d/yyyy">
                  <c:v>43153</c:v>
                </c:pt>
                <c:pt idx="1455" formatCode="m/d/yyyy">
                  <c:v>43152</c:v>
                </c:pt>
                <c:pt idx="1456" formatCode="m/d/yyyy">
                  <c:v>43151</c:v>
                </c:pt>
                <c:pt idx="1457" formatCode="m/d/yyyy">
                  <c:v>43150</c:v>
                </c:pt>
                <c:pt idx="1458" formatCode="m/d/yyyy">
                  <c:v>43149</c:v>
                </c:pt>
                <c:pt idx="1459" formatCode="m/d/yyyy">
                  <c:v>43148</c:v>
                </c:pt>
                <c:pt idx="1460" formatCode="m/d/yyyy">
                  <c:v>43147</c:v>
                </c:pt>
                <c:pt idx="1461" formatCode="m/d/yyyy">
                  <c:v>43146</c:v>
                </c:pt>
                <c:pt idx="1462" formatCode="m/d/yyyy">
                  <c:v>43145</c:v>
                </c:pt>
                <c:pt idx="1463" formatCode="m/d/yyyy">
                  <c:v>43144</c:v>
                </c:pt>
                <c:pt idx="1464" formatCode="m/d/yyyy">
                  <c:v>43143</c:v>
                </c:pt>
                <c:pt idx="1465" formatCode="m/d/yyyy">
                  <c:v>43142</c:v>
                </c:pt>
                <c:pt idx="1466" formatCode="m/d/yyyy">
                  <c:v>43141</c:v>
                </c:pt>
                <c:pt idx="1467" formatCode="m/d/yyyy">
                  <c:v>43140</c:v>
                </c:pt>
                <c:pt idx="1468" formatCode="m/d/yyyy">
                  <c:v>43139</c:v>
                </c:pt>
                <c:pt idx="1469" formatCode="m/d/yyyy">
                  <c:v>43138</c:v>
                </c:pt>
                <c:pt idx="1470" formatCode="m/d/yyyy">
                  <c:v>43137</c:v>
                </c:pt>
                <c:pt idx="1471" formatCode="m/d/yyyy">
                  <c:v>43136</c:v>
                </c:pt>
                <c:pt idx="1472" formatCode="m/d/yyyy">
                  <c:v>43135</c:v>
                </c:pt>
                <c:pt idx="1473" formatCode="m/d/yyyy">
                  <c:v>43134</c:v>
                </c:pt>
                <c:pt idx="1474" formatCode="m/d/yyyy">
                  <c:v>43133</c:v>
                </c:pt>
                <c:pt idx="1475" formatCode="m/d/yyyy">
                  <c:v>43132</c:v>
                </c:pt>
                <c:pt idx="1476" formatCode="m/d/yyyy">
                  <c:v>43131</c:v>
                </c:pt>
                <c:pt idx="1477" formatCode="m/d/yyyy">
                  <c:v>43130</c:v>
                </c:pt>
                <c:pt idx="1478" formatCode="m/d/yyyy">
                  <c:v>43129</c:v>
                </c:pt>
                <c:pt idx="1479" formatCode="m/d/yyyy">
                  <c:v>43128</c:v>
                </c:pt>
                <c:pt idx="1480" formatCode="m/d/yyyy">
                  <c:v>43127</c:v>
                </c:pt>
                <c:pt idx="1481" formatCode="m/d/yyyy">
                  <c:v>43126</c:v>
                </c:pt>
                <c:pt idx="1482" formatCode="m/d/yyyy">
                  <c:v>43125</c:v>
                </c:pt>
                <c:pt idx="1483" formatCode="m/d/yyyy">
                  <c:v>43124</c:v>
                </c:pt>
                <c:pt idx="1484" formatCode="m/d/yyyy">
                  <c:v>43123</c:v>
                </c:pt>
                <c:pt idx="1485" formatCode="m/d/yyyy">
                  <c:v>43122</c:v>
                </c:pt>
                <c:pt idx="1486" formatCode="m/d/yyyy">
                  <c:v>43121</c:v>
                </c:pt>
                <c:pt idx="1487" formatCode="m/d/yyyy">
                  <c:v>43120</c:v>
                </c:pt>
                <c:pt idx="1488" formatCode="m/d/yyyy">
                  <c:v>43119</c:v>
                </c:pt>
                <c:pt idx="1489" formatCode="m/d/yyyy">
                  <c:v>43118</c:v>
                </c:pt>
                <c:pt idx="1490" formatCode="m/d/yyyy">
                  <c:v>43117</c:v>
                </c:pt>
                <c:pt idx="1491" formatCode="m/d/yyyy">
                  <c:v>43116</c:v>
                </c:pt>
                <c:pt idx="1492" formatCode="m/d/yyyy">
                  <c:v>43115</c:v>
                </c:pt>
                <c:pt idx="1493" formatCode="m/d/yyyy">
                  <c:v>43114</c:v>
                </c:pt>
                <c:pt idx="1494" formatCode="m/d/yyyy">
                  <c:v>43113</c:v>
                </c:pt>
                <c:pt idx="1495" formatCode="m/d/yyyy">
                  <c:v>43112</c:v>
                </c:pt>
                <c:pt idx="1496" formatCode="m/d/yyyy">
                  <c:v>43111</c:v>
                </c:pt>
                <c:pt idx="1497" formatCode="m/d/yyyy">
                  <c:v>43110</c:v>
                </c:pt>
                <c:pt idx="1498" formatCode="m/d/yyyy">
                  <c:v>43109</c:v>
                </c:pt>
                <c:pt idx="1499" formatCode="m/d/yyyy">
                  <c:v>43108</c:v>
                </c:pt>
                <c:pt idx="1500" formatCode="m/d/yyyy">
                  <c:v>43107</c:v>
                </c:pt>
                <c:pt idx="1501" formatCode="m/d/yyyy">
                  <c:v>43106</c:v>
                </c:pt>
                <c:pt idx="1502" formatCode="m/d/yyyy">
                  <c:v>43105</c:v>
                </c:pt>
                <c:pt idx="1503" formatCode="m/d/yyyy">
                  <c:v>43104</c:v>
                </c:pt>
                <c:pt idx="1504" formatCode="m/d/yyyy">
                  <c:v>43103</c:v>
                </c:pt>
                <c:pt idx="1505" formatCode="m/d/yyyy">
                  <c:v>43102</c:v>
                </c:pt>
                <c:pt idx="1506" formatCode="m/d/yyyy">
                  <c:v>43101</c:v>
                </c:pt>
                <c:pt idx="1507" formatCode="m/d/yyyy">
                  <c:v>43100</c:v>
                </c:pt>
                <c:pt idx="1508" formatCode="m/d/yyyy">
                  <c:v>43099</c:v>
                </c:pt>
                <c:pt idx="1509" formatCode="m/d/yyyy">
                  <c:v>43098</c:v>
                </c:pt>
                <c:pt idx="1510" formatCode="m/d/yyyy">
                  <c:v>43097</c:v>
                </c:pt>
                <c:pt idx="1511" formatCode="m/d/yyyy">
                  <c:v>43096</c:v>
                </c:pt>
                <c:pt idx="1512" formatCode="m/d/yyyy">
                  <c:v>43095</c:v>
                </c:pt>
                <c:pt idx="1513" formatCode="m/d/yyyy">
                  <c:v>43094</c:v>
                </c:pt>
                <c:pt idx="1514" formatCode="m/d/yyyy">
                  <c:v>43093</c:v>
                </c:pt>
                <c:pt idx="1515" formatCode="m/d/yyyy">
                  <c:v>43092</c:v>
                </c:pt>
                <c:pt idx="1516" formatCode="m/d/yyyy">
                  <c:v>43091</c:v>
                </c:pt>
                <c:pt idx="1517" formatCode="m/d/yyyy">
                  <c:v>43090</c:v>
                </c:pt>
                <c:pt idx="1518" formatCode="m/d/yyyy">
                  <c:v>43089</c:v>
                </c:pt>
                <c:pt idx="1519" formatCode="m/d/yyyy">
                  <c:v>43088</c:v>
                </c:pt>
                <c:pt idx="1520" formatCode="m/d/yyyy">
                  <c:v>43087</c:v>
                </c:pt>
                <c:pt idx="1521" formatCode="m/d/yyyy">
                  <c:v>43086</c:v>
                </c:pt>
                <c:pt idx="1522" formatCode="m/d/yyyy">
                  <c:v>43085</c:v>
                </c:pt>
                <c:pt idx="1523" formatCode="m/d/yyyy">
                  <c:v>43084</c:v>
                </c:pt>
                <c:pt idx="1524" formatCode="m/d/yyyy">
                  <c:v>43083</c:v>
                </c:pt>
                <c:pt idx="1525" formatCode="m/d/yyyy">
                  <c:v>43082</c:v>
                </c:pt>
                <c:pt idx="1526" formatCode="m/d/yyyy">
                  <c:v>43081</c:v>
                </c:pt>
                <c:pt idx="1527" formatCode="m/d/yyyy">
                  <c:v>43080</c:v>
                </c:pt>
                <c:pt idx="1528" formatCode="m/d/yyyy">
                  <c:v>43079</c:v>
                </c:pt>
                <c:pt idx="1529" formatCode="m/d/yyyy">
                  <c:v>43078</c:v>
                </c:pt>
                <c:pt idx="1530" formatCode="m/d/yyyy">
                  <c:v>43077</c:v>
                </c:pt>
                <c:pt idx="1531" formatCode="m/d/yyyy">
                  <c:v>43076</c:v>
                </c:pt>
                <c:pt idx="1532" formatCode="m/d/yyyy">
                  <c:v>43075</c:v>
                </c:pt>
                <c:pt idx="1533" formatCode="m/d/yyyy">
                  <c:v>43074</c:v>
                </c:pt>
                <c:pt idx="1534" formatCode="m/d/yyyy">
                  <c:v>43073</c:v>
                </c:pt>
                <c:pt idx="1535" formatCode="m/d/yyyy">
                  <c:v>43072</c:v>
                </c:pt>
                <c:pt idx="1536" formatCode="m/d/yyyy">
                  <c:v>43071</c:v>
                </c:pt>
                <c:pt idx="1537" formatCode="m/d/yyyy">
                  <c:v>43070</c:v>
                </c:pt>
                <c:pt idx="1538" formatCode="m/d/yyyy">
                  <c:v>43069</c:v>
                </c:pt>
                <c:pt idx="1539" formatCode="m/d/yyyy">
                  <c:v>43068</c:v>
                </c:pt>
                <c:pt idx="1540" formatCode="m/d/yyyy">
                  <c:v>43067</c:v>
                </c:pt>
                <c:pt idx="1541" formatCode="m/d/yyyy">
                  <c:v>43066</c:v>
                </c:pt>
                <c:pt idx="1542" formatCode="m/d/yyyy">
                  <c:v>43065</c:v>
                </c:pt>
                <c:pt idx="1543" formatCode="m/d/yyyy">
                  <c:v>43064</c:v>
                </c:pt>
                <c:pt idx="1544" formatCode="m/d/yyyy">
                  <c:v>43063</c:v>
                </c:pt>
                <c:pt idx="1545" formatCode="m/d/yyyy">
                  <c:v>43062</c:v>
                </c:pt>
                <c:pt idx="1546" formatCode="m/d/yyyy">
                  <c:v>43061</c:v>
                </c:pt>
                <c:pt idx="1547" formatCode="m/d/yyyy">
                  <c:v>43060</c:v>
                </c:pt>
                <c:pt idx="1548" formatCode="m/d/yyyy">
                  <c:v>43059</c:v>
                </c:pt>
                <c:pt idx="1549" formatCode="m/d/yyyy">
                  <c:v>43058</c:v>
                </c:pt>
                <c:pt idx="1550" formatCode="m/d/yyyy">
                  <c:v>43057</c:v>
                </c:pt>
                <c:pt idx="1551" formatCode="m/d/yyyy">
                  <c:v>43056</c:v>
                </c:pt>
                <c:pt idx="1552" formatCode="m/d/yyyy">
                  <c:v>43055</c:v>
                </c:pt>
                <c:pt idx="1553" formatCode="m/d/yyyy">
                  <c:v>43054</c:v>
                </c:pt>
                <c:pt idx="1554" formatCode="m/d/yyyy">
                  <c:v>43053</c:v>
                </c:pt>
                <c:pt idx="1555" formatCode="m/d/yyyy">
                  <c:v>43052</c:v>
                </c:pt>
                <c:pt idx="1556" formatCode="m/d/yyyy">
                  <c:v>43051</c:v>
                </c:pt>
                <c:pt idx="1557" formatCode="m/d/yyyy">
                  <c:v>43050</c:v>
                </c:pt>
                <c:pt idx="1558" formatCode="m/d/yyyy">
                  <c:v>43049</c:v>
                </c:pt>
                <c:pt idx="1559" formatCode="m/d/yyyy">
                  <c:v>43048</c:v>
                </c:pt>
                <c:pt idx="1560" formatCode="m/d/yyyy">
                  <c:v>43047</c:v>
                </c:pt>
                <c:pt idx="1561" formatCode="m/d/yyyy">
                  <c:v>43046</c:v>
                </c:pt>
                <c:pt idx="1562" formatCode="m/d/yyyy">
                  <c:v>43045</c:v>
                </c:pt>
                <c:pt idx="1563" formatCode="m/d/yyyy">
                  <c:v>43044</c:v>
                </c:pt>
                <c:pt idx="1564" formatCode="m/d/yyyy">
                  <c:v>43043</c:v>
                </c:pt>
                <c:pt idx="1565" formatCode="m/d/yyyy">
                  <c:v>43042</c:v>
                </c:pt>
                <c:pt idx="1566" formatCode="m/d/yyyy">
                  <c:v>43041</c:v>
                </c:pt>
                <c:pt idx="1567" formatCode="m/d/yyyy">
                  <c:v>43040</c:v>
                </c:pt>
                <c:pt idx="1568" formatCode="m/d/yyyy">
                  <c:v>43039</c:v>
                </c:pt>
                <c:pt idx="1569" formatCode="m/d/yyyy">
                  <c:v>43038</c:v>
                </c:pt>
                <c:pt idx="1570" formatCode="m/d/yyyy">
                  <c:v>43037</c:v>
                </c:pt>
                <c:pt idx="1571" formatCode="m/d/yyyy">
                  <c:v>43036</c:v>
                </c:pt>
                <c:pt idx="1572" formatCode="m/d/yyyy">
                  <c:v>43035</c:v>
                </c:pt>
                <c:pt idx="1573" formatCode="m/d/yyyy">
                  <c:v>43034</c:v>
                </c:pt>
                <c:pt idx="1574" formatCode="m/d/yyyy">
                  <c:v>43033</c:v>
                </c:pt>
                <c:pt idx="1575" formatCode="m/d/yyyy">
                  <c:v>43032</c:v>
                </c:pt>
                <c:pt idx="1576" formatCode="m/d/yyyy">
                  <c:v>43031</c:v>
                </c:pt>
                <c:pt idx="1577" formatCode="m/d/yyyy">
                  <c:v>43030</c:v>
                </c:pt>
                <c:pt idx="1578" formatCode="m/d/yyyy">
                  <c:v>43029</c:v>
                </c:pt>
                <c:pt idx="1579" formatCode="m/d/yyyy">
                  <c:v>43028</c:v>
                </c:pt>
                <c:pt idx="1580" formatCode="m/d/yyyy">
                  <c:v>43027</c:v>
                </c:pt>
                <c:pt idx="1581" formatCode="m/d/yyyy">
                  <c:v>43026</c:v>
                </c:pt>
                <c:pt idx="1582" formatCode="m/d/yyyy">
                  <c:v>43025</c:v>
                </c:pt>
                <c:pt idx="1583" formatCode="m/d/yyyy">
                  <c:v>43024</c:v>
                </c:pt>
                <c:pt idx="1584" formatCode="m/d/yyyy">
                  <c:v>43023</c:v>
                </c:pt>
                <c:pt idx="1585" formatCode="m/d/yyyy">
                  <c:v>43022</c:v>
                </c:pt>
                <c:pt idx="1586" formatCode="m/d/yyyy">
                  <c:v>43021</c:v>
                </c:pt>
                <c:pt idx="1587" formatCode="m/d/yyyy">
                  <c:v>43020</c:v>
                </c:pt>
                <c:pt idx="1588" formatCode="m/d/yyyy">
                  <c:v>43019</c:v>
                </c:pt>
                <c:pt idx="1589" formatCode="m/d/yyyy">
                  <c:v>43018</c:v>
                </c:pt>
                <c:pt idx="1590" formatCode="m/d/yyyy">
                  <c:v>43017</c:v>
                </c:pt>
                <c:pt idx="1591" formatCode="m/d/yyyy">
                  <c:v>43016</c:v>
                </c:pt>
                <c:pt idx="1592" formatCode="m/d/yyyy">
                  <c:v>43015</c:v>
                </c:pt>
                <c:pt idx="1593" formatCode="m/d/yyyy">
                  <c:v>43014</c:v>
                </c:pt>
                <c:pt idx="1594" formatCode="m/d/yyyy">
                  <c:v>43013</c:v>
                </c:pt>
                <c:pt idx="1595" formatCode="m/d/yyyy">
                  <c:v>43012</c:v>
                </c:pt>
                <c:pt idx="1596" formatCode="m/d/yyyy">
                  <c:v>43011</c:v>
                </c:pt>
                <c:pt idx="1597" formatCode="m/d/yyyy">
                  <c:v>43010</c:v>
                </c:pt>
                <c:pt idx="1598" formatCode="m/d/yyyy">
                  <c:v>43009</c:v>
                </c:pt>
                <c:pt idx="1599" formatCode="m/d/yyyy">
                  <c:v>43008</c:v>
                </c:pt>
                <c:pt idx="1600" formatCode="m/d/yyyy">
                  <c:v>43007</c:v>
                </c:pt>
                <c:pt idx="1601" formatCode="m/d/yyyy">
                  <c:v>43006</c:v>
                </c:pt>
                <c:pt idx="1602" formatCode="m/d/yyyy">
                  <c:v>43005</c:v>
                </c:pt>
                <c:pt idx="1603" formatCode="m/d/yyyy">
                  <c:v>43004</c:v>
                </c:pt>
                <c:pt idx="1604" formatCode="m/d/yyyy">
                  <c:v>43003</c:v>
                </c:pt>
                <c:pt idx="1605" formatCode="m/d/yyyy">
                  <c:v>43002</c:v>
                </c:pt>
                <c:pt idx="1606" formatCode="m/d/yyyy">
                  <c:v>43001</c:v>
                </c:pt>
                <c:pt idx="1607" formatCode="m/d/yyyy">
                  <c:v>43000</c:v>
                </c:pt>
                <c:pt idx="1608" formatCode="m/d/yyyy">
                  <c:v>42999</c:v>
                </c:pt>
                <c:pt idx="1609" formatCode="m/d/yyyy">
                  <c:v>42998</c:v>
                </c:pt>
                <c:pt idx="1610" formatCode="m/d/yyyy">
                  <c:v>42997</c:v>
                </c:pt>
                <c:pt idx="1611" formatCode="m/d/yyyy">
                  <c:v>42996</c:v>
                </c:pt>
                <c:pt idx="1612" formatCode="m/d/yyyy">
                  <c:v>42995</c:v>
                </c:pt>
                <c:pt idx="1613" formatCode="m/d/yyyy">
                  <c:v>42994</c:v>
                </c:pt>
                <c:pt idx="1614" formatCode="m/d/yyyy">
                  <c:v>42993</c:v>
                </c:pt>
                <c:pt idx="1615" formatCode="m/d/yyyy">
                  <c:v>42992</c:v>
                </c:pt>
                <c:pt idx="1616" formatCode="m/d/yyyy">
                  <c:v>42991</c:v>
                </c:pt>
                <c:pt idx="1617" formatCode="m/d/yyyy">
                  <c:v>42990</c:v>
                </c:pt>
                <c:pt idx="1618" formatCode="m/d/yyyy">
                  <c:v>42989</c:v>
                </c:pt>
                <c:pt idx="1619" formatCode="m/d/yyyy">
                  <c:v>42988</c:v>
                </c:pt>
                <c:pt idx="1620" formatCode="m/d/yyyy">
                  <c:v>42987</c:v>
                </c:pt>
                <c:pt idx="1621" formatCode="m/d/yyyy">
                  <c:v>42986</c:v>
                </c:pt>
                <c:pt idx="1622" formatCode="m/d/yyyy">
                  <c:v>42985</c:v>
                </c:pt>
                <c:pt idx="1623" formatCode="m/d/yyyy">
                  <c:v>42984</c:v>
                </c:pt>
                <c:pt idx="1624" formatCode="m/d/yyyy">
                  <c:v>42983</c:v>
                </c:pt>
                <c:pt idx="1625" formatCode="m/d/yyyy">
                  <c:v>42982</c:v>
                </c:pt>
                <c:pt idx="1626" formatCode="m/d/yyyy">
                  <c:v>42981</c:v>
                </c:pt>
                <c:pt idx="1627" formatCode="m/d/yyyy">
                  <c:v>42980</c:v>
                </c:pt>
                <c:pt idx="1628" formatCode="m/d/yyyy">
                  <c:v>42979</c:v>
                </c:pt>
                <c:pt idx="1629" formatCode="m/d/yyyy">
                  <c:v>42978</c:v>
                </c:pt>
                <c:pt idx="1630" formatCode="m/d/yyyy">
                  <c:v>42977</c:v>
                </c:pt>
                <c:pt idx="1631" formatCode="m/d/yyyy">
                  <c:v>42976</c:v>
                </c:pt>
                <c:pt idx="1632" formatCode="m/d/yyyy">
                  <c:v>42975</c:v>
                </c:pt>
                <c:pt idx="1633" formatCode="m/d/yyyy">
                  <c:v>42974</c:v>
                </c:pt>
                <c:pt idx="1634" formatCode="m/d/yyyy">
                  <c:v>42973</c:v>
                </c:pt>
                <c:pt idx="1635" formatCode="m/d/yyyy">
                  <c:v>42972</c:v>
                </c:pt>
                <c:pt idx="1636" formatCode="m/d/yyyy">
                  <c:v>42971</c:v>
                </c:pt>
                <c:pt idx="1637" formatCode="m/d/yyyy">
                  <c:v>42970</c:v>
                </c:pt>
                <c:pt idx="1638" formatCode="m/d/yyyy">
                  <c:v>42969</c:v>
                </c:pt>
                <c:pt idx="1639" formatCode="m/d/yyyy">
                  <c:v>42968</c:v>
                </c:pt>
                <c:pt idx="1640" formatCode="m/d/yyyy">
                  <c:v>42967</c:v>
                </c:pt>
                <c:pt idx="1641" formatCode="m/d/yyyy">
                  <c:v>42966</c:v>
                </c:pt>
                <c:pt idx="1642" formatCode="m/d/yyyy">
                  <c:v>42965</c:v>
                </c:pt>
                <c:pt idx="1643" formatCode="m/d/yyyy">
                  <c:v>42964</c:v>
                </c:pt>
                <c:pt idx="1644" formatCode="m/d/yyyy">
                  <c:v>42963</c:v>
                </c:pt>
                <c:pt idx="1645" formatCode="m/d/yyyy">
                  <c:v>42962</c:v>
                </c:pt>
                <c:pt idx="1646" formatCode="m/d/yyyy">
                  <c:v>42961</c:v>
                </c:pt>
                <c:pt idx="1647" formatCode="m/d/yyyy">
                  <c:v>42960</c:v>
                </c:pt>
                <c:pt idx="1648" formatCode="m/d/yyyy">
                  <c:v>42959</c:v>
                </c:pt>
                <c:pt idx="1649" formatCode="m/d/yyyy">
                  <c:v>42958</c:v>
                </c:pt>
                <c:pt idx="1650" formatCode="m/d/yyyy">
                  <c:v>42957</c:v>
                </c:pt>
                <c:pt idx="1651" formatCode="m/d/yyyy">
                  <c:v>42956</c:v>
                </c:pt>
                <c:pt idx="1652" formatCode="m/d/yyyy">
                  <c:v>42955</c:v>
                </c:pt>
                <c:pt idx="1653" formatCode="m/d/yyyy">
                  <c:v>42954</c:v>
                </c:pt>
                <c:pt idx="1654" formatCode="m/d/yyyy">
                  <c:v>42953</c:v>
                </c:pt>
                <c:pt idx="1655" formatCode="m/d/yyyy">
                  <c:v>42952</c:v>
                </c:pt>
                <c:pt idx="1656" formatCode="m/d/yyyy">
                  <c:v>42951</c:v>
                </c:pt>
                <c:pt idx="1657" formatCode="m/d/yyyy">
                  <c:v>42950</c:v>
                </c:pt>
                <c:pt idx="1658" formatCode="m/d/yyyy">
                  <c:v>42949</c:v>
                </c:pt>
                <c:pt idx="1659" formatCode="m/d/yyyy">
                  <c:v>42948</c:v>
                </c:pt>
                <c:pt idx="1660" formatCode="m/d/yyyy">
                  <c:v>42947</c:v>
                </c:pt>
                <c:pt idx="1661" formatCode="m/d/yyyy">
                  <c:v>42946</c:v>
                </c:pt>
                <c:pt idx="1662" formatCode="m/d/yyyy">
                  <c:v>42945</c:v>
                </c:pt>
                <c:pt idx="1663" formatCode="m/d/yyyy">
                  <c:v>42944</c:v>
                </c:pt>
                <c:pt idx="1664" formatCode="m/d/yyyy">
                  <c:v>42943</c:v>
                </c:pt>
                <c:pt idx="1665" formatCode="m/d/yyyy">
                  <c:v>42942</c:v>
                </c:pt>
                <c:pt idx="1666" formatCode="m/d/yyyy">
                  <c:v>42941</c:v>
                </c:pt>
                <c:pt idx="1667" formatCode="m/d/yyyy">
                  <c:v>42940</c:v>
                </c:pt>
                <c:pt idx="1668" formatCode="m/d/yyyy">
                  <c:v>42939</c:v>
                </c:pt>
                <c:pt idx="1669" formatCode="m/d/yyyy">
                  <c:v>42938</c:v>
                </c:pt>
                <c:pt idx="1670" formatCode="m/d/yyyy">
                  <c:v>42937</c:v>
                </c:pt>
                <c:pt idx="1671" formatCode="m/d/yyyy">
                  <c:v>42936</c:v>
                </c:pt>
                <c:pt idx="1672" formatCode="m/d/yyyy">
                  <c:v>42935</c:v>
                </c:pt>
                <c:pt idx="1673" formatCode="m/d/yyyy">
                  <c:v>42934</c:v>
                </c:pt>
                <c:pt idx="1674" formatCode="m/d/yyyy">
                  <c:v>42933</c:v>
                </c:pt>
                <c:pt idx="1675" formatCode="m/d/yyyy">
                  <c:v>42932</c:v>
                </c:pt>
                <c:pt idx="1676" formatCode="m/d/yyyy">
                  <c:v>42931</c:v>
                </c:pt>
                <c:pt idx="1677" formatCode="m/d/yyyy">
                  <c:v>42930</c:v>
                </c:pt>
                <c:pt idx="1678" formatCode="m/d/yyyy">
                  <c:v>42929</c:v>
                </c:pt>
                <c:pt idx="1679" formatCode="m/d/yyyy">
                  <c:v>42928</c:v>
                </c:pt>
                <c:pt idx="1680" formatCode="m/d/yyyy">
                  <c:v>42927</c:v>
                </c:pt>
                <c:pt idx="1681" formatCode="m/d/yyyy">
                  <c:v>42926</c:v>
                </c:pt>
                <c:pt idx="1682" formatCode="m/d/yyyy">
                  <c:v>42925</c:v>
                </c:pt>
                <c:pt idx="1683" formatCode="m/d/yyyy">
                  <c:v>42924</c:v>
                </c:pt>
                <c:pt idx="1684" formatCode="m/d/yyyy">
                  <c:v>42923</c:v>
                </c:pt>
                <c:pt idx="1685" formatCode="m/d/yyyy">
                  <c:v>42922</c:v>
                </c:pt>
                <c:pt idx="1686" formatCode="m/d/yyyy">
                  <c:v>42921</c:v>
                </c:pt>
                <c:pt idx="1687" formatCode="m/d/yyyy">
                  <c:v>42920</c:v>
                </c:pt>
                <c:pt idx="1688" formatCode="m/d/yyyy">
                  <c:v>42919</c:v>
                </c:pt>
                <c:pt idx="1689" formatCode="m/d/yyyy">
                  <c:v>42918</c:v>
                </c:pt>
                <c:pt idx="1690" formatCode="m/d/yyyy">
                  <c:v>42917</c:v>
                </c:pt>
                <c:pt idx="1691" formatCode="m/d/yyyy">
                  <c:v>42916</c:v>
                </c:pt>
                <c:pt idx="1692" formatCode="m/d/yyyy">
                  <c:v>42915</c:v>
                </c:pt>
                <c:pt idx="1693" formatCode="m/d/yyyy">
                  <c:v>42914</c:v>
                </c:pt>
                <c:pt idx="1694" formatCode="m/d/yyyy">
                  <c:v>42913</c:v>
                </c:pt>
                <c:pt idx="1695" formatCode="m/d/yyyy">
                  <c:v>42912</c:v>
                </c:pt>
                <c:pt idx="1696" formatCode="m/d/yyyy">
                  <c:v>42911</c:v>
                </c:pt>
                <c:pt idx="1697" formatCode="m/d/yyyy">
                  <c:v>42910</c:v>
                </c:pt>
                <c:pt idx="1698" formatCode="m/d/yyyy">
                  <c:v>42909</c:v>
                </c:pt>
                <c:pt idx="1699" formatCode="m/d/yyyy">
                  <c:v>42908</c:v>
                </c:pt>
                <c:pt idx="1700" formatCode="m/d/yyyy">
                  <c:v>42907</c:v>
                </c:pt>
                <c:pt idx="1701" formatCode="m/d/yyyy">
                  <c:v>42906</c:v>
                </c:pt>
                <c:pt idx="1702" formatCode="m/d/yyyy">
                  <c:v>42905</c:v>
                </c:pt>
                <c:pt idx="1703" formatCode="m/d/yyyy">
                  <c:v>42904</c:v>
                </c:pt>
                <c:pt idx="1704" formatCode="m/d/yyyy">
                  <c:v>42903</c:v>
                </c:pt>
                <c:pt idx="1705" formatCode="m/d/yyyy">
                  <c:v>42902</c:v>
                </c:pt>
                <c:pt idx="1706" formatCode="m/d/yyyy">
                  <c:v>42901</c:v>
                </c:pt>
                <c:pt idx="1707" formatCode="m/d/yyyy">
                  <c:v>42900</c:v>
                </c:pt>
                <c:pt idx="1708" formatCode="m/d/yyyy">
                  <c:v>42899</c:v>
                </c:pt>
                <c:pt idx="1709" formatCode="m/d/yyyy">
                  <c:v>42898</c:v>
                </c:pt>
                <c:pt idx="1710" formatCode="m/d/yyyy">
                  <c:v>42897</c:v>
                </c:pt>
                <c:pt idx="1711" formatCode="m/d/yyyy">
                  <c:v>42896</c:v>
                </c:pt>
                <c:pt idx="1712" formatCode="m/d/yyyy">
                  <c:v>42895</c:v>
                </c:pt>
                <c:pt idx="1713" formatCode="m/d/yyyy">
                  <c:v>42894</c:v>
                </c:pt>
                <c:pt idx="1714" formatCode="m/d/yyyy">
                  <c:v>42893</c:v>
                </c:pt>
                <c:pt idx="1715" formatCode="m/d/yyyy">
                  <c:v>42892</c:v>
                </c:pt>
                <c:pt idx="1716" formatCode="m/d/yyyy">
                  <c:v>42891</c:v>
                </c:pt>
                <c:pt idx="1717" formatCode="m/d/yyyy">
                  <c:v>42890</c:v>
                </c:pt>
                <c:pt idx="1718" formatCode="m/d/yyyy">
                  <c:v>42889</c:v>
                </c:pt>
                <c:pt idx="1719" formatCode="m/d/yyyy">
                  <c:v>42888</c:v>
                </c:pt>
                <c:pt idx="1720" formatCode="m/d/yyyy">
                  <c:v>42887</c:v>
                </c:pt>
                <c:pt idx="1721" formatCode="m/d/yyyy">
                  <c:v>42886</c:v>
                </c:pt>
                <c:pt idx="1722" formatCode="m/d/yyyy">
                  <c:v>42885</c:v>
                </c:pt>
                <c:pt idx="1723" formatCode="m/d/yyyy">
                  <c:v>42884</c:v>
                </c:pt>
                <c:pt idx="1724" formatCode="m/d/yyyy">
                  <c:v>42883</c:v>
                </c:pt>
                <c:pt idx="1725" formatCode="m/d/yyyy">
                  <c:v>42882</c:v>
                </c:pt>
                <c:pt idx="1726" formatCode="m/d/yyyy">
                  <c:v>42881</c:v>
                </c:pt>
                <c:pt idx="1727" formatCode="m/d/yyyy">
                  <c:v>42880</c:v>
                </c:pt>
                <c:pt idx="1728" formatCode="m/d/yyyy">
                  <c:v>42879</c:v>
                </c:pt>
                <c:pt idx="1729" formatCode="m/d/yyyy">
                  <c:v>42878</c:v>
                </c:pt>
                <c:pt idx="1730" formatCode="m/d/yyyy">
                  <c:v>42877</c:v>
                </c:pt>
                <c:pt idx="1731" formatCode="m/d/yyyy">
                  <c:v>42876</c:v>
                </c:pt>
                <c:pt idx="1732" formatCode="m/d/yyyy">
                  <c:v>42875</c:v>
                </c:pt>
                <c:pt idx="1733" formatCode="m/d/yyyy">
                  <c:v>42874</c:v>
                </c:pt>
                <c:pt idx="1734" formatCode="m/d/yyyy">
                  <c:v>42873</c:v>
                </c:pt>
                <c:pt idx="1735" formatCode="m/d/yyyy">
                  <c:v>42872</c:v>
                </c:pt>
                <c:pt idx="1736" formatCode="m/d/yyyy">
                  <c:v>42871</c:v>
                </c:pt>
                <c:pt idx="1737" formatCode="m/d/yyyy">
                  <c:v>42870</c:v>
                </c:pt>
                <c:pt idx="1738" formatCode="m/d/yyyy">
                  <c:v>42869</c:v>
                </c:pt>
                <c:pt idx="1739" formatCode="m/d/yyyy">
                  <c:v>42868</c:v>
                </c:pt>
                <c:pt idx="1740" formatCode="m/d/yyyy">
                  <c:v>42867</c:v>
                </c:pt>
                <c:pt idx="1741" formatCode="m/d/yyyy">
                  <c:v>42866</c:v>
                </c:pt>
                <c:pt idx="1742" formatCode="m/d/yyyy">
                  <c:v>42865</c:v>
                </c:pt>
                <c:pt idx="1743" formatCode="m/d/yyyy">
                  <c:v>42864</c:v>
                </c:pt>
                <c:pt idx="1744" formatCode="m/d/yyyy">
                  <c:v>42863</c:v>
                </c:pt>
                <c:pt idx="1745" formatCode="m/d/yyyy">
                  <c:v>42862</c:v>
                </c:pt>
                <c:pt idx="1746" formatCode="m/d/yyyy">
                  <c:v>42861</c:v>
                </c:pt>
                <c:pt idx="1747" formatCode="m/d/yyyy">
                  <c:v>42860</c:v>
                </c:pt>
                <c:pt idx="1748" formatCode="m/d/yyyy">
                  <c:v>42859</c:v>
                </c:pt>
                <c:pt idx="1749" formatCode="m/d/yyyy">
                  <c:v>42858</c:v>
                </c:pt>
                <c:pt idx="1750" formatCode="m/d/yyyy">
                  <c:v>42857</c:v>
                </c:pt>
                <c:pt idx="1751" formatCode="m/d/yyyy">
                  <c:v>42856</c:v>
                </c:pt>
                <c:pt idx="1752" formatCode="m/d/yyyy">
                  <c:v>42855</c:v>
                </c:pt>
                <c:pt idx="1753" formatCode="m/d/yyyy">
                  <c:v>42854</c:v>
                </c:pt>
                <c:pt idx="1754" formatCode="m/d/yyyy">
                  <c:v>42853</c:v>
                </c:pt>
                <c:pt idx="1755" formatCode="m/d/yyyy">
                  <c:v>42852</c:v>
                </c:pt>
                <c:pt idx="1756" formatCode="m/d/yyyy">
                  <c:v>42851</c:v>
                </c:pt>
                <c:pt idx="1757" formatCode="m/d/yyyy">
                  <c:v>42850</c:v>
                </c:pt>
                <c:pt idx="1758" formatCode="m/d/yyyy">
                  <c:v>42849</c:v>
                </c:pt>
                <c:pt idx="1759" formatCode="m/d/yyyy">
                  <c:v>42848</c:v>
                </c:pt>
                <c:pt idx="1760" formatCode="m/d/yyyy">
                  <c:v>42847</c:v>
                </c:pt>
                <c:pt idx="1761" formatCode="m/d/yyyy">
                  <c:v>42846</c:v>
                </c:pt>
                <c:pt idx="1762" formatCode="m/d/yyyy">
                  <c:v>42845</c:v>
                </c:pt>
                <c:pt idx="1763" formatCode="m/d/yyyy">
                  <c:v>42844</c:v>
                </c:pt>
                <c:pt idx="1764" formatCode="m/d/yyyy">
                  <c:v>42843</c:v>
                </c:pt>
                <c:pt idx="1765" formatCode="m/d/yyyy">
                  <c:v>42842</c:v>
                </c:pt>
                <c:pt idx="1766" formatCode="m/d/yyyy">
                  <c:v>42841</c:v>
                </c:pt>
                <c:pt idx="1767" formatCode="m/d/yyyy">
                  <c:v>42840</c:v>
                </c:pt>
                <c:pt idx="1768" formatCode="m/d/yyyy">
                  <c:v>42839</c:v>
                </c:pt>
                <c:pt idx="1769" formatCode="m/d/yyyy">
                  <c:v>42838</c:v>
                </c:pt>
                <c:pt idx="1770" formatCode="m/d/yyyy">
                  <c:v>42837</c:v>
                </c:pt>
                <c:pt idx="1771" formatCode="m/d/yyyy">
                  <c:v>42836</c:v>
                </c:pt>
                <c:pt idx="1772" formatCode="m/d/yyyy">
                  <c:v>42835</c:v>
                </c:pt>
                <c:pt idx="1773" formatCode="m/d/yyyy">
                  <c:v>42834</c:v>
                </c:pt>
                <c:pt idx="1774" formatCode="m/d/yyyy">
                  <c:v>42833</c:v>
                </c:pt>
                <c:pt idx="1775" formatCode="m/d/yyyy">
                  <c:v>42832</c:v>
                </c:pt>
                <c:pt idx="1776" formatCode="m/d/yyyy">
                  <c:v>42831</c:v>
                </c:pt>
                <c:pt idx="1777" formatCode="m/d/yyyy">
                  <c:v>42830</c:v>
                </c:pt>
                <c:pt idx="1778" formatCode="m/d/yyyy">
                  <c:v>42829</c:v>
                </c:pt>
                <c:pt idx="1779" formatCode="m/d/yyyy">
                  <c:v>42828</c:v>
                </c:pt>
                <c:pt idx="1780" formatCode="m/d/yyyy">
                  <c:v>42827</c:v>
                </c:pt>
                <c:pt idx="1781" formatCode="m/d/yyyy">
                  <c:v>42826</c:v>
                </c:pt>
                <c:pt idx="1782" formatCode="m/d/yyyy">
                  <c:v>42825</c:v>
                </c:pt>
                <c:pt idx="1783" formatCode="m/d/yyyy">
                  <c:v>42824</c:v>
                </c:pt>
                <c:pt idx="1784" formatCode="m/d/yyyy">
                  <c:v>42823</c:v>
                </c:pt>
                <c:pt idx="1785" formatCode="m/d/yyyy">
                  <c:v>42822</c:v>
                </c:pt>
                <c:pt idx="1786" formatCode="m/d/yyyy">
                  <c:v>42821</c:v>
                </c:pt>
                <c:pt idx="1787" formatCode="m/d/yyyy">
                  <c:v>42820</c:v>
                </c:pt>
                <c:pt idx="1788" formatCode="m/d/yyyy">
                  <c:v>42819</c:v>
                </c:pt>
                <c:pt idx="1789" formatCode="m/d/yyyy">
                  <c:v>42818</c:v>
                </c:pt>
                <c:pt idx="1790" formatCode="m/d/yyyy">
                  <c:v>42817</c:v>
                </c:pt>
                <c:pt idx="1791" formatCode="m/d/yyyy">
                  <c:v>42816</c:v>
                </c:pt>
                <c:pt idx="1792" formatCode="m/d/yyyy">
                  <c:v>42815</c:v>
                </c:pt>
                <c:pt idx="1793" formatCode="m/d/yyyy">
                  <c:v>42814</c:v>
                </c:pt>
                <c:pt idx="1794" formatCode="m/d/yyyy">
                  <c:v>42813</c:v>
                </c:pt>
                <c:pt idx="1795" formatCode="m/d/yyyy">
                  <c:v>42812</c:v>
                </c:pt>
                <c:pt idx="1796" formatCode="m/d/yyyy">
                  <c:v>42811</c:v>
                </c:pt>
                <c:pt idx="1797" formatCode="m/d/yyyy">
                  <c:v>42810</c:v>
                </c:pt>
                <c:pt idx="1798" formatCode="m/d/yyyy">
                  <c:v>42809</c:v>
                </c:pt>
                <c:pt idx="1799" formatCode="m/d/yyyy">
                  <c:v>42808</c:v>
                </c:pt>
                <c:pt idx="1800" formatCode="m/d/yyyy">
                  <c:v>42807</c:v>
                </c:pt>
                <c:pt idx="1801" formatCode="m/d/yyyy">
                  <c:v>42806</c:v>
                </c:pt>
                <c:pt idx="1802" formatCode="m/d/yyyy">
                  <c:v>42805</c:v>
                </c:pt>
                <c:pt idx="1803" formatCode="m/d/yyyy">
                  <c:v>42804</c:v>
                </c:pt>
                <c:pt idx="1804" formatCode="m/d/yyyy">
                  <c:v>42803</c:v>
                </c:pt>
                <c:pt idx="1805" formatCode="m/d/yyyy">
                  <c:v>42802</c:v>
                </c:pt>
                <c:pt idx="1806" formatCode="m/d/yyyy">
                  <c:v>42801</c:v>
                </c:pt>
                <c:pt idx="1807" formatCode="m/d/yyyy">
                  <c:v>42800</c:v>
                </c:pt>
                <c:pt idx="1808" formatCode="m/d/yyyy">
                  <c:v>42799</c:v>
                </c:pt>
                <c:pt idx="1809" formatCode="m/d/yyyy">
                  <c:v>42798</c:v>
                </c:pt>
                <c:pt idx="1810" formatCode="m/d/yyyy">
                  <c:v>42797</c:v>
                </c:pt>
                <c:pt idx="1811" formatCode="m/d/yyyy">
                  <c:v>42796</c:v>
                </c:pt>
                <c:pt idx="1812" formatCode="m/d/yyyy">
                  <c:v>42795</c:v>
                </c:pt>
                <c:pt idx="1813" formatCode="m/d/yyyy">
                  <c:v>42794</c:v>
                </c:pt>
                <c:pt idx="1814" formatCode="m/d/yyyy">
                  <c:v>42793</c:v>
                </c:pt>
                <c:pt idx="1815" formatCode="m/d/yyyy">
                  <c:v>42792</c:v>
                </c:pt>
                <c:pt idx="1816" formatCode="m/d/yyyy">
                  <c:v>42791</c:v>
                </c:pt>
                <c:pt idx="1817" formatCode="m/d/yyyy">
                  <c:v>42790</c:v>
                </c:pt>
                <c:pt idx="1818" formatCode="m/d/yyyy">
                  <c:v>42789</c:v>
                </c:pt>
                <c:pt idx="1819" formatCode="m/d/yyyy">
                  <c:v>42788</c:v>
                </c:pt>
                <c:pt idx="1820" formatCode="m/d/yyyy">
                  <c:v>42787</c:v>
                </c:pt>
                <c:pt idx="1821" formatCode="m/d/yyyy">
                  <c:v>42786</c:v>
                </c:pt>
                <c:pt idx="1822" formatCode="m/d/yyyy">
                  <c:v>42785</c:v>
                </c:pt>
                <c:pt idx="1823" formatCode="m/d/yyyy">
                  <c:v>42784</c:v>
                </c:pt>
                <c:pt idx="1824" formatCode="m/d/yyyy">
                  <c:v>42783</c:v>
                </c:pt>
                <c:pt idx="1825" formatCode="m/d/yyyy">
                  <c:v>42782</c:v>
                </c:pt>
                <c:pt idx="1826" formatCode="m/d/yyyy">
                  <c:v>42781</c:v>
                </c:pt>
              </c:numCache>
            </c:numRef>
          </c:cat>
          <c:val>
            <c:numRef>
              <c:f>Indexed!$D$4:$D$3657</c:f>
              <c:numCache>
                <c:formatCode>0</c:formatCode>
                <c:ptCount val="3654"/>
                <c:pt idx="0">
                  <c:v>0</c:v>
                </c:pt>
                <c:pt idx="1">
                  <c:v>890.53211009174311</c:v>
                </c:pt>
                <c:pt idx="2">
                  <c:v>878.86238532110087</c:v>
                </c:pt>
                <c:pt idx="3">
                  <c:v>878.86238532110087</c:v>
                </c:pt>
                <c:pt idx="4">
                  <c:v>878.86238532110087</c:v>
                </c:pt>
                <c:pt idx="5">
                  <c:v>947.66972477064223</c:v>
                </c:pt>
                <c:pt idx="6">
                  <c:v>980.00000000000011</c:v>
                </c:pt>
                <c:pt idx="7">
                  <c:v>921.39449541284398</c:v>
                </c:pt>
                <c:pt idx="8">
                  <c:v>907.44954128440372</c:v>
                </c:pt>
                <c:pt idx="9">
                  <c:v>892.44036697247702</c:v>
                </c:pt>
                <c:pt idx="10">
                  <c:v>892.44036697247702</c:v>
                </c:pt>
                <c:pt idx="11">
                  <c:v>892.44036697247702</c:v>
                </c:pt>
                <c:pt idx="12">
                  <c:v>878.82568807339453</c:v>
                </c:pt>
                <c:pt idx="13">
                  <c:v>926.3119266055046</c:v>
                </c:pt>
                <c:pt idx="14">
                  <c:v>904.1467889908256</c:v>
                </c:pt>
                <c:pt idx="15">
                  <c:v>898.56880733944956</c:v>
                </c:pt>
                <c:pt idx="16">
                  <c:v>838.165137614679</c:v>
                </c:pt>
                <c:pt idx="17">
                  <c:v>838.165137614679</c:v>
                </c:pt>
                <c:pt idx="18">
                  <c:v>838.165137614679</c:v>
                </c:pt>
                <c:pt idx="19">
                  <c:v>805.28440366972484</c:v>
                </c:pt>
                <c:pt idx="20">
                  <c:v>835.66972477064212</c:v>
                </c:pt>
                <c:pt idx="21">
                  <c:v>819.2293577981651</c:v>
                </c:pt>
                <c:pt idx="22">
                  <c:v>857.6880733944954</c:v>
                </c:pt>
                <c:pt idx="23">
                  <c:v>857.76146788990832</c:v>
                </c:pt>
                <c:pt idx="24">
                  <c:v>857.76146788990832</c:v>
                </c:pt>
                <c:pt idx="25">
                  <c:v>857.76146788990832</c:v>
                </c:pt>
                <c:pt idx="26">
                  <c:v>886.2385321100918</c:v>
                </c:pt>
                <c:pt idx="27">
                  <c:v>919.88990825688074</c:v>
                </c:pt>
                <c:pt idx="28">
                  <c:v>950.56880733944945</c:v>
                </c:pt>
                <c:pt idx="29">
                  <c:v>988.6972477064221</c:v>
                </c:pt>
                <c:pt idx="30">
                  <c:v>988.6972477064221</c:v>
                </c:pt>
                <c:pt idx="31">
                  <c:v>988.6972477064221</c:v>
                </c:pt>
                <c:pt idx="32">
                  <c:v>988.6972477064221</c:v>
                </c:pt>
                <c:pt idx="33">
                  <c:v>975.22935779816521</c:v>
                </c:pt>
                <c:pt idx="34">
                  <c:v>1027.4862385321103</c:v>
                </c:pt>
                <c:pt idx="35">
                  <c:v>1020.8073394495412</c:v>
                </c:pt>
                <c:pt idx="36">
                  <c:v>1005.5045871559633</c:v>
                </c:pt>
                <c:pt idx="37">
                  <c:v>999.88990825688086</c:v>
                </c:pt>
                <c:pt idx="38">
                  <c:v>999.88990825688086</c:v>
                </c:pt>
                <c:pt idx="39">
                  <c:v>999.88990825688086</c:v>
                </c:pt>
                <c:pt idx="40">
                  <c:v>1034.0550458715595</c:v>
                </c:pt>
                <c:pt idx="41">
                  <c:v>1012.9908256880734</c:v>
                </c:pt>
                <c:pt idx="42">
                  <c:v>1074.8623853211009</c:v>
                </c:pt>
                <c:pt idx="43">
                  <c:v>1105.3577981651376</c:v>
                </c:pt>
                <c:pt idx="44">
                  <c:v>1079.3027522935781</c:v>
                </c:pt>
                <c:pt idx="45">
                  <c:v>1079.3027522935781</c:v>
                </c:pt>
                <c:pt idx="46">
                  <c:v>1079.3027522935781</c:v>
                </c:pt>
                <c:pt idx="47">
                  <c:v>1085.724770642202</c:v>
                </c:pt>
                <c:pt idx="48">
                  <c:v>1100.954128440367</c:v>
                </c:pt>
                <c:pt idx="49">
                  <c:v>1112.7339449541284</c:v>
                </c:pt>
                <c:pt idx="50">
                  <c:v>1135.5963302752293</c:v>
                </c:pt>
                <c:pt idx="51">
                  <c:v>1087.7064220183483</c:v>
                </c:pt>
                <c:pt idx="52">
                  <c:v>1087.7064220183483</c:v>
                </c:pt>
                <c:pt idx="53">
                  <c:v>1087.7064220183483</c:v>
                </c:pt>
                <c:pt idx="54">
                  <c:v>1087.7064220183483</c:v>
                </c:pt>
                <c:pt idx="55">
                  <c:v>1078.8990825688072</c:v>
                </c:pt>
                <c:pt idx="56">
                  <c:v>1066.9724770642201</c:v>
                </c:pt>
                <c:pt idx="57">
                  <c:v>1017.2110091743119</c:v>
                </c:pt>
                <c:pt idx="58">
                  <c:v>1020.2201834862384</c:v>
                </c:pt>
                <c:pt idx="59">
                  <c:v>1020.2201834862384</c:v>
                </c:pt>
                <c:pt idx="60">
                  <c:v>1020.2201834862384</c:v>
                </c:pt>
                <c:pt idx="61">
                  <c:v>1041.724770642202</c:v>
                </c:pt>
                <c:pt idx="62">
                  <c:v>1117.7614678899081</c:v>
                </c:pt>
                <c:pt idx="63">
                  <c:v>1039.8899082568807</c:v>
                </c:pt>
                <c:pt idx="64">
                  <c:v>1033.4311926605506</c:v>
                </c:pt>
                <c:pt idx="65">
                  <c:v>1108.1834862385322</c:v>
                </c:pt>
                <c:pt idx="66">
                  <c:v>1108.1834862385322</c:v>
                </c:pt>
                <c:pt idx="67">
                  <c:v>1108.1834862385322</c:v>
                </c:pt>
                <c:pt idx="68">
                  <c:v>1118.8990825688072</c:v>
                </c:pt>
                <c:pt idx="69">
                  <c:v>1167.9266055045873</c:v>
                </c:pt>
                <c:pt idx="70">
                  <c:v>1189.9816513761466</c:v>
                </c:pt>
                <c:pt idx="71">
                  <c:v>1102.2752293577983</c:v>
                </c:pt>
                <c:pt idx="72">
                  <c:v>1126.3486238532109</c:v>
                </c:pt>
                <c:pt idx="73">
                  <c:v>1126.3486238532109</c:v>
                </c:pt>
                <c:pt idx="74">
                  <c:v>1126.3486238532109</c:v>
                </c:pt>
                <c:pt idx="75">
                  <c:v>1178.9357798165136</c:v>
                </c:pt>
                <c:pt idx="76">
                  <c:v>1153.5779816513764</c:v>
                </c:pt>
                <c:pt idx="77">
                  <c:v>1199.119266055046</c:v>
                </c:pt>
                <c:pt idx="78">
                  <c:v>1224.8073394495411</c:v>
                </c:pt>
                <c:pt idx="79">
                  <c:v>1156.0733944954129</c:v>
                </c:pt>
                <c:pt idx="80">
                  <c:v>1156.0733944954129</c:v>
                </c:pt>
                <c:pt idx="81">
                  <c:v>1156.0733944954129</c:v>
                </c:pt>
                <c:pt idx="82">
                  <c:v>1199.045871559633</c:v>
                </c:pt>
                <c:pt idx="83">
                  <c:v>1199.045871559633</c:v>
                </c:pt>
                <c:pt idx="84">
                  <c:v>1164.9908256880733</c:v>
                </c:pt>
                <c:pt idx="85">
                  <c:v>1172.6972477064221</c:v>
                </c:pt>
                <c:pt idx="86">
                  <c:v>1210.4587155963304</c:v>
                </c:pt>
                <c:pt idx="87">
                  <c:v>1210.4587155963304</c:v>
                </c:pt>
                <c:pt idx="88">
                  <c:v>1210.4587155963304</c:v>
                </c:pt>
                <c:pt idx="89">
                  <c:v>1162.3853211009175</c:v>
                </c:pt>
                <c:pt idx="90">
                  <c:v>1073.7981651376147</c:v>
                </c:pt>
                <c:pt idx="91">
                  <c:v>1108.3669724770641</c:v>
                </c:pt>
                <c:pt idx="92">
                  <c:v>1101.834862385321</c:v>
                </c:pt>
                <c:pt idx="93">
                  <c:v>1115.229357798165</c:v>
                </c:pt>
                <c:pt idx="94">
                  <c:v>1115.229357798165</c:v>
                </c:pt>
                <c:pt idx="95">
                  <c:v>1115.229357798165</c:v>
                </c:pt>
                <c:pt idx="96">
                  <c:v>1115.229357798165</c:v>
                </c:pt>
                <c:pt idx="97">
                  <c:v>1081.0642201834862</c:v>
                </c:pt>
                <c:pt idx="98">
                  <c:v>1125.0275229357799</c:v>
                </c:pt>
                <c:pt idx="99">
                  <c:v>1130.4220183486239</c:v>
                </c:pt>
                <c:pt idx="100">
                  <c:v>1091.8165137614678</c:v>
                </c:pt>
                <c:pt idx="101">
                  <c:v>1091.8165137614678</c:v>
                </c:pt>
                <c:pt idx="102">
                  <c:v>1091.8165137614678</c:v>
                </c:pt>
                <c:pt idx="103">
                  <c:v>1093.6146788990825</c:v>
                </c:pt>
                <c:pt idx="104">
                  <c:v>976.07339449541291</c:v>
                </c:pt>
                <c:pt idx="105">
                  <c:v>968.8440366972477</c:v>
                </c:pt>
                <c:pt idx="106">
                  <c:v>947.77981651376138</c:v>
                </c:pt>
                <c:pt idx="107">
                  <c:v>938.2385321100918</c:v>
                </c:pt>
                <c:pt idx="108">
                  <c:v>938.2385321100918</c:v>
                </c:pt>
                <c:pt idx="109">
                  <c:v>938.2385321100918</c:v>
                </c:pt>
                <c:pt idx="110">
                  <c:v>915.26605504587155</c:v>
                </c:pt>
                <c:pt idx="111">
                  <c:v>897.28440366972484</c:v>
                </c:pt>
                <c:pt idx="112">
                  <c:v>907.04587155963293</c:v>
                </c:pt>
                <c:pt idx="113">
                  <c:v>850.12844036697254</c:v>
                </c:pt>
                <c:pt idx="114">
                  <c:v>833.98165137614683</c:v>
                </c:pt>
                <c:pt idx="115">
                  <c:v>833.98165137614683</c:v>
                </c:pt>
                <c:pt idx="116">
                  <c:v>833.98165137614683</c:v>
                </c:pt>
                <c:pt idx="117">
                  <c:v>832.73394495412845</c:v>
                </c:pt>
                <c:pt idx="118">
                  <c:v>811.11926605504595</c:v>
                </c:pt>
                <c:pt idx="119">
                  <c:v>817.98165137614683</c:v>
                </c:pt>
                <c:pt idx="120">
                  <c:v>815.48623853211006</c:v>
                </c:pt>
                <c:pt idx="121">
                  <c:v>802.27522935779825</c:v>
                </c:pt>
                <c:pt idx="122">
                  <c:v>802.27522935779825</c:v>
                </c:pt>
                <c:pt idx="123">
                  <c:v>802.27522935779825</c:v>
                </c:pt>
                <c:pt idx="124">
                  <c:v>798.01834862385329</c:v>
                </c:pt>
                <c:pt idx="125">
                  <c:v>768.40366972477057</c:v>
                </c:pt>
                <c:pt idx="126">
                  <c:v>758.56880733944956</c:v>
                </c:pt>
                <c:pt idx="127">
                  <c:v>759.44954128440361</c:v>
                </c:pt>
                <c:pt idx="128">
                  <c:v>764.44036697247702</c:v>
                </c:pt>
                <c:pt idx="129">
                  <c:v>764.44036697247702</c:v>
                </c:pt>
                <c:pt idx="130">
                  <c:v>764.44036697247702</c:v>
                </c:pt>
                <c:pt idx="131">
                  <c:v>773.39449541284409</c:v>
                </c:pt>
                <c:pt idx="132">
                  <c:v>759.63302752293578</c:v>
                </c:pt>
                <c:pt idx="133">
                  <c:v>750.49541284403665</c:v>
                </c:pt>
                <c:pt idx="134">
                  <c:v>724.11009174311926</c:v>
                </c:pt>
                <c:pt idx="135">
                  <c:v>761.17431192660547</c:v>
                </c:pt>
                <c:pt idx="136">
                  <c:v>761.17431192660547</c:v>
                </c:pt>
                <c:pt idx="137">
                  <c:v>761.17431192660547</c:v>
                </c:pt>
                <c:pt idx="138">
                  <c:v>760.22018348623851</c:v>
                </c:pt>
                <c:pt idx="139">
                  <c:v>752.9174311926605</c:v>
                </c:pt>
                <c:pt idx="140">
                  <c:v>759.59633027522932</c:v>
                </c:pt>
                <c:pt idx="141">
                  <c:v>794.86238532110087</c:v>
                </c:pt>
                <c:pt idx="142">
                  <c:v>810.3119266055046</c:v>
                </c:pt>
                <c:pt idx="143">
                  <c:v>810.3119266055046</c:v>
                </c:pt>
                <c:pt idx="144">
                  <c:v>810.3119266055046</c:v>
                </c:pt>
                <c:pt idx="145">
                  <c:v>825.02752293577987</c:v>
                </c:pt>
                <c:pt idx="146">
                  <c:v>805.17431192660547</c:v>
                </c:pt>
                <c:pt idx="147">
                  <c:v>779.66972477064223</c:v>
                </c:pt>
                <c:pt idx="148">
                  <c:v>774.78899082568796</c:v>
                </c:pt>
                <c:pt idx="149">
                  <c:v>803.66972477064223</c:v>
                </c:pt>
                <c:pt idx="150">
                  <c:v>803.66972477064223</c:v>
                </c:pt>
                <c:pt idx="151">
                  <c:v>803.66972477064223</c:v>
                </c:pt>
                <c:pt idx="152">
                  <c:v>816.22018348623851</c:v>
                </c:pt>
                <c:pt idx="153">
                  <c:v>819.8532110091744</c:v>
                </c:pt>
                <c:pt idx="154">
                  <c:v>816.22018348623851</c:v>
                </c:pt>
                <c:pt idx="155">
                  <c:v>812.91743119266062</c:v>
                </c:pt>
                <c:pt idx="156">
                  <c:v>824.88073394495416</c:v>
                </c:pt>
                <c:pt idx="157">
                  <c:v>824.88073394495416</c:v>
                </c:pt>
                <c:pt idx="158">
                  <c:v>824.88073394495416</c:v>
                </c:pt>
                <c:pt idx="159">
                  <c:v>813.83486238532112</c:v>
                </c:pt>
                <c:pt idx="160">
                  <c:v>819.77981651376149</c:v>
                </c:pt>
                <c:pt idx="161">
                  <c:v>831.63302752293578</c:v>
                </c:pt>
                <c:pt idx="162">
                  <c:v>838.27522935779814</c:v>
                </c:pt>
                <c:pt idx="163">
                  <c:v>838.27522935779814</c:v>
                </c:pt>
                <c:pt idx="164">
                  <c:v>838.27522935779814</c:v>
                </c:pt>
                <c:pt idx="165">
                  <c:v>838.27522935779814</c:v>
                </c:pt>
                <c:pt idx="166">
                  <c:v>821.87155963302757</c:v>
                </c:pt>
                <c:pt idx="167">
                  <c:v>823.52293577981652</c:v>
                </c:pt>
                <c:pt idx="168">
                  <c:v>821.46788990825689</c:v>
                </c:pt>
                <c:pt idx="169">
                  <c:v>832.58715596330273</c:v>
                </c:pt>
                <c:pt idx="170">
                  <c:v>830.67889908256893</c:v>
                </c:pt>
                <c:pt idx="171">
                  <c:v>830.67889908256893</c:v>
                </c:pt>
                <c:pt idx="172">
                  <c:v>830.67889908256893</c:v>
                </c:pt>
                <c:pt idx="173">
                  <c:v>809.834862385321</c:v>
                </c:pt>
                <c:pt idx="174">
                  <c:v>815.1559633027523</c:v>
                </c:pt>
                <c:pt idx="175">
                  <c:v>799.74311926605503</c:v>
                </c:pt>
                <c:pt idx="176">
                  <c:v>805.79816513761477</c:v>
                </c:pt>
                <c:pt idx="177">
                  <c:v>763.88990825688074</c:v>
                </c:pt>
                <c:pt idx="178">
                  <c:v>763.88990825688074</c:v>
                </c:pt>
                <c:pt idx="179">
                  <c:v>763.88990825688074</c:v>
                </c:pt>
                <c:pt idx="180">
                  <c:v>726.53211009174311</c:v>
                </c:pt>
                <c:pt idx="181">
                  <c:v>698.71559633027528</c:v>
                </c:pt>
                <c:pt idx="182">
                  <c:v>714.05504587155963</c:v>
                </c:pt>
                <c:pt idx="183">
                  <c:v>732.11009174311926</c:v>
                </c:pt>
                <c:pt idx="184">
                  <c:v>740.8440366972477</c:v>
                </c:pt>
                <c:pt idx="185">
                  <c:v>740.8440366972477</c:v>
                </c:pt>
                <c:pt idx="186">
                  <c:v>740.8440366972477</c:v>
                </c:pt>
                <c:pt idx="187">
                  <c:v>730.45871559633031</c:v>
                </c:pt>
                <c:pt idx="188">
                  <c:v>722.89908256880744</c:v>
                </c:pt>
                <c:pt idx="189">
                  <c:v>731.59633027522943</c:v>
                </c:pt>
                <c:pt idx="190">
                  <c:v>744.77064220183479</c:v>
                </c:pt>
                <c:pt idx="191">
                  <c:v>747.37614678899081</c:v>
                </c:pt>
                <c:pt idx="192">
                  <c:v>747.37614678899081</c:v>
                </c:pt>
                <c:pt idx="193">
                  <c:v>747.37614678899081</c:v>
                </c:pt>
                <c:pt idx="194">
                  <c:v>757.32110091743118</c:v>
                </c:pt>
                <c:pt idx="195">
                  <c:v>744</c:v>
                </c:pt>
                <c:pt idx="196">
                  <c:v>727.1559633027523</c:v>
                </c:pt>
                <c:pt idx="197">
                  <c:v>724.77064220183479</c:v>
                </c:pt>
                <c:pt idx="198">
                  <c:v>715.55963302752298</c:v>
                </c:pt>
                <c:pt idx="199">
                  <c:v>715.55963302752298</c:v>
                </c:pt>
                <c:pt idx="200">
                  <c:v>715.55963302752298</c:v>
                </c:pt>
                <c:pt idx="201">
                  <c:v>721.54128440366969</c:v>
                </c:pt>
                <c:pt idx="202">
                  <c:v>715.70642201834869</c:v>
                </c:pt>
                <c:pt idx="203">
                  <c:v>704.88073394495416</c:v>
                </c:pt>
                <c:pt idx="204">
                  <c:v>708.03669724770634</c:v>
                </c:pt>
                <c:pt idx="205">
                  <c:v>717.72477064220186</c:v>
                </c:pt>
                <c:pt idx="206">
                  <c:v>717.72477064220186</c:v>
                </c:pt>
                <c:pt idx="207">
                  <c:v>717.72477064220186</c:v>
                </c:pt>
                <c:pt idx="208">
                  <c:v>719.04587155963304</c:v>
                </c:pt>
                <c:pt idx="209">
                  <c:v>712.29357798165131</c:v>
                </c:pt>
                <c:pt idx="210">
                  <c:v>683.00917431192659</c:v>
                </c:pt>
                <c:pt idx="211">
                  <c:v>689.165137614679</c:v>
                </c:pt>
                <c:pt idx="212">
                  <c:v>666.45871559633042</c:v>
                </c:pt>
                <c:pt idx="213">
                  <c:v>666.45871559633042</c:v>
                </c:pt>
                <c:pt idx="214">
                  <c:v>666.45871559633042</c:v>
                </c:pt>
                <c:pt idx="215">
                  <c:v>696.00917431192659</c:v>
                </c:pt>
                <c:pt idx="216">
                  <c:v>728.12844036697243</c:v>
                </c:pt>
                <c:pt idx="217">
                  <c:v>743.11926605504595</c:v>
                </c:pt>
                <c:pt idx="218">
                  <c:v>752.75229357798162</c:v>
                </c:pt>
                <c:pt idx="219">
                  <c:v>735.78899082568807</c:v>
                </c:pt>
                <c:pt idx="220">
                  <c:v>735.78899082568807</c:v>
                </c:pt>
                <c:pt idx="221">
                  <c:v>735.78899082568807</c:v>
                </c:pt>
                <c:pt idx="222">
                  <c:v>730.37614678899092</c:v>
                </c:pt>
                <c:pt idx="223">
                  <c:v>747.58715596330273</c:v>
                </c:pt>
                <c:pt idx="224">
                  <c:v>759.57798165137615</c:v>
                </c:pt>
                <c:pt idx="225">
                  <c:v>751.81651376146795</c:v>
                </c:pt>
                <c:pt idx="226">
                  <c:v>751.81651376146795</c:v>
                </c:pt>
                <c:pt idx="227">
                  <c:v>751.81651376146795</c:v>
                </c:pt>
                <c:pt idx="228">
                  <c:v>751.81651376146795</c:v>
                </c:pt>
                <c:pt idx="229">
                  <c:v>741.72477064220186</c:v>
                </c:pt>
                <c:pt idx="230">
                  <c:v>734.03669724770646</c:v>
                </c:pt>
                <c:pt idx="231">
                  <c:v>734.9266055045872</c:v>
                </c:pt>
                <c:pt idx="232">
                  <c:v>733.39449541284398</c:v>
                </c:pt>
                <c:pt idx="233">
                  <c:v>698.38532110091739</c:v>
                </c:pt>
                <c:pt idx="234">
                  <c:v>698.38532110091739</c:v>
                </c:pt>
                <c:pt idx="235">
                  <c:v>698.38532110091739</c:v>
                </c:pt>
                <c:pt idx="236">
                  <c:v>704.78899082568807</c:v>
                </c:pt>
                <c:pt idx="237">
                  <c:v>699.34862385321094</c:v>
                </c:pt>
                <c:pt idx="238">
                  <c:v>693.09174311926608</c:v>
                </c:pt>
                <c:pt idx="239">
                  <c:v>676.22935779816521</c:v>
                </c:pt>
                <c:pt idx="240">
                  <c:v>683.99082568807341</c:v>
                </c:pt>
                <c:pt idx="241">
                  <c:v>683.99082568807341</c:v>
                </c:pt>
                <c:pt idx="242">
                  <c:v>683.99082568807341</c:v>
                </c:pt>
                <c:pt idx="243">
                  <c:v>684.66972477064212</c:v>
                </c:pt>
                <c:pt idx="244">
                  <c:v>653.58715596330273</c:v>
                </c:pt>
                <c:pt idx="245">
                  <c:v>652.78899082568807</c:v>
                </c:pt>
                <c:pt idx="246">
                  <c:v>661.23853211009168</c:v>
                </c:pt>
                <c:pt idx="247">
                  <c:v>654.13761467889901</c:v>
                </c:pt>
                <c:pt idx="248">
                  <c:v>654.13761467889901</c:v>
                </c:pt>
                <c:pt idx="249">
                  <c:v>654.13761467889901</c:v>
                </c:pt>
                <c:pt idx="250">
                  <c:v>639.44954128440361</c:v>
                </c:pt>
                <c:pt idx="251">
                  <c:v>637</c:v>
                </c:pt>
                <c:pt idx="252">
                  <c:v>640.62385321100908</c:v>
                </c:pt>
                <c:pt idx="253">
                  <c:v>646.56880733944945</c:v>
                </c:pt>
                <c:pt idx="254">
                  <c:v>645.07339449541291</c:v>
                </c:pt>
                <c:pt idx="255">
                  <c:v>645.07339449541291</c:v>
                </c:pt>
                <c:pt idx="256">
                  <c:v>645.07339449541291</c:v>
                </c:pt>
                <c:pt idx="257">
                  <c:v>622.74311926605503</c:v>
                </c:pt>
                <c:pt idx="258">
                  <c:v>615.71559633027528</c:v>
                </c:pt>
                <c:pt idx="259">
                  <c:v>596.86238532110099</c:v>
                </c:pt>
                <c:pt idx="260">
                  <c:v>596.12844036697243</c:v>
                </c:pt>
                <c:pt idx="261">
                  <c:v>596.12844036697243</c:v>
                </c:pt>
                <c:pt idx="262">
                  <c:v>596.12844036697243</c:v>
                </c:pt>
                <c:pt idx="263">
                  <c:v>596.12844036697243</c:v>
                </c:pt>
                <c:pt idx="264">
                  <c:v>568.36697247706422</c:v>
                </c:pt>
                <c:pt idx="265">
                  <c:v>576.14678899082571</c:v>
                </c:pt>
                <c:pt idx="266">
                  <c:v>574.2293577981651</c:v>
                </c:pt>
                <c:pt idx="267">
                  <c:v>572.91743119266062</c:v>
                </c:pt>
                <c:pt idx="268">
                  <c:v>550.15596330275218</c:v>
                </c:pt>
                <c:pt idx="269">
                  <c:v>550.15596330275218</c:v>
                </c:pt>
                <c:pt idx="270">
                  <c:v>550.15596330275218</c:v>
                </c:pt>
                <c:pt idx="271">
                  <c:v>536.23853211009168</c:v>
                </c:pt>
                <c:pt idx="272">
                  <c:v>516.17431192660547</c:v>
                </c:pt>
                <c:pt idx="273">
                  <c:v>514.33944954128435</c:v>
                </c:pt>
                <c:pt idx="274">
                  <c:v>519.83486238532112</c:v>
                </c:pt>
                <c:pt idx="275">
                  <c:v>522.67889908256882</c:v>
                </c:pt>
                <c:pt idx="276">
                  <c:v>522.67889908256882</c:v>
                </c:pt>
                <c:pt idx="277">
                  <c:v>522.67889908256882</c:v>
                </c:pt>
                <c:pt idx="278">
                  <c:v>501.47706422018354</c:v>
                </c:pt>
                <c:pt idx="279">
                  <c:v>504.89908256880733</c:v>
                </c:pt>
                <c:pt idx="280">
                  <c:v>525</c:v>
                </c:pt>
                <c:pt idx="281">
                  <c:v>523.51376146788994</c:v>
                </c:pt>
                <c:pt idx="282">
                  <c:v>543.56880733944956</c:v>
                </c:pt>
                <c:pt idx="283">
                  <c:v>543.56880733944956</c:v>
                </c:pt>
                <c:pt idx="284">
                  <c:v>543.56880733944956</c:v>
                </c:pt>
                <c:pt idx="285">
                  <c:v>532.95412844036696</c:v>
                </c:pt>
                <c:pt idx="286">
                  <c:v>530.58715596330273</c:v>
                </c:pt>
                <c:pt idx="287">
                  <c:v>526.65137614678895</c:v>
                </c:pt>
                <c:pt idx="288">
                  <c:v>544.46788990825689</c:v>
                </c:pt>
                <c:pt idx="289">
                  <c:v>550.80733944954125</c:v>
                </c:pt>
                <c:pt idx="290">
                  <c:v>550.80733944954125</c:v>
                </c:pt>
                <c:pt idx="291">
                  <c:v>550.80733944954125</c:v>
                </c:pt>
                <c:pt idx="292">
                  <c:v>562.37614678899081</c:v>
                </c:pt>
                <c:pt idx="293">
                  <c:v>560.61467889908261</c:v>
                </c:pt>
                <c:pt idx="294">
                  <c:v>564.46788990825678</c:v>
                </c:pt>
                <c:pt idx="295">
                  <c:v>568</c:v>
                </c:pt>
                <c:pt idx="296">
                  <c:v>560.19266055045875</c:v>
                </c:pt>
                <c:pt idx="297">
                  <c:v>560.19266055045875</c:v>
                </c:pt>
                <c:pt idx="298">
                  <c:v>560.19266055045875</c:v>
                </c:pt>
                <c:pt idx="299">
                  <c:v>544.96330275229354</c:v>
                </c:pt>
                <c:pt idx="300">
                  <c:v>563.68807339449529</c:v>
                </c:pt>
                <c:pt idx="301">
                  <c:v>556.74311926605503</c:v>
                </c:pt>
                <c:pt idx="302">
                  <c:v>563.73394495412845</c:v>
                </c:pt>
                <c:pt idx="303">
                  <c:v>583.94495412844037</c:v>
                </c:pt>
                <c:pt idx="304">
                  <c:v>583.94495412844037</c:v>
                </c:pt>
                <c:pt idx="305">
                  <c:v>583.94495412844037</c:v>
                </c:pt>
                <c:pt idx="306">
                  <c:v>592.19266055045864</c:v>
                </c:pt>
                <c:pt idx="307">
                  <c:v>560.62385321100919</c:v>
                </c:pt>
                <c:pt idx="308">
                  <c:v>575.39449541284398</c:v>
                </c:pt>
                <c:pt idx="309">
                  <c:v>558.12844036697254</c:v>
                </c:pt>
                <c:pt idx="310">
                  <c:v>528.44036697247714</c:v>
                </c:pt>
                <c:pt idx="311">
                  <c:v>528.44036697247714</c:v>
                </c:pt>
                <c:pt idx="312">
                  <c:v>528.44036697247714</c:v>
                </c:pt>
                <c:pt idx="313">
                  <c:v>525.39449541284398</c:v>
                </c:pt>
                <c:pt idx="314">
                  <c:v>519.02752293577987</c:v>
                </c:pt>
                <c:pt idx="315">
                  <c:v>508.67889908256882</c:v>
                </c:pt>
                <c:pt idx="316">
                  <c:v>513.30275229357801</c:v>
                </c:pt>
                <c:pt idx="317">
                  <c:v>506.85321100917429</c:v>
                </c:pt>
                <c:pt idx="318">
                  <c:v>506.85321100917429</c:v>
                </c:pt>
                <c:pt idx="319">
                  <c:v>506.85321100917429</c:v>
                </c:pt>
                <c:pt idx="320">
                  <c:v>506.85321100917429</c:v>
                </c:pt>
                <c:pt idx="321">
                  <c:v>489.84403669724765</c:v>
                </c:pt>
                <c:pt idx="322">
                  <c:v>472.35779816513758</c:v>
                </c:pt>
                <c:pt idx="323">
                  <c:v>475.16513761467883</c:v>
                </c:pt>
                <c:pt idx="324">
                  <c:v>471.16513761467888</c:v>
                </c:pt>
                <c:pt idx="325">
                  <c:v>471.16513761467888</c:v>
                </c:pt>
                <c:pt idx="326">
                  <c:v>471.16513761467888</c:v>
                </c:pt>
                <c:pt idx="327">
                  <c:v>460.00917431192664</c:v>
                </c:pt>
                <c:pt idx="328">
                  <c:v>463.9633027522936</c:v>
                </c:pt>
                <c:pt idx="329">
                  <c:v>479.66055045871565</c:v>
                </c:pt>
                <c:pt idx="330">
                  <c:v>483.89908256880733</c:v>
                </c:pt>
                <c:pt idx="331">
                  <c:v>471.40366972477068</c:v>
                </c:pt>
                <c:pt idx="332">
                  <c:v>471.40366972477068</c:v>
                </c:pt>
                <c:pt idx="333">
                  <c:v>471.40366972477068</c:v>
                </c:pt>
                <c:pt idx="334">
                  <c:v>466.88073394495416</c:v>
                </c:pt>
                <c:pt idx="335">
                  <c:v>489.58715596330273</c:v>
                </c:pt>
                <c:pt idx="336">
                  <c:v>487.75229357798162</c:v>
                </c:pt>
                <c:pt idx="337">
                  <c:v>484.08256880733944</c:v>
                </c:pt>
                <c:pt idx="338">
                  <c:v>471.77981651376149</c:v>
                </c:pt>
                <c:pt idx="339">
                  <c:v>471.77981651376149</c:v>
                </c:pt>
                <c:pt idx="340">
                  <c:v>471.77981651376149</c:v>
                </c:pt>
                <c:pt idx="341">
                  <c:v>476.82568807339453</c:v>
                </c:pt>
                <c:pt idx="342">
                  <c:v>457.55045871559633</c:v>
                </c:pt>
                <c:pt idx="343">
                  <c:v>459.45871559633025</c:v>
                </c:pt>
                <c:pt idx="344">
                  <c:v>425.44036697247708</c:v>
                </c:pt>
                <c:pt idx="345">
                  <c:v>457.30275229357795</c:v>
                </c:pt>
                <c:pt idx="346">
                  <c:v>457.30275229357795</c:v>
                </c:pt>
                <c:pt idx="347">
                  <c:v>457.30275229357795</c:v>
                </c:pt>
                <c:pt idx="348">
                  <c:v>453.95412844036696</c:v>
                </c:pt>
                <c:pt idx="349">
                  <c:v>469.89908256880739</c:v>
                </c:pt>
                <c:pt idx="350">
                  <c:v>491.97247706422019</c:v>
                </c:pt>
                <c:pt idx="351">
                  <c:v>507.95412844036696</c:v>
                </c:pt>
                <c:pt idx="352">
                  <c:v>503.28440366972478</c:v>
                </c:pt>
                <c:pt idx="353">
                  <c:v>503.28440366972478</c:v>
                </c:pt>
                <c:pt idx="354">
                  <c:v>503.28440366972478</c:v>
                </c:pt>
                <c:pt idx="355">
                  <c:v>488.348623853211</c:v>
                </c:pt>
                <c:pt idx="356">
                  <c:v>532.07339449541291</c:v>
                </c:pt>
                <c:pt idx="357">
                  <c:v>518.97247706422013</c:v>
                </c:pt>
                <c:pt idx="358">
                  <c:v>526.81651376146795</c:v>
                </c:pt>
                <c:pt idx="359">
                  <c:v>547.7614678899082</c:v>
                </c:pt>
                <c:pt idx="360">
                  <c:v>547.7614678899082</c:v>
                </c:pt>
                <c:pt idx="361">
                  <c:v>547.7614678899082</c:v>
                </c:pt>
                <c:pt idx="362">
                  <c:v>544.18348623853205</c:v>
                </c:pt>
                <c:pt idx="363">
                  <c:v>547.00917431192659</c:v>
                </c:pt>
                <c:pt idx="364">
                  <c:v>562.57798165137615</c:v>
                </c:pt>
                <c:pt idx="365">
                  <c:v>549.03669724770646</c:v>
                </c:pt>
                <c:pt idx="366">
                  <c:v>549.03669724770646</c:v>
                </c:pt>
                <c:pt idx="367">
                  <c:v>549.03669724770646</c:v>
                </c:pt>
                <c:pt idx="368">
                  <c:v>549.03669724770646</c:v>
                </c:pt>
                <c:pt idx="369">
                  <c:v>559.66055045871553</c:v>
                </c:pt>
                <c:pt idx="370">
                  <c:v>541.80733944954125</c:v>
                </c:pt>
                <c:pt idx="371">
                  <c:v>523.42201834862385</c:v>
                </c:pt>
                <c:pt idx="372">
                  <c:v>529.86238532110087</c:v>
                </c:pt>
                <c:pt idx="373">
                  <c:v>498.75229357798167</c:v>
                </c:pt>
                <c:pt idx="374">
                  <c:v>498.75229357798167</c:v>
                </c:pt>
                <c:pt idx="375">
                  <c:v>498.75229357798167</c:v>
                </c:pt>
                <c:pt idx="376">
                  <c:v>501.44036697247714</c:v>
                </c:pt>
                <c:pt idx="377">
                  <c:v>496.53211009174311</c:v>
                </c:pt>
                <c:pt idx="378">
                  <c:v>497.49541284403671</c:v>
                </c:pt>
                <c:pt idx="379">
                  <c:v>485.76146788990826</c:v>
                </c:pt>
                <c:pt idx="380">
                  <c:v>476.6880733944954</c:v>
                </c:pt>
                <c:pt idx="381">
                  <c:v>476.6880733944954</c:v>
                </c:pt>
                <c:pt idx="382">
                  <c:v>476.6880733944954</c:v>
                </c:pt>
                <c:pt idx="383">
                  <c:v>478.93577981651373</c:v>
                </c:pt>
                <c:pt idx="384">
                  <c:v>474.0458715596331</c:v>
                </c:pt>
                <c:pt idx="385">
                  <c:v>493.03669724770634</c:v>
                </c:pt>
                <c:pt idx="386">
                  <c:v>501.03669724770646</c:v>
                </c:pt>
                <c:pt idx="387">
                  <c:v>503.21100917431193</c:v>
                </c:pt>
                <c:pt idx="388">
                  <c:v>503.21100917431193</c:v>
                </c:pt>
                <c:pt idx="389">
                  <c:v>503.21100917431193</c:v>
                </c:pt>
                <c:pt idx="390">
                  <c:v>508.89908256880733</c:v>
                </c:pt>
                <c:pt idx="391">
                  <c:v>490.48623853211006</c:v>
                </c:pt>
                <c:pt idx="392">
                  <c:v>477.99082568807341</c:v>
                </c:pt>
                <c:pt idx="393">
                  <c:v>471.90825688073392</c:v>
                </c:pt>
                <c:pt idx="394">
                  <c:v>471.90825688073392</c:v>
                </c:pt>
                <c:pt idx="395">
                  <c:v>471.90825688073392</c:v>
                </c:pt>
                <c:pt idx="396">
                  <c:v>471.90825688073392</c:v>
                </c:pt>
                <c:pt idx="397">
                  <c:v>484.41284403669727</c:v>
                </c:pt>
                <c:pt idx="398">
                  <c:v>496.57798165137609</c:v>
                </c:pt>
                <c:pt idx="399">
                  <c:v>494.85321100917429</c:v>
                </c:pt>
                <c:pt idx="400">
                  <c:v>499.87155963302757</c:v>
                </c:pt>
                <c:pt idx="401">
                  <c:v>487.22018348623857</c:v>
                </c:pt>
                <c:pt idx="402">
                  <c:v>487.22018348623857</c:v>
                </c:pt>
                <c:pt idx="403">
                  <c:v>487.22018348623857</c:v>
                </c:pt>
                <c:pt idx="404">
                  <c:v>489.6880733944954</c:v>
                </c:pt>
                <c:pt idx="405">
                  <c:v>462.91743119266056</c:v>
                </c:pt>
                <c:pt idx="406">
                  <c:v>491.91743119266062</c:v>
                </c:pt>
                <c:pt idx="407">
                  <c:v>481.22935779816515</c:v>
                </c:pt>
                <c:pt idx="408">
                  <c:v>479.08256880733944</c:v>
                </c:pt>
                <c:pt idx="409">
                  <c:v>479.08256880733944</c:v>
                </c:pt>
                <c:pt idx="410">
                  <c:v>479.08256880733944</c:v>
                </c:pt>
                <c:pt idx="411">
                  <c:v>479.08256880733944</c:v>
                </c:pt>
                <c:pt idx="412">
                  <c:v>482.41284403669732</c:v>
                </c:pt>
                <c:pt idx="413">
                  <c:v>474.98165137614683</c:v>
                </c:pt>
                <c:pt idx="414">
                  <c:v>473.39449541284404</c:v>
                </c:pt>
                <c:pt idx="415">
                  <c:v>476.83486238532112</c:v>
                </c:pt>
                <c:pt idx="416">
                  <c:v>476.83486238532112</c:v>
                </c:pt>
                <c:pt idx="417">
                  <c:v>476.83486238532112</c:v>
                </c:pt>
                <c:pt idx="418">
                  <c:v>476.83486238532112</c:v>
                </c:pt>
                <c:pt idx="419">
                  <c:v>477.40366972477062</c:v>
                </c:pt>
                <c:pt idx="420">
                  <c:v>487.27522935779814</c:v>
                </c:pt>
                <c:pt idx="421">
                  <c:v>489.25688073394491</c:v>
                </c:pt>
                <c:pt idx="422">
                  <c:v>487.04587155963299</c:v>
                </c:pt>
                <c:pt idx="423">
                  <c:v>487.04587155963299</c:v>
                </c:pt>
                <c:pt idx="424">
                  <c:v>487.04587155963299</c:v>
                </c:pt>
                <c:pt idx="425">
                  <c:v>489.58715596330273</c:v>
                </c:pt>
                <c:pt idx="426">
                  <c:v>485.96330275229366</c:v>
                </c:pt>
                <c:pt idx="427">
                  <c:v>490.29357798165131</c:v>
                </c:pt>
                <c:pt idx="428">
                  <c:v>488.39449541284409</c:v>
                </c:pt>
                <c:pt idx="429">
                  <c:v>477.55045871559628</c:v>
                </c:pt>
                <c:pt idx="430">
                  <c:v>477.55045871559628</c:v>
                </c:pt>
                <c:pt idx="431">
                  <c:v>477.55045871559628</c:v>
                </c:pt>
                <c:pt idx="432">
                  <c:v>476.04587155963304</c:v>
                </c:pt>
                <c:pt idx="433">
                  <c:v>474.52293577981652</c:v>
                </c:pt>
                <c:pt idx="434">
                  <c:v>489.90825688073397</c:v>
                </c:pt>
                <c:pt idx="435">
                  <c:v>499.33027522935777</c:v>
                </c:pt>
                <c:pt idx="436">
                  <c:v>497.55045871559639</c:v>
                </c:pt>
                <c:pt idx="437">
                  <c:v>497.55045871559639</c:v>
                </c:pt>
                <c:pt idx="438">
                  <c:v>497.55045871559639</c:v>
                </c:pt>
                <c:pt idx="439">
                  <c:v>491.59633027522938</c:v>
                </c:pt>
                <c:pt idx="440">
                  <c:v>497.04587155963304</c:v>
                </c:pt>
                <c:pt idx="441">
                  <c:v>491.37614678899081</c:v>
                </c:pt>
                <c:pt idx="442">
                  <c:v>491.7981651376146</c:v>
                </c:pt>
                <c:pt idx="443">
                  <c:v>486.651376146789</c:v>
                </c:pt>
                <c:pt idx="444">
                  <c:v>486.651376146789</c:v>
                </c:pt>
                <c:pt idx="445">
                  <c:v>486.651376146789</c:v>
                </c:pt>
                <c:pt idx="446">
                  <c:v>485.67889908256882</c:v>
                </c:pt>
                <c:pt idx="447">
                  <c:v>485.67889908256882</c:v>
                </c:pt>
                <c:pt idx="448">
                  <c:v>475.51376146788982</c:v>
                </c:pt>
                <c:pt idx="449">
                  <c:v>482.20183486238534</c:v>
                </c:pt>
                <c:pt idx="450">
                  <c:v>480.28440366972472</c:v>
                </c:pt>
                <c:pt idx="451">
                  <c:v>480.28440366972472</c:v>
                </c:pt>
                <c:pt idx="452">
                  <c:v>480.28440366972472</c:v>
                </c:pt>
                <c:pt idx="453">
                  <c:v>493.22018348623857</c:v>
                </c:pt>
                <c:pt idx="454">
                  <c:v>492.79816513761466</c:v>
                </c:pt>
                <c:pt idx="455">
                  <c:v>492.55963302752292</c:v>
                </c:pt>
                <c:pt idx="456">
                  <c:v>495.97247706422019</c:v>
                </c:pt>
                <c:pt idx="457">
                  <c:v>487.9633027522936</c:v>
                </c:pt>
                <c:pt idx="458">
                  <c:v>487.9633027522936</c:v>
                </c:pt>
                <c:pt idx="459">
                  <c:v>487.9633027522936</c:v>
                </c:pt>
                <c:pt idx="460">
                  <c:v>493.82568807339442</c:v>
                </c:pt>
                <c:pt idx="461">
                  <c:v>492.40366972477068</c:v>
                </c:pt>
                <c:pt idx="462">
                  <c:v>468.62385321100913</c:v>
                </c:pt>
                <c:pt idx="463">
                  <c:v>500.21100917431198</c:v>
                </c:pt>
                <c:pt idx="464">
                  <c:v>534.38532110091751</c:v>
                </c:pt>
                <c:pt idx="465">
                  <c:v>534.38532110091751</c:v>
                </c:pt>
                <c:pt idx="466">
                  <c:v>534.38532110091751</c:v>
                </c:pt>
                <c:pt idx="467">
                  <c:v>519.63302752293566</c:v>
                </c:pt>
                <c:pt idx="468">
                  <c:v>506.21100917431193</c:v>
                </c:pt>
                <c:pt idx="469">
                  <c:v>477.77981651376143</c:v>
                </c:pt>
                <c:pt idx="470">
                  <c:v>461.67889908256876</c:v>
                </c:pt>
                <c:pt idx="471">
                  <c:v>459.9633027522936</c:v>
                </c:pt>
                <c:pt idx="472">
                  <c:v>459.9633027522936</c:v>
                </c:pt>
                <c:pt idx="473">
                  <c:v>459.9633027522936</c:v>
                </c:pt>
                <c:pt idx="474">
                  <c:v>477.94495412844037</c:v>
                </c:pt>
                <c:pt idx="475">
                  <c:v>463.37614678899081</c:v>
                </c:pt>
                <c:pt idx="476">
                  <c:v>491.62385321100919</c:v>
                </c:pt>
                <c:pt idx="477">
                  <c:v>482.24770642201833</c:v>
                </c:pt>
                <c:pt idx="478">
                  <c:v>498.72477064220186</c:v>
                </c:pt>
                <c:pt idx="479">
                  <c:v>498.72477064220186</c:v>
                </c:pt>
                <c:pt idx="480">
                  <c:v>498.72477064220186</c:v>
                </c:pt>
                <c:pt idx="481">
                  <c:v>490.31192660550465</c:v>
                </c:pt>
                <c:pt idx="482">
                  <c:v>496.32110091743124</c:v>
                </c:pt>
                <c:pt idx="483">
                  <c:v>500.75229357798167</c:v>
                </c:pt>
                <c:pt idx="484">
                  <c:v>495.33027522935777</c:v>
                </c:pt>
                <c:pt idx="485">
                  <c:v>506.8440366972477</c:v>
                </c:pt>
                <c:pt idx="486">
                  <c:v>506.8440366972477</c:v>
                </c:pt>
                <c:pt idx="487">
                  <c:v>506.8440366972477</c:v>
                </c:pt>
                <c:pt idx="488">
                  <c:v>512.66055045871553</c:v>
                </c:pt>
                <c:pt idx="489">
                  <c:v>517.25688073394485</c:v>
                </c:pt>
                <c:pt idx="490">
                  <c:v>522.87155963302757</c:v>
                </c:pt>
                <c:pt idx="491">
                  <c:v>522.05504587155963</c:v>
                </c:pt>
                <c:pt idx="492">
                  <c:v>505.05504587155963</c:v>
                </c:pt>
                <c:pt idx="493">
                  <c:v>505.05504587155963</c:v>
                </c:pt>
                <c:pt idx="494">
                  <c:v>505.05504587155963</c:v>
                </c:pt>
                <c:pt idx="495">
                  <c:v>507.8440366972477</c:v>
                </c:pt>
                <c:pt idx="496">
                  <c:v>512.44036697247702</c:v>
                </c:pt>
                <c:pt idx="497">
                  <c:v>504.09174311926608</c:v>
                </c:pt>
                <c:pt idx="498">
                  <c:v>500.64220183486248</c:v>
                </c:pt>
                <c:pt idx="499">
                  <c:v>479.348623853211</c:v>
                </c:pt>
                <c:pt idx="500">
                  <c:v>479.348623853211</c:v>
                </c:pt>
                <c:pt idx="501">
                  <c:v>479.348623853211</c:v>
                </c:pt>
                <c:pt idx="502">
                  <c:v>499.61467889908261</c:v>
                </c:pt>
                <c:pt idx="503">
                  <c:v>496.53211009174311</c:v>
                </c:pt>
                <c:pt idx="504">
                  <c:v>485.348623853211</c:v>
                </c:pt>
                <c:pt idx="505">
                  <c:v>478.34862385321094</c:v>
                </c:pt>
                <c:pt idx="506">
                  <c:v>472.43119266055055</c:v>
                </c:pt>
                <c:pt idx="507">
                  <c:v>472.43119266055055</c:v>
                </c:pt>
                <c:pt idx="508">
                  <c:v>472.43119266055055</c:v>
                </c:pt>
                <c:pt idx="509">
                  <c:v>453.13761467889907</c:v>
                </c:pt>
                <c:pt idx="510">
                  <c:v>444.90825688073397</c:v>
                </c:pt>
                <c:pt idx="511">
                  <c:v>463.7706422018349</c:v>
                </c:pt>
                <c:pt idx="512">
                  <c:v>459.348623853211</c:v>
                </c:pt>
                <c:pt idx="513">
                  <c:v>447.3119266055046</c:v>
                </c:pt>
                <c:pt idx="514">
                  <c:v>447.3119266055046</c:v>
                </c:pt>
                <c:pt idx="515">
                  <c:v>447.3119266055046</c:v>
                </c:pt>
                <c:pt idx="516">
                  <c:v>457.37614678899081</c:v>
                </c:pt>
                <c:pt idx="517">
                  <c:v>459.24770642201838</c:v>
                </c:pt>
                <c:pt idx="518">
                  <c:v>476.73394495412839</c:v>
                </c:pt>
                <c:pt idx="519">
                  <c:v>472.37614678899081</c:v>
                </c:pt>
                <c:pt idx="520">
                  <c:v>446.40366972477057</c:v>
                </c:pt>
                <c:pt idx="521">
                  <c:v>446.40366972477057</c:v>
                </c:pt>
                <c:pt idx="522">
                  <c:v>446.40366972477057</c:v>
                </c:pt>
                <c:pt idx="523">
                  <c:v>451.80733944954136</c:v>
                </c:pt>
                <c:pt idx="524">
                  <c:v>466.60550458715602</c:v>
                </c:pt>
                <c:pt idx="525">
                  <c:v>437.17431192660553</c:v>
                </c:pt>
                <c:pt idx="526">
                  <c:v>463.21100917431187</c:v>
                </c:pt>
                <c:pt idx="527">
                  <c:v>463.21100917431187</c:v>
                </c:pt>
                <c:pt idx="528">
                  <c:v>463.21100917431187</c:v>
                </c:pt>
                <c:pt idx="529">
                  <c:v>463.21100917431187</c:v>
                </c:pt>
                <c:pt idx="530">
                  <c:v>477.63302752293583</c:v>
                </c:pt>
                <c:pt idx="531">
                  <c:v>526.47706422018348</c:v>
                </c:pt>
                <c:pt idx="532">
                  <c:v>507.19266055045875</c:v>
                </c:pt>
                <c:pt idx="533">
                  <c:v>490.8073394495413</c:v>
                </c:pt>
                <c:pt idx="534">
                  <c:v>482.48623853211006</c:v>
                </c:pt>
                <c:pt idx="535">
                  <c:v>482.48623853211006</c:v>
                </c:pt>
                <c:pt idx="536">
                  <c:v>482.48623853211006</c:v>
                </c:pt>
                <c:pt idx="537">
                  <c:v>463.42201834862385</c:v>
                </c:pt>
                <c:pt idx="538">
                  <c:v>468.7339449541285</c:v>
                </c:pt>
                <c:pt idx="539">
                  <c:v>467.88990825688074</c:v>
                </c:pt>
                <c:pt idx="540">
                  <c:v>466.79816513761472</c:v>
                </c:pt>
                <c:pt idx="541">
                  <c:v>465.44954128440361</c:v>
                </c:pt>
                <c:pt idx="542">
                  <c:v>465.44954128440361</c:v>
                </c:pt>
                <c:pt idx="543">
                  <c:v>465.44954128440361</c:v>
                </c:pt>
                <c:pt idx="544">
                  <c:v>445.54128440366975</c:v>
                </c:pt>
                <c:pt idx="545">
                  <c:v>445.44954128440367</c:v>
                </c:pt>
                <c:pt idx="546">
                  <c:v>449.93577981651373</c:v>
                </c:pt>
                <c:pt idx="547">
                  <c:v>452.73394495412845</c:v>
                </c:pt>
                <c:pt idx="548">
                  <c:v>424.36697247706422</c:v>
                </c:pt>
                <c:pt idx="549">
                  <c:v>424.36697247706422</c:v>
                </c:pt>
                <c:pt idx="550">
                  <c:v>424.36697247706422</c:v>
                </c:pt>
                <c:pt idx="551">
                  <c:v>419.92660550458714</c:v>
                </c:pt>
                <c:pt idx="552">
                  <c:v>419.82568807339453</c:v>
                </c:pt>
                <c:pt idx="553">
                  <c:v>398.16513761467888</c:v>
                </c:pt>
                <c:pt idx="554">
                  <c:v>409.72477064220192</c:v>
                </c:pt>
                <c:pt idx="555">
                  <c:v>410.99082568807341</c:v>
                </c:pt>
                <c:pt idx="556">
                  <c:v>410.99082568807341</c:v>
                </c:pt>
                <c:pt idx="557">
                  <c:v>410.99082568807341</c:v>
                </c:pt>
                <c:pt idx="558">
                  <c:v>415.98165137614683</c:v>
                </c:pt>
                <c:pt idx="559">
                  <c:v>414.19266055045875</c:v>
                </c:pt>
                <c:pt idx="560">
                  <c:v>412.02752293577981</c:v>
                </c:pt>
                <c:pt idx="561">
                  <c:v>404.0458715596331</c:v>
                </c:pt>
                <c:pt idx="562">
                  <c:v>389.53211009174311</c:v>
                </c:pt>
                <c:pt idx="563">
                  <c:v>389.53211009174311</c:v>
                </c:pt>
                <c:pt idx="564">
                  <c:v>389.53211009174311</c:v>
                </c:pt>
                <c:pt idx="565">
                  <c:v>389.50458715596329</c:v>
                </c:pt>
                <c:pt idx="566">
                  <c:v>384.05504587155963</c:v>
                </c:pt>
                <c:pt idx="567">
                  <c:v>374.8807339449541</c:v>
                </c:pt>
                <c:pt idx="568">
                  <c:v>382.44036697247708</c:v>
                </c:pt>
                <c:pt idx="569">
                  <c:v>374.1100917431192</c:v>
                </c:pt>
                <c:pt idx="570">
                  <c:v>374.1100917431192</c:v>
                </c:pt>
                <c:pt idx="571">
                  <c:v>374.1100917431192</c:v>
                </c:pt>
                <c:pt idx="572">
                  <c:v>371.73394495412845</c:v>
                </c:pt>
                <c:pt idx="573">
                  <c:v>383.07339449541286</c:v>
                </c:pt>
                <c:pt idx="574">
                  <c:v>379.02752293577981</c:v>
                </c:pt>
                <c:pt idx="575">
                  <c:v>385.71559633027522</c:v>
                </c:pt>
                <c:pt idx="576">
                  <c:v>374.36697247706422</c:v>
                </c:pt>
                <c:pt idx="577">
                  <c:v>374.36697247706422</c:v>
                </c:pt>
                <c:pt idx="578">
                  <c:v>374.36697247706422</c:v>
                </c:pt>
                <c:pt idx="579">
                  <c:v>371.9174311926605</c:v>
                </c:pt>
                <c:pt idx="580">
                  <c:v>375.31192660550454</c:v>
                </c:pt>
                <c:pt idx="581">
                  <c:v>380.80733944954125</c:v>
                </c:pt>
                <c:pt idx="582">
                  <c:v>368.88990825688069</c:v>
                </c:pt>
                <c:pt idx="583">
                  <c:v>384.55963302752292</c:v>
                </c:pt>
                <c:pt idx="584">
                  <c:v>384.55963302752292</c:v>
                </c:pt>
                <c:pt idx="585">
                  <c:v>384.55963302752292</c:v>
                </c:pt>
                <c:pt idx="586">
                  <c:v>385.651376146789</c:v>
                </c:pt>
                <c:pt idx="587">
                  <c:v>374.89908256880733</c:v>
                </c:pt>
                <c:pt idx="588">
                  <c:v>362.26605504587155</c:v>
                </c:pt>
                <c:pt idx="589">
                  <c:v>361.07339449541286</c:v>
                </c:pt>
                <c:pt idx="590">
                  <c:v>352.74311926605503</c:v>
                </c:pt>
                <c:pt idx="591">
                  <c:v>352.74311926605503</c:v>
                </c:pt>
                <c:pt idx="592">
                  <c:v>352.74311926605503</c:v>
                </c:pt>
                <c:pt idx="593">
                  <c:v>352.74311926605503</c:v>
                </c:pt>
                <c:pt idx="594">
                  <c:v>349.72477064220186</c:v>
                </c:pt>
                <c:pt idx="595">
                  <c:v>348.54128440366975</c:v>
                </c:pt>
                <c:pt idx="596">
                  <c:v>337.61467889908261</c:v>
                </c:pt>
                <c:pt idx="597">
                  <c:v>335.96330275229354</c:v>
                </c:pt>
                <c:pt idx="598">
                  <c:v>335.96330275229354</c:v>
                </c:pt>
                <c:pt idx="599">
                  <c:v>335.96330275229354</c:v>
                </c:pt>
                <c:pt idx="600">
                  <c:v>348.25688073394497</c:v>
                </c:pt>
                <c:pt idx="601">
                  <c:v>338.91743119266056</c:v>
                </c:pt>
                <c:pt idx="602">
                  <c:v>346.78899082568807</c:v>
                </c:pt>
                <c:pt idx="603">
                  <c:v>349.60550458715596</c:v>
                </c:pt>
                <c:pt idx="604">
                  <c:v>339.86238532110093</c:v>
                </c:pt>
                <c:pt idx="605">
                  <c:v>339.86238532110093</c:v>
                </c:pt>
                <c:pt idx="606">
                  <c:v>339.86238532110093</c:v>
                </c:pt>
                <c:pt idx="607">
                  <c:v>338.2752293577982</c:v>
                </c:pt>
                <c:pt idx="608">
                  <c:v>338.93577981651373</c:v>
                </c:pt>
                <c:pt idx="609">
                  <c:v>332.78899082568807</c:v>
                </c:pt>
                <c:pt idx="610">
                  <c:v>336.651376146789</c:v>
                </c:pt>
                <c:pt idx="611">
                  <c:v>327.79816513761466</c:v>
                </c:pt>
                <c:pt idx="612">
                  <c:v>327.79816513761466</c:v>
                </c:pt>
                <c:pt idx="613">
                  <c:v>327.79816513761466</c:v>
                </c:pt>
                <c:pt idx="614">
                  <c:v>322.79816513761472</c:v>
                </c:pt>
                <c:pt idx="615">
                  <c:v>343.73394495412845</c:v>
                </c:pt>
                <c:pt idx="616">
                  <c:v>331.96330275229354</c:v>
                </c:pt>
                <c:pt idx="617">
                  <c:v>323.11926605504584</c:v>
                </c:pt>
                <c:pt idx="618">
                  <c:v>327.33944954128441</c:v>
                </c:pt>
                <c:pt idx="619">
                  <c:v>327.33944954128441</c:v>
                </c:pt>
                <c:pt idx="620">
                  <c:v>327.33944954128441</c:v>
                </c:pt>
                <c:pt idx="621">
                  <c:v>321.70642201834863</c:v>
                </c:pt>
                <c:pt idx="622">
                  <c:v>321.81651376146789</c:v>
                </c:pt>
                <c:pt idx="623">
                  <c:v>323.86238532110087</c:v>
                </c:pt>
                <c:pt idx="624">
                  <c:v>323.16513761467888</c:v>
                </c:pt>
                <c:pt idx="625">
                  <c:v>325.70642201834863</c:v>
                </c:pt>
                <c:pt idx="626">
                  <c:v>325.70642201834863</c:v>
                </c:pt>
                <c:pt idx="627">
                  <c:v>325.70642201834863</c:v>
                </c:pt>
                <c:pt idx="628">
                  <c:v>311.44954128440372</c:v>
                </c:pt>
                <c:pt idx="629">
                  <c:v>312.85321100917429</c:v>
                </c:pt>
                <c:pt idx="630">
                  <c:v>319.9174311926605</c:v>
                </c:pt>
                <c:pt idx="631">
                  <c:v>331.23853211009174</c:v>
                </c:pt>
                <c:pt idx="632">
                  <c:v>331.23853211009174</c:v>
                </c:pt>
                <c:pt idx="633">
                  <c:v>331.23853211009174</c:v>
                </c:pt>
                <c:pt idx="634">
                  <c:v>331.23853211009174</c:v>
                </c:pt>
                <c:pt idx="635">
                  <c:v>322.02752293577981</c:v>
                </c:pt>
                <c:pt idx="636">
                  <c:v>329.17431192660553</c:v>
                </c:pt>
                <c:pt idx="637">
                  <c:v>323.13761467889913</c:v>
                </c:pt>
                <c:pt idx="638">
                  <c:v>321.11009174311926</c:v>
                </c:pt>
                <c:pt idx="639">
                  <c:v>311.58715596330273</c:v>
                </c:pt>
                <c:pt idx="640">
                  <c:v>311.58715596330273</c:v>
                </c:pt>
                <c:pt idx="641">
                  <c:v>311.58715596330273</c:v>
                </c:pt>
                <c:pt idx="642">
                  <c:v>294.69724770642205</c:v>
                </c:pt>
                <c:pt idx="643">
                  <c:v>285.50458715596329</c:v>
                </c:pt>
                <c:pt idx="644">
                  <c:v>286.33027522935782</c:v>
                </c:pt>
                <c:pt idx="645">
                  <c:v>295.98165137614683</c:v>
                </c:pt>
                <c:pt idx="646">
                  <c:v>286.69724770642205</c:v>
                </c:pt>
                <c:pt idx="647">
                  <c:v>286.69724770642205</c:v>
                </c:pt>
                <c:pt idx="648">
                  <c:v>286.69724770642205</c:v>
                </c:pt>
                <c:pt idx="649">
                  <c:v>279.69724770642205</c:v>
                </c:pt>
                <c:pt idx="650">
                  <c:v>273.20183486238534</c:v>
                </c:pt>
                <c:pt idx="651">
                  <c:v>269.48623853211006</c:v>
                </c:pt>
                <c:pt idx="652">
                  <c:v>267.23394495412845</c:v>
                </c:pt>
                <c:pt idx="653">
                  <c:v>259.43119266055044</c:v>
                </c:pt>
                <c:pt idx="654">
                  <c:v>259.43119266055044</c:v>
                </c:pt>
                <c:pt idx="655">
                  <c:v>259.43119266055044</c:v>
                </c:pt>
                <c:pt idx="656">
                  <c:v>268.14678899082566</c:v>
                </c:pt>
                <c:pt idx="657">
                  <c:v>273.81651376146789</c:v>
                </c:pt>
                <c:pt idx="658">
                  <c:v>267.30275229357801</c:v>
                </c:pt>
                <c:pt idx="659">
                  <c:v>272.55045871559633</c:v>
                </c:pt>
                <c:pt idx="660">
                  <c:v>265.67889908256876</c:v>
                </c:pt>
                <c:pt idx="661">
                  <c:v>265.67889908256876</c:v>
                </c:pt>
                <c:pt idx="662">
                  <c:v>265.67889908256876</c:v>
                </c:pt>
                <c:pt idx="663">
                  <c:v>260.55963302752292</c:v>
                </c:pt>
                <c:pt idx="664">
                  <c:v>262.52293577981646</c:v>
                </c:pt>
                <c:pt idx="665">
                  <c:v>247.25688073394494</c:v>
                </c:pt>
                <c:pt idx="666">
                  <c:v>263.348623853211</c:v>
                </c:pt>
                <c:pt idx="667">
                  <c:v>268.18348623853211</c:v>
                </c:pt>
                <c:pt idx="668">
                  <c:v>268.18348623853211</c:v>
                </c:pt>
                <c:pt idx="669">
                  <c:v>268.18348623853211</c:v>
                </c:pt>
                <c:pt idx="670">
                  <c:v>270.36697247706422</c:v>
                </c:pt>
                <c:pt idx="671">
                  <c:v>257.65137614678895</c:v>
                </c:pt>
                <c:pt idx="672">
                  <c:v>260.50458715596329</c:v>
                </c:pt>
                <c:pt idx="673">
                  <c:v>247.56880733944956</c:v>
                </c:pt>
                <c:pt idx="674">
                  <c:v>241.23853211009174</c:v>
                </c:pt>
                <c:pt idx="675">
                  <c:v>241.23853211009174</c:v>
                </c:pt>
                <c:pt idx="676">
                  <c:v>241.23853211009174</c:v>
                </c:pt>
                <c:pt idx="677">
                  <c:v>241.23853211009174</c:v>
                </c:pt>
                <c:pt idx="678">
                  <c:v>244.90825688073392</c:v>
                </c:pt>
                <c:pt idx="679">
                  <c:v>237.64220183486236</c:v>
                </c:pt>
                <c:pt idx="680">
                  <c:v>246.23853211009171</c:v>
                </c:pt>
                <c:pt idx="681">
                  <c:v>223.77064220183485</c:v>
                </c:pt>
                <c:pt idx="682">
                  <c:v>223.77064220183485</c:v>
                </c:pt>
                <c:pt idx="683">
                  <c:v>223.77064220183485</c:v>
                </c:pt>
                <c:pt idx="684">
                  <c:v>234.37614678899084</c:v>
                </c:pt>
                <c:pt idx="685">
                  <c:v>223</c:v>
                </c:pt>
                <c:pt idx="686">
                  <c:v>241.83486238532112</c:v>
                </c:pt>
                <c:pt idx="687">
                  <c:v>243.66055045871556</c:v>
                </c:pt>
                <c:pt idx="688">
                  <c:v>231.8623853211009</c:v>
                </c:pt>
                <c:pt idx="689">
                  <c:v>231.8623853211009</c:v>
                </c:pt>
                <c:pt idx="690">
                  <c:v>231.8623853211009</c:v>
                </c:pt>
                <c:pt idx="691">
                  <c:v>236</c:v>
                </c:pt>
                <c:pt idx="692">
                  <c:v>225.33944954128441</c:v>
                </c:pt>
                <c:pt idx="693">
                  <c:v>228.60550458715596</c:v>
                </c:pt>
                <c:pt idx="694">
                  <c:v>195.12844036697248</c:v>
                </c:pt>
                <c:pt idx="695">
                  <c:v>188.76146788990826</c:v>
                </c:pt>
                <c:pt idx="696">
                  <c:v>188.76146788990826</c:v>
                </c:pt>
                <c:pt idx="697">
                  <c:v>188.76146788990826</c:v>
                </c:pt>
                <c:pt idx="698">
                  <c:v>195.38532110091742</c:v>
                </c:pt>
                <c:pt idx="699">
                  <c:v>186.07339449541286</c:v>
                </c:pt>
                <c:pt idx="700">
                  <c:v>199.3302752293578</c:v>
                </c:pt>
                <c:pt idx="701">
                  <c:v>180.18348623853211</c:v>
                </c:pt>
                <c:pt idx="702">
                  <c:v>220.95412844036696</c:v>
                </c:pt>
                <c:pt idx="703">
                  <c:v>220.95412844036696</c:v>
                </c:pt>
                <c:pt idx="704">
                  <c:v>220.95412844036696</c:v>
                </c:pt>
                <c:pt idx="705">
                  <c:v>198.44954128440367</c:v>
                </c:pt>
                <c:pt idx="706">
                  <c:v>226.11926605504587</c:v>
                </c:pt>
                <c:pt idx="707">
                  <c:v>239.52293577981649</c:v>
                </c:pt>
                <c:pt idx="708">
                  <c:v>225.1743119266055</c:v>
                </c:pt>
                <c:pt idx="709">
                  <c:v>244.07339449541286</c:v>
                </c:pt>
                <c:pt idx="710">
                  <c:v>244.07339449541286</c:v>
                </c:pt>
                <c:pt idx="711">
                  <c:v>244.07339449541286</c:v>
                </c:pt>
                <c:pt idx="712">
                  <c:v>250.72477064220186</c:v>
                </c:pt>
                <c:pt idx="713">
                  <c:v>261.01834862385323</c:v>
                </c:pt>
                <c:pt idx="714">
                  <c:v>243.93577981651373</c:v>
                </c:pt>
                <c:pt idx="715">
                  <c:v>253.60550458715596</c:v>
                </c:pt>
                <c:pt idx="716">
                  <c:v>247.77064220183487</c:v>
                </c:pt>
                <c:pt idx="717">
                  <c:v>247.77064220183487</c:v>
                </c:pt>
                <c:pt idx="718">
                  <c:v>247.77064220183487</c:v>
                </c:pt>
                <c:pt idx="719">
                  <c:v>231.74311926605503</c:v>
                </c:pt>
                <c:pt idx="720">
                  <c:v>245.55045871559633</c:v>
                </c:pt>
                <c:pt idx="721">
                  <c:v>240.41284403669727</c:v>
                </c:pt>
                <c:pt idx="722">
                  <c:v>250.71559633027522</c:v>
                </c:pt>
                <c:pt idx="723">
                  <c:v>269.78899082568807</c:v>
                </c:pt>
                <c:pt idx="724">
                  <c:v>269.78899082568807</c:v>
                </c:pt>
                <c:pt idx="725">
                  <c:v>269.78899082568807</c:v>
                </c:pt>
                <c:pt idx="726">
                  <c:v>283.21100917431193</c:v>
                </c:pt>
                <c:pt idx="727">
                  <c:v>288.71559633027522</c:v>
                </c:pt>
                <c:pt idx="728">
                  <c:v>272.08256880733944</c:v>
                </c:pt>
                <c:pt idx="729">
                  <c:v>265.86238532110093</c:v>
                </c:pt>
                <c:pt idx="730">
                  <c:v>265.86238532110093</c:v>
                </c:pt>
                <c:pt idx="731">
                  <c:v>265.86238532110093</c:v>
                </c:pt>
                <c:pt idx="732">
                  <c:v>265.86238532110093</c:v>
                </c:pt>
                <c:pt idx="733">
                  <c:v>248.42201834862382</c:v>
                </c:pt>
                <c:pt idx="734">
                  <c:v>250.03669724770643</c:v>
                </c:pt>
                <c:pt idx="735">
                  <c:v>245.77064220183487</c:v>
                </c:pt>
                <c:pt idx="736">
                  <c:v>241.25688073394497</c:v>
                </c:pt>
                <c:pt idx="737">
                  <c:v>230.81651376146789</c:v>
                </c:pt>
                <c:pt idx="738">
                  <c:v>230.81651376146789</c:v>
                </c:pt>
                <c:pt idx="739">
                  <c:v>230.81651376146789</c:v>
                </c:pt>
                <c:pt idx="740">
                  <c:v>233.25229357798167</c:v>
                </c:pt>
                <c:pt idx="741">
                  <c:v>230.0550458715596</c:v>
                </c:pt>
                <c:pt idx="742">
                  <c:v>226.72477064220183</c:v>
                </c:pt>
                <c:pt idx="743">
                  <c:v>220.48623853211012</c:v>
                </c:pt>
                <c:pt idx="744">
                  <c:v>216.90825688073394</c:v>
                </c:pt>
                <c:pt idx="745">
                  <c:v>216.90825688073394</c:v>
                </c:pt>
                <c:pt idx="746">
                  <c:v>216.90825688073394</c:v>
                </c:pt>
                <c:pt idx="747">
                  <c:v>225.51376146788994</c:v>
                </c:pt>
                <c:pt idx="748">
                  <c:v>225.26605504587155</c:v>
                </c:pt>
                <c:pt idx="749">
                  <c:v>227.49541284403671</c:v>
                </c:pt>
                <c:pt idx="750">
                  <c:v>220.36697247706422</c:v>
                </c:pt>
                <c:pt idx="751">
                  <c:v>229.79816513761469</c:v>
                </c:pt>
                <c:pt idx="752">
                  <c:v>229.79816513761469</c:v>
                </c:pt>
                <c:pt idx="753">
                  <c:v>229.79816513761469</c:v>
                </c:pt>
                <c:pt idx="754">
                  <c:v>231.9816513761468</c:v>
                </c:pt>
                <c:pt idx="755">
                  <c:v>229.40366972477065</c:v>
                </c:pt>
                <c:pt idx="756">
                  <c:v>227.46788990825686</c:v>
                </c:pt>
                <c:pt idx="757">
                  <c:v>228.69724770642202</c:v>
                </c:pt>
                <c:pt idx="758">
                  <c:v>228.69724770642202</c:v>
                </c:pt>
                <c:pt idx="759">
                  <c:v>228.69724770642202</c:v>
                </c:pt>
                <c:pt idx="760">
                  <c:v>228.69724770642202</c:v>
                </c:pt>
                <c:pt idx="761">
                  <c:v>228.37614678899084</c:v>
                </c:pt>
                <c:pt idx="762">
                  <c:v>225.29357798165134</c:v>
                </c:pt>
                <c:pt idx="763">
                  <c:v>226.86238532110093</c:v>
                </c:pt>
                <c:pt idx="764">
                  <c:v>231.17431192660553</c:v>
                </c:pt>
                <c:pt idx="765">
                  <c:v>224.14678899082568</c:v>
                </c:pt>
                <c:pt idx="766">
                  <c:v>224.14678899082568</c:v>
                </c:pt>
                <c:pt idx="767">
                  <c:v>224.14678899082568</c:v>
                </c:pt>
                <c:pt idx="768">
                  <c:v>222.95412844036696</c:v>
                </c:pt>
                <c:pt idx="769">
                  <c:v>220.53211009174311</c:v>
                </c:pt>
                <c:pt idx="770">
                  <c:v>220.11926605504587</c:v>
                </c:pt>
                <c:pt idx="771">
                  <c:v>217.48623853211009</c:v>
                </c:pt>
                <c:pt idx="772">
                  <c:v>216.57798165137615</c:v>
                </c:pt>
                <c:pt idx="773">
                  <c:v>216.57798165137615</c:v>
                </c:pt>
                <c:pt idx="774">
                  <c:v>216.57798165137615</c:v>
                </c:pt>
                <c:pt idx="775">
                  <c:v>220.10091743119267</c:v>
                </c:pt>
                <c:pt idx="776">
                  <c:v>215.87155963302754</c:v>
                </c:pt>
                <c:pt idx="777">
                  <c:v>215.87155963302754</c:v>
                </c:pt>
                <c:pt idx="778">
                  <c:v>213.13761467889907</c:v>
                </c:pt>
                <c:pt idx="779">
                  <c:v>217.31192660550457</c:v>
                </c:pt>
                <c:pt idx="780">
                  <c:v>217.31192660550457</c:v>
                </c:pt>
                <c:pt idx="781">
                  <c:v>217.31192660550457</c:v>
                </c:pt>
                <c:pt idx="782">
                  <c:v>219.44036697247705</c:v>
                </c:pt>
                <c:pt idx="783">
                  <c:v>218.91743119266053</c:v>
                </c:pt>
                <c:pt idx="784">
                  <c:v>218.91743119266053</c:v>
                </c:pt>
                <c:pt idx="785">
                  <c:v>219.10091743119264</c:v>
                </c:pt>
                <c:pt idx="786">
                  <c:v>219.60550458715596</c:v>
                </c:pt>
                <c:pt idx="787">
                  <c:v>219.60550458715596</c:v>
                </c:pt>
                <c:pt idx="788">
                  <c:v>219.60550458715596</c:v>
                </c:pt>
                <c:pt idx="789">
                  <c:v>216.0183486238532</c:v>
                </c:pt>
                <c:pt idx="790">
                  <c:v>210.55963302752292</c:v>
                </c:pt>
                <c:pt idx="791">
                  <c:v>209.44036697247705</c:v>
                </c:pt>
                <c:pt idx="792">
                  <c:v>206.55963302752295</c:v>
                </c:pt>
                <c:pt idx="793">
                  <c:v>205.49541284403671</c:v>
                </c:pt>
                <c:pt idx="794">
                  <c:v>205.49541284403671</c:v>
                </c:pt>
                <c:pt idx="795">
                  <c:v>205.49541284403671</c:v>
                </c:pt>
                <c:pt idx="796">
                  <c:v>205.56880733944953</c:v>
                </c:pt>
                <c:pt idx="797">
                  <c:v>199.39449541284404</c:v>
                </c:pt>
                <c:pt idx="798">
                  <c:v>196.3119266055046</c:v>
                </c:pt>
                <c:pt idx="799">
                  <c:v>194.65137614678898</c:v>
                </c:pt>
                <c:pt idx="800">
                  <c:v>194.65137614678898</c:v>
                </c:pt>
                <c:pt idx="801">
                  <c:v>194.65137614678898</c:v>
                </c:pt>
                <c:pt idx="802">
                  <c:v>194.65137614678898</c:v>
                </c:pt>
                <c:pt idx="803">
                  <c:v>191.50458715596329</c:v>
                </c:pt>
                <c:pt idx="804">
                  <c:v>192.12844036697248</c:v>
                </c:pt>
                <c:pt idx="805">
                  <c:v>190.51376146788991</c:v>
                </c:pt>
                <c:pt idx="806">
                  <c:v>191.97247706422019</c:v>
                </c:pt>
                <c:pt idx="807">
                  <c:v>198.8440366972477</c:v>
                </c:pt>
                <c:pt idx="808">
                  <c:v>198.8440366972477</c:v>
                </c:pt>
                <c:pt idx="809">
                  <c:v>198.8440366972477</c:v>
                </c:pt>
                <c:pt idx="810">
                  <c:v>200.22018348623854</c:v>
                </c:pt>
                <c:pt idx="811">
                  <c:v>200.22018348623854</c:v>
                </c:pt>
                <c:pt idx="812">
                  <c:v>199.08256880733944</c:v>
                </c:pt>
                <c:pt idx="813">
                  <c:v>202.94495412844037</c:v>
                </c:pt>
                <c:pt idx="814">
                  <c:v>193.47706422018348</c:v>
                </c:pt>
                <c:pt idx="815">
                  <c:v>193.47706422018348</c:v>
                </c:pt>
                <c:pt idx="816">
                  <c:v>193.47706422018348</c:v>
                </c:pt>
                <c:pt idx="817">
                  <c:v>192.8256880733945</c:v>
                </c:pt>
                <c:pt idx="818">
                  <c:v>193.74311926605506</c:v>
                </c:pt>
                <c:pt idx="819">
                  <c:v>190.81651376146789</c:v>
                </c:pt>
                <c:pt idx="820">
                  <c:v>194.75229357798165</c:v>
                </c:pt>
                <c:pt idx="821">
                  <c:v>187.3302752293578</c:v>
                </c:pt>
                <c:pt idx="822">
                  <c:v>187.3302752293578</c:v>
                </c:pt>
                <c:pt idx="823">
                  <c:v>187.3302752293578</c:v>
                </c:pt>
                <c:pt idx="824">
                  <c:v>192.46788990825686</c:v>
                </c:pt>
                <c:pt idx="825">
                  <c:v>191.348623853211</c:v>
                </c:pt>
                <c:pt idx="826">
                  <c:v>192.30275229357798</c:v>
                </c:pt>
                <c:pt idx="827">
                  <c:v>190.99082568807339</c:v>
                </c:pt>
                <c:pt idx="828">
                  <c:v>190.62385321100916</c:v>
                </c:pt>
                <c:pt idx="829">
                  <c:v>190.62385321100916</c:v>
                </c:pt>
                <c:pt idx="830">
                  <c:v>190.62385321100916</c:v>
                </c:pt>
                <c:pt idx="831">
                  <c:v>191.1376146788991</c:v>
                </c:pt>
                <c:pt idx="832">
                  <c:v>190.48623853211009</c:v>
                </c:pt>
                <c:pt idx="833">
                  <c:v>192.30275229357798</c:v>
                </c:pt>
                <c:pt idx="834">
                  <c:v>193.11926605504587</c:v>
                </c:pt>
                <c:pt idx="835">
                  <c:v>185.86238532110093</c:v>
                </c:pt>
                <c:pt idx="836">
                  <c:v>185.86238532110093</c:v>
                </c:pt>
                <c:pt idx="837">
                  <c:v>185.86238532110093</c:v>
                </c:pt>
                <c:pt idx="838">
                  <c:v>184.42201834862385</c:v>
                </c:pt>
                <c:pt idx="839">
                  <c:v>186.23853211009174</c:v>
                </c:pt>
                <c:pt idx="840">
                  <c:v>186.16513761467888</c:v>
                </c:pt>
                <c:pt idx="841">
                  <c:v>189.71559633027522</c:v>
                </c:pt>
                <c:pt idx="842">
                  <c:v>187.65137614678898</c:v>
                </c:pt>
                <c:pt idx="843">
                  <c:v>187.65137614678898</c:v>
                </c:pt>
                <c:pt idx="844">
                  <c:v>187.65137614678898</c:v>
                </c:pt>
                <c:pt idx="845">
                  <c:v>180.60550458715599</c:v>
                </c:pt>
                <c:pt idx="846">
                  <c:v>178.9816513761468</c:v>
                </c:pt>
                <c:pt idx="847">
                  <c:v>179.45871559633028</c:v>
                </c:pt>
                <c:pt idx="848">
                  <c:v>179.8256880733945</c:v>
                </c:pt>
                <c:pt idx="849">
                  <c:v>174.76146788990826</c:v>
                </c:pt>
                <c:pt idx="850">
                  <c:v>174.76146788990826</c:v>
                </c:pt>
                <c:pt idx="851">
                  <c:v>174.76146788990826</c:v>
                </c:pt>
                <c:pt idx="852">
                  <c:v>178.24770642201835</c:v>
                </c:pt>
                <c:pt idx="853">
                  <c:v>178.1743119266055</c:v>
                </c:pt>
                <c:pt idx="854">
                  <c:v>180.1559633027523</c:v>
                </c:pt>
                <c:pt idx="855">
                  <c:v>171.12844036697248</c:v>
                </c:pt>
                <c:pt idx="856">
                  <c:v>170.63302752293578</c:v>
                </c:pt>
                <c:pt idx="857">
                  <c:v>170.63302752293578</c:v>
                </c:pt>
                <c:pt idx="858">
                  <c:v>170.63302752293578</c:v>
                </c:pt>
                <c:pt idx="859">
                  <c:v>167.91743119266056</c:v>
                </c:pt>
                <c:pt idx="860">
                  <c:v>165.78899082568807</c:v>
                </c:pt>
                <c:pt idx="861">
                  <c:v>162.59633027522935</c:v>
                </c:pt>
                <c:pt idx="862">
                  <c:v>169.11009174311928</c:v>
                </c:pt>
                <c:pt idx="863">
                  <c:v>166.94495412844037</c:v>
                </c:pt>
                <c:pt idx="864">
                  <c:v>166.94495412844037</c:v>
                </c:pt>
                <c:pt idx="865">
                  <c:v>166.94495412844037</c:v>
                </c:pt>
                <c:pt idx="866">
                  <c:v>166.33944954128441</c:v>
                </c:pt>
                <c:pt idx="867">
                  <c:v>158.75229357798165</c:v>
                </c:pt>
                <c:pt idx="868">
                  <c:v>159.63302752293578</c:v>
                </c:pt>
                <c:pt idx="869">
                  <c:v>159.69724770642202</c:v>
                </c:pt>
                <c:pt idx="870">
                  <c:v>157.57798165137612</c:v>
                </c:pt>
                <c:pt idx="871">
                  <c:v>157.57798165137612</c:v>
                </c:pt>
                <c:pt idx="872">
                  <c:v>157.57798165137612</c:v>
                </c:pt>
                <c:pt idx="873">
                  <c:v>162.69724770642202</c:v>
                </c:pt>
                <c:pt idx="874">
                  <c:v>163.51376146788991</c:v>
                </c:pt>
                <c:pt idx="875">
                  <c:v>158.28440366972478</c:v>
                </c:pt>
                <c:pt idx="876">
                  <c:v>160.40366972477065</c:v>
                </c:pt>
                <c:pt idx="877">
                  <c:v>158.43119266055047</c:v>
                </c:pt>
                <c:pt idx="878">
                  <c:v>158.43119266055047</c:v>
                </c:pt>
                <c:pt idx="879">
                  <c:v>158.43119266055047</c:v>
                </c:pt>
                <c:pt idx="880">
                  <c:v>162.3302752293578</c:v>
                </c:pt>
                <c:pt idx="881">
                  <c:v>165.11926605504584</c:v>
                </c:pt>
                <c:pt idx="882">
                  <c:v>166.11926605504584</c:v>
                </c:pt>
                <c:pt idx="883">
                  <c:v>165.33027522935782</c:v>
                </c:pt>
                <c:pt idx="884">
                  <c:v>166.91743119266056</c:v>
                </c:pt>
                <c:pt idx="885">
                  <c:v>166.91743119266056</c:v>
                </c:pt>
                <c:pt idx="886">
                  <c:v>166.91743119266056</c:v>
                </c:pt>
                <c:pt idx="887">
                  <c:v>169.05504587155963</c:v>
                </c:pt>
                <c:pt idx="888">
                  <c:v>169.11009174311928</c:v>
                </c:pt>
                <c:pt idx="889">
                  <c:v>168.05504587155963</c:v>
                </c:pt>
                <c:pt idx="890">
                  <c:v>165.59633027522935</c:v>
                </c:pt>
                <c:pt idx="891">
                  <c:v>163.89908256880733</c:v>
                </c:pt>
                <c:pt idx="892">
                  <c:v>163.89908256880733</c:v>
                </c:pt>
                <c:pt idx="893">
                  <c:v>163.89908256880733</c:v>
                </c:pt>
                <c:pt idx="894">
                  <c:v>164.89908256880733</c:v>
                </c:pt>
                <c:pt idx="895">
                  <c:v>154.8256880733945</c:v>
                </c:pt>
                <c:pt idx="896">
                  <c:v>150.61467889908255</c:v>
                </c:pt>
                <c:pt idx="897">
                  <c:v>153.67889908256879</c:v>
                </c:pt>
                <c:pt idx="898">
                  <c:v>153.67889908256879</c:v>
                </c:pt>
                <c:pt idx="899">
                  <c:v>153.67889908256879</c:v>
                </c:pt>
                <c:pt idx="900">
                  <c:v>153.67889908256879</c:v>
                </c:pt>
                <c:pt idx="901">
                  <c:v>153.21100917431193</c:v>
                </c:pt>
                <c:pt idx="902">
                  <c:v>147.90825688073394</c:v>
                </c:pt>
                <c:pt idx="903">
                  <c:v>148.44036697247708</c:v>
                </c:pt>
                <c:pt idx="904">
                  <c:v>151.78899082568807</c:v>
                </c:pt>
                <c:pt idx="905">
                  <c:v>149.02752293577981</c:v>
                </c:pt>
                <c:pt idx="906">
                  <c:v>149.02752293577981</c:v>
                </c:pt>
                <c:pt idx="907">
                  <c:v>149.02752293577981</c:v>
                </c:pt>
                <c:pt idx="908">
                  <c:v>157.32110091743118</c:v>
                </c:pt>
                <c:pt idx="909">
                  <c:v>157.09174311926603</c:v>
                </c:pt>
                <c:pt idx="910">
                  <c:v>154.00917431192659</c:v>
                </c:pt>
                <c:pt idx="911">
                  <c:v>156.67889908256879</c:v>
                </c:pt>
                <c:pt idx="912">
                  <c:v>146.38532110091745</c:v>
                </c:pt>
                <c:pt idx="913">
                  <c:v>146.38532110091745</c:v>
                </c:pt>
                <c:pt idx="914">
                  <c:v>146.38532110091745</c:v>
                </c:pt>
                <c:pt idx="915">
                  <c:v>136.48623853211009</c:v>
                </c:pt>
                <c:pt idx="916">
                  <c:v>137.67889908256882</c:v>
                </c:pt>
                <c:pt idx="917">
                  <c:v>143.16513761467891</c:v>
                </c:pt>
                <c:pt idx="918">
                  <c:v>138.94495412844034</c:v>
                </c:pt>
                <c:pt idx="919">
                  <c:v>141.44954128440367</c:v>
                </c:pt>
                <c:pt idx="920">
                  <c:v>141.44954128440367</c:v>
                </c:pt>
                <c:pt idx="921">
                  <c:v>141.44954128440367</c:v>
                </c:pt>
                <c:pt idx="922">
                  <c:v>145.1926605504587</c:v>
                </c:pt>
                <c:pt idx="923">
                  <c:v>141.18348623853208</c:v>
                </c:pt>
                <c:pt idx="924">
                  <c:v>139.77064220183485</c:v>
                </c:pt>
                <c:pt idx="925">
                  <c:v>138.33944954128438</c:v>
                </c:pt>
                <c:pt idx="926">
                  <c:v>147.88073394495413</c:v>
                </c:pt>
                <c:pt idx="927">
                  <c:v>147.88073394495413</c:v>
                </c:pt>
                <c:pt idx="928">
                  <c:v>147.88073394495413</c:v>
                </c:pt>
                <c:pt idx="929">
                  <c:v>151.30275229357798</c:v>
                </c:pt>
                <c:pt idx="930">
                  <c:v>154.78899082568807</c:v>
                </c:pt>
                <c:pt idx="931">
                  <c:v>160.96330275229354</c:v>
                </c:pt>
                <c:pt idx="932">
                  <c:v>160.38532110091742</c:v>
                </c:pt>
                <c:pt idx="933">
                  <c:v>160.61467889908258</c:v>
                </c:pt>
                <c:pt idx="934">
                  <c:v>160.61467889908258</c:v>
                </c:pt>
                <c:pt idx="935">
                  <c:v>160.61467889908258</c:v>
                </c:pt>
                <c:pt idx="936">
                  <c:v>159.06422018348621</c:v>
                </c:pt>
                <c:pt idx="937">
                  <c:v>163.90825688073394</c:v>
                </c:pt>
                <c:pt idx="938">
                  <c:v>161.15596330275227</c:v>
                </c:pt>
                <c:pt idx="939">
                  <c:v>157.1743119266055</c:v>
                </c:pt>
                <c:pt idx="940">
                  <c:v>154.53211009174314</c:v>
                </c:pt>
                <c:pt idx="941">
                  <c:v>154.53211009174314</c:v>
                </c:pt>
                <c:pt idx="942">
                  <c:v>154.53211009174314</c:v>
                </c:pt>
                <c:pt idx="943">
                  <c:v>156.12844036697248</c:v>
                </c:pt>
                <c:pt idx="944">
                  <c:v>155.69724770642202</c:v>
                </c:pt>
                <c:pt idx="945">
                  <c:v>153.28440366972478</c:v>
                </c:pt>
                <c:pt idx="946">
                  <c:v>153.45871559633028</c:v>
                </c:pt>
                <c:pt idx="947">
                  <c:v>153.77064220183487</c:v>
                </c:pt>
                <c:pt idx="948">
                  <c:v>153.77064220183487</c:v>
                </c:pt>
                <c:pt idx="949">
                  <c:v>153.77064220183487</c:v>
                </c:pt>
                <c:pt idx="950">
                  <c:v>152.55045871559633</c:v>
                </c:pt>
                <c:pt idx="951">
                  <c:v>146.8440366972477</c:v>
                </c:pt>
                <c:pt idx="952">
                  <c:v>144.32110091743121</c:v>
                </c:pt>
                <c:pt idx="953">
                  <c:v>144.22935779816515</c:v>
                </c:pt>
                <c:pt idx="954">
                  <c:v>147</c:v>
                </c:pt>
                <c:pt idx="955">
                  <c:v>147</c:v>
                </c:pt>
                <c:pt idx="956">
                  <c:v>147</c:v>
                </c:pt>
                <c:pt idx="957">
                  <c:v>149.3119266055046</c:v>
                </c:pt>
                <c:pt idx="958">
                  <c:v>149.3119266055046</c:v>
                </c:pt>
                <c:pt idx="959">
                  <c:v>148.83486238532109</c:v>
                </c:pt>
                <c:pt idx="960">
                  <c:v>152.44954128440367</c:v>
                </c:pt>
                <c:pt idx="961">
                  <c:v>150.6697247706422</c:v>
                </c:pt>
                <c:pt idx="962">
                  <c:v>150.6697247706422</c:v>
                </c:pt>
                <c:pt idx="963">
                  <c:v>150.6697247706422</c:v>
                </c:pt>
                <c:pt idx="964">
                  <c:v>149.75229357798162</c:v>
                </c:pt>
                <c:pt idx="965">
                  <c:v>146.11009174311926</c:v>
                </c:pt>
                <c:pt idx="966">
                  <c:v>138.97247706422019</c:v>
                </c:pt>
                <c:pt idx="967">
                  <c:v>140.05504587155963</c:v>
                </c:pt>
                <c:pt idx="968">
                  <c:v>139.22935779816513</c:v>
                </c:pt>
                <c:pt idx="969">
                  <c:v>139.22935779816513</c:v>
                </c:pt>
                <c:pt idx="970">
                  <c:v>139.22935779816513</c:v>
                </c:pt>
                <c:pt idx="971">
                  <c:v>141.37614678899081</c:v>
                </c:pt>
                <c:pt idx="972">
                  <c:v>140.47706422018348</c:v>
                </c:pt>
                <c:pt idx="973">
                  <c:v>140.25688073394497</c:v>
                </c:pt>
                <c:pt idx="974">
                  <c:v>133.05504587155963</c:v>
                </c:pt>
                <c:pt idx="975">
                  <c:v>132.69724770642202</c:v>
                </c:pt>
                <c:pt idx="976">
                  <c:v>132.69724770642202</c:v>
                </c:pt>
                <c:pt idx="977">
                  <c:v>132.69724770642202</c:v>
                </c:pt>
                <c:pt idx="978">
                  <c:v>136.0183486238532</c:v>
                </c:pt>
                <c:pt idx="979">
                  <c:v>134.12844036697246</c:v>
                </c:pt>
                <c:pt idx="980">
                  <c:v>138.30275229357798</c:v>
                </c:pt>
                <c:pt idx="981">
                  <c:v>136.17431192660553</c:v>
                </c:pt>
                <c:pt idx="982">
                  <c:v>133.48623853211009</c:v>
                </c:pt>
                <c:pt idx="983">
                  <c:v>133.48623853211009</c:v>
                </c:pt>
                <c:pt idx="984">
                  <c:v>133.48623853211009</c:v>
                </c:pt>
                <c:pt idx="985">
                  <c:v>131.90825688073394</c:v>
                </c:pt>
                <c:pt idx="986">
                  <c:v>129.61467889908258</c:v>
                </c:pt>
                <c:pt idx="987">
                  <c:v>131.1926605504587</c:v>
                </c:pt>
                <c:pt idx="988">
                  <c:v>122.73394495412843</c:v>
                </c:pt>
                <c:pt idx="989">
                  <c:v>124.27522935779818</c:v>
                </c:pt>
                <c:pt idx="990">
                  <c:v>124.27522935779818</c:v>
                </c:pt>
                <c:pt idx="991">
                  <c:v>124.27522935779818</c:v>
                </c:pt>
                <c:pt idx="992">
                  <c:v>127.62385321100919</c:v>
                </c:pt>
                <c:pt idx="993">
                  <c:v>128.75229357798165</c:v>
                </c:pt>
                <c:pt idx="994">
                  <c:v>131.49541284403671</c:v>
                </c:pt>
                <c:pt idx="995">
                  <c:v>133.16513761467888</c:v>
                </c:pt>
                <c:pt idx="996">
                  <c:v>133.16513761467888</c:v>
                </c:pt>
                <c:pt idx="997">
                  <c:v>133.16513761467888</c:v>
                </c:pt>
                <c:pt idx="998">
                  <c:v>133.16513761467888</c:v>
                </c:pt>
                <c:pt idx="999">
                  <c:v>135.15596330275227</c:v>
                </c:pt>
                <c:pt idx="1000">
                  <c:v>139.63302752293575</c:v>
                </c:pt>
                <c:pt idx="1001">
                  <c:v>142.25688073394497</c:v>
                </c:pt>
                <c:pt idx="1002">
                  <c:v>139.22018348623851</c:v>
                </c:pt>
                <c:pt idx="1003">
                  <c:v>143.60550458715596</c:v>
                </c:pt>
                <c:pt idx="1004">
                  <c:v>143.60550458715596</c:v>
                </c:pt>
                <c:pt idx="1005">
                  <c:v>143.60550458715596</c:v>
                </c:pt>
                <c:pt idx="1006">
                  <c:v>146.96330275229357</c:v>
                </c:pt>
                <c:pt idx="1007">
                  <c:v>146.40366972477065</c:v>
                </c:pt>
                <c:pt idx="1008">
                  <c:v>148.66055045871559</c:v>
                </c:pt>
                <c:pt idx="1009">
                  <c:v>145.36697247706419</c:v>
                </c:pt>
                <c:pt idx="1010">
                  <c:v>154.88073394495413</c:v>
                </c:pt>
                <c:pt idx="1011">
                  <c:v>154.88073394495413</c:v>
                </c:pt>
                <c:pt idx="1012">
                  <c:v>154.88073394495413</c:v>
                </c:pt>
                <c:pt idx="1013">
                  <c:v>156.13761467889907</c:v>
                </c:pt>
                <c:pt idx="1014">
                  <c:v>159.55963302752292</c:v>
                </c:pt>
                <c:pt idx="1015">
                  <c:v>158.81651376146792</c:v>
                </c:pt>
                <c:pt idx="1016">
                  <c:v>165</c:v>
                </c:pt>
                <c:pt idx="1017">
                  <c:v>167.89908256880733</c:v>
                </c:pt>
                <c:pt idx="1018">
                  <c:v>167.89908256880733</c:v>
                </c:pt>
                <c:pt idx="1019">
                  <c:v>167.89908256880733</c:v>
                </c:pt>
                <c:pt idx="1020">
                  <c:v>168.06422018348624</c:v>
                </c:pt>
                <c:pt idx="1021">
                  <c:v>165.56880733944953</c:v>
                </c:pt>
                <c:pt idx="1022">
                  <c:v>166.05504587155963</c:v>
                </c:pt>
                <c:pt idx="1023">
                  <c:v>164.52293577981652</c:v>
                </c:pt>
                <c:pt idx="1024">
                  <c:v>163.38532110091742</c:v>
                </c:pt>
                <c:pt idx="1025">
                  <c:v>163.38532110091742</c:v>
                </c:pt>
                <c:pt idx="1026">
                  <c:v>163.38532110091742</c:v>
                </c:pt>
                <c:pt idx="1027">
                  <c:v>171.47706422018348</c:v>
                </c:pt>
                <c:pt idx="1028">
                  <c:v>175.38532110091742</c:v>
                </c:pt>
                <c:pt idx="1029">
                  <c:v>174.92660550458714</c:v>
                </c:pt>
                <c:pt idx="1030">
                  <c:v>172.90825688073394</c:v>
                </c:pt>
                <c:pt idx="1031">
                  <c:v>170.91743119266056</c:v>
                </c:pt>
                <c:pt idx="1032">
                  <c:v>170.91743119266056</c:v>
                </c:pt>
                <c:pt idx="1033">
                  <c:v>170.91743119266056</c:v>
                </c:pt>
                <c:pt idx="1034">
                  <c:v>170.91743119266056</c:v>
                </c:pt>
                <c:pt idx="1035">
                  <c:v>171.8256880733945</c:v>
                </c:pt>
                <c:pt idx="1036">
                  <c:v>172.66972477064223</c:v>
                </c:pt>
                <c:pt idx="1037">
                  <c:v>169.44954128440367</c:v>
                </c:pt>
                <c:pt idx="1038">
                  <c:v>174.32110091743118</c:v>
                </c:pt>
                <c:pt idx="1039">
                  <c:v>174.32110091743118</c:v>
                </c:pt>
                <c:pt idx="1040">
                  <c:v>174.32110091743118</c:v>
                </c:pt>
                <c:pt idx="1041">
                  <c:v>175.72477064220183</c:v>
                </c:pt>
                <c:pt idx="1042">
                  <c:v>176.23853211009174</c:v>
                </c:pt>
                <c:pt idx="1043">
                  <c:v>173.63302752293578</c:v>
                </c:pt>
                <c:pt idx="1044">
                  <c:v>175.95412844036699</c:v>
                </c:pt>
                <c:pt idx="1045">
                  <c:v>175.18348623853211</c:v>
                </c:pt>
                <c:pt idx="1046">
                  <c:v>175.18348623853211</c:v>
                </c:pt>
                <c:pt idx="1047">
                  <c:v>175.18348623853211</c:v>
                </c:pt>
                <c:pt idx="1048">
                  <c:v>172.71559633027522</c:v>
                </c:pt>
                <c:pt idx="1049">
                  <c:v>173.04587155963301</c:v>
                </c:pt>
                <c:pt idx="1050">
                  <c:v>167.88990825688072</c:v>
                </c:pt>
                <c:pt idx="1051">
                  <c:v>167.22935779816515</c:v>
                </c:pt>
                <c:pt idx="1052">
                  <c:v>164.73394495412845</c:v>
                </c:pt>
                <c:pt idx="1053">
                  <c:v>164.73394495412845</c:v>
                </c:pt>
                <c:pt idx="1054">
                  <c:v>164.73394495412845</c:v>
                </c:pt>
                <c:pt idx="1055">
                  <c:v>162.61467889908258</c:v>
                </c:pt>
                <c:pt idx="1056">
                  <c:v>161.92660550458714</c:v>
                </c:pt>
                <c:pt idx="1057">
                  <c:v>162.26605504587158</c:v>
                </c:pt>
                <c:pt idx="1058">
                  <c:v>159.43119266055047</c:v>
                </c:pt>
                <c:pt idx="1059">
                  <c:v>162.8440366972477</c:v>
                </c:pt>
                <c:pt idx="1060">
                  <c:v>162.8440366972477</c:v>
                </c:pt>
                <c:pt idx="1061">
                  <c:v>162.8440366972477</c:v>
                </c:pt>
                <c:pt idx="1062">
                  <c:v>168.75229357798165</c:v>
                </c:pt>
                <c:pt idx="1063">
                  <c:v>160</c:v>
                </c:pt>
                <c:pt idx="1064">
                  <c:v>161.20183486238534</c:v>
                </c:pt>
                <c:pt idx="1065">
                  <c:v>154.99999999999997</c:v>
                </c:pt>
                <c:pt idx="1066">
                  <c:v>155.78899082568807</c:v>
                </c:pt>
                <c:pt idx="1067">
                  <c:v>155.78899082568807</c:v>
                </c:pt>
                <c:pt idx="1068">
                  <c:v>155.78899082568807</c:v>
                </c:pt>
                <c:pt idx="1069">
                  <c:v>151.88990825688074</c:v>
                </c:pt>
                <c:pt idx="1070">
                  <c:v>154.69724770642202</c:v>
                </c:pt>
                <c:pt idx="1071">
                  <c:v>149.10091743119267</c:v>
                </c:pt>
                <c:pt idx="1072">
                  <c:v>147.83486238532109</c:v>
                </c:pt>
                <c:pt idx="1073">
                  <c:v>138.20183486238531</c:v>
                </c:pt>
                <c:pt idx="1074">
                  <c:v>138.20183486238531</c:v>
                </c:pt>
                <c:pt idx="1075">
                  <c:v>138.20183486238531</c:v>
                </c:pt>
                <c:pt idx="1076">
                  <c:v>136.93577981651376</c:v>
                </c:pt>
                <c:pt idx="1077">
                  <c:v>139.49541284403671</c:v>
                </c:pt>
                <c:pt idx="1078">
                  <c:v>143.59633027522938</c:v>
                </c:pt>
                <c:pt idx="1079">
                  <c:v>143.83486238532112</c:v>
                </c:pt>
                <c:pt idx="1080">
                  <c:v>143.53211009174311</c:v>
                </c:pt>
                <c:pt idx="1081">
                  <c:v>143.53211009174311</c:v>
                </c:pt>
                <c:pt idx="1082">
                  <c:v>143.53211009174311</c:v>
                </c:pt>
                <c:pt idx="1083">
                  <c:v>141.52293577981649</c:v>
                </c:pt>
                <c:pt idx="1084">
                  <c:v>142.57798165137615</c:v>
                </c:pt>
                <c:pt idx="1085">
                  <c:v>144.12844036697248</c:v>
                </c:pt>
                <c:pt idx="1086">
                  <c:v>145.58715596330276</c:v>
                </c:pt>
                <c:pt idx="1087">
                  <c:v>146.04587155963301</c:v>
                </c:pt>
                <c:pt idx="1088">
                  <c:v>146.04587155963301</c:v>
                </c:pt>
                <c:pt idx="1089">
                  <c:v>146.04587155963301</c:v>
                </c:pt>
                <c:pt idx="1090">
                  <c:v>142.90825688073397</c:v>
                </c:pt>
                <c:pt idx="1091">
                  <c:v>145.45871559633028</c:v>
                </c:pt>
                <c:pt idx="1092">
                  <c:v>143.7064220183486</c:v>
                </c:pt>
                <c:pt idx="1093">
                  <c:v>144.34862385321102</c:v>
                </c:pt>
                <c:pt idx="1094">
                  <c:v>144.34862385321102</c:v>
                </c:pt>
                <c:pt idx="1095">
                  <c:v>144.34862385321102</c:v>
                </c:pt>
                <c:pt idx="1096">
                  <c:v>144.34862385321102</c:v>
                </c:pt>
                <c:pt idx="1097">
                  <c:v>141.77064220183487</c:v>
                </c:pt>
                <c:pt idx="1098">
                  <c:v>140.25688073394497</c:v>
                </c:pt>
                <c:pt idx="1099">
                  <c:v>138.6880733944954</c:v>
                </c:pt>
                <c:pt idx="1100">
                  <c:v>134.35779816513761</c:v>
                </c:pt>
                <c:pt idx="1101">
                  <c:v>135.93577981651376</c:v>
                </c:pt>
                <c:pt idx="1102">
                  <c:v>135.93577981651376</c:v>
                </c:pt>
                <c:pt idx="1103">
                  <c:v>135.93577981651376</c:v>
                </c:pt>
                <c:pt idx="1104">
                  <c:v>135.24770642201833</c:v>
                </c:pt>
                <c:pt idx="1105">
                  <c:v>140.36697247706422</c:v>
                </c:pt>
                <c:pt idx="1106">
                  <c:v>137.56880733944953</c:v>
                </c:pt>
                <c:pt idx="1107">
                  <c:v>136.86238532110093</c:v>
                </c:pt>
                <c:pt idx="1108">
                  <c:v>132.77981651376146</c:v>
                </c:pt>
                <c:pt idx="1109">
                  <c:v>132.77981651376146</c:v>
                </c:pt>
                <c:pt idx="1110">
                  <c:v>132.77981651376146</c:v>
                </c:pt>
                <c:pt idx="1111">
                  <c:v>131.88073394495413</c:v>
                </c:pt>
                <c:pt idx="1112">
                  <c:v>126.045871559633</c:v>
                </c:pt>
                <c:pt idx="1113">
                  <c:v>120.73394495412843</c:v>
                </c:pt>
                <c:pt idx="1114">
                  <c:v>126.61467889908255</c:v>
                </c:pt>
                <c:pt idx="1115">
                  <c:v>146.92660550458717</c:v>
                </c:pt>
                <c:pt idx="1116">
                  <c:v>146.92660550458717</c:v>
                </c:pt>
                <c:pt idx="1117">
                  <c:v>146.92660550458717</c:v>
                </c:pt>
                <c:pt idx="1118">
                  <c:v>144.8073394495413</c:v>
                </c:pt>
                <c:pt idx="1119">
                  <c:v>136.96330275229357</c:v>
                </c:pt>
                <c:pt idx="1120">
                  <c:v>136.48623853211009</c:v>
                </c:pt>
                <c:pt idx="1121">
                  <c:v>143.97247706422019</c:v>
                </c:pt>
                <c:pt idx="1122">
                  <c:v>143.97247706422019</c:v>
                </c:pt>
                <c:pt idx="1123">
                  <c:v>143.97247706422019</c:v>
                </c:pt>
                <c:pt idx="1124">
                  <c:v>143.97247706422019</c:v>
                </c:pt>
                <c:pt idx="1125">
                  <c:v>139.19266055045873</c:v>
                </c:pt>
                <c:pt idx="1126">
                  <c:v>136.55045871559633</c:v>
                </c:pt>
                <c:pt idx="1127">
                  <c:v>137.49541284403671</c:v>
                </c:pt>
                <c:pt idx="1128">
                  <c:v>138.0183486238532</c:v>
                </c:pt>
                <c:pt idx="1129">
                  <c:v>136.54128440366972</c:v>
                </c:pt>
                <c:pt idx="1130">
                  <c:v>136.54128440366972</c:v>
                </c:pt>
                <c:pt idx="1131">
                  <c:v>136.54128440366972</c:v>
                </c:pt>
                <c:pt idx="1132">
                  <c:v>133.23853211009174</c:v>
                </c:pt>
                <c:pt idx="1133">
                  <c:v>130.8073394495413</c:v>
                </c:pt>
                <c:pt idx="1134">
                  <c:v>128.28440366972478</c:v>
                </c:pt>
                <c:pt idx="1135">
                  <c:v>131.55963302752295</c:v>
                </c:pt>
                <c:pt idx="1136">
                  <c:v>124.94495412844036</c:v>
                </c:pt>
                <c:pt idx="1137">
                  <c:v>124.94495412844036</c:v>
                </c:pt>
                <c:pt idx="1138">
                  <c:v>124.94495412844036</c:v>
                </c:pt>
                <c:pt idx="1139">
                  <c:v>117.42201834862385</c:v>
                </c:pt>
                <c:pt idx="1140">
                  <c:v>124.97247706422019</c:v>
                </c:pt>
                <c:pt idx="1141">
                  <c:v>122.47706422018349</c:v>
                </c:pt>
                <c:pt idx="1142">
                  <c:v>122.47706422018349</c:v>
                </c:pt>
                <c:pt idx="1143">
                  <c:v>122.61467889908258</c:v>
                </c:pt>
                <c:pt idx="1144">
                  <c:v>122.61467889908258</c:v>
                </c:pt>
                <c:pt idx="1145">
                  <c:v>122.61467889908258</c:v>
                </c:pt>
                <c:pt idx="1146">
                  <c:v>120.3394495412844</c:v>
                </c:pt>
                <c:pt idx="1147">
                  <c:v>122.11009174311927</c:v>
                </c:pt>
                <c:pt idx="1148">
                  <c:v>116.58715596330276</c:v>
                </c:pt>
                <c:pt idx="1149">
                  <c:v>116.58715596330276</c:v>
                </c:pt>
                <c:pt idx="1150">
                  <c:v>118.87155963302752</c:v>
                </c:pt>
                <c:pt idx="1151">
                  <c:v>118.87155963302752</c:v>
                </c:pt>
                <c:pt idx="1152">
                  <c:v>118.87155963302752</c:v>
                </c:pt>
                <c:pt idx="1153">
                  <c:v>123.94495412844036</c:v>
                </c:pt>
                <c:pt idx="1154">
                  <c:v>127.07339449541284</c:v>
                </c:pt>
                <c:pt idx="1155">
                  <c:v>134.80733944954127</c:v>
                </c:pt>
                <c:pt idx="1156">
                  <c:v>131.72477064220186</c:v>
                </c:pt>
                <c:pt idx="1157">
                  <c:v>134.35779816513761</c:v>
                </c:pt>
                <c:pt idx="1158">
                  <c:v>134.35779816513761</c:v>
                </c:pt>
                <c:pt idx="1159">
                  <c:v>134.35779816513761</c:v>
                </c:pt>
                <c:pt idx="1160">
                  <c:v>136.59633027522935</c:v>
                </c:pt>
                <c:pt idx="1161">
                  <c:v>136.60550458715596</c:v>
                </c:pt>
                <c:pt idx="1162">
                  <c:v>135.95412844036696</c:v>
                </c:pt>
                <c:pt idx="1163">
                  <c:v>139.32110091743118</c:v>
                </c:pt>
                <c:pt idx="1164">
                  <c:v>135.42201834862385</c:v>
                </c:pt>
                <c:pt idx="1165">
                  <c:v>135.42201834862385</c:v>
                </c:pt>
                <c:pt idx="1166">
                  <c:v>135.42201834862385</c:v>
                </c:pt>
                <c:pt idx="1167">
                  <c:v>145.22018348623854</c:v>
                </c:pt>
                <c:pt idx="1168">
                  <c:v>144.1376146788991</c:v>
                </c:pt>
                <c:pt idx="1169">
                  <c:v>144.1376146788991</c:v>
                </c:pt>
                <c:pt idx="1170">
                  <c:v>155.99999999999997</c:v>
                </c:pt>
                <c:pt idx="1171">
                  <c:v>149.93577981651376</c:v>
                </c:pt>
                <c:pt idx="1172">
                  <c:v>149.93577981651376</c:v>
                </c:pt>
                <c:pt idx="1173">
                  <c:v>149.93577981651376</c:v>
                </c:pt>
                <c:pt idx="1174">
                  <c:v>144.36697247706422</c:v>
                </c:pt>
                <c:pt idx="1175">
                  <c:v>146.85321100917429</c:v>
                </c:pt>
                <c:pt idx="1176">
                  <c:v>141.03669724770643</c:v>
                </c:pt>
                <c:pt idx="1177">
                  <c:v>140.41284403669724</c:v>
                </c:pt>
                <c:pt idx="1178">
                  <c:v>133.02752293577981</c:v>
                </c:pt>
                <c:pt idx="1179">
                  <c:v>133.02752293577981</c:v>
                </c:pt>
                <c:pt idx="1180">
                  <c:v>133.02752293577981</c:v>
                </c:pt>
                <c:pt idx="1181">
                  <c:v>132.76146788990826</c:v>
                </c:pt>
                <c:pt idx="1182">
                  <c:v>132.76146788990826</c:v>
                </c:pt>
                <c:pt idx="1183">
                  <c:v>136.77064220183487</c:v>
                </c:pt>
                <c:pt idx="1184">
                  <c:v>132.75229357798165</c:v>
                </c:pt>
                <c:pt idx="1185">
                  <c:v>150.85321100917432</c:v>
                </c:pt>
                <c:pt idx="1186">
                  <c:v>150.85321100917432</c:v>
                </c:pt>
                <c:pt idx="1187">
                  <c:v>150.85321100917432</c:v>
                </c:pt>
                <c:pt idx="1188">
                  <c:v>185.67889908256882</c:v>
                </c:pt>
                <c:pt idx="1189">
                  <c:v>180.90825688073394</c:v>
                </c:pt>
                <c:pt idx="1190">
                  <c:v>182.85321100917432</c:v>
                </c:pt>
                <c:pt idx="1191">
                  <c:v>173.88990825688074</c:v>
                </c:pt>
                <c:pt idx="1192">
                  <c:v>188.6880733944954</c:v>
                </c:pt>
                <c:pt idx="1193">
                  <c:v>188.6880733944954</c:v>
                </c:pt>
                <c:pt idx="1194">
                  <c:v>188.6880733944954</c:v>
                </c:pt>
                <c:pt idx="1195">
                  <c:v>188.9816513761468</c:v>
                </c:pt>
                <c:pt idx="1196">
                  <c:v>196.13761467889907</c:v>
                </c:pt>
                <c:pt idx="1197">
                  <c:v>193.63302752293578</c:v>
                </c:pt>
                <c:pt idx="1198">
                  <c:v>194.28440366972478</c:v>
                </c:pt>
                <c:pt idx="1199">
                  <c:v>197.17431192660547</c:v>
                </c:pt>
                <c:pt idx="1200">
                  <c:v>197.17431192660547</c:v>
                </c:pt>
                <c:pt idx="1201">
                  <c:v>197.17431192660547</c:v>
                </c:pt>
                <c:pt idx="1202">
                  <c:v>200.1009174311927</c:v>
                </c:pt>
                <c:pt idx="1203">
                  <c:v>193.42201834862388</c:v>
                </c:pt>
                <c:pt idx="1204">
                  <c:v>186.23853211009174</c:v>
                </c:pt>
                <c:pt idx="1205">
                  <c:v>170.2935779816514</c:v>
                </c:pt>
                <c:pt idx="1206">
                  <c:v>181.91743119266056</c:v>
                </c:pt>
                <c:pt idx="1207">
                  <c:v>181.91743119266056</c:v>
                </c:pt>
                <c:pt idx="1208">
                  <c:v>181.91743119266056</c:v>
                </c:pt>
                <c:pt idx="1209">
                  <c:v>190.67889908256882</c:v>
                </c:pt>
                <c:pt idx="1210">
                  <c:v>182.94495412844037</c:v>
                </c:pt>
                <c:pt idx="1211">
                  <c:v>202.80733944954127</c:v>
                </c:pt>
                <c:pt idx="1212">
                  <c:v>212.12844036697248</c:v>
                </c:pt>
                <c:pt idx="1213">
                  <c:v>210.24770642201833</c:v>
                </c:pt>
                <c:pt idx="1214">
                  <c:v>210.24770642201833</c:v>
                </c:pt>
                <c:pt idx="1215">
                  <c:v>210.24770642201833</c:v>
                </c:pt>
                <c:pt idx="1216">
                  <c:v>219.75229357798165</c:v>
                </c:pt>
                <c:pt idx="1217">
                  <c:v>222.99082568807341</c:v>
                </c:pt>
                <c:pt idx="1218">
                  <c:v>225.53211009174311</c:v>
                </c:pt>
                <c:pt idx="1219">
                  <c:v>215.94495412844034</c:v>
                </c:pt>
                <c:pt idx="1220">
                  <c:v>226.18348623853208</c:v>
                </c:pt>
                <c:pt idx="1221">
                  <c:v>226.18348623853208</c:v>
                </c:pt>
                <c:pt idx="1222">
                  <c:v>226.18348623853208</c:v>
                </c:pt>
                <c:pt idx="1223">
                  <c:v>215.71559633027522</c:v>
                </c:pt>
                <c:pt idx="1224">
                  <c:v>225.40366972477065</c:v>
                </c:pt>
                <c:pt idx="1225">
                  <c:v>243.61467889908261</c:v>
                </c:pt>
                <c:pt idx="1226">
                  <c:v>243.82568807339447</c:v>
                </c:pt>
                <c:pt idx="1227">
                  <c:v>247.57798165137618</c:v>
                </c:pt>
                <c:pt idx="1228">
                  <c:v>247.57798165137618</c:v>
                </c:pt>
                <c:pt idx="1229">
                  <c:v>247.57798165137618</c:v>
                </c:pt>
                <c:pt idx="1230">
                  <c:v>256.22935779816515</c:v>
                </c:pt>
                <c:pt idx="1231">
                  <c:v>263.05504587155963</c:v>
                </c:pt>
                <c:pt idx="1232">
                  <c:v>262.82568807339453</c:v>
                </c:pt>
                <c:pt idx="1233">
                  <c:v>265.46788990825689</c:v>
                </c:pt>
                <c:pt idx="1234">
                  <c:v>257.81651376146783</c:v>
                </c:pt>
                <c:pt idx="1235">
                  <c:v>257.81651376146783</c:v>
                </c:pt>
                <c:pt idx="1236">
                  <c:v>257.81651376146783</c:v>
                </c:pt>
                <c:pt idx="1237">
                  <c:v>245.32110091743115</c:v>
                </c:pt>
                <c:pt idx="1238">
                  <c:v>244.88073394495413</c:v>
                </c:pt>
                <c:pt idx="1239">
                  <c:v>246.24770642201835</c:v>
                </c:pt>
                <c:pt idx="1240">
                  <c:v>243.76146788990826</c:v>
                </c:pt>
                <c:pt idx="1241">
                  <c:v>241.69724770642199</c:v>
                </c:pt>
                <c:pt idx="1242">
                  <c:v>241.69724770642199</c:v>
                </c:pt>
                <c:pt idx="1243">
                  <c:v>241.69724770642199</c:v>
                </c:pt>
                <c:pt idx="1244">
                  <c:v>244.29357798165134</c:v>
                </c:pt>
                <c:pt idx="1245">
                  <c:v>249.52293577981655</c:v>
                </c:pt>
                <c:pt idx="1246">
                  <c:v>248.64220183486236</c:v>
                </c:pt>
                <c:pt idx="1247">
                  <c:v>251.3119266055046</c:v>
                </c:pt>
                <c:pt idx="1248">
                  <c:v>253.60550458715596</c:v>
                </c:pt>
                <c:pt idx="1249">
                  <c:v>253.60550458715596</c:v>
                </c:pt>
                <c:pt idx="1250">
                  <c:v>253.60550458715596</c:v>
                </c:pt>
                <c:pt idx="1251">
                  <c:v>248.93577981651376</c:v>
                </c:pt>
                <c:pt idx="1252">
                  <c:v>246.05504587155963</c:v>
                </c:pt>
                <c:pt idx="1253">
                  <c:v>250.27522935779817</c:v>
                </c:pt>
                <c:pt idx="1254">
                  <c:v>252.04587155963304</c:v>
                </c:pt>
                <c:pt idx="1255">
                  <c:v>249.41284403669727</c:v>
                </c:pt>
                <c:pt idx="1256">
                  <c:v>249.41284403669727</c:v>
                </c:pt>
                <c:pt idx="1257">
                  <c:v>249.41284403669727</c:v>
                </c:pt>
                <c:pt idx="1258">
                  <c:v>250.20183486238534</c:v>
                </c:pt>
                <c:pt idx="1259">
                  <c:v>255.43119266055047</c:v>
                </c:pt>
                <c:pt idx="1260">
                  <c:v>260.27522935779814</c:v>
                </c:pt>
                <c:pt idx="1261">
                  <c:v>257.50458715596329</c:v>
                </c:pt>
                <c:pt idx="1262">
                  <c:v>257.50458715596329</c:v>
                </c:pt>
                <c:pt idx="1263">
                  <c:v>257.50458715596329</c:v>
                </c:pt>
                <c:pt idx="1264">
                  <c:v>257.50458715596329</c:v>
                </c:pt>
                <c:pt idx="1265">
                  <c:v>254.87155963302754</c:v>
                </c:pt>
                <c:pt idx="1266">
                  <c:v>255.49541284403671</c:v>
                </c:pt>
                <c:pt idx="1267">
                  <c:v>251.72477064220183</c:v>
                </c:pt>
                <c:pt idx="1268">
                  <c:v>253.11926605504587</c:v>
                </c:pt>
                <c:pt idx="1269">
                  <c:v>249.74311926605509</c:v>
                </c:pt>
                <c:pt idx="1270">
                  <c:v>249.74311926605509</c:v>
                </c:pt>
                <c:pt idx="1271">
                  <c:v>249.74311926605509</c:v>
                </c:pt>
                <c:pt idx="1272">
                  <c:v>244.80733944954127</c:v>
                </c:pt>
                <c:pt idx="1273">
                  <c:v>241.11926605504584</c:v>
                </c:pt>
                <c:pt idx="1274">
                  <c:v>232.40366972477062</c:v>
                </c:pt>
                <c:pt idx="1275">
                  <c:v>227.37614678899081</c:v>
                </c:pt>
                <c:pt idx="1276">
                  <c:v>224.60550458715596</c:v>
                </c:pt>
                <c:pt idx="1277">
                  <c:v>224.60550458715596</c:v>
                </c:pt>
                <c:pt idx="1278">
                  <c:v>224.60550458715596</c:v>
                </c:pt>
                <c:pt idx="1279">
                  <c:v>236.18348623853208</c:v>
                </c:pt>
                <c:pt idx="1280">
                  <c:v>237.6880733944954</c:v>
                </c:pt>
                <c:pt idx="1281">
                  <c:v>239.84403669724773</c:v>
                </c:pt>
                <c:pt idx="1282">
                  <c:v>234.97247706422019</c:v>
                </c:pt>
                <c:pt idx="1283">
                  <c:v>233.75229357798167</c:v>
                </c:pt>
                <c:pt idx="1284">
                  <c:v>233.75229357798167</c:v>
                </c:pt>
                <c:pt idx="1285">
                  <c:v>233.75229357798167</c:v>
                </c:pt>
                <c:pt idx="1286">
                  <c:v>235.28440366972475</c:v>
                </c:pt>
                <c:pt idx="1287">
                  <c:v>237.08256880733947</c:v>
                </c:pt>
                <c:pt idx="1288">
                  <c:v>235.73394495412842</c:v>
                </c:pt>
                <c:pt idx="1289">
                  <c:v>233.05504587155963</c:v>
                </c:pt>
                <c:pt idx="1290">
                  <c:v>231.28440366972475</c:v>
                </c:pt>
                <c:pt idx="1291">
                  <c:v>231.28440366972475</c:v>
                </c:pt>
                <c:pt idx="1292">
                  <c:v>231.28440366972475</c:v>
                </c:pt>
                <c:pt idx="1293">
                  <c:v>229.92660550458717</c:v>
                </c:pt>
                <c:pt idx="1294">
                  <c:v>226.11926605504587</c:v>
                </c:pt>
                <c:pt idx="1295">
                  <c:v>224.64220183486239</c:v>
                </c:pt>
                <c:pt idx="1296">
                  <c:v>223.97247706422019</c:v>
                </c:pt>
                <c:pt idx="1297">
                  <c:v>231.21100917431195</c:v>
                </c:pt>
                <c:pt idx="1298">
                  <c:v>231.21100917431195</c:v>
                </c:pt>
                <c:pt idx="1299">
                  <c:v>231.21100917431195</c:v>
                </c:pt>
                <c:pt idx="1300">
                  <c:v>233.79816513761469</c:v>
                </c:pt>
                <c:pt idx="1301">
                  <c:v>231.07339449541286</c:v>
                </c:pt>
                <c:pt idx="1302">
                  <c:v>228.17431192660553</c:v>
                </c:pt>
                <c:pt idx="1303">
                  <c:v>228.81651376146789</c:v>
                </c:pt>
                <c:pt idx="1304">
                  <c:v>230.1743119266055</c:v>
                </c:pt>
                <c:pt idx="1305">
                  <c:v>230.1743119266055</c:v>
                </c:pt>
                <c:pt idx="1306">
                  <c:v>230.1743119266055</c:v>
                </c:pt>
                <c:pt idx="1307">
                  <c:v>231.22018348623854</c:v>
                </c:pt>
                <c:pt idx="1308">
                  <c:v>230.91743119266056</c:v>
                </c:pt>
                <c:pt idx="1309">
                  <c:v>232.74311926605503</c:v>
                </c:pt>
                <c:pt idx="1310">
                  <c:v>227.70642201834863</c:v>
                </c:pt>
                <c:pt idx="1311">
                  <c:v>228.73394495412845</c:v>
                </c:pt>
                <c:pt idx="1312">
                  <c:v>228.73394495412845</c:v>
                </c:pt>
                <c:pt idx="1313">
                  <c:v>228.73394495412845</c:v>
                </c:pt>
                <c:pt idx="1314">
                  <c:v>230.48623853211006</c:v>
                </c:pt>
                <c:pt idx="1315">
                  <c:v>227.09174311926606</c:v>
                </c:pt>
                <c:pt idx="1316">
                  <c:v>232.33944954128441</c:v>
                </c:pt>
                <c:pt idx="1317">
                  <c:v>228.66972477064218</c:v>
                </c:pt>
                <c:pt idx="1318">
                  <c:v>226.90825688073394</c:v>
                </c:pt>
                <c:pt idx="1319">
                  <c:v>226.90825688073394</c:v>
                </c:pt>
                <c:pt idx="1320">
                  <c:v>226.90825688073394</c:v>
                </c:pt>
                <c:pt idx="1321">
                  <c:v>222.6880733944954</c:v>
                </c:pt>
                <c:pt idx="1322">
                  <c:v>217.28440366972478</c:v>
                </c:pt>
                <c:pt idx="1323">
                  <c:v>217.28440366972478</c:v>
                </c:pt>
                <c:pt idx="1324">
                  <c:v>222.23853211009174</c:v>
                </c:pt>
                <c:pt idx="1325">
                  <c:v>217.33944954128441</c:v>
                </c:pt>
                <c:pt idx="1326">
                  <c:v>217.33944954128441</c:v>
                </c:pt>
                <c:pt idx="1327">
                  <c:v>217.33944954128441</c:v>
                </c:pt>
                <c:pt idx="1328">
                  <c:v>220.97247706422021</c:v>
                </c:pt>
                <c:pt idx="1329">
                  <c:v>216.25688073394494</c:v>
                </c:pt>
                <c:pt idx="1330">
                  <c:v>222.00917431192661</c:v>
                </c:pt>
                <c:pt idx="1331">
                  <c:v>219.37614678899084</c:v>
                </c:pt>
                <c:pt idx="1332">
                  <c:v>230.22935779816513</c:v>
                </c:pt>
                <c:pt idx="1333">
                  <c:v>230.22935779816513</c:v>
                </c:pt>
                <c:pt idx="1334">
                  <c:v>230.22935779816513</c:v>
                </c:pt>
                <c:pt idx="1335">
                  <c:v>235.88073394495416</c:v>
                </c:pt>
                <c:pt idx="1336">
                  <c:v>240.651376146789</c:v>
                </c:pt>
                <c:pt idx="1337">
                  <c:v>238.68807339449543</c:v>
                </c:pt>
                <c:pt idx="1338">
                  <c:v>243.20183486238531</c:v>
                </c:pt>
                <c:pt idx="1339">
                  <c:v>243.35779816513758</c:v>
                </c:pt>
                <c:pt idx="1340">
                  <c:v>243.35779816513758</c:v>
                </c:pt>
                <c:pt idx="1341">
                  <c:v>243.35779816513758</c:v>
                </c:pt>
                <c:pt idx="1342">
                  <c:v>244.87155963302754</c:v>
                </c:pt>
                <c:pt idx="1343">
                  <c:v>240.73394495412842</c:v>
                </c:pt>
                <c:pt idx="1344">
                  <c:v>240.89908256880733</c:v>
                </c:pt>
                <c:pt idx="1345">
                  <c:v>239.10091743119267</c:v>
                </c:pt>
                <c:pt idx="1346">
                  <c:v>240.62385321100916</c:v>
                </c:pt>
                <c:pt idx="1347">
                  <c:v>240.62385321100916</c:v>
                </c:pt>
                <c:pt idx="1348">
                  <c:v>240.62385321100916</c:v>
                </c:pt>
                <c:pt idx="1349">
                  <c:v>241.19266055045873</c:v>
                </c:pt>
                <c:pt idx="1350">
                  <c:v>243.25688073394494</c:v>
                </c:pt>
                <c:pt idx="1351">
                  <c:v>243.18348623853211</c:v>
                </c:pt>
                <c:pt idx="1352">
                  <c:v>242.98165137614683</c:v>
                </c:pt>
                <c:pt idx="1353">
                  <c:v>236.348623853211</c:v>
                </c:pt>
                <c:pt idx="1354">
                  <c:v>236.348623853211</c:v>
                </c:pt>
                <c:pt idx="1355">
                  <c:v>236.348623853211</c:v>
                </c:pt>
                <c:pt idx="1356">
                  <c:v>231.36697247706422</c:v>
                </c:pt>
                <c:pt idx="1357">
                  <c:v>232.10091743119267</c:v>
                </c:pt>
                <c:pt idx="1358">
                  <c:v>228.06422018348624</c:v>
                </c:pt>
                <c:pt idx="1359">
                  <c:v>228.69724770642202</c:v>
                </c:pt>
                <c:pt idx="1360">
                  <c:v>228.69724770642202</c:v>
                </c:pt>
                <c:pt idx="1361">
                  <c:v>228.69724770642202</c:v>
                </c:pt>
                <c:pt idx="1362">
                  <c:v>228.69724770642202</c:v>
                </c:pt>
                <c:pt idx="1363">
                  <c:v>227.23853211009174</c:v>
                </c:pt>
                <c:pt idx="1364">
                  <c:v>227.10091743119264</c:v>
                </c:pt>
                <c:pt idx="1365">
                  <c:v>222.66055045871559</c:v>
                </c:pt>
                <c:pt idx="1366">
                  <c:v>224.07339449541283</c:v>
                </c:pt>
                <c:pt idx="1367">
                  <c:v>225.63302752293578</c:v>
                </c:pt>
                <c:pt idx="1368">
                  <c:v>225.63302752293578</c:v>
                </c:pt>
                <c:pt idx="1369">
                  <c:v>225.63302752293578</c:v>
                </c:pt>
                <c:pt idx="1370">
                  <c:v>227.25688073394497</c:v>
                </c:pt>
                <c:pt idx="1371">
                  <c:v>225.69724770642199</c:v>
                </c:pt>
                <c:pt idx="1372">
                  <c:v>225.28440366972475</c:v>
                </c:pt>
                <c:pt idx="1373">
                  <c:v>234.2752293577982</c:v>
                </c:pt>
                <c:pt idx="1374">
                  <c:v>233.51376146788988</c:v>
                </c:pt>
                <c:pt idx="1375">
                  <c:v>233.51376146788988</c:v>
                </c:pt>
                <c:pt idx="1376">
                  <c:v>233.51376146788988</c:v>
                </c:pt>
                <c:pt idx="1377">
                  <c:v>238.651376146789</c:v>
                </c:pt>
                <c:pt idx="1378">
                  <c:v>234.66055045871559</c:v>
                </c:pt>
                <c:pt idx="1379">
                  <c:v>229.72477064220183</c:v>
                </c:pt>
                <c:pt idx="1380">
                  <c:v>228.14678899082571</c:v>
                </c:pt>
                <c:pt idx="1381">
                  <c:v>219.32110091743118</c:v>
                </c:pt>
                <c:pt idx="1382">
                  <c:v>219.32110091743118</c:v>
                </c:pt>
                <c:pt idx="1383">
                  <c:v>219.32110091743118</c:v>
                </c:pt>
                <c:pt idx="1384">
                  <c:v>213.75229357798165</c:v>
                </c:pt>
                <c:pt idx="1385">
                  <c:v>207.62385321100916</c:v>
                </c:pt>
                <c:pt idx="1386">
                  <c:v>208.38532110091739</c:v>
                </c:pt>
                <c:pt idx="1387">
                  <c:v>206.3302752293578</c:v>
                </c:pt>
                <c:pt idx="1388">
                  <c:v>207.64220183486239</c:v>
                </c:pt>
                <c:pt idx="1389">
                  <c:v>207.64220183486239</c:v>
                </c:pt>
                <c:pt idx="1390">
                  <c:v>207.64220183486239</c:v>
                </c:pt>
                <c:pt idx="1391">
                  <c:v>206.62385321100919</c:v>
                </c:pt>
                <c:pt idx="1392">
                  <c:v>198.77064220183487</c:v>
                </c:pt>
                <c:pt idx="1393">
                  <c:v>202.93577981651376</c:v>
                </c:pt>
                <c:pt idx="1394">
                  <c:v>205.39449541284404</c:v>
                </c:pt>
                <c:pt idx="1395">
                  <c:v>209.8256880733945</c:v>
                </c:pt>
                <c:pt idx="1396">
                  <c:v>209.8256880733945</c:v>
                </c:pt>
                <c:pt idx="1397">
                  <c:v>209.8256880733945</c:v>
                </c:pt>
                <c:pt idx="1398">
                  <c:v>210.12844036697248</c:v>
                </c:pt>
                <c:pt idx="1399">
                  <c:v>216.85321100917432</c:v>
                </c:pt>
                <c:pt idx="1400">
                  <c:v>217.92660550458714</c:v>
                </c:pt>
                <c:pt idx="1401">
                  <c:v>212.37614678899081</c:v>
                </c:pt>
                <c:pt idx="1402">
                  <c:v>212.38532110091742</c:v>
                </c:pt>
                <c:pt idx="1403">
                  <c:v>212.38532110091742</c:v>
                </c:pt>
                <c:pt idx="1404">
                  <c:v>212.38532110091742</c:v>
                </c:pt>
                <c:pt idx="1405">
                  <c:v>215.22935779816513</c:v>
                </c:pt>
                <c:pt idx="1406">
                  <c:v>207.55963302752295</c:v>
                </c:pt>
                <c:pt idx="1407">
                  <c:v>209.09174311926603</c:v>
                </c:pt>
                <c:pt idx="1408">
                  <c:v>197.62385321100916</c:v>
                </c:pt>
                <c:pt idx="1409">
                  <c:v>196.55963302752292</c:v>
                </c:pt>
                <c:pt idx="1410">
                  <c:v>196.55963302752292</c:v>
                </c:pt>
                <c:pt idx="1411">
                  <c:v>196.55963302752292</c:v>
                </c:pt>
                <c:pt idx="1412">
                  <c:v>203.10091743119267</c:v>
                </c:pt>
                <c:pt idx="1413">
                  <c:v>207.55963302752295</c:v>
                </c:pt>
                <c:pt idx="1414">
                  <c:v>206.74311926605503</c:v>
                </c:pt>
                <c:pt idx="1415">
                  <c:v>202.79816513761469</c:v>
                </c:pt>
                <c:pt idx="1416">
                  <c:v>212.46788990825686</c:v>
                </c:pt>
                <c:pt idx="1417">
                  <c:v>212.46788990825686</c:v>
                </c:pt>
                <c:pt idx="1418">
                  <c:v>212.46788990825686</c:v>
                </c:pt>
                <c:pt idx="1419">
                  <c:v>212.46788990825686</c:v>
                </c:pt>
                <c:pt idx="1420">
                  <c:v>203.07339449541283</c:v>
                </c:pt>
                <c:pt idx="1421">
                  <c:v>206.89908256880733</c:v>
                </c:pt>
                <c:pt idx="1422">
                  <c:v>224.29357798165137</c:v>
                </c:pt>
                <c:pt idx="1423">
                  <c:v>213.73394495412845</c:v>
                </c:pt>
                <c:pt idx="1424">
                  <c:v>213.73394495412845</c:v>
                </c:pt>
                <c:pt idx="1425">
                  <c:v>213.73394495412845</c:v>
                </c:pt>
                <c:pt idx="1426">
                  <c:v>221.88073394495413</c:v>
                </c:pt>
                <c:pt idx="1427">
                  <c:v>228.0366972477064</c:v>
                </c:pt>
                <c:pt idx="1428">
                  <c:v>228.97247706422021</c:v>
                </c:pt>
                <c:pt idx="1429">
                  <c:v>221.10091743119264</c:v>
                </c:pt>
                <c:pt idx="1430">
                  <c:v>229.79816513761469</c:v>
                </c:pt>
                <c:pt idx="1431">
                  <c:v>229.79816513761469</c:v>
                </c:pt>
                <c:pt idx="1432">
                  <c:v>229.79816513761469</c:v>
                </c:pt>
                <c:pt idx="1433">
                  <c:v>228.75229357798165</c:v>
                </c:pt>
                <c:pt idx="1434">
                  <c:v>228.20183486238531</c:v>
                </c:pt>
                <c:pt idx="1435">
                  <c:v>227.25688073394497</c:v>
                </c:pt>
                <c:pt idx="1436">
                  <c:v>229.13761467889907</c:v>
                </c:pt>
                <c:pt idx="1437">
                  <c:v>225.07339449541286</c:v>
                </c:pt>
                <c:pt idx="1438">
                  <c:v>225.07339449541286</c:v>
                </c:pt>
                <c:pt idx="1439">
                  <c:v>225.07339449541286</c:v>
                </c:pt>
                <c:pt idx="1440">
                  <c:v>221.26605504587155</c:v>
                </c:pt>
                <c:pt idx="1441">
                  <c:v>221.87155963302754</c:v>
                </c:pt>
                <c:pt idx="1442">
                  <c:v>222.16513761467888</c:v>
                </c:pt>
                <c:pt idx="1443">
                  <c:v>216.19266055045873</c:v>
                </c:pt>
                <c:pt idx="1444">
                  <c:v>217.00917431192659</c:v>
                </c:pt>
                <c:pt idx="1445">
                  <c:v>217.00917431192659</c:v>
                </c:pt>
                <c:pt idx="1446">
                  <c:v>217.00917431192659</c:v>
                </c:pt>
                <c:pt idx="1447">
                  <c:v>213.03669724770643</c:v>
                </c:pt>
                <c:pt idx="1448">
                  <c:v>222.0183486238532</c:v>
                </c:pt>
                <c:pt idx="1449">
                  <c:v>225.74311926605506</c:v>
                </c:pt>
                <c:pt idx="1450">
                  <c:v>226.22018348623857</c:v>
                </c:pt>
                <c:pt idx="1451">
                  <c:v>225.62385321100916</c:v>
                </c:pt>
                <c:pt idx="1452">
                  <c:v>225.62385321100916</c:v>
                </c:pt>
                <c:pt idx="1453">
                  <c:v>225.62385321100916</c:v>
                </c:pt>
                <c:pt idx="1454">
                  <c:v>222.1559633027523</c:v>
                </c:pt>
                <c:pt idx="1455">
                  <c:v>221.56880733944953</c:v>
                </c:pt>
                <c:pt idx="1456">
                  <c:v>228.51376146788991</c:v>
                </c:pt>
                <c:pt idx="1457">
                  <c:v>223.70642201834863</c:v>
                </c:pt>
                <c:pt idx="1458">
                  <c:v>223.70642201834863</c:v>
                </c:pt>
                <c:pt idx="1459">
                  <c:v>223.70642201834863</c:v>
                </c:pt>
                <c:pt idx="1460">
                  <c:v>223.70642201834863</c:v>
                </c:pt>
                <c:pt idx="1461">
                  <c:v>226.14678899082571</c:v>
                </c:pt>
                <c:pt idx="1462">
                  <c:v>221.48623853211009</c:v>
                </c:pt>
                <c:pt idx="1463">
                  <c:v>213.42201834862385</c:v>
                </c:pt>
                <c:pt idx="1464">
                  <c:v>209.20183486238534</c:v>
                </c:pt>
                <c:pt idx="1465">
                  <c:v>212.91743119266059</c:v>
                </c:pt>
                <c:pt idx="1466">
                  <c:v>212.91743119266059</c:v>
                </c:pt>
                <c:pt idx="1467">
                  <c:v>212.91743119266059</c:v>
                </c:pt>
                <c:pt idx="1468">
                  <c:v>199.55963302752295</c:v>
                </c:pt>
                <c:pt idx="1469">
                  <c:v>209.90825688073394</c:v>
                </c:pt>
                <c:pt idx="1470">
                  <c:v>206.95412844036701</c:v>
                </c:pt>
                <c:pt idx="1471">
                  <c:v>196.05504587155963</c:v>
                </c:pt>
                <c:pt idx="1472">
                  <c:v>214.23853211009174</c:v>
                </c:pt>
                <c:pt idx="1473">
                  <c:v>214.23853211009174</c:v>
                </c:pt>
                <c:pt idx="1474">
                  <c:v>214.23853211009174</c:v>
                </c:pt>
                <c:pt idx="1475">
                  <c:v>220.64220183486239</c:v>
                </c:pt>
                <c:pt idx="1476">
                  <c:v>225.50458715596332</c:v>
                </c:pt>
                <c:pt idx="1477">
                  <c:v>222.67889908256882</c:v>
                </c:pt>
                <c:pt idx="1478">
                  <c:v>226.46788990825689</c:v>
                </c:pt>
                <c:pt idx="1479">
                  <c:v>223.23853211009177</c:v>
                </c:pt>
                <c:pt idx="1480">
                  <c:v>223.23853211009177</c:v>
                </c:pt>
                <c:pt idx="1481">
                  <c:v>223.23853211009177</c:v>
                </c:pt>
                <c:pt idx="1482">
                  <c:v>216.83486238532109</c:v>
                </c:pt>
                <c:pt idx="1483">
                  <c:v>216.3302752293578</c:v>
                </c:pt>
                <c:pt idx="1484">
                  <c:v>219.18348623853211</c:v>
                </c:pt>
                <c:pt idx="1485">
                  <c:v>214.39449541284407</c:v>
                </c:pt>
                <c:pt idx="1486">
                  <c:v>211.11009174311928</c:v>
                </c:pt>
                <c:pt idx="1487">
                  <c:v>211.11009174311928</c:v>
                </c:pt>
                <c:pt idx="1488">
                  <c:v>211.11009174311928</c:v>
                </c:pt>
                <c:pt idx="1489">
                  <c:v>205.90825688073394</c:v>
                </c:pt>
                <c:pt idx="1490">
                  <c:v>206.16513761467891</c:v>
                </c:pt>
                <c:pt idx="1491">
                  <c:v>201.93577981651379</c:v>
                </c:pt>
                <c:pt idx="1492">
                  <c:v>204.56880733944951</c:v>
                </c:pt>
                <c:pt idx="1493">
                  <c:v>204.56880733944951</c:v>
                </c:pt>
                <c:pt idx="1494">
                  <c:v>204.56880733944951</c:v>
                </c:pt>
                <c:pt idx="1495">
                  <c:v>204.56880733944951</c:v>
                </c:pt>
                <c:pt idx="1496">
                  <c:v>205.57798165137618</c:v>
                </c:pt>
                <c:pt idx="1497">
                  <c:v>205.21100917431193</c:v>
                </c:pt>
                <c:pt idx="1498">
                  <c:v>203.61467889908255</c:v>
                </c:pt>
                <c:pt idx="1499">
                  <c:v>203.66972477064218</c:v>
                </c:pt>
                <c:pt idx="1500">
                  <c:v>197.61467889908258</c:v>
                </c:pt>
                <c:pt idx="1501">
                  <c:v>197.61467889908258</c:v>
                </c:pt>
                <c:pt idx="1502">
                  <c:v>197.61467889908258</c:v>
                </c:pt>
                <c:pt idx="1503">
                  <c:v>195.95412844036696</c:v>
                </c:pt>
                <c:pt idx="1504">
                  <c:v>194.92660550458714</c:v>
                </c:pt>
                <c:pt idx="1505">
                  <c:v>182.88990825688072</c:v>
                </c:pt>
                <c:pt idx="1506">
                  <c:v>177.52293577981649</c:v>
                </c:pt>
                <c:pt idx="1507">
                  <c:v>177.52293577981649</c:v>
                </c:pt>
                <c:pt idx="1508">
                  <c:v>177.52293577981649</c:v>
                </c:pt>
                <c:pt idx="1509">
                  <c:v>177.52293577981649</c:v>
                </c:pt>
                <c:pt idx="1510">
                  <c:v>181.10091743119267</c:v>
                </c:pt>
                <c:pt idx="1511">
                  <c:v>180.88990825688072</c:v>
                </c:pt>
                <c:pt idx="1512">
                  <c:v>181.13761467889907</c:v>
                </c:pt>
                <c:pt idx="1513">
                  <c:v>179.14678899082571</c:v>
                </c:pt>
                <c:pt idx="1514">
                  <c:v>179.14678899082571</c:v>
                </c:pt>
                <c:pt idx="1515">
                  <c:v>179.14678899082571</c:v>
                </c:pt>
                <c:pt idx="1516">
                  <c:v>179.14678899082571</c:v>
                </c:pt>
                <c:pt idx="1517">
                  <c:v>179.71559633027522</c:v>
                </c:pt>
                <c:pt idx="1518">
                  <c:v>180.55045871559633</c:v>
                </c:pt>
                <c:pt idx="1519">
                  <c:v>179.91743119266056</c:v>
                </c:pt>
                <c:pt idx="1520">
                  <c:v>181.55963302752295</c:v>
                </c:pt>
                <c:pt idx="1521">
                  <c:v>175.74311926605506</c:v>
                </c:pt>
                <c:pt idx="1522">
                  <c:v>175.74311926605506</c:v>
                </c:pt>
                <c:pt idx="1523">
                  <c:v>175.74311926605506</c:v>
                </c:pt>
                <c:pt idx="1524">
                  <c:v>171.07339449541283</c:v>
                </c:pt>
                <c:pt idx="1525">
                  <c:v>170.8073394495413</c:v>
                </c:pt>
                <c:pt idx="1526">
                  <c:v>175.08256880733944</c:v>
                </c:pt>
                <c:pt idx="1527">
                  <c:v>178.58715596330273</c:v>
                </c:pt>
                <c:pt idx="1528">
                  <c:v>175.67889908256882</c:v>
                </c:pt>
                <c:pt idx="1529">
                  <c:v>175.67889908256882</c:v>
                </c:pt>
                <c:pt idx="1530">
                  <c:v>175.67889908256882</c:v>
                </c:pt>
                <c:pt idx="1531">
                  <c:v>176.1376146788991</c:v>
                </c:pt>
                <c:pt idx="1532">
                  <c:v>173.63302752293578</c:v>
                </c:pt>
                <c:pt idx="1533">
                  <c:v>172.23853211009174</c:v>
                </c:pt>
                <c:pt idx="1534">
                  <c:v>171.24770642201835</c:v>
                </c:pt>
                <c:pt idx="1535">
                  <c:v>181.35779816513761</c:v>
                </c:pt>
                <c:pt idx="1536">
                  <c:v>181.35779816513761</c:v>
                </c:pt>
                <c:pt idx="1537">
                  <c:v>181.35779816513761</c:v>
                </c:pt>
                <c:pt idx="1538">
                  <c:v>184.1376146788991</c:v>
                </c:pt>
                <c:pt idx="1539">
                  <c:v>180.20183486238531</c:v>
                </c:pt>
                <c:pt idx="1540">
                  <c:v>193.3119266055046</c:v>
                </c:pt>
                <c:pt idx="1541">
                  <c:v>196.45871559633025</c:v>
                </c:pt>
                <c:pt idx="1542">
                  <c:v>199.04587155963301</c:v>
                </c:pt>
                <c:pt idx="1543">
                  <c:v>199.04587155963301</c:v>
                </c:pt>
                <c:pt idx="1544">
                  <c:v>199.04587155963301</c:v>
                </c:pt>
                <c:pt idx="1545">
                  <c:v>197.18348623853211</c:v>
                </c:pt>
                <c:pt idx="1546">
                  <c:v>197.18348623853211</c:v>
                </c:pt>
                <c:pt idx="1547">
                  <c:v>198.21100917431193</c:v>
                </c:pt>
                <c:pt idx="1548">
                  <c:v>196.40366972477065</c:v>
                </c:pt>
                <c:pt idx="1549">
                  <c:v>193.90825688073397</c:v>
                </c:pt>
                <c:pt idx="1550">
                  <c:v>193.90825688073397</c:v>
                </c:pt>
                <c:pt idx="1551">
                  <c:v>193.90825688073397</c:v>
                </c:pt>
                <c:pt idx="1552">
                  <c:v>194.1376146788991</c:v>
                </c:pt>
                <c:pt idx="1553">
                  <c:v>192.64220183486239</c:v>
                </c:pt>
                <c:pt idx="1554">
                  <c:v>196.49541284403671</c:v>
                </c:pt>
                <c:pt idx="1555">
                  <c:v>195.07339449541283</c:v>
                </c:pt>
                <c:pt idx="1556">
                  <c:v>198.29357798165137</c:v>
                </c:pt>
                <c:pt idx="1557">
                  <c:v>198.29357798165137</c:v>
                </c:pt>
                <c:pt idx="1558">
                  <c:v>198.29357798165137</c:v>
                </c:pt>
                <c:pt idx="1559">
                  <c:v>188.36697247706422</c:v>
                </c:pt>
                <c:pt idx="1560">
                  <c:v>191.88990825688072</c:v>
                </c:pt>
                <c:pt idx="1561">
                  <c:v>194.52293577981652</c:v>
                </c:pt>
                <c:pt idx="1562">
                  <c:v>192.32110091743121</c:v>
                </c:pt>
                <c:pt idx="1563">
                  <c:v>191.45871559633028</c:v>
                </c:pt>
                <c:pt idx="1564">
                  <c:v>191.45871559633028</c:v>
                </c:pt>
                <c:pt idx="1565">
                  <c:v>191.45871559633028</c:v>
                </c:pt>
                <c:pt idx="1566">
                  <c:v>188.93577981651376</c:v>
                </c:pt>
                <c:pt idx="1567">
                  <c:v>190.09174311926606</c:v>
                </c:pt>
                <c:pt idx="1568">
                  <c:v>189.73394495412845</c:v>
                </c:pt>
                <c:pt idx="1569">
                  <c:v>187.00917431192661</c:v>
                </c:pt>
                <c:pt idx="1570">
                  <c:v>185.19266055045873</c:v>
                </c:pt>
                <c:pt idx="1571">
                  <c:v>185.19266055045873</c:v>
                </c:pt>
                <c:pt idx="1572">
                  <c:v>185.19266055045873</c:v>
                </c:pt>
                <c:pt idx="1573">
                  <c:v>179.53211009174314</c:v>
                </c:pt>
                <c:pt idx="1574">
                  <c:v>177.6697247706422</c:v>
                </c:pt>
                <c:pt idx="1575">
                  <c:v>182.27522935779817</c:v>
                </c:pt>
                <c:pt idx="1576">
                  <c:v>180.38532110091742</c:v>
                </c:pt>
                <c:pt idx="1577">
                  <c:v>180.64220183486239</c:v>
                </c:pt>
                <c:pt idx="1578">
                  <c:v>180.64220183486239</c:v>
                </c:pt>
                <c:pt idx="1579">
                  <c:v>180.64220183486239</c:v>
                </c:pt>
                <c:pt idx="1580">
                  <c:v>181.46788990825689</c:v>
                </c:pt>
                <c:pt idx="1581">
                  <c:v>181.26605504587155</c:v>
                </c:pt>
                <c:pt idx="1582">
                  <c:v>181.42201834862385</c:v>
                </c:pt>
                <c:pt idx="1583">
                  <c:v>181.58715596330273</c:v>
                </c:pt>
                <c:pt idx="1584">
                  <c:v>178.52293577981652</c:v>
                </c:pt>
                <c:pt idx="1585">
                  <c:v>178.52293577981652</c:v>
                </c:pt>
                <c:pt idx="1586">
                  <c:v>178.52293577981652</c:v>
                </c:pt>
                <c:pt idx="1587">
                  <c:v>175.25688073394497</c:v>
                </c:pt>
                <c:pt idx="1588">
                  <c:v>175.1743119266055</c:v>
                </c:pt>
                <c:pt idx="1589">
                  <c:v>173.3302752293578</c:v>
                </c:pt>
                <c:pt idx="1590">
                  <c:v>170.08256880733944</c:v>
                </c:pt>
                <c:pt idx="1591">
                  <c:v>166.33027522935782</c:v>
                </c:pt>
                <c:pt idx="1592">
                  <c:v>166.33027522935782</c:v>
                </c:pt>
                <c:pt idx="1593">
                  <c:v>166.33027522935782</c:v>
                </c:pt>
                <c:pt idx="1594">
                  <c:v>165.84403669724773</c:v>
                </c:pt>
                <c:pt idx="1595">
                  <c:v>165.93577981651379</c:v>
                </c:pt>
                <c:pt idx="1596">
                  <c:v>164.55963302752295</c:v>
                </c:pt>
                <c:pt idx="1597">
                  <c:v>164.22018348623851</c:v>
                </c:pt>
                <c:pt idx="1598">
                  <c:v>164.00917431192661</c:v>
                </c:pt>
                <c:pt idx="1599">
                  <c:v>164.00917431192661</c:v>
                </c:pt>
                <c:pt idx="1600">
                  <c:v>164.00917431192661</c:v>
                </c:pt>
                <c:pt idx="1601">
                  <c:v>161.17431192660553</c:v>
                </c:pt>
                <c:pt idx="1602">
                  <c:v>161.22018348623851</c:v>
                </c:pt>
                <c:pt idx="1603">
                  <c:v>157.76146788990826</c:v>
                </c:pt>
                <c:pt idx="1604">
                  <c:v>156.88073394495413</c:v>
                </c:pt>
                <c:pt idx="1605">
                  <c:v>164.22018348623851</c:v>
                </c:pt>
                <c:pt idx="1606">
                  <c:v>164.22018348623851</c:v>
                </c:pt>
                <c:pt idx="1607">
                  <c:v>164.22018348623851</c:v>
                </c:pt>
                <c:pt idx="1608">
                  <c:v>165.83486238532112</c:v>
                </c:pt>
                <c:pt idx="1609">
                  <c:v>170.49541284403671</c:v>
                </c:pt>
                <c:pt idx="1610">
                  <c:v>171.88073394495413</c:v>
                </c:pt>
                <c:pt idx="1611">
                  <c:v>172.06422018348624</c:v>
                </c:pt>
                <c:pt idx="1612">
                  <c:v>165.23853211009177</c:v>
                </c:pt>
                <c:pt idx="1613">
                  <c:v>165.23853211009177</c:v>
                </c:pt>
                <c:pt idx="1614">
                  <c:v>165.23853211009177</c:v>
                </c:pt>
                <c:pt idx="1615">
                  <c:v>155.41284403669727</c:v>
                </c:pt>
                <c:pt idx="1616">
                  <c:v>156.30275229357801</c:v>
                </c:pt>
                <c:pt idx="1617">
                  <c:v>155.60550458715599</c:v>
                </c:pt>
                <c:pt idx="1618">
                  <c:v>155.04587155963304</c:v>
                </c:pt>
                <c:pt idx="1619">
                  <c:v>150.1743119266055</c:v>
                </c:pt>
                <c:pt idx="1620">
                  <c:v>150.1743119266055</c:v>
                </c:pt>
                <c:pt idx="1621">
                  <c:v>150.1743119266055</c:v>
                </c:pt>
                <c:pt idx="1622">
                  <c:v>152.82568807339453</c:v>
                </c:pt>
                <c:pt idx="1623">
                  <c:v>152.11926605504587</c:v>
                </c:pt>
                <c:pt idx="1624">
                  <c:v>152.21100917431193</c:v>
                </c:pt>
                <c:pt idx="1625">
                  <c:v>156.38532110091742</c:v>
                </c:pt>
                <c:pt idx="1626">
                  <c:v>156.38532110091742</c:v>
                </c:pt>
                <c:pt idx="1627">
                  <c:v>156.38532110091742</c:v>
                </c:pt>
                <c:pt idx="1628">
                  <c:v>156.38532110091742</c:v>
                </c:pt>
                <c:pt idx="1629">
                  <c:v>155.44954128440367</c:v>
                </c:pt>
                <c:pt idx="1630">
                  <c:v>152</c:v>
                </c:pt>
                <c:pt idx="1631">
                  <c:v>151.10091743119264</c:v>
                </c:pt>
                <c:pt idx="1632">
                  <c:v>151.34862385321102</c:v>
                </c:pt>
                <c:pt idx="1633">
                  <c:v>150.28440366972478</c:v>
                </c:pt>
                <c:pt idx="1634">
                  <c:v>150.28440366972478</c:v>
                </c:pt>
                <c:pt idx="1635">
                  <c:v>150.28440366972478</c:v>
                </c:pt>
                <c:pt idx="1636">
                  <c:v>151.55045871559633</c:v>
                </c:pt>
                <c:pt idx="1637">
                  <c:v>152.11009174311926</c:v>
                </c:pt>
                <c:pt idx="1638">
                  <c:v>149.12844036697248</c:v>
                </c:pt>
                <c:pt idx="1639">
                  <c:v>146.00917431192661</c:v>
                </c:pt>
                <c:pt idx="1640">
                  <c:v>148.16513761467891</c:v>
                </c:pt>
                <c:pt idx="1641">
                  <c:v>148.16513761467891</c:v>
                </c:pt>
                <c:pt idx="1642">
                  <c:v>148.16513761467891</c:v>
                </c:pt>
                <c:pt idx="1643">
                  <c:v>148.13761467889907</c:v>
                </c:pt>
                <c:pt idx="1644">
                  <c:v>151.51376146788991</c:v>
                </c:pt>
                <c:pt idx="1645">
                  <c:v>153.1926605504587</c:v>
                </c:pt>
                <c:pt idx="1646">
                  <c:v>154.49541284403671</c:v>
                </c:pt>
                <c:pt idx="1647">
                  <c:v>143.08256880733944</c:v>
                </c:pt>
                <c:pt idx="1648">
                  <c:v>143.08256880733944</c:v>
                </c:pt>
                <c:pt idx="1649">
                  <c:v>143.08256880733944</c:v>
                </c:pt>
                <c:pt idx="1650">
                  <c:v>151.1376146788991</c:v>
                </c:pt>
                <c:pt idx="1651">
                  <c:v>157.89908256880736</c:v>
                </c:pt>
                <c:pt idx="1652">
                  <c:v>156.23853211009177</c:v>
                </c:pt>
                <c:pt idx="1653">
                  <c:v>158.11926605504587</c:v>
                </c:pt>
                <c:pt idx="1654">
                  <c:v>153.40366972477065</c:v>
                </c:pt>
                <c:pt idx="1655">
                  <c:v>153.40366972477065</c:v>
                </c:pt>
                <c:pt idx="1656">
                  <c:v>153.40366972477065</c:v>
                </c:pt>
                <c:pt idx="1657">
                  <c:v>152.73394495412842</c:v>
                </c:pt>
                <c:pt idx="1658">
                  <c:v>150.81651376146789</c:v>
                </c:pt>
                <c:pt idx="1659">
                  <c:v>150.90825688073394</c:v>
                </c:pt>
                <c:pt idx="1660">
                  <c:v>149.09174311926606</c:v>
                </c:pt>
                <c:pt idx="1661">
                  <c:v>150.81651376146789</c:v>
                </c:pt>
                <c:pt idx="1662">
                  <c:v>150.81651376146789</c:v>
                </c:pt>
                <c:pt idx="1663">
                  <c:v>150.81651376146789</c:v>
                </c:pt>
                <c:pt idx="1664">
                  <c:v>148.38532110091745</c:v>
                </c:pt>
                <c:pt idx="1665">
                  <c:v>153.44954128440367</c:v>
                </c:pt>
                <c:pt idx="1666">
                  <c:v>151.69724770642202</c:v>
                </c:pt>
                <c:pt idx="1667">
                  <c:v>152.43119266055047</c:v>
                </c:pt>
                <c:pt idx="1668">
                  <c:v>154.22018348623854</c:v>
                </c:pt>
                <c:pt idx="1669">
                  <c:v>154.22018348623854</c:v>
                </c:pt>
                <c:pt idx="1670">
                  <c:v>154.22018348623854</c:v>
                </c:pt>
                <c:pt idx="1671">
                  <c:v>153.6697247706422</c:v>
                </c:pt>
                <c:pt idx="1672">
                  <c:v>151.46788990825689</c:v>
                </c:pt>
                <c:pt idx="1673">
                  <c:v>152.25688073394497</c:v>
                </c:pt>
                <c:pt idx="1674">
                  <c:v>150.6880733944954</c:v>
                </c:pt>
                <c:pt idx="1675">
                  <c:v>151.33027522935777</c:v>
                </c:pt>
                <c:pt idx="1676">
                  <c:v>151.33027522935777</c:v>
                </c:pt>
                <c:pt idx="1677">
                  <c:v>151.33027522935777</c:v>
                </c:pt>
                <c:pt idx="1678">
                  <c:v>147.36697247706419</c:v>
                </c:pt>
                <c:pt idx="1679">
                  <c:v>149.09174311926606</c:v>
                </c:pt>
                <c:pt idx="1680">
                  <c:v>143.00917431192661</c:v>
                </c:pt>
                <c:pt idx="1681">
                  <c:v>141.00917431192659</c:v>
                </c:pt>
                <c:pt idx="1682">
                  <c:v>134.64220183486236</c:v>
                </c:pt>
                <c:pt idx="1683">
                  <c:v>134.64220183486236</c:v>
                </c:pt>
                <c:pt idx="1684">
                  <c:v>134.64220183486236</c:v>
                </c:pt>
                <c:pt idx="1685">
                  <c:v>131.63302752293578</c:v>
                </c:pt>
                <c:pt idx="1686">
                  <c:v>131.23853211009177</c:v>
                </c:pt>
                <c:pt idx="1687">
                  <c:v>127.82568807339452</c:v>
                </c:pt>
                <c:pt idx="1688">
                  <c:v>127.82568807339452</c:v>
                </c:pt>
                <c:pt idx="1689">
                  <c:v>132.62385321100919</c:v>
                </c:pt>
                <c:pt idx="1690">
                  <c:v>132.62385321100919</c:v>
                </c:pt>
                <c:pt idx="1691">
                  <c:v>132.62385321100919</c:v>
                </c:pt>
                <c:pt idx="1692">
                  <c:v>134.56880733944953</c:v>
                </c:pt>
                <c:pt idx="1693">
                  <c:v>139.22018348623851</c:v>
                </c:pt>
                <c:pt idx="1694">
                  <c:v>134.47706422018351</c:v>
                </c:pt>
                <c:pt idx="1695">
                  <c:v>139.58715596330276</c:v>
                </c:pt>
                <c:pt idx="1696">
                  <c:v>141.12844036697248</c:v>
                </c:pt>
                <c:pt idx="1697">
                  <c:v>141.12844036697248</c:v>
                </c:pt>
                <c:pt idx="1698">
                  <c:v>141.12844036697248</c:v>
                </c:pt>
                <c:pt idx="1699">
                  <c:v>145.2935779816514</c:v>
                </c:pt>
                <c:pt idx="1700">
                  <c:v>146.30275229357798</c:v>
                </c:pt>
                <c:pt idx="1701">
                  <c:v>144.11926605504587</c:v>
                </c:pt>
                <c:pt idx="1702">
                  <c:v>144.3302752293578</c:v>
                </c:pt>
                <c:pt idx="1703">
                  <c:v>139.10091743119267</c:v>
                </c:pt>
                <c:pt idx="1704">
                  <c:v>139.10091743119267</c:v>
                </c:pt>
                <c:pt idx="1705">
                  <c:v>139.10091743119267</c:v>
                </c:pt>
                <c:pt idx="1706">
                  <c:v>139.78899082568807</c:v>
                </c:pt>
                <c:pt idx="1707">
                  <c:v>139.19266055045873</c:v>
                </c:pt>
                <c:pt idx="1708">
                  <c:v>138.89908256880733</c:v>
                </c:pt>
                <c:pt idx="1709">
                  <c:v>137.58715596330276</c:v>
                </c:pt>
                <c:pt idx="1710">
                  <c:v>137.24770642201833</c:v>
                </c:pt>
                <c:pt idx="1711">
                  <c:v>137.24770642201833</c:v>
                </c:pt>
                <c:pt idx="1712">
                  <c:v>137.24770642201833</c:v>
                </c:pt>
                <c:pt idx="1713">
                  <c:v>146.73394495412845</c:v>
                </c:pt>
                <c:pt idx="1714">
                  <c:v>136.80733944954127</c:v>
                </c:pt>
                <c:pt idx="1715">
                  <c:v>135.17431192660553</c:v>
                </c:pt>
                <c:pt idx="1716">
                  <c:v>135.78899082568807</c:v>
                </c:pt>
                <c:pt idx="1717">
                  <c:v>131.77981651376146</c:v>
                </c:pt>
                <c:pt idx="1718">
                  <c:v>131.77981651376146</c:v>
                </c:pt>
                <c:pt idx="1719">
                  <c:v>131.77981651376146</c:v>
                </c:pt>
                <c:pt idx="1720">
                  <c:v>132.44036697247708</c:v>
                </c:pt>
                <c:pt idx="1721">
                  <c:v>132.43119266055047</c:v>
                </c:pt>
                <c:pt idx="1722">
                  <c:v>132.90825688073394</c:v>
                </c:pt>
                <c:pt idx="1723">
                  <c:v>130.12844036697248</c:v>
                </c:pt>
                <c:pt idx="1724">
                  <c:v>130.12844036697248</c:v>
                </c:pt>
                <c:pt idx="1725">
                  <c:v>130.12844036697248</c:v>
                </c:pt>
                <c:pt idx="1726">
                  <c:v>130.12844036697248</c:v>
                </c:pt>
                <c:pt idx="1727">
                  <c:v>126.8440366972477</c:v>
                </c:pt>
                <c:pt idx="1728">
                  <c:v>127.12844036697246</c:v>
                </c:pt>
                <c:pt idx="1729">
                  <c:v>125.71559633027522</c:v>
                </c:pt>
                <c:pt idx="1730">
                  <c:v>127.43119266055048</c:v>
                </c:pt>
                <c:pt idx="1731">
                  <c:v>124.77064220183487</c:v>
                </c:pt>
                <c:pt idx="1732">
                  <c:v>124.77064220183487</c:v>
                </c:pt>
                <c:pt idx="1733">
                  <c:v>124.77064220183487</c:v>
                </c:pt>
                <c:pt idx="1734">
                  <c:v>122.08256880733946</c:v>
                </c:pt>
                <c:pt idx="1735">
                  <c:v>117.1743119266055</c:v>
                </c:pt>
                <c:pt idx="1736">
                  <c:v>125.51376146788991</c:v>
                </c:pt>
                <c:pt idx="1737">
                  <c:v>123.22018348623854</c:v>
                </c:pt>
                <c:pt idx="1738">
                  <c:v>117.3302752293578</c:v>
                </c:pt>
                <c:pt idx="1739">
                  <c:v>117.3302752293578</c:v>
                </c:pt>
                <c:pt idx="1740">
                  <c:v>117.3302752293578</c:v>
                </c:pt>
                <c:pt idx="1741">
                  <c:v>116.05504587155964</c:v>
                </c:pt>
                <c:pt idx="1742">
                  <c:v>111.27522935779817</c:v>
                </c:pt>
                <c:pt idx="1743">
                  <c:v>94.440366972477065</c:v>
                </c:pt>
                <c:pt idx="1744">
                  <c:v>94.284403669724767</c:v>
                </c:pt>
                <c:pt idx="1745">
                  <c:v>95.284403669724767</c:v>
                </c:pt>
                <c:pt idx="1746">
                  <c:v>95.284403669724767</c:v>
                </c:pt>
                <c:pt idx="1747">
                  <c:v>95.284403669724767</c:v>
                </c:pt>
                <c:pt idx="1748">
                  <c:v>95.275229357798167</c:v>
                </c:pt>
                <c:pt idx="1749">
                  <c:v>95.642201834862391</c:v>
                </c:pt>
                <c:pt idx="1750">
                  <c:v>94.935779816513772</c:v>
                </c:pt>
                <c:pt idx="1751">
                  <c:v>97.834862385321102</c:v>
                </c:pt>
                <c:pt idx="1752">
                  <c:v>95.688073394495405</c:v>
                </c:pt>
                <c:pt idx="1753">
                  <c:v>95.688073394495405</c:v>
                </c:pt>
                <c:pt idx="1754">
                  <c:v>95.688073394495405</c:v>
                </c:pt>
                <c:pt idx="1755">
                  <c:v>96.917431192660558</c:v>
                </c:pt>
                <c:pt idx="1756">
                  <c:v>95.431192660550451</c:v>
                </c:pt>
                <c:pt idx="1757">
                  <c:v>96.091743119266056</c:v>
                </c:pt>
                <c:pt idx="1758">
                  <c:v>94.449541284403665</c:v>
                </c:pt>
                <c:pt idx="1759">
                  <c:v>93.284403669724782</c:v>
                </c:pt>
                <c:pt idx="1760">
                  <c:v>93.284403669724782</c:v>
                </c:pt>
                <c:pt idx="1761">
                  <c:v>93.284403669724782</c:v>
                </c:pt>
                <c:pt idx="1762">
                  <c:v>92.899082568807344</c:v>
                </c:pt>
                <c:pt idx="1763">
                  <c:v>91.449541284403679</c:v>
                </c:pt>
                <c:pt idx="1764">
                  <c:v>91.091743119266056</c:v>
                </c:pt>
                <c:pt idx="1765">
                  <c:v>91.036697247706428</c:v>
                </c:pt>
                <c:pt idx="1766">
                  <c:v>87.605504587155963</c:v>
                </c:pt>
                <c:pt idx="1767">
                  <c:v>87.605504587155963</c:v>
                </c:pt>
                <c:pt idx="1768">
                  <c:v>87.605504587155963</c:v>
                </c:pt>
                <c:pt idx="1769">
                  <c:v>87.605504587155963</c:v>
                </c:pt>
                <c:pt idx="1770">
                  <c:v>89.275229357798167</c:v>
                </c:pt>
                <c:pt idx="1771">
                  <c:v>90.018348623853214</c:v>
                </c:pt>
                <c:pt idx="1772">
                  <c:v>89.697247706422019</c:v>
                </c:pt>
                <c:pt idx="1773">
                  <c:v>92.045871559633028</c:v>
                </c:pt>
                <c:pt idx="1774">
                  <c:v>92.045871559633028</c:v>
                </c:pt>
                <c:pt idx="1775">
                  <c:v>92.045871559633028</c:v>
                </c:pt>
                <c:pt idx="1776">
                  <c:v>92.440366972477079</c:v>
                </c:pt>
                <c:pt idx="1777">
                  <c:v>91.77064220183486</c:v>
                </c:pt>
                <c:pt idx="1778">
                  <c:v>92.458715596330279</c:v>
                </c:pt>
                <c:pt idx="1779">
                  <c:v>99.431192660550451</c:v>
                </c:pt>
                <c:pt idx="1780">
                  <c:v>99.935779816513772</c:v>
                </c:pt>
                <c:pt idx="1781">
                  <c:v>99.935779816513772</c:v>
                </c:pt>
                <c:pt idx="1782">
                  <c:v>99.935779816513772</c:v>
                </c:pt>
                <c:pt idx="1783">
                  <c:v>100.36697247706424</c:v>
                </c:pt>
                <c:pt idx="1784">
                  <c:v>98.477064220183479</c:v>
                </c:pt>
                <c:pt idx="1785">
                  <c:v>98.798165137614674</c:v>
                </c:pt>
                <c:pt idx="1786">
                  <c:v>99.311926605504581</c:v>
                </c:pt>
                <c:pt idx="1787">
                  <c:v>98.596330275229363</c:v>
                </c:pt>
                <c:pt idx="1788">
                  <c:v>98.596330275229363</c:v>
                </c:pt>
                <c:pt idx="1789">
                  <c:v>98.596330275229363</c:v>
                </c:pt>
                <c:pt idx="1790">
                  <c:v>98.247706422018354</c:v>
                </c:pt>
                <c:pt idx="1791">
                  <c:v>99.146788990825684</c:v>
                </c:pt>
                <c:pt idx="1792">
                  <c:v>97.165137614678898</c:v>
                </c:pt>
                <c:pt idx="1793">
                  <c:v>100.41284403669725</c:v>
                </c:pt>
                <c:pt idx="1794">
                  <c:v>97.311926605504581</c:v>
                </c:pt>
                <c:pt idx="1795">
                  <c:v>97.311926605504581</c:v>
                </c:pt>
                <c:pt idx="1796">
                  <c:v>97.311926605504581</c:v>
                </c:pt>
                <c:pt idx="1797">
                  <c:v>95.238532110091739</c:v>
                </c:pt>
                <c:pt idx="1798">
                  <c:v>94.082568807339456</c:v>
                </c:pt>
                <c:pt idx="1799">
                  <c:v>93.376146788990823</c:v>
                </c:pt>
                <c:pt idx="1800">
                  <c:v>93.440366972477065</c:v>
                </c:pt>
                <c:pt idx="1801">
                  <c:v>90.935779816513758</c:v>
                </c:pt>
                <c:pt idx="1802">
                  <c:v>90.935779816513758</c:v>
                </c:pt>
                <c:pt idx="1803">
                  <c:v>90.935779816513758</c:v>
                </c:pt>
                <c:pt idx="1804">
                  <c:v>90.403669724770651</c:v>
                </c:pt>
                <c:pt idx="1805">
                  <c:v>90.422018348623851</c:v>
                </c:pt>
                <c:pt idx="1806">
                  <c:v>90.587155963302749</c:v>
                </c:pt>
                <c:pt idx="1807">
                  <c:v>89.605504587155963</c:v>
                </c:pt>
                <c:pt idx="1808">
                  <c:v>90.302752293577996</c:v>
                </c:pt>
                <c:pt idx="1809">
                  <c:v>90.302752293577996</c:v>
                </c:pt>
                <c:pt idx="1810">
                  <c:v>90.302752293577996</c:v>
                </c:pt>
                <c:pt idx="1811">
                  <c:v>90.825688073394488</c:v>
                </c:pt>
                <c:pt idx="1812">
                  <c:v>94.302752293577981</c:v>
                </c:pt>
                <c:pt idx="1813">
                  <c:v>93.10091743119267</c:v>
                </c:pt>
                <c:pt idx="1814">
                  <c:v>95.788990825688074</c:v>
                </c:pt>
                <c:pt idx="1815">
                  <c:v>93.082568807339442</c:v>
                </c:pt>
                <c:pt idx="1816">
                  <c:v>93.082568807339442</c:v>
                </c:pt>
                <c:pt idx="1817">
                  <c:v>93.082568807339442</c:v>
                </c:pt>
                <c:pt idx="1818">
                  <c:v>92.192660550458712</c:v>
                </c:pt>
                <c:pt idx="1819">
                  <c:v>101.61467889908258</c:v>
                </c:pt>
                <c:pt idx="1820">
                  <c:v>101.89908256880733</c:v>
                </c:pt>
                <c:pt idx="1821">
                  <c:v>98.376146788990823</c:v>
                </c:pt>
                <c:pt idx="1822">
                  <c:v>98.376146788990823</c:v>
                </c:pt>
                <c:pt idx="1823">
                  <c:v>98.376146788990823</c:v>
                </c:pt>
                <c:pt idx="1824">
                  <c:v>98.376146788990823</c:v>
                </c:pt>
                <c:pt idx="1825">
                  <c:v>98.394495412844037</c:v>
                </c:pt>
                <c:pt idx="1826">
                  <c:v>100</c:v>
                </c:pt>
              </c:numCache>
            </c:numRef>
          </c:val>
          <c:smooth val="0"/>
          <c:extLst>
            <c:ext xmlns:c16="http://schemas.microsoft.com/office/drawing/2014/chart" uri="{C3380CC4-5D6E-409C-BE32-E72D297353CC}">
              <c16:uniqueId val="{00000001-9E9F-443E-87D8-A4B4D8C106CA}"/>
            </c:ext>
          </c:extLst>
        </c:ser>
        <c:ser>
          <c:idx val="2"/>
          <c:order val="2"/>
          <c:tx>
            <c:strRef>
              <c:f>Indexed!$E$3</c:f>
              <c:strCache>
                <c:ptCount val="1"/>
                <c:pt idx="0">
                  <c:v>AMD</c:v>
                </c:pt>
              </c:strCache>
            </c:strRef>
          </c:tx>
          <c:spPr>
            <a:ln w="28575" cap="rnd">
              <a:solidFill>
                <a:schemeClr val="accent5"/>
              </a:solidFill>
              <a:round/>
            </a:ln>
            <a:effectLst/>
          </c:spPr>
          <c:marker>
            <c:symbol val="none"/>
          </c:marker>
          <c:cat>
            <c:numRef>
              <c:f>Indexed!$B$4:$B$3657</c:f>
              <c:numCache>
                <c:formatCode>[$-14009]dddd\,\ d\ mmmm\,\ yyyy;@</c:formatCode>
                <c:ptCount val="3654"/>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formatCode="m/d/yyyy">
                  <c:v>43351</c:v>
                </c:pt>
                <c:pt idx="1257" formatCode="m/d/yyyy">
                  <c:v>43350</c:v>
                </c:pt>
                <c:pt idx="1258" formatCode="m/d/yyyy">
                  <c:v>43349</c:v>
                </c:pt>
                <c:pt idx="1259" formatCode="m/d/yyyy">
                  <c:v>43348</c:v>
                </c:pt>
                <c:pt idx="1260" formatCode="m/d/yyyy">
                  <c:v>43347</c:v>
                </c:pt>
                <c:pt idx="1261" formatCode="m/d/yyyy">
                  <c:v>43346</c:v>
                </c:pt>
                <c:pt idx="1262" formatCode="m/d/yyyy">
                  <c:v>43345</c:v>
                </c:pt>
                <c:pt idx="1263" formatCode="m/d/yyyy">
                  <c:v>43344</c:v>
                </c:pt>
                <c:pt idx="1264" formatCode="m/d/yyyy">
                  <c:v>43343</c:v>
                </c:pt>
                <c:pt idx="1265" formatCode="m/d/yyyy">
                  <c:v>43342</c:v>
                </c:pt>
                <c:pt idx="1266" formatCode="m/d/yyyy">
                  <c:v>43341</c:v>
                </c:pt>
                <c:pt idx="1267" formatCode="m/d/yyyy">
                  <c:v>43340</c:v>
                </c:pt>
                <c:pt idx="1268" formatCode="m/d/yyyy">
                  <c:v>43339</c:v>
                </c:pt>
                <c:pt idx="1269" formatCode="m/d/yyyy">
                  <c:v>43338</c:v>
                </c:pt>
                <c:pt idx="1270" formatCode="m/d/yyyy">
                  <c:v>43337</c:v>
                </c:pt>
                <c:pt idx="1271" formatCode="m/d/yyyy">
                  <c:v>43336</c:v>
                </c:pt>
                <c:pt idx="1272" formatCode="m/d/yyyy">
                  <c:v>43335</c:v>
                </c:pt>
                <c:pt idx="1273" formatCode="m/d/yyyy">
                  <c:v>43334</c:v>
                </c:pt>
                <c:pt idx="1274" formatCode="m/d/yyyy">
                  <c:v>43333</c:v>
                </c:pt>
                <c:pt idx="1275" formatCode="m/d/yyyy">
                  <c:v>43332</c:v>
                </c:pt>
                <c:pt idx="1276" formatCode="m/d/yyyy">
                  <c:v>43331</c:v>
                </c:pt>
                <c:pt idx="1277" formatCode="m/d/yyyy">
                  <c:v>43330</c:v>
                </c:pt>
                <c:pt idx="1278" formatCode="m/d/yyyy">
                  <c:v>43329</c:v>
                </c:pt>
                <c:pt idx="1279" formatCode="m/d/yyyy">
                  <c:v>43328</c:v>
                </c:pt>
                <c:pt idx="1280" formatCode="m/d/yyyy">
                  <c:v>43327</c:v>
                </c:pt>
                <c:pt idx="1281" formatCode="m/d/yyyy">
                  <c:v>43326</c:v>
                </c:pt>
                <c:pt idx="1282" formatCode="m/d/yyyy">
                  <c:v>43325</c:v>
                </c:pt>
                <c:pt idx="1283" formatCode="m/d/yyyy">
                  <c:v>43324</c:v>
                </c:pt>
                <c:pt idx="1284" formatCode="m/d/yyyy">
                  <c:v>43323</c:v>
                </c:pt>
                <c:pt idx="1285" formatCode="m/d/yyyy">
                  <c:v>43322</c:v>
                </c:pt>
                <c:pt idx="1286" formatCode="m/d/yyyy">
                  <c:v>43321</c:v>
                </c:pt>
                <c:pt idx="1287" formatCode="m/d/yyyy">
                  <c:v>43320</c:v>
                </c:pt>
                <c:pt idx="1288" formatCode="m/d/yyyy">
                  <c:v>43319</c:v>
                </c:pt>
                <c:pt idx="1289" formatCode="m/d/yyyy">
                  <c:v>43318</c:v>
                </c:pt>
                <c:pt idx="1290" formatCode="m/d/yyyy">
                  <c:v>43317</c:v>
                </c:pt>
                <c:pt idx="1291" formatCode="m/d/yyyy">
                  <c:v>43316</c:v>
                </c:pt>
                <c:pt idx="1292" formatCode="m/d/yyyy">
                  <c:v>43315</c:v>
                </c:pt>
                <c:pt idx="1293" formatCode="m/d/yyyy">
                  <c:v>43314</c:v>
                </c:pt>
                <c:pt idx="1294" formatCode="m/d/yyyy">
                  <c:v>43313</c:v>
                </c:pt>
                <c:pt idx="1295" formatCode="m/d/yyyy">
                  <c:v>43312</c:v>
                </c:pt>
                <c:pt idx="1296" formatCode="m/d/yyyy">
                  <c:v>43311</c:v>
                </c:pt>
                <c:pt idx="1297" formatCode="m/d/yyyy">
                  <c:v>43310</c:v>
                </c:pt>
                <c:pt idx="1298" formatCode="m/d/yyyy">
                  <c:v>43309</c:v>
                </c:pt>
                <c:pt idx="1299" formatCode="m/d/yyyy">
                  <c:v>43308</c:v>
                </c:pt>
                <c:pt idx="1300" formatCode="m/d/yyyy">
                  <c:v>43307</c:v>
                </c:pt>
                <c:pt idx="1301" formatCode="m/d/yyyy">
                  <c:v>43306</c:v>
                </c:pt>
                <c:pt idx="1302" formatCode="m/d/yyyy">
                  <c:v>43305</c:v>
                </c:pt>
                <c:pt idx="1303" formatCode="m/d/yyyy">
                  <c:v>43304</c:v>
                </c:pt>
                <c:pt idx="1304" formatCode="m/d/yyyy">
                  <c:v>43303</c:v>
                </c:pt>
                <c:pt idx="1305" formatCode="m/d/yyyy">
                  <c:v>43302</c:v>
                </c:pt>
                <c:pt idx="1306" formatCode="m/d/yyyy">
                  <c:v>43301</c:v>
                </c:pt>
                <c:pt idx="1307" formatCode="m/d/yyyy">
                  <c:v>43300</c:v>
                </c:pt>
                <c:pt idx="1308" formatCode="m/d/yyyy">
                  <c:v>43299</c:v>
                </c:pt>
                <c:pt idx="1309" formatCode="m/d/yyyy">
                  <c:v>43298</c:v>
                </c:pt>
                <c:pt idx="1310" formatCode="m/d/yyyy">
                  <c:v>43297</c:v>
                </c:pt>
                <c:pt idx="1311" formatCode="m/d/yyyy">
                  <c:v>43296</c:v>
                </c:pt>
                <c:pt idx="1312" formatCode="m/d/yyyy">
                  <c:v>43295</c:v>
                </c:pt>
                <c:pt idx="1313" formatCode="m/d/yyyy">
                  <c:v>43294</c:v>
                </c:pt>
                <c:pt idx="1314" formatCode="m/d/yyyy">
                  <c:v>43293</c:v>
                </c:pt>
                <c:pt idx="1315" formatCode="m/d/yyyy">
                  <c:v>43292</c:v>
                </c:pt>
                <c:pt idx="1316" formatCode="m/d/yyyy">
                  <c:v>43291</c:v>
                </c:pt>
                <c:pt idx="1317" formatCode="m/d/yyyy">
                  <c:v>43290</c:v>
                </c:pt>
                <c:pt idx="1318" formatCode="m/d/yyyy">
                  <c:v>43289</c:v>
                </c:pt>
                <c:pt idx="1319" formatCode="m/d/yyyy">
                  <c:v>43288</c:v>
                </c:pt>
                <c:pt idx="1320" formatCode="m/d/yyyy">
                  <c:v>43287</c:v>
                </c:pt>
                <c:pt idx="1321" formatCode="m/d/yyyy">
                  <c:v>43286</c:v>
                </c:pt>
                <c:pt idx="1322" formatCode="m/d/yyyy">
                  <c:v>43285</c:v>
                </c:pt>
                <c:pt idx="1323" formatCode="m/d/yyyy">
                  <c:v>43284</c:v>
                </c:pt>
                <c:pt idx="1324" formatCode="m/d/yyyy">
                  <c:v>43283</c:v>
                </c:pt>
                <c:pt idx="1325" formatCode="m/d/yyyy">
                  <c:v>43282</c:v>
                </c:pt>
                <c:pt idx="1326" formatCode="m/d/yyyy">
                  <c:v>43281</c:v>
                </c:pt>
                <c:pt idx="1327" formatCode="m/d/yyyy">
                  <c:v>43280</c:v>
                </c:pt>
                <c:pt idx="1328" formatCode="m/d/yyyy">
                  <c:v>43279</c:v>
                </c:pt>
                <c:pt idx="1329" formatCode="m/d/yyyy">
                  <c:v>43278</c:v>
                </c:pt>
                <c:pt idx="1330" formatCode="m/d/yyyy">
                  <c:v>43277</c:v>
                </c:pt>
                <c:pt idx="1331" formatCode="m/d/yyyy">
                  <c:v>43276</c:v>
                </c:pt>
                <c:pt idx="1332" formatCode="m/d/yyyy">
                  <c:v>43275</c:v>
                </c:pt>
                <c:pt idx="1333" formatCode="m/d/yyyy">
                  <c:v>43274</c:v>
                </c:pt>
                <c:pt idx="1334" formatCode="m/d/yyyy">
                  <c:v>43273</c:v>
                </c:pt>
                <c:pt idx="1335" formatCode="m/d/yyyy">
                  <c:v>43272</c:v>
                </c:pt>
                <c:pt idx="1336" formatCode="m/d/yyyy">
                  <c:v>43271</c:v>
                </c:pt>
                <c:pt idx="1337" formatCode="m/d/yyyy">
                  <c:v>43270</c:v>
                </c:pt>
                <c:pt idx="1338" formatCode="m/d/yyyy">
                  <c:v>43269</c:v>
                </c:pt>
                <c:pt idx="1339" formatCode="m/d/yyyy">
                  <c:v>43268</c:v>
                </c:pt>
                <c:pt idx="1340" formatCode="m/d/yyyy">
                  <c:v>43267</c:v>
                </c:pt>
                <c:pt idx="1341" formatCode="m/d/yyyy">
                  <c:v>43266</c:v>
                </c:pt>
                <c:pt idx="1342" formatCode="m/d/yyyy">
                  <c:v>43265</c:v>
                </c:pt>
                <c:pt idx="1343" formatCode="m/d/yyyy">
                  <c:v>43264</c:v>
                </c:pt>
                <c:pt idx="1344" formatCode="m/d/yyyy">
                  <c:v>43263</c:v>
                </c:pt>
                <c:pt idx="1345" formatCode="m/d/yyyy">
                  <c:v>43262</c:v>
                </c:pt>
                <c:pt idx="1346" formatCode="m/d/yyyy">
                  <c:v>43261</c:v>
                </c:pt>
                <c:pt idx="1347" formatCode="m/d/yyyy">
                  <c:v>43260</c:v>
                </c:pt>
                <c:pt idx="1348" formatCode="m/d/yyyy">
                  <c:v>43259</c:v>
                </c:pt>
                <c:pt idx="1349" formatCode="m/d/yyyy">
                  <c:v>43258</c:v>
                </c:pt>
                <c:pt idx="1350" formatCode="m/d/yyyy">
                  <c:v>43257</c:v>
                </c:pt>
                <c:pt idx="1351" formatCode="m/d/yyyy">
                  <c:v>43256</c:v>
                </c:pt>
                <c:pt idx="1352" formatCode="m/d/yyyy">
                  <c:v>43255</c:v>
                </c:pt>
                <c:pt idx="1353" formatCode="m/d/yyyy">
                  <c:v>43254</c:v>
                </c:pt>
                <c:pt idx="1354" formatCode="m/d/yyyy">
                  <c:v>43253</c:v>
                </c:pt>
                <c:pt idx="1355" formatCode="m/d/yyyy">
                  <c:v>43252</c:v>
                </c:pt>
                <c:pt idx="1356" formatCode="m/d/yyyy">
                  <c:v>43251</c:v>
                </c:pt>
                <c:pt idx="1357" formatCode="m/d/yyyy">
                  <c:v>43250</c:v>
                </c:pt>
                <c:pt idx="1358" formatCode="m/d/yyyy">
                  <c:v>43249</c:v>
                </c:pt>
                <c:pt idx="1359" formatCode="m/d/yyyy">
                  <c:v>43248</c:v>
                </c:pt>
                <c:pt idx="1360" formatCode="m/d/yyyy">
                  <c:v>43247</c:v>
                </c:pt>
                <c:pt idx="1361" formatCode="m/d/yyyy">
                  <c:v>43246</c:v>
                </c:pt>
                <c:pt idx="1362" formatCode="m/d/yyyy">
                  <c:v>43245</c:v>
                </c:pt>
                <c:pt idx="1363" formatCode="m/d/yyyy">
                  <c:v>43244</c:v>
                </c:pt>
                <c:pt idx="1364" formatCode="m/d/yyyy">
                  <c:v>43243</c:v>
                </c:pt>
                <c:pt idx="1365" formatCode="m/d/yyyy">
                  <c:v>43242</c:v>
                </c:pt>
                <c:pt idx="1366" formatCode="m/d/yyyy">
                  <c:v>43241</c:v>
                </c:pt>
                <c:pt idx="1367" formatCode="m/d/yyyy">
                  <c:v>43240</c:v>
                </c:pt>
                <c:pt idx="1368" formatCode="m/d/yyyy">
                  <c:v>43239</c:v>
                </c:pt>
                <c:pt idx="1369" formatCode="m/d/yyyy">
                  <c:v>43238</c:v>
                </c:pt>
                <c:pt idx="1370" formatCode="m/d/yyyy">
                  <c:v>43237</c:v>
                </c:pt>
                <c:pt idx="1371" formatCode="m/d/yyyy">
                  <c:v>43236</c:v>
                </c:pt>
                <c:pt idx="1372" formatCode="m/d/yyyy">
                  <c:v>43235</c:v>
                </c:pt>
                <c:pt idx="1373" formatCode="m/d/yyyy">
                  <c:v>43234</c:v>
                </c:pt>
                <c:pt idx="1374" formatCode="m/d/yyyy">
                  <c:v>43233</c:v>
                </c:pt>
                <c:pt idx="1375" formatCode="m/d/yyyy">
                  <c:v>43232</c:v>
                </c:pt>
                <c:pt idx="1376" formatCode="m/d/yyyy">
                  <c:v>43231</c:v>
                </c:pt>
                <c:pt idx="1377" formatCode="m/d/yyyy">
                  <c:v>43230</c:v>
                </c:pt>
                <c:pt idx="1378" formatCode="m/d/yyyy">
                  <c:v>43229</c:v>
                </c:pt>
                <c:pt idx="1379" formatCode="m/d/yyyy">
                  <c:v>43228</c:v>
                </c:pt>
                <c:pt idx="1380" formatCode="m/d/yyyy">
                  <c:v>43227</c:v>
                </c:pt>
                <c:pt idx="1381" formatCode="m/d/yyyy">
                  <c:v>43226</c:v>
                </c:pt>
                <c:pt idx="1382" formatCode="m/d/yyyy">
                  <c:v>43225</c:v>
                </c:pt>
                <c:pt idx="1383" formatCode="m/d/yyyy">
                  <c:v>43224</c:v>
                </c:pt>
                <c:pt idx="1384" formatCode="m/d/yyyy">
                  <c:v>43223</c:v>
                </c:pt>
                <c:pt idx="1385" formatCode="m/d/yyyy">
                  <c:v>43222</c:v>
                </c:pt>
                <c:pt idx="1386" formatCode="m/d/yyyy">
                  <c:v>43221</c:v>
                </c:pt>
                <c:pt idx="1387" formatCode="m/d/yyyy">
                  <c:v>43220</c:v>
                </c:pt>
                <c:pt idx="1388" formatCode="m/d/yyyy">
                  <c:v>43219</c:v>
                </c:pt>
                <c:pt idx="1389" formatCode="m/d/yyyy">
                  <c:v>43218</c:v>
                </c:pt>
                <c:pt idx="1390" formatCode="m/d/yyyy">
                  <c:v>43217</c:v>
                </c:pt>
                <c:pt idx="1391" formatCode="m/d/yyyy">
                  <c:v>43216</c:v>
                </c:pt>
                <c:pt idx="1392" formatCode="m/d/yyyy">
                  <c:v>43215</c:v>
                </c:pt>
                <c:pt idx="1393" formatCode="m/d/yyyy">
                  <c:v>43214</c:v>
                </c:pt>
                <c:pt idx="1394" formatCode="m/d/yyyy">
                  <c:v>43213</c:v>
                </c:pt>
                <c:pt idx="1395" formatCode="m/d/yyyy">
                  <c:v>43212</c:v>
                </c:pt>
                <c:pt idx="1396" formatCode="m/d/yyyy">
                  <c:v>43211</c:v>
                </c:pt>
                <c:pt idx="1397" formatCode="m/d/yyyy">
                  <c:v>43210</c:v>
                </c:pt>
                <c:pt idx="1398" formatCode="m/d/yyyy">
                  <c:v>43209</c:v>
                </c:pt>
                <c:pt idx="1399" formatCode="m/d/yyyy">
                  <c:v>43208</c:v>
                </c:pt>
                <c:pt idx="1400" formatCode="m/d/yyyy">
                  <c:v>43207</c:v>
                </c:pt>
                <c:pt idx="1401" formatCode="m/d/yyyy">
                  <c:v>43206</c:v>
                </c:pt>
                <c:pt idx="1402" formatCode="m/d/yyyy">
                  <c:v>43205</c:v>
                </c:pt>
                <c:pt idx="1403" formatCode="m/d/yyyy">
                  <c:v>43204</c:v>
                </c:pt>
                <c:pt idx="1404" formatCode="m/d/yyyy">
                  <c:v>43203</c:v>
                </c:pt>
                <c:pt idx="1405" formatCode="m/d/yyyy">
                  <c:v>43202</c:v>
                </c:pt>
                <c:pt idx="1406" formatCode="m/d/yyyy">
                  <c:v>43201</c:v>
                </c:pt>
                <c:pt idx="1407" formatCode="m/d/yyyy">
                  <c:v>43200</c:v>
                </c:pt>
                <c:pt idx="1408" formatCode="m/d/yyyy">
                  <c:v>43199</c:v>
                </c:pt>
                <c:pt idx="1409" formatCode="m/d/yyyy">
                  <c:v>43198</c:v>
                </c:pt>
                <c:pt idx="1410" formatCode="m/d/yyyy">
                  <c:v>43197</c:v>
                </c:pt>
                <c:pt idx="1411" formatCode="m/d/yyyy">
                  <c:v>43196</c:v>
                </c:pt>
                <c:pt idx="1412" formatCode="m/d/yyyy">
                  <c:v>43195</c:v>
                </c:pt>
                <c:pt idx="1413" formatCode="m/d/yyyy">
                  <c:v>43194</c:v>
                </c:pt>
                <c:pt idx="1414" formatCode="m/d/yyyy">
                  <c:v>43193</c:v>
                </c:pt>
                <c:pt idx="1415" formatCode="m/d/yyyy">
                  <c:v>43192</c:v>
                </c:pt>
                <c:pt idx="1416" formatCode="m/d/yyyy">
                  <c:v>43191</c:v>
                </c:pt>
                <c:pt idx="1417" formatCode="m/d/yyyy">
                  <c:v>43190</c:v>
                </c:pt>
                <c:pt idx="1418" formatCode="m/d/yyyy">
                  <c:v>43189</c:v>
                </c:pt>
                <c:pt idx="1419" formatCode="m/d/yyyy">
                  <c:v>43188</c:v>
                </c:pt>
                <c:pt idx="1420" formatCode="m/d/yyyy">
                  <c:v>43187</c:v>
                </c:pt>
                <c:pt idx="1421" formatCode="m/d/yyyy">
                  <c:v>43186</c:v>
                </c:pt>
                <c:pt idx="1422" formatCode="m/d/yyyy">
                  <c:v>43185</c:v>
                </c:pt>
                <c:pt idx="1423" formatCode="m/d/yyyy">
                  <c:v>43184</c:v>
                </c:pt>
                <c:pt idx="1424" formatCode="m/d/yyyy">
                  <c:v>43183</c:v>
                </c:pt>
                <c:pt idx="1425" formatCode="m/d/yyyy">
                  <c:v>43182</c:v>
                </c:pt>
                <c:pt idx="1426" formatCode="m/d/yyyy">
                  <c:v>43181</c:v>
                </c:pt>
                <c:pt idx="1427" formatCode="m/d/yyyy">
                  <c:v>43180</c:v>
                </c:pt>
                <c:pt idx="1428" formatCode="m/d/yyyy">
                  <c:v>43179</c:v>
                </c:pt>
                <c:pt idx="1429" formatCode="m/d/yyyy">
                  <c:v>43178</c:v>
                </c:pt>
                <c:pt idx="1430" formatCode="m/d/yyyy">
                  <c:v>43177</c:v>
                </c:pt>
                <c:pt idx="1431" formatCode="m/d/yyyy">
                  <c:v>43176</c:v>
                </c:pt>
                <c:pt idx="1432" formatCode="m/d/yyyy">
                  <c:v>43175</c:v>
                </c:pt>
                <c:pt idx="1433" formatCode="m/d/yyyy">
                  <c:v>43174</c:v>
                </c:pt>
                <c:pt idx="1434" formatCode="m/d/yyyy">
                  <c:v>43173</c:v>
                </c:pt>
                <c:pt idx="1435" formatCode="m/d/yyyy">
                  <c:v>43172</c:v>
                </c:pt>
                <c:pt idx="1436" formatCode="m/d/yyyy">
                  <c:v>43171</c:v>
                </c:pt>
                <c:pt idx="1437" formatCode="m/d/yyyy">
                  <c:v>43170</c:v>
                </c:pt>
                <c:pt idx="1438" formatCode="m/d/yyyy">
                  <c:v>43169</c:v>
                </c:pt>
                <c:pt idx="1439" formatCode="m/d/yyyy">
                  <c:v>43168</c:v>
                </c:pt>
                <c:pt idx="1440" formatCode="m/d/yyyy">
                  <c:v>43167</c:v>
                </c:pt>
                <c:pt idx="1441" formatCode="m/d/yyyy">
                  <c:v>43166</c:v>
                </c:pt>
                <c:pt idx="1442" formatCode="m/d/yyyy">
                  <c:v>43165</c:v>
                </c:pt>
                <c:pt idx="1443" formatCode="m/d/yyyy">
                  <c:v>43164</c:v>
                </c:pt>
                <c:pt idx="1444" formatCode="m/d/yyyy">
                  <c:v>43163</c:v>
                </c:pt>
                <c:pt idx="1445" formatCode="m/d/yyyy">
                  <c:v>43162</c:v>
                </c:pt>
                <c:pt idx="1446" formatCode="m/d/yyyy">
                  <c:v>43161</c:v>
                </c:pt>
                <c:pt idx="1447" formatCode="m/d/yyyy">
                  <c:v>43160</c:v>
                </c:pt>
                <c:pt idx="1448" formatCode="m/d/yyyy">
                  <c:v>43159</c:v>
                </c:pt>
                <c:pt idx="1449" formatCode="m/d/yyyy">
                  <c:v>43158</c:v>
                </c:pt>
                <c:pt idx="1450" formatCode="m/d/yyyy">
                  <c:v>43157</c:v>
                </c:pt>
                <c:pt idx="1451" formatCode="m/d/yyyy">
                  <c:v>43156</c:v>
                </c:pt>
                <c:pt idx="1452" formatCode="m/d/yyyy">
                  <c:v>43155</c:v>
                </c:pt>
                <c:pt idx="1453" formatCode="m/d/yyyy">
                  <c:v>43154</c:v>
                </c:pt>
                <c:pt idx="1454" formatCode="m/d/yyyy">
                  <c:v>43153</c:v>
                </c:pt>
                <c:pt idx="1455" formatCode="m/d/yyyy">
                  <c:v>43152</c:v>
                </c:pt>
                <c:pt idx="1456" formatCode="m/d/yyyy">
                  <c:v>43151</c:v>
                </c:pt>
                <c:pt idx="1457" formatCode="m/d/yyyy">
                  <c:v>43150</c:v>
                </c:pt>
                <c:pt idx="1458" formatCode="m/d/yyyy">
                  <c:v>43149</c:v>
                </c:pt>
                <c:pt idx="1459" formatCode="m/d/yyyy">
                  <c:v>43148</c:v>
                </c:pt>
                <c:pt idx="1460" formatCode="m/d/yyyy">
                  <c:v>43147</c:v>
                </c:pt>
                <c:pt idx="1461" formatCode="m/d/yyyy">
                  <c:v>43146</c:v>
                </c:pt>
                <c:pt idx="1462" formatCode="m/d/yyyy">
                  <c:v>43145</c:v>
                </c:pt>
                <c:pt idx="1463" formatCode="m/d/yyyy">
                  <c:v>43144</c:v>
                </c:pt>
                <c:pt idx="1464" formatCode="m/d/yyyy">
                  <c:v>43143</c:v>
                </c:pt>
                <c:pt idx="1465" formatCode="m/d/yyyy">
                  <c:v>43142</c:v>
                </c:pt>
                <c:pt idx="1466" formatCode="m/d/yyyy">
                  <c:v>43141</c:v>
                </c:pt>
                <c:pt idx="1467" formatCode="m/d/yyyy">
                  <c:v>43140</c:v>
                </c:pt>
                <c:pt idx="1468" formatCode="m/d/yyyy">
                  <c:v>43139</c:v>
                </c:pt>
                <c:pt idx="1469" formatCode="m/d/yyyy">
                  <c:v>43138</c:v>
                </c:pt>
                <c:pt idx="1470" formatCode="m/d/yyyy">
                  <c:v>43137</c:v>
                </c:pt>
                <c:pt idx="1471" formatCode="m/d/yyyy">
                  <c:v>43136</c:v>
                </c:pt>
                <c:pt idx="1472" formatCode="m/d/yyyy">
                  <c:v>43135</c:v>
                </c:pt>
                <c:pt idx="1473" formatCode="m/d/yyyy">
                  <c:v>43134</c:v>
                </c:pt>
                <c:pt idx="1474" formatCode="m/d/yyyy">
                  <c:v>43133</c:v>
                </c:pt>
                <c:pt idx="1475" formatCode="m/d/yyyy">
                  <c:v>43132</c:v>
                </c:pt>
                <c:pt idx="1476" formatCode="m/d/yyyy">
                  <c:v>43131</c:v>
                </c:pt>
                <c:pt idx="1477" formatCode="m/d/yyyy">
                  <c:v>43130</c:v>
                </c:pt>
                <c:pt idx="1478" formatCode="m/d/yyyy">
                  <c:v>43129</c:v>
                </c:pt>
                <c:pt idx="1479" formatCode="m/d/yyyy">
                  <c:v>43128</c:v>
                </c:pt>
                <c:pt idx="1480" formatCode="m/d/yyyy">
                  <c:v>43127</c:v>
                </c:pt>
                <c:pt idx="1481" formatCode="m/d/yyyy">
                  <c:v>43126</c:v>
                </c:pt>
                <c:pt idx="1482" formatCode="m/d/yyyy">
                  <c:v>43125</c:v>
                </c:pt>
                <c:pt idx="1483" formatCode="m/d/yyyy">
                  <c:v>43124</c:v>
                </c:pt>
                <c:pt idx="1484" formatCode="m/d/yyyy">
                  <c:v>43123</c:v>
                </c:pt>
                <c:pt idx="1485" formatCode="m/d/yyyy">
                  <c:v>43122</c:v>
                </c:pt>
                <c:pt idx="1486" formatCode="m/d/yyyy">
                  <c:v>43121</c:v>
                </c:pt>
                <c:pt idx="1487" formatCode="m/d/yyyy">
                  <c:v>43120</c:v>
                </c:pt>
                <c:pt idx="1488" formatCode="m/d/yyyy">
                  <c:v>43119</c:v>
                </c:pt>
                <c:pt idx="1489" formatCode="m/d/yyyy">
                  <c:v>43118</c:v>
                </c:pt>
                <c:pt idx="1490" formatCode="m/d/yyyy">
                  <c:v>43117</c:v>
                </c:pt>
                <c:pt idx="1491" formatCode="m/d/yyyy">
                  <c:v>43116</c:v>
                </c:pt>
                <c:pt idx="1492" formatCode="m/d/yyyy">
                  <c:v>43115</c:v>
                </c:pt>
                <c:pt idx="1493" formatCode="m/d/yyyy">
                  <c:v>43114</c:v>
                </c:pt>
                <c:pt idx="1494" formatCode="m/d/yyyy">
                  <c:v>43113</c:v>
                </c:pt>
                <c:pt idx="1495" formatCode="m/d/yyyy">
                  <c:v>43112</c:v>
                </c:pt>
                <c:pt idx="1496" formatCode="m/d/yyyy">
                  <c:v>43111</c:v>
                </c:pt>
                <c:pt idx="1497" formatCode="m/d/yyyy">
                  <c:v>43110</c:v>
                </c:pt>
                <c:pt idx="1498" formatCode="m/d/yyyy">
                  <c:v>43109</c:v>
                </c:pt>
                <c:pt idx="1499" formatCode="m/d/yyyy">
                  <c:v>43108</c:v>
                </c:pt>
                <c:pt idx="1500" formatCode="m/d/yyyy">
                  <c:v>43107</c:v>
                </c:pt>
                <c:pt idx="1501" formatCode="m/d/yyyy">
                  <c:v>43106</c:v>
                </c:pt>
                <c:pt idx="1502" formatCode="m/d/yyyy">
                  <c:v>43105</c:v>
                </c:pt>
                <c:pt idx="1503" formatCode="m/d/yyyy">
                  <c:v>43104</c:v>
                </c:pt>
                <c:pt idx="1504" formatCode="m/d/yyyy">
                  <c:v>43103</c:v>
                </c:pt>
                <c:pt idx="1505" formatCode="m/d/yyyy">
                  <c:v>43102</c:v>
                </c:pt>
                <c:pt idx="1506" formatCode="m/d/yyyy">
                  <c:v>43101</c:v>
                </c:pt>
                <c:pt idx="1507" formatCode="m/d/yyyy">
                  <c:v>43100</c:v>
                </c:pt>
                <c:pt idx="1508" formatCode="m/d/yyyy">
                  <c:v>43099</c:v>
                </c:pt>
                <c:pt idx="1509" formatCode="m/d/yyyy">
                  <c:v>43098</c:v>
                </c:pt>
                <c:pt idx="1510" formatCode="m/d/yyyy">
                  <c:v>43097</c:v>
                </c:pt>
                <c:pt idx="1511" formatCode="m/d/yyyy">
                  <c:v>43096</c:v>
                </c:pt>
                <c:pt idx="1512" formatCode="m/d/yyyy">
                  <c:v>43095</c:v>
                </c:pt>
                <c:pt idx="1513" formatCode="m/d/yyyy">
                  <c:v>43094</c:v>
                </c:pt>
                <c:pt idx="1514" formatCode="m/d/yyyy">
                  <c:v>43093</c:v>
                </c:pt>
                <c:pt idx="1515" formatCode="m/d/yyyy">
                  <c:v>43092</c:v>
                </c:pt>
                <c:pt idx="1516" formatCode="m/d/yyyy">
                  <c:v>43091</c:v>
                </c:pt>
                <c:pt idx="1517" formatCode="m/d/yyyy">
                  <c:v>43090</c:v>
                </c:pt>
                <c:pt idx="1518" formatCode="m/d/yyyy">
                  <c:v>43089</c:v>
                </c:pt>
                <c:pt idx="1519" formatCode="m/d/yyyy">
                  <c:v>43088</c:v>
                </c:pt>
                <c:pt idx="1520" formatCode="m/d/yyyy">
                  <c:v>43087</c:v>
                </c:pt>
                <c:pt idx="1521" formatCode="m/d/yyyy">
                  <c:v>43086</c:v>
                </c:pt>
                <c:pt idx="1522" formatCode="m/d/yyyy">
                  <c:v>43085</c:v>
                </c:pt>
                <c:pt idx="1523" formatCode="m/d/yyyy">
                  <c:v>43084</c:v>
                </c:pt>
                <c:pt idx="1524" formatCode="m/d/yyyy">
                  <c:v>43083</c:v>
                </c:pt>
                <c:pt idx="1525" formatCode="m/d/yyyy">
                  <c:v>43082</c:v>
                </c:pt>
                <c:pt idx="1526" formatCode="m/d/yyyy">
                  <c:v>43081</c:v>
                </c:pt>
                <c:pt idx="1527" formatCode="m/d/yyyy">
                  <c:v>43080</c:v>
                </c:pt>
                <c:pt idx="1528" formatCode="m/d/yyyy">
                  <c:v>43079</c:v>
                </c:pt>
                <c:pt idx="1529" formatCode="m/d/yyyy">
                  <c:v>43078</c:v>
                </c:pt>
                <c:pt idx="1530" formatCode="m/d/yyyy">
                  <c:v>43077</c:v>
                </c:pt>
                <c:pt idx="1531" formatCode="m/d/yyyy">
                  <c:v>43076</c:v>
                </c:pt>
                <c:pt idx="1532" formatCode="m/d/yyyy">
                  <c:v>43075</c:v>
                </c:pt>
                <c:pt idx="1533" formatCode="m/d/yyyy">
                  <c:v>43074</c:v>
                </c:pt>
                <c:pt idx="1534" formatCode="m/d/yyyy">
                  <c:v>43073</c:v>
                </c:pt>
                <c:pt idx="1535" formatCode="m/d/yyyy">
                  <c:v>43072</c:v>
                </c:pt>
                <c:pt idx="1536" formatCode="m/d/yyyy">
                  <c:v>43071</c:v>
                </c:pt>
                <c:pt idx="1537" formatCode="m/d/yyyy">
                  <c:v>43070</c:v>
                </c:pt>
                <c:pt idx="1538" formatCode="m/d/yyyy">
                  <c:v>43069</c:v>
                </c:pt>
                <c:pt idx="1539" formatCode="m/d/yyyy">
                  <c:v>43068</c:v>
                </c:pt>
                <c:pt idx="1540" formatCode="m/d/yyyy">
                  <c:v>43067</c:v>
                </c:pt>
                <c:pt idx="1541" formatCode="m/d/yyyy">
                  <c:v>43066</c:v>
                </c:pt>
                <c:pt idx="1542" formatCode="m/d/yyyy">
                  <c:v>43065</c:v>
                </c:pt>
                <c:pt idx="1543" formatCode="m/d/yyyy">
                  <c:v>43064</c:v>
                </c:pt>
                <c:pt idx="1544" formatCode="m/d/yyyy">
                  <c:v>43063</c:v>
                </c:pt>
                <c:pt idx="1545" formatCode="m/d/yyyy">
                  <c:v>43062</c:v>
                </c:pt>
                <c:pt idx="1546" formatCode="m/d/yyyy">
                  <c:v>43061</c:v>
                </c:pt>
                <c:pt idx="1547" formatCode="m/d/yyyy">
                  <c:v>43060</c:v>
                </c:pt>
                <c:pt idx="1548" formatCode="m/d/yyyy">
                  <c:v>43059</c:v>
                </c:pt>
                <c:pt idx="1549" formatCode="m/d/yyyy">
                  <c:v>43058</c:v>
                </c:pt>
                <c:pt idx="1550" formatCode="m/d/yyyy">
                  <c:v>43057</c:v>
                </c:pt>
                <c:pt idx="1551" formatCode="m/d/yyyy">
                  <c:v>43056</c:v>
                </c:pt>
                <c:pt idx="1552" formatCode="m/d/yyyy">
                  <c:v>43055</c:v>
                </c:pt>
                <c:pt idx="1553" formatCode="m/d/yyyy">
                  <c:v>43054</c:v>
                </c:pt>
                <c:pt idx="1554" formatCode="m/d/yyyy">
                  <c:v>43053</c:v>
                </c:pt>
                <c:pt idx="1555" formatCode="m/d/yyyy">
                  <c:v>43052</c:v>
                </c:pt>
                <c:pt idx="1556" formatCode="m/d/yyyy">
                  <c:v>43051</c:v>
                </c:pt>
                <c:pt idx="1557" formatCode="m/d/yyyy">
                  <c:v>43050</c:v>
                </c:pt>
                <c:pt idx="1558" formatCode="m/d/yyyy">
                  <c:v>43049</c:v>
                </c:pt>
                <c:pt idx="1559" formatCode="m/d/yyyy">
                  <c:v>43048</c:v>
                </c:pt>
                <c:pt idx="1560" formatCode="m/d/yyyy">
                  <c:v>43047</c:v>
                </c:pt>
                <c:pt idx="1561" formatCode="m/d/yyyy">
                  <c:v>43046</c:v>
                </c:pt>
                <c:pt idx="1562" formatCode="m/d/yyyy">
                  <c:v>43045</c:v>
                </c:pt>
                <c:pt idx="1563" formatCode="m/d/yyyy">
                  <c:v>43044</c:v>
                </c:pt>
                <c:pt idx="1564" formatCode="m/d/yyyy">
                  <c:v>43043</c:v>
                </c:pt>
                <c:pt idx="1565" formatCode="m/d/yyyy">
                  <c:v>43042</c:v>
                </c:pt>
                <c:pt idx="1566" formatCode="m/d/yyyy">
                  <c:v>43041</c:v>
                </c:pt>
                <c:pt idx="1567" formatCode="m/d/yyyy">
                  <c:v>43040</c:v>
                </c:pt>
                <c:pt idx="1568" formatCode="m/d/yyyy">
                  <c:v>43039</c:v>
                </c:pt>
                <c:pt idx="1569" formatCode="m/d/yyyy">
                  <c:v>43038</c:v>
                </c:pt>
                <c:pt idx="1570" formatCode="m/d/yyyy">
                  <c:v>43037</c:v>
                </c:pt>
                <c:pt idx="1571" formatCode="m/d/yyyy">
                  <c:v>43036</c:v>
                </c:pt>
                <c:pt idx="1572" formatCode="m/d/yyyy">
                  <c:v>43035</c:v>
                </c:pt>
                <c:pt idx="1573" formatCode="m/d/yyyy">
                  <c:v>43034</c:v>
                </c:pt>
                <c:pt idx="1574" formatCode="m/d/yyyy">
                  <c:v>43033</c:v>
                </c:pt>
                <c:pt idx="1575" formatCode="m/d/yyyy">
                  <c:v>43032</c:v>
                </c:pt>
                <c:pt idx="1576" formatCode="m/d/yyyy">
                  <c:v>43031</c:v>
                </c:pt>
                <c:pt idx="1577" formatCode="m/d/yyyy">
                  <c:v>43030</c:v>
                </c:pt>
                <c:pt idx="1578" formatCode="m/d/yyyy">
                  <c:v>43029</c:v>
                </c:pt>
                <c:pt idx="1579" formatCode="m/d/yyyy">
                  <c:v>43028</c:v>
                </c:pt>
                <c:pt idx="1580" formatCode="m/d/yyyy">
                  <c:v>43027</c:v>
                </c:pt>
                <c:pt idx="1581" formatCode="m/d/yyyy">
                  <c:v>43026</c:v>
                </c:pt>
                <c:pt idx="1582" formatCode="m/d/yyyy">
                  <c:v>43025</c:v>
                </c:pt>
                <c:pt idx="1583" formatCode="m/d/yyyy">
                  <c:v>43024</c:v>
                </c:pt>
                <c:pt idx="1584" formatCode="m/d/yyyy">
                  <c:v>43023</c:v>
                </c:pt>
                <c:pt idx="1585" formatCode="m/d/yyyy">
                  <c:v>43022</c:v>
                </c:pt>
                <c:pt idx="1586" formatCode="m/d/yyyy">
                  <c:v>43021</c:v>
                </c:pt>
                <c:pt idx="1587" formatCode="m/d/yyyy">
                  <c:v>43020</c:v>
                </c:pt>
                <c:pt idx="1588" formatCode="m/d/yyyy">
                  <c:v>43019</c:v>
                </c:pt>
                <c:pt idx="1589" formatCode="m/d/yyyy">
                  <c:v>43018</c:v>
                </c:pt>
                <c:pt idx="1590" formatCode="m/d/yyyy">
                  <c:v>43017</c:v>
                </c:pt>
                <c:pt idx="1591" formatCode="m/d/yyyy">
                  <c:v>43016</c:v>
                </c:pt>
                <c:pt idx="1592" formatCode="m/d/yyyy">
                  <c:v>43015</c:v>
                </c:pt>
                <c:pt idx="1593" formatCode="m/d/yyyy">
                  <c:v>43014</c:v>
                </c:pt>
                <c:pt idx="1594" formatCode="m/d/yyyy">
                  <c:v>43013</c:v>
                </c:pt>
                <c:pt idx="1595" formatCode="m/d/yyyy">
                  <c:v>43012</c:v>
                </c:pt>
                <c:pt idx="1596" formatCode="m/d/yyyy">
                  <c:v>43011</c:v>
                </c:pt>
                <c:pt idx="1597" formatCode="m/d/yyyy">
                  <c:v>43010</c:v>
                </c:pt>
                <c:pt idx="1598" formatCode="m/d/yyyy">
                  <c:v>43009</c:v>
                </c:pt>
                <c:pt idx="1599" formatCode="m/d/yyyy">
                  <c:v>43008</c:v>
                </c:pt>
                <c:pt idx="1600" formatCode="m/d/yyyy">
                  <c:v>43007</c:v>
                </c:pt>
                <c:pt idx="1601" formatCode="m/d/yyyy">
                  <c:v>43006</c:v>
                </c:pt>
                <c:pt idx="1602" formatCode="m/d/yyyy">
                  <c:v>43005</c:v>
                </c:pt>
                <c:pt idx="1603" formatCode="m/d/yyyy">
                  <c:v>43004</c:v>
                </c:pt>
                <c:pt idx="1604" formatCode="m/d/yyyy">
                  <c:v>43003</c:v>
                </c:pt>
                <c:pt idx="1605" formatCode="m/d/yyyy">
                  <c:v>43002</c:v>
                </c:pt>
                <c:pt idx="1606" formatCode="m/d/yyyy">
                  <c:v>43001</c:v>
                </c:pt>
                <c:pt idx="1607" formatCode="m/d/yyyy">
                  <c:v>43000</c:v>
                </c:pt>
                <c:pt idx="1608" formatCode="m/d/yyyy">
                  <c:v>42999</c:v>
                </c:pt>
                <c:pt idx="1609" formatCode="m/d/yyyy">
                  <c:v>42998</c:v>
                </c:pt>
                <c:pt idx="1610" formatCode="m/d/yyyy">
                  <c:v>42997</c:v>
                </c:pt>
                <c:pt idx="1611" formatCode="m/d/yyyy">
                  <c:v>42996</c:v>
                </c:pt>
                <c:pt idx="1612" formatCode="m/d/yyyy">
                  <c:v>42995</c:v>
                </c:pt>
                <c:pt idx="1613" formatCode="m/d/yyyy">
                  <c:v>42994</c:v>
                </c:pt>
                <c:pt idx="1614" formatCode="m/d/yyyy">
                  <c:v>42993</c:v>
                </c:pt>
                <c:pt idx="1615" formatCode="m/d/yyyy">
                  <c:v>42992</c:v>
                </c:pt>
                <c:pt idx="1616" formatCode="m/d/yyyy">
                  <c:v>42991</c:v>
                </c:pt>
                <c:pt idx="1617" formatCode="m/d/yyyy">
                  <c:v>42990</c:v>
                </c:pt>
                <c:pt idx="1618" formatCode="m/d/yyyy">
                  <c:v>42989</c:v>
                </c:pt>
                <c:pt idx="1619" formatCode="m/d/yyyy">
                  <c:v>42988</c:v>
                </c:pt>
                <c:pt idx="1620" formatCode="m/d/yyyy">
                  <c:v>42987</c:v>
                </c:pt>
                <c:pt idx="1621" formatCode="m/d/yyyy">
                  <c:v>42986</c:v>
                </c:pt>
                <c:pt idx="1622" formatCode="m/d/yyyy">
                  <c:v>42985</c:v>
                </c:pt>
                <c:pt idx="1623" formatCode="m/d/yyyy">
                  <c:v>42984</c:v>
                </c:pt>
                <c:pt idx="1624" formatCode="m/d/yyyy">
                  <c:v>42983</c:v>
                </c:pt>
                <c:pt idx="1625" formatCode="m/d/yyyy">
                  <c:v>42982</c:v>
                </c:pt>
                <c:pt idx="1626" formatCode="m/d/yyyy">
                  <c:v>42981</c:v>
                </c:pt>
                <c:pt idx="1627" formatCode="m/d/yyyy">
                  <c:v>42980</c:v>
                </c:pt>
                <c:pt idx="1628" formatCode="m/d/yyyy">
                  <c:v>42979</c:v>
                </c:pt>
                <c:pt idx="1629" formatCode="m/d/yyyy">
                  <c:v>42978</c:v>
                </c:pt>
                <c:pt idx="1630" formatCode="m/d/yyyy">
                  <c:v>42977</c:v>
                </c:pt>
                <c:pt idx="1631" formatCode="m/d/yyyy">
                  <c:v>42976</c:v>
                </c:pt>
                <c:pt idx="1632" formatCode="m/d/yyyy">
                  <c:v>42975</c:v>
                </c:pt>
                <c:pt idx="1633" formatCode="m/d/yyyy">
                  <c:v>42974</c:v>
                </c:pt>
                <c:pt idx="1634" formatCode="m/d/yyyy">
                  <c:v>42973</c:v>
                </c:pt>
                <c:pt idx="1635" formatCode="m/d/yyyy">
                  <c:v>42972</c:v>
                </c:pt>
                <c:pt idx="1636" formatCode="m/d/yyyy">
                  <c:v>42971</c:v>
                </c:pt>
                <c:pt idx="1637" formatCode="m/d/yyyy">
                  <c:v>42970</c:v>
                </c:pt>
                <c:pt idx="1638" formatCode="m/d/yyyy">
                  <c:v>42969</c:v>
                </c:pt>
                <c:pt idx="1639" formatCode="m/d/yyyy">
                  <c:v>42968</c:v>
                </c:pt>
                <c:pt idx="1640" formatCode="m/d/yyyy">
                  <c:v>42967</c:v>
                </c:pt>
                <c:pt idx="1641" formatCode="m/d/yyyy">
                  <c:v>42966</c:v>
                </c:pt>
                <c:pt idx="1642" formatCode="m/d/yyyy">
                  <c:v>42965</c:v>
                </c:pt>
                <c:pt idx="1643" formatCode="m/d/yyyy">
                  <c:v>42964</c:v>
                </c:pt>
                <c:pt idx="1644" formatCode="m/d/yyyy">
                  <c:v>42963</c:v>
                </c:pt>
                <c:pt idx="1645" formatCode="m/d/yyyy">
                  <c:v>42962</c:v>
                </c:pt>
                <c:pt idx="1646" formatCode="m/d/yyyy">
                  <c:v>42961</c:v>
                </c:pt>
                <c:pt idx="1647" formatCode="m/d/yyyy">
                  <c:v>42960</c:v>
                </c:pt>
                <c:pt idx="1648" formatCode="m/d/yyyy">
                  <c:v>42959</c:v>
                </c:pt>
                <c:pt idx="1649" formatCode="m/d/yyyy">
                  <c:v>42958</c:v>
                </c:pt>
                <c:pt idx="1650" formatCode="m/d/yyyy">
                  <c:v>42957</c:v>
                </c:pt>
                <c:pt idx="1651" formatCode="m/d/yyyy">
                  <c:v>42956</c:v>
                </c:pt>
                <c:pt idx="1652" formatCode="m/d/yyyy">
                  <c:v>42955</c:v>
                </c:pt>
                <c:pt idx="1653" formatCode="m/d/yyyy">
                  <c:v>42954</c:v>
                </c:pt>
                <c:pt idx="1654" formatCode="m/d/yyyy">
                  <c:v>42953</c:v>
                </c:pt>
                <c:pt idx="1655" formatCode="m/d/yyyy">
                  <c:v>42952</c:v>
                </c:pt>
                <c:pt idx="1656" formatCode="m/d/yyyy">
                  <c:v>42951</c:v>
                </c:pt>
                <c:pt idx="1657" formatCode="m/d/yyyy">
                  <c:v>42950</c:v>
                </c:pt>
                <c:pt idx="1658" formatCode="m/d/yyyy">
                  <c:v>42949</c:v>
                </c:pt>
                <c:pt idx="1659" formatCode="m/d/yyyy">
                  <c:v>42948</c:v>
                </c:pt>
                <c:pt idx="1660" formatCode="m/d/yyyy">
                  <c:v>42947</c:v>
                </c:pt>
                <c:pt idx="1661" formatCode="m/d/yyyy">
                  <c:v>42946</c:v>
                </c:pt>
                <c:pt idx="1662" formatCode="m/d/yyyy">
                  <c:v>42945</c:v>
                </c:pt>
                <c:pt idx="1663" formatCode="m/d/yyyy">
                  <c:v>42944</c:v>
                </c:pt>
                <c:pt idx="1664" formatCode="m/d/yyyy">
                  <c:v>42943</c:v>
                </c:pt>
                <c:pt idx="1665" formatCode="m/d/yyyy">
                  <c:v>42942</c:v>
                </c:pt>
                <c:pt idx="1666" formatCode="m/d/yyyy">
                  <c:v>42941</c:v>
                </c:pt>
                <c:pt idx="1667" formatCode="m/d/yyyy">
                  <c:v>42940</c:v>
                </c:pt>
                <c:pt idx="1668" formatCode="m/d/yyyy">
                  <c:v>42939</c:v>
                </c:pt>
                <c:pt idx="1669" formatCode="m/d/yyyy">
                  <c:v>42938</c:v>
                </c:pt>
                <c:pt idx="1670" formatCode="m/d/yyyy">
                  <c:v>42937</c:v>
                </c:pt>
                <c:pt idx="1671" formatCode="m/d/yyyy">
                  <c:v>42936</c:v>
                </c:pt>
                <c:pt idx="1672" formatCode="m/d/yyyy">
                  <c:v>42935</c:v>
                </c:pt>
                <c:pt idx="1673" formatCode="m/d/yyyy">
                  <c:v>42934</c:v>
                </c:pt>
                <c:pt idx="1674" formatCode="m/d/yyyy">
                  <c:v>42933</c:v>
                </c:pt>
                <c:pt idx="1675" formatCode="m/d/yyyy">
                  <c:v>42932</c:v>
                </c:pt>
                <c:pt idx="1676" formatCode="m/d/yyyy">
                  <c:v>42931</c:v>
                </c:pt>
                <c:pt idx="1677" formatCode="m/d/yyyy">
                  <c:v>42930</c:v>
                </c:pt>
                <c:pt idx="1678" formatCode="m/d/yyyy">
                  <c:v>42929</c:v>
                </c:pt>
                <c:pt idx="1679" formatCode="m/d/yyyy">
                  <c:v>42928</c:v>
                </c:pt>
                <c:pt idx="1680" formatCode="m/d/yyyy">
                  <c:v>42927</c:v>
                </c:pt>
                <c:pt idx="1681" formatCode="m/d/yyyy">
                  <c:v>42926</c:v>
                </c:pt>
                <c:pt idx="1682" formatCode="m/d/yyyy">
                  <c:v>42925</c:v>
                </c:pt>
                <c:pt idx="1683" formatCode="m/d/yyyy">
                  <c:v>42924</c:v>
                </c:pt>
                <c:pt idx="1684" formatCode="m/d/yyyy">
                  <c:v>42923</c:v>
                </c:pt>
                <c:pt idx="1685" formatCode="m/d/yyyy">
                  <c:v>42922</c:v>
                </c:pt>
                <c:pt idx="1686" formatCode="m/d/yyyy">
                  <c:v>42921</c:v>
                </c:pt>
                <c:pt idx="1687" formatCode="m/d/yyyy">
                  <c:v>42920</c:v>
                </c:pt>
                <c:pt idx="1688" formatCode="m/d/yyyy">
                  <c:v>42919</c:v>
                </c:pt>
                <c:pt idx="1689" formatCode="m/d/yyyy">
                  <c:v>42918</c:v>
                </c:pt>
                <c:pt idx="1690" formatCode="m/d/yyyy">
                  <c:v>42917</c:v>
                </c:pt>
                <c:pt idx="1691" formatCode="m/d/yyyy">
                  <c:v>42916</c:v>
                </c:pt>
                <c:pt idx="1692" formatCode="m/d/yyyy">
                  <c:v>42915</c:v>
                </c:pt>
                <c:pt idx="1693" formatCode="m/d/yyyy">
                  <c:v>42914</c:v>
                </c:pt>
                <c:pt idx="1694" formatCode="m/d/yyyy">
                  <c:v>42913</c:v>
                </c:pt>
                <c:pt idx="1695" formatCode="m/d/yyyy">
                  <c:v>42912</c:v>
                </c:pt>
                <c:pt idx="1696" formatCode="m/d/yyyy">
                  <c:v>42911</c:v>
                </c:pt>
                <c:pt idx="1697" formatCode="m/d/yyyy">
                  <c:v>42910</c:v>
                </c:pt>
                <c:pt idx="1698" formatCode="m/d/yyyy">
                  <c:v>42909</c:v>
                </c:pt>
                <c:pt idx="1699" formatCode="m/d/yyyy">
                  <c:v>42908</c:v>
                </c:pt>
                <c:pt idx="1700" formatCode="m/d/yyyy">
                  <c:v>42907</c:v>
                </c:pt>
                <c:pt idx="1701" formatCode="m/d/yyyy">
                  <c:v>42906</c:v>
                </c:pt>
                <c:pt idx="1702" formatCode="m/d/yyyy">
                  <c:v>42905</c:v>
                </c:pt>
                <c:pt idx="1703" formatCode="m/d/yyyy">
                  <c:v>42904</c:v>
                </c:pt>
                <c:pt idx="1704" formatCode="m/d/yyyy">
                  <c:v>42903</c:v>
                </c:pt>
                <c:pt idx="1705" formatCode="m/d/yyyy">
                  <c:v>42902</c:v>
                </c:pt>
                <c:pt idx="1706" formatCode="m/d/yyyy">
                  <c:v>42901</c:v>
                </c:pt>
                <c:pt idx="1707" formatCode="m/d/yyyy">
                  <c:v>42900</c:v>
                </c:pt>
                <c:pt idx="1708" formatCode="m/d/yyyy">
                  <c:v>42899</c:v>
                </c:pt>
                <c:pt idx="1709" formatCode="m/d/yyyy">
                  <c:v>42898</c:v>
                </c:pt>
                <c:pt idx="1710" formatCode="m/d/yyyy">
                  <c:v>42897</c:v>
                </c:pt>
                <c:pt idx="1711" formatCode="m/d/yyyy">
                  <c:v>42896</c:v>
                </c:pt>
                <c:pt idx="1712" formatCode="m/d/yyyy">
                  <c:v>42895</c:v>
                </c:pt>
                <c:pt idx="1713" formatCode="m/d/yyyy">
                  <c:v>42894</c:v>
                </c:pt>
                <c:pt idx="1714" formatCode="m/d/yyyy">
                  <c:v>42893</c:v>
                </c:pt>
                <c:pt idx="1715" formatCode="m/d/yyyy">
                  <c:v>42892</c:v>
                </c:pt>
                <c:pt idx="1716" formatCode="m/d/yyyy">
                  <c:v>42891</c:v>
                </c:pt>
                <c:pt idx="1717" formatCode="m/d/yyyy">
                  <c:v>42890</c:v>
                </c:pt>
                <c:pt idx="1718" formatCode="m/d/yyyy">
                  <c:v>42889</c:v>
                </c:pt>
                <c:pt idx="1719" formatCode="m/d/yyyy">
                  <c:v>42888</c:v>
                </c:pt>
                <c:pt idx="1720" formatCode="m/d/yyyy">
                  <c:v>42887</c:v>
                </c:pt>
                <c:pt idx="1721" formatCode="m/d/yyyy">
                  <c:v>42886</c:v>
                </c:pt>
                <c:pt idx="1722" formatCode="m/d/yyyy">
                  <c:v>42885</c:v>
                </c:pt>
                <c:pt idx="1723" formatCode="m/d/yyyy">
                  <c:v>42884</c:v>
                </c:pt>
                <c:pt idx="1724" formatCode="m/d/yyyy">
                  <c:v>42883</c:v>
                </c:pt>
                <c:pt idx="1725" formatCode="m/d/yyyy">
                  <c:v>42882</c:v>
                </c:pt>
                <c:pt idx="1726" formatCode="m/d/yyyy">
                  <c:v>42881</c:v>
                </c:pt>
                <c:pt idx="1727" formatCode="m/d/yyyy">
                  <c:v>42880</c:v>
                </c:pt>
                <c:pt idx="1728" formatCode="m/d/yyyy">
                  <c:v>42879</c:v>
                </c:pt>
                <c:pt idx="1729" formatCode="m/d/yyyy">
                  <c:v>42878</c:v>
                </c:pt>
                <c:pt idx="1730" formatCode="m/d/yyyy">
                  <c:v>42877</c:v>
                </c:pt>
                <c:pt idx="1731" formatCode="m/d/yyyy">
                  <c:v>42876</c:v>
                </c:pt>
                <c:pt idx="1732" formatCode="m/d/yyyy">
                  <c:v>42875</c:v>
                </c:pt>
                <c:pt idx="1733" formatCode="m/d/yyyy">
                  <c:v>42874</c:v>
                </c:pt>
                <c:pt idx="1734" formatCode="m/d/yyyy">
                  <c:v>42873</c:v>
                </c:pt>
                <c:pt idx="1735" formatCode="m/d/yyyy">
                  <c:v>42872</c:v>
                </c:pt>
                <c:pt idx="1736" formatCode="m/d/yyyy">
                  <c:v>42871</c:v>
                </c:pt>
                <c:pt idx="1737" formatCode="m/d/yyyy">
                  <c:v>42870</c:v>
                </c:pt>
                <c:pt idx="1738" formatCode="m/d/yyyy">
                  <c:v>42869</c:v>
                </c:pt>
                <c:pt idx="1739" formatCode="m/d/yyyy">
                  <c:v>42868</c:v>
                </c:pt>
                <c:pt idx="1740" formatCode="m/d/yyyy">
                  <c:v>42867</c:v>
                </c:pt>
                <c:pt idx="1741" formatCode="m/d/yyyy">
                  <c:v>42866</c:v>
                </c:pt>
                <c:pt idx="1742" formatCode="m/d/yyyy">
                  <c:v>42865</c:v>
                </c:pt>
                <c:pt idx="1743" formatCode="m/d/yyyy">
                  <c:v>42864</c:v>
                </c:pt>
                <c:pt idx="1744" formatCode="m/d/yyyy">
                  <c:v>42863</c:v>
                </c:pt>
                <c:pt idx="1745" formatCode="m/d/yyyy">
                  <c:v>42862</c:v>
                </c:pt>
                <c:pt idx="1746" formatCode="m/d/yyyy">
                  <c:v>42861</c:v>
                </c:pt>
                <c:pt idx="1747" formatCode="m/d/yyyy">
                  <c:v>42860</c:v>
                </c:pt>
                <c:pt idx="1748" formatCode="m/d/yyyy">
                  <c:v>42859</c:v>
                </c:pt>
                <c:pt idx="1749" formatCode="m/d/yyyy">
                  <c:v>42858</c:v>
                </c:pt>
                <c:pt idx="1750" formatCode="m/d/yyyy">
                  <c:v>42857</c:v>
                </c:pt>
                <c:pt idx="1751" formatCode="m/d/yyyy">
                  <c:v>42856</c:v>
                </c:pt>
                <c:pt idx="1752" formatCode="m/d/yyyy">
                  <c:v>42855</c:v>
                </c:pt>
                <c:pt idx="1753" formatCode="m/d/yyyy">
                  <c:v>42854</c:v>
                </c:pt>
                <c:pt idx="1754" formatCode="m/d/yyyy">
                  <c:v>42853</c:v>
                </c:pt>
                <c:pt idx="1755" formatCode="m/d/yyyy">
                  <c:v>42852</c:v>
                </c:pt>
                <c:pt idx="1756" formatCode="m/d/yyyy">
                  <c:v>42851</c:v>
                </c:pt>
                <c:pt idx="1757" formatCode="m/d/yyyy">
                  <c:v>42850</c:v>
                </c:pt>
                <c:pt idx="1758" formatCode="m/d/yyyy">
                  <c:v>42849</c:v>
                </c:pt>
                <c:pt idx="1759" formatCode="m/d/yyyy">
                  <c:v>42848</c:v>
                </c:pt>
                <c:pt idx="1760" formatCode="m/d/yyyy">
                  <c:v>42847</c:v>
                </c:pt>
                <c:pt idx="1761" formatCode="m/d/yyyy">
                  <c:v>42846</c:v>
                </c:pt>
                <c:pt idx="1762" formatCode="m/d/yyyy">
                  <c:v>42845</c:v>
                </c:pt>
                <c:pt idx="1763" formatCode="m/d/yyyy">
                  <c:v>42844</c:v>
                </c:pt>
                <c:pt idx="1764" formatCode="m/d/yyyy">
                  <c:v>42843</c:v>
                </c:pt>
                <c:pt idx="1765" formatCode="m/d/yyyy">
                  <c:v>42842</c:v>
                </c:pt>
                <c:pt idx="1766" formatCode="m/d/yyyy">
                  <c:v>42841</c:v>
                </c:pt>
                <c:pt idx="1767" formatCode="m/d/yyyy">
                  <c:v>42840</c:v>
                </c:pt>
                <c:pt idx="1768" formatCode="m/d/yyyy">
                  <c:v>42839</c:v>
                </c:pt>
                <c:pt idx="1769" formatCode="m/d/yyyy">
                  <c:v>42838</c:v>
                </c:pt>
                <c:pt idx="1770" formatCode="m/d/yyyy">
                  <c:v>42837</c:v>
                </c:pt>
                <c:pt idx="1771" formatCode="m/d/yyyy">
                  <c:v>42836</c:v>
                </c:pt>
                <c:pt idx="1772" formatCode="m/d/yyyy">
                  <c:v>42835</c:v>
                </c:pt>
                <c:pt idx="1773" formatCode="m/d/yyyy">
                  <c:v>42834</c:v>
                </c:pt>
                <c:pt idx="1774" formatCode="m/d/yyyy">
                  <c:v>42833</c:v>
                </c:pt>
                <c:pt idx="1775" formatCode="m/d/yyyy">
                  <c:v>42832</c:v>
                </c:pt>
                <c:pt idx="1776" formatCode="m/d/yyyy">
                  <c:v>42831</c:v>
                </c:pt>
                <c:pt idx="1777" formatCode="m/d/yyyy">
                  <c:v>42830</c:v>
                </c:pt>
                <c:pt idx="1778" formatCode="m/d/yyyy">
                  <c:v>42829</c:v>
                </c:pt>
                <c:pt idx="1779" formatCode="m/d/yyyy">
                  <c:v>42828</c:v>
                </c:pt>
                <c:pt idx="1780" formatCode="m/d/yyyy">
                  <c:v>42827</c:v>
                </c:pt>
                <c:pt idx="1781" formatCode="m/d/yyyy">
                  <c:v>42826</c:v>
                </c:pt>
                <c:pt idx="1782" formatCode="m/d/yyyy">
                  <c:v>42825</c:v>
                </c:pt>
                <c:pt idx="1783" formatCode="m/d/yyyy">
                  <c:v>42824</c:v>
                </c:pt>
                <c:pt idx="1784" formatCode="m/d/yyyy">
                  <c:v>42823</c:v>
                </c:pt>
                <c:pt idx="1785" formatCode="m/d/yyyy">
                  <c:v>42822</c:v>
                </c:pt>
                <c:pt idx="1786" formatCode="m/d/yyyy">
                  <c:v>42821</c:v>
                </c:pt>
                <c:pt idx="1787" formatCode="m/d/yyyy">
                  <c:v>42820</c:v>
                </c:pt>
                <c:pt idx="1788" formatCode="m/d/yyyy">
                  <c:v>42819</c:v>
                </c:pt>
                <c:pt idx="1789" formatCode="m/d/yyyy">
                  <c:v>42818</c:v>
                </c:pt>
                <c:pt idx="1790" formatCode="m/d/yyyy">
                  <c:v>42817</c:v>
                </c:pt>
                <c:pt idx="1791" formatCode="m/d/yyyy">
                  <c:v>42816</c:v>
                </c:pt>
                <c:pt idx="1792" formatCode="m/d/yyyy">
                  <c:v>42815</c:v>
                </c:pt>
                <c:pt idx="1793" formatCode="m/d/yyyy">
                  <c:v>42814</c:v>
                </c:pt>
                <c:pt idx="1794" formatCode="m/d/yyyy">
                  <c:v>42813</c:v>
                </c:pt>
                <c:pt idx="1795" formatCode="m/d/yyyy">
                  <c:v>42812</c:v>
                </c:pt>
                <c:pt idx="1796" formatCode="m/d/yyyy">
                  <c:v>42811</c:v>
                </c:pt>
                <c:pt idx="1797" formatCode="m/d/yyyy">
                  <c:v>42810</c:v>
                </c:pt>
                <c:pt idx="1798" formatCode="m/d/yyyy">
                  <c:v>42809</c:v>
                </c:pt>
                <c:pt idx="1799" formatCode="m/d/yyyy">
                  <c:v>42808</c:v>
                </c:pt>
                <c:pt idx="1800" formatCode="m/d/yyyy">
                  <c:v>42807</c:v>
                </c:pt>
                <c:pt idx="1801" formatCode="m/d/yyyy">
                  <c:v>42806</c:v>
                </c:pt>
                <c:pt idx="1802" formatCode="m/d/yyyy">
                  <c:v>42805</c:v>
                </c:pt>
                <c:pt idx="1803" formatCode="m/d/yyyy">
                  <c:v>42804</c:v>
                </c:pt>
                <c:pt idx="1804" formatCode="m/d/yyyy">
                  <c:v>42803</c:v>
                </c:pt>
                <c:pt idx="1805" formatCode="m/d/yyyy">
                  <c:v>42802</c:v>
                </c:pt>
                <c:pt idx="1806" formatCode="m/d/yyyy">
                  <c:v>42801</c:v>
                </c:pt>
                <c:pt idx="1807" formatCode="m/d/yyyy">
                  <c:v>42800</c:v>
                </c:pt>
                <c:pt idx="1808" formatCode="m/d/yyyy">
                  <c:v>42799</c:v>
                </c:pt>
                <c:pt idx="1809" formatCode="m/d/yyyy">
                  <c:v>42798</c:v>
                </c:pt>
                <c:pt idx="1810" formatCode="m/d/yyyy">
                  <c:v>42797</c:v>
                </c:pt>
                <c:pt idx="1811" formatCode="m/d/yyyy">
                  <c:v>42796</c:v>
                </c:pt>
                <c:pt idx="1812" formatCode="m/d/yyyy">
                  <c:v>42795</c:v>
                </c:pt>
                <c:pt idx="1813" formatCode="m/d/yyyy">
                  <c:v>42794</c:v>
                </c:pt>
                <c:pt idx="1814" formatCode="m/d/yyyy">
                  <c:v>42793</c:v>
                </c:pt>
                <c:pt idx="1815" formatCode="m/d/yyyy">
                  <c:v>42792</c:v>
                </c:pt>
                <c:pt idx="1816" formatCode="m/d/yyyy">
                  <c:v>42791</c:v>
                </c:pt>
                <c:pt idx="1817" formatCode="m/d/yyyy">
                  <c:v>42790</c:v>
                </c:pt>
                <c:pt idx="1818" formatCode="m/d/yyyy">
                  <c:v>42789</c:v>
                </c:pt>
                <c:pt idx="1819" formatCode="m/d/yyyy">
                  <c:v>42788</c:v>
                </c:pt>
                <c:pt idx="1820" formatCode="m/d/yyyy">
                  <c:v>42787</c:v>
                </c:pt>
                <c:pt idx="1821" formatCode="m/d/yyyy">
                  <c:v>42786</c:v>
                </c:pt>
                <c:pt idx="1822" formatCode="m/d/yyyy">
                  <c:v>42785</c:v>
                </c:pt>
                <c:pt idx="1823" formatCode="m/d/yyyy">
                  <c:v>42784</c:v>
                </c:pt>
                <c:pt idx="1824" formatCode="m/d/yyyy">
                  <c:v>42783</c:v>
                </c:pt>
                <c:pt idx="1825" formatCode="m/d/yyyy">
                  <c:v>42782</c:v>
                </c:pt>
                <c:pt idx="1826" formatCode="m/d/yyyy">
                  <c:v>42781</c:v>
                </c:pt>
              </c:numCache>
            </c:numRef>
          </c:cat>
          <c:val>
            <c:numRef>
              <c:f>Indexed!$E$4:$E$3657</c:f>
              <c:numCache>
                <c:formatCode>0</c:formatCode>
                <c:ptCount val="3654"/>
                <c:pt idx="0">
                  <c:v>0</c:v>
                </c:pt>
                <c:pt idx="1">
                  <c:v>859.17293233082694</c:v>
                </c:pt>
                <c:pt idx="2">
                  <c:v>850.97744360902254</c:v>
                </c:pt>
                <c:pt idx="3">
                  <c:v>850.97744360902254</c:v>
                </c:pt>
                <c:pt idx="4">
                  <c:v>850.97744360902254</c:v>
                </c:pt>
                <c:pt idx="5">
                  <c:v>945.63909774436081</c:v>
                </c:pt>
                <c:pt idx="6">
                  <c:v>998.87218045112775</c:v>
                </c:pt>
                <c:pt idx="7">
                  <c:v>964.13533834586451</c:v>
                </c:pt>
                <c:pt idx="8">
                  <c:v>929.84962406015029</c:v>
                </c:pt>
                <c:pt idx="9">
                  <c:v>929.32330827067665</c:v>
                </c:pt>
                <c:pt idx="10">
                  <c:v>929.32330827067665</c:v>
                </c:pt>
                <c:pt idx="11">
                  <c:v>929.32330827067665</c:v>
                </c:pt>
                <c:pt idx="12">
                  <c:v>902.85714285714289</c:v>
                </c:pt>
                <c:pt idx="13">
                  <c:v>923.00751879699249</c:v>
                </c:pt>
                <c:pt idx="14">
                  <c:v>878.0451127819548</c:v>
                </c:pt>
                <c:pt idx="15">
                  <c:v>859.02255639097746</c:v>
                </c:pt>
                <c:pt idx="16">
                  <c:v>791.27819548872174</c:v>
                </c:pt>
                <c:pt idx="17">
                  <c:v>791.27819548872174</c:v>
                </c:pt>
                <c:pt idx="18">
                  <c:v>791.27819548872174</c:v>
                </c:pt>
                <c:pt idx="19">
                  <c:v>771.42857142857133</c:v>
                </c:pt>
                <c:pt idx="20">
                  <c:v>832.40601503759387</c:v>
                </c:pt>
                <c:pt idx="21">
                  <c:v>835.56390977443607</c:v>
                </c:pt>
                <c:pt idx="22">
                  <c:v>876.16541353383445</c:v>
                </c:pt>
                <c:pt idx="23">
                  <c:v>893.30827067669179</c:v>
                </c:pt>
                <c:pt idx="24">
                  <c:v>893.30827067669179</c:v>
                </c:pt>
                <c:pt idx="25">
                  <c:v>893.30827067669179</c:v>
                </c:pt>
                <c:pt idx="26">
                  <c:v>916.46616541353387</c:v>
                </c:pt>
                <c:pt idx="27">
                  <c:v>964.43609022556393</c:v>
                </c:pt>
                <c:pt idx="28">
                  <c:v>991.95488721804509</c:v>
                </c:pt>
                <c:pt idx="29">
                  <c:v>1029.1729323308268</c:v>
                </c:pt>
                <c:pt idx="30">
                  <c:v>1029.1729323308268</c:v>
                </c:pt>
                <c:pt idx="31">
                  <c:v>1029.1729323308268</c:v>
                </c:pt>
                <c:pt idx="32">
                  <c:v>1029.1729323308268</c:v>
                </c:pt>
                <c:pt idx="33">
                  <c:v>998.04511278195491</c:v>
                </c:pt>
                <c:pt idx="34">
                  <c:v>1033.609022556391</c:v>
                </c:pt>
                <c:pt idx="35">
                  <c:v>1032.4060150375938</c:v>
                </c:pt>
                <c:pt idx="36">
                  <c:v>992.48120300751884</c:v>
                </c:pt>
                <c:pt idx="37">
                  <c:v>992.48120300751884</c:v>
                </c:pt>
                <c:pt idx="38">
                  <c:v>992.48120300751884</c:v>
                </c:pt>
                <c:pt idx="39">
                  <c:v>992.48120300751884</c:v>
                </c:pt>
                <c:pt idx="40">
                  <c:v>1024.2857142857142</c:v>
                </c:pt>
                <c:pt idx="41">
                  <c:v>1023.6842105263157</c:v>
                </c:pt>
                <c:pt idx="42">
                  <c:v>1085.8646616541353</c:v>
                </c:pt>
                <c:pt idx="43">
                  <c:v>1129.624060150376</c:v>
                </c:pt>
                <c:pt idx="44">
                  <c:v>1081.9548872180451</c:v>
                </c:pt>
                <c:pt idx="45">
                  <c:v>1081.9548872180451</c:v>
                </c:pt>
                <c:pt idx="46">
                  <c:v>1081.9548872180451</c:v>
                </c:pt>
                <c:pt idx="47">
                  <c:v>1091.3533834586467</c:v>
                </c:pt>
                <c:pt idx="48">
                  <c:v>1114.7368421052631</c:v>
                </c:pt>
                <c:pt idx="49">
                  <c:v>1151.5037593984962</c:v>
                </c:pt>
                <c:pt idx="50">
                  <c:v>1160.6015037593986</c:v>
                </c:pt>
                <c:pt idx="51">
                  <c:v>1098.796992481203</c:v>
                </c:pt>
                <c:pt idx="52">
                  <c:v>1098.796992481203</c:v>
                </c:pt>
                <c:pt idx="53">
                  <c:v>1098.796992481203</c:v>
                </c:pt>
                <c:pt idx="54">
                  <c:v>1098.796992481203</c:v>
                </c:pt>
                <c:pt idx="55">
                  <c:v>1081.8045112781954</c:v>
                </c:pt>
                <c:pt idx="56">
                  <c:v>1084.5864661654134</c:v>
                </c:pt>
                <c:pt idx="57">
                  <c:v>1021.0526315789474</c:v>
                </c:pt>
                <c:pt idx="58">
                  <c:v>1035.7142857142856</c:v>
                </c:pt>
                <c:pt idx="59">
                  <c:v>1035.7142857142856</c:v>
                </c:pt>
                <c:pt idx="60">
                  <c:v>1035.7142857142856</c:v>
                </c:pt>
                <c:pt idx="61">
                  <c:v>1042.4060150375938</c:v>
                </c:pt>
                <c:pt idx="62">
                  <c:v>1101.5037593984962</c:v>
                </c:pt>
                <c:pt idx="63">
                  <c:v>1019.5488721804511</c:v>
                </c:pt>
                <c:pt idx="64">
                  <c:v>1006.015037593985</c:v>
                </c:pt>
                <c:pt idx="65">
                  <c:v>1041.7293233082708</c:v>
                </c:pt>
                <c:pt idx="66">
                  <c:v>1041.7293233082708</c:v>
                </c:pt>
                <c:pt idx="67">
                  <c:v>1041.7293233082708</c:v>
                </c:pt>
                <c:pt idx="68">
                  <c:v>1038.3458646616541</c:v>
                </c:pt>
                <c:pt idx="69">
                  <c:v>1092.0300751879699</c:v>
                </c:pt>
                <c:pt idx="70">
                  <c:v>1089.0977443609022</c:v>
                </c:pt>
                <c:pt idx="71">
                  <c:v>1045.5639097744361</c:v>
                </c:pt>
                <c:pt idx="72">
                  <c:v>1082.781954887218</c:v>
                </c:pt>
                <c:pt idx="73">
                  <c:v>1082.781954887218</c:v>
                </c:pt>
                <c:pt idx="74">
                  <c:v>1082.781954887218</c:v>
                </c:pt>
                <c:pt idx="75">
                  <c:v>1132.9323308270677</c:v>
                </c:pt>
                <c:pt idx="76">
                  <c:v>1121.1278195488721</c:v>
                </c:pt>
                <c:pt idx="77">
                  <c:v>1190.7518796992481</c:v>
                </c:pt>
                <c:pt idx="78">
                  <c:v>1217.3684210526314</c:v>
                </c:pt>
                <c:pt idx="79">
                  <c:v>1163.984962406015</c:v>
                </c:pt>
                <c:pt idx="80">
                  <c:v>1163.984962406015</c:v>
                </c:pt>
                <c:pt idx="81">
                  <c:v>1163.984962406015</c:v>
                </c:pt>
                <c:pt idx="82">
                  <c:v>1186.4661654135339</c:v>
                </c:pt>
                <c:pt idx="83">
                  <c:v>1186.4661654135339</c:v>
                </c:pt>
                <c:pt idx="84">
                  <c:v>1127.2180451127817</c:v>
                </c:pt>
                <c:pt idx="85">
                  <c:v>1146.7669172932331</c:v>
                </c:pt>
                <c:pt idx="86">
                  <c:v>1168.4962406015038</c:v>
                </c:pt>
                <c:pt idx="87">
                  <c:v>1168.4962406015038</c:v>
                </c:pt>
                <c:pt idx="88">
                  <c:v>1168.4962406015038</c:v>
                </c:pt>
                <c:pt idx="89">
                  <c:v>1165.5639097744361</c:v>
                </c:pt>
                <c:pt idx="90">
                  <c:v>1137.8947368421052</c:v>
                </c:pt>
                <c:pt idx="91">
                  <c:v>1146.2406015037593</c:v>
                </c:pt>
                <c:pt idx="92">
                  <c:v>1101.4285714285713</c:v>
                </c:pt>
                <c:pt idx="93">
                  <c:v>1111.9548872180449</c:v>
                </c:pt>
                <c:pt idx="94">
                  <c:v>1111.9548872180449</c:v>
                </c:pt>
                <c:pt idx="95">
                  <c:v>1111.9548872180449</c:v>
                </c:pt>
                <c:pt idx="96">
                  <c:v>1097.8195488721803</c:v>
                </c:pt>
                <c:pt idx="97">
                  <c:v>1051.6541353383457</c:v>
                </c:pt>
                <c:pt idx="98">
                  <c:v>1119.6992481203006</c:v>
                </c:pt>
                <c:pt idx="99">
                  <c:v>1129.0225563909773</c:v>
                </c:pt>
                <c:pt idx="100">
                  <c:v>1025.1127819548872</c:v>
                </c:pt>
                <c:pt idx="101">
                  <c:v>1025.1127819548872</c:v>
                </c:pt>
                <c:pt idx="102">
                  <c:v>1025.1127819548872</c:v>
                </c:pt>
                <c:pt idx="103">
                  <c:v>1033.8345864661653</c:v>
                </c:pt>
                <c:pt idx="104">
                  <c:v>981.42857142857133</c:v>
                </c:pt>
                <c:pt idx="105">
                  <c:v>959.62406015037584</c:v>
                </c:pt>
                <c:pt idx="106">
                  <c:v>941.57894736842104</c:v>
                </c:pt>
                <c:pt idx="107">
                  <c:v>903.98496240601492</c:v>
                </c:pt>
                <c:pt idx="108">
                  <c:v>903.98496240601492</c:v>
                </c:pt>
                <c:pt idx="109">
                  <c:v>903.98496240601492</c:v>
                </c:pt>
                <c:pt idx="110">
                  <c:v>910.97744360902254</c:v>
                </c:pt>
                <c:pt idx="111">
                  <c:v>919.3984962406015</c:v>
                </c:pt>
                <c:pt idx="112">
                  <c:v>924.28571428571422</c:v>
                </c:pt>
                <c:pt idx="113">
                  <c:v>919.99999999999989</c:v>
                </c:pt>
                <c:pt idx="114">
                  <c:v>900.90225563909758</c:v>
                </c:pt>
                <c:pt idx="115">
                  <c:v>900.90225563909758</c:v>
                </c:pt>
                <c:pt idx="116">
                  <c:v>900.90225563909758</c:v>
                </c:pt>
                <c:pt idx="117">
                  <c:v>897.21804511278197</c:v>
                </c:pt>
                <c:pt idx="118">
                  <c:v>875.11278195488717</c:v>
                </c:pt>
                <c:pt idx="119">
                  <c:v>874.66165413533827</c:v>
                </c:pt>
                <c:pt idx="120">
                  <c:v>875.41353383458647</c:v>
                </c:pt>
                <c:pt idx="121">
                  <c:v>843.00751879699249</c:v>
                </c:pt>
                <c:pt idx="122">
                  <c:v>843.00751879699249</c:v>
                </c:pt>
                <c:pt idx="123">
                  <c:v>843.00751879699249</c:v>
                </c:pt>
                <c:pt idx="124">
                  <c:v>842.03007518796994</c:v>
                </c:pt>
                <c:pt idx="125">
                  <c:v>820.75187969924809</c:v>
                </c:pt>
                <c:pt idx="126">
                  <c:v>789.77443609022555</c:v>
                </c:pt>
                <c:pt idx="127">
                  <c:v>787.06766917293237</c:v>
                </c:pt>
                <c:pt idx="128">
                  <c:v>789.92481203007515</c:v>
                </c:pt>
                <c:pt idx="129">
                  <c:v>789.92481203007515</c:v>
                </c:pt>
                <c:pt idx="130">
                  <c:v>789.92481203007515</c:v>
                </c:pt>
                <c:pt idx="131">
                  <c:v>800.37593984962405</c:v>
                </c:pt>
                <c:pt idx="132">
                  <c:v>779.24812030075191</c:v>
                </c:pt>
                <c:pt idx="133">
                  <c:v>765.48872180451121</c:v>
                </c:pt>
                <c:pt idx="134">
                  <c:v>754.43609022556393</c:v>
                </c:pt>
                <c:pt idx="135">
                  <c:v>770.30075187969919</c:v>
                </c:pt>
                <c:pt idx="136">
                  <c:v>770.30075187969919</c:v>
                </c:pt>
                <c:pt idx="137">
                  <c:v>770.30075187969919</c:v>
                </c:pt>
                <c:pt idx="138">
                  <c:v>773.68421052631572</c:v>
                </c:pt>
                <c:pt idx="139">
                  <c:v>754.51127819548867</c:v>
                </c:pt>
                <c:pt idx="140">
                  <c:v>763.30827067669168</c:v>
                </c:pt>
                <c:pt idx="141">
                  <c:v>813.23308270676694</c:v>
                </c:pt>
                <c:pt idx="142">
                  <c:v>795.48872180451121</c:v>
                </c:pt>
                <c:pt idx="143">
                  <c:v>795.48872180451121</c:v>
                </c:pt>
                <c:pt idx="144">
                  <c:v>795.48872180451121</c:v>
                </c:pt>
                <c:pt idx="145">
                  <c:v>798.12030075187965</c:v>
                </c:pt>
                <c:pt idx="146">
                  <c:v>784.81203007518786</c:v>
                </c:pt>
                <c:pt idx="147">
                  <c:v>773.08270676691723</c:v>
                </c:pt>
                <c:pt idx="148">
                  <c:v>763.53383458646613</c:v>
                </c:pt>
                <c:pt idx="149">
                  <c:v>781.05263157894728</c:v>
                </c:pt>
                <c:pt idx="150">
                  <c:v>781.05263157894728</c:v>
                </c:pt>
                <c:pt idx="151">
                  <c:v>781.05263157894728</c:v>
                </c:pt>
                <c:pt idx="152">
                  <c:v>798.64661654135341</c:v>
                </c:pt>
                <c:pt idx="153">
                  <c:v>793.98496240601503</c:v>
                </c:pt>
                <c:pt idx="154">
                  <c:v>794.96240601503757</c:v>
                </c:pt>
                <c:pt idx="155">
                  <c:v>787.96992481202994</c:v>
                </c:pt>
                <c:pt idx="156">
                  <c:v>790.97744360902254</c:v>
                </c:pt>
                <c:pt idx="157">
                  <c:v>790.97744360902254</c:v>
                </c:pt>
                <c:pt idx="158">
                  <c:v>790.97744360902254</c:v>
                </c:pt>
                <c:pt idx="159">
                  <c:v>798.12030075187965</c:v>
                </c:pt>
                <c:pt idx="160">
                  <c:v>798.27067669172925</c:v>
                </c:pt>
                <c:pt idx="161">
                  <c:v>820.67669172932335</c:v>
                </c:pt>
                <c:pt idx="162">
                  <c:v>826.46616541353387</c:v>
                </c:pt>
                <c:pt idx="163">
                  <c:v>826.46616541353387</c:v>
                </c:pt>
                <c:pt idx="164">
                  <c:v>826.46616541353387</c:v>
                </c:pt>
                <c:pt idx="165">
                  <c:v>826.46616541353387</c:v>
                </c:pt>
                <c:pt idx="166">
                  <c:v>821.0526315789474</c:v>
                </c:pt>
                <c:pt idx="167">
                  <c:v>826.99248120300751</c:v>
                </c:pt>
                <c:pt idx="168">
                  <c:v>832.48120300751884</c:v>
                </c:pt>
                <c:pt idx="169">
                  <c:v>836.9924812030074</c:v>
                </c:pt>
                <c:pt idx="170">
                  <c:v>837.59398496240601</c:v>
                </c:pt>
                <c:pt idx="171">
                  <c:v>837.59398496240601</c:v>
                </c:pt>
                <c:pt idx="172">
                  <c:v>837.59398496240601</c:v>
                </c:pt>
                <c:pt idx="173">
                  <c:v>806.5413533834585</c:v>
                </c:pt>
                <c:pt idx="174">
                  <c:v>814.28571428571422</c:v>
                </c:pt>
                <c:pt idx="175">
                  <c:v>809.3984962406015</c:v>
                </c:pt>
                <c:pt idx="176">
                  <c:v>817.81954887218035</c:v>
                </c:pt>
                <c:pt idx="177">
                  <c:v>786.84210526315792</c:v>
                </c:pt>
                <c:pt idx="178">
                  <c:v>786.84210526315792</c:v>
                </c:pt>
                <c:pt idx="179">
                  <c:v>786.84210526315792</c:v>
                </c:pt>
                <c:pt idx="180">
                  <c:v>779.69924812030081</c:v>
                </c:pt>
                <c:pt idx="181">
                  <c:v>777.74436090225561</c:v>
                </c:pt>
                <c:pt idx="182">
                  <c:v>808.72180451127815</c:v>
                </c:pt>
                <c:pt idx="183">
                  <c:v>808.12030075187965</c:v>
                </c:pt>
                <c:pt idx="184">
                  <c:v>831.20300751879699</c:v>
                </c:pt>
                <c:pt idx="185">
                  <c:v>831.20300751879699</c:v>
                </c:pt>
                <c:pt idx="186">
                  <c:v>831.20300751879699</c:v>
                </c:pt>
                <c:pt idx="187">
                  <c:v>800.75187969924798</c:v>
                </c:pt>
                <c:pt idx="188">
                  <c:v>809.62406015037584</c:v>
                </c:pt>
                <c:pt idx="189">
                  <c:v>800.6015037593985</c:v>
                </c:pt>
                <c:pt idx="190">
                  <c:v>808.87218045112763</c:v>
                </c:pt>
                <c:pt idx="191">
                  <c:v>827.8947368421052</c:v>
                </c:pt>
                <c:pt idx="192">
                  <c:v>827.8947368421052</c:v>
                </c:pt>
                <c:pt idx="193">
                  <c:v>827.8947368421052</c:v>
                </c:pt>
                <c:pt idx="194">
                  <c:v>844.73684210526301</c:v>
                </c:pt>
                <c:pt idx="195">
                  <c:v>893.00751879699249</c:v>
                </c:pt>
                <c:pt idx="196">
                  <c:v>846.31578947368416</c:v>
                </c:pt>
                <c:pt idx="197">
                  <c:v>816.76691729323295</c:v>
                </c:pt>
                <c:pt idx="198">
                  <c:v>798.42105263157896</c:v>
                </c:pt>
                <c:pt idx="199">
                  <c:v>798.42105263157896</c:v>
                </c:pt>
                <c:pt idx="200">
                  <c:v>798.42105263157896</c:v>
                </c:pt>
                <c:pt idx="201">
                  <c:v>774.06015037593988</c:v>
                </c:pt>
                <c:pt idx="202">
                  <c:v>736.31578947368416</c:v>
                </c:pt>
                <c:pt idx="203">
                  <c:v>684.43609022556393</c:v>
                </c:pt>
                <c:pt idx="204">
                  <c:v>690.37593984962393</c:v>
                </c:pt>
                <c:pt idx="205">
                  <c:v>692.85714285714289</c:v>
                </c:pt>
                <c:pt idx="206">
                  <c:v>692.85714285714289</c:v>
                </c:pt>
                <c:pt idx="207">
                  <c:v>692.85714285714289</c:v>
                </c:pt>
                <c:pt idx="208">
                  <c:v>685.78947368421041</c:v>
                </c:pt>
                <c:pt idx="209">
                  <c:v>672.25563909774428</c:v>
                </c:pt>
                <c:pt idx="210">
                  <c:v>654.96240601503757</c:v>
                </c:pt>
                <c:pt idx="211">
                  <c:v>650.97744360902254</c:v>
                </c:pt>
                <c:pt idx="212">
                  <c:v>645.78947368421052</c:v>
                </c:pt>
                <c:pt idx="213">
                  <c:v>645.78947368421052</c:v>
                </c:pt>
                <c:pt idx="214">
                  <c:v>645.78947368421052</c:v>
                </c:pt>
                <c:pt idx="215">
                  <c:v>653.60902255639098</c:v>
                </c:pt>
                <c:pt idx="216">
                  <c:v>669.5488721804511</c:v>
                </c:pt>
                <c:pt idx="217">
                  <c:v>678.6466165413533</c:v>
                </c:pt>
                <c:pt idx="218">
                  <c:v>682.78195488721803</c:v>
                </c:pt>
                <c:pt idx="219">
                  <c:v>683.45864661654139</c:v>
                </c:pt>
                <c:pt idx="220">
                  <c:v>683.45864661654139</c:v>
                </c:pt>
                <c:pt idx="221">
                  <c:v>683.45864661654139</c:v>
                </c:pt>
                <c:pt idx="222">
                  <c:v>674.73684210526312</c:v>
                </c:pt>
                <c:pt idx="223">
                  <c:v>680.75187969924821</c:v>
                </c:pt>
                <c:pt idx="224">
                  <c:v>710.30075187969919</c:v>
                </c:pt>
                <c:pt idx="225">
                  <c:v>712.03007518796994</c:v>
                </c:pt>
                <c:pt idx="226">
                  <c:v>712.03007518796994</c:v>
                </c:pt>
                <c:pt idx="227">
                  <c:v>712.03007518796994</c:v>
                </c:pt>
                <c:pt idx="228">
                  <c:v>712.03007518796994</c:v>
                </c:pt>
                <c:pt idx="229">
                  <c:v>701.57894736842104</c:v>
                </c:pt>
                <c:pt idx="230">
                  <c:v>706.24060150375942</c:v>
                </c:pt>
                <c:pt idx="231">
                  <c:v>673.08270676691723</c:v>
                </c:pt>
                <c:pt idx="232">
                  <c:v>654.73684210526312</c:v>
                </c:pt>
                <c:pt idx="233">
                  <c:v>643.75939849624069</c:v>
                </c:pt>
                <c:pt idx="234">
                  <c:v>643.75939849624069</c:v>
                </c:pt>
                <c:pt idx="235">
                  <c:v>643.75939849624069</c:v>
                </c:pt>
                <c:pt idx="236">
                  <c:v>647.36842105263145</c:v>
                </c:pt>
                <c:pt idx="237">
                  <c:v>630.22556390977434</c:v>
                </c:pt>
                <c:pt idx="238">
                  <c:v>628.42105263157896</c:v>
                </c:pt>
                <c:pt idx="239">
                  <c:v>620.97744360902254</c:v>
                </c:pt>
                <c:pt idx="240">
                  <c:v>636.46616541353387</c:v>
                </c:pt>
                <c:pt idx="241">
                  <c:v>636.46616541353387</c:v>
                </c:pt>
                <c:pt idx="242">
                  <c:v>636.46616541353387</c:v>
                </c:pt>
                <c:pt idx="243">
                  <c:v>635.78947368421052</c:v>
                </c:pt>
                <c:pt idx="244">
                  <c:v>602.33082706766913</c:v>
                </c:pt>
                <c:pt idx="245">
                  <c:v>605.03759398496243</c:v>
                </c:pt>
                <c:pt idx="246">
                  <c:v>613.15789473684208</c:v>
                </c:pt>
                <c:pt idx="247">
                  <c:v>611.35338345864659</c:v>
                </c:pt>
                <c:pt idx="248">
                  <c:v>611.35338345864659</c:v>
                </c:pt>
                <c:pt idx="249">
                  <c:v>611.35338345864659</c:v>
                </c:pt>
                <c:pt idx="250">
                  <c:v>613.23308270676694</c:v>
                </c:pt>
                <c:pt idx="251">
                  <c:v>601.20300751879688</c:v>
                </c:pt>
                <c:pt idx="252">
                  <c:v>608.1954887218044</c:v>
                </c:pt>
                <c:pt idx="253">
                  <c:v>611.65413533834578</c:v>
                </c:pt>
                <c:pt idx="254">
                  <c:v>613.38345864661642</c:v>
                </c:pt>
                <c:pt idx="255">
                  <c:v>613.38345864661642</c:v>
                </c:pt>
                <c:pt idx="256">
                  <c:v>613.38345864661642</c:v>
                </c:pt>
                <c:pt idx="257">
                  <c:v>603.60902255639098</c:v>
                </c:pt>
                <c:pt idx="258">
                  <c:v>616.31578947368416</c:v>
                </c:pt>
                <c:pt idx="259">
                  <c:v>607.59398496240601</c:v>
                </c:pt>
                <c:pt idx="260">
                  <c:v>602.10526315789468</c:v>
                </c:pt>
                <c:pt idx="261">
                  <c:v>602.10526315789468</c:v>
                </c:pt>
                <c:pt idx="262">
                  <c:v>602.10526315789468</c:v>
                </c:pt>
                <c:pt idx="263">
                  <c:v>602.10526315789468</c:v>
                </c:pt>
                <c:pt idx="264">
                  <c:v>589.62406015037595</c:v>
                </c:pt>
                <c:pt idx="265">
                  <c:v>589.02255639097746</c:v>
                </c:pt>
                <c:pt idx="266">
                  <c:v>585.41353383458647</c:v>
                </c:pt>
                <c:pt idx="267">
                  <c:v>582.25563909774428</c:v>
                </c:pt>
                <c:pt idx="268">
                  <c:v>580.22556390977445</c:v>
                </c:pt>
                <c:pt idx="269">
                  <c:v>580.22556390977445</c:v>
                </c:pt>
                <c:pt idx="270">
                  <c:v>580.22556390977445</c:v>
                </c:pt>
                <c:pt idx="271">
                  <c:v>586.91729323308266</c:v>
                </c:pt>
                <c:pt idx="272">
                  <c:v>573.15789473684208</c:v>
                </c:pt>
                <c:pt idx="273">
                  <c:v>559.69924812030069</c:v>
                </c:pt>
                <c:pt idx="274">
                  <c:v>561.27819548872185</c:v>
                </c:pt>
                <c:pt idx="275">
                  <c:v>560.82706766917295</c:v>
                </c:pt>
                <c:pt idx="276">
                  <c:v>560.82706766917295</c:v>
                </c:pt>
                <c:pt idx="277">
                  <c:v>560.82706766917295</c:v>
                </c:pt>
                <c:pt idx="278">
                  <c:v>549.5488721804511</c:v>
                </c:pt>
                <c:pt idx="279">
                  <c:v>561.20300751879699</c:v>
                </c:pt>
                <c:pt idx="280">
                  <c:v>577.66917293233075</c:v>
                </c:pt>
                <c:pt idx="281">
                  <c:v>571.35338345864659</c:v>
                </c:pt>
                <c:pt idx="282">
                  <c:v>592.55639097744358</c:v>
                </c:pt>
                <c:pt idx="283">
                  <c:v>592.55639097744358</c:v>
                </c:pt>
                <c:pt idx="284">
                  <c:v>592.55639097744358</c:v>
                </c:pt>
                <c:pt idx="285">
                  <c:v>585.63909774436092</c:v>
                </c:pt>
                <c:pt idx="286">
                  <c:v>585.18796992481202</c:v>
                </c:pt>
                <c:pt idx="287">
                  <c:v>591.0526315789474</c:v>
                </c:pt>
                <c:pt idx="288">
                  <c:v>590.6015037593985</c:v>
                </c:pt>
                <c:pt idx="289">
                  <c:v>613.68421052631584</c:v>
                </c:pt>
                <c:pt idx="290">
                  <c:v>613.68421052631584</c:v>
                </c:pt>
                <c:pt idx="291">
                  <c:v>613.68421052631584</c:v>
                </c:pt>
                <c:pt idx="292">
                  <c:v>630.90225563909769</c:v>
                </c:pt>
                <c:pt idx="293">
                  <c:v>631.72932330827064</c:v>
                </c:pt>
                <c:pt idx="294">
                  <c:v>640.67669172932324</c:v>
                </c:pt>
                <c:pt idx="295">
                  <c:v>642.18045112781942</c:v>
                </c:pt>
                <c:pt idx="296">
                  <c:v>622.25563909774428</c:v>
                </c:pt>
                <c:pt idx="297">
                  <c:v>622.25563909774428</c:v>
                </c:pt>
                <c:pt idx="298">
                  <c:v>622.25563909774428</c:v>
                </c:pt>
                <c:pt idx="299">
                  <c:v>594.43609022556393</c:v>
                </c:pt>
                <c:pt idx="300">
                  <c:v>613.60902255639087</c:v>
                </c:pt>
                <c:pt idx="301">
                  <c:v>596.01503759398486</c:v>
                </c:pt>
                <c:pt idx="302">
                  <c:v>609.84962406015029</c:v>
                </c:pt>
                <c:pt idx="303">
                  <c:v>617.66917293233087</c:v>
                </c:pt>
                <c:pt idx="304">
                  <c:v>617.66917293233087</c:v>
                </c:pt>
                <c:pt idx="305">
                  <c:v>617.66917293233087</c:v>
                </c:pt>
                <c:pt idx="306">
                  <c:v>624.13533834586462</c:v>
                </c:pt>
                <c:pt idx="307">
                  <c:v>590.6015037593985</c:v>
                </c:pt>
                <c:pt idx="308">
                  <c:v>602.93233082706763</c:v>
                </c:pt>
                <c:pt idx="309">
                  <c:v>590.82706766917295</c:v>
                </c:pt>
                <c:pt idx="310">
                  <c:v>622.25563909774428</c:v>
                </c:pt>
                <c:pt idx="311">
                  <c:v>622.25563909774428</c:v>
                </c:pt>
                <c:pt idx="312">
                  <c:v>622.25563909774428</c:v>
                </c:pt>
                <c:pt idx="313">
                  <c:v>626.69172932330821</c:v>
                </c:pt>
                <c:pt idx="314">
                  <c:v>618.0451127819548</c:v>
                </c:pt>
                <c:pt idx="315">
                  <c:v>612.33082706766913</c:v>
                </c:pt>
                <c:pt idx="316">
                  <c:v>612.25563909774439</c:v>
                </c:pt>
                <c:pt idx="317">
                  <c:v>609.69924812030069</c:v>
                </c:pt>
                <c:pt idx="318">
                  <c:v>609.69924812030069</c:v>
                </c:pt>
                <c:pt idx="319">
                  <c:v>609.69924812030069</c:v>
                </c:pt>
                <c:pt idx="320">
                  <c:v>609.69924812030069</c:v>
                </c:pt>
                <c:pt idx="321">
                  <c:v>590.22556390977434</c:v>
                </c:pt>
                <c:pt idx="322">
                  <c:v>571.42857142857144</c:v>
                </c:pt>
                <c:pt idx="323">
                  <c:v>580</c:v>
                </c:pt>
                <c:pt idx="324">
                  <c:v>582.03007518796983</c:v>
                </c:pt>
                <c:pt idx="325">
                  <c:v>582.03007518796983</c:v>
                </c:pt>
                <c:pt idx="326">
                  <c:v>582.03007518796983</c:v>
                </c:pt>
                <c:pt idx="327">
                  <c:v>573.08270676691723</c:v>
                </c:pt>
                <c:pt idx="328">
                  <c:v>575.03759398496243</c:v>
                </c:pt>
                <c:pt idx="329">
                  <c:v>589.32330827067665</c:v>
                </c:pt>
                <c:pt idx="330">
                  <c:v>603.75939849624046</c:v>
                </c:pt>
                <c:pt idx="331">
                  <c:v>594.43609022556393</c:v>
                </c:pt>
                <c:pt idx="332">
                  <c:v>594.43609022556393</c:v>
                </c:pt>
                <c:pt idx="333">
                  <c:v>594.43609022556393</c:v>
                </c:pt>
                <c:pt idx="334">
                  <c:v>587.36842105263156</c:v>
                </c:pt>
                <c:pt idx="335">
                  <c:v>621.27819548872174</c:v>
                </c:pt>
                <c:pt idx="336">
                  <c:v>622.18045112781954</c:v>
                </c:pt>
                <c:pt idx="337">
                  <c:v>620.30075187969919</c:v>
                </c:pt>
                <c:pt idx="338">
                  <c:v>609.39849624060139</c:v>
                </c:pt>
                <c:pt idx="339">
                  <c:v>609.39849624060139</c:v>
                </c:pt>
                <c:pt idx="340">
                  <c:v>609.39849624060139</c:v>
                </c:pt>
                <c:pt idx="341">
                  <c:v>610.75187969924821</c:v>
                </c:pt>
                <c:pt idx="342">
                  <c:v>582.85714285714278</c:v>
                </c:pt>
                <c:pt idx="343">
                  <c:v>590.45112781954879</c:v>
                </c:pt>
                <c:pt idx="344">
                  <c:v>556.09022556390971</c:v>
                </c:pt>
                <c:pt idx="345">
                  <c:v>590.37593984962405</c:v>
                </c:pt>
                <c:pt idx="346">
                  <c:v>590.37593984962405</c:v>
                </c:pt>
                <c:pt idx="347">
                  <c:v>590.37593984962405</c:v>
                </c:pt>
                <c:pt idx="348">
                  <c:v>584.58646616541353</c:v>
                </c:pt>
                <c:pt idx="349">
                  <c:v>607.96992481203006</c:v>
                </c:pt>
                <c:pt idx="350">
                  <c:v>632.55639097744347</c:v>
                </c:pt>
                <c:pt idx="351">
                  <c:v>649.5488721804511</c:v>
                </c:pt>
                <c:pt idx="352">
                  <c:v>635.41353383458647</c:v>
                </c:pt>
                <c:pt idx="353">
                  <c:v>635.41353383458647</c:v>
                </c:pt>
                <c:pt idx="354">
                  <c:v>635.41353383458647</c:v>
                </c:pt>
                <c:pt idx="355">
                  <c:v>619.69924812030069</c:v>
                </c:pt>
                <c:pt idx="356">
                  <c:v>653.68421052631572</c:v>
                </c:pt>
                <c:pt idx="357">
                  <c:v>637.14285714285711</c:v>
                </c:pt>
                <c:pt idx="358">
                  <c:v>641.87969924812035</c:v>
                </c:pt>
                <c:pt idx="359">
                  <c:v>673.53383458646613</c:v>
                </c:pt>
                <c:pt idx="360">
                  <c:v>673.53383458646613</c:v>
                </c:pt>
                <c:pt idx="361">
                  <c:v>673.53383458646613</c:v>
                </c:pt>
                <c:pt idx="362">
                  <c:v>666.46616541353376</c:v>
                </c:pt>
                <c:pt idx="363">
                  <c:v>676.24060150375942</c:v>
                </c:pt>
                <c:pt idx="364">
                  <c:v>687.66917293233075</c:v>
                </c:pt>
                <c:pt idx="365">
                  <c:v>705.03759398496243</c:v>
                </c:pt>
                <c:pt idx="366">
                  <c:v>705.03759398496243</c:v>
                </c:pt>
                <c:pt idx="367">
                  <c:v>705.03759398496243</c:v>
                </c:pt>
                <c:pt idx="368">
                  <c:v>705.03759398496243</c:v>
                </c:pt>
                <c:pt idx="369">
                  <c:v>696.69172932330821</c:v>
                </c:pt>
                <c:pt idx="370">
                  <c:v>694.36090225563896</c:v>
                </c:pt>
                <c:pt idx="371">
                  <c:v>683.53383458646601</c:v>
                </c:pt>
                <c:pt idx="372">
                  <c:v>687.74436090225561</c:v>
                </c:pt>
                <c:pt idx="373">
                  <c:v>660.90225563909769</c:v>
                </c:pt>
                <c:pt idx="374">
                  <c:v>660.90225563909769</c:v>
                </c:pt>
                <c:pt idx="375">
                  <c:v>660.90225563909769</c:v>
                </c:pt>
                <c:pt idx="376">
                  <c:v>660.4511278195489</c:v>
                </c:pt>
                <c:pt idx="377">
                  <c:v>660.82706766917295</c:v>
                </c:pt>
                <c:pt idx="378">
                  <c:v>668.12030075187965</c:v>
                </c:pt>
                <c:pt idx="379">
                  <c:v>659.0977443609022</c:v>
                </c:pt>
                <c:pt idx="380">
                  <c:v>643.90977443609017</c:v>
                </c:pt>
                <c:pt idx="381">
                  <c:v>643.90977443609017</c:v>
                </c:pt>
                <c:pt idx="382">
                  <c:v>643.90977443609017</c:v>
                </c:pt>
                <c:pt idx="383">
                  <c:v>658.0451127819548</c:v>
                </c:pt>
                <c:pt idx="384">
                  <c:v>667.96992481203006</c:v>
                </c:pt>
                <c:pt idx="385">
                  <c:v>712.10526315789457</c:v>
                </c:pt>
                <c:pt idx="386">
                  <c:v>707.74436090225561</c:v>
                </c:pt>
                <c:pt idx="387">
                  <c:v>697.66917293233087</c:v>
                </c:pt>
                <c:pt idx="388">
                  <c:v>697.66917293233087</c:v>
                </c:pt>
                <c:pt idx="389">
                  <c:v>697.66917293233087</c:v>
                </c:pt>
                <c:pt idx="390">
                  <c:v>688.19548872180451</c:v>
                </c:pt>
                <c:pt idx="391">
                  <c:v>667.29323308270671</c:v>
                </c:pt>
                <c:pt idx="392">
                  <c:v>672.55639097744358</c:v>
                </c:pt>
                <c:pt idx="393">
                  <c:v>663.23308270676682</c:v>
                </c:pt>
                <c:pt idx="394">
                  <c:v>663.23308270676682</c:v>
                </c:pt>
                <c:pt idx="395">
                  <c:v>663.23308270676682</c:v>
                </c:pt>
                <c:pt idx="396">
                  <c:v>663.23308270676682</c:v>
                </c:pt>
                <c:pt idx="397">
                  <c:v>682.63157894736844</c:v>
                </c:pt>
                <c:pt idx="398">
                  <c:v>690.07518796992485</c:v>
                </c:pt>
                <c:pt idx="399">
                  <c:v>716.95488721804509</c:v>
                </c:pt>
                <c:pt idx="400">
                  <c:v>731.20300751879699</c:v>
                </c:pt>
                <c:pt idx="401">
                  <c:v>711.12781954887214</c:v>
                </c:pt>
                <c:pt idx="402">
                  <c:v>711.12781954887214</c:v>
                </c:pt>
                <c:pt idx="403">
                  <c:v>711.12781954887214</c:v>
                </c:pt>
                <c:pt idx="404">
                  <c:v>715.48872180451121</c:v>
                </c:pt>
                <c:pt idx="405">
                  <c:v>679.17293233082705</c:v>
                </c:pt>
                <c:pt idx="406">
                  <c:v>697.51879699248116</c:v>
                </c:pt>
                <c:pt idx="407">
                  <c:v>693.98496240601503</c:v>
                </c:pt>
                <c:pt idx="408">
                  <c:v>689.5488721804511</c:v>
                </c:pt>
                <c:pt idx="409">
                  <c:v>689.5488721804511</c:v>
                </c:pt>
                <c:pt idx="410">
                  <c:v>689.5488721804511</c:v>
                </c:pt>
                <c:pt idx="411">
                  <c:v>689.5488721804511</c:v>
                </c:pt>
                <c:pt idx="412">
                  <c:v>693.90977443609017</c:v>
                </c:pt>
                <c:pt idx="413">
                  <c:v>681.35338345864659</c:v>
                </c:pt>
                <c:pt idx="414">
                  <c:v>688.72180451127804</c:v>
                </c:pt>
                <c:pt idx="415">
                  <c:v>690.30075187969931</c:v>
                </c:pt>
                <c:pt idx="416">
                  <c:v>690.30075187969931</c:v>
                </c:pt>
                <c:pt idx="417">
                  <c:v>690.30075187969931</c:v>
                </c:pt>
                <c:pt idx="418">
                  <c:v>690.30075187969931</c:v>
                </c:pt>
                <c:pt idx="419">
                  <c:v>688.3458646616541</c:v>
                </c:pt>
                <c:pt idx="420">
                  <c:v>700.45112781954879</c:v>
                </c:pt>
                <c:pt idx="421">
                  <c:v>700.97744360902254</c:v>
                </c:pt>
                <c:pt idx="422">
                  <c:v>721.20300751879699</c:v>
                </c:pt>
                <c:pt idx="423">
                  <c:v>721.20300751879699</c:v>
                </c:pt>
                <c:pt idx="424">
                  <c:v>721.20300751879699</c:v>
                </c:pt>
                <c:pt idx="425">
                  <c:v>728.12030075187965</c:v>
                </c:pt>
                <c:pt idx="426">
                  <c:v>728.19548872180451</c:v>
                </c:pt>
                <c:pt idx="427">
                  <c:v>730.22556390977445</c:v>
                </c:pt>
                <c:pt idx="428">
                  <c:v>712.63157894736833</c:v>
                </c:pt>
                <c:pt idx="429">
                  <c:v>689.09774436090231</c:v>
                </c:pt>
                <c:pt idx="430">
                  <c:v>689.09774436090231</c:v>
                </c:pt>
                <c:pt idx="431">
                  <c:v>689.09774436090231</c:v>
                </c:pt>
                <c:pt idx="432">
                  <c:v>689.17293233082694</c:v>
                </c:pt>
                <c:pt idx="433">
                  <c:v>675.41353383458636</c:v>
                </c:pt>
                <c:pt idx="434">
                  <c:v>698.64661654135341</c:v>
                </c:pt>
                <c:pt idx="435">
                  <c:v>707.29323308270671</c:v>
                </c:pt>
                <c:pt idx="436">
                  <c:v>707.06766917293237</c:v>
                </c:pt>
                <c:pt idx="437">
                  <c:v>707.06766917293237</c:v>
                </c:pt>
                <c:pt idx="438">
                  <c:v>707.06766917293237</c:v>
                </c:pt>
                <c:pt idx="439">
                  <c:v>694.06015037593988</c:v>
                </c:pt>
                <c:pt idx="440">
                  <c:v>704.81203007518798</c:v>
                </c:pt>
                <c:pt idx="441">
                  <c:v>696.46616541353376</c:v>
                </c:pt>
                <c:pt idx="442">
                  <c:v>696.69172932330821</c:v>
                </c:pt>
                <c:pt idx="443">
                  <c:v>655.56390977443607</c:v>
                </c:pt>
                <c:pt idx="444">
                  <c:v>655.56390977443607</c:v>
                </c:pt>
                <c:pt idx="445">
                  <c:v>655.56390977443607</c:v>
                </c:pt>
                <c:pt idx="446">
                  <c:v>651.95488721804497</c:v>
                </c:pt>
                <c:pt idx="447">
                  <c:v>651.95488721804497</c:v>
                </c:pt>
                <c:pt idx="448">
                  <c:v>639.62406015037584</c:v>
                </c:pt>
                <c:pt idx="449">
                  <c:v>641.42857142857133</c:v>
                </c:pt>
                <c:pt idx="450">
                  <c:v>636.39097744360902</c:v>
                </c:pt>
                <c:pt idx="451">
                  <c:v>636.39097744360902</c:v>
                </c:pt>
                <c:pt idx="452">
                  <c:v>636.39097744360902</c:v>
                </c:pt>
                <c:pt idx="453">
                  <c:v>643.15789473684208</c:v>
                </c:pt>
                <c:pt idx="454">
                  <c:v>620.60150375939861</c:v>
                </c:pt>
                <c:pt idx="455">
                  <c:v>626.76691729323306</c:v>
                </c:pt>
                <c:pt idx="456">
                  <c:v>629.5488721804511</c:v>
                </c:pt>
                <c:pt idx="457">
                  <c:v>612.25563909774439</c:v>
                </c:pt>
                <c:pt idx="458">
                  <c:v>612.25563909774439</c:v>
                </c:pt>
                <c:pt idx="459">
                  <c:v>612.25563909774439</c:v>
                </c:pt>
                <c:pt idx="460">
                  <c:v>615.33834586466162</c:v>
                </c:pt>
                <c:pt idx="461">
                  <c:v>611.12781954887214</c:v>
                </c:pt>
                <c:pt idx="462">
                  <c:v>586.39097744360902</c:v>
                </c:pt>
                <c:pt idx="463">
                  <c:v>624.96240601503757</c:v>
                </c:pt>
                <c:pt idx="464">
                  <c:v>645.71428571428567</c:v>
                </c:pt>
                <c:pt idx="465">
                  <c:v>645.71428571428567</c:v>
                </c:pt>
                <c:pt idx="466">
                  <c:v>645.71428571428567</c:v>
                </c:pt>
                <c:pt idx="467">
                  <c:v>624.06015037593988</c:v>
                </c:pt>
                <c:pt idx="468">
                  <c:v>611.65413533834578</c:v>
                </c:pt>
                <c:pt idx="469">
                  <c:v>575.78947368421052</c:v>
                </c:pt>
                <c:pt idx="470">
                  <c:v>561.65413533834578</c:v>
                </c:pt>
                <c:pt idx="471">
                  <c:v>566.09022556390971</c:v>
                </c:pt>
                <c:pt idx="472">
                  <c:v>566.09022556390971</c:v>
                </c:pt>
                <c:pt idx="473">
                  <c:v>566.09022556390971</c:v>
                </c:pt>
                <c:pt idx="474">
                  <c:v>586.61654135338347</c:v>
                </c:pt>
                <c:pt idx="475">
                  <c:v>574.43609022556393</c:v>
                </c:pt>
                <c:pt idx="476">
                  <c:v>593.08270676691723</c:v>
                </c:pt>
                <c:pt idx="477">
                  <c:v>618.27067669172925</c:v>
                </c:pt>
                <c:pt idx="478">
                  <c:v>616.24060150375931</c:v>
                </c:pt>
                <c:pt idx="479">
                  <c:v>616.24060150375931</c:v>
                </c:pt>
                <c:pt idx="480">
                  <c:v>616.24060150375931</c:v>
                </c:pt>
                <c:pt idx="481">
                  <c:v>597.14285714285711</c:v>
                </c:pt>
                <c:pt idx="482">
                  <c:v>595.48872180451133</c:v>
                </c:pt>
                <c:pt idx="483">
                  <c:v>613.23308270676694</c:v>
                </c:pt>
                <c:pt idx="484">
                  <c:v>616.54135338345861</c:v>
                </c:pt>
                <c:pt idx="485">
                  <c:v>625.33834586466162</c:v>
                </c:pt>
                <c:pt idx="486">
                  <c:v>625.33834586466162</c:v>
                </c:pt>
                <c:pt idx="487">
                  <c:v>625.33834586466162</c:v>
                </c:pt>
                <c:pt idx="488">
                  <c:v>625.03759398496231</c:v>
                </c:pt>
                <c:pt idx="489">
                  <c:v>633.15789473684208</c:v>
                </c:pt>
                <c:pt idx="490">
                  <c:v>641.20300751879688</c:v>
                </c:pt>
                <c:pt idx="491">
                  <c:v>633.75939849624058</c:v>
                </c:pt>
                <c:pt idx="492">
                  <c:v>624.81203007518786</c:v>
                </c:pt>
                <c:pt idx="493">
                  <c:v>624.81203007518786</c:v>
                </c:pt>
                <c:pt idx="494">
                  <c:v>624.81203007518786</c:v>
                </c:pt>
                <c:pt idx="495">
                  <c:v>650.4511278195489</c:v>
                </c:pt>
                <c:pt idx="496">
                  <c:v>651.80451127819538</c:v>
                </c:pt>
                <c:pt idx="497">
                  <c:v>635.18796992481202</c:v>
                </c:pt>
                <c:pt idx="498">
                  <c:v>647.74436090225572</c:v>
                </c:pt>
                <c:pt idx="499">
                  <c:v>615.03759398496231</c:v>
                </c:pt>
                <c:pt idx="500">
                  <c:v>615.03759398496231</c:v>
                </c:pt>
                <c:pt idx="501">
                  <c:v>615.03759398496231</c:v>
                </c:pt>
                <c:pt idx="502">
                  <c:v>638.04511278195491</c:v>
                </c:pt>
                <c:pt idx="503">
                  <c:v>616.46616541353376</c:v>
                </c:pt>
                <c:pt idx="504">
                  <c:v>614.81203007518786</c:v>
                </c:pt>
                <c:pt idx="505">
                  <c:v>597.59398496240601</c:v>
                </c:pt>
                <c:pt idx="506">
                  <c:v>586.87969924812035</c:v>
                </c:pt>
                <c:pt idx="507">
                  <c:v>586.87969924812035</c:v>
                </c:pt>
                <c:pt idx="508">
                  <c:v>586.87969924812035</c:v>
                </c:pt>
                <c:pt idx="509">
                  <c:v>570.07518796992474</c:v>
                </c:pt>
                <c:pt idx="510">
                  <c:v>561.87969924812023</c:v>
                </c:pt>
                <c:pt idx="511">
                  <c:v>584.21052631578948</c:v>
                </c:pt>
                <c:pt idx="512">
                  <c:v>586.01503759398486</c:v>
                </c:pt>
                <c:pt idx="513">
                  <c:v>563.38345864661653</c:v>
                </c:pt>
                <c:pt idx="514">
                  <c:v>563.38345864661653</c:v>
                </c:pt>
                <c:pt idx="515">
                  <c:v>563.38345864661653</c:v>
                </c:pt>
                <c:pt idx="516">
                  <c:v>575.56390977443607</c:v>
                </c:pt>
                <c:pt idx="517">
                  <c:v>576.3909774436089</c:v>
                </c:pt>
                <c:pt idx="518">
                  <c:v>593.45864661654127</c:v>
                </c:pt>
                <c:pt idx="519">
                  <c:v>585.71428571428578</c:v>
                </c:pt>
                <c:pt idx="520">
                  <c:v>573.98496240601503</c:v>
                </c:pt>
                <c:pt idx="521">
                  <c:v>573.98496240601503</c:v>
                </c:pt>
                <c:pt idx="522">
                  <c:v>573.98496240601503</c:v>
                </c:pt>
                <c:pt idx="523">
                  <c:v>593.83458646616543</c:v>
                </c:pt>
                <c:pt idx="524">
                  <c:v>615.86466165413526</c:v>
                </c:pt>
                <c:pt idx="525">
                  <c:v>591.65413533834578</c:v>
                </c:pt>
                <c:pt idx="526">
                  <c:v>616.61654135338347</c:v>
                </c:pt>
                <c:pt idx="527">
                  <c:v>616.61654135338347</c:v>
                </c:pt>
                <c:pt idx="528">
                  <c:v>616.61654135338347</c:v>
                </c:pt>
                <c:pt idx="529">
                  <c:v>616.61654135338347</c:v>
                </c:pt>
                <c:pt idx="530">
                  <c:v>620.60150375939861</c:v>
                </c:pt>
                <c:pt idx="531">
                  <c:v>678.3458646616541</c:v>
                </c:pt>
                <c:pt idx="532">
                  <c:v>693.08270676691734</c:v>
                </c:pt>
                <c:pt idx="533">
                  <c:v>682.85714285714278</c:v>
                </c:pt>
                <c:pt idx="534">
                  <c:v>643.23308270676694</c:v>
                </c:pt>
                <c:pt idx="535">
                  <c:v>643.23308270676694</c:v>
                </c:pt>
                <c:pt idx="536">
                  <c:v>643.23308270676694</c:v>
                </c:pt>
                <c:pt idx="537">
                  <c:v>630.07518796992474</c:v>
                </c:pt>
                <c:pt idx="538">
                  <c:v>646.76691729323306</c:v>
                </c:pt>
                <c:pt idx="539">
                  <c:v>649.24812030075179</c:v>
                </c:pt>
                <c:pt idx="540">
                  <c:v>624.66165413533827</c:v>
                </c:pt>
                <c:pt idx="541">
                  <c:v>630.1503759398496</c:v>
                </c:pt>
                <c:pt idx="542">
                  <c:v>630.1503759398496</c:v>
                </c:pt>
                <c:pt idx="543">
                  <c:v>630.1503759398496</c:v>
                </c:pt>
                <c:pt idx="544">
                  <c:v>622.33082706766913</c:v>
                </c:pt>
                <c:pt idx="545">
                  <c:v>609.69924812030069</c:v>
                </c:pt>
                <c:pt idx="546">
                  <c:v>613.98496240601503</c:v>
                </c:pt>
                <c:pt idx="547">
                  <c:v>619.69924812030069</c:v>
                </c:pt>
                <c:pt idx="548">
                  <c:v>611.27819548872174</c:v>
                </c:pt>
                <c:pt idx="549">
                  <c:v>611.27819548872174</c:v>
                </c:pt>
                <c:pt idx="550">
                  <c:v>611.27819548872174</c:v>
                </c:pt>
                <c:pt idx="551">
                  <c:v>615.33834586466162</c:v>
                </c:pt>
                <c:pt idx="552">
                  <c:v>621.12781954887214</c:v>
                </c:pt>
                <c:pt idx="553">
                  <c:v>578.0451127819548</c:v>
                </c:pt>
                <c:pt idx="554">
                  <c:v>618.3458646616541</c:v>
                </c:pt>
                <c:pt idx="555">
                  <c:v>637.96992481202994</c:v>
                </c:pt>
                <c:pt idx="556">
                  <c:v>637.96992481202994</c:v>
                </c:pt>
                <c:pt idx="557">
                  <c:v>637.96992481202994</c:v>
                </c:pt>
                <c:pt idx="558">
                  <c:v>651.95488721804497</c:v>
                </c:pt>
                <c:pt idx="559">
                  <c:v>641.42857142857133</c:v>
                </c:pt>
                <c:pt idx="560">
                  <c:v>639.3984962406015</c:v>
                </c:pt>
                <c:pt idx="561">
                  <c:v>583.98496240601503</c:v>
                </c:pt>
                <c:pt idx="562">
                  <c:v>582.18045112781965</c:v>
                </c:pt>
                <c:pt idx="563">
                  <c:v>582.18045112781965</c:v>
                </c:pt>
                <c:pt idx="564">
                  <c:v>582.18045112781965</c:v>
                </c:pt>
                <c:pt idx="565">
                  <c:v>587.96992481203006</c:v>
                </c:pt>
                <c:pt idx="566">
                  <c:v>572.1052631578948</c:v>
                </c:pt>
                <c:pt idx="567">
                  <c:v>508.3458646616541</c:v>
                </c:pt>
                <c:pt idx="568">
                  <c:v>518.57142857142856</c:v>
                </c:pt>
                <c:pt idx="569">
                  <c:v>521.80451127819549</c:v>
                </c:pt>
                <c:pt idx="570">
                  <c:v>521.80451127819549</c:v>
                </c:pt>
                <c:pt idx="571">
                  <c:v>521.80451127819549</c:v>
                </c:pt>
                <c:pt idx="572">
                  <c:v>447.89473684210526</c:v>
                </c:pt>
                <c:pt idx="573">
                  <c:v>464.58646616541347</c:v>
                </c:pt>
                <c:pt idx="574">
                  <c:v>428.57142857142856</c:v>
                </c:pt>
                <c:pt idx="575">
                  <c:v>432.03007518796994</c:v>
                </c:pt>
                <c:pt idx="576">
                  <c:v>413.83458646616538</c:v>
                </c:pt>
                <c:pt idx="577">
                  <c:v>413.83458646616538</c:v>
                </c:pt>
                <c:pt idx="578">
                  <c:v>413.83458646616538</c:v>
                </c:pt>
                <c:pt idx="579">
                  <c:v>412.93233082706769</c:v>
                </c:pt>
                <c:pt idx="580">
                  <c:v>416.09022556390977</c:v>
                </c:pt>
                <c:pt idx="581">
                  <c:v>411.42857142857139</c:v>
                </c:pt>
                <c:pt idx="582">
                  <c:v>402.93233082706763</c:v>
                </c:pt>
                <c:pt idx="583">
                  <c:v>420.1503759398496</c:v>
                </c:pt>
                <c:pt idx="584">
                  <c:v>420.1503759398496</c:v>
                </c:pt>
                <c:pt idx="585">
                  <c:v>420.1503759398496</c:v>
                </c:pt>
                <c:pt idx="586">
                  <c:v>430.48872180451127</c:v>
                </c:pt>
                <c:pt idx="587">
                  <c:v>401.72932330827064</c:v>
                </c:pt>
                <c:pt idx="588">
                  <c:v>397.96992481203006</c:v>
                </c:pt>
                <c:pt idx="589">
                  <c:v>401.50375939849619</c:v>
                </c:pt>
                <c:pt idx="590">
                  <c:v>393.53383458646618</c:v>
                </c:pt>
                <c:pt idx="591">
                  <c:v>393.53383458646618</c:v>
                </c:pt>
                <c:pt idx="592">
                  <c:v>393.53383458646618</c:v>
                </c:pt>
                <c:pt idx="593">
                  <c:v>393.53383458646618</c:v>
                </c:pt>
                <c:pt idx="594">
                  <c:v>395.33834586466162</c:v>
                </c:pt>
                <c:pt idx="595">
                  <c:v>395.56390977443607</c:v>
                </c:pt>
                <c:pt idx="596">
                  <c:v>378.04511278195491</c:v>
                </c:pt>
                <c:pt idx="597">
                  <c:v>376.69172932330827</c:v>
                </c:pt>
                <c:pt idx="598">
                  <c:v>376.69172932330827</c:v>
                </c:pt>
                <c:pt idx="599">
                  <c:v>376.69172932330827</c:v>
                </c:pt>
                <c:pt idx="600">
                  <c:v>390.45112781954884</c:v>
                </c:pt>
                <c:pt idx="601">
                  <c:v>393.90977443609023</c:v>
                </c:pt>
                <c:pt idx="602">
                  <c:v>405.93984962406012</c:v>
                </c:pt>
                <c:pt idx="603">
                  <c:v>411.72932330827064</c:v>
                </c:pt>
                <c:pt idx="604">
                  <c:v>407.74436090225555</c:v>
                </c:pt>
                <c:pt idx="605">
                  <c:v>407.74436090225555</c:v>
                </c:pt>
                <c:pt idx="606">
                  <c:v>407.74436090225555</c:v>
                </c:pt>
                <c:pt idx="607">
                  <c:v>406.31578947368416</c:v>
                </c:pt>
                <c:pt idx="608">
                  <c:v>410.1503759398496</c:v>
                </c:pt>
                <c:pt idx="609">
                  <c:v>409.4736842105263</c:v>
                </c:pt>
                <c:pt idx="610">
                  <c:v>411.12781954887214</c:v>
                </c:pt>
                <c:pt idx="611">
                  <c:v>402.25563909774434</c:v>
                </c:pt>
                <c:pt idx="612">
                  <c:v>402.25563909774434</c:v>
                </c:pt>
                <c:pt idx="613">
                  <c:v>402.25563909774434</c:v>
                </c:pt>
                <c:pt idx="614">
                  <c:v>397.21804511278197</c:v>
                </c:pt>
                <c:pt idx="615">
                  <c:v>431.87969924812029</c:v>
                </c:pt>
                <c:pt idx="616">
                  <c:v>423.98496240601497</c:v>
                </c:pt>
                <c:pt idx="617">
                  <c:v>398.27067669172931</c:v>
                </c:pt>
                <c:pt idx="618">
                  <c:v>399.24812030075185</c:v>
                </c:pt>
                <c:pt idx="619">
                  <c:v>399.24812030075185</c:v>
                </c:pt>
                <c:pt idx="620">
                  <c:v>399.24812030075185</c:v>
                </c:pt>
                <c:pt idx="621">
                  <c:v>395.71428571428572</c:v>
                </c:pt>
                <c:pt idx="622">
                  <c:v>396.46616541353382</c:v>
                </c:pt>
                <c:pt idx="623">
                  <c:v>402.55639097744364</c:v>
                </c:pt>
                <c:pt idx="624">
                  <c:v>403.23308270676694</c:v>
                </c:pt>
                <c:pt idx="625">
                  <c:v>404.51127819548873</c:v>
                </c:pt>
                <c:pt idx="626">
                  <c:v>404.51127819548873</c:v>
                </c:pt>
                <c:pt idx="627">
                  <c:v>404.51127819548873</c:v>
                </c:pt>
                <c:pt idx="628">
                  <c:v>389.02255639097746</c:v>
                </c:pt>
                <c:pt idx="629">
                  <c:v>396.54135338345867</c:v>
                </c:pt>
                <c:pt idx="630">
                  <c:v>399.92481203007515</c:v>
                </c:pt>
                <c:pt idx="631">
                  <c:v>414.81203007518798</c:v>
                </c:pt>
                <c:pt idx="632">
                  <c:v>414.81203007518798</c:v>
                </c:pt>
                <c:pt idx="633">
                  <c:v>414.81203007518798</c:v>
                </c:pt>
                <c:pt idx="634">
                  <c:v>414.81203007518798</c:v>
                </c:pt>
                <c:pt idx="635">
                  <c:v>410.90225563909775</c:v>
                </c:pt>
                <c:pt idx="636">
                  <c:v>423.98496240601497</c:v>
                </c:pt>
                <c:pt idx="637">
                  <c:v>417.06766917293231</c:v>
                </c:pt>
                <c:pt idx="638">
                  <c:v>410.45112781954884</c:v>
                </c:pt>
                <c:pt idx="639">
                  <c:v>407.51879699248121</c:v>
                </c:pt>
                <c:pt idx="640">
                  <c:v>407.51879699248121</c:v>
                </c:pt>
                <c:pt idx="641">
                  <c:v>407.51879699248121</c:v>
                </c:pt>
                <c:pt idx="642">
                  <c:v>409.84962406015029</c:v>
                </c:pt>
                <c:pt idx="643">
                  <c:v>392.33082706766913</c:v>
                </c:pt>
                <c:pt idx="644">
                  <c:v>404.21052631578942</c:v>
                </c:pt>
                <c:pt idx="645">
                  <c:v>419.09774436090225</c:v>
                </c:pt>
                <c:pt idx="646">
                  <c:v>399.92481203007515</c:v>
                </c:pt>
                <c:pt idx="647">
                  <c:v>399.92481203007515</c:v>
                </c:pt>
                <c:pt idx="648">
                  <c:v>399.92481203007515</c:v>
                </c:pt>
                <c:pt idx="649">
                  <c:v>390.6015037593985</c:v>
                </c:pt>
                <c:pt idx="650">
                  <c:v>392.18045112781954</c:v>
                </c:pt>
                <c:pt idx="651">
                  <c:v>392.40601503759393</c:v>
                </c:pt>
                <c:pt idx="652">
                  <c:v>395.18796992481202</c:v>
                </c:pt>
                <c:pt idx="653">
                  <c:v>375.03759398496237</c:v>
                </c:pt>
                <c:pt idx="654">
                  <c:v>375.03759398496237</c:v>
                </c:pt>
                <c:pt idx="655">
                  <c:v>375.03759398496237</c:v>
                </c:pt>
                <c:pt idx="656">
                  <c:v>393.90977443609023</c:v>
                </c:pt>
                <c:pt idx="657">
                  <c:v>403.45864661654127</c:v>
                </c:pt>
                <c:pt idx="658">
                  <c:v>417.3684210526315</c:v>
                </c:pt>
                <c:pt idx="659">
                  <c:v>424.73684210526318</c:v>
                </c:pt>
                <c:pt idx="660">
                  <c:v>422.40601503759399</c:v>
                </c:pt>
                <c:pt idx="661">
                  <c:v>422.40601503759399</c:v>
                </c:pt>
                <c:pt idx="662">
                  <c:v>422.40601503759399</c:v>
                </c:pt>
                <c:pt idx="663">
                  <c:v>420.30075187969925</c:v>
                </c:pt>
                <c:pt idx="664">
                  <c:v>420.4511278195489</c:v>
                </c:pt>
                <c:pt idx="665">
                  <c:v>397.89473684210526</c:v>
                </c:pt>
                <c:pt idx="666">
                  <c:v>428.3458646616541</c:v>
                </c:pt>
                <c:pt idx="667">
                  <c:v>425.56390977443607</c:v>
                </c:pt>
                <c:pt idx="668">
                  <c:v>425.56390977443607</c:v>
                </c:pt>
                <c:pt idx="669">
                  <c:v>425.56390977443607</c:v>
                </c:pt>
                <c:pt idx="670">
                  <c:v>428.19548872180457</c:v>
                </c:pt>
                <c:pt idx="671">
                  <c:v>413.45864661654133</c:v>
                </c:pt>
                <c:pt idx="672">
                  <c:v>413.00751879699249</c:v>
                </c:pt>
                <c:pt idx="673">
                  <c:v>383.00751879699243</c:v>
                </c:pt>
                <c:pt idx="674">
                  <c:v>363.75939849624064</c:v>
                </c:pt>
                <c:pt idx="675">
                  <c:v>363.75939849624064</c:v>
                </c:pt>
                <c:pt idx="676">
                  <c:v>363.75939849624064</c:v>
                </c:pt>
                <c:pt idx="677">
                  <c:v>363.75939849624064</c:v>
                </c:pt>
                <c:pt idx="678">
                  <c:v>366.84210526315786</c:v>
                </c:pt>
                <c:pt idx="679">
                  <c:v>357.59398496240601</c:v>
                </c:pt>
                <c:pt idx="680">
                  <c:v>357.29323308270676</c:v>
                </c:pt>
                <c:pt idx="681">
                  <c:v>320.22556390977445</c:v>
                </c:pt>
                <c:pt idx="682">
                  <c:v>320.22556390977445</c:v>
                </c:pt>
                <c:pt idx="683">
                  <c:v>320.22556390977445</c:v>
                </c:pt>
                <c:pt idx="684">
                  <c:v>334.51127819548873</c:v>
                </c:pt>
                <c:pt idx="685">
                  <c:v>328.27067669172931</c:v>
                </c:pt>
                <c:pt idx="686">
                  <c:v>341.95488721804509</c:v>
                </c:pt>
                <c:pt idx="687">
                  <c:v>359.84962406015035</c:v>
                </c:pt>
                <c:pt idx="688">
                  <c:v>350.22556390977439</c:v>
                </c:pt>
                <c:pt idx="689">
                  <c:v>350.22556390977439</c:v>
                </c:pt>
                <c:pt idx="690">
                  <c:v>350.22556390977439</c:v>
                </c:pt>
                <c:pt idx="691">
                  <c:v>357.14285714285711</c:v>
                </c:pt>
                <c:pt idx="692">
                  <c:v>335.56390977443613</c:v>
                </c:pt>
                <c:pt idx="693">
                  <c:v>347.51879699248116</c:v>
                </c:pt>
                <c:pt idx="694">
                  <c:v>313.08270676691728</c:v>
                </c:pt>
                <c:pt idx="695">
                  <c:v>297.81954887218041</c:v>
                </c:pt>
                <c:pt idx="696">
                  <c:v>297.81954887218041</c:v>
                </c:pt>
                <c:pt idx="697">
                  <c:v>297.81954887218041</c:v>
                </c:pt>
                <c:pt idx="698">
                  <c:v>299.3984962406015</c:v>
                </c:pt>
                <c:pt idx="699">
                  <c:v>294.13533834586462</c:v>
                </c:pt>
                <c:pt idx="700">
                  <c:v>314.88721804511277</c:v>
                </c:pt>
                <c:pt idx="701">
                  <c:v>291.05263157894734</c:v>
                </c:pt>
                <c:pt idx="702">
                  <c:v>330.07518796992474</c:v>
                </c:pt>
                <c:pt idx="703">
                  <c:v>330.07518796992474</c:v>
                </c:pt>
                <c:pt idx="704">
                  <c:v>330.07518796992474</c:v>
                </c:pt>
                <c:pt idx="705">
                  <c:v>293.30827067669173</c:v>
                </c:pt>
                <c:pt idx="706">
                  <c:v>343.60902255639098</c:v>
                </c:pt>
                <c:pt idx="707">
                  <c:v>341.20300751879699</c:v>
                </c:pt>
                <c:pt idx="708">
                  <c:v>325.33834586466168</c:v>
                </c:pt>
                <c:pt idx="709">
                  <c:v>365.33834586466168</c:v>
                </c:pt>
                <c:pt idx="710">
                  <c:v>365.33834586466168</c:v>
                </c:pt>
                <c:pt idx="711">
                  <c:v>365.33834586466168</c:v>
                </c:pt>
                <c:pt idx="712">
                  <c:v>361.72932330827064</c:v>
                </c:pt>
                <c:pt idx="713">
                  <c:v>376.76691729323306</c:v>
                </c:pt>
                <c:pt idx="714">
                  <c:v>351.50375939849619</c:v>
                </c:pt>
                <c:pt idx="715">
                  <c:v>356.84210526315792</c:v>
                </c:pt>
                <c:pt idx="716">
                  <c:v>341.95488721804509</c:v>
                </c:pt>
                <c:pt idx="717">
                  <c:v>341.95488721804509</c:v>
                </c:pt>
                <c:pt idx="718">
                  <c:v>341.95488721804509</c:v>
                </c:pt>
                <c:pt idx="719">
                  <c:v>330.90225563909769</c:v>
                </c:pt>
                <c:pt idx="720">
                  <c:v>357.06766917293231</c:v>
                </c:pt>
                <c:pt idx="721">
                  <c:v>357.66917293233081</c:v>
                </c:pt>
                <c:pt idx="722">
                  <c:v>369.32330827067665</c:v>
                </c:pt>
                <c:pt idx="723">
                  <c:v>400.60150375939844</c:v>
                </c:pt>
                <c:pt idx="724">
                  <c:v>400.60150375939844</c:v>
                </c:pt>
                <c:pt idx="725">
                  <c:v>400.60150375939844</c:v>
                </c:pt>
                <c:pt idx="726">
                  <c:v>430.6015037593985</c:v>
                </c:pt>
                <c:pt idx="727">
                  <c:v>442.85714285714278</c:v>
                </c:pt>
                <c:pt idx="728">
                  <c:v>427.74436090225561</c:v>
                </c:pt>
                <c:pt idx="729">
                  <c:v>415.86466165413532</c:v>
                </c:pt>
                <c:pt idx="730">
                  <c:v>415.86466165413532</c:v>
                </c:pt>
                <c:pt idx="731">
                  <c:v>415.86466165413532</c:v>
                </c:pt>
                <c:pt idx="732">
                  <c:v>415.86466165413532</c:v>
                </c:pt>
                <c:pt idx="733">
                  <c:v>409.99999999999994</c:v>
                </c:pt>
                <c:pt idx="734">
                  <c:v>405.18796992481202</c:v>
                </c:pt>
                <c:pt idx="735">
                  <c:v>404.51127819548873</c:v>
                </c:pt>
                <c:pt idx="736">
                  <c:v>392.93233082706763</c:v>
                </c:pt>
                <c:pt idx="737">
                  <c:v>373.90977443609017</c:v>
                </c:pt>
                <c:pt idx="738">
                  <c:v>373.90977443609017</c:v>
                </c:pt>
                <c:pt idx="739">
                  <c:v>373.90977443609017</c:v>
                </c:pt>
                <c:pt idx="740">
                  <c:v>370.82706766917289</c:v>
                </c:pt>
                <c:pt idx="741">
                  <c:v>374.73684210526318</c:v>
                </c:pt>
                <c:pt idx="742">
                  <c:v>371.80451127819549</c:v>
                </c:pt>
                <c:pt idx="743">
                  <c:v>361.0526315789474</c:v>
                </c:pt>
                <c:pt idx="744">
                  <c:v>353.38345864661653</c:v>
                </c:pt>
                <c:pt idx="745">
                  <c:v>353.38345864661653</c:v>
                </c:pt>
                <c:pt idx="746">
                  <c:v>353.38345864661653</c:v>
                </c:pt>
                <c:pt idx="747">
                  <c:v>366.76691729323306</c:v>
                </c:pt>
                <c:pt idx="748">
                  <c:v>357.21804511278191</c:v>
                </c:pt>
                <c:pt idx="749">
                  <c:v>379.92481203007515</c:v>
                </c:pt>
                <c:pt idx="750">
                  <c:v>370.37593984962405</c:v>
                </c:pt>
                <c:pt idx="751">
                  <c:v>378.57142857142856</c:v>
                </c:pt>
                <c:pt idx="752">
                  <c:v>378.57142857142856</c:v>
                </c:pt>
                <c:pt idx="753">
                  <c:v>378.57142857142856</c:v>
                </c:pt>
                <c:pt idx="754">
                  <c:v>388.79699248120301</c:v>
                </c:pt>
                <c:pt idx="755">
                  <c:v>386.69172932330827</c:v>
                </c:pt>
                <c:pt idx="756">
                  <c:v>383.83458646616538</c:v>
                </c:pt>
                <c:pt idx="757">
                  <c:v>382.93233082706763</c:v>
                </c:pt>
                <c:pt idx="758">
                  <c:v>382.93233082706763</c:v>
                </c:pt>
                <c:pt idx="759">
                  <c:v>382.93233082706763</c:v>
                </c:pt>
                <c:pt idx="760">
                  <c:v>382.93233082706763</c:v>
                </c:pt>
                <c:pt idx="761">
                  <c:v>374.21052631578948</c:v>
                </c:pt>
                <c:pt idx="762">
                  <c:v>365</c:v>
                </c:pt>
                <c:pt idx="763">
                  <c:v>362.48120300751879</c:v>
                </c:pt>
                <c:pt idx="764">
                  <c:v>366.50375939849619</c:v>
                </c:pt>
                <c:pt idx="765">
                  <c:v>362.14285714285711</c:v>
                </c:pt>
                <c:pt idx="766">
                  <c:v>362.14285714285711</c:v>
                </c:pt>
                <c:pt idx="767">
                  <c:v>362.14285714285711</c:v>
                </c:pt>
                <c:pt idx="768">
                  <c:v>368.19548872180451</c:v>
                </c:pt>
                <c:pt idx="769">
                  <c:v>359.6240601503759</c:v>
                </c:pt>
                <c:pt idx="770">
                  <c:v>362.78195488721803</c:v>
                </c:pt>
                <c:pt idx="771">
                  <c:v>363.83458646616538</c:v>
                </c:pt>
                <c:pt idx="772">
                  <c:v>365.41353383458647</c:v>
                </c:pt>
                <c:pt idx="773">
                  <c:v>365.41353383458647</c:v>
                </c:pt>
                <c:pt idx="774">
                  <c:v>365.41353383458647</c:v>
                </c:pt>
                <c:pt idx="775">
                  <c:v>369.17293233082705</c:v>
                </c:pt>
                <c:pt idx="776">
                  <c:v>344.81203007518792</c:v>
                </c:pt>
                <c:pt idx="777">
                  <c:v>344.81203007518792</c:v>
                </c:pt>
                <c:pt idx="778">
                  <c:v>342.25563909774434</c:v>
                </c:pt>
                <c:pt idx="779">
                  <c:v>347.21804511278197</c:v>
                </c:pt>
                <c:pt idx="780">
                  <c:v>347.21804511278197</c:v>
                </c:pt>
                <c:pt idx="781">
                  <c:v>347.21804511278197</c:v>
                </c:pt>
                <c:pt idx="782">
                  <c:v>350.6015037593985</c:v>
                </c:pt>
                <c:pt idx="783">
                  <c:v>349.92481203007515</c:v>
                </c:pt>
                <c:pt idx="784">
                  <c:v>349.92481203007515</c:v>
                </c:pt>
                <c:pt idx="785">
                  <c:v>341.80451127819549</c:v>
                </c:pt>
                <c:pt idx="786">
                  <c:v>331.95488721804509</c:v>
                </c:pt>
                <c:pt idx="787">
                  <c:v>331.95488721804509</c:v>
                </c:pt>
                <c:pt idx="788">
                  <c:v>331.95488721804509</c:v>
                </c:pt>
                <c:pt idx="789">
                  <c:v>322.03007518796989</c:v>
                </c:pt>
                <c:pt idx="790">
                  <c:v>318.04511278195486</c:v>
                </c:pt>
                <c:pt idx="791">
                  <c:v>321.57894736842104</c:v>
                </c:pt>
                <c:pt idx="792">
                  <c:v>318.42105263157896</c:v>
                </c:pt>
                <c:pt idx="793">
                  <c:v>309.39849624060145</c:v>
                </c:pt>
                <c:pt idx="794">
                  <c:v>309.39849624060145</c:v>
                </c:pt>
                <c:pt idx="795">
                  <c:v>309.39849624060145</c:v>
                </c:pt>
                <c:pt idx="796">
                  <c:v>320.22556390977445</c:v>
                </c:pt>
                <c:pt idx="797">
                  <c:v>296.76691729323306</c:v>
                </c:pt>
                <c:pt idx="798">
                  <c:v>296.54135338345861</c:v>
                </c:pt>
                <c:pt idx="799">
                  <c:v>292.70676691729324</c:v>
                </c:pt>
                <c:pt idx="800">
                  <c:v>297.96992481203006</c:v>
                </c:pt>
                <c:pt idx="801">
                  <c:v>297.96992481203006</c:v>
                </c:pt>
                <c:pt idx="802">
                  <c:v>297.96992481203006</c:v>
                </c:pt>
                <c:pt idx="803">
                  <c:v>297.8947368421052</c:v>
                </c:pt>
                <c:pt idx="804">
                  <c:v>298.4210526315789</c:v>
                </c:pt>
                <c:pt idx="805">
                  <c:v>292.48120300751879</c:v>
                </c:pt>
                <c:pt idx="806">
                  <c:v>291.20300751879699</c:v>
                </c:pt>
                <c:pt idx="807">
                  <c:v>294.36090225563908</c:v>
                </c:pt>
                <c:pt idx="808">
                  <c:v>294.36090225563908</c:v>
                </c:pt>
                <c:pt idx="809">
                  <c:v>294.36090225563908</c:v>
                </c:pt>
                <c:pt idx="810">
                  <c:v>296.31578947368416</c:v>
                </c:pt>
                <c:pt idx="811">
                  <c:v>296.31578947368416</c:v>
                </c:pt>
                <c:pt idx="812">
                  <c:v>293.15789473684208</c:v>
                </c:pt>
                <c:pt idx="813">
                  <c:v>299.17293233082705</c:v>
                </c:pt>
                <c:pt idx="814">
                  <c:v>294.36090225563908</c:v>
                </c:pt>
                <c:pt idx="815">
                  <c:v>294.36090225563908</c:v>
                </c:pt>
                <c:pt idx="816">
                  <c:v>294.36090225563908</c:v>
                </c:pt>
                <c:pt idx="817">
                  <c:v>297.14285714285717</c:v>
                </c:pt>
                <c:pt idx="818">
                  <c:v>308.12030075187965</c:v>
                </c:pt>
                <c:pt idx="819">
                  <c:v>310.45112781954884</c:v>
                </c:pt>
                <c:pt idx="820">
                  <c:v>299.8496240601504</c:v>
                </c:pt>
                <c:pt idx="821">
                  <c:v>289.9248120300752</c:v>
                </c:pt>
                <c:pt idx="822">
                  <c:v>289.9248120300752</c:v>
                </c:pt>
                <c:pt idx="823">
                  <c:v>289.9248120300752</c:v>
                </c:pt>
                <c:pt idx="824">
                  <c:v>288.3458646616541</c:v>
                </c:pt>
                <c:pt idx="825">
                  <c:v>282.10526315789474</c:v>
                </c:pt>
                <c:pt idx="826">
                  <c:v>276.01503759398491</c:v>
                </c:pt>
                <c:pt idx="827">
                  <c:v>273.00751879699249</c:v>
                </c:pt>
                <c:pt idx="828">
                  <c:v>272.85714285714283</c:v>
                </c:pt>
                <c:pt idx="829">
                  <c:v>272.85714285714283</c:v>
                </c:pt>
                <c:pt idx="830">
                  <c:v>272.85714285714283</c:v>
                </c:pt>
                <c:pt idx="831">
                  <c:v>272.78195488721803</c:v>
                </c:pt>
                <c:pt idx="832">
                  <c:v>270.15037593984965</c:v>
                </c:pt>
                <c:pt idx="833">
                  <c:v>271.80451127819543</c:v>
                </c:pt>
                <c:pt idx="834">
                  <c:v>272.85714285714283</c:v>
                </c:pt>
                <c:pt idx="835">
                  <c:v>262.33082706766913</c:v>
                </c:pt>
                <c:pt idx="836">
                  <c:v>262.33082706766913</c:v>
                </c:pt>
                <c:pt idx="837">
                  <c:v>262.33082706766913</c:v>
                </c:pt>
                <c:pt idx="838">
                  <c:v>255.1127819548872</c:v>
                </c:pt>
                <c:pt idx="839">
                  <c:v>249.09774436090225</c:v>
                </c:pt>
                <c:pt idx="840">
                  <c:v>248.34586466165413</c:v>
                </c:pt>
                <c:pt idx="841">
                  <c:v>253.30827067669168</c:v>
                </c:pt>
                <c:pt idx="842">
                  <c:v>245.93984962406012</c:v>
                </c:pt>
                <c:pt idx="843">
                  <c:v>245.93984962406012</c:v>
                </c:pt>
                <c:pt idx="844">
                  <c:v>245.93984962406012</c:v>
                </c:pt>
                <c:pt idx="845">
                  <c:v>238.49624060150373</c:v>
                </c:pt>
                <c:pt idx="846">
                  <c:v>235.78947368421049</c:v>
                </c:pt>
                <c:pt idx="847">
                  <c:v>236.91729323308272</c:v>
                </c:pt>
                <c:pt idx="848">
                  <c:v>240.82706766917292</c:v>
                </c:pt>
                <c:pt idx="849">
                  <c:v>232.85714285714283</c:v>
                </c:pt>
                <c:pt idx="850">
                  <c:v>232.85714285714283</c:v>
                </c:pt>
                <c:pt idx="851">
                  <c:v>232.85714285714283</c:v>
                </c:pt>
                <c:pt idx="852">
                  <c:v>234.13533834586465</c:v>
                </c:pt>
                <c:pt idx="853">
                  <c:v>231.65413533834584</c:v>
                </c:pt>
                <c:pt idx="854">
                  <c:v>230.97744360902252</c:v>
                </c:pt>
                <c:pt idx="855">
                  <c:v>229.5488721804511</c:v>
                </c:pt>
                <c:pt idx="856">
                  <c:v>223.68421052631581</c:v>
                </c:pt>
                <c:pt idx="857">
                  <c:v>223.68421052631581</c:v>
                </c:pt>
                <c:pt idx="858">
                  <c:v>223.68421052631581</c:v>
                </c:pt>
                <c:pt idx="859">
                  <c:v>213.38345864661653</c:v>
                </c:pt>
                <c:pt idx="860">
                  <c:v>213.984962406015</c:v>
                </c:pt>
                <c:pt idx="861">
                  <c:v>212.25563909774436</c:v>
                </c:pt>
                <c:pt idx="862">
                  <c:v>217.51879699248119</c:v>
                </c:pt>
                <c:pt idx="863">
                  <c:v>218.12030075187971</c:v>
                </c:pt>
                <c:pt idx="864">
                  <c:v>218.12030075187971</c:v>
                </c:pt>
                <c:pt idx="865">
                  <c:v>218.12030075187971</c:v>
                </c:pt>
                <c:pt idx="866">
                  <c:v>215.63909774436087</c:v>
                </c:pt>
                <c:pt idx="867">
                  <c:v>212.85714285714286</c:v>
                </c:pt>
                <c:pt idx="868">
                  <c:v>216.24060150375942</c:v>
                </c:pt>
                <c:pt idx="869">
                  <c:v>217.96992481203006</c:v>
                </c:pt>
                <c:pt idx="870">
                  <c:v>215.93984962406014</c:v>
                </c:pt>
                <c:pt idx="871">
                  <c:v>215.93984962406014</c:v>
                </c:pt>
                <c:pt idx="872">
                  <c:v>215.93984962406014</c:v>
                </c:pt>
                <c:pt idx="873">
                  <c:v>221.57894736842104</c:v>
                </c:pt>
                <c:pt idx="874">
                  <c:v>222.10526315789471</c:v>
                </c:pt>
                <c:pt idx="875">
                  <c:v>221.95488721804512</c:v>
                </c:pt>
                <c:pt idx="876">
                  <c:v>230.37593984962405</c:v>
                </c:pt>
                <c:pt idx="877">
                  <c:v>225.93984962406014</c:v>
                </c:pt>
                <c:pt idx="878">
                  <c:v>225.93984962406014</c:v>
                </c:pt>
                <c:pt idx="879">
                  <c:v>225.93984962406014</c:v>
                </c:pt>
                <c:pt idx="880">
                  <c:v>227.74436090225564</c:v>
                </c:pt>
                <c:pt idx="881">
                  <c:v>228.72180451127821</c:v>
                </c:pt>
                <c:pt idx="882">
                  <c:v>233.00751879699243</c:v>
                </c:pt>
                <c:pt idx="883">
                  <c:v>231.80451127819546</c:v>
                </c:pt>
                <c:pt idx="884">
                  <c:v>230.75187969924812</c:v>
                </c:pt>
                <c:pt idx="885">
                  <c:v>230.75187969924812</c:v>
                </c:pt>
                <c:pt idx="886">
                  <c:v>230.75187969924812</c:v>
                </c:pt>
                <c:pt idx="887">
                  <c:v>227.14285714285714</c:v>
                </c:pt>
                <c:pt idx="888">
                  <c:v>223.75939849624058</c:v>
                </c:pt>
                <c:pt idx="889">
                  <c:v>227.29323308270673</c:v>
                </c:pt>
                <c:pt idx="890">
                  <c:v>229.32330827067665</c:v>
                </c:pt>
                <c:pt idx="891">
                  <c:v>229.77443609022555</c:v>
                </c:pt>
                <c:pt idx="892">
                  <c:v>229.77443609022555</c:v>
                </c:pt>
                <c:pt idx="893">
                  <c:v>229.77443609022555</c:v>
                </c:pt>
                <c:pt idx="894">
                  <c:v>236.84210526315786</c:v>
                </c:pt>
                <c:pt idx="895">
                  <c:v>232.70676691729321</c:v>
                </c:pt>
                <c:pt idx="896">
                  <c:v>232.33082706766916</c:v>
                </c:pt>
                <c:pt idx="897">
                  <c:v>236.46616541353382</c:v>
                </c:pt>
                <c:pt idx="898">
                  <c:v>236.46616541353382</c:v>
                </c:pt>
                <c:pt idx="899">
                  <c:v>236.46616541353382</c:v>
                </c:pt>
                <c:pt idx="900">
                  <c:v>236.46616541353382</c:v>
                </c:pt>
                <c:pt idx="901">
                  <c:v>236.46616541353382</c:v>
                </c:pt>
                <c:pt idx="902">
                  <c:v>231.42857142857142</c:v>
                </c:pt>
                <c:pt idx="903">
                  <c:v>227.06766917293231</c:v>
                </c:pt>
                <c:pt idx="904">
                  <c:v>227.66917293233084</c:v>
                </c:pt>
                <c:pt idx="905">
                  <c:v>222.10526315789471</c:v>
                </c:pt>
                <c:pt idx="906">
                  <c:v>222.10526315789471</c:v>
                </c:pt>
                <c:pt idx="907">
                  <c:v>222.10526315789471</c:v>
                </c:pt>
                <c:pt idx="908">
                  <c:v>239.84962406015035</c:v>
                </c:pt>
                <c:pt idx="909">
                  <c:v>238.34586466165413</c:v>
                </c:pt>
                <c:pt idx="910">
                  <c:v>230.97744360902252</c:v>
                </c:pt>
                <c:pt idx="911">
                  <c:v>236.69172932330827</c:v>
                </c:pt>
                <c:pt idx="912">
                  <c:v>234.4360902255639</c:v>
                </c:pt>
                <c:pt idx="913">
                  <c:v>234.4360902255639</c:v>
                </c:pt>
                <c:pt idx="914">
                  <c:v>234.4360902255639</c:v>
                </c:pt>
                <c:pt idx="915">
                  <c:v>223.08270676691731</c:v>
                </c:pt>
                <c:pt idx="916">
                  <c:v>227.36842105263156</c:v>
                </c:pt>
                <c:pt idx="917">
                  <c:v>241.42857142857142</c:v>
                </c:pt>
                <c:pt idx="918">
                  <c:v>243.83458646616538</c:v>
                </c:pt>
                <c:pt idx="919">
                  <c:v>257.06766917293231</c:v>
                </c:pt>
                <c:pt idx="920">
                  <c:v>257.06766917293231</c:v>
                </c:pt>
                <c:pt idx="921">
                  <c:v>257.06766917293231</c:v>
                </c:pt>
                <c:pt idx="922">
                  <c:v>255.03759398496243</c:v>
                </c:pt>
                <c:pt idx="923">
                  <c:v>219.4736842105263</c:v>
                </c:pt>
                <c:pt idx="924">
                  <c:v>216.99248120300751</c:v>
                </c:pt>
                <c:pt idx="925">
                  <c:v>210.45112781954884</c:v>
                </c:pt>
                <c:pt idx="926">
                  <c:v>221.35338345864662</c:v>
                </c:pt>
                <c:pt idx="927">
                  <c:v>221.35338345864662</c:v>
                </c:pt>
                <c:pt idx="928">
                  <c:v>221.35338345864662</c:v>
                </c:pt>
                <c:pt idx="929">
                  <c:v>224.51127819548867</c:v>
                </c:pt>
                <c:pt idx="930">
                  <c:v>228.9473684210526</c:v>
                </c:pt>
                <c:pt idx="931">
                  <c:v>254.66165413533832</c:v>
                </c:pt>
                <c:pt idx="932">
                  <c:v>251.72932330827064</c:v>
                </c:pt>
                <c:pt idx="933">
                  <c:v>255.78947368421052</c:v>
                </c:pt>
                <c:pt idx="934">
                  <c:v>255.78947368421052</c:v>
                </c:pt>
                <c:pt idx="935">
                  <c:v>255.78947368421052</c:v>
                </c:pt>
                <c:pt idx="936">
                  <c:v>253.15789473684211</c:v>
                </c:pt>
                <c:pt idx="937">
                  <c:v>256.46616541353382</c:v>
                </c:pt>
                <c:pt idx="938">
                  <c:v>251.80451127819546</c:v>
                </c:pt>
                <c:pt idx="939">
                  <c:v>246.99248120300749</c:v>
                </c:pt>
                <c:pt idx="940">
                  <c:v>244.43609022556387</c:v>
                </c:pt>
                <c:pt idx="941">
                  <c:v>244.43609022556387</c:v>
                </c:pt>
                <c:pt idx="942">
                  <c:v>244.43609022556387</c:v>
                </c:pt>
                <c:pt idx="943">
                  <c:v>248.12030075187971</c:v>
                </c:pt>
                <c:pt idx="944">
                  <c:v>252.63157894736841</c:v>
                </c:pt>
                <c:pt idx="945">
                  <c:v>254.5112781954887</c:v>
                </c:pt>
                <c:pt idx="946">
                  <c:v>258.57142857142856</c:v>
                </c:pt>
                <c:pt idx="947">
                  <c:v>249.69924812030072</c:v>
                </c:pt>
                <c:pt idx="948">
                  <c:v>249.69924812030072</c:v>
                </c:pt>
                <c:pt idx="949">
                  <c:v>249.69924812030072</c:v>
                </c:pt>
                <c:pt idx="950">
                  <c:v>248.57142857142858</c:v>
                </c:pt>
                <c:pt idx="951">
                  <c:v>254.06015037593983</c:v>
                </c:pt>
                <c:pt idx="952">
                  <c:v>249.24812030075185</c:v>
                </c:pt>
                <c:pt idx="953">
                  <c:v>240.90225563909772</c:v>
                </c:pt>
                <c:pt idx="954">
                  <c:v>236.84210526315786</c:v>
                </c:pt>
                <c:pt idx="955">
                  <c:v>236.84210526315786</c:v>
                </c:pt>
                <c:pt idx="956">
                  <c:v>236.84210526315786</c:v>
                </c:pt>
                <c:pt idx="957">
                  <c:v>234.51127819548873</c:v>
                </c:pt>
                <c:pt idx="958">
                  <c:v>234.51127819548873</c:v>
                </c:pt>
                <c:pt idx="959">
                  <c:v>234.88721804511275</c:v>
                </c:pt>
                <c:pt idx="960">
                  <c:v>234.58646616541353</c:v>
                </c:pt>
                <c:pt idx="961">
                  <c:v>228.3458646616541</c:v>
                </c:pt>
                <c:pt idx="962">
                  <c:v>228.3458646616541</c:v>
                </c:pt>
                <c:pt idx="963">
                  <c:v>228.3458646616541</c:v>
                </c:pt>
                <c:pt idx="964">
                  <c:v>231.12781954887214</c:v>
                </c:pt>
                <c:pt idx="965">
                  <c:v>224.9624060150376</c:v>
                </c:pt>
                <c:pt idx="966">
                  <c:v>216.99248120300751</c:v>
                </c:pt>
                <c:pt idx="967">
                  <c:v>220.00000000000003</c:v>
                </c:pt>
                <c:pt idx="968">
                  <c:v>218.79699248120298</c:v>
                </c:pt>
                <c:pt idx="969">
                  <c:v>218.79699248120298</c:v>
                </c:pt>
                <c:pt idx="970">
                  <c:v>218.79699248120298</c:v>
                </c:pt>
                <c:pt idx="971">
                  <c:v>225.6390977443609</c:v>
                </c:pt>
                <c:pt idx="972">
                  <c:v>229.32330827067665</c:v>
                </c:pt>
                <c:pt idx="973">
                  <c:v>228.9473684210526</c:v>
                </c:pt>
                <c:pt idx="974">
                  <c:v>219.5488721804511</c:v>
                </c:pt>
                <c:pt idx="975">
                  <c:v>228.27067669172928</c:v>
                </c:pt>
                <c:pt idx="976">
                  <c:v>228.27067669172928</c:v>
                </c:pt>
                <c:pt idx="977">
                  <c:v>228.27067669172928</c:v>
                </c:pt>
                <c:pt idx="978">
                  <c:v>236.01503759398494</c:v>
                </c:pt>
                <c:pt idx="979">
                  <c:v>241.95488721804509</c:v>
                </c:pt>
                <c:pt idx="980">
                  <c:v>243.68421052631578</c:v>
                </c:pt>
                <c:pt idx="981">
                  <c:v>249.84962406015035</c:v>
                </c:pt>
                <c:pt idx="982">
                  <c:v>243.68421052631578</c:v>
                </c:pt>
                <c:pt idx="983">
                  <c:v>243.68421052631578</c:v>
                </c:pt>
                <c:pt idx="984">
                  <c:v>243.68421052631578</c:v>
                </c:pt>
                <c:pt idx="985">
                  <c:v>239.24812030075188</c:v>
                </c:pt>
                <c:pt idx="986">
                  <c:v>221.80451127819549</c:v>
                </c:pt>
                <c:pt idx="987">
                  <c:v>222.33082706766916</c:v>
                </c:pt>
                <c:pt idx="988">
                  <c:v>207.36842105263156</c:v>
                </c:pt>
                <c:pt idx="989">
                  <c:v>206.09022556390974</c:v>
                </c:pt>
                <c:pt idx="990">
                  <c:v>206.09022556390974</c:v>
                </c:pt>
                <c:pt idx="991">
                  <c:v>206.09022556390974</c:v>
                </c:pt>
                <c:pt idx="992">
                  <c:v>210.75187969924812</c:v>
                </c:pt>
                <c:pt idx="993">
                  <c:v>211.20300751879699</c:v>
                </c:pt>
                <c:pt idx="994">
                  <c:v>218.27067669172934</c:v>
                </c:pt>
                <c:pt idx="995">
                  <c:v>198.79699248120301</c:v>
                </c:pt>
                <c:pt idx="996">
                  <c:v>198.79699248120301</c:v>
                </c:pt>
                <c:pt idx="997">
                  <c:v>198.79699248120301</c:v>
                </c:pt>
                <c:pt idx="998">
                  <c:v>198.79699248120301</c:v>
                </c:pt>
                <c:pt idx="999">
                  <c:v>198.19548872180451</c:v>
                </c:pt>
                <c:pt idx="1000">
                  <c:v>206.09022556390974</c:v>
                </c:pt>
                <c:pt idx="1001">
                  <c:v>205.63909774436092</c:v>
                </c:pt>
                <c:pt idx="1002">
                  <c:v>200.6015037593985</c:v>
                </c:pt>
                <c:pt idx="1003">
                  <c:v>206.76691729323306</c:v>
                </c:pt>
                <c:pt idx="1004">
                  <c:v>206.76691729323306</c:v>
                </c:pt>
                <c:pt idx="1005">
                  <c:v>206.76691729323306</c:v>
                </c:pt>
                <c:pt idx="1006">
                  <c:v>210.6015037593985</c:v>
                </c:pt>
                <c:pt idx="1007">
                  <c:v>207.36842105263156</c:v>
                </c:pt>
                <c:pt idx="1008">
                  <c:v>205.41353383458647</c:v>
                </c:pt>
                <c:pt idx="1009">
                  <c:v>197.29323308270673</c:v>
                </c:pt>
                <c:pt idx="1010">
                  <c:v>210.22556390977445</c:v>
                </c:pt>
                <c:pt idx="1011">
                  <c:v>210.22556390977445</c:v>
                </c:pt>
                <c:pt idx="1012">
                  <c:v>210.22556390977445</c:v>
                </c:pt>
                <c:pt idx="1013">
                  <c:v>204.58646616541353</c:v>
                </c:pt>
                <c:pt idx="1014">
                  <c:v>203.68421052631578</c:v>
                </c:pt>
                <c:pt idx="1015">
                  <c:v>200.45112781954887</c:v>
                </c:pt>
                <c:pt idx="1016">
                  <c:v>206.16541353383457</c:v>
                </c:pt>
                <c:pt idx="1017">
                  <c:v>212.18045112781954</c:v>
                </c:pt>
                <c:pt idx="1018">
                  <c:v>212.18045112781954</c:v>
                </c:pt>
                <c:pt idx="1019">
                  <c:v>212.18045112781954</c:v>
                </c:pt>
                <c:pt idx="1020">
                  <c:v>212.70676691729321</c:v>
                </c:pt>
                <c:pt idx="1021">
                  <c:v>201.57894736842104</c:v>
                </c:pt>
                <c:pt idx="1022">
                  <c:v>207.74436090225561</c:v>
                </c:pt>
                <c:pt idx="1023">
                  <c:v>208.19548872180448</c:v>
                </c:pt>
                <c:pt idx="1024">
                  <c:v>209.62406015037593</c:v>
                </c:pt>
                <c:pt idx="1025">
                  <c:v>209.62406015037593</c:v>
                </c:pt>
                <c:pt idx="1026">
                  <c:v>209.62406015037593</c:v>
                </c:pt>
                <c:pt idx="1027">
                  <c:v>207.96992481203006</c:v>
                </c:pt>
                <c:pt idx="1028">
                  <c:v>213.984962406015</c:v>
                </c:pt>
                <c:pt idx="1029">
                  <c:v>210.30075187969922</c:v>
                </c:pt>
                <c:pt idx="1030">
                  <c:v>211.87969924812026</c:v>
                </c:pt>
                <c:pt idx="1031">
                  <c:v>208.12030075187971</c:v>
                </c:pt>
                <c:pt idx="1032">
                  <c:v>208.12030075187971</c:v>
                </c:pt>
                <c:pt idx="1033">
                  <c:v>208.12030075187971</c:v>
                </c:pt>
                <c:pt idx="1034">
                  <c:v>208.12030075187971</c:v>
                </c:pt>
                <c:pt idx="1035">
                  <c:v>206.69172932330824</c:v>
                </c:pt>
                <c:pt idx="1036">
                  <c:v>209.99999999999997</c:v>
                </c:pt>
                <c:pt idx="1037">
                  <c:v>205.48872180451124</c:v>
                </c:pt>
                <c:pt idx="1038">
                  <c:v>209.3984962406015</c:v>
                </c:pt>
                <c:pt idx="1039">
                  <c:v>209.3984962406015</c:v>
                </c:pt>
                <c:pt idx="1040">
                  <c:v>209.3984962406015</c:v>
                </c:pt>
                <c:pt idx="1041">
                  <c:v>208.9473684210526</c:v>
                </c:pt>
                <c:pt idx="1042">
                  <c:v>209.24812030075185</c:v>
                </c:pt>
                <c:pt idx="1043">
                  <c:v>204.81203007518792</c:v>
                </c:pt>
                <c:pt idx="1044">
                  <c:v>214.51127819548873</c:v>
                </c:pt>
                <c:pt idx="1045">
                  <c:v>217.89473684210526</c:v>
                </c:pt>
                <c:pt idx="1046">
                  <c:v>217.89473684210526</c:v>
                </c:pt>
                <c:pt idx="1047">
                  <c:v>217.89473684210526</c:v>
                </c:pt>
                <c:pt idx="1048">
                  <c:v>218.72180451127815</c:v>
                </c:pt>
                <c:pt idx="1049">
                  <c:v>218.19548872180451</c:v>
                </c:pt>
                <c:pt idx="1050">
                  <c:v>201.12781954887217</c:v>
                </c:pt>
                <c:pt idx="1051">
                  <c:v>198.19548872180451</c:v>
                </c:pt>
                <c:pt idx="1052">
                  <c:v>191.87969924812029</c:v>
                </c:pt>
                <c:pt idx="1053">
                  <c:v>191.87969924812029</c:v>
                </c:pt>
                <c:pt idx="1054">
                  <c:v>191.87969924812029</c:v>
                </c:pt>
                <c:pt idx="1055">
                  <c:v>188.42105263157893</c:v>
                </c:pt>
                <c:pt idx="1056">
                  <c:v>187.14285714285714</c:v>
                </c:pt>
                <c:pt idx="1057">
                  <c:v>193.15789473684211</c:v>
                </c:pt>
                <c:pt idx="1058">
                  <c:v>195.26315789473682</c:v>
                </c:pt>
                <c:pt idx="1059">
                  <c:v>198.27067669172934</c:v>
                </c:pt>
                <c:pt idx="1060">
                  <c:v>198.27067669172934</c:v>
                </c:pt>
                <c:pt idx="1061">
                  <c:v>198.27067669172934</c:v>
                </c:pt>
                <c:pt idx="1062">
                  <c:v>209.69924812030075</c:v>
                </c:pt>
                <c:pt idx="1063">
                  <c:v>193.23308270676691</c:v>
                </c:pt>
                <c:pt idx="1064">
                  <c:v>195.48872180451127</c:v>
                </c:pt>
                <c:pt idx="1065">
                  <c:v>174.81203007518795</c:v>
                </c:pt>
                <c:pt idx="1066">
                  <c:v>175.1127819548872</c:v>
                </c:pt>
                <c:pt idx="1067">
                  <c:v>175.1127819548872</c:v>
                </c:pt>
                <c:pt idx="1068">
                  <c:v>175.1127819548872</c:v>
                </c:pt>
                <c:pt idx="1069">
                  <c:v>171.57894736842104</c:v>
                </c:pt>
                <c:pt idx="1070">
                  <c:v>175.78947368421052</c:v>
                </c:pt>
                <c:pt idx="1071">
                  <c:v>176.61654135338344</c:v>
                </c:pt>
                <c:pt idx="1072">
                  <c:v>172.63157894736844</c:v>
                </c:pt>
                <c:pt idx="1073">
                  <c:v>165.48872180451127</c:v>
                </c:pt>
                <c:pt idx="1074">
                  <c:v>165.48872180451127</c:v>
                </c:pt>
                <c:pt idx="1075">
                  <c:v>165.48872180451127</c:v>
                </c:pt>
                <c:pt idx="1076">
                  <c:v>166.01503759398494</c:v>
                </c:pt>
                <c:pt idx="1077">
                  <c:v>168.49624060150376</c:v>
                </c:pt>
                <c:pt idx="1078">
                  <c:v>176.69172932330827</c:v>
                </c:pt>
                <c:pt idx="1079">
                  <c:v>175.71428571428572</c:v>
                </c:pt>
                <c:pt idx="1080">
                  <c:v>178.04511278195488</c:v>
                </c:pt>
                <c:pt idx="1081">
                  <c:v>178.04511278195488</c:v>
                </c:pt>
                <c:pt idx="1082">
                  <c:v>178.04511278195488</c:v>
                </c:pt>
                <c:pt idx="1083">
                  <c:v>176.91729323308269</c:v>
                </c:pt>
                <c:pt idx="1084">
                  <c:v>176.54135338345864</c:v>
                </c:pt>
                <c:pt idx="1085">
                  <c:v>182.03007518796991</c:v>
                </c:pt>
                <c:pt idx="1086">
                  <c:v>185.78947368421052</c:v>
                </c:pt>
                <c:pt idx="1087">
                  <c:v>183.15789473684211</c:v>
                </c:pt>
                <c:pt idx="1088">
                  <c:v>183.15789473684211</c:v>
                </c:pt>
                <c:pt idx="1089">
                  <c:v>183.15789473684211</c:v>
                </c:pt>
                <c:pt idx="1090">
                  <c:v>179.84962406015038</c:v>
                </c:pt>
                <c:pt idx="1091">
                  <c:v>180.0751879699248</c:v>
                </c:pt>
                <c:pt idx="1092">
                  <c:v>180.0751879699248</c:v>
                </c:pt>
                <c:pt idx="1093">
                  <c:v>178.04511278195488</c:v>
                </c:pt>
                <c:pt idx="1094">
                  <c:v>178.04511278195488</c:v>
                </c:pt>
                <c:pt idx="1095">
                  <c:v>178.04511278195488</c:v>
                </c:pt>
                <c:pt idx="1096">
                  <c:v>178.04511278195488</c:v>
                </c:pt>
                <c:pt idx="1097">
                  <c:v>173.9097744360902</c:v>
                </c:pt>
                <c:pt idx="1098">
                  <c:v>171.80451127819549</c:v>
                </c:pt>
                <c:pt idx="1099">
                  <c:v>171.57894736842104</c:v>
                </c:pt>
                <c:pt idx="1100">
                  <c:v>172.63157894736844</c:v>
                </c:pt>
                <c:pt idx="1101">
                  <c:v>173.30827067669173</c:v>
                </c:pt>
                <c:pt idx="1102">
                  <c:v>173.30827067669173</c:v>
                </c:pt>
                <c:pt idx="1103">
                  <c:v>173.30827067669173</c:v>
                </c:pt>
                <c:pt idx="1104">
                  <c:v>170.45112781954887</c:v>
                </c:pt>
                <c:pt idx="1105">
                  <c:v>174.88721804511277</c:v>
                </c:pt>
                <c:pt idx="1106">
                  <c:v>175.26315789473682</c:v>
                </c:pt>
                <c:pt idx="1107">
                  <c:v>181.42857142857142</c:v>
                </c:pt>
                <c:pt idx="1108">
                  <c:v>184.28571428571431</c:v>
                </c:pt>
                <c:pt idx="1109">
                  <c:v>184.28571428571431</c:v>
                </c:pt>
                <c:pt idx="1110">
                  <c:v>184.28571428571431</c:v>
                </c:pt>
                <c:pt idx="1111">
                  <c:v>183.53383458646616</c:v>
                </c:pt>
                <c:pt idx="1112">
                  <c:v>173.60902255639098</c:v>
                </c:pt>
                <c:pt idx="1113">
                  <c:v>144.73684210526315</c:v>
                </c:pt>
                <c:pt idx="1114">
                  <c:v>151.72932330827066</c:v>
                </c:pt>
                <c:pt idx="1115">
                  <c:v>164.88721804511277</c:v>
                </c:pt>
                <c:pt idx="1116">
                  <c:v>164.88721804511277</c:v>
                </c:pt>
                <c:pt idx="1117">
                  <c:v>164.88721804511277</c:v>
                </c:pt>
                <c:pt idx="1118">
                  <c:v>156.76691729323309</c:v>
                </c:pt>
                <c:pt idx="1119">
                  <c:v>148.87218045112783</c:v>
                </c:pt>
                <c:pt idx="1120">
                  <c:v>148.57142857142858</c:v>
                </c:pt>
                <c:pt idx="1121">
                  <c:v>156.16541353383457</c:v>
                </c:pt>
                <c:pt idx="1122">
                  <c:v>156.16541353383457</c:v>
                </c:pt>
                <c:pt idx="1123">
                  <c:v>156.16541353383457</c:v>
                </c:pt>
                <c:pt idx="1124">
                  <c:v>156.16541353383457</c:v>
                </c:pt>
                <c:pt idx="1125">
                  <c:v>152.25563909774436</c:v>
                </c:pt>
                <c:pt idx="1126">
                  <c:v>148.34586466165413</c:v>
                </c:pt>
                <c:pt idx="1127">
                  <c:v>153.23308270676691</c:v>
                </c:pt>
                <c:pt idx="1128">
                  <c:v>152.10526315789471</c:v>
                </c:pt>
                <c:pt idx="1129">
                  <c:v>152.40601503759396</c:v>
                </c:pt>
                <c:pt idx="1130">
                  <c:v>152.40601503759396</c:v>
                </c:pt>
                <c:pt idx="1131">
                  <c:v>152.40601503759396</c:v>
                </c:pt>
                <c:pt idx="1132">
                  <c:v>148.42105263157893</c:v>
                </c:pt>
                <c:pt idx="1133">
                  <c:v>151.80451127819549</c:v>
                </c:pt>
                <c:pt idx="1134">
                  <c:v>156.01503759398497</c:v>
                </c:pt>
                <c:pt idx="1135">
                  <c:v>154.66165413533835</c:v>
                </c:pt>
                <c:pt idx="1136">
                  <c:v>142.85714285714286</c:v>
                </c:pt>
                <c:pt idx="1137">
                  <c:v>142.85714285714286</c:v>
                </c:pt>
                <c:pt idx="1138">
                  <c:v>142.85714285714286</c:v>
                </c:pt>
                <c:pt idx="1139">
                  <c:v>128.19548872180451</c:v>
                </c:pt>
                <c:pt idx="1140">
                  <c:v>141.57894736842104</c:v>
                </c:pt>
                <c:pt idx="1141">
                  <c:v>138.79699248120301</c:v>
                </c:pt>
                <c:pt idx="1142">
                  <c:v>138.79699248120301</c:v>
                </c:pt>
                <c:pt idx="1143">
                  <c:v>133.98496240601503</c:v>
                </c:pt>
                <c:pt idx="1144">
                  <c:v>133.98496240601503</c:v>
                </c:pt>
                <c:pt idx="1145">
                  <c:v>133.98496240601503</c:v>
                </c:pt>
                <c:pt idx="1146">
                  <c:v>131.50375939849621</c:v>
                </c:pt>
                <c:pt idx="1147">
                  <c:v>134.58646616541353</c:v>
                </c:pt>
                <c:pt idx="1148">
                  <c:v>125.18796992481201</c:v>
                </c:pt>
                <c:pt idx="1149">
                  <c:v>125.18796992481201</c:v>
                </c:pt>
                <c:pt idx="1150">
                  <c:v>127.29323308270675</c:v>
                </c:pt>
                <c:pt idx="1151">
                  <c:v>127.29323308270675</c:v>
                </c:pt>
                <c:pt idx="1152">
                  <c:v>127.29323308270675</c:v>
                </c:pt>
                <c:pt idx="1153">
                  <c:v>134.88721804511277</c:v>
                </c:pt>
                <c:pt idx="1154">
                  <c:v>136.54135338345864</c:v>
                </c:pt>
                <c:pt idx="1155">
                  <c:v>146.61654135338344</c:v>
                </c:pt>
                <c:pt idx="1156">
                  <c:v>141.57894736842104</c:v>
                </c:pt>
                <c:pt idx="1157">
                  <c:v>149.62406015037593</c:v>
                </c:pt>
                <c:pt idx="1158">
                  <c:v>149.62406015037593</c:v>
                </c:pt>
                <c:pt idx="1159">
                  <c:v>149.62406015037593</c:v>
                </c:pt>
                <c:pt idx="1160">
                  <c:v>149.32330827067668</c:v>
                </c:pt>
                <c:pt idx="1161">
                  <c:v>153.98496240601503</c:v>
                </c:pt>
                <c:pt idx="1162">
                  <c:v>150.22556390977445</c:v>
                </c:pt>
                <c:pt idx="1163">
                  <c:v>150.30075187969922</c:v>
                </c:pt>
                <c:pt idx="1164">
                  <c:v>146.31578947368419</c:v>
                </c:pt>
                <c:pt idx="1165">
                  <c:v>146.31578947368419</c:v>
                </c:pt>
                <c:pt idx="1166">
                  <c:v>146.31578947368419</c:v>
                </c:pt>
                <c:pt idx="1167">
                  <c:v>160.15037593984962</c:v>
                </c:pt>
                <c:pt idx="1168">
                  <c:v>158.79699248120301</c:v>
                </c:pt>
                <c:pt idx="1169">
                  <c:v>158.79699248120301</c:v>
                </c:pt>
                <c:pt idx="1170">
                  <c:v>178.27067669172931</c:v>
                </c:pt>
                <c:pt idx="1171">
                  <c:v>160.15037593984962</c:v>
                </c:pt>
                <c:pt idx="1172">
                  <c:v>160.15037593984962</c:v>
                </c:pt>
                <c:pt idx="1173">
                  <c:v>160.15037593984962</c:v>
                </c:pt>
                <c:pt idx="1174">
                  <c:v>161.12781954887217</c:v>
                </c:pt>
                <c:pt idx="1175">
                  <c:v>160.45112781954887</c:v>
                </c:pt>
                <c:pt idx="1176">
                  <c:v>158.27067669172931</c:v>
                </c:pt>
                <c:pt idx="1177">
                  <c:v>150.97744360902254</c:v>
                </c:pt>
                <c:pt idx="1178">
                  <c:v>145.71428571428569</c:v>
                </c:pt>
                <c:pt idx="1179">
                  <c:v>145.71428571428569</c:v>
                </c:pt>
                <c:pt idx="1180">
                  <c:v>145.71428571428569</c:v>
                </c:pt>
                <c:pt idx="1181">
                  <c:v>140.82706766917292</c:v>
                </c:pt>
                <c:pt idx="1182">
                  <c:v>140.82706766917292</c:v>
                </c:pt>
                <c:pt idx="1183">
                  <c:v>144.43609022556393</c:v>
                </c:pt>
                <c:pt idx="1184">
                  <c:v>143.68421052631578</c:v>
                </c:pt>
                <c:pt idx="1185">
                  <c:v>155.33834586466165</c:v>
                </c:pt>
                <c:pt idx="1186">
                  <c:v>155.33834586466165</c:v>
                </c:pt>
                <c:pt idx="1187">
                  <c:v>155.33834586466165</c:v>
                </c:pt>
                <c:pt idx="1188">
                  <c:v>161.57894736842101</c:v>
                </c:pt>
                <c:pt idx="1189">
                  <c:v>156.46616541353382</c:v>
                </c:pt>
                <c:pt idx="1190">
                  <c:v>147.44360902255639</c:v>
                </c:pt>
                <c:pt idx="1191">
                  <c:v>143.08270676691731</c:v>
                </c:pt>
                <c:pt idx="1192">
                  <c:v>158.12030075187971</c:v>
                </c:pt>
                <c:pt idx="1193">
                  <c:v>158.12030075187971</c:v>
                </c:pt>
                <c:pt idx="1194">
                  <c:v>158.12030075187971</c:v>
                </c:pt>
                <c:pt idx="1195">
                  <c:v>159.3984962406015</c:v>
                </c:pt>
                <c:pt idx="1196">
                  <c:v>164.21052631578948</c:v>
                </c:pt>
                <c:pt idx="1197">
                  <c:v>155.48872180451127</c:v>
                </c:pt>
                <c:pt idx="1198">
                  <c:v>149.62406015037593</c:v>
                </c:pt>
                <c:pt idx="1199">
                  <c:v>152.10526315789471</c:v>
                </c:pt>
                <c:pt idx="1200">
                  <c:v>152.10526315789471</c:v>
                </c:pt>
                <c:pt idx="1201">
                  <c:v>152.10526315789471</c:v>
                </c:pt>
                <c:pt idx="1202">
                  <c:v>152.03007518796991</c:v>
                </c:pt>
                <c:pt idx="1203">
                  <c:v>136.91729323308272</c:v>
                </c:pt>
                <c:pt idx="1204">
                  <c:v>129.32330827067668</c:v>
                </c:pt>
                <c:pt idx="1205">
                  <c:v>126.69172932330828</c:v>
                </c:pt>
                <c:pt idx="1206">
                  <c:v>132.55639097744361</c:v>
                </c:pt>
                <c:pt idx="1207">
                  <c:v>132.55639097744361</c:v>
                </c:pt>
                <c:pt idx="1208">
                  <c:v>132.55639097744361</c:v>
                </c:pt>
                <c:pt idx="1209">
                  <c:v>144.88721804511277</c:v>
                </c:pt>
                <c:pt idx="1210">
                  <c:v>171.35338345864659</c:v>
                </c:pt>
                <c:pt idx="1211">
                  <c:v>188.64661654135338</c:v>
                </c:pt>
                <c:pt idx="1212">
                  <c:v>188.19548872180451</c:v>
                </c:pt>
                <c:pt idx="1213">
                  <c:v>177.89473684210526</c:v>
                </c:pt>
                <c:pt idx="1214">
                  <c:v>177.89473684210526</c:v>
                </c:pt>
                <c:pt idx="1215">
                  <c:v>177.89473684210526</c:v>
                </c:pt>
                <c:pt idx="1216">
                  <c:v>200.15037593984962</c:v>
                </c:pt>
                <c:pt idx="1217">
                  <c:v>205.26315789473685</c:v>
                </c:pt>
                <c:pt idx="1218">
                  <c:v>211.87969924812026</c:v>
                </c:pt>
                <c:pt idx="1219">
                  <c:v>197.44360902255639</c:v>
                </c:pt>
                <c:pt idx="1220">
                  <c:v>198.04511278195486</c:v>
                </c:pt>
                <c:pt idx="1221">
                  <c:v>198.04511278195486</c:v>
                </c:pt>
                <c:pt idx="1222">
                  <c:v>198.04511278195486</c:v>
                </c:pt>
                <c:pt idx="1223">
                  <c:v>190.22556390977442</c:v>
                </c:pt>
                <c:pt idx="1224">
                  <c:v>187.96992481203009</c:v>
                </c:pt>
                <c:pt idx="1225">
                  <c:v>204.81203007518792</c:v>
                </c:pt>
                <c:pt idx="1226">
                  <c:v>198.94736842105263</c:v>
                </c:pt>
                <c:pt idx="1227">
                  <c:v>205.63909774436092</c:v>
                </c:pt>
                <c:pt idx="1228">
                  <c:v>205.63909774436092</c:v>
                </c:pt>
                <c:pt idx="1229">
                  <c:v>205.63909774436092</c:v>
                </c:pt>
                <c:pt idx="1230">
                  <c:v>208.8721804511278</c:v>
                </c:pt>
                <c:pt idx="1231">
                  <c:v>213.75939849624058</c:v>
                </c:pt>
                <c:pt idx="1232">
                  <c:v>218.19548872180451</c:v>
                </c:pt>
                <c:pt idx="1233">
                  <c:v>236.24060150375939</c:v>
                </c:pt>
                <c:pt idx="1234">
                  <c:v>232.25563909774434</c:v>
                </c:pt>
                <c:pt idx="1235">
                  <c:v>232.25563909774434</c:v>
                </c:pt>
                <c:pt idx="1236">
                  <c:v>232.25563909774434</c:v>
                </c:pt>
                <c:pt idx="1237">
                  <c:v>245.0375939849624</c:v>
                </c:pt>
                <c:pt idx="1238">
                  <c:v>242.03007518796991</c:v>
                </c:pt>
                <c:pt idx="1239">
                  <c:v>244.88721804511275</c:v>
                </c:pt>
                <c:pt idx="1240">
                  <c:v>245.18796992481202</c:v>
                </c:pt>
                <c:pt idx="1241">
                  <c:v>233.23308270676688</c:v>
                </c:pt>
                <c:pt idx="1242">
                  <c:v>233.23308270676688</c:v>
                </c:pt>
                <c:pt idx="1243">
                  <c:v>233.23308270676688</c:v>
                </c:pt>
                <c:pt idx="1244">
                  <c:v>234.4360902255639</c:v>
                </c:pt>
                <c:pt idx="1245">
                  <c:v>234.66165413533835</c:v>
                </c:pt>
                <c:pt idx="1246">
                  <c:v>240.07518796992483</c:v>
                </c:pt>
                <c:pt idx="1247">
                  <c:v>243.83458646616538</c:v>
                </c:pt>
                <c:pt idx="1248">
                  <c:v>246.01503759398494</c:v>
                </c:pt>
                <c:pt idx="1249">
                  <c:v>246.01503759398494</c:v>
                </c:pt>
                <c:pt idx="1250">
                  <c:v>246.01503759398494</c:v>
                </c:pt>
                <c:pt idx="1251">
                  <c:v>229.17293233082705</c:v>
                </c:pt>
                <c:pt idx="1252">
                  <c:v>242.18045112781957</c:v>
                </c:pt>
                <c:pt idx="1253">
                  <c:v>226.31578947368419</c:v>
                </c:pt>
                <c:pt idx="1254">
                  <c:v>224.73684210526318</c:v>
                </c:pt>
                <c:pt idx="1255">
                  <c:v>205.86466165413532</c:v>
                </c:pt>
                <c:pt idx="1256">
                  <c:v>205.86466165413532</c:v>
                </c:pt>
                <c:pt idx="1257">
                  <c:v>205.86466165413532</c:v>
                </c:pt>
                <c:pt idx="1258">
                  <c:v>209.32330827067668</c:v>
                </c:pt>
                <c:pt idx="1259">
                  <c:v>214.3609022556391</c:v>
                </c:pt>
                <c:pt idx="1260">
                  <c:v>210.97744360902254</c:v>
                </c:pt>
                <c:pt idx="1261">
                  <c:v>189.24812030075188</c:v>
                </c:pt>
                <c:pt idx="1262">
                  <c:v>189.24812030075188</c:v>
                </c:pt>
                <c:pt idx="1263">
                  <c:v>189.24812030075188</c:v>
                </c:pt>
                <c:pt idx="1264">
                  <c:v>189.24812030075188</c:v>
                </c:pt>
                <c:pt idx="1265">
                  <c:v>187.14285714285714</c:v>
                </c:pt>
                <c:pt idx="1266">
                  <c:v>189.4736842105263</c:v>
                </c:pt>
                <c:pt idx="1267">
                  <c:v>188.34586466165413</c:v>
                </c:pt>
                <c:pt idx="1268">
                  <c:v>189.92481203007517</c:v>
                </c:pt>
                <c:pt idx="1269">
                  <c:v>180.30075187969925</c:v>
                </c:pt>
                <c:pt idx="1270">
                  <c:v>180.30075187969925</c:v>
                </c:pt>
                <c:pt idx="1271">
                  <c:v>180.30075187969925</c:v>
                </c:pt>
                <c:pt idx="1272">
                  <c:v>167.59398496240601</c:v>
                </c:pt>
                <c:pt idx="1273">
                  <c:v>157.14285714285711</c:v>
                </c:pt>
                <c:pt idx="1274">
                  <c:v>153.38345864661653</c:v>
                </c:pt>
                <c:pt idx="1275">
                  <c:v>150.22556390977445</c:v>
                </c:pt>
                <c:pt idx="1276">
                  <c:v>148.64661654135338</c:v>
                </c:pt>
                <c:pt idx="1277">
                  <c:v>148.64661654135338</c:v>
                </c:pt>
                <c:pt idx="1278">
                  <c:v>148.64661654135338</c:v>
                </c:pt>
                <c:pt idx="1279">
                  <c:v>145.33834586466162</c:v>
                </c:pt>
                <c:pt idx="1280">
                  <c:v>148.12030075187971</c:v>
                </c:pt>
                <c:pt idx="1281">
                  <c:v>150.52631578947367</c:v>
                </c:pt>
                <c:pt idx="1282">
                  <c:v>148.34586466165413</c:v>
                </c:pt>
                <c:pt idx="1283">
                  <c:v>143.30827067669171</c:v>
                </c:pt>
                <c:pt idx="1284">
                  <c:v>143.30827067669171</c:v>
                </c:pt>
                <c:pt idx="1285">
                  <c:v>143.30827067669171</c:v>
                </c:pt>
                <c:pt idx="1286">
                  <c:v>143.60902255639098</c:v>
                </c:pt>
                <c:pt idx="1287">
                  <c:v>147.21804511278194</c:v>
                </c:pt>
                <c:pt idx="1288">
                  <c:v>147.06766917293231</c:v>
                </c:pt>
                <c:pt idx="1289">
                  <c:v>146.09022556390977</c:v>
                </c:pt>
                <c:pt idx="1290">
                  <c:v>139.02255639097743</c:v>
                </c:pt>
                <c:pt idx="1291">
                  <c:v>139.02255639097743</c:v>
                </c:pt>
                <c:pt idx="1292">
                  <c:v>139.02255639097743</c:v>
                </c:pt>
                <c:pt idx="1293">
                  <c:v>141.27819548872179</c:v>
                </c:pt>
                <c:pt idx="1294">
                  <c:v>138.94736842105263</c:v>
                </c:pt>
                <c:pt idx="1295">
                  <c:v>137.81954887218043</c:v>
                </c:pt>
                <c:pt idx="1296">
                  <c:v>146.01503759398497</c:v>
                </c:pt>
                <c:pt idx="1297">
                  <c:v>142.40601503759399</c:v>
                </c:pt>
                <c:pt idx="1298">
                  <c:v>142.40601503759399</c:v>
                </c:pt>
                <c:pt idx="1299">
                  <c:v>142.40601503759399</c:v>
                </c:pt>
                <c:pt idx="1300">
                  <c:v>137.96992481203009</c:v>
                </c:pt>
                <c:pt idx="1301">
                  <c:v>120.67669172932331</c:v>
                </c:pt>
                <c:pt idx="1302">
                  <c:v>121.72932330827069</c:v>
                </c:pt>
                <c:pt idx="1303">
                  <c:v>125.26315789473684</c:v>
                </c:pt>
                <c:pt idx="1304">
                  <c:v>124.06015037593986</c:v>
                </c:pt>
                <c:pt idx="1305">
                  <c:v>124.06015037593986</c:v>
                </c:pt>
                <c:pt idx="1306">
                  <c:v>124.06015037593986</c:v>
                </c:pt>
                <c:pt idx="1307">
                  <c:v>125.63909774436091</c:v>
                </c:pt>
                <c:pt idx="1308">
                  <c:v>126.69172932330828</c:v>
                </c:pt>
                <c:pt idx="1309">
                  <c:v>126.84210526315789</c:v>
                </c:pt>
                <c:pt idx="1310">
                  <c:v>124.66165413533832</c:v>
                </c:pt>
                <c:pt idx="1311">
                  <c:v>122.33082706766916</c:v>
                </c:pt>
                <c:pt idx="1312">
                  <c:v>122.33082706766916</c:v>
                </c:pt>
                <c:pt idx="1313">
                  <c:v>122.33082706766916</c:v>
                </c:pt>
                <c:pt idx="1314">
                  <c:v>124.5112781954887</c:v>
                </c:pt>
                <c:pt idx="1315">
                  <c:v>122.33082706766916</c:v>
                </c:pt>
                <c:pt idx="1316">
                  <c:v>124.4360902255639</c:v>
                </c:pt>
                <c:pt idx="1317">
                  <c:v>124.88721804511277</c:v>
                </c:pt>
                <c:pt idx="1318">
                  <c:v>123.00751879699247</c:v>
                </c:pt>
                <c:pt idx="1319">
                  <c:v>123.00751879699247</c:v>
                </c:pt>
                <c:pt idx="1320">
                  <c:v>123.00751879699247</c:v>
                </c:pt>
                <c:pt idx="1321">
                  <c:v>116.54135338345864</c:v>
                </c:pt>
                <c:pt idx="1322">
                  <c:v>112.78195488721805</c:v>
                </c:pt>
                <c:pt idx="1323">
                  <c:v>112.78195488721805</c:v>
                </c:pt>
                <c:pt idx="1324">
                  <c:v>113.98496240601503</c:v>
                </c:pt>
                <c:pt idx="1325">
                  <c:v>112.70676691729322</c:v>
                </c:pt>
                <c:pt idx="1326">
                  <c:v>112.70676691729322</c:v>
                </c:pt>
                <c:pt idx="1327">
                  <c:v>112.70676691729322</c:v>
                </c:pt>
                <c:pt idx="1328">
                  <c:v>115.11278195488721</c:v>
                </c:pt>
                <c:pt idx="1329">
                  <c:v>112.55639097744361</c:v>
                </c:pt>
                <c:pt idx="1330">
                  <c:v>116.54135338345864</c:v>
                </c:pt>
                <c:pt idx="1331">
                  <c:v>113.60902255639095</c:v>
                </c:pt>
                <c:pt idx="1332">
                  <c:v>118.79699248120301</c:v>
                </c:pt>
                <c:pt idx="1333">
                  <c:v>118.79699248120301</c:v>
                </c:pt>
                <c:pt idx="1334">
                  <c:v>118.79699248120301</c:v>
                </c:pt>
                <c:pt idx="1335">
                  <c:v>117.66917293233084</c:v>
                </c:pt>
                <c:pt idx="1336">
                  <c:v>124.21052631578947</c:v>
                </c:pt>
                <c:pt idx="1337">
                  <c:v>125.48872180451127</c:v>
                </c:pt>
                <c:pt idx="1338">
                  <c:v>128.64661654135335</c:v>
                </c:pt>
                <c:pt idx="1339">
                  <c:v>122.85714285714285</c:v>
                </c:pt>
                <c:pt idx="1340">
                  <c:v>122.85714285714285</c:v>
                </c:pt>
                <c:pt idx="1341">
                  <c:v>122.85714285714285</c:v>
                </c:pt>
                <c:pt idx="1342">
                  <c:v>122.18045112781954</c:v>
                </c:pt>
                <c:pt idx="1343">
                  <c:v>122.70676691729324</c:v>
                </c:pt>
                <c:pt idx="1344">
                  <c:v>119.17293233082707</c:v>
                </c:pt>
                <c:pt idx="1345">
                  <c:v>118.27067669172932</c:v>
                </c:pt>
                <c:pt idx="1346">
                  <c:v>114.66165413533832</c:v>
                </c:pt>
                <c:pt idx="1347">
                  <c:v>114.66165413533832</c:v>
                </c:pt>
                <c:pt idx="1348">
                  <c:v>114.66165413533832</c:v>
                </c:pt>
                <c:pt idx="1349">
                  <c:v>111.95488721804512</c:v>
                </c:pt>
                <c:pt idx="1350">
                  <c:v>117.81954887218045</c:v>
                </c:pt>
                <c:pt idx="1351">
                  <c:v>111.65413533834585</c:v>
                </c:pt>
                <c:pt idx="1352">
                  <c:v>111.65413533834585</c:v>
                </c:pt>
                <c:pt idx="1353">
                  <c:v>108.27067669172932</c:v>
                </c:pt>
                <c:pt idx="1354">
                  <c:v>108.27067669172932</c:v>
                </c:pt>
                <c:pt idx="1355">
                  <c:v>108.27067669172932</c:v>
                </c:pt>
                <c:pt idx="1356">
                  <c:v>103.23308270676692</c:v>
                </c:pt>
                <c:pt idx="1357">
                  <c:v>103.90977443609022</c:v>
                </c:pt>
                <c:pt idx="1358">
                  <c:v>100.45112781954886</c:v>
                </c:pt>
                <c:pt idx="1359">
                  <c:v>101.80451127819548</c:v>
                </c:pt>
                <c:pt idx="1360">
                  <c:v>101.80451127819548</c:v>
                </c:pt>
                <c:pt idx="1361">
                  <c:v>101.80451127819548</c:v>
                </c:pt>
                <c:pt idx="1362">
                  <c:v>101.80451127819548</c:v>
                </c:pt>
                <c:pt idx="1363">
                  <c:v>100.82706766917293</c:v>
                </c:pt>
                <c:pt idx="1364">
                  <c:v>98.496240601503743</c:v>
                </c:pt>
                <c:pt idx="1365">
                  <c:v>97.593984962406012</c:v>
                </c:pt>
                <c:pt idx="1366">
                  <c:v>97.669172932330824</c:v>
                </c:pt>
                <c:pt idx="1367">
                  <c:v>97.744360902255636</c:v>
                </c:pt>
                <c:pt idx="1368">
                  <c:v>97.744360902255636</c:v>
                </c:pt>
                <c:pt idx="1369">
                  <c:v>97.744360902255636</c:v>
                </c:pt>
                <c:pt idx="1370">
                  <c:v>96.390977443609017</c:v>
                </c:pt>
                <c:pt idx="1371">
                  <c:v>96.390977443609017</c:v>
                </c:pt>
                <c:pt idx="1372">
                  <c:v>93.609022556390968</c:v>
                </c:pt>
                <c:pt idx="1373">
                  <c:v>91.954887218045116</c:v>
                </c:pt>
                <c:pt idx="1374">
                  <c:v>89.849624060150362</c:v>
                </c:pt>
                <c:pt idx="1375">
                  <c:v>89.849624060150362</c:v>
                </c:pt>
                <c:pt idx="1376">
                  <c:v>89.849624060150362</c:v>
                </c:pt>
                <c:pt idx="1377">
                  <c:v>91.203007518796994</c:v>
                </c:pt>
                <c:pt idx="1378">
                  <c:v>89.849624060150362</c:v>
                </c:pt>
                <c:pt idx="1379">
                  <c:v>87.293233082706763</c:v>
                </c:pt>
                <c:pt idx="1380">
                  <c:v>87.142857142857139</c:v>
                </c:pt>
                <c:pt idx="1381">
                  <c:v>84.812030075187963</c:v>
                </c:pt>
                <c:pt idx="1382">
                  <c:v>84.812030075187963</c:v>
                </c:pt>
                <c:pt idx="1383">
                  <c:v>84.812030075187963</c:v>
                </c:pt>
                <c:pt idx="1384">
                  <c:v>82.180451127819538</c:v>
                </c:pt>
                <c:pt idx="1385">
                  <c:v>82.481203007518801</c:v>
                </c:pt>
                <c:pt idx="1386">
                  <c:v>83.684210526315795</c:v>
                </c:pt>
                <c:pt idx="1387">
                  <c:v>81.804511278195491</c:v>
                </c:pt>
                <c:pt idx="1388">
                  <c:v>83.533834586466156</c:v>
                </c:pt>
                <c:pt idx="1389">
                  <c:v>83.533834586466156</c:v>
                </c:pt>
                <c:pt idx="1390">
                  <c:v>83.533834586466156</c:v>
                </c:pt>
                <c:pt idx="1391">
                  <c:v>83.007518796992471</c:v>
                </c:pt>
                <c:pt idx="1392">
                  <c:v>73.007518796992485</c:v>
                </c:pt>
                <c:pt idx="1393">
                  <c:v>75.864661654135332</c:v>
                </c:pt>
                <c:pt idx="1394">
                  <c:v>75.488721804511272</c:v>
                </c:pt>
                <c:pt idx="1395">
                  <c:v>75.112781954887225</c:v>
                </c:pt>
                <c:pt idx="1396">
                  <c:v>75.112781954887225</c:v>
                </c:pt>
                <c:pt idx="1397">
                  <c:v>75.112781954887225</c:v>
                </c:pt>
                <c:pt idx="1398">
                  <c:v>76.015037593984957</c:v>
                </c:pt>
                <c:pt idx="1399">
                  <c:v>77.894736842105246</c:v>
                </c:pt>
                <c:pt idx="1400">
                  <c:v>79.09774436090224</c:v>
                </c:pt>
                <c:pt idx="1401">
                  <c:v>75.864661654135332</c:v>
                </c:pt>
                <c:pt idx="1402">
                  <c:v>74.661654135338338</c:v>
                </c:pt>
                <c:pt idx="1403">
                  <c:v>74.661654135338338</c:v>
                </c:pt>
                <c:pt idx="1404">
                  <c:v>74.661654135338338</c:v>
                </c:pt>
                <c:pt idx="1405">
                  <c:v>75.78947368421052</c:v>
                </c:pt>
                <c:pt idx="1406">
                  <c:v>73.834586466165405</c:v>
                </c:pt>
                <c:pt idx="1407">
                  <c:v>75.037593984962399</c:v>
                </c:pt>
                <c:pt idx="1408">
                  <c:v>71.654135338345853</c:v>
                </c:pt>
                <c:pt idx="1409">
                  <c:v>72.25563909774435</c:v>
                </c:pt>
                <c:pt idx="1410">
                  <c:v>72.25563909774435</c:v>
                </c:pt>
                <c:pt idx="1411">
                  <c:v>72.25563909774435</c:v>
                </c:pt>
                <c:pt idx="1412">
                  <c:v>75.338345864661648</c:v>
                </c:pt>
                <c:pt idx="1413">
                  <c:v>73.458646616541344</c:v>
                </c:pt>
                <c:pt idx="1414">
                  <c:v>71.804511278195491</c:v>
                </c:pt>
                <c:pt idx="1415">
                  <c:v>71.654135338345853</c:v>
                </c:pt>
                <c:pt idx="1416">
                  <c:v>75.563909774436084</c:v>
                </c:pt>
                <c:pt idx="1417">
                  <c:v>75.563909774436084</c:v>
                </c:pt>
                <c:pt idx="1418">
                  <c:v>75.563909774436084</c:v>
                </c:pt>
                <c:pt idx="1419">
                  <c:v>75.563909774436084</c:v>
                </c:pt>
                <c:pt idx="1420">
                  <c:v>73.759398496240607</c:v>
                </c:pt>
                <c:pt idx="1421">
                  <c:v>75.187969924812023</c:v>
                </c:pt>
                <c:pt idx="1422">
                  <c:v>78.496240601503757</c:v>
                </c:pt>
                <c:pt idx="1423">
                  <c:v>79.924812030075188</c:v>
                </c:pt>
                <c:pt idx="1424">
                  <c:v>79.924812030075188</c:v>
                </c:pt>
                <c:pt idx="1425">
                  <c:v>79.924812030075188</c:v>
                </c:pt>
                <c:pt idx="1426">
                  <c:v>82.030075187969913</c:v>
                </c:pt>
                <c:pt idx="1427">
                  <c:v>84.661654135338338</c:v>
                </c:pt>
                <c:pt idx="1428">
                  <c:v>83.533834586466156</c:v>
                </c:pt>
                <c:pt idx="1429">
                  <c:v>85.939849624060145</c:v>
                </c:pt>
                <c:pt idx="1430">
                  <c:v>86.240601503759393</c:v>
                </c:pt>
                <c:pt idx="1431">
                  <c:v>86.240601503759393</c:v>
                </c:pt>
                <c:pt idx="1432">
                  <c:v>86.240601503759393</c:v>
                </c:pt>
                <c:pt idx="1433">
                  <c:v>86.165413533834595</c:v>
                </c:pt>
                <c:pt idx="1434">
                  <c:v>85.413533834586445</c:v>
                </c:pt>
                <c:pt idx="1435">
                  <c:v>87.518796992481214</c:v>
                </c:pt>
                <c:pt idx="1436">
                  <c:v>86.616541353383454</c:v>
                </c:pt>
                <c:pt idx="1437">
                  <c:v>87.969924812030058</c:v>
                </c:pt>
                <c:pt idx="1438">
                  <c:v>87.969924812030058</c:v>
                </c:pt>
                <c:pt idx="1439">
                  <c:v>87.969924812030058</c:v>
                </c:pt>
                <c:pt idx="1440">
                  <c:v>90</c:v>
                </c:pt>
                <c:pt idx="1441">
                  <c:v>92.030075187969913</c:v>
                </c:pt>
                <c:pt idx="1442">
                  <c:v>88.421052631578945</c:v>
                </c:pt>
                <c:pt idx="1443">
                  <c:v>89.548872180451127</c:v>
                </c:pt>
                <c:pt idx="1444">
                  <c:v>88.796992481203006</c:v>
                </c:pt>
                <c:pt idx="1445">
                  <c:v>88.796992481203006</c:v>
                </c:pt>
                <c:pt idx="1446">
                  <c:v>88.796992481203006</c:v>
                </c:pt>
                <c:pt idx="1447">
                  <c:v>89.473684210526315</c:v>
                </c:pt>
                <c:pt idx="1448">
                  <c:v>91.05263157894737</c:v>
                </c:pt>
                <c:pt idx="1449">
                  <c:v>94.210526315789465</c:v>
                </c:pt>
                <c:pt idx="1450">
                  <c:v>93.383458646616532</c:v>
                </c:pt>
                <c:pt idx="1451">
                  <c:v>90.751879699248121</c:v>
                </c:pt>
                <c:pt idx="1452">
                  <c:v>90.751879699248121</c:v>
                </c:pt>
                <c:pt idx="1453">
                  <c:v>90.751879699248121</c:v>
                </c:pt>
                <c:pt idx="1454">
                  <c:v>89.022556390977442</c:v>
                </c:pt>
                <c:pt idx="1455">
                  <c:v>88.120300751879697</c:v>
                </c:pt>
                <c:pt idx="1456">
                  <c:v>90.375939849624061</c:v>
                </c:pt>
                <c:pt idx="1457">
                  <c:v>88.872180451127818</c:v>
                </c:pt>
                <c:pt idx="1458">
                  <c:v>88.872180451127818</c:v>
                </c:pt>
                <c:pt idx="1459">
                  <c:v>88.872180451127818</c:v>
                </c:pt>
                <c:pt idx="1460">
                  <c:v>88.872180451127818</c:v>
                </c:pt>
                <c:pt idx="1461">
                  <c:v>91.654135338345853</c:v>
                </c:pt>
                <c:pt idx="1462">
                  <c:v>91.729323308270665</c:v>
                </c:pt>
                <c:pt idx="1463">
                  <c:v>88.571428571428555</c:v>
                </c:pt>
                <c:pt idx="1464">
                  <c:v>87.819548872180448</c:v>
                </c:pt>
                <c:pt idx="1465">
                  <c:v>85.037593984962399</c:v>
                </c:pt>
                <c:pt idx="1466">
                  <c:v>85.037593984962399</c:v>
                </c:pt>
                <c:pt idx="1467">
                  <c:v>85.037593984962399</c:v>
                </c:pt>
                <c:pt idx="1468">
                  <c:v>84.360902255639104</c:v>
                </c:pt>
                <c:pt idx="1469">
                  <c:v>87.218045112781951</c:v>
                </c:pt>
                <c:pt idx="1470">
                  <c:v>87.593984962406012</c:v>
                </c:pt>
                <c:pt idx="1471">
                  <c:v>86.992481203007515</c:v>
                </c:pt>
                <c:pt idx="1472">
                  <c:v>93.609022556390968</c:v>
                </c:pt>
                <c:pt idx="1473">
                  <c:v>93.609022556390968</c:v>
                </c:pt>
                <c:pt idx="1474">
                  <c:v>93.609022556390968</c:v>
                </c:pt>
                <c:pt idx="1475">
                  <c:v>99.624060150375939</c:v>
                </c:pt>
                <c:pt idx="1476">
                  <c:v>103.30827067669173</c:v>
                </c:pt>
                <c:pt idx="1477">
                  <c:v>96.766917293233064</c:v>
                </c:pt>
                <c:pt idx="1478">
                  <c:v>100.15037593984961</c:v>
                </c:pt>
                <c:pt idx="1479">
                  <c:v>97.368421052631575</c:v>
                </c:pt>
                <c:pt idx="1480">
                  <c:v>97.368421052631575</c:v>
                </c:pt>
                <c:pt idx="1481">
                  <c:v>97.368421052631575</c:v>
                </c:pt>
                <c:pt idx="1482">
                  <c:v>93.308270676691734</c:v>
                </c:pt>
                <c:pt idx="1483">
                  <c:v>95.563909774436098</c:v>
                </c:pt>
                <c:pt idx="1484">
                  <c:v>97.293233082706749</c:v>
                </c:pt>
                <c:pt idx="1485">
                  <c:v>95.112781954887211</c:v>
                </c:pt>
                <c:pt idx="1486">
                  <c:v>94.661654135338338</c:v>
                </c:pt>
                <c:pt idx="1487">
                  <c:v>94.661654135338338</c:v>
                </c:pt>
                <c:pt idx="1488">
                  <c:v>94.661654135338338</c:v>
                </c:pt>
                <c:pt idx="1489">
                  <c:v>93.759398496240593</c:v>
                </c:pt>
                <c:pt idx="1490">
                  <c:v>91.578947368421055</c:v>
                </c:pt>
                <c:pt idx="1491">
                  <c:v>89.548872180451127</c:v>
                </c:pt>
                <c:pt idx="1492">
                  <c:v>90.375939849624061</c:v>
                </c:pt>
                <c:pt idx="1493">
                  <c:v>90.375939849624061</c:v>
                </c:pt>
                <c:pt idx="1494">
                  <c:v>90.375939849624061</c:v>
                </c:pt>
                <c:pt idx="1495">
                  <c:v>90.375939849624061</c:v>
                </c:pt>
                <c:pt idx="1496">
                  <c:v>91.278195488721806</c:v>
                </c:pt>
                <c:pt idx="1497">
                  <c:v>89.924812030075188</c:v>
                </c:pt>
                <c:pt idx="1498">
                  <c:v>88.872180451127818</c:v>
                </c:pt>
                <c:pt idx="1499">
                  <c:v>92.330827067669162</c:v>
                </c:pt>
                <c:pt idx="1500">
                  <c:v>89.323308270676691</c:v>
                </c:pt>
                <c:pt idx="1501">
                  <c:v>89.323308270676691</c:v>
                </c:pt>
                <c:pt idx="1502">
                  <c:v>89.323308270676691</c:v>
                </c:pt>
                <c:pt idx="1503">
                  <c:v>91.127819548872168</c:v>
                </c:pt>
                <c:pt idx="1504">
                  <c:v>86.842105263157904</c:v>
                </c:pt>
                <c:pt idx="1505">
                  <c:v>82.556390977443613</c:v>
                </c:pt>
                <c:pt idx="1506">
                  <c:v>77.293233082706763</c:v>
                </c:pt>
                <c:pt idx="1507">
                  <c:v>77.293233082706763</c:v>
                </c:pt>
                <c:pt idx="1508">
                  <c:v>77.293233082706763</c:v>
                </c:pt>
                <c:pt idx="1509">
                  <c:v>77.293233082706763</c:v>
                </c:pt>
                <c:pt idx="1510">
                  <c:v>79.323308270676691</c:v>
                </c:pt>
                <c:pt idx="1511">
                  <c:v>79.172932330827066</c:v>
                </c:pt>
                <c:pt idx="1512">
                  <c:v>78.646616541353382</c:v>
                </c:pt>
                <c:pt idx="1513">
                  <c:v>79.248120300751864</c:v>
                </c:pt>
                <c:pt idx="1514">
                  <c:v>79.248120300751864</c:v>
                </c:pt>
                <c:pt idx="1515">
                  <c:v>79.248120300751864</c:v>
                </c:pt>
                <c:pt idx="1516">
                  <c:v>79.248120300751864</c:v>
                </c:pt>
                <c:pt idx="1517">
                  <c:v>81.879699248120303</c:v>
                </c:pt>
                <c:pt idx="1518">
                  <c:v>82.556390977443613</c:v>
                </c:pt>
                <c:pt idx="1519">
                  <c:v>82.330827067669162</c:v>
                </c:pt>
                <c:pt idx="1520">
                  <c:v>82.556390977443613</c:v>
                </c:pt>
                <c:pt idx="1521">
                  <c:v>77.368421052631561</c:v>
                </c:pt>
                <c:pt idx="1522">
                  <c:v>77.368421052631561</c:v>
                </c:pt>
                <c:pt idx="1523">
                  <c:v>77.368421052631561</c:v>
                </c:pt>
                <c:pt idx="1524">
                  <c:v>76.165413533834595</c:v>
                </c:pt>
                <c:pt idx="1525">
                  <c:v>76.015037593984957</c:v>
                </c:pt>
                <c:pt idx="1526">
                  <c:v>74.436090225563916</c:v>
                </c:pt>
                <c:pt idx="1527">
                  <c:v>76.390977443609017</c:v>
                </c:pt>
                <c:pt idx="1528">
                  <c:v>74.73684210526315</c:v>
                </c:pt>
                <c:pt idx="1529">
                  <c:v>74.73684210526315</c:v>
                </c:pt>
                <c:pt idx="1530">
                  <c:v>74.73684210526315</c:v>
                </c:pt>
                <c:pt idx="1531">
                  <c:v>75.488721804511272</c:v>
                </c:pt>
                <c:pt idx="1532">
                  <c:v>75.187969924812023</c:v>
                </c:pt>
                <c:pt idx="1533">
                  <c:v>74.511278195488714</c:v>
                </c:pt>
                <c:pt idx="1534">
                  <c:v>75.41353383458646</c:v>
                </c:pt>
                <c:pt idx="1535">
                  <c:v>80.676691729323295</c:v>
                </c:pt>
                <c:pt idx="1536">
                  <c:v>80.676691729323295</c:v>
                </c:pt>
                <c:pt idx="1537">
                  <c:v>80.676691729323295</c:v>
                </c:pt>
                <c:pt idx="1538">
                  <c:v>81.879699248120303</c:v>
                </c:pt>
                <c:pt idx="1539">
                  <c:v>81.428571428571431</c:v>
                </c:pt>
                <c:pt idx="1540">
                  <c:v>83.984962406015029</c:v>
                </c:pt>
                <c:pt idx="1541">
                  <c:v>86.842105263157904</c:v>
                </c:pt>
                <c:pt idx="1542">
                  <c:v>85.563909774436084</c:v>
                </c:pt>
                <c:pt idx="1543">
                  <c:v>85.563909774436084</c:v>
                </c:pt>
                <c:pt idx="1544">
                  <c:v>85.563909774436084</c:v>
                </c:pt>
                <c:pt idx="1545">
                  <c:v>85.488721804511272</c:v>
                </c:pt>
                <c:pt idx="1546">
                  <c:v>85.488721804511272</c:v>
                </c:pt>
                <c:pt idx="1547">
                  <c:v>85.714285714285708</c:v>
                </c:pt>
                <c:pt idx="1548">
                  <c:v>85.263157894736835</c:v>
                </c:pt>
                <c:pt idx="1549">
                  <c:v>85.563909774436084</c:v>
                </c:pt>
                <c:pt idx="1550">
                  <c:v>85.563909774436084</c:v>
                </c:pt>
                <c:pt idx="1551">
                  <c:v>85.563909774436084</c:v>
                </c:pt>
                <c:pt idx="1552">
                  <c:v>84.586466165413526</c:v>
                </c:pt>
                <c:pt idx="1553">
                  <c:v>83.233082706766908</c:v>
                </c:pt>
                <c:pt idx="1554">
                  <c:v>83.609022556390968</c:v>
                </c:pt>
                <c:pt idx="1555">
                  <c:v>83.383458646616532</c:v>
                </c:pt>
                <c:pt idx="1556">
                  <c:v>84.661654135338338</c:v>
                </c:pt>
                <c:pt idx="1557">
                  <c:v>84.661654135338338</c:v>
                </c:pt>
                <c:pt idx="1558">
                  <c:v>84.661654135338338</c:v>
                </c:pt>
                <c:pt idx="1559">
                  <c:v>83.609022556390968</c:v>
                </c:pt>
                <c:pt idx="1560">
                  <c:v>88.045112781954899</c:v>
                </c:pt>
                <c:pt idx="1561">
                  <c:v>90.601503759398497</c:v>
                </c:pt>
                <c:pt idx="1562">
                  <c:v>89.699248120300751</c:v>
                </c:pt>
                <c:pt idx="1563">
                  <c:v>83.609022556390968</c:v>
                </c:pt>
                <c:pt idx="1564">
                  <c:v>83.609022556390968</c:v>
                </c:pt>
                <c:pt idx="1565">
                  <c:v>83.609022556390968</c:v>
                </c:pt>
                <c:pt idx="1566">
                  <c:v>81.578947368421055</c:v>
                </c:pt>
                <c:pt idx="1567">
                  <c:v>81.203007518796994</c:v>
                </c:pt>
                <c:pt idx="1568">
                  <c:v>82.593984962406012</c:v>
                </c:pt>
                <c:pt idx="1569">
                  <c:v>81.879699248120303</c:v>
                </c:pt>
                <c:pt idx="1570">
                  <c:v>89.022556390977442</c:v>
                </c:pt>
                <c:pt idx="1571">
                  <c:v>89.022556390977442</c:v>
                </c:pt>
                <c:pt idx="1572">
                  <c:v>89.022556390977442</c:v>
                </c:pt>
                <c:pt idx="1573">
                  <c:v>90.26315789473685</c:v>
                </c:pt>
                <c:pt idx="1574">
                  <c:v>92.706766917293223</c:v>
                </c:pt>
                <c:pt idx="1575">
                  <c:v>107.14285714285714</c:v>
                </c:pt>
                <c:pt idx="1576">
                  <c:v>106.01503759398496</c:v>
                </c:pt>
                <c:pt idx="1577">
                  <c:v>103.83458646616542</c:v>
                </c:pt>
                <c:pt idx="1578">
                  <c:v>103.83458646616542</c:v>
                </c:pt>
                <c:pt idx="1579">
                  <c:v>103.83458646616542</c:v>
                </c:pt>
                <c:pt idx="1580">
                  <c:v>104.88721804511276</c:v>
                </c:pt>
                <c:pt idx="1581">
                  <c:v>105.78947368421052</c:v>
                </c:pt>
                <c:pt idx="1582">
                  <c:v>106.46616541353382</c:v>
                </c:pt>
                <c:pt idx="1583">
                  <c:v>107.21804511278195</c:v>
                </c:pt>
                <c:pt idx="1584">
                  <c:v>106.9172932330827</c:v>
                </c:pt>
                <c:pt idx="1585">
                  <c:v>106.9172932330827</c:v>
                </c:pt>
                <c:pt idx="1586">
                  <c:v>106.9172932330827</c:v>
                </c:pt>
                <c:pt idx="1587">
                  <c:v>106.76691729323306</c:v>
                </c:pt>
                <c:pt idx="1588">
                  <c:v>104.3609022556391</c:v>
                </c:pt>
                <c:pt idx="1589">
                  <c:v>103.00751879699249</c:v>
                </c:pt>
                <c:pt idx="1590">
                  <c:v>101.27819548872181</c:v>
                </c:pt>
                <c:pt idx="1591">
                  <c:v>99.473684210526315</c:v>
                </c:pt>
                <c:pt idx="1592">
                  <c:v>99.473684210526315</c:v>
                </c:pt>
                <c:pt idx="1593">
                  <c:v>99.473684210526315</c:v>
                </c:pt>
                <c:pt idx="1594">
                  <c:v>100.30075187969925</c:v>
                </c:pt>
                <c:pt idx="1595">
                  <c:v>100.07518796992481</c:v>
                </c:pt>
                <c:pt idx="1596">
                  <c:v>100.90225563909773</c:v>
                </c:pt>
                <c:pt idx="1597">
                  <c:v>95.563909774436098</c:v>
                </c:pt>
                <c:pt idx="1598">
                  <c:v>95.864661654135332</c:v>
                </c:pt>
                <c:pt idx="1599">
                  <c:v>95.864661654135332</c:v>
                </c:pt>
                <c:pt idx="1600">
                  <c:v>95.864661654135332</c:v>
                </c:pt>
                <c:pt idx="1601">
                  <c:v>95.78947368421052</c:v>
                </c:pt>
                <c:pt idx="1602">
                  <c:v>95.78947368421052</c:v>
                </c:pt>
                <c:pt idx="1603">
                  <c:v>93.609022556390968</c:v>
                </c:pt>
                <c:pt idx="1604">
                  <c:v>94.812030075187963</c:v>
                </c:pt>
                <c:pt idx="1605">
                  <c:v>100</c:v>
                </c:pt>
                <c:pt idx="1606">
                  <c:v>100</c:v>
                </c:pt>
                <c:pt idx="1607">
                  <c:v>100</c:v>
                </c:pt>
                <c:pt idx="1608">
                  <c:v>100.82706766917293</c:v>
                </c:pt>
                <c:pt idx="1609">
                  <c:v>103.30827067669173</c:v>
                </c:pt>
                <c:pt idx="1610">
                  <c:v>98.646616541353367</c:v>
                </c:pt>
                <c:pt idx="1611">
                  <c:v>98.345864661654119</c:v>
                </c:pt>
                <c:pt idx="1612">
                  <c:v>94.135338345864653</c:v>
                </c:pt>
                <c:pt idx="1613">
                  <c:v>94.135338345864653</c:v>
                </c:pt>
                <c:pt idx="1614">
                  <c:v>94.135338345864653</c:v>
                </c:pt>
                <c:pt idx="1615">
                  <c:v>92.180451127819538</c:v>
                </c:pt>
                <c:pt idx="1616">
                  <c:v>91.879699248120303</c:v>
                </c:pt>
                <c:pt idx="1617">
                  <c:v>92.481203007518801</c:v>
                </c:pt>
                <c:pt idx="1618">
                  <c:v>94.360902255639104</c:v>
                </c:pt>
                <c:pt idx="1619">
                  <c:v>92.10526315789474</c:v>
                </c:pt>
                <c:pt idx="1620">
                  <c:v>92.10526315789474</c:v>
                </c:pt>
                <c:pt idx="1621">
                  <c:v>92.10526315789474</c:v>
                </c:pt>
                <c:pt idx="1622">
                  <c:v>94.962406015037587</c:v>
                </c:pt>
                <c:pt idx="1623">
                  <c:v>96.691729323308266</c:v>
                </c:pt>
                <c:pt idx="1624">
                  <c:v>97.142857142857139</c:v>
                </c:pt>
                <c:pt idx="1625">
                  <c:v>99.172932330827052</c:v>
                </c:pt>
                <c:pt idx="1626">
                  <c:v>99.172932330827052</c:v>
                </c:pt>
                <c:pt idx="1627">
                  <c:v>99.172932330827052</c:v>
                </c:pt>
                <c:pt idx="1628">
                  <c:v>99.172932330827052</c:v>
                </c:pt>
                <c:pt idx="1629">
                  <c:v>97.744360902255636</c:v>
                </c:pt>
                <c:pt idx="1630">
                  <c:v>95.263157894736835</c:v>
                </c:pt>
                <c:pt idx="1631">
                  <c:v>91.353383458646618</c:v>
                </c:pt>
                <c:pt idx="1632">
                  <c:v>91.954887218045116</c:v>
                </c:pt>
                <c:pt idx="1633">
                  <c:v>93.458646616541344</c:v>
                </c:pt>
                <c:pt idx="1634">
                  <c:v>93.458646616541344</c:v>
                </c:pt>
                <c:pt idx="1635">
                  <c:v>93.458646616541344</c:v>
                </c:pt>
                <c:pt idx="1636">
                  <c:v>93.984962406015043</c:v>
                </c:pt>
                <c:pt idx="1637">
                  <c:v>93.834586466165419</c:v>
                </c:pt>
                <c:pt idx="1638">
                  <c:v>91.503759398496229</c:v>
                </c:pt>
                <c:pt idx="1639">
                  <c:v>90.601503759398497</c:v>
                </c:pt>
                <c:pt idx="1640">
                  <c:v>93.007518796992471</c:v>
                </c:pt>
                <c:pt idx="1641">
                  <c:v>93.007518796992471</c:v>
                </c:pt>
                <c:pt idx="1642">
                  <c:v>93.007518796992471</c:v>
                </c:pt>
                <c:pt idx="1643">
                  <c:v>92.781954887218049</c:v>
                </c:pt>
                <c:pt idx="1644">
                  <c:v>94.962406015037587</c:v>
                </c:pt>
                <c:pt idx="1645">
                  <c:v>97.89473684210526</c:v>
                </c:pt>
                <c:pt idx="1646">
                  <c:v>95.939849624060145</c:v>
                </c:pt>
                <c:pt idx="1647">
                  <c:v>91.954887218045116</c:v>
                </c:pt>
                <c:pt idx="1648">
                  <c:v>91.954887218045116</c:v>
                </c:pt>
                <c:pt idx="1649">
                  <c:v>91.954887218045116</c:v>
                </c:pt>
                <c:pt idx="1650">
                  <c:v>91.127819548872168</c:v>
                </c:pt>
                <c:pt idx="1651">
                  <c:v>96.46616541353383</c:v>
                </c:pt>
                <c:pt idx="1652">
                  <c:v>98.571428571428569</c:v>
                </c:pt>
                <c:pt idx="1653">
                  <c:v>100.97744360902254</c:v>
                </c:pt>
                <c:pt idx="1654">
                  <c:v>98.646616541353367</c:v>
                </c:pt>
                <c:pt idx="1655">
                  <c:v>98.646616541353367</c:v>
                </c:pt>
                <c:pt idx="1656">
                  <c:v>98.646616541353367</c:v>
                </c:pt>
                <c:pt idx="1657">
                  <c:v>99.548872180451127</c:v>
                </c:pt>
                <c:pt idx="1658">
                  <c:v>100.52631578947367</c:v>
                </c:pt>
                <c:pt idx="1659">
                  <c:v>103.08270676691728</c:v>
                </c:pt>
                <c:pt idx="1660">
                  <c:v>102.33082706766916</c:v>
                </c:pt>
                <c:pt idx="1661">
                  <c:v>104.88721804511276</c:v>
                </c:pt>
                <c:pt idx="1662">
                  <c:v>104.88721804511276</c:v>
                </c:pt>
                <c:pt idx="1663">
                  <c:v>104.88721804511276</c:v>
                </c:pt>
                <c:pt idx="1664">
                  <c:v>106.16541353383457</c:v>
                </c:pt>
                <c:pt idx="1665">
                  <c:v>110.97744360902256</c:v>
                </c:pt>
                <c:pt idx="1666">
                  <c:v>106.09022556390977</c:v>
                </c:pt>
                <c:pt idx="1667">
                  <c:v>106.46616541353382</c:v>
                </c:pt>
                <c:pt idx="1668">
                  <c:v>104.3609022556391</c:v>
                </c:pt>
                <c:pt idx="1669">
                  <c:v>104.3609022556391</c:v>
                </c:pt>
                <c:pt idx="1670">
                  <c:v>104.3609022556391</c:v>
                </c:pt>
                <c:pt idx="1671">
                  <c:v>103.75939849624061</c:v>
                </c:pt>
                <c:pt idx="1672">
                  <c:v>101.8796992481203</c:v>
                </c:pt>
                <c:pt idx="1673">
                  <c:v>101.35338345864662</c:v>
                </c:pt>
                <c:pt idx="1674">
                  <c:v>103.75939849624061</c:v>
                </c:pt>
                <c:pt idx="1675">
                  <c:v>104.66165413533834</c:v>
                </c:pt>
                <c:pt idx="1676">
                  <c:v>104.66165413533834</c:v>
                </c:pt>
                <c:pt idx="1677">
                  <c:v>104.66165413533834</c:v>
                </c:pt>
                <c:pt idx="1678">
                  <c:v>101.72932330827066</c:v>
                </c:pt>
                <c:pt idx="1679">
                  <c:v>107.44360902255639</c:v>
                </c:pt>
                <c:pt idx="1680">
                  <c:v>104.4360902255639</c:v>
                </c:pt>
                <c:pt idx="1681">
                  <c:v>103.83458646616542</c:v>
                </c:pt>
                <c:pt idx="1682">
                  <c:v>100.45112781954886</c:v>
                </c:pt>
                <c:pt idx="1683">
                  <c:v>100.45112781954886</c:v>
                </c:pt>
                <c:pt idx="1684">
                  <c:v>100.45112781954886</c:v>
                </c:pt>
                <c:pt idx="1685">
                  <c:v>97.89473684210526</c:v>
                </c:pt>
                <c:pt idx="1686">
                  <c:v>99.172932330827052</c:v>
                </c:pt>
                <c:pt idx="1687">
                  <c:v>91.353383458646618</c:v>
                </c:pt>
                <c:pt idx="1688">
                  <c:v>91.353383458646618</c:v>
                </c:pt>
                <c:pt idx="1689">
                  <c:v>93.834586466165419</c:v>
                </c:pt>
                <c:pt idx="1690">
                  <c:v>93.834586466165419</c:v>
                </c:pt>
                <c:pt idx="1691">
                  <c:v>93.834586466165419</c:v>
                </c:pt>
                <c:pt idx="1692">
                  <c:v>94.73684210526315</c:v>
                </c:pt>
                <c:pt idx="1693">
                  <c:v>99.473684210526315</c:v>
                </c:pt>
                <c:pt idx="1694">
                  <c:v>100.75187969924812</c:v>
                </c:pt>
                <c:pt idx="1695">
                  <c:v>105.86466165413533</c:v>
                </c:pt>
                <c:pt idx="1696">
                  <c:v>106.54135338345864</c:v>
                </c:pt>
                <c:pt idx="1697">
                  <c:v>106.54135338345864</c:v>
                </c:pt>
                <c:pt idx="1698">
                  <c:v>106.54135338345864</c:v>
                </c:pt>
                <c:pt idx="1699">
                  <c:v>108.12030075187971</c:v>
                </c:pt>
                <c:pt idx="1700">
                  <c:v>105.11278195488723</c:v>
                </c:pt>
                <c:pt idx="1701">
                  <c:v>95.037593984962413</c:v>
                </c:pt>
                <c:pt idx="1702">
                  <c:v>89.699248120300751</c:v>
                </c:pt>
                <c:pt idx="1703">
                  <c:v>86.015037593984957</c:v>
                </c:pt>
                <c:pt idx="1704">
                  <c:v>86.015037593984957</c:v>
                </c:pt>
                <c:pt idx="1705">
                  <c:v>86.015037593984957</c:v>
                </c:pt>
                <c:pt idx="1706">
                  <c:v>86.46616541353383</c:v>
                </c:pt>
                <c:pt idx="1707">
                  <c:v>88.496240601503757</c:v>
                </c:pt>
                <c:pt idx="1708">
                  <c:v>89.924812030075188</c:v>
                </c:pt>
                <c:pt idx="1709">
                  <c:v>90.902255639097746</c:v>
                </c:pt>
                <c:pt idx="1710">
                  <c:v>92.330827067669162</c:v>
                </c:pt>
                <c:pt idx="1711">
                  <c:v>92.330827067669162</c:v>
                </c:pt>
                <c:pt idx="1712">
                  <c:v>92.330827067669162</c:v>
                </c:pt>
                <c:pt idx="1713">
                  <c:v>96.992481203007515</c:v>
                </c:pt>
                <c:pt idx="1714">
                  <c:v>93.082706766917283</c:v>
                </c:pt>
                <c:pt idx="1715">
                  <c:v>90.451127819548859</c:v>
                </c:pt>
                <c:pt idx="1716">
                  <c:v>84.511278195488714</c:v>
                </c:pt>
                <c:pt idx="1717">
                  <c:v>81.954887218045116</c:v>
                </c:pt>
                <c:pt idx="1718">
                  <c:v>81.954887218045116</c:v>
                </c:pt>
                <c:pt idx="1719">
                  <c:v>81.954887218045116</c:v>
                </c:pt>
                <c:pt idx="1720">
                  <c:v>82.180451127819538</c:v>
                </c:pt>
                <c:pt idx="1721">
                  <c:v>84.135338345864653</c:v>
                </c:pt>
                <c:pt idx="1722">
                  <c:v>83.609022556390968</c:v>
                </c:pt>
                <c:pt idx="1723">
                  <c:v>82.706766917293223</c:v>
                </c:pt>
                <c:pt idx="1724">
                  <c:v>82.706766917293223</c:v>
                </c:pt>
                <c:pt idx="1725">
                  <c:v>82.706766917293223</c:v>
                </c:pt>
                <c:pt idx="1726">
                  <c:v>82.706766917293223</c:v>
                </c:pt>
                <c:pt idx="1727">
                  <c:v>82.556390977443613</c:v>
                </c:pt>
                <c:pt idx="1728">
                  <c:v>81.879699248120303</c:v>
                </c:pt>
                <c:pt idx="1729">
                  <c:v>81.879699248120303</c:v>
                </c:pt>
                <c:pt idx="1730">
                  <c:v>83.007518796992471</c:v>
                </c:pt>
                <c:pt idx="1731">
                  <c:v>85.78947368421052</c:v>
                </c:pt>
                <c:pt idx="1732">
                  <c:v>85.78947368421052</c:v>
                </c:pt>
                <c:pt idx="1733">
                  <c:v>85.78947368421052</c:v>
                </c:pt>
                <c:pt idx="1734">
                  <c:v>84.774436090225564</c:v>
                </c:pt>
                <c:pt idx="1735">
                  <c:v>84.210526315789465</c:v>
                </c:pt>
                <c:pt idx="1736">
                  <c:v>95.864661654135332</c:v>
                </c:pt>
                <c:pt idx="1737">
                  <c:v>85.864661654135332</c:v>
                </c:pt>
                <c:pt idx="1738">
                  <c:v>84.661654135338338</c:v>
                </c:pt>
                <c:pt idx="1739">
                  <c:v>84.661654135338338</c:v>
                </c:pt>
                <c:pt idx="1740">
                  <c:v>84.661654135338338</c:v>
                </c:pt>
                <c:pt idx="1741">
                  <c:v>83.233082706766908</c:v>
                </c:pt>
                <c:pt idx="1742">
                  <c:v>81.127819548872168</c:v>
                </c:pt>
                <c:pt idx="1743">
                  <c:v>76.541353383458642</c:v>
                </c:pt>
                <c:pt idx="1744">
                  <c:v>75.488721804511272</c:v>
                </c:pt>
                <c:pt idx="1745">
                  <c:v>76.616541353383454</c:v>
                </c:pt>
                <c:pt idx="1746">
                  <c:v>76.616541353383454</c:v>
                </c:pt>
                <c:pt idx="1747">
                  <c:v>76.616541353383454</c:v>
                </c:pt>
                <c:pt idx="1748">
                  <c:v>75.939849624060145</c:v>
                </c:pt>
                <c:pt idx="1749">
                  <c:v>78.120300751879697</c:v>
                </c:pt>
                <c:pt idx="1750">
                  <c:v>77.593984962406012</c:v>
                </c:pt>
                <c:pt idx="1751">
                  <c:v>102.40601503759396</c:v>
                </c:pt>
                <c:pt idx="1752">
                  <c:v>100</c:v>
                </c:pt>
                <c:pt idx="1753">
                  <c:v>100</c:v>
                </c:pt>
                <c:pt idx="1754">
                  <c:v>100</c:v>
                </c:pt>
                <c:pt idx="1755">
                  <c:v>102.40601503759396</c:v>
                </c:pt>
                <c:pt idx="1756">
                  <c:v>100.82706766917293</c:v>
                </c:pt>
                <c:pt idx="1757">
                  <c:v>101.42857142857142</c:v>
                </c:pt>
                <c:pt idx="1758">
                  <c:v>98.721804511278194</c:v>
                </c:pt>
                <c:pt idx="1759">
                  <c:v>97.744360902255636</c:v>
                </c:pt>
                <c:pt idx="1760">
                  <c:v>97.744360902255636</c:v>
                </c:pt>
                <c:pt idx="1761">
                  <c:v>97.744360902255636</c:v>
                </c:pt>
                <c:pt idx="1762">
                  <c:v>98.571428571428569</c:v>
                </c:pt>
                <c:pt idx="1763">
                  <c:v>96.541353383458642</c:v>
                </c:pt>
                <c:pt idx="1764">
                  <c:v>97.368421052631575</c:v>
                </c:pt>
                <c:pt idx="1765">
                  <c:v>96.165413533834581</c:v>
                </c:pt>
                <c:pt idx="1766">
                  <c:v>92.556390977443598</c:v>
                </c:pt>
                <c:pt idx="1767">
                  <c:v>92.556390977443598</c:v>
                </c:pt>
                <c:pt idx="1768">
                  <c:v>92.556390977443598</c:v>
                </c:pt>
                <c:pt idx="1769">
                  <c:v>92.556390977443598</c:v>
                </c:pt>
                <c:pt idx="1770">
                  <c:v>95.939849624060145</c:v>
                </c:pt>
                <c:pt idx="1771">
                  <c:v>98.496240601503743</c:v>
                </c:pt>
                <c:pt idx="1772">
                  <c:v>98.496240601503743</c:v>
                </c:pt>
                <c:pt idx="1773">
                  <c:v>101.65413533834587</c:v>
                </c:pt>
                <c:pt idx="1774">
                  <c:v>101.65413533834587</c:v>
                </c:pt>
                <c:pt idx="1775">
                  <c:v>101.65413533834587</c:v>
                </c:pt>
                <c:pt idx="1776">
                  <c:v>99.774436090225564</c:v>
                </c:pt>
                <c:pt idx="1777">
                  <c:v>106.54135338345864</c:v>
                </c:pt>
                <c:pt idx="1778">
                  <c:v>106.46616541353382</c:v>
                </c:pt>
                <c:pt idx="1779">
                  <c:v>110.07518796992481</c:v>
                </c:pt>
                <c:pt idx="1780">
                  <c:v>109.39849624060149</c:v>
                </c:pt>
                <c:pt idx="1781">
                  <c:v>109.39849624060149</c:v>
                </c:pt>
                <c:pt idx="1782">
                  <c:v>109.39849624060149</c:v>
                </c:pt>
                <c:pt idx="1783">
                  <c:v>105.63909774436091</c:v>
                </c:pt>
                <c:pt idx="1784">
                  <c:v>103.08270676691728</c:v>
                </c:pt>
                <c:pt idx="1785">
                  <c:v>102.93233082706766</c:v>
                </c:pt>
                <c:pt idx="1786">
                  <c:v>103.00751879699249</c:v>
                </c:pt>
                <c:pt idx="1787">
                  <c:v>103.00751879699249</c:v>
                </c:pt>
                <c:pt idx="1788">
                  <c:v>103.00751879699249</c:v>
                </c:pt>
                <c:pt idx="1789">
                  <c:v>103.00751879699249</c:v>
                </c:pt>
                <c:pt idx="1790">
                  <c:v>103.68421052631578</c:v>
                </c:pt>
                <c:pt idx="1791">
                  <c:v>106.01503759398496</c:v>
                </c:pt>
                <c:pt idx="1792">
                  <c:v>103.90977443609022</c:v>
                </c:pt>
                <c:pt idx="1793">
                  <c:v>108.27067669172932</c:v>
                </c:pt>
                <c:pt idx="1794">
                  <c:v>101.42857142857142</c:v>
                </c:pt>
                <c:pt idx="1795">
                  <c:v>101.42857142857142</c:v>
                </c:pt>
                <c:pt idx="1796">
                  <c:v>101.42857142857142</c:v>
                </c:pt>
                <c:pt idx="1797">
                  <c:v>102.63157894736842</c:v>
                </c:pt>
                <c:pt idx="1798">
                  <c:v>105.11278195488723</c:v>
                </c:pt>
                <c:pt idx="1799">
                  <c:v>106.01503759398496</c:v>
                </c:pt>
                <c:pt idx="1800">
                  <c:v>107.36842105263156</c:v>
                </c:pt>
                <c:pt idx="1801">
                  <c:v>104.58646616541354</c:v>
                </c:pt>
                <c:pt idx="1802">
                  <c:v>104.58646616541354</c:v>
                </c:pt>
                <c:pt idx="1803">
                  <c:v>104.58646616541354</c:v>
                </c:pt>
                <c:pt idx="1804">
                  <c:v>100.22556390977444</c:v>
                </c:pt>
                <c:pt idx="1805">
                  <c:v>99.398496240601503</c:v>
                </c:pt>
                <c:pt idx="1806">
                  <c:v>98.120300751879697</c:v>
                </c:pt>
                <c:pt idx="1807">
                  <c:v>98.045112781954884</c:v>
                </c:pt>
                <c:pt idx="1808">
                  <c:v>97.969924812030058</c:v>
                </c:pt>
                <c:pt idx="1809">
                  <c:v>97.969924812030058</c:v>
                </c:pt>
                <c:pt idx="1810">
                  <c:v>97.969924812030058</c:v>
                </c:pt>
                <c:pt idx="1811">
                  <c:v>104.51127819548871</c:v>
                </c:pt>
                <c:pt idx="1812">
                  <c:v>112.4812030075188</c:v>
                </c:pt>
                <c:pt idx="1813">
                  <c:v>108.72180451127819</c:v>
                </c:pt>
                <c:pt idx="1814">
                  <c:v>114.28571428571428</c:v>
                </c:pt>
                <c:pt idx="1815">
                  <c:v>106.16541353383457</c:v>
                </c:pt>
                <c:pt idx="1816">
                  <c:v>106.16541353383457</c:v>
                </c:pt>
                <c:pt idx="1817">
                  <c:v>106.16541353383457</c:v>
                </c:pt>
                <c:pt idx="1818">
                  <c:v>107.66917293233082</c:v>
                </c:pt>
                <c:pt idx="1819">
                  <c:v>107.36842105263156</c:v>
                </c:pt>
                <c:pt idx="1820">
                  <c:v>105.26315789473684</c:v>
                </c:pt>
                <c:pt idx="1821">
                  <c:v>98.721804511278194</c:v>
                </c:pt>
                <c:pt idx="1822">
                  <c:v>98.721804511278194</c:v>
                </c:pt>
                <c:pt idx="1823">
                  <c:v>98.721804511278194</c:v>
                </c:pt>
                <c:pt idx="1824">
                  <c:v>98.721804511278194</c:v>
                </c:pt>
                <c:pt idx="1825">
                  <c:v>97.518796992481199</c:v>
                </c:pt>
                <c:pt idx="1826">
                  <c:v>100</c:v>
                </c:pt>
              </c:numCache>
            </c:numRef>
          </c:val>
          <c:smooth val="0"/>
          <c:extLst>
            <c:ext xmlns:c16="http://schemas.microsoft.com/office/drawing/2014/chart" uri="{C3380CC4-5D6E-409C-BE32-E72D297353CC}">
              <c16:uniqueId val="{00000002-9E9F-443E-87D8-A4B4D8C106CA}"/>
            </c:ext>
          </c:extLst>
        </c:ser>
        <c:ser>
          <c:idx val="3"/>
          <c:order val="3"/>
          <c:tx>
            <c:strRef>
              <c:f>[32]Indexed!$F$3</c:f>
              <c:strCache>
                <c:ptCount val="1"/>
                <c:pt idx="0">
                  <c:v>Taiwan Semiconductor Manufacturing Co Ltd</c:v>
                </c:pt>
              </c:strCache>
            </c:strRef>
          </c:tx>
          <c:spPr>
            <a:ln w="28575" cap="rnd">
              <a:solidFill>
                <a:schemeClr val="accent1">
                  <a:lumMod val="60000"/>
                </a:schemeClr>
              </a:solidFill>
              <a:round/>
            </a:ln>
            <a:effectLst/>
          </c:spPr>
          <c:marker>
            <c:symbol val="none"/>
          </c:marker>
          <c:cat>
            <c:numRef>
              <c:f>[32]Indexed!$B$4:$B$3657</c:f>
              <c:numCache>
                <c:formatCode>General</c:formatCode>
                <c:ptCount val="3654"/>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c:v>43351</c:v>
                </c:pt>
                <c:pt idx="1257">
                  <c:v>43350</c:v>
                </c:pt>
                <c:pt idx="1258">
                  <c:v>43349</c:v>
                </c:pt>
                <c:pt idx="1259">
                  <c:v>43348</c:v>
                </c:pt>
                <c:pt idx="1260">
                  <c:v>43347</c:v>
                </c:pt>
                <c:pt idx="1261">
                  <c:v>43346</c:v>
                </c:pt>
                <c:pt idx="1262">
                  <c:v>43345</c:v>
                </c:pt>
                <c:pt idx="1263">
                  <c:v>43344</c:v>
                </c:pt>
                <c:pt idx="1264">
                  <c:v>43343</c:v>
                </c:pt>
                <c:pt idx="1265">
                  <c:v>43342</c:v>
                </c:pt>
                <c:pt idx="1266">
                  <c:v>43341</c:v>
                </c:pt>
                <c:pt idx="1267">
                  <c:v>43340</c:v>
                </c:pt>
                <c:pt idx="1268">
                  <c:v>43339</c:v>
                </c:pt>
                <c:pt idx="1269">
                  <c:v>43338</c:v>
                </c:pt>
                <c:pt idx="1270">
                  <c:v>43337</c:v>
                </c:pt>
                <c:pt idx="1271">
                  <c:v>43336</c:v>
                </c:pt>
                <c:pt idx="1272">
                  <c:v>43335</c:v>
                </c:pt>
                <c:pt idx="1273">
                  <c:v>43334</c:v>
                </c:pt>
                <c:pt idx="1274">
                  <c:v>43333</c:v>
                </c:pt>
                <c:pt idx="1275">
                  <c:v>43332</c:v>
                </c:pt>
                <c:pt idx="1276">
                  <c:v>43331</c:v>
                </c:pt>
                <c:pt idx="1277">
                  <c:v>43330</c:v>
                </c:pt>
                <c:pt idx="1278">
                  <c:v>43329</c:v>
                </c:pt>
                <c:pt idx="1279">
                  <c:v>43328</c:v>
                </c:pt>
                <c:pt idx="1280">
                  <c:v>43327</c:v>
                </c:pt>
                <c:pt idx="1281">
                  <c:v>43326</c:v>
                </c:pt>
                <c:pt idx="1282">
                  <c:v>43325</c:v>
                </c:pt>
                <c:pt idx="1283">
                  <c:v>43324</c:v>
                </c:pt>
                <c:pt idx="1284">
                  <c:v>43323</c:v>
                </c:pt>
                <c:pt idx="1285">
                  <c:v>43322</c:v>
                </c:pt>
                <c:pt idx="1286">
                  <c:v>43321</c:v>
                </c:pt>
                <c:pt idx="1287">
                  <c:v>43320</c:v>
                </c:pt>
                <c:pt idx="1288">
                  <c:v>43319</c:v>
                </c:pt>
                <c:pt idx="1289">
                  <c:v>43318</c:v>
                </c:pt>
                <c:pt idx="1290">
                  <c:v>43317</c:v>
                </c:pt>
                <c:pt idx="1291">
                  <c:v>43316</c:v>
                </c:pt>
                <c:pt idx="1292">
                  <c:v>43315</c:v>
                </c:pt>
                <c:pt idx="1293">
                  <c:v>43314</c:v>
                </c:pt>
                <c:pt idx="1294">
                  <c:v>43313</c:v>
                </c:pt>
                <c:pt idx="1295">
                  <c:v>43312</c:v>
                </c:pt>
                <c:pt idx="1296">
                  <c:v>43311</c:v>
                </c:pt>
                <c:pt idx="1297">
                  <c:v>43310</c:v>
                </c:pt>
                <c:pt idx="1298">
                  <c:v>43309</c:v>
                </c:pt>
                <c:pt idx="1299">
                  <c:v>43308</c:v>
                </c:pt>
                <c:pt idx="1300">
                  <c:v>43307</c:v>
                </c:pt>
                <c:pt idx="1301">
                  <c:v>43306</c:v>
                </c:pt>
                <c:pt idx="1302">
                  <c:v>43305</c:v>
                </c:pt>
                <c:pt idx="1303">
                  <c:v>43304</c:v>
                </c:pt>
                <c:pt idx="1304">
                  <c:v>43303</c:v>
                </c:pt>
                <c:pt idx="1305">
                  <c:v>43302</c:v>
                </c:pt>
                <c:pt idx="1306">
                  <c:v>43301</c:v>
                </c:pt>
                <c:pt idx="1307">
                  <c:v>43300</c:v>
                </c:pt>
                <c:pt idx="1308">
                  <c:v>43299</c:v>
                </c:pt>
                <c:pt idx="1309">
                  <c:v>43298</c:v>
                </c:pt>
                <c:pt idx="1310">
                  <c:v>43297</c:v>
                </c:pt>
                <c:pt idx="1311">
                  <c:v>43296</c:v>
                </c:pt>
                <c:pt idx="1312">
                  <c:v>43295</c:v>
                </c:pt>
                <c:pt idx="1313">
                  <c:v>43294</c:v>
                </c:pt>
                <c:pt idx="1314">
                  <c:v>43293</c:v>
                </c:pt>
                <c:pt idx="1315">
                  <c:v>43292</c:v>
                </c:pt>
                <c:pt idx="1316">
                  <c:v>43291</c:v>
                </c:pt>
                <c:pt idx="1317">
                  <c:v>43290</c:v>
                </c:pt>
                <c:pt idx="1318">
                  <c:v>43289</c:v>
                </c:pt>
                <c:pt idx="1319">
                  <c:v>43288</c:v>
                </c:pt>
                <c:pt idx="1320">
                  <c:v>43287</c:v>
                </c:pt>
                <c:pt idx="1321">
                  <c:v>43286</c:v>
                </c:pt>
                <c:pt idx="1322">
                  <c:v>43285</c:v>
                </c:pt>
                <c:pt idx="1323">
                  <c:v>43284</c:v>
                </c:pt>
                <c:pt idx="1324">
                  <c:v>43283</c:v>
                </c:pt>
                <c:pt idx="1325">
                  <c:v>43282</c:v>
                </c:pt>
                <c:pt idx="1326">
                  <c:v>43281</c:v>
                </c:pt>
                <c:pt idx="1327">
                  <c:v>43280</c:v>
                </c:pt>
                <c:pt idx="1328">
                  <c:v>43279</c:v>
                </c:pt>
                <c:pt idx="1329">
                  <c:v>43278</c:v>
                </c:pt>
                <c:pt idx="1330">
                  <c:v>43277</c:v>
                </c:pt>
                <c:pt idx="1331">
                  <c:v>43276</c:v>
                </c:pt>
                <c:pt idx="1332">
                  <c:v>43275</c:v>
                </c:pt>
                <c:pt idx="1333">
                  <c:v>43274</c:v>
                </c:pt>
                <c:pt idx="1334">
                  <c:v>43273</c:v>
                </c:pt>
                <c:pt idx="1335">
                  <c:v>43272</c:v>
                </c:pt>
                <c:pt idx="1336">
                  <c:v>43271</c:v>
                </c:pt>
                <c:pt idx="1337">
                  <c:v>43270</c:v>
                </c:pt>
                <c:pt idx="1338">
                  <c:v>43269</c:v>
                </c:pt>
                <c:pt idx="1339">
                  <c:v>43268</c:v>
                </c:pt>
                <c:pt idx="1340">
                  <c:v>43267</c:v>
                </c:pt>
                <c:pt idx="1341">
                  <c:v>43266</c:v>
                </c:pt>
                <c:pt idx="1342">
                  <c:v>43265</c:v>
                </c:pt>
                <c:pt idx="1343">
                  <c:v>43264</c:v>
                </c:pt>
                <c:pt idx="1344">
                  <c:v>43263</c:v>
                </c:pt>
                <c:pt idx="1345">
                  <c:v>43262</c:v>
                </c:pt>
                <c:pt idx="1346">
                  <c:v>43261</c:v>
                </c:pt>
                <c:pt idx="1347">
                  <c:v>43260</c:v>
                </c:pt>
                <c:pt idx="1348">
                  <c:v>43259</c:v>
                </c:pt>
                <c:pt idx="1349">
                  <c:v>43258</c:v>
                </c:pt>
                <c:pt idx="1350">
                  <c:v>43257</c:v>
                </c:pt>
                <c:pt idx="1351">
                  <c:v>43256</c:v>
                </c:pt>
                <c:pt idx="1352">
                  <c:v>43255</c:v>
                </c:pt>
                <c:pt idx="1353">
                  <c:v>43254</c:v>
                </c:pt>
                <c:pt idx="1354">
                  <c:v>43253</c:v>
                </c:pt>
                <c:pt idx="1355">
                  <c:v>43252</c:v>
                </c:pt>
                <c:pt idx="1356">
                  <c:v>43251</c:v>
                </c:pt>
                <c:pt idx="1357">
                  <c:v>43250</c:v>
                </c:pt>
                <c:pt idx="1358">
                  <c:v>43249</c:v>
                </c:pt>
                <c:pt idx="1359">
                  <c:v>43248</c:v>
                </c:pt>
                <c:pt idx="1360">
                  <c:v>43247</c:v>
                </c:pt>
                <c:pt idx="1361">
                  <c:v>43246</c:v>
                </c:pt>
                <c:pt idx="1362">
                  <c:v>43245</c:v>
                </c:pt>
                <c:pt idx="1363">
                  <c:v>43244</c:v>
                </c:pt>
                <c:pt idx="1364">
                  <c:v>43243</c:v>
                </c:pt>
                <c:pt idx="1365">
                  <c:v>43242</c:v>
                </c:pt>
                <c:pt idx="1366">
                  <c:v>43241</c:v>
                </c:pt>
                <c:pt idx="1367">
                  <c:v>43240</c:v>
                </c:pt>
                <c:pt idx="1368">
                  <c:v>43239</c:v>
                </c:pt>
                <c:pt idx="1369">
                  <c:v>43238</c:v>
                </c:pt>
                <c:pt idx="1370">
                  <c:v>43237</c:v>
                </c:pt>
                <c:pt idx="1371">
                  <c:v>43236</c:v>
                </c:pt>
                <c:pt idx="1372">
                  <c:v>43235</c:v>
                </c:pt>
                <c:pt idx="1373">
                  <c:v>43234</c:v>
                </c:pt>
                <c:pt idx="1374">
                  <c:v>43233</c:v>
                </c:pt>
                <c:pt idx="1375">
                  <c:v>43232</c:v>
                </c:pt>
                <c:pt idx="1376">
                  <c:v>43231</c:v>
                </c:pt>
                <c:pt idx="1377">
                  <c:v>43230</c:v>
                </c:pt>
                <c:pt idx="1378">
                  <c:v>43229</c:v>
                </c:pt>
                <c:pt idx="1379">
                  <c:v>43228</c:v>
                </c:pt>
                <c:pt idx="1380">
                  <c:v>43227</c:v>
                </c:pt>
                <c:pt idx="1381">
                  <c:v>43226</c:v>
                </c:pt>
                <c:pt idx="1382">
                  <c:v>43225</c:v>
                </c:pt>
                <c:pt idx="1383">
                  <c:v>43224</c:v>
                </c:pt>
                <c:pt idx="1384">
                  <c:v>43223</c:v>
                </c:pt>
                <c:pt idx="1385">
                  <c:v>43222</c:v>
                </c:pt>
                <c:pt idx="1386">
                  <c:v>43221</c:v>
                </c:pt>
                <c:pt idx="1387">
                  <c:v>43220</c:v>
                </c:pt>
                <c:pt idx="1388">
                  <c:v>43219</c:v>
                </c:pt>
                <c:pt idx="1389">
                  <c:v>43218</c:v>
                </c:pt>
                <c:pt idx="1390">
                  <c:v>43217</c:v>
                </c:pt>
                <c:pt idx="1391">
                  <c:v>43216</c:v>
                </c:pt>
                <c:pt idx="1392">
                  <c:v>43215</c:v>
                </c:pt>
                <c:pt idx="1393">
                  <c:v>43214</c:v>
                </c:pt>
                <c:pt idx="1394">
                  <c:v>43213</c:v>
                </c:pt>
                <c:pt idx="1395">
                  <c:v>43212</c:v>
                </c:pt>
                <c:pt idx="1396">
                  <c:v>43211</c:v>
                </c:pt>
                <c:pt idx="1397">
                  <c:v>43210</c:v>
                </c:pt>
                <c:pt idx="1398">
                  <c:v>43209</c:v>
                </c:pt>
                <c:pt idx="1399">
                  <c:v>43208</c:v>
                </c:pt>
                <c:pt idx="1400">
                  <c:v>43207</c:v>
                </c:pt>
                <c:pt idx="1401">
                  <c:v>43206</c:v>
                </c:pt>
                <c:pt idx="1402">
                  <c:v>43205</c:v>
                </c:pt>
                <c:pt idx="1403">
                  <c:v>43204</c:v>
                </c:pt>
                <c:pt idx="1404">
                  <c:v>43203</c:v>
                </c:pt>
                <c:pt idx="1405">
                  <c:v>43202</c:v>
                </c:pt>
                <c:pt idx="1406">
                  <c:v>43201</c:v>
                </c:pt>
                <c:pt idx="1407">
                  <c:v>43200</c:v>
                </c:pt>
                <c:pt idx="1408">
                  <c:v>43199</c:v>
                </c:pt>
                <c:pt idx="1409">
                  <c:v>43198</c:v>
                </c:pt>
                <c:pt idx="1410">
                  <c:v>43197</c:v>
                </c:pt>
                <c:pt idx="1411">
                  <c:v>43196</c:v>
                </c:pt>
                <c:pt idx="1412">
                  <c:v>43195</c:v>
                </c:pt>
                <c:pt idx="1413">
                  <c:v>43194</c:v>
                </c:pt>
                <c:pt idx="1414">
                  <c:v>43193</c:v>
                </c:pt>
                <c:pt idx="1415">
                  <c:v>43192</c:v>
                </c:pt>
                <c:pt idx="1416">
                  <c:v>43191</c:v>
                </c:pt>
                <c:pt idx="1417">
                  <c:v>43190</c:v>
                </c:pt>
                <c:pt idx="1418">
                  <c:v>43189</c:v>
                </c:pt>
                <c:pt idx="1419">
                  <c:v>43188</c:v>
                </c:pt>
                <c:pt idx="1420">
                  <c:v>43187</c:v>
                </c:pt>
                <c:pt idx="1421">
                  <c:v>43186</c:v>
                </c:pt>
                <c:pt idx="1422">
                  <c:v>43185</c:v>
                </c:pt>
                <c:pt idx="1423">
                  <c:v>43184</c:v>
                </c:pt>
                <c:pt idx="1424">
                  <c:v>43183</c:v>
                </c:pt>
                <c:pt idx="1425">
                  <c:v>43182</c:v>
                </c:pt>
                <c:pt idx="1426">
                  <c:v>43181</c:v>
                </c:pt>
                <c:pt idx="1427">
                  <c:v>43180</c:v>
                </c:pt>
                <c:pt idx="1428">
                  <c:v>43179</c:v>
                </c:pt>
                <c:pt idx="1429">
                  <c:v>43178</c:v>
                </c:pt>
                <c:pt idx="1430">
                  <c:v>43177</c:v>
                </c:pt>
                <c:pt idx="1431">
                  <c:v>43176</c:v>
                </c:pt>
                <c:pt idx="1432">
                  <c:v>43175</c:v>
                </c:pt>
                <c:pt idx="1433">
                  <c:v>43174</c:v>
                </c:pt>
                <c:pt idx="1434">
                  <c:v>43173</c:v>
                </c:pt>
                <c:pt idx="1435">
                  <c:v>43172</c:v>
                </c:pt>
                <c:pt idx="1436">
                  <c:v>43171</c:v>
                </c:pt>
                <c:pt idx="1437">
                  <c:v>43170</c:v>
                </c:pt>
                <c:pt idx="1438">
                  <c:v>43169</c:v>
                </c:pt>
                <c:pt idx="1439">
                  <c:v>43168</c:v>
                </c:pt>
                <c:pt idx="1440">
                  <c:v>43167</c:v>
                </c:pt>
                <c:pt idx="1441">
                  <c:v>43166</c:v>
                </c:pt>
                <c:pt idx="1442">
                  <c:v>43165</c:v>
                </c:pt>
                <c:pt idx="1443">
                  <c:v>43164</c:v>
                </c:pt>
                <c:pt idx="1444">
                  <c:v>43163</c:v>
                </c:pt>
                <c:pt idx="1445">
                  <c:v>43162</c:v>
                </c:pt>
                <c:pt idx="1446">
                  <c:v>43161</c:v>
                </c:pt>
                <c:pt idx="1447">
                  <c:v>43160</c:v>
                </c:pt>
                <c:pt idx="1448">
                  <c:v>43159</c:v>
                </c:pt>
                <c:pt idx="1449">
                  <c:v>43158</c:v>
                </c:pt>
                <c:pt idx="1450">
                  <c:v>43157</c:v>
                </c:pt>
                <c:pt idx="1451">
                  <c:v>43156</c:v>
                </c:pt>
                <c:pt idx="1452">
                  <c:v>43155</c:v>
                </c:pt>
                <c:pt idx="1453">
                  <c:v>43154</c:v>
                </c:pt>
                <c:pt idx="1454">
                  <c:v>43153</c:v>
                </c:pt>
                <c:pt idx="1455">
                  <c:v>43152</c:v>
                </c:pt>
                <c:pt idx="1456">
                  <c:v>43151</c:v>
                </c:pt>
                <c:pt idx="1457">
                  <c:v>43150</c:v>
                </c:pt>
                <c:pt idx="1458">
                  <c:v>43149</c:v>
                </c:pt>
                <c:pt idx="1459">
                  <c:v>43148</c:v>
                </c:pt>
                <c:pt idx="1460">
                  <c:v>43147</c:v>
                </c:pt>
                <c:pt idx="1461">
                  <c:v>43146</c:v>
                </c:pt>
                <c:pt idx="1462">
                  <c:v>43145</c:v>
                </c:pt>
                <c:pt idx="1463">
                  <c:v>43144</c:v>
                </c:pt>
                <c:pt idx="1464">
                  <c:v>43143</c:v>
                </c:pt>
                <c:pt idx="1465">
                  <c:v>43142</c:v>
                </c:pt>
                <c:pt idx="1466">
                  <c:v>43141</c:v>
                </c:pt>
                <c:pt idx="1467">
                  <c:v>43140</c:v>
                </c:pt>
                <c:pt idx="1468">
                  <c:v>43139</c:v>
                </c:pt>
                <c:pt idx="1469">
                  <c:v>43138</c:v>
                </c:pt>
                <c:pt idx="1470">
                  <c:v>43137</c:v>
                </c:pt>
                <c:pt idx="1471">
                  <c:v>43136</c:v>
                </c:pt>
                <c:pt idx="1472">
                  <c:v>43135</c:v>
                </c:pt>
                <c:pt idx="1473">
                  <c:v>43134</c:v>
                </c:pt>
                <c:pt idx="1474">
                  <c:v>43133</c:v>
                </c:pt>
                <c:pt idx="1475">
                  <c:v>43132</c:v>
                </c:pt>
                <c:pt idx="1476">
                  <c:v>43131</c:v>
                </c:pt>
                <c:pt idx="1477">
                  <c:v>43130</c:v>
                </c:pt>
                <c:pt idx="1478">
                  <c:v>43129</c:v>
                </c:pt>
                <c:pt idx="1479">
                  <c:v>43128</c:v>
                </c:pt>
                <c:pt idx="1480">
                  <c:v>43127</c:v>
                </c:pt>
                <c:pt idx="1481">
                  <c:v>43126</c:v>
                </c:pt>
                <c:pt idx="1482">
                  <c:v>43125</c:v>
                </c:pt>
                <c:pt idx="1483">
                  <c:v>43124</c:v>
                </c:pt>
                <c:pt idx="1484">
                  <c:v>43123</c:v>
                </c:pt>
                <c:pt idx="1485">
                  <c:v>43122</c:v>
                </c:pt>
                <c:pt idx="1486">
                  <c:v>43121</c:v>
                </c:pt>
                <c:pt idx="1487">
                  <c:v>43120</c:v>
                </c:pt>
                <c:pt idx="1488">
                  <c:v>43119</c:v>
                </c:pt>
                <c:pt idx="1489">
                  <c:v>43118</c:v>
                </c:pt>
                <c:pt idx="1490">
                  <c:v>43117</c:v>
                </c:pt>
                <c:pt idx="1491">
                  <c:v>43116</c:v>
                </c:pt>
                <c:pt idx="1492">
                  <c:v>43115</c:v>
                </c:pt>
                <c:pt idx="1493">
                  <c:v>43114</c:v>
                </c:pt>
                <c:pt idx="1494">
                  <c:v>43113</c:v>
                </c:pt>
                <c:pt idx="1495">
                  <c:v>43112</c:v>
                </c:pt>
                <c:pt idx="1496">
                  <c:v>43111</c:v>
                </c:pt>
                <c:pt idx="1497">
                  <c:v>43110</c:v>
                </c:pt>
                <c:pt idx="1498">
                  <c:v>43109</c:v>
                </c:pt>
                <c:pt idx="1499">
                  <c:v>43108</c:v>
                </c:pt>
                <c:pt idx="1500">
                  <c:v>43107</c:v>
                </c:pt>
                <c:pt idx="1501">
                  <c:v>43106</c:v>
                </c:pt>
                <c:pt idx="1502">
                  <c:v>43105</c:v>
                </c:pt>
                <c:pt idx="1503">
                  <c:v>43104</c:v>
                </c:pt>
                <c:pt idx="1504">
                  <c:v>43103</c:v>
                </c:pt>
                <c:pt idx="1505">
                  <c:v>43102</c:v>
                </c:pt>
                <c:pt idx="1506">
                  <c:v>43101</c:v>
                </c:pt>
                <c:pt idx="1507">
                  <c:v>43100</c:v>
                </c:pt>
                <c:pt idx="1508">
                  <c:v>43099</c:v>
                </c:pt>
                <c:pt idx="1509">
                  <c:v>43098</c:v>
                </c:pt>
                <c:pt idx="1510">
                  <c:v>43097</c:v>
                </c:pt>
                <c:pt idx="1511">
                  <c:v>43096</c:v>
                </c:pt>
                <c:pt idx="1512">
                  <c:v>43095</c:v>
                </c:pt>
                <c:pt idx="1513">
                  <c:v>43094</c:v>
                </c:pt>
                <c:pt idx="1514">
                  <c:v>43093</c:v>
                </c:pt>
                <c:pt idx="1515">
                  <c:v>43092</c:v>
                </c:pt>
                <c:pt idx="1516">
                  <c:v>43091</c:v>
                </c:pt>
                <c:pt idx="1517">
                  <c:v>43090</c:v>
                </c:pt>
                <c:pt idx="1518">
                  <c:v>43089</c:v>
                </c:pt>
                <c:pt idx="1519">
                  <c:v>43088</c:v>
                </c:pt>
                <c:pt idx="1520">
                  <c:v>43087</c:v>
                </c:pt>
                <c:pt idx="1521">
                  <c:v>43086</c:v>
                </c:pt>
                <c:pt idx="1522">
                  <c:v>43085</c:v>
                </c:pt>
                <c:pt idx="1523">
                  <c:v>43084</c:v>
                </c:pt>
                <c:pt idx="1524">
                  <c:v>43083</c:v>
                </c:pt>
                <c:pt idx="1525">
                  <c:v>43082</c:v>
                </c:pt>
                <c:pt idx="1526">
                  <c:v>43081</c:v>
                </c:pt>
                <c:pt idx="1527">
                  <c:v>43080</c:v>
                </c:pt>
                <c:pt idx="1528">
                  <c:v>43079</c:v>
                </c:pt>
                <c:pt idx="1529">
                  <c:v>43078</c:v>
                </c:pt>
                <c:pt idx="1530">
                  <c:v>43077</c:v>
                </c:pt>
                <c:pt idx="1531">
                  <c:v>43076</c:v>
                </c:pt>
                <c:pt idx="1532">
                  <c:v>43075</c:v>
                </c:pt>
                <c:pt idx="1533">
                  <c:v>43074</c:v>
                </c:pt>
                <c:pt idx="1534">
                  <c:v>43073</c:v>
                </c:pt>
                <c:pt idx="1535">
                  <c:v>43072</c:v>
                </c:pt>
                <c:pt idx="1536">
                  <c:v>43071</c:v>
                </c:pt>
                <c:pt idx="1537">
                  <c:v>43070</c:v>
                </c:pt>
                <c:pt idx="1538">
                  <c:v>43069</c:v>
                </c:pt>
                <c:pt idx="1539">
                  <c:v>43068</c:v>
                </c:pt>
                <c:pt idx="1540">
                  <c:v>43067</c:v>
                </c:pt>
                <c:pt idx="1541">
                  <c:v>43066</c:v>
                </c:pt>
                <c:pt idx="1542">
                  <c:v>43065</c:v>
                </c:pt>
                <c:pt idx="1543">
                  <c:v>43064</c:v>
                </c:pt>
                <c:pt idx="1544">
                  <c:v>43063</c:v>
                </c:pt>
                <c:pt idx="1545">
                  <c:v>43062</c:v>
                </c:pt>
                <c:pt idx="1546">
                  <c:v>43061</c:v>
                </c:pt>
                <c:pt idx="1547">
                  <c:v>43060</c:v>
                </c:pt>
                <c:pt idx="1548">
                  <c:v>43059</c:v>
                </c:pt>
                <c:pt idx="1549">
                  <c:v>43058</c:v>
                </c:pt>
                <c:pt idx="1550">
                  <c:v>43057</c:v>
                </c:pt>
                <c:pt idx="1551">
                  <c:v>43056</c:v>
                </c:pt>
                <c:pt idx="1552">
                  <c:v>43055</c:v>
                </c:pt>
                <c:pt idx="1553">
                  <c:v>43054</c:v>
                </c:pt>
                <c:pt idx="1554">
                  <c:v>43053</c:v>
                </c:pt>
                <c:pt idx="1555">
                  <c:v>43052</c:v>
                </c:pt>
                <c:pt idx="1556">
                  <c:v>43051</c:v>
                </c:pt>
                <c:pt idx="1557">
                  <c:v>43050</c:v>
                </c:pt>
                <c:pt idx="1558">
                  <c:v>43049</c:v>
                </c:pt>
                <c:pt idx="1559">
                  <c:v>43048</c:v>
                </c:pt>
                <c:pt idx="1560">
                  <c:v>43047</c:v>
                </c:pt>
                <c:pt idx="1561">
                  <c:v>43046</c:v>
                </c:pt>
                <c:pt idx="1562">
                  <c:v>43045</c:v>
                </c:pt>
                <c:pt idx="1563">
                  <c:v>43044</c:v>
                </c:pt>
                <c:pt idx="1564">
                  <c:v>43043</c:v>
                </c:pt>
                <c:pt idx="1565">
                  <c:v>43042</c:v>
                </c:pt>
                <c:pt idx="1566">
                  <c:v>43041</c:v>
                </c:pt>
                <c:pt idx="1567">
                  <c:v>43040</c:v>
                </c:pt>
                <c:pt idx="1568">
                  <c:v>43039</c:v>
                </c:pt>
                <c:pt idx="1569">
                  <c:v>43038</c:v>
                </c:pt>
                <c:pt idx="1570">
                  <c:v>43037</c:v>
                </c:pt>
                <c:pt idx="1571">
                  <c:v>43036</c:v>
                </c:pt>
                <c:pt idx="1572">
                  <c:v>43035</c:v>
                </c:pt>
                <c:pt idx="1573">
                  <c:v>43034</c:v>
                </c:pt>
                <c:pt idx="1574">
                  <c:v>43033</c:v>
                </c:pt>
                <c:pt idx="1575">
                  <c:v>43032</c:v>
                </c:pt>
                <c:pt idx="1576">
                  <c:v>43031</c:v>
                </c:pt>
                <c:pt idx="1577">
                  <c:v>43030</c:v>
                </c:pt>
                <c:pt idx="1578">
                  <c:v>43029</c:v>
                </c:pt>
                <c:pt idx="1579">
                  <c:v>43028</c:v>
                </c:pt>
                <c:pt idx="1580">
                  <c:v>43027</c:v>
                </c:pt>
                <c:pt idx="1581">
                  <c:v>43026</c:v>
                </c:pt>
                <c:pt idx="1582">
                  <c:v>43025</c:v>
                </c:pt>
                <c:pt idx="1583">
                  <c:v>43024</c:v>
                </c:pt>
                <c:pt idx="1584">
                  <c:v>43023</c:v>
                </c:pt>
                <c:pt idx="1585">
                  <c:v>43022</c:v>
                </c:pt>
                <c:pt idx="1586">
                  <c:v>43021</c:v>
                </c:pt>
                <c:pt idx="1587">
                  <c:v>43020</c:v>
                </c:pt>
                <c:pt idx="1588">
                  <c:v>43019</c:v>
                </c:pt>
                <c:pt idx="1589">
                  <c:v>43018</c:v>
                </c:pt>
                <c:pt idx="1590">
                  <c:v>43017</c:v>
                </c:pt>
                <c:pt idx="1591">
                  <c:v>43016</c:v>
                </c:pt>
                <c:pt idx="1592">
                  <c:v>43015</c:v>
                </c:pt>
                <c:pt idx="1593">
                  <c:v>43014</c:v>
                </c:pt>
                <c:pt idx="1594">
                  <c:v>43013</c:v>
                </c:pt>
                <c:pt idx="1595">
                  <c:v>43012</c:v>
                </c:pt>
                <c:pt idx="1596">
                  <c:v>43011</c:v>
                </c:pt>
                <c:pt idx="1597">
                  <c:v>43010</c:v>
                </c:pt>
                <c:pt idx="1598">
                  <c:v>43009</c:v>
                </c:pt>
                <c:pt idx="1599">
                  <c:v>43008</c:v>
                </c:pt>
                <c:pt idx="1600">
                  <c:v>43007</c:v>
                </c:pt>
                <c:pt idx="1601">
                  <c:v>43006</c:v>
                </c:pt>
                <c:pt idx="1602">
                  <c:v>43005</c:v>
                </c:pt>
                <c:pt idx="1603">
                  <c:v>43004</c:v>
                </c:pt>
                <c:pt idx="1604">
                  <c:v>43003</c:v>
                </c:pt>
                <c:pt idx="1605">
                  <c:v>43002</c:v>
                </c:pt>
                <c:pt idx="1606">
                  <c:v>43001</c:v>
                </c:pt>
                <c:pt idx="1607">
                  <c:v>43000</c:v>
                </c:pt>
                <c:pt idx="1608">
                  <c:v>42999</c:v>
                </c:pt>
                <c:pt idx="1609">
                  <c:v>42998</c:v>
                </c:pt>
                <c:pt idx="1610">
                  <c:v>42997</c:v>
                </c:pt>
                <c:pt idx="1611">
                  <c:v>42996</c:v>
                </c:pt>
                <c:pt idx="1612">
                  <c:v>42995</c:v>
                </c:pt>
                <c:pt idx="1613">
                  <c:v>42994</c:v>
                </c:pt>
                <c:pt idx="1614">
                  <c:v>42993</c:v>
                </c:pt>
                <c:pt idx="1615">
                  <c:v>42992</c:v>
                </c:pt>
                <c:pt idx="1616">
                  <c:v>42991</c:v>
                </c:pt>
                <c:pt idx="1617">
                  <c:v>42990</c:v>
                </c:pt>
                <c:pt idx="1618">
                  <c:v>42989</c:v>
                </c:pt>
                <c:pt idx="1619">
                  <c:v>42988</c:v>
                </c:pt>
                <c:pt idx="1620">
                  <c:v>42987</c:v>
                </c:pt>
                <c:pt idx="1621">
                  <c:v>42986</c:v>
                </c:pt>
                <c:pt idx="1622">
                  <c:v>42985</c:v>
                </c:pt>
                <c:pt idx="1623">
                  <c:v>42984</c:v>
                </c:pt>
                <c:pt idx="1624">
                  <c:v>42983</c:v>
                </c:pt>
                <c:pt idx="1625">
                  <c:v>42982</c:v>
                </c:pt>
                <c:pt idx="1626">
                  <c:v>42981</c:v>
                </c:pt>
                <c:pt idx="1627">
                  <c:v>42980</c:v>
                </c:pt>
                <c:pt idx="1628">
                  <c:v>42979</c:v>
                </c:pt>
                <c:pt idx="1629">
                  <c:v>42978</c:v>
                </c:pt>
                <c:pt idx="1630">
                  <c:v>42977</c:v>
                </c:pt>
                <c:pt idx="1631">
                  <c:v>42976</c:v>
                </c:pt>
                <c:pt idx="1632">
                  <c:v>42975</c:v>
                </c:pt>
                <c:pt idx="1633">
                  <c:v>42974</c:v>
                </c:pt>
                <c:pt idx="1634">
                  <c:v>42973</c:v>
                </c:pt>
                <c:pt idx="1635">
                  <c:v>42972</c:v>
                </c:pt>
                <c:pt idx="1636">
                  <c:v>42971</c:v>
                </c:pt>
                <c:pt idx="1637">
                  <c:v>42970</c:v>
                </c:pt>
                <c:pt idx="1638">
                  <c:v>42969</c:v>
                </c:pt>
                <c:pt idx="1639">
                  <c:v>42968</c:v>
                </c:pt>
                <c:pt idx="1640">
                  <c:v>42967</c:v>
                </c:pt>
                <c:pt idx="1641">
                  <c:v>42966</c:v>
                </c:pt>
                <c:pt idx="1642">
                  <c:v>42965</c:v>
                </c:pt>
                <c:pt idx="1643">
                  <c:v>42964</c:v>
                </c:pt>
                <c:pt idx="1644">
                  <c:v>42963</c:v>
                </c:pt>
                <c:pt idx="1645">
                  <c:v>42962</c:v>
                </c:pt>
                <c:pt idx="1646">
                  <c:v>42961</c:v>
                </c:pt>
                <c:pt idx="1647">
                  <c:v>42960</c:v>
                </c:pt>
                <c:pt idx="1648">
                  <c:v>42959</c:v>
                </c:pt>
                <c:pt idx="1649">
                  <c:v>42958</c:v>
                </c:pt>
                <c:pt idx="1650">
                  <c:v>42957</c:v>
                </c:pt>
                <c:pt idx="1651">
                  <c:v>42956</c:v>
                </c:pt>
                <c:pt idx="1652">
                  <c:v>42955</c:v>
                </c:pt>
                <c:pt idx="1653">
                  <c:v>42954</c:v>
                </c:pt>
                <c:pt idx="1654">
                  <c:v>42953</c:v>
                </c:pt>
                <c:pt idx="1655">
                  <c:v>42952</c:v>
                </c:pt>
                <c:pt idx="1656">
                  <c:v>42951</c:v>
                </c:pt>
                <c:pt idx="1657">
                  <c:v>42950</c:v>
                </c:pt>
                <c:pt idx="1658">
                  <c:v>42949</c:v>
                </c:pt>
                <c:pt idx="1659">
                  <c:v>42948</c:v>
                </c:pt>
                <c:pt idx="1660">
                  <c:v>42947</c:v>
                </c:pt>
                <c:pt idx="1661">
                  <c:v>42946</c:v>
                </c:pt>
                <c:pt idx="1662">
                  <c:v>42945</c:v>
                </c:pt>
                <c:pt idx="1663">
                  <c:v>42944</c:v>
                </c:pt>
                <c:pt idx="1664">
                  <c:v>42943</c:v>
                </c:pt>
                <c:pt idx="1665">
                  <c:v>42942</c:v>
                </c:pt>
                <c:pt idx="1666">
                  <c:v>42941</c:v>
                </c:pt>
                <c:pt idx="1667">
                  <c:v>42940</c:v>
                </c:pt>
                <c:pt idx="1668">
                  <c:v>42939</c:v>
                </c:pt>
                <c:pt idx="1669">
                  <c:v>42938</c:v>
                </c:pt>
                <c:pt idx="1670">
                  <c:v>42937</c:v>
                </c:pt>
                <c:pt idx="1671">
                  <c:v>42936</c:v>
                </c:pt>
                <c:pt idx="1672">
                  <c:v>42935</c:v>
                </c:pt>
                <c:pt idx="1673">
                  <c:v>42934</c:v>
                </c:pt>
                <c:pt idx="1674">
                  <c:v>42933</c:v>
                </c:pt>
                <c:pt idx="1675">
                  <c:v>42932</c:v>
                </c:pt>
                <c:pt idx="1676">
                  <c:v>42931</c:v>
                </c:pt>
                <c:pt idx="1677">
                  <c:v>42930</c:v>
                </c:pt>
                <c:pt idx="1678">
                  <c:v>42929</c:v>
                </c:pt>
                <c:pt idx="1679">
                  <c:v>42928</c:v>
                </c:pt>
                <c:pt idx="1680">
                  <c:v>42927</c:v>
                </c:pt>
                <c:pt idx="1681">
                  <c:v>42926</c:v>
                </c:pt>
                <c:pt idx="1682">
                  <c:v>42925</c:v>
                </c:pt>
                <c:pt idx="1683">
                  <c:v>42924</c:v>
                </c:pt>
                <c:pt idx="1684">
                  <c:v>42923</c:v>
                </c:pt>
                <c:pt idx="1685">
                  <c:v>42922</c:v>
                </c:pt>
                <c:pt idx="1686">
                  <c:v>42921</c:v>
                </c:pt>
                <c:pt idx="1687">
                  <c:v>42920</c:v>
                </c:pt>
                <c:pt idx="1688">
                  <c:v>42919</c:v>
                </c:pt>
                <c:pt idx="1689">
                  <c:v>42918</c:v>
                </c:pt>
                <c:pt idx="1690">
                  <c:v>42917</c:v>
                </c:pt>
                <c:pt idx="1691">
                  <c:v>42916</c:v>
                </c:pt>
                <c:pt idx="1692">
                  <c:v>42915</c:v>
                </c:pt>
                <c:pt idx="1693">
                  <c:v>42914</c:v>
                </c:pt>
                <c:pt idx="1694">
                  <c:v>42913</c:v>
                </c:pt>
                <c:pt idx="1695">
                  <c:v>42912</c:v>
                </c:pt>
                <c:pt idx="1696">
                  <c:v>42911</c:v>
                </c:pt>
                <c:pt idx="1697">
                  <c:v>42910</c:v>
                </c:pt>
                <c:pt idx="1698">
                  <c:v>42909</c:v>
                </c:pt>
                <c:pt idx="1699">
                  <c:v>42908</c:v>
                </c:pt>
                <c:pt idx="1700">
                  <c:v>42907</c:v>
                </c:pt>
                <c:pt idx="1701">
                  <c:v>42906</c:v>
                </c:pt>
                <c:pt idx="1702">
                  <c:v>42905</c:v>
                </c:pt>
                <c:pt idx="1703">
                  <c:v>42904</c:v>
                </c:pt>
                <c:pt idx="1704">
                  <c:v>42903</c:v>
                </c:pt>
                <c:pt idx="1705">
                  <c:v>42902</c:v>
                </c:pt>
                <c:pt idx="1706">
                  <c:v>42901</c:v>
                </c:pt>
                <c:pt idx="1707">
                  <c:v>42900</c:v>
                </c:pt>
                <c:pt idx="1708">
                  <c:v>42899</c:v>
                </c:pt>
                <c:pt idx="1709">
                  <c:v>42898</c:v>
                </c:pt>
                <c:pt idx="1710">
                  <c:v>42897</c:v>
                </c:pt>
                <c:pt idx="1711">
                  <c:v>42896</c:v>
                </c:pt>
                <c:pt idx="1712">
                  <c:v>42895</c:v>
                </c:pt>
                <c:pt idx="1713">
                  <c:v>42894</c:v>
                </c:pt>
                <c:pt idx="1714">
                  <c:v>42893</c:v>
                </c:pt>
                <c:pt idx="1715">
                  <c:v>42892</c:v>
                </c:pt>
                <c:pt idx="1716">
                  <c:v>42891</c:v>
                </c:pt>
                <c:pt idx="1717">
                  <c:v>42890</c:v>
                </c:pt>
                <c:pt idx="1718">
                  <c:v>42889</c:v>
                </c:pt>
                <c:pt idx="1719">
                  <c:v>42888</c:v>
                </c:pt>
                <c:pt idx="1720">
                  <c:v>42887</c:v>
                </c:pt>
                <c:pt idx="1721">
                  <c:v>42886</c:v>
                </c:pt>
                <c:pt idx="1722">
                  <c:v>42885</c:v>
                </c:pt>
                <c:pt idx="1723">
                  <c:v>42884</c:v>
                </c:pt>
                <c:pt idx="1724">
                  <c:v>42883</c:v>
                </c:pt>
                <c:pt idx="1725">
                  <c:v>42882</c:v>
                </c:pt>
                <c:pt idx="1726">
                  <c:v>42881</c:v>
                </c:pt>
                <c:pt idx="1727">
                  <c:v>42880</c:v>
                </c:pt>
                <c:pt idx="1728">
                  <c:v>42879</c:v>
                </c:pt>
                <c:pt idx="1729">
                  <c:v>42878</c:v>
                </c:pt>
                <c:pt idx="1730">
                  <c:v>42877</c:v>
                </c:pt>
                <c:pt idx="1731">
                  <c:v>42876</c:v>
                </c:pt>
                <c:pt idx="1732">
                  <c:v>42875</c:v>
                </c:pt>
                <c:pt idx="1733">
                  <c:v>42874</c:v>
                </c:pt>
                <c:pt idx="1734">
                  <c:v>42873</c:v>
                </c:pt>
                <c:pt idx="1735">
                  <c:v>42872</c:v>
                </c:pt>
                <c:pt idx="1736">
                  <c:v>42871</c:v>
                </c:pt>
                <c:pt idx="1737">
                  <c:v>42870</c:v>
                </c:pt>
                <c:pt idx="1738">
                  <c:v>42869</c:v>
                </c:pt>
                <c:pt idx="1739">
                  <c:v>42868</c:v>
                </c:pt>
                <c:pt idx="1740">
                  <c:v>42867</c:v>
                </c:pt>
                <c:pt idx="1741">
                  <c:v>42866</c:v>
                </c:pt>
                <c:pt idx="1742">
                  <c:v>42865</c:v>
                </c:pt>
                <c:pt idx="1743">
                  <c:v>42864</c:v>
                </c:pt>
                <c:pt idx="1744">
                  <c:v>42863</c:v>
                </c:pt>
                <c:pt idx="1745">
                  <c:v>42862</c:v>
                </c:pt>
                <c:pt idx="1746">
                  <c:v>42861</c:v>
                </c:pt>
                <c:pt idx="1747">
                  <c:v>42860</c:v>
                </c:pt>
                <c:pt idx="1748">
                  <c:v>42859</c:v>
                </c:pt>
                <c:pt idx="1749">
                  <c:v>42858</c:v>
                </c:pt>
                <c:pt idx="1750">
                  <c:v>42857</c:v>
                </c:pt>
                <c:pt idx="1751">
                  <c:v>42856</c:v>
                </c:pt>
                <c:pt idx="1752">
                  <c:v>42855</c:v>
                </c:pt>
                <c:pt idx="1753">
                  <c:v>42854</c:v>
                </c:pt>
                <c:pt idx="1754">
                  <c:v>42853</c:v>
                </c:pt>
                <c:pt idx="1755">
                  <c:v>42852</c:v>
                </c:pt>
                <c:pt idx="1756">
                  <c:v>42851</c:v>
                </c:pt>
                <c:pt idx="1757">
                  <c:v>42850</c:v>
                </c:pt>
                <c:pt idx="1758">
                  <c:v>42849</c:v>
                </c:pt>
                <c:pt idx="1759">
                  <c:v>42848</c:v>
                </c:pt>
                <c:pt idx="1760">
                  <c:v>42847</c:v>
                </c:pt>
                <c:pt idx="1761">
                  <c:v>42846</c:v>
                </c:pt>
                <c:pt idx="1762">
                  <c:v>42845</c:v>
                </c:pt>
                <c:pt idx="1763">
                  <c:v>42844</c:v>
                </c:pt>
                <c:pt idx="1764">
                  <c:v>42843</c:v>
                </c:pt>
                <c:pt idx="1765">
                  <c:v>42842</c:v>
                </c:pt>
                <c:pt idx="1766">
                  <c:v>42841</c:v>
                </c:pt>
                <c:pt idx="1767">
                  <c:v>42840</c:v>
                </c:pt>
                <c:pt idx="1768">
                  <c:v>42839</c:v>
                </c:pt>
                <c:pt idx="1769">
                  <c:v>42838</c:v>
                </c:pt>
                <c:pt idx="1770">
                  <c:v>42837</c:v>
                </c:pt>
                <c:pt idx="1771">
                  <c:v>42836</c:v>
                </c:pt>
                <c:pt idx="1772">
                  <c:v>42835</c:v>
                </c:pt>
                <c:pt idx="1773">
                  <c:v>42834</c:v>
                </c:pt>
                <c:pt idx="1774">
                  <c:v>42833</c:v>
                </c:pt>
                <c:pt idx="1775">
                  <c:v>42832</c:v>
                </c:pt>
                <c:pt idx="1776">
                  <c:v>42831</c:v>
                </c:pt>
                <c:pt idx="1777">
                  <c:v>42830</c:v>
                </c:pt>
                <c:pt idx="1778">
                  <c:v>42829</c:v>
                </c:pt>
                <c:pt idx="1779">
                  <c:v>42828</c:v>
                </c:pt>
                <c:pt idx="1780">
                  <c:v>42827</c:v>
                </c:pt>
                <c:pt idx="1781">
                  <c:v>42826</c:v>
                </c:pt>
                <c:pt idx="1782">
                  <c:v>42825</c:v>
                </c:pt>
                <c:pt idx="1783">
                  <c:v>42824</c:v>
                </c:pt>
                <c:pt idx="1784">
                  <c:v>42823</c:v>
                </c:pt>
                <c:pt idx="1785">
                  <c:v>42822</c:v>
                </c:pt>
                <c:pt idx="1786">
                  <c:v>42821</c:v>
                </c:pt>
                <c:pt idx="1787">
                  <c:v>42820</c:v>
                </c:pt>
                <c:pt idx="1788">
                  <c:v>42819</c:v>
                </c:pt>
                <c:pt idx="1789">
                  <c:v>42818</c:v>
                </c:pt>
                <c:pt idx="1790">
                  <c:v>42817</c:v>
                </c:pt>
                <c:pt idx="1791">
                  <c:v>42816</c:v>
                </c:pt>
                <c:pt idx="1792">
                  <c:v>42815</c:v>
                </c:pt>
                <c:pt idx="1793">
                  <c:v>42814</c:v>
                </c:pt>
                <c:pt idx="1794">
                  <c:v>42813</c:v>
                </c:pt>
                <c:pt idx="1795">
                  <c:v>42812</c:v>
                </c:pt>
                <c:pt idx="1796">
                  <c:v>42811</c:v>
                </c:pt>
                <c:pt idx="1797">
                  <c:v>42810</c:v>
                </c:pt>
                <c:pt idx="1798">
                  <c:v>42809</c:v>
                </c:pt>
                <c:pt idx="1799">
                  <c:v>42808</c:v>
                </c:pt>
                <c:pt idx="1800">
                  <c:v>42807</c:v>
                </c:pt>
                <c:pt idx="1801">
                  <c:v>42806</c:v>
                </c:pt>
                <c:pt idx="1802">
                  <c:v>42805</c:v>
                </c:pt>
                <c:pt idx="1803">
                  <c:v>42804</c:v>
                </c:pt>
                <c:pt idx="1804">
                  <c:v>42803</c:v>
                </c:pt>
                <c:pt idx="1805">
                  <c:v>42802</c:v>
                </c:pt>
                <c:pt idx="1806">
                  <c:v>42801</c:v>
                </c:pt>
                <c:pt idx="1807">
                  <c:v>42800</c:v>
                </c:pt>
                <c:pt idx="1808">
                  <c:v>42799</c:v>
                </c:pt>
                <c:pt idx="1809">
                  <c:v>42798</c:v>
                </c:pt>
                <c:pt idx="1810">
                  <c:v>42797</c:v>
                </c:pt>
                <c:pt idx="1811">
                  <c:v>42796</c:v>
                </c:pt>
                <c:pt idx="1812">
                  <c:v>42795</c:v>
                </c:pt>
                <c:pt idx="1813">
                  <c:v>42794</c:v>
                </c:pt>
                <c:pt idx="1814">
                  <c:v>42793</c:v>
                </c:pt>
                <c:pt idx="1815">
                  <c:v>42792</c:v>
                </c:pt>
                <c:pt idx="1816">
                  <c:v>42791</c:v>
                </c:pt>
                <c:pt idx="1817">
                  <c:v>42790</c:v>
                </c:pt>
                <c:pt idx="1818">
                  <c:v>42789</c:v>
                </c:pt>
                <c:pt idx="1819">
                  <c:v>42788</c:v>
                </c:pt>
                <c:pt idx="1820">
                  <c:v>42787</c:v>
                </c:pt>
                <c:pt idx="1821">
                  <c:v>42786</c:v>
                </c:pt>
                <c:pt idx="1822">
                  <c:v>42785</c:v>
                </c:pt>
                <c:pt idx="1823">
                  <c:v>42784</c:v>
                </c:pt>
                <c:pt idx="1824">
                  <c:v>42783</c:v>
                </c:pt>
                <c:pt idx="1825">
                  <c:v>42782</c:v>
                </c:pt>
                <c:pt idx="1826">
                  <c:v>42781</c:v>
                </c:pt>
              </c:numCache>
            </c:numRef>
          </c:cat>
          <c:val>
            <c:numRef>
              <c:f>[32]Indexed!$F$4:$F$3657</c:f>
              <c:numCache>
                <c:formatCode>General</c:formatCode>
                <c:ptCount val="3654"/>
                <c:pt idx="0">
                  <c:v>369.81521766394684</c:v>
                </c:pt>
                <c:pt idx="1">
                  <c:v>371.85831133652937</c:v>
                </c:pt>
                <c:pt idx="2">
                  <c:v>379.0799572895441</c:v>
                </c:pt>
                <c:pt idx="3">
                  <c:v>379.0799572895441</c:v>
                </c:pt>
                <c:pt idx="4">
                  <c:v>379.0799572895441</c:v>
                </c:pt>
                <c:pt idx="5">
                  <c:v>379.09476293260343</c:v>
                </c:pt>
                <c:pt idx="6">
                  <c:v>370.64051978384947</c:v>
                </c:pt>
                <c:pt idx="7">
                  <c:v>367.3426444372156</c:v>
                </c:pt>
                <c:pt idx="8">
                  <c:v>370.98367016841422</c:v>
                </c:pt>
                <c:pt idx="9">
                  <c:v>372.94749677143983</c:v>
                </c:pt>
                <c:pt idx="10">
                  <c:v>372.94749677143983</c:v>
                </c:pt>
                <c:pt idx="11">
                  <c:v>372.94749677143983</c:v>
                </c:pt>
                <c:pt idx="12">
                  <c:v>372.94749677143983</c:v>
                </c:pt>
                <c:pt idx="13">
                  <c:v>372.94749677143983</c:v>
                </c:pt>
                <c:pt idx="14">
                  <c:v>372.94749677143983</c:v>
                </c:pt>
                <c:pt idx="15">
                  <c:v>372.94749677143983</c:v>
                </c:pt>
                <c:pt idx="16">
                  <c:v>372.94749677143983</c:v>
                </c:pt>
                <c:pt idx="17">
                  <c:v>372.94749677143983</c:v>
                </c:pt>
                <c:pt idx="18">
                  <c:v>372.94749677143983</c:v>
                </c:pt>
                <c:pt idx="19">
                  <c:v>372.94749677143983</c:v>
                </c:pt>
                <c:pt idx="20">
                  <c:v>372.94749677143983</c:v>
                </c:pt>
                <c:pt idx="21">
                  <c:v>376.25924608568164</c:v>
                </c:pt>
                <c:pt idx="22">
                  <c:v>383.74620989049748</c:v>
                </c:pt>
                <c:pt idx="23">
                  <c:v>376.54457918433144</c:v>
                </c:pt>
                <c:pt idx="24">
                  <c:v>376.54457918433144</c:v>
                </c:pt>
                <c:pt idx="25">
                  <c:v>376.54457918433144</c:v>
                </c:pt>
                <c:pt idx="26">
                  <c:v>383.37416082411198</c:v>
                </c:pt>
                <c:pt idx="27">
                  <c:v>385.1408620260662</c:v>
                </c:pt>
                <c:pt idx="28">
                  <c:v>391.02700064936778</c:v>
                </c:pt>
                <c:pt idx="29">
                  <c:v>403.9004910933084</c:v>
                </c:pt>
                <c:pt idx="30">
                  <c:v>396.93375292503862</c:v>
                </c:pt>
                <c:pt idx="31">
                  <c:v>396.93375292503862</c:v>
                </c:pt>
                <c:pt idx="32">
                  <c:v>396.93375292503862</c:v>
                </c:pt>
                <c:pt idx="33">
                  <c:v>389.09413432662893</c:v>
                </c:pt>
                <c:pt idx="34">
                  <c:v>388.3368613719112</c:v>
                </c:pt>
                <c:pt idx="35">
                  <c:v>382.79213607245407</c:v>
                </c:pt>
                <c:pt idx="36">
                  <c:v>378.21112519188887</c:v>
                </c:pt>
                <c:pt idx="37">
                  <c:v>373.60630742264431</c:v>
                </c:pt>
                <c:pt idx="38">
                  <c:v>373.60630742264431</c:v>
                </c:pt>
                <c:pt idx="39">
                  <c:v>373.60630742264431</c:v>
                </c:pt>
                <c:pt idx="40">
                  <c:v>378.70346940223715</c:v>
                </c:pt>
                <c:pt idx="41">
                  <c:v>382.99323560841987</c:v>
                </c:pt>
                <c:pt idx="42">
                  <c:v>387.62369862987401</c:v>
                </c:pt>
                <c:pt idx="43">
                  <c:v>371.40791435758359</c:v>
                </c:pt>
                <c:pt idx="44">
                  <c:v>360.88036205271658</c:v>
                </c:pt>
                <c:pt idx="45">
                  <c:v>360.88036205271658</c:v>
                </c:pt>
                <c:pt idx="46">
                  <c:v>360.88036205271658</c:v>
                </c:pt>
                <c:pt idx="47">
                  <c:v>360.88036205271658</c:v>
                </c:pt>
                <c:pt idx="48">
                  <c:v>362.59200291621727</c:v>
                </c:pt>
                <c:pt idx="49">
                  <c:v>362.08199047504178</c:v>
                </c:pt>
                <c:pt idx="50">
                  <c:v>356.04871004155927</c:v>
                </c:pt>
                <c:pt idx="51">
                  <c:v>354.98902534092952</c:v>
                </c:pt>
                <c:pt idx="52">
                  <c:v>354.98902534092952</c:v>
                </c:pt>
                <c:pt idx="53">
                  <c:v>354.98902534092952</c:v>
                </c:pt>
                <c:pt idx="54">
                  <c:v>355.97156808293136</c:v>
                </c:pt>
                <c:pt idx="55">
                  <c:v>351.57112096813921</c:v>
                </c:pt>
                <c:pt idx="56">
                  <c:v>349.37280544720164</c:v>
                </c:pt>
                <c:pt idx="57">
                  <c:v>349.21679597871531</c:v>
                </c:pt>
                <c:pt idx="58">
                  <c:v>354.82923065573692</c:v>
                </c:pt>
                <c:pt idx="59">
                  <c:v>354.82923065573692</c:v>
                </c:pt>
                <c:pt idx="60">
                  <c:v>354.82923065573692</c:v>
                </c:pt>
                <c:pt idx="61">
                  <c:v>353.91446487174261</c:v>
                </c:pt>
                <c:pt idx="62">
                  <c:v>351.33067421322011</c:v>
                </c:pt>
                <c:pt idx="63">
                  <c:v>350.10240962023136</c:v>
                </c:pt>
                <c:pt idx="64">
                  <c:v>351.61246740099466</c:v>
                </c:pt>
                <c:pt idx="65">
                  <c:v>356.16869713207257</c:v>
                </c:pt>
                <c:pt idx="66">
                  <c:v>356.16869713207257</c:v>
                </c:pt>
                <c:pt idx="67">
                  <c:v>356.16869713207257</c:v>
                </c:pt>
                <c:pt idx="68">
                  <c:v>356.60555350477915</c:v>
                </c:pt>
                <c:pt idx="69">
                  <c:v>353.29022879078826</c:v>
                </c:pt>
                <c:pt idx="70">
                  <c:v>355.96769280391567</c:v>
                </c:pt>
                <c:pt idx="71">
                  <c:v>352.19274204588021</c:v>
                </c:pt>
                <c:pt idx="72">
                  <c:v>357.62420546915837</c:v>
                </c:pt>
                <c:pt idx="73">
                  <c:v>357.62420546915837</c:v>
                </c:pt>
                <c:pt idx="74">
                  <c:v>357.62420546915837</c:v>
                </c:pt>
                <c:pt idx="75">
                  <c:v>360.47726000163641</c:v>
                </c:pt>
                <c:pt idx="76">
                  <c:v>352.52347528867193</c:v>
                </c:pt>
                <c:pt idx="77">
                  <c:v>350.92111905489583</c:v>
                </c:pt>
                <c:pt idx="78">
                  <c:v>347.49449171279093</c:v>
                </c:pt>
                <c:pt idx="79">
                  <c:v>348.0863345868915</c:v>
                </c:pt>
                <c:pt idx="80">
                  <c:v>348.0863345868915</c:v>
                </c:pt>
                <c:pt idx="81">
                  <c:v>348.0863345868915</c:v>
                </c:pt>
                <c:pt idx="82">
                  <c:v>352.94757655508886</c:v>
                </c:pt>
                <c:pt idx="83">
                  <c:v>352.89678542304779</c:v>
                </c:pt>
                <c:pt idx="84">
                  <c:v>358.34438879576078</c:v>
                </c:pt>
                <c:pt idx="85">
                  <c:v>359.8678200296909</c:v>
                </c:pt>
                <c:pt idx="86">
                  <c:v>361.80547700737816</c:v>
                </c:pt>
                <c:pt idx="87">
                  <c:v>361.80547700737816</c:v>
                </c:pt>
                <c:pt idx="88">
                  <c:v>361.80547700737816</c:v>
                </c:pt>
                <c:pt idx="89">
                  <c:v>358.87824822899989</c:v>
                </c:pt>
                <c:pt idx="90">
                  <c:v>357.34053865783477</c:v>
                </c:pt>
                <c:pt idx="91">
                  <c:v>356.57010377625608</c:v>
                </c:pt>
                <c:pt idx="92">
                  <c:v>356.41279374612702</c:v>
                </c:pt>
                <c:pt idx="93">
                  <c:v>353.67287870797423</c:v>
                </c:pt>
                <c:pt idx="94">
                  <c:v>353.67287870797423</c:v>
                </c:pt>
                <c:pt idx="95">
                  <c:v>353.67287870797423</c:v>
                </c:pt>
                <c:pt idx="96">
                  <c:v>354.24466849650054</c:v>
                </c:pt>
                <c:pt idx="97">
                  <c:v>358.33149082258188</c:v>
                </c:pt>
                <c:pt idx="98">
                  <c:v>358.00369606154328</c:v>
                </c:pt>
                <c:pt idx="99">
                  <c:v>351.90641985955989</c:v>
                </c:pt>
                <c:pt idx="100">
                  <c:v>350.71208984252462</c:v>
                </c:pt>
                <c:pt idx="101">
                  <c:v>350.71208984252462</c:v>
                </c:pt>
                <c:pt idx="102">
                  <c:v>350.71208984252462</c:v>
                </c:pt>
                <c:pt idx="103">
                  <c:v>342.54713428554794</c:v>
                </c:pt>
                <c:pt idx="104">
                  <c:v>346.47166375894568</c:v>
                </c:pt>
                <c:pt idx="105">
                  <c:v>345.37818363088314</c:v>
                </c:pt>
                <c:pt idx="106">
                  <c:v>344.65635445992473</c:v>
                </c:pt>
                <c:pt idx="107">
                  <c:v>344.96605214023077</c:v>
                </c:pt>
                <c:pt idx="108">
                  <c:v>344.96605214023077</c:v>
                </c:pt>
                <c:pt idx="109">
                  <c:v>344.96605214023077</c:v>
                </c:pt>
                <c:pt idx="110">
                  <c:v>348.30261907522748</c:v>
                </c:pt>
                <c:pt idx="111">
                  <c:v>350.51801376129674</c:v>
                </c:pt>
                <c:pt idx="112">
                  <c:v>350.6567678332475</c:v>
                </c:pt>
                <c:pt idx="113">
                  <c:v>346.09813037984611</c:v>
                </c:pt>
                <c:pt idx="114">
                  <c:v>350.24643701573399</c:v>
                </c:pt>
                <c:pt idx="115">
                  <c:v>350.24643701573399</c:v>
                </c:pt>
                <c:pt idx="116">
                  <c:v>350.24643701573399</c:v>
                </c:pt>
                <c:pt idx="117">
                  <c:v>347.8864931374888</c:v>
                </c:pt>
                <c:pt idx="118">
                  <c:v>349.04137311744068</c:v>
                </c:pt>
                <c:pt idx="119">
                  <c:v>350.35959007529181</c:v>
                </c:pt>
                <c:pt idx="120">
                  <c:v>342.88326614431406</c:v>
                </c:pt>
                <c:pt idx="121">
                  <c:v>349.18136306230167</c:v>
                </c:pt>
                <c:pt idx="122">
                  <c:v>349.18136306230167</c:v>
                </c:pt>
                <c:pt idx="123">
                  <c:v>349.18136306230167</c:v>
                </c:pt>
                <c:pt idx="124">
                  <c:v>332.54024882637026</c:v>
                </c:pt>
                <c:pt idx="125">
                  <c:v>331.23774278114166</c:v>
                </c:pt>
                <c:pt idx="126">
                  <c:v>332.46739056435479</c:v>
                </c:pt>
                <c:pt idx="127">
                  <c:v>333.21355014561482</c:v>
                </c:pt>
                <c:pt idx="128">
                  <c:v>333.21355014561482</c:v>
                </c:pt>
                <c:pt idx="129">
                  <c:v>333.21355014561482</c:v>
                </c:pt>
                <c:pt idx="130">
                  <c:v>333.21355014561482</c:v>
                </c:pt>
                <c:pt idx="131">
                  <c:v>337.0596436472398</c:v>
                </c:pt>
                <c:pt idx="132">
                  <c:v>332.04292496849871</c:v>
                </c:pt>
                <c:pt idx="133">
                  <c:v>333.43495946520397</c:v>
                </c:pt>
                <c:pt idx="134">
                  <c:v>333.17229944270952</c:v>
                </c:pt>
                <c:pt idx="135">
                  <c:v>336.4333202554717</c:v>
                </c:pt>
                <c:pt idx="136">
                  <c:v>336.4333202554717</c:v>
                </c:pt>
                <c:pt idx="137">
                  <c:v>336.4333202554717</c:v>
                </c:pt>
                <c:pt idx="138">
                  <c:v>339.26549963946661</c:v>
                </c:pt>
                <c:pt idx="139">
                  <c:v>338.65662401197227</c:v>
                </c:pt>
                <c:pt idx="140">
                  <c:v>347.81736747108721</c:v>
                </c:pt>
                <c:pt idx="141">
                  <c:v>353.32846918212852</c:v>
                </c:pt>
                <c:pt idx="142">
                  <c:v>350.7403305852917</c:v>
                </c:pt>
                <c:pt idx="143">
                  <c:v>350.7403305852917</c:v>
                </c:pt>
                <c:pt idx="144">
                  <c:v>350.7403305852917</c:v>
                </c:pt>
                <c:pt idx="145">
                  <c:v>344.68868868868896</c:v>
                </c:pt>
                <c:pt idx="146">
                  <c:v>343.36779481221612</c:v>
                </c:pt>
                <c:pt idx="147">
                  <c:v>351.31802823113821</c:v>
                </c:pt>
                <c:pt idx="148">
                  <c:v>351.31802823113821</c:v>
                </c:pt>
                <c:pt idx="149">
                  <c:v>351.31802823113821</c:v>
                </c:pt>
                <c:pt idx="150">
                  <c:v>351.31802823113821</c:v>
                </c:pt>
                <c:pt idx="151">
                  <c:v>351.31802823113821</c:v>
                </c:pt>
                <c:pt idx="152">
                  <c:v>351.71047747171065</c:v>
                </c:pt>
                <c:pt idx="153">
                  <c:v>356.93275848351004</c:v>
                </c:pt>
                <c:pt idx="154">
                  <c:v>360.070448663646</c:v>
                </c:pt>
                <c:pt idx="155">
                  <c:v>361.3757187120857</c:v>
                </c:pt>
                <c:pt idx="156">
                  <c:v>365.79284072143997</c:v>
                </c:pt>
                <c:pt idx="157">
                  <c:v>365.79284072143997</c:v>
                </c:pt>
                <c:pt idx="158">
                  <c:v>365.79284072143997</c:v>
                </c:pt>
                <c:pt idx="159">
                  <c:v>363.91016190437904</c:v>
                </c:pt>
                <c:pt idx="160">
                  <c:v>363.43731249166831</c:v>
                </c:pt>
                <c:pt idx="161">
                  <c:v>366.85838779956396</c:v>
                </c:pt>
                <c:pt idx="162">
                  <c:v>372.66194195107926</c:v>
                </c:pt>
                <c:pt idx="163">
                  <c:v>365.32985748764361</c:v>
                </c:pt>
                <c:pt idx="164">
                  <c:v>365.32985748764361</c:v>
                </c:pt>
                <c:pt idx="165">
                  <c:v>365.32985748764361</c:v>
                </c:pt>
                <c:pt idx="166">
                  <c:v>356.86825800310288</c:v>
                </c:pt>
                <c:pt idx="167">
                  <c:v>359.81060133113283</c:v>
                </c:pt>
                <c:pt idx="168">
                  <c:v>361.21869737290467</c:v>
                </c:pt>
                <c:pt idx="169">
                  <c:v>354.50088030953998</c:v>
                </c:pt>
                <c:pt idx="170">
                  <c:v>349.61250994044912</c:v>
                </c:pt>
                <c:pt idx="171">
                  <c:v>349.61250994044912</c:v>
                </c:pt>
                <c:pt idx="172">
                  <c:v>349.61250994044912</c:v>
                </c:pt>
                <c:pt idx="173">
                  <c:v>345.92468713400984</c:v>
                </c:pt>
                <c:pt idx="174">
                  <c:v>341.13527114315764</c:v>
                </c:pt>
                <c:pt idx="175">
                  <c:v>333.33939882625106</c:v>
                </c:pt>
                <c:pt idx="176">
                  <c:v>329.66568098509873</c:v>
                </c:pt>
                <c:pt idx="177">
                  <c:v>321.07455442099848</c:v>
                </c:pt>
                <c:pt idx="178">
                  <c:v>321.07455442099848</c:v>
                </c:pt>
                <c:pt idx="179">
                  <c:v>321.07455442099848</c:v>
                </c:pt>
                <c:pt idx="180">
                  <c:v>324.45008148793835</c:v>
                </c:pt>
                <c:pt idx="181">
                  <c:v>335.51456594934785</c:v>
                </c:pt>
                <c:pt idx="182">
                  <c:v>338.04992995247318</c:v>
                </c:pt>
                <c:pt idx="183">
                  <c:v>341.34750199569987</c:v>
                </c:pt>
                <c:pt idx="184">
                  <c:v>339.87488279418699</c:v>
                </c:pt>
                <c:pt idx="185">
                  <c:v>339.87488279418699</c:v>
                </c:pt>
                <c:pt idx="186">
                  <c:v>339.87488279418699</c:v>
                </c:pt>
                <c:pt idx="187">
                  <c:v>343.12060757241085</c:v>
                </c:pt>
                <c:pt idx="188">
                  <c:v>345.22662863370101</c:v>
                </c:pt>
                <c:pt idx="189">
                  <c:v>345.21572402645353</c:v>
                </c:pt>
                <c:pt idx="190">
                  <c:v>347.96453413436467</c:v>
                </c:pt>
                <c:pt idx="191">
                  <c:v>345.77444606577188</c:v>
                </c:pt>
                <c:pt idx="192">
                  <c:v>345.77444606577188</c:v>
                </c:pt>
                <c:pt idx="193">
                  <c:v>345.77444606577188</c:v>
                </c:pt>
                <c:pt idx="194">
                  <c:v>349.2650555585094</c:v>
                </c:pt>
                <c:pt idx="195">
                  <c:v>349.08899568821079</c:v>
                </c:pt>
                <c:pt idx="196">
                  <c:v>346.56986068341433</c:v>
                </c:pt>
                <c:pt idx="197">
                  <c:v>343.65674243216506</c:v>
                </c:pt>
                <c:pt idx="198">
                  <c:v>337.80786054327001</c:v>
                </c:pt>
                <c:pt idx="199">
                  <c:v>337.80786054327001</c:v>
                </c:pt>
                <c:pt idx="200">
                  <c:v>337.80786054327001</c:v>
                </c:pt>
                <c:pt idx="201">
                  <c:v>340.01775176664057</c:v>
                </c:pt>
                <c:pt idx="202">
                  <c:v>337.14093672213755</c:v>
                </c:pt>
                <c:pt idx="203">
                  <c:v>336.66274915159829</c:v>
                </c:pt>
                <c:pt idx="204">
                  <c:v>336.48265138992605</c:v>
                </c:pt>
                <c:pt idx="205">
                  <c:v>339.44389241339422</c:v>
                </c:pt>
                <c:pt idx="206">
                  <c:v>339.44389241339422</c:v>
                </c:pt>
                <c:pt idx="207">
                  <c:v>339.44389241339422</c:v>
                </c:pt>
                <c:pt idx="208">
                  <c:v>343.03549198646624</c:v>
                </c:pt>
                <c:pt idx="209">
                  <c:v>339.91675681560037</c:v>
                </c:pt>
                <c:pt idx="210">
                  <c:v>337.21913657333027</c:v>
                </c:pt>
                <c:pt idx="211">
                  <c:v>337.08993578679565</c:v>
                </c:pt>
                <c:pt idx="212">
                  <c:v>342.5346170055173</c:v>
                </c:pt>
                <c:pt idx="213">
                  <c:v>342.5346170055173</c:v>
                </c:pt>
                <c:pt idx="214">
                  <c:v>342.5346170055173</c:v>
                </c:pt>
                <c:pt idx="215">
                  <c:v>358.02058215851361</c:v>
                </c:pt>
                <c:pt idx="216">
                  <c:v>356.55561931172417</c:v>
                </c:pt>
                <c:pt idx="217">
                  <c:v>352.03350674490468</c:v>
                </c:pt>
                <c:pt idx="218">
                  <c:v>344.68831165393709</c:v>
                </c:pt>
                <c:pt idx="219">
                  <c:v>339.88201953569978</c:v>
                </c:pt>
                <c:pt idx="220">
                  <c:v>339.88201953569978</c:v>
                </c:pt>
                <c:pt idx="221">
                  <c:v>339.88201953569978</c:v>
                </c:pt>
                <c:pt idx="222">
                  <c:v>341.39164505357627</c:v>
                </c:pt>
                <c:pt idx="223">
                  <c:v>345.05996806464634</c:v>
                </c:pt>
                <c:pt idx="224">
                  <c:v>344.0578740328653</c:v>
                </c:pt>
                <c:pt idx="225">
                  <c:v>344.74531855031711</c:v>
                </c:pt>
                <c:pt idx="226">
                  <c:v>342.89697476648485</c:v>
                </c:pt>
                <c:pt idx="227">
                  <c:v>342.89697476648485</c:v>
                </c:pt>
                <c:pt idx="228">
                  <c:v>342.89697476648485</c:v>
                </c:pt>
                <c:pt idx="229">
                  <c:v>345.49074495709613</c:v>
                </c:pt>
                <c:pt idx="230">
                  <c:v>346.75532839470753</c:v>
                </c:pt>
                <c:pt idx="231">
                  <c:v>346.48224383323662</c:v>
                </c:pt>
                <c:pt idx="232">
                  <c:v>344.18667752001022</c:v>
                </c:pt>
                <c:pt idx="233">
                  <c:v>344.65880470397553</c:v>
                </c:pt>
                <c:pt idx="234">
                  <c:v>344.65880470397553</c:v>
                </c:pt>
                <c:pt idx="235">
                  <c:v>344.65880470397553</c:v>
                </c:pt>
                <c:pt idx="236">
                  <c:v>343.9030207340374</c:v>
                </c:pt>
                <c:pt idx="237">
                  <c:v>346.09817211905482</c:v>
                </c:pt>
                <c:pt idx="238">
                  <c:v>335.86137358239563</c:v>
                </c:pt>
                <c:pt idx="239">
                  <c:v>339.95681013281438</c:v>
                </c:pt>
                <c:pt idx="240">
                  <c:v>352.96027662261326</c:v>
                </c:pt>
                <c:pt idx="241">
                  <c:v>352.96027662261326</c:v>
                </c:pt>
                <c:pt idx="242">
                  <c:v>352.96027662261326</c:v>
                </c:pt>
                <c:pt idx="243">
                  <c:v>354.98453852793011</c:v>
                </c:pt>
                <c:pt idx="244">
                  <c:v>354.39875546105219</c:v>
                </c:pt>
                <c:pt idx="245">
                  <c:v>358.16060094801958</c:v>
                </c:pt>
                <c:pt idx="246">
                  <c:v>354.28717672485971</c:v>
                </c:pt>
                <c:pt idx="247">
                  <c:v>354.28717672485971</c:v>
                </c:pt>
                <c:pt idx="248">
                  <c:v>354.28717672485971</c:v>
                </c:pt>
                <c:pt idx="249">
                  <c:v>354.28717672485971</c:v>
                </c:pt>
                <c:pt idx="250">
                  <c:v>352.19034461814755</c:v>
                </c:pt>
                <c:pt idx="251">
                  <c:v>344.03698280557029</c:v>
                </c:pt>
                <c:pt idx="252">
                  <c:v>345.94809022524277</c:v>
                </c:pt>
                <c:pt idx="253">
                  <c:v>347.54700256883734</c:v>
                </c:pt>
                <c:pt idx="254">
                  <c:v>351.50281382486571</c:v>
                </c:pt>
                <c:pt idx="255">
                  <c:v>351.50281382486571</c:v>
                </c:pt>
                <c:pt idx="256">
                  <c:v>351.50281382486571</c:v>
                </c:pt>
                <c:pt idx="257">
                  <c:v>349.94581040421167</c:v>
                </c:pt>
                <c:pt idx="258">
                  <c:v>349.82584507306223</c:v>
                </c:pt>
                <c:pt idx="259">
                  <c:v>352.80103974116253</c:v>
                </c:pt>
                <c:pt idx="260">
                  <c:v>352.83810031303074</c:v>
                </c:pt>
                <c:pt idx="261">
                  <c:v>346.52292676627485</c:v>
                </c:pt>
                <c:pt idx="262">
                  <c:v>346.52292676627485</c:v>
                </c:pt>
                <c:pt idx="263">
                  <c:v>346.52292676627485</c:v>
                </c:pt>
                <c:pt idx="264">
                  <c:v>340.45986538075232</c:v>
                </c:pt>
                <c:pt idx="265">
                  <c:v>342.70777599429329</c:v>
                </c:pt>
                <c:pt idx="266">
                  <c:v>340.0665208073421</c:v>
                </c:pt>
                <c:pt idx="267">
                  <c:v>330.81873239409879</c:v>
                </c:pt>
                <c:pt idx="268">
                  <c:v>333.36086601348904</c:v>
                </c:pt>
                <c:pt idx="269">
                  <c:v>333.36086601348904</c:v>
                </c:pt>
                <c:pt idx="270">
                  <c:v>333.36086601348904</c:v>
                </c:pt>
                <c:pt idx="271">
                  <c:v>330.08266828901719</c:v>
                </c:pt>
                <c:pt idx="272">
                  <c:v>329.55195083607214</c:v>
                </c:pt>
                <c:pt idx="273">
                  <c:v>332.91005291005348</c:v>
                </c:pt>
                <c:pt idx="274">
                  <c:v>317.79554751229313</c:v>
                </c:pt>
                <c:pt idx="275">
                  <c:v>324.08713221003171</c:v>
                </c:pt>
                <c:pt idx="276">
                  <c:v>324.08713221003171</c:v>
                </c:pt>
                <c:pt idx="277">
                  <c:v>324.08713221003171</c:v>
                </c:pt>
                <c:pt idx="278">
                  <c:v>318.46233437085658</c:v>
                </c:pt>
                <c:pt idx="279">
                  <c:v>325.08848867424211</c:v>
                </c:pt>
                <c:pt idx="280">
                  <c:v>332.51839274965175</c:v>
                </c:pt>
                <c:pt idx="281">
                  <c:v>345.21269345625319</c:v>
                </c:pt>
                <c:pt idx="282">
                  <c:v>350.46758495666825</c:v>
                </c:pt>
                <c:pt idx="283">
                  <c:v>350.46758495666825</c:v>
                </c:pt>
                <c:pt idx="284">
                  <c:v>350.46758495666825</c:v>
                </c:pt>
                <c:pt idx="285">
                  <c:v>341.61576686261827</c:v>
                </c:pt>
                <c:pt idx="286">
                  <c:v>340.47619047618997</c:v>
                </c:pt>
                <c:pt idx="287">
                  <c:v>343.88212964240432</c:v>
                </c:pt>
                <c:pt idx="288">
                  <c:v>342.73724778239557</c:v>
                </c:pt>
                <c:pt idx="289">
                  <c:v>350.38474512914496</c:v>
                </c:pt>
                <c:pt idx="290">
                  <c:v>350.38474512914496</c:v>
                </c:pt>
                <c:pt idx="291">
                  <c:v>350.38474512914496</c:v>
                </c:pt>
                <c:pt idx="292">
                  <c:v>350.38474512914496</c:v>
                </c:pt>
                <c:pt idx="293">
                  <c:v>351.5526942795762</c:v>
                </c:pt>
                <c:pt idx="294">
                  <c:v>355.40793044374681</c:v>
                </c:pt>
                <c:pt idx="295">
                  <c:v>356.50605080079879</c:v>
                </c:pt>
                <c:pt idx="296">
                  <c:v>349.34545704380241</c:v>
                </c:pt>
                <c:pt idx="297">
                  <c:v>349.34545704380241</c:v>
                </c:pt>
                <c:pt idx="298">
                  <c:v>349.34545704380241</c:v>
                </c:pt>
                <c:pt idx="299">
                  <c:v>342.30266675257127</c:v>
                </c:pt>
                <c:pt idx="300">
                  <c:v>342.82082852799493</c:v>
                </c:pt>
                <c:pt idx="301">
                  <c:v>348.36369577218358</c:v>
                </c:pt>
                <c:pt idx="302">
                  <c:v>348.64471468345613</c:v>
                </c:pt>
                <c:pt idx="303">
                  <c:v>350.26436350121497</c:v>
                </c:pt>
                <c:pt idx="304">
                  <c:v>350.26436350121497</c:v>
                </c:pt>
                <c:pt idx="305">
                  <c:v>350.26436350121497</c:v>
                </c:pt>
                <c:pt idx="306">
                  <c:v>355.58281587309062</c:v>
                </c:pt>
                <c:pt idx="307">
                  <c:v>350.0412717388204</c:v>
                </c:pt>
                <c:pt idx="308">
                  <c:v>346.42730962559239</c:v>
                </c:pt>
                <c:pt idx="309">
                  <c:v>346.08620596945639</c:v>
                </c:pt>
                <c:pt idx="310">
                  <c:v>348.88507903767101</c:v>
                </c:pt>
                <c:pt idx="311">
                  <c:v>348.88507903767101</c:v>
                </c:pt>
                <c:pt idx="312">
                  <c:v>348.88507903767101</c:v>
                </c:pt>
                <c:pt idx="313">
                  <c:v>350.76122991631809</c:v>
                </c:pt>
                <c:pt idx="314">
                  <c:v>348.71343189448368</c:v>
                </c:pt>
                <c:pt idx="315">
                  <c:v>348.98323900926374</c:v>
                </c:pt>
                <c:pt idx="316">
                  <c:v>343.88635923207704</c:v>
                </c:pt>
                <c:pt idx="317">
                  <c:v>343.88635923207704</c:v>
                </c:pt>
                <c:pt idx="318">
                  <c:v>343.88635923207704</c:v>
                </c:pt>
                <c:pt idx="319">
                  <c:v>343.88635923207704</c:v>
                </c:pt>
                <c:pt idx="320">
                  <c:v>343.88635923207704</c:v>
                </c:pt>
                <c:pt idx="321">
                  <c:v>335.70678931739252</c:v>
                </c:pt>
                <c:pt idx="322">
                  <c:v>340.75494291283724</c:v>
                </c:pt>
                <c:pt idx="323">
                  <c:v>341.752604676987</c:v>
                </c:pt>
                <c:pt idx="324">
                  <c:v>335.55854494949671</c:v>
                </c:pt>
                <c:pt idx="325">
                  <c:v>335.55854494949671</c:v>
                </c:pt>
                <c:pt idx="326">
                  <c:v>335.55854494949671</c:v>
                </c:pt>
                <c:pt idx="327">
                  <c:v>326.92452434859291</c:v>
                </c:pt>
                <c:pt idx="328">
                  <c:v>328.89553027149952</c:v>
                </c:pt>
                <c:pt idx="329">
                  <c:v>339.29261159852143</c:v>
                </c:pt>
                <c:pt idx="330">
                  <c:v>339.91497550819525</c:v>
                </c:pt>
                <c:pt idx="331">
                  <c:v>338.68501016038476</c:v>
                </c:pt>
                <c:pt idx="332">
                  <c:v>338.68501016038476</c:v>
                </c:pt>
                <c:pt idx="333">
                  <c:v>338.68501016038476</c:v>
                </c:pt>
                <c:pt idx="334">
                  <c:v>344.52757711271727</c:v>
                </c:pt>
                <c:pt idx="335">
                  <c:v>347.76435222405547</c:v>
                </c:pt>
                <c:pt idx="336">
                  <c:v>353.29640408471261</c:v>
                </c:pt>
                <c:pt idx="337">
                  <c:v>352.15620088423407</c:v>
                </c:pt>
                <c:pt idx="338">
                  <c:v>354.70216275642684</c:v>
                </c:pt>
                <c:pt idx="339">
                  <c:v>354.70216275642684</c:v>
                </c:pt>
                <c:pt idx="340">
                  <c:v>354.70216275642684</c:v>
                </c:pt>
                <c:pt idx="341">
                  <c:v>352.62768641781918</c:v>
                </c:pt>
                <c:pt idx="342">
                  <c:v>343.77047338109355</c:v>
                </c:pt>
                <c:pt idx="343">
                  <c:v>342.74013744622749</c:v>
                </c:pt>
                <c:pt idx="344">
                  <c:v>344.06617864333703</c:v>
                </c:pt>
                <c:pt idx="345">
                  <c:v>349.87598525872829</c:v>
                </c:pt>
                <c:pt idx="346">
                  <c:v>349.87598525872829</c:v>
                </c:pt>
                <c:pt idx="347">
                  <c:v>349.87598525872829</c:v>
                </c:pt>
                <c:pt idx="348">
                  <c:v>350.69175177863031</c:v>
                </c:pt>
                <c:pt idx="349">
                  <c:v>364.19968926627854</c:v>
                </c:pt>
                <c:pt idx="350">
                  <c:v>355.94719108300524</c:v>
                </c:pt>
                <c:pt idx="351">
                  <c:v>353.77429158157605</c:v>
                </c:pt>
                <c:pt idx="352">
                  <c:v>353.77429158157605</c:v>
                </c:pt>
                <c:pt idx="353">
                  <c:v>353.77429158157605</c:v>
                </c:pt>
                <c:pt idx="354">
                  <c:v>353.77429158157605</c:v>
                </c:pt>
                <c:pt idx="355">
                  <c:v>370.71738846430208</c:v>
                </c:pt>
                <c:pt idx="356">
                  <c:v>365.48268583281964</c:v>
                </c:pt>
                <c:pt idx="357">
                  <c:v>374.46213053122517</c:v>
                </c:pt>
                <c:pt idx="358">
                  <c:v>379.14792199789343</c:v>
                </c:pt>
                <c:pt idx="359">
                  <c:v>379.87864040872716</c:v>
                </c:pt>
                <c:pt idx="360">
                  <c:v>379.87864040872716</c:v>
                </c:pt>
                <c:pt idx="361">
                  <c:v>379.87864040872716</c:v>
                </c:pt>
                <c:pt idx="362">
                  <c:v>384.87056231535814</c:v>
                </c:pt>
                <c:pt idx="363">
                  <c:v>385.43173445968182</c:v>
                </c:pt>
                <c:pt idx="364">
                  <c:v>367.51511134867098</c:v>
                </c:pt>
                <c:pt idx="365">
                  <c:v>367.51511134867098</c:v>
                </c:pt>
                <c:pt idx="366">
                  <c:v>367.51511134867098</c:v>
                </c:pt>
                <c:pt idx="367">
                  <c:v>367.51511134867098</c:v>
                </c:pt>
                <c:pt idx="368">
                  <c:v>367.51511134867098</c:v>
                </c:pt>
                <c:pt idx="369">
                  <c:v>367.51511134867098</c:v>
                </c:pt>
                <c:pt idx="370">
                  <c:v>367.51511134867098</c:v>
                </c:pt>
                <c:pt idx="371">
                  <c:v>367.51511134867098</c:v>
                </c:pt>
                <c:pt idx="372">
                  <c:v>367.51511134867098</c:v>
                </c:pt>
                <c:pt idx="373">
                  <c:v>367.51511134867098</c:v>
                </c:pt>
                <c:pt idx="374">
                  <c:v>367.51511134867098</c:v>
                </c:pt>
                <c:pt idx="375">
                  <c:v>367.51511134867098</c:v>
                </c:pt>
                <c:pt idx="376">
                  <c:v>364.62058935515535</c:v>
                </c:pt>
                <c:pt idx="377">
                  <c:v>366.87668552063258</c:v>
                </c:pt>
                <c:pt idx="378">
                  <c:v>368.02819849177439</c:v>
                </c:pt>
                <c:pt idx="379">
                  <c:v>354.87205847460035</c:v>
                </c:pt>
                <c:pt idx="380">
                  <c:v>343.34176273749932</c:v>
                </c:pt>
                <c:pt idx="381">
                  <c:v>343.34176273749932</c:v>
                </c:pt>
                <c:pt idx="382">
                  <c:v>343.34176273749932</c:v>
                </c:pt>
                <c:pt idx="383">
                  <c:v>349.28848360431044</c:v>
                </c:pt>
                <c:pt idx="384">
                  <c:v>357.64220486988967</c:v>
                </c:pt>
                <c:pt idx="385">
                  <c:v>358.49768862234407</c:v>
                </c:pt>
                <c:pt idx="386">
                  <c:v>367.97823395043076</c:v>
                </c:pt>
                <c:pt idx="387">
                  <c:v>377.69784104572284</c:v>
                </c:pt>
                <c:pt idx="388">
                  <c:v>377.69784104572284</c:v>
                </c:pt>
                <c:pt idx="389">
                  <c:v>377.69784104572284</c:v>
                </c:pt>
                <c:pt idx="390">
                  <c:v>391.70713625971433</c:v>
                </c:pt>
                <c:pt idx="391">
                  <c:v>376.35886505902567</c:v>
                </c:pt>
                <c:pt idx="392">
                  <c:v>364.29501200199127</c:v>
                </c:pt>
                <c:pt idx="393">
                  <c:v>352.939479954528</c:v>
                </c:pt>
                <c:pt idx="394">
                  <c:v>349.41331865920853</c:v>
                </c:pt>
                <c:pt idx="395">
                  <c:v>349.41331865920853</c:v>
                </c:pt>
                <c:pt idx="396">
                  <c:v>349.41331865920853</c:v>
                </c:pt>
                <c:pt idx="397">
                  <c:v>344.1316428737818</c:v>
                </c:pt>
                <c:pt idx="398">
                  <c:v>351.6760206951385</c:v>
                </c:pt>
                <c:pt idx="399">
                  <c:v>343.59945312411293</c:v>
                </c:pt>
                <c:pt idx="400">
                  <c:v>339.06925291035492</c:v>
                </c:pt>
                <c:pt idx="401">
                  <c:v>336.9392738009272</c:v>
                </c:pt>
                <c:pt idx="402">
                  <c:v>336.9392738009272</c:v>
                </c:pt>
                <c:pt idx="403">
                  <c:v>336.9392738009272</c:v>
                </c:pt>
                <c:pt idx="404">
                  <c:v>327.88575535890976</c:v>
                </c:pt>
                <c:pt idx="405">
                  <c:v>318.98740851485803</c:v>
                </c:pt>
                <c:pt idx="406">
                  <c:v>315.32563591502856</c:v>
                </c:pt>
                <c:pt idx="407">
                  <c:v>310.51342347638672</c:v>
                </c:pt>
                <c:pt idx="408">
                  <c:v>307.09220860601096</c:v>
                </c:pt>
                <c:pt idx="409">
                  <c:v>307.09220860601096</c:v>
                </c:pt>
                <c:pt idx="410">
                  <c:v>307.09220860601096</c:v>
                </c:pt>
                <c:pt idx="411">
                  <c:v>307.09220860601096</c:v>
                </c:pt>
                <c:pt idx="412">
                  <c:v>303.82716488589995</c:v>
                </c:pt>
                <c:pt idx="413">
                  <c:v>298.19911084593991</c:v>
                </c:pt>
                <c:pt idx="414">
                  <c:v>297.94458425584446</c:v>
                </c:pt>
                <c:pt idx="415">
                  <c:v>295.57789130025338</c:v>
                </c:pt>
                <c:pt idx="416">
                  <c:v>295.57789130025338</c:v>
                </c:pt>
                <c:pt idx="417">
                  <c:v>295.57789130025338</c:v>
                </c:pt>
                <c:pt idx="418">
                  <c:v>295.17789231017707</c:v>
                </c:pt>
                <c:pt idx="419">
                  <c:v>294.30591616914234</c:v>
                </c:pt>
                <c:pt idx="420">
                  <c:v>294.27453692656161</c:v>
                </c:pt>
                <c:pt idx="421">
                  <c:v>298.32153448743748</c:v>
                </c:pt>
                <c:pt idx="422">
                  <c:v>294.67464094870581</c:v>
                </c:pt>
                <c:pt idx="423">
                  <c:v>294.67464094870581</c:v>
                </c:pt>
                <c:pt idx="424">
                  <c:v>294.67464094870581</c:v>
                </c:pt>
                <c:pt idx="425">
                  <c:v>293.60248169315179</c:v>
                </c:pt>
                <c:pt idx="426">
                  <c:v>296.05105153393703</c:v>
                </c:pt>
                <c:pt idx="427">
                  <c:v>291.50814814814822</c:v>
                </c:pt>
                <c:pt idx="428">
                  <c:v>293.93666677582246</c:v>
                </c:pt>
                <c:pt idx="429">
                  <c:v>297.89803796972757</c:v>
                </c:pt>
                <c:pt idx="430">
                  <c:v>297.89803796972757</c:v>
                </c:pt>
                <c:pt idx="431">
                  <c:v>297.89803796972757</c:v>
                </c:pt>
                <c:pt idx="432">
                  <c:v>295.60973319624571</c:v>
                </c:pt>
                <c:pt idx="433">
                  <c:v>299.43156810413456</c:v>
                </c:pt>
                <c:pt idx="434">
                  <c:v>301.83104642224441</c:v>
                </c:pt>
                <c:pt idx="435">
                  <c:v>296.24924264238274</c:v>
                </c:pt>
                <c:pt idx="436">
                  <c:v>290.14572075101825</c:v>
                </c:pt>
                <c:pt idx="437">
                  <c:v>290.14572075101825</c:v>
                </c:pt>
                <c:pt idx="438">
                  <c:v>290.14572075101825</c:v>
                </c:pt>
                <c:pt idx="439">
                  <c:v>284.55569112685833</c:v>
                </c:pt>
                <c:pt idx="440">
                  <c:v>285.00862637655587</c:v>
                </c:pt>
                <c:pt idx="441">
                  <c:v>279.55409553277127</c:v>
                </c:pt>
                <c:pt idx="442">
                  <c:v>273.52980004680694</c:v>
                </c:pt>
                <c:pt idx="443">
                  <c:v>279.07166468421013</c:v>
                </c:pt>
                <c:pt idx="444">
                  <c:v>279.07166468421013</c:v>
                </c:pt>
                <c:pt idx="445">
                  <c:v>279.07166468421013</c:v>
                </c:pt>
                <c:pt idx="446">
                  <c:v>279.12062634333546</c:v>
                </c:pt>
                <c:pt idx="447">
                  <c:v>278.16447818203449</c:v>
                </c:pt>
                <c:pt idx="448">
                  <c:v>280.96118505442354</c:v>
                </c:pt>
                <c:pt idx="449">
                  <c:v>283.14330231069891</c:v>
                </c:pt>
                <c:pt idx="450">
                  <c:v>278.29593459742398</c:v>
                </c:pt>
                <c:pt idx="451">
                  <c:v>278.29593459742398</c:v>
                </c:pt>
                <c:pt idx="452">
                  <c:v>278.29593459742398</c:v>
                </c:pt>
                <c:pt idx="453">
                  <c:v>279.57370579516459</c:v>
                </c:pt>
                <c:pt idx="454">
                  <c:v>283.71688294133634</c:v>
                </c:pt>
                <c:pt idx="455">
                  <c:v>277.00619217051485</c:v>
                </c:pt>
                <c:pt idx="456">
                  <c:v>276.46064648768476</c:v>
                </c:pt>
                <c:pt idx="457">
                  <c:v>264.07970921130237</c:v>
                </c:pt>
                <c:pt idx="458">
                  <c:v>264.07970921130237</c:v>
                </c:pt>
                <c:pt idx="459">
                  <c:v>264.07970921130237</c:v>
                </c:pt>
                <c:pt idx="460">
                  <c:v>261.32499689146471</c:v>
                </c:pt>
                <c:pt idx="461">
                  <c:v>260.73612744137426</c:v>
                </c:pt>
                <c:pt idx="462">
                  <c:v>256.63781757460765</c:v>
                </c:pt>
                <c:pt idx="463">
                  <c:v>260.54107168963844</c:v>
                </c:pt>
                <c:pt idx="464">
                  <c:v>257.67165206903331</c:v>
                </c:pt>
                <c:pt idx="465">
                  <c:v>257.67165206903331</c:v>
                </c:pt>
                <c:pt idx="466">
                  <c:v>257.67165206903331</c:v>
                </c:pt>
                <c:pt idx="467">
                  <c:v>257.33094672063521</c:v>
                </c:pt>
                <c:pt idx="468">
                  <c:v>256.38267355134872</c:v>
                </c:pt>
                <c:pt idx="469">
                  <c:v>250.78072199305507</c:v>
                </c:pt>
                <c:pt idx="470">
                  <c:v>248.04326727403603</c:v>
                </c:pt>
                <c:pt idx="471">
                  <c:v>245.85182519691364</c:v>
                </c:pt>
                <c:pt idx="472">
                  <c:v>245.85182519691364</c:v>
                </c:pt>
                <c:pt idx="473">
                  <c:v>245.85182519691364</c:v>
                </c:pt>
                <c:pt idx="474">
                  <c:v>248.58427633194174</c:v>
                </c:pt>
                <c:pt idx="475">
                  <c:v>252.56617549515465</c:v>
                </c:pt>
                <c:pt idx="476">
                  <c:v>254.34385630614949</c:v>
                </c:pt>
                <c:pt idx="477">
                  <c:v>255.96133064925621</c:v>
                </c:pt>
                <c:pt idx="478">
                  <c:v>256.92824399931862</c:v>
                </c:pt>
                <c:pt idx="479">
                  <c:v>256.92824399931862</c:v>
                </c:pt>
                <c:pt idx="480">
                  <c:v>256.92824399931862</c:v>
                </c:pt>
                <c:pt idx="481">
                  <c:v>257.77780357587392</c:v>
                </c:pt>
                <c:pt idx="482">
                  <c:v>256.95793578839744</c:v>
                </c:pt>
                <c:pt idx="483">
                  <c:v>255.62736205593328</c:v>
                </c:pt>
                <c:pt idx="484">
                  <c:v>259.0498125062503</c:v>
                </c:pt>
                <c:pt idx="485">
                  <c:v>253.76870611739557</c:v>
                </c:pt>
                <c:pt idx="486">
                  <c:v>253.76870611739557</c:v>
                </c:pt>
                <c:pt idx="487">
                  <c:v>253.76870611739557</c:v>
                </c:pt>
                <c:pt idx="488">
                  <c:v>256.35008983996721</c:v>
                </c:pt>
                <c:pt idx="489">
                  <c:v>259.68221949510871</c:v>
                </c:pt>
                <c:pt idx="490">
                  <c:v>261.47952280441308</c:v>
                </c:pt>
                <c:pt idx="491">
                  <c:v>261.6493602192408</c:v>
                </c:pt>
                <c:pt idx="492">
                  <c:v>257.31684065017453</c:v>
                </c:pt>
                <c:pt idx="493">
                  <c:v>257.31684065017453</c:v>
                </c:pt>
                <c:pt idx="494">
                  <c:v>257.31684065017453</c:v>
                </c:pt>
                <c:pt idx="495">
                  <c:v>257.31684065017453</c:v>
                </c:pt>
                <c:pt idx="496">
                  <c:v>251.41707863335103</c:v>
                </c:pt>
                <c:pt idx="497">
                  <c:v>248.09773882369922</c:v>
                </c:pt>
                <c:pt idx="498">
                  <c:v>244.86851487234301</c:v>
                </c:pt>
                <c:pt idx="499">
                  <c:v>243.5326821974131</c:v>
                </c:pt>
                <c:pt idx="500">
                  <c:v>243.5326821974131</c:v>
                </c:pt>
                <c:pt idx="501">
                  <c:v>243.5326821974131</c:v>
                </c:pt>
                <c:pt idx="502">
                  <c:v>243.5326821974131</c:v>
                </c:pt>
                <c:pt idx="503">
                  <c:v>243.5326821974131</c:v>
                </c:pt>
                <c:pt idx="504">
                  <c:v>241.77252235116313</c:v>
                </c:pt>
                <c:pt idx="505">
                  <c:v>241.26263056111088</c:v>
                </c:pt>
                <c:pt idx="506">
                  <c:v>235.78063806416486</c:v>
                </c:pt>
                <c:pt idx="507">
                  <c:v>235.78063806416486</c:v>
                </c:pt>
                <c:pt idx="508">
                  <c:v>235.78063806416486</c:v>
                </c:pt>
                <c:pt idx="509">
                  <c:v>235.15220454937534</c:v>
                </c:pt>
                <c:pt idx="510">
                  <c:v>241.90694539053163</c:v>
                </c:pt>
                <c:pt idx="511">
                  <c:v>244.85962215019796</c:v>
                </c:pt>
                <c:pt idx="512">
                  <c:v>247.12792658102134</c:v>
                </c:pt>
                <c:pt idx="513">
                  <c:v>249.18526550405082</c:v>
                </c:pt>
                <c:pt idx="514">
                  <c:v>249.18526550405082</c:v>
                </c:pt>
                <c:pt idx="515">
                  <c:v>249.18526550405082</c:v>
                </c:pt>
                <c:pt idx="516">
                  <c:v>250.49225096433722</c:v>
                </c:pt>
                <c:pt idx="517">
                  <c:v>254.8531046512847</c:v>
                </c:pt>
                <c:pt idx="518">
                  <c:v>247.76336093377517</c:v>
                </c:pt>
                <c:pt idx="519">
                  <c:v>245.30119108679577</c:v>
                </c:pt>
                <c:pt idx="520">
                  <c:v>242.41681582673689</c:v>
                </c:pt>
                <c:pt idx="521">
                  <c:v>242.41681582673689</c:v>
                </c:pt>
                <c:pt idx="522">
                  <c:v>242.41681582673689</c:v>
                </c:pt>
                <c:pt idx="523">
                  <c:v>241.68278147239258</c:v>
                </c:pt>
                <c:pt idx="524">
                  <c:v>237.25424710839826</c:v>
                </c:pt>
                <c:pt idx="525">
                  <c:v>239.63228435509461</c:v>
                </c:pt>
                <c:pt idx="526">
                  <c:v>236.44825292839519</c:v>
                </c:pt>
                <c:pt idx="527">
                  <c:v>237.98346010527109</c:v>
                </c:pt>
                <c:pt idx="528">
                  <c:v>237.98346010527109</c:v>
                </c:pt>
                <c:pt idx="529">
                  <c:v>237.98346010527109</c:v>
                </c:pt>
                <c:pt idx="530">
                  <c:v>241.71826577933885</c:v>
                </c:pt>
                <c:pt idx="531">
                  <c:v>239.93241023250849</c:v>
                </c:pt>
                <c:pt idx="532">
                  <c:v>241.07349023030525</c:v>
                </c:pt>
                <c:pt idx="533">
                  <c:v>236.26626918811507</c:v>
                </c:pt>
                <c:pt idx="534">
                  <c:v>241.19674683789563</c:v>
                </c:pt>
                <c:pt idx="535">
                  <c:v>241.19674683789563</c:v>
                </c:pt>
                <c:pt idx="536">
                  <c:v>241.19674683789563</c:v>
                </c:pt>
                <c:pt idx="537">
                  <c:v>245.85182519691364</c:v>
                </c:pt>
                <c:pt idx="538">
                  <c:v>244.99456620895907</c:v>
                </c:pt>
                <c:pt idx="539">
                  <c:v>240.7553839105714</c:v>
                </c:pt>
                <c:pt idx="540">
                  <c:v>237.09721737986644</c:v>
                </c:pt>
                <c:pt idx="541">
                  <c:v>234.94231774546117</c:v>
                </c:pt>
                <c:pt idx="542">
                  <c:v>234.94231774546117</c:v>
                </c:pt>
                <c:pt idx="543">
                  <c:v>234.94231774546117</c:v>
                </c:pt>
                <c:pt idx="544">
                  <c:v>229.67666598803328</c:v>
                </c:pt>
                <c:pt idx="545">
                  <c:v>236.69126954413383</c:v>
                </c:pt>
                <c:pt idx="546">
                  <c:v>239.73642038037372</c:v>
                </c:pt>
                <c:pt idx="547">
                  <c:v>240.80276862213825</c:v>
                </c:pt>
                <c:pt idx="548">
                  <c:v>236.32595919272617</c:v>
                </c:pt>
                <c:pt idx="549">
                  <c:v>236.32595919272617</c:v>
                </c:pt>
                <c:pt idx="550">
                  <c:v>236.32595919272617</c:v>
                </c:pt>
                <c:pt idx="551">
                  <c:v>237.12629915484146</c:v>
                </c:pt>
                <c:pt idx="552">
                  <c:v>232.19850877069601</c:v>
                </c:pt>
                <c:pt idx="553">
                  <c:v>237.43287235053651</c:v>
                </c:pt>
                <c:pt idx="554">
                  <c:v>241.07955341365746</c:v>
                </c:pt>
                <c:pt idx="555">
                  <c:v>239.41048119356179</c:v>
                </c:pt>
                <c:pt idx="556">
                  <c:v>239.41048119356179</c:v>
                </c:pt>
                <c:pt idx="557">
                  <c:v>239.41048119356179</c:v>
                </c:pt>
                <c:pt idx="558">
                  <c:v>240.8601435967928</c:v>
                </c:pt>
                <c:pt idx="559">
                  <c:v>237.71594454906713</c:v>
                </c:pt>
                <c:pt idx="560">
                  <c:v>235.63206124057152</c:v>
                </c:pt>
                <c:pt idx="561">
                  <c:v>230.63813227747696</c:v>
                </c:pt>
                <c:pt idx="562">
                  <c:v>235.93727371380174</c:v>
                </c:pt>
                <c:pt idx="563">
                  <c:v>235.93727371380174</c:v>
                </c:pt>
                <c:pt idx="564">
                  <c:v>235.93727371380174</c:v>
                </c:pt>
                <c:pt idx="565">
                  <c:v>241.06132287236593</c:v>
                </c:pt>
                <c:pt idx="566">
                  <c:v>234.6444016186974</c:v>
                </c:pt>
                <c:pt idx="567">
                  <c:v>241.31190010674359</c:v>
                </c:pt>
                <c:pt idx="568">
                  <c:v>235.67197717397431</c:v>
                </c:pt>
                <c:pt idx="569">
                  <c:v>213.20626009770658</c:v>
                </c:pt>
                <c:pt idx="570">
                  <c:v>213.20626009770658</c:v>
                </c:pt>
                <c:pt idx="571">
                  <c:v>213.20626009770658</c:v>
                </c:pt>
                <c:pt idx="572">
                  <c:v>210.88538756236179</c:v>
                </c:pt>
                <c:pt idx="573">
                  <c:v>212.23848785686309</c:v>
                </c:pt>
                <c:pt idx="574">
                  <c:v>211.81532531570008</c:v>
                </c:pt>
                <c:pt idx="575">
                  <c:v>202.19363074080152</c:v>
                </c:pt>
                <c:pt idx="576">
                  <c:v>202.69788634641165</c:v>
                </c:pt>
                <c:pt idx="577">
                  <c:v>202.69788634641165</c:v>
                </c:pt>
                <c:pt idx="578">
                  <c:v>202.69788634641165</c:v>
                </c:pt>
                <c:pt idx="579">
                  <c:v>197.45764249533067</c:v>
                </c:pt>
                <c:pt idx="580">
                  <c:v>200.17600811865012</c:v>
                </c:pt>
                <c:pt idx="581">
                  <c:v>200.73072378897643</c:v>
                </c:pt>
                <c:pt idx="582">
                  <c:v>195.92705125100784</c:v>
                </c:pt>
                <c:pt idx="583">
                  <c:v>192.41481603596881</c:v>
                </c:pt>
                <c:pt idx="584">
                  <c:v>192.41481603596881</c:v>
                </c:pt>
                <c:pt idx="585">
                  <c:v>192.41481603596881</c:v>
                </c:pt>
                <c:pt idx="586">
                  <c:v>190.81916764756542</c:v>
                </c:pt>
                <c:pt idx="587">
                  <c:v>188.4786027186901</c:v>
                </c:pt>
                <c:pt idx="588">
                  <c:v>186.86187617740481</c:v>
                </c:pt>
                <c:pt idx="589">
                  <c:v>187.16384141716952</c:v>
                </c:pt>
                <c:pt idx="590">
                  <c:v>182.01096829403355</c:v>
                </c:pt>
                <c:pt idx="591">
                  <c:v>182.01096829403355</c:v>
                </c:pt>
                <c:pt idx="592">
                  <c:v>182.01096829403355</c:v>
                </c:pt>
                <c:pt idx="593">
                  <c:v>177.95872246507608</c:v>
                </c:pt>
                <c:pt idx="594">
                  <c:v>175.47768341944902</c:v>
                </c:pt>
                <c:pt idx="595">
                  <c:v>173.11411244159814</c:v>
                </c:pt>
                <c:pt idx="596">
                  <c:v>172.35007740305261</c:v>
                </c:pt>
                <c:pt idx="597">
                  <c:v>174.97237807726381</c:v>
                </c:pt>
                <c:pt idx="598">
                  <c:v>174.97237807726381</c:v>
                </c:pt>
                <c:pt idx="599">
                  <c:v>174.97237807726381</c:v>
                </c:pt>
                <c:pt idx="600">
                  <c:v>174.97237807726381</c:v>
                </c:pt>
                <c:pt idx="601">
                  <c:v>174.97237807726381</c:v>
                </c:pt>
                <c:pt idx="602">
                  <c:v>173.43013154628972</c:v>
                </c:pt>
                <c:pt idx="603">
                  <c:v>171.50559522066371</c:v>
                </c:pt>
                <c:pt idx="604">
                  <c:v>172.90320959758984</c:v>
                </c:pt>
                <c:pt idx="605">
                  <c:v>172.90320959758984</c:v>
                </c:pt>
                <c:pt idx="606">
                  <c:v>172.90320959758984</c:v>
                </c:pt>
                <c:pt idx="607">
                  <c:v>172.85647426371159</c:v>
                </c:pt>
                <c:pt idx="608">
                  <c:v>173.04358593363</c:v>
                </c:pt>
                <c:pt idx="609">
                  <c:v>172.79849823520121</c:v>
                </c:pt>
                <c:pt idx="610">
                  <c:v>169.92463768426506</c:v>
                </c:pt>
                <c:pt idx="611">
                  <c:v>173.49332959039643</c:v>
                </c:pt>
                <c:pt idx="612">
                  <c:v>173.49332959039643</c:v>
                </c:pt>
                <c:pt idx="613">
                  <c:v>173.49332959039643</c:v>
                </c:pt>
                <c:pt idx="614">
                  <c:v>175.60834798700617</c:v>
                </c:pt>
                <c:pt idx="615">
                  <c:v>177.31336853755457</c:v>
                </c:pt>
                <c:pt idx="616">
                  <c:v>174.58065703591237</c:v>
                </c:pt>
                <c:pt idx="617">
                  <c:v>174.41478991092973</c:v>
                </c:pt>
                <c:pt idx="618">
                  <c:v>170.75758994040424</c:v>
                </c:pt>
                <c:pt idx="619">
                  <c:v>170.75758994040424</c:v>
                </c:pt>
                <c:pt idx="620">
                  <c:v>170.75758994040424</c:v>
                </c:pt>
                <c:pt idx="621">
                  <c:v>166.5360289314786</c:v>
                </c:pt>
                <c:pt idx="622">
                  <c:v>163.76006441223797</c:v>
                </c:pt>
                <c:pt idx="623">
                  <c:v>161.17167496402948</c:v>
                </c:pt>
                <c:pt idx="624">
                  <c:v>160.85922930115282</c:v>
                </c:pt>
                <c:pt idx="625">
                  <c:v>158.63014841107278</c:v>
                </c:pt>
                <c:pt idx="626">
                  <c:v>158.63014841107278</c:v>
                </c:pt>
                <c:pt idx="627">
                  <c:v>158.63014841107278</c:v>
                </c:pt>
                <c:pt idx="628">
                  <c:v>159.49826765234468</c:v>
                </c:pt>
                <c:pt idx="629">
                  <c:v>160.60815640416726</c:v>
                </c:pt>
                <c:pt idx="630">
                  <c:v>160.44580604827595</c:v>
                </c:pt>
                <c:pt idx="631">
                  <c:v>158.20220363101291</c:v>
                </c:pt>
                <c:pt idx="632">
                  <c:v>157.97070617649959</c:v>
                </c:pt>
                <c:pt idx="633">
                  <c:v>157.97070617649959</c:v>
                </c:pt>
                <c:pt idx="634">
                  <c:v>157.97070617649959</c:v>
                </c:pt>
                <c:pt idx="635">
                  <c:v>161.73687389682314</c:v>
                </c:pt>
                <c:pt idx="636">
                  <c:v>159.87148773376427</c:v>
                </c:pt>
                <c:pt idx="637">
                  <c:v>158.43259492607976</c:v>
                </c:pt>
                <c:pt idx="638">
                  <c:v>157.61206683661672</c:v>
                </c:pt>
                <c:pt idx="639">
                  <c:v>161.83562591387923</c:v>
                </c:pt>
                <c:pt idx="640">
                  <c:v>161.83562591387923</c:v>
                </c:pt>
                <c:pt idx="641">
                  <c:v>161.83562591387923</c:v>
                </c:pt>
                <c:pt idx="642">
                  <c:v>159.51967468082466</c:v>
                </c:pt>
                <c:pt idx="643">
                  <c:v>161.59465993903075</c:v>
                </c:pt>
                <c:pt idx="644">
                  <c:v>160.44208463131903</c:v>
                </c:pt>
                <c:pt idx="645">
                  <c:v>163.97394346893688</c:v>
                </c:pt>
                <c:pt idx="646">
                  <c:v>162.15415448955412</c:v>
                </c:pt>
                <c:pt idx="647">
                  <c:v>162.15415448955412</c:v>
                </c:pt>
                <c:pt idx="648">
                  <c:v>162.15415448955412</c:v>
                </c:pt>
                <c:pt idx="649">
                  <c:v>161.93711697308831</c:v>
                </c:pt>
                <c:pt idx="650">
                  <c:v>160.52440148986358</c:v>
                </c:pt>
                <c:pt idx="651">
                  <c:v>160.9615707609949</c:v>
                </c:pt>
                <c:pt idx="652">
                  <c:v>160.99110142655496</c:v>
                </c:pt>
                <c:pt idx="653">
                  <c:v>166.35414800883569</c:v>
                </c:pt>
                <c:pt idx="654">
                  <c:v>166.35414800883569</c:v>
                </c:pt>
                <c:pt idx="655">
                  <c:v>166.35414800883569</c:v>
                </c:pt>
                <c:pt idx="656">
                  <c:v>166.35414800883569</c:v>
                </c:pt>
                <c:pt idx="657">
                  <c:v>163.05915499653153</c:v>
                </c:pt>
                <c:pt idx="658">
                  <c:v>160.98876985893008</c:v>
                </c:pt>
                <c:pt idx="659">
                  <c:v>161.42605190224236</c:v>
                </c:pt>
                <c:pt idx="660">
                  <c:v>158.9945330969268</c:v>
                </c:pt>
                <c:pt idx="661">
                  <c:v>158.9945330969268</c:v>
                </c:pt>
                <c:pt idx="662">
                  <c:v>158.9945330969268</c:v>
                </c:pt>
                <c:pt idx="663">
                  <c:v>159.90673461316484</c:v>
                </c:pt>
                <c:pt idx="664">
                  <c:v>158.98396235474891</c:v>
                </c:pt>
                <c:pt idx="665">
                  <c:v>159.54593893619102</c:v>
                </c:pt>
                <c:pt idx="666">
                  <c:v>164.68172477363674</c:v>
                </c:pt>
                <c:pt idx="667">
                  <c:v>166.00284676695603</c:v>
                </c:pt>
                <c:pt idx="668">
                  <c:v>166.00284676695603</c:v>
                </c:pt>
                <c:pt idx="669">
                  <c:v>166.00284676695603</c:v>
                </c:pt>
                <c:pt idx="670">
                  <c:v>154.80474281876005</c:v>
                </c:pt>
                <c:pt idx="671">
                  <c:v>155.44317423035821</c:v>
                </c:pt>
                <c:pt idx="672">
                  <c:v>154.33772075138305</c:v>
                </c:pt>
                <c:pt idx="673">
                  <c:v>150.66726599368189</c:v>
                </c:pt>
                <c:pt idx="674">
                  <c:v>151.3743912948201</c:v>
                </c:pt>
                <c:pt idx="675">
                  <c:v>151.3743912948201</c:v>
                </c:pt>
                <c:pt idx="676">
                  <c:v>151.3743912948201</c:v>
                </c:pt>
                <c:pt idx="677">
                  <c:v>153.10683790462957</c:v>
                </c:pt>
                <c:pt idx="678">
                  <c:v>153.98913188463789</c:v>
                </c:pt>
                <c:pt idx="679">
                  <c:v>152.99998012949595</c:v>
                </c:pt>
                <c:pt idx="680">
                  <c:v>148.40267670659412</c:v>
                </c:pt>
                <c:pt idx="681">
                  <c:v>145.79901131630962</c:v>
                </c:pt>
                <c:pt idx="682">
                  <c:v>145.79901131630962</c:v>
                </c:pt>
                <c:pt idx="683">
                  <c:v>145.79901131630962</c:v>
                </c:pt>
                <c:pt idx="684">
                  <c:v>145.79901131630962</c:v>
                </c:pt>
                <c:pt idx="685">
                  <c:v>145.79901131630962</c:v>
                </c:pt>
                <c:pt idx="686">
                  <c:v>147.25821462308846</c:v>
                </c:pt>
                <c:pt idx="687">
                  <c:v>143.72687500742737</c:v>
                </c:pt>
                <c:pt idx="688">
                  <c:v>147.14371440457393</c:v>
                </c:pt>
                <c:pt idx="689">
                  <c:v>147.14371440457393</c:v>
                </c:pt>
                <c:pt idx="690">
                  <c:v>147.14371440457393</c:v>
                </c:pt>
                <c:pt idx="691">
                  <c:v>150.80170887348748</c:v>
                </c:pt>
                <c:pt idx="692">
                  <c:v>148.74767198736441</c:v>
                </c:pt>
                <c:pt idx="693">
                  <c:v>144.27488703043221</c:v>
                </c:pt>
                <c:pt idx="694">
                  <c:v>137.13296044943374</c:v>
                </c:pt>
                <c:pt idx="695">
                  <c:v>145.12284345424942</c:v>
                </c:pt>
                <c:pt idx="696">
                  <c:v>145.12284345424942</c:v>
                </c:pt>
                <c:pt idx="697">
                  <c:v>145.12284345424942</c:v>
                </c:pt>
                <c:pt idx="698">
                  <c:v>132.42727646614208</c:v>
                </c:pt>
                <c:pt idx="699">
                  <c:v>139.35653705011205</c:v>
                </c:pt>
                <c:pt idx="700">
                  <c:v>144.3865822881522</c:v>
                </c:pt>
                <c:pt idx="701">
                  <c:v>148.75908286908427</c:v>
                </c:pt>
                <c:pt idx="702">
                  <c:v>156.54510610541811</c:v>
                </c:pt>
                <c:pt idx="703">
                  <c:v>156.54510610541811</c:v>
                </c:pt>
                <c:pt idx="704">
                  <c:v>156.54510610541811</c:v>
                </c:pt>
                <c:pt idx="705">
                  <c:v>158.53600144381465</c:v>
                </c:pt>
                <c:pt idx="706">
                  <c:v>162.97956811508831</c:v>
                </c:pt>
                <c:pt idx="707">
                  <c:v>166.9238953315436</c:v>
                </c:pt>
                <c:pt idx="708">
                  <c:v>165.73714546867814</c:v>
                </c:pt>
                <c:pt idx="709">
                  <c:v>171.37681159420313</c:v>
                </c:pt>
                <c:pt idx="710">
                  <c:v>171.37681159420313</c:v>
                </c:pt>
                <c:pt idx="711">
                  <c:v>171.37681159420313</c:v>
                </c:pt>
                <c:pt idx="712">
                  <c:v>175.45930116891194</c:v>
                </c:pt>
                <c:pt idx="713">
                  <c:v>174.29915229293391</c:v>
                </c:pt>
                <c:pt idx="714">
                  <c:v>172.78895507291955</c:v>
                </c:pt>
                <c:pt idx="715">
                  <c:v>169.48401620093375</c:v>
                </c:pt>
                <c:pt idx="716">
                  <c:v>169.86992704913507</c:v>
                </c:pt>
                <c:pt idx="717">
                  <c:v>169.86992704913507</c:v>
                </c:pt>
                <c:pt idx="718">
                  <c:v>169.86992704913507</c:v>
                </c:pt>
                <c:pt idx="719">
                  <c:v>169.86992704913507</c:v>
                </c:pt>
                <c:pt idx="720">
                  <c:v>171.17989400508398</c:v>
                </c:pt>
                <c:pt idx="721">
                  <c:v>172.32652444522444</c:v>
                </c:pt>
                <c:pt idx="722">
                  <c:v>171.06482568198044</c:v>
                </c:pt>
                <c:pt idx="723">
                  <c:v>173.99501807927095</c:v>
                </c:pt>
                <c:pt idx="724">
                  <c:v>173.99501807927095</c:v>
                </c:pt>
                <c:pt idx="725">
                  <c:v>173.99501807927095</c:v>
                </c:pt>
                <c:pt idx="726">
                  <c:v>174.38896756651971</c:v>
                </c:pt>
                <c:pt idx="727">
                  <c:v>176.1254615330088</c:v>
                </c:pt>
                <c:pt idx="728">
                  <c:v>174.03272765755347</c:v>
                </c:pt>
                <c:pt idx="729">
                  <c:v>179.69860364641869</c:v>
                </c:pt>
                <c:pt idx="730">
                  <c:v>181.50514861479368</c:v>
                </c:pt>
                <c:pt idx="731">
                  <c:v>181.50514861479368</c:v>
                </c:pt>
                <c:pt idx="732">
                  <c:v>181.50514861479368</c:v>
                </c:pt>
                <c:pt idx="733">
                  <c:v>181.66246356459123</c:v>
                </c:pt>
                <c:pt idx="734">
                  <c:v>181.76547086523397</c:v>
                </c:pt>
                <c:pt idx="735">
                  <c:v>179.62079131388288</c:v>
                </c:pt>
                <c:pt idx="736">
                  <c:v>177.08182196299208</c:v>
                </c:pt>
                <c:pt idx="737">
                  <c:v>176.85837156154381</c:v>
                </c:pt>
                <c:pt idx="738">
                  <c:v>176.85837156154381</c:v>
                </c:pt>
                <c:pt idx="739">
                  <c:v>176.85837156154381</c:v>
                </c:pt>
                <c:pt idx="740">
                  <c:v>179.87504464890569</c:v>
                </c:pt>
                <c:pt idx="741">
                  <c:v>177.48889304892751</c:v>
                </c:pt>
                <c:pt idx="742">
                  <c:v>175.73005232968694</c:v>
                </c:pt>
                <c:pt idx="743">
                  <c:v>169.46676808766262</c:v>
                </c:pt>
                <c:pt idx="744">
                  <c:v>171.53834592706227</c:v>
                </c:pt>
                <c:pt idx="745">
                  <c:v>171.53834592706227</c:v>
                </c:pt>
                <c:pt idx="746">
                  <c:v>171.53834592706227</c:v>
                </c:pt>
                <c:pt idx="747">
                  <c:v>170.2005772005777</c:v>
                </c:pt>
                <c:pt idx="748">
                  <c:v>180.84316587020743</c:v>
                </c:pt>
                <c:pt idx="749">
                  <c:v>180.84316587020743</c:v>
                </c:pt>
                <c:pt idx="750">
                  <c:v>180.84316587020743</c:v>
                </c:pt>
                <c:pt idx="751">
                  <c:v>180.84316587020743</c:v>
                </c:pt>
                <c:pt idx="752">
                  <c:v>180.84316587020743</c:v>
                </c:pt>
                <c:pt idx="753">
                  <c:v>180.84316587020743</c:v>
                </c:pt>
                <c:pt idx="754">
                  <c:v>180.84316587020743</c:v>
                </c:pt>
                <c:pt idx="755">
                  <c:v>180.84316587020743</c:v>
                </c:pt>
                <c:pt idx="756">
                  <c:v>180.84316587020743</c:v>
                </c:pt>
                <c:pt idx="757">
                  <c:v>180.84316587020743</c:v>
                </c:pt>
                <c:pt idx="758">
                  <c:v>180.87939730453402</c:v>
                </c:pt>
                <c:pt idx="759">
                  <c:v>180.87939730453402</c:v>
                </c:pt>
                <c:pt idx="760">
                  <c:v>180.87939730453402</c:v>
                </c:pt>
                <c:pt idx="761">
                  <c:v>181.89460083994643</c:v>
                </c:pt>
                <c:pt idx="762">
                  <c:v>184.88539397782185</c:v>
                </c:pt>
                <c:pt idx="763">
                  <c:v>188.23617054445421</c:v>
                </c:pt>
                <c:pt idx="764">
                  <c:v>185.96837689131411</c:v>
                </c:pt>
                <c:pt idx="765">
                  <c:v>184.33621371705519</c:v>
                </c:pt>
                <c:pt idx="766">
                  <c:v>184.33621371705519</c:v>
                </c:pt>
                <c:pt idx="767">
                  <c:v>184.33621371705519</c:v>
                </c:pt>
                <c:pt idx="768">
                  <c:v>183.20136717260297</c:v>
                </c:pt>
                <c:pt idx="769">
                  <c:v>178.56684563050979</c:v>
                </c:pt>
                <c:pt idx="770">
                  <c:v>178.43606662309054</c:v>
                </c:pt>
                <c:pt idx="771">
                  <c:v>179.68821515534307</c:v>
                </c:pt>
                <c:pt idx="772">
                  <c:v>183.82082821737964</c:v>
                </c:pt>
                <c:pt idx="773">
                  <c:v>183.82082821737964</c:v>
                </c:pt>
                <c:pt idx="774">
                  <c:v>183.82082821737964</c:v>
                </c:pt>
                <c:pt idx="775">
                  <c:v>183.89900173673081</c:v>
                </c:pt>
                <c:pt idx="776">
                  <c:v>180.02747664387962</c:v>
                </c:pt>
                <c:pt idx="777">
                  <c:v>180.02747664387962</c:v>
                </c:pt>
                <c:pt idx="778">
                  <c:v>180.84874315763736</c:v>
                </c:pt>
                <c:pt idx="779">
                  <c:v>182.77140475724414</c:v>
                </c:pt>
                <c:pt idx="780">
                  <c:v>182.77140475724414</c:v>
                </c:pt>
                <c:pt idx="781">
                  <c:v>182.77140475724414</c:v>
                </c:pt>
                <c:pt idx="782">
                  <c:v>180.03776224661593</c:v>
                </c:pt>
                <c:pt idx="783">
                  <c:v>180.17549278151253</c:v>
                </c:pt>
                <c:pt idx="784">
                  <c:v>179.17553562169022</c:v>
                </c:pt>
                <c:pt idx="785">
                  <c:v>180.26088670725497</c:v>
                </c:pt>
                <c:pt idx="786">
                  <c:v>177.73927825072005</c:v>
                </c:pt>
                <c:pt idx="787">
                  <c:v>177.73927825072005</c:v>
                </c:pt>
                <c:pt idx="788">
                  <c:v>177.73927825072005</c:v>
                </c:pt>
                <c:pt idx="789">
                  <c:v>180.72264316543698</c:v>
                </c:pt>
                <c:pt idx="790">
                  <c:v>185.8661053298043</c:v>
                </c:pt>
                <c:pt idx="791">
                  <c:v>186.17291556419181</c:v>
                </c:pt>
                <c:pt idx="792">
                  <c:v>181.56317359081137</c:v>
                </c:pt>
                <c:pt idx="793">
                  <c:v>182.49319495265576</c:v>
                </c:pt>
                <c:pt idx="794">
                  <c:v>182.49319495265576</c:v>
                </c:pt>
                <c:pt idx="795">
                  <c:v>182.49319495265576</c:v>
                </c:pt>
                <c:pt idx="796">
                  <c:v>178.43211557227895</c:v>
                </c:pt>
                <c:pt idx="797">
                  <c:v>170.63679095509698</c:v>
                </c:pt>
                <c:pt idx="798">
                  <c:v>167.5130033180879</c:v>
                </c:pt>
                <c:pt idx="799">
                  <c:v>168.73798130363315</c:v>
                </c:pt>
                <c:pt idx="800">
                  <c:v>167.36678308895824</c:v>
                </c:pt>
                <c:pt idx="801">
                  <c:v>167.36678308895824</c:v>
                </c:pt>
                <c:pt idx="802">
                  <c:v>167.36678308895824</c:v>
                </c:pt>
                <c:pt idx="803">
                  <c:v>166.60205748966317</c:v>
                </c:pt>
                <c:pt idx="804">
                  <c:v>163.39817176870821</c:v>
                </c:pt>
                <c:pt idx="805">
                  <c:v>163.76550583797652</c:v>
                </c:pt>
                <c:pt idx="806">
                  <c:v>164.06988646066287</c:v>
                </c:pt>
                <c:pt idx="807">
                  <c:v>162.59732283524642</c:v>
                </c:pt>
                <c:pt idx="808">
                  <c:v>162.59732283524642</c:v>
                </c:pt>
                <c:pt idx="809">
                  <c:v>162.59732283524642</c:v>
                </c:pt>
                <c:pt idx="810">
                  <c:v>165.20745167997072</c:v>
                </c:pt>
                <c:pt idx="811">
                  <c:v>165.89925835703824</c:v>
                </c:pt>
                <c:pt idx="812">
                  <c:v>163.76550583797652</c:v>
                </c:pt>
                <c:pt idx="813">
                  <c:v>163.78161814669821</c:v>
                </c:pt>
                <c:pt idx="814">
                  <c:v>164.49255488132331</c:v>
                </c:pt>
                <c:pt idx="815">
                  <c:v>164.49255488132331</c:v>
                </c:pt>
                <c:pt idx="816">
                  <c:v>164.49255488132331</c:v>
                </c:pt>
                <c:pt idx="817">
                  <c:v>165.82313034179631</c:v>
                </c:pt>
                <c:pt idx="818">
                  <c:v>167.15611370467386</c:v>
                </c:pt>
                <c:pt idx="819">
                  <c:v>167.89536915683721</c:v>
                </c:pt>
                <c:pt idx="820">
                  <c:v>165.8775003638776</c:v>
                </c:pt>
                <c:pt idx="821">
                  <c:v>163.78161814669821</c:v>
                </c:pt>
                <c:pt idx="822">
                  <c:v>163.78161814669821</c:v>
                </c:pt>
                <c:pt idx="823">
                  <c:v>163.78161814669821</c:v>
                </c:pt>
                <c:pt idx="824">
                  <c:v>161.87723910108252</c:v>
                </c:pt>
                <c:pt idx="825">
                  <c:v>162.11734569982673</c:v>
                </c:pt>
                <c:pt idx="826">
                  <c:v>162.86419081521572</c:v>
                </c:pt>
                <c:pt idx="827">
                  <c:v>161.05074913416192</c:v>
                </c:pt>
                <c:pt idx="828">
                  <c:v>163.57685088964519</c:v>
                </c:pt>
                <c:pt idx="829">
                  <c:v>163.57685088964519</c:v>
                </c:pt>
                <c:pt idx="830">
                  <c:v>163.57685088964519</c:v>
                </c:pt>
                <c:pt idx="831">
                  <c:v>165.7290963423502</c:v>
                </c:pt>
                <c:pt idx="832">
                  <c:v>166.4450693731826</c:v>
                </c:pt>
                <c:pt idx="833">
                  <c:v>166.17747279862823</c:v>
                </c:pt>
                <c:pt idx="834">
                  <c:v>164.35837092411123</c:v>
                </c:pt>
                <c:pt idx="835">
                  <c:v>159.80718669968243</c:v>
                </c:pt>
                <c:pt idx="836">
                  <c:v>159.80718669968243</c:v>
                </c:pt>
                <c:pt idx="837">
                  <c:v>159.80718669968243</c:v>
                </c:pt>
                <c:pt idx="838">
                  <c:v>159.3200976608681</c:v>
                </c:pt>
                <c:pt idx="839">
                  <c:v>160.39060877913917</c:v>
                </c:pt>
                <c:pt idx="840">
                  <c:v>159.24694793742412</c:v>
                </c:pt>
                <c:pt idx="841">
                  <c:v>156.81470224023428</c:v>
                </c:pt>
                <c:pt idx="842">
                  <c:v>156.21574968661324</c:v>
                </c:pt>
                <c:pt idx="843">
                  <c:v>156.21574968661324</c:v>
                </c:pt>
                <c:pt idx="844">
                  <c:v>156.21574968661324</c:v>
                </c:pt>
                <c:pt idx="845">
                  <c:v>155.8068830632657</c:v>
                </c:pt>
                <c:pt idx="846">
                  <c:v>155.89351605247469</c:v>
                </c:pt>
                <c:pt idx="847">
                  <c:v>156.40511333493222</c:v>
                </c:pt>
                <c:pt idx="848">
                  <c:v>154.58046964043422</c:v>
                </c:pt>
                <c:pt idx="849">
                  <c:v>156.09262681474902</c:v>
                </c:pt>
                <c:pt idx="850">
                  <c:v>156.09262681474902</c:v>
                </c:pt>
                <c:pt idx="851">
                  <c:v>156.09262681474902</c:v>
                </c:pt>
                <c:pt idx="852">
                  <c:v>155.96060358906215</c:v>
                </c:pt>
                <c:pt idx="853">
                  <c:v>157.21580054674357</c:v>
                </c:pt>
                <c:pt idx="854">
                  <c:v>155.97588884913301</c:v>
                </c:pt>
                <c:pt idx="855">
                  <c:v>154.1561588290561</c:v>
                </c:pt>
                <c:pt idx="856">
                  <c:v>149.17238574236492</c:v>
                </c:pt>
                <c:pt idx="857">
                  <c:v>149.17238574236492</c:v>
                </c:pt>
                <c:pt idx="858">
                  <c:v>149.17238574236492</c:v>
                </c:pt>
                <c:pt idx="859">
                  <c:v>149.17238574236492</c:v>
                </c:pt>
                <c:pt idx="860">
                  <c:v>149.17238574236492</c:v>
                </c:pt>
                <c:pt idx="861">
                  <c:v>151.21841620057072</c:v>
                </c:pt>
                <c:pt idx="862">
                  <c:v>146.41845571716709</c:v>
                </c:pt>
                <c:pt idx="863">
                  <c:v>145.67087572075116</c:v>
                </c:pt>
                <c:pt idx="864">
                  <c:v>145.67087572075116</c:v>
                </c:pt>
                <c:pt idx="865">
                  <c:v>145.67087572075116</c:v>
                </c:pt>
                <c:pt idx="866">
                  <c:v>145.21468423935019</c:v>
                </c:pt>
                <c:pt idx="867">
                  <c:v>146.53478203336411</c:v>
                </c:pt>
                <c:pt idx="868">
                  <c:v>146.54188323836354</c:v>
                </c:pt>
                <c:pt idx="869">
                  <c:v>142.5843403157144</c:v>
                </c:pt>
                <c:pt idx="870">
                  <c:v>142.5843403157144</c:v>
                </c:pt>
                <c:pt idx="871">
                  <c:v>142.5843403157144</c:v>
                </c:pt>
                <c:pt idx="872">
                  <c:v>142.5843403157144</c:v>
                </c:pt>
                <c:pt idx="873">
                  <c:v>140.53732844229611</c:v>
                </c:pt>
                <c:pt idx="874">
                  <c:v>139.49753615764769</c:v>
                </c:pt>
                <c:pt idx="875">
                  <c:v>138.89698667054006</c:v>
                </c:pt>
                <c:pt idx="876">
                  <c:v>138.66325538535028</c:v>
                </c:pt>
                <c:pt idx="877">
                  <c:v>138.61402370859477</c:v>
                </c:pt>
                <c:pt idx="878">
                  <c:v>138.61402370859477</c:v>
                </c:pt>
                <c:pt idx="879">
                  <c:v>138.61402370859477</c:v>
                </c:pt>
                <c:pt idx="880">
                  <c:v>139.09866988180056</c:v>
                </c:pt>
                <c:pt idx="881">
                  <c:v>140.3069282155727</c:v>
                </c:pt>
                <c:pt idx="882">
                  <c:v>139.39553365584086</c:v>
                </c:pt>
                <c:pt idx="883">
                  <c:v>139.79415686002511</c:v>
                </c:pt>
                <c:pt idx="884">
                  <c:v>138.16089846600747</c:v>
                </c:pt>
                <c:pt idx="885">
                  <c:v>138.16089846600747</c:v>
                </c:pt>
                <c:pt idx="886">
                  <c:v>138.16089846600747</c:v>
                </c:pt>
                <c:pt idx="887">
                  <c:v>138.16089846600747</c:v>
                </c:pt>
                <c:pt idx="888">
                  <c:v>137.45895407956846</c:v>
                </c:pt>
                <c:pt idx="889">
                  <c:v>136.40762203372432</c:v>
                </c:pt>
                <c:pt idx="890">
                  <c:v>138.18017368038196</c:v>
                </c:pt>
                <c:pt idx="891">
                  <c:v>137.46852521266436</c:v>
                </c:pt>
                <c:pt idx="892">
                  <c:v>137.46852521266436</c:v>
                </c:pt>
                <c:pt idx="893">
                  <c:v>137.46852521266436</c:v>
                </c:pt>
                <c:pt idx="894">
                  <c:v>136.86092408101362</c:v>
                </c:pt>
                <c:pt idx="895">
                  <c:v>134.02453798083155</c:v>
                </c:pt>
                <c:pt idx="896">
                  <c:v>131.76438946577355</c:v>
                </c:pt>
                <c:pt idx="897">
                  <c:v>133.50766247180599</c:v>
                </c:pt>
                <c:pt idx="898">
                  <c:v>134.52978171351</c:v>
                </c:pt>
                <c:pt idx="899">
                  <c:v>134.52978171351</c:v>
                </c:pt>
                <c:pt idx="900">
                  <c:v>134.52978171351</c:v>
                </c:pt>
                <c:pt idx="901">
                  <c:v>131.97903743149215</c:v>
                </c:pt>
                <c:pt idx="902">
                  <c:v>130.58112742755824</c:v>
                </c:pt>
                <c:pt idx="903">
                  <c:v>129.503516918732</c:v>
                </c:pt>
                <c:pt idx="904">
                  <c:v>128.83316276725475</c:v>
                </c:pt>
                <c:pt idx="905">
                  <c:v>131.50856885539716</c:v>
                </c:pt>
                <c:pt idx="906">
                  <c:v>131.50856885539716</c:v>
                </c:pt>
                <c:pt idx="907">
                  <c:v>131.50856885539716</c:v>
                </c:pt>
                <c:pt idx="908">
                  <c:v>131.74338312239669</c:v>
                </c:pt>
                <c:pt idx="909">
                  <c:v>132.14597729743446</c:v>
                </c:pt>
                <c:pt idx="910">
                  <c:v>132.15441385231028</c:v>
                </c:pt>
                <c:pt idx="911">
                  <c:v>130.7018662585555</c:v>
                </c:pt>
                <c:pt idx="912">
                  <c:v>129.92552767639819</c:v>
                </c:pt>
                <c:pt idx="913">
                  <c:v>129.92552767639819</c:v>
                </c:pt>
                <c:pt idx="914">
                  <c:v>129.92552767639819</c:v>
                </c:pt>
                <c:pt idx="915">
                  <c:v>128.93967496370985</c:v>
                </c:pt>
                <c:pt idx="916">
                  <c:v>129.26097467802612</c:v>
                </c:pt>
                <c:pt idx="917">
                  <c:v>128.75236824472631</c:v>
                </c:pt>
                <c:pt idx="918">
                  <c:v>129.79008034477064</c:v>
                </c:pt>
                <c:pt idx="919">
                  <c:v>131.80343679432764</c:v>
                </c:pt>
                <c:pt idx="920">
                  <c:v>131.80343679432764</c:v>
                </c:pt>
                <c:pt idx="921">
                  <c:v>131.80343679432764</c:v>
                </c:pt>
                <c:pt idx="922">
                  <c:v>131.80343679432764</c:v>
                </c:pt>
                <c:pt idx="923">
                  <c:v>128.37346624656504</c:v>
                </c:pt>
                <c:pt idx="924">
                  <c:v>128.50960542180022</c:v>
                </c:pt>
                <c:pt idx="925">
                  <c:v>126.55800267055162</c:v>
                </c:pt>
                <c:pt idx="926">
                  <c:v>130.08170600139056</c:v>
                </c:pt>
                <c:pt idx="927">
                  <c:v>130.08170600139056</c:v>
                </c:pt>
                <c:pt idx="928">
                  <c:v>130.08170600139056</c:v>
                </c:pt>
                <c:pt idx="929">
                  <c:v>133.20145935469165</c:v>
                </c:pt>
                <c:pt idx="930">
                  <c:v>135.49904672232466</c:v>
                </c:pt>
                <c:pt idx="931">
                  <c:v>136.09211981050589</c:v>
                </c:pt>
                <c:pt idx="932">
                  <c:v>136.60236463556825</c:v>
                </c:pt>
                <c:pt idx="933">
                  <c:v>136.59796973290327</c:v>
                </c:pt>
                <c:pt idx="934">
                  <c:v>136.59796973290327</c:v>
                </c:pt>
                <c:pt idx="935">
                  <c:v>136.59796973290327</c:v>
                </c:pt>
                <c:pt idx="936">
                  <c:v>138.72713130935446</c:v>
                </c:pt>
                <c:pt idx="937">
                  <c:v>138.70481284168989</c:v>
                </c:pt>
                <c:pt idx="938">
                  <c:v>138.15472679876737</c:v>
                </c:pt>
                <c:pt idx="939">
                  <c:v>138.27483039924283</c:v>
                </c:pt>
                <c:pt idx="940">
                  <c:v>135.77402287079713</c:v>
                </c:pt>
                <c:pt idx="941">
                  <c:v>135.77402287079713</c:v>
                </c:pt>
                <c:pt idx="942">
                  <c:v>135.77402287079713</c:v>
                </c:pt>
                <c:pt idx="943">
                  <c:v>133.4194751160104</c:v>
                </c:pt>
                <c:pt idx="944">
                  <c:v>132.0448810865947</c:v>
                </c:pt>
                <c:pt idx="945">
                  <c:v>134.09331904952722</c:v>
                </c:pt>
                <c:pt idx="946">
                  <c:v>133.39352116095264</c:v>
                </c:pt>
                <c:pt idx="947">
                  <c:v>131.28850247060183</c:v>
                </c:pt>
                <c:pt idx="948">
                  <c:v>131.28850247060183</c:v>
                </c:pt>
                <c:pt idx="949">
                  <c:v>131.28850247060183</c:v>
                </c:pt>
                <c:pt idx="950">
                  <c:v>131.13207176986893</c:v>
                </c:pt>
                <c:pt idx="951">
                  <c:v>129.45830313810464</c:v>
                </c:pt>
                <c:pt idx="952">
                  <c:v>126.33296029207581</c:v>
                </c:pt>
                <c:pt idx="953">
                  <c:v>126.54930622176866</c:v>
                </c:pt>
                <c:pt idx="954">
                  <c:v>126.82650704018781</c:v>
                </c:pt>
                <c:pt idx="955">
                  <c:v>126.82650704018781</c:v>
                </c:pt>
                <c:pt idx="956">
                  <c:v>126.82650704018781</c:v>
                </c:pt>
                <c:pt idx="957">
                  <c:v>127.90241894743552</c:v>
                </c:pt>
                <c:pt idx="958">
                  <c:v>126.95658385507778</c:v>
                </c:pt>
                <c:pt idx="959">
                  <c:v>130.69604239906258</c:v>
                </c:pt>
                <c:pt idx="960">
                  <c:v>130.43360054685559</c:v>
                </c:pt>
                <c:pt idx="961">
                  <c:v>125.58497927384806</c:v>
                </c:pt>
                <c:pt idx="962">
                  <c:v>125.58497927384806</c:v>
                </c:pt>
                <c:pt idx="963">
                  <c:v>125.58497927384806</c:v>
                </c:pt>
                <c:pt idx="964">
                  <c:v>126.1490530426139</c:v>
                </c:pt>
                <c:pt idx="965">
                  <c:v>122.99395155271343</c:v>
                </c:pt>
                <c:pt idx="966">
                  <c:v>124.86245463684958</c:v>
                </c:pt>
                <c:pt idx="967">
                  <c:v>126.75053927882898</c:v>
                </c:pt>
                <c:pt idx="968">
                  <c:v>130.63592774522203</c:v>
                </c:pt>
                <c:pt idx="969">
                  <c:v>130.63592774522203</c:v>
                </c:pt>
                <c:pt idx="970">
                  <c:v>130.63592774522203</c:v>
                </c:pt>
                <c:pt idx="971">
                  <c:v>128.75021686199202</c:v>
                </c:pt>
                <c:pt idx="972">
                  <c:v>127.42610572396444</c:v>
                </c:pt>
                <c:pt idx="973">
                  <c:v>122.38202738314557</c:v>
                </c:pt>
                <c:pt idx="974">
                  <c:v>120.34853031550826</c:v>
                </c:pt>
                <c:pt idx="975">
                  <c:v>121.8826021035686</c:v>
                </c:pt>
                <c:pt idx="976">
                  <c:v>121.8826021035686</c:v>
                </c:pt>
                <c:pt idx="977">
                  <c:v>121.8826021035686</c:v>
                </c:pt>
                <c:pt idx="978">
                  <c:v>124.08234757586393</c:v>
                </c:pt>
                <c:pt idx="979">
                  <c:v>127.40306140497171</c:v>
                </c:pt>
                <c:pt idx="980">
                  <c:v>126.74727103503389</c:v>
                </c:pt>
                <c:pt idx="981">
                  <c:v>124.52164016607617</c:v>
                </c:pt>
                <c:pt idx="982">
                  <c:v>120.59015267092985</c:v>
                </c:pt>
                <c:pt idx="983">
                  <c:v>120.59015267092985</c:v>
                </c:pt>
                <c:pt idx="984">
                  <c:v>120.59015267092985</c:v>
                </c:pt>
                <c:pt idx="985">
                  <c:v>120.59015267092985</c:v>
                </c:pt>
                <c:pt idx="986">
                  <c:v>121.92355059293889</c:v>
                </c:pt>
                <c:pt idx="987">
                  <c:v>120.90132739255554</c:v>
                </c:pt>
                <c:pt idx="988">
                  <c:v>123.35805616035029</c:v>
                </c:pt>
                <c:pt idx="989">
                  <c:v>121.52406430575454</c:v>
                </c:pt>
                <c:pt idx="990">
                  <c:v>121.52406430575454</c:v>
                </c:pt>
                <c:pt idx="991">
                  <c:v>121.52406430575454</c:v>
                </c:pt>
                <c:pt idx="992">
                  <c:v>119.04711618001657</c:v>
                </c:pt>
                <c:pt idx="993">
                  <c:v>118.34531885409976</c:v>
                </c:pt>
                <c:pt idx="994">
                  <c:v>118.93638978426144</c:v>
                </c:pt>
                <c:pt idx="995">
                  <c:v>119.50522268865996</c:v>
                </c:pt>
                <c:pt idx="996">
                  <c:v>120.41735334085062</c:v>
                </c:pt>
                <c:pt idx="997">
                  <c:v>120.41735334085062</c:v>
                </c:pt>
                <c:pt idx="998">
                  <c:v>120.41735334085062</c:v>
                </c:pt>
                <c:pt idx="999">
                  <c:v>118.70098434184729</c:v>
                </c:pt>
                <c:pt idx="1000">
                  <c:v>123.16576295070925</c:v>
                </c:pt>
                <c:pt idx="1001">
                  <c:v>121.07649128546747</c:v>
                </c:pt>
                <c:pt idx="1002">
                  <c:v>123.32269199823509</c:v>
                </c:pt>
                <c:pt idx="1003">
                  <c:v>125.25994891361721</c:v>
                </c:pt>
                <c:pt idx="1004">
                  <c:v>125.25994891361721</c:v>
                </c:pt>
                <c:pt idx="1005">
                  <c:v>125.25994891361721</c:v>
                </c:pt>
                <c:pt idx="1006">
                  <c:v>128.78196649029988</c:v>
                </c:pt>
                <c:pt idx="1007">
                  <c:v>130.38052422286503</c:v>
                </c:pt>
                <c:pt idx="1008">
                  <c:v>129.78034378284792</c:v>
                </c:pt>
                <c:pt idx="1009">
                  <c:v>131.02676976471187</c:v>
                </c:pt>
                <c:pt idx="1010">
                  <c:v>134.60476166533437</c:v>
                </c:pt>
                <c:pt idx="1011">
                  <c:v>134.60476166533437</c:v>
                </c:pt>
                <c:pt idx="1012">
                  <c:v>134.60476166533437</c:v>
                </c:pt>
                <c:pt idx="1013">
                  <c:v>134.63701443276165</c:v>
                </c:pt>
                <c:pt idx="1014">
                  <c:v>136.67262003072767</c:v>
                </c:pt>
                <c:pt idx="1015">
                  <c:v>138.05816000287393</c:v>
                </c:pt>
                <c:pt idx="1016">
                  <c:v>136.30552260445506</c:v>
                </c:pt>
                <c:pt idx="1017">
                  <c:v>139.70272153180417</c:v>
                </c:pt>
                <c:pt idx="1018">
                  <c:v>139.70272153180417</c:v>
                </c:pt>
                <c:pt idx="1019">
                  <c:v>139.70272153180417</c:v>
                </c:pt>
                <c:pt idx="1020">
                  <c:v>136.36728714732348</c:v>
                </c:pt>
                <c:pt idx="1021">
                  <c:v>136.38052968969353</c:v>
                </c:pt>
                <c:pt idx="1022">
                  <c:v>136.38052968969353</c:v>
                </c:pt>
                <c:pt idx="1023">
                  <c:v>136.61727892770966</c:v>
                </c:pt>
                <c:pt idx="1024">
                  <c:v>136.8672221691445</c:v>
                </c:pt>
                <c:pt idx="1025">
                  <c:v>136.8672221691445</c:v>
                </c:pt>
                <c:pt idx="1026">
                  <c:v>136.8672221691445</c:v>
                </c:pt>
                <c:pt idx="1027">
                  <c:v>140.77886987139649</c:v>
                </c:pt>
                <c:pt idx="1028">
                  <c:v>141.5820254756419</c:v>
                </c:pt>
                <c:pt idx="1029">
                  <c:v>141.27968324611015</c:v>
                </c:pt>
                <c:pt idx="1030">
                  <c:v>140.32085073366653</c:v>
                </c:pt>
                <c:pt idx="1031">
                  <c:v>139.66997599244567</c:v>
                </c:pt>
                <c:pt idx="1032">
                  <c:v>139.66997599244567</c:v>
                </c:pt>
                <c:pt idx="1033">
                  <c:v>139.66997599244567</c:v>
                </c:pt>
                <c:pt idx="1034">
                  <c:v>139.5793576988024</c:v>
                </c:pt>
                <c:pt idx="1035">
                  <c:v>138.23838857148363</c:v>
                </c:pt>
                <c:pt idx="1036">
                  <c:v>135.50284614686788</c:v>
                </c:pt>
                <c:pt idx="1037">
                  <c:v>134.68141667266761</c:v>
                </c:pt>
                <c:pt idx="1038">
                  <c:v>132.9657260244351</c:v>
                </c:pt>
                <c:pt idx="1039">
                  <c:v>132.9657260244351</c:v>
                </c:pt>
                <c:pt idx="1040">
                  <c:v>132.9657260244351</c:v>
                </c:pt>
                <c:pt idx="1041">
                  <c:v>132.87952458130752</c:v>
                </c:pt>
                <c:pt idx="1042">
                  <c:v>134.04709722514033</c:v>
                </c:pt>
                <c:pt idx="1043">
                  <c:v>134.07319504405626</c:v>
                </c:pt>
                <c:pt idx="1044">
                  <c:v>133.53234901854356</c:v>
                </c:pt>
                <c:pt idx="1045">
                  <c:v>130.24112500369483</c:v>
                </c:pt>
                <c:pt idx="1046">
                  <c:v>130.24112500369483</c:v>
                </c:pt>
                <c:pt idx="1047">
                  <c:v>130.24112500369483</c:v>
                </c:pt>
                <c:pt idx="1048">
                  <c:v>130.24112500369483</c:v>
                </c:pt>
                <c:pt idx="1049">
                  <c:v>130.24112500369483</c:v>
                </c:pt>
                <c:pt idx="1050">
                  <c:v>129.77882791406387</c:v>
                </c:pt>
                <c:pt idx="1051">
                  <c:v>129.7338323375422</c:v>
                </c:pt>
                <c:pt idx="1052">
                  <c:v>129.50245025120179</c:v>
                </c:pt>
                <c:pt idx="1053">
                  <c:v>129.50245025120179</c:v>
                </c:pt>
                <c:pt idx="1054">
                  <c:v>129.50245025120179</c:v>
                </c:pt>
                <c:pt idx="1055">
                  <c:v>127.57757966300606</c:v>
                </c:pt>
                <c:pt idx="1056">
                  <c:v>127.27686703096543</c:v>
                </c:pt>
                <c:pt idx="1057">
                  <c:v>128.70701926767308</c:v>
                </c:pt>
                <c:pt idx="1058">
                  <c:v>127.42548744008371</c:v>
                </c:pt>
                <c:pt idx="1059">
                  <c:v>130.9660515825876</c:v>
                </c:pt>
                <c:pt idx="1060">
                  <c:v>130.9660515825876</c:v>
                </c:pt>
                <c:pt idx="1061">
                  <c:v>130.9660515825876</c:v>
                </c:pt>
                <c:pt idx="1062">
                  <c:v>129.67485666936921</c:v>
                </c:pt>
                <c:pt idx="1063">
                  <c:v>128.06732085173152</c:v>
                </c:pt>
                <c:pt idx="1064">
                  <c:v>127.02557167474859</c:v>
                </c:pt>
                <c:pt idx="1065">
                  <c:v>127.42619059657349</c:v>
                </c:pt>
                <c:pt idx="1066">
                  <c:v>126.02871368147386</c:v>
                </c:pt>
                <c:pt idx="1067">
                  <c:v>126.02871368147386</c:v>
                </c:pt>
                <c:pt idx="1068">
                  <c:v>126.02871368147386</c:v>
                </c:pt>
                <c:pt idx="1069">
                  <c:v>123.38780590656641</c:v>
                </c:pt>
                <c:pt idx="1070">
                  <c:v>124.78396545913388</c:v>
                </c:pt>
                <c:pt idx="1071">
                  <c:v>124.0142631567318</c:v>
                </c:pt>
                <c:pt idx="1072">
                  <c:v>121.35769247301104</c:v>
                </c:pt>
                <c:pt idx="1073">
                  <c:v>121.10228277892958</c:v>
                </c:pt>
                <c:pt idx="1074">
                  <c:v>121.10228277892958</c:v>
                </c:pt>
                <c:pt idx="1075">
                  <c:v>121.10228277892958</c:v>
                </c:pt>
                <c:pt idx="1076">
                  <c:v>123.16854261523409</c:v>
                </c:pt>
                <c:pt idx="1077">
                  <c:v>123.47618429751557</c:v>
                </c:pt>
                <c:pt idx="1078">
                  <c:v>122.93654483333705</c:v>
                </c:pt>
                <c:pt idx="1079">
                  <c:v>124.28785657381192</c:v>
                </c:pt>
                <c:pt idx="1080">
                  <c:v>126.30302736533656</c:v>
                </c:pt>
                <c:pt idx="1081">
                  <c:v>126.30302736533656</c:v>
                </c:pt>
                <c:pt idx="1082">
                  <c:v>126.30302736533656</c:v>
                </c:pt>
                <c:pt idx="1083">
                  <c:v>126.30302736533656</c:v>
                </c:pt>
                <c:pt idx="1084">
                  <c:v>126.30302736533656</c:v>
                </c:pt>
                <c:pt idx="1085">
                  <c:v>126.67425498255251</c:v>
                </c:pt>
                <c:pt idx="1086">
                  <c:v>125.97509493354357</c:v>
                </c:pt>
                <c:pt idx="1087">
                  <c:v>125.12820526058026</c:v>
                </c:pt>
                <c:pt idx="1088">
                  <c:v>125.12820526058026</c:v>
                </c:pt>
                <c:pt idx="1089">
                  <c:v>125.12820526058026</c:v>
                </c:pt>
                <c:pt idx="1090">
                  <c:v>124.90476929131522</c:v>
                </c:pt>
                <c:pt idx="1091">
                  <c:v>123.9128603997858</c:v>
                </c:pt>
                <c:pt idx="1092">
                  <c:v>121.04197526279673</c:v>
                </c:pt>
                <c:pt idx="1093">
                  <c:v>121.40486165406669</c:v>
                </c:pt>
                <c:pt idx="1094">
                  <c:v>119.84465270522658</c:v>
                </c:pt>
                <c:pt idx="1095">
                  <c:v>119.84465270522658</c:v>
                </c:pt>
                <c:pt idx="1096">
                  <c:v>119.84465270522658</c:v>
                </c:pt>
                <c:pt idx="1097">
                  <c:v>119.8135444241869</c:v>
                </c:pt>
                <c:pt idx="1098">
                  <c:v>120.84956466140575</c:v>
                </c:pt>
                <c:pt idx="1099">
                  <c:v>121.51526555553835</c:v>
                </c:pt>
                <c:pt idx="1100">
                  <c:v>120.17758521549588</c:v>
                </c:pt>
                <c:pt idx="1101">
                  <c:v>117.05685935628631</c:v>
                </c:pt>
                <c:pt idx="1102">
                  <c:v>117.05685935628631</c:v>
                </c:pt>
                <c:pt idx="1103">
                  <c:v>117.05685935628631</c:v>
                </c:pt>
                <c:pt idx="1104">
                  <c:v>117.05685935628631</c:v>
                </c:pt>
                <c:pt idx="1105">
                  <c:v>117.05685935628631</c:v>
                </c:pt>
                <c:pt idx="1106">
                  <c:v>117.05685935628631</c:v>
                </c:pt>
                <c:pt idx="1107">
                  <c:v>117.05685935628631</c:v>
                </c:pt>
                <c:pt idx="1108">
                  <c:v>117.05685935628631</c:v>
                </c:pt>
                <c:pt idx="1109">
                  <c:v>117.05685935628631</c:v>
                </c:pt>
                <c:pt idx="1110">
                  <c:v>117.05685935628631</c:v>
                </c:pt>
                <c:pt idx="1111">
                  <c:v>117.05685935628631</c:v>
                </c:pt>
                <c:pt idx="1112">
                  <c:v>117.05685935628631</c:v>
                </c:pt>
                <c:pt idx="1113">
                  <c:v>117.56426602790336</c:v>
                </c:pt>
                <c:pt idx="1114">
                  <c:v>121.03017741602497</c:v>
                </c:pt>
                <c:pt idx="1115">
                  <c:v>119.72079729667338</c:v>
                </c:pt>
                <c:pt idx="1116">
                  <c:v>119.72079729667338</c:v>
                </c:pt>
                <c:pt idx="1117">
                  <c:v>119.72079729667338</c:v>
                </c:pt>
                <c:pt idx="1118">
                  <c:v>117.27856451950818</c:v>
                </c:pt>
                <c:pt idx="1119">
                  <c:v>116.30351372091266</c:v>
                </c:pt>
                <c:pt idx="1120">
                  <c:v>117.4393685805515</c:v>
                </c:pt>
                <c:pt idx="1121">
                  <c:v>116.40117418003125</c:v>
                </c:pt>
                <c:pt idx="1122">
                  <c:v>115.16272275571131</c:v>
                </c:pt>
                <c:pt idx="1123">
                  <c:v>115.16272275571131</c:v>
                </c:pt>
                <c:pt idx="1124">
                  <c:v>115.16272275571131</c:v>
                </c:pt>
                <c:pt idx="1125">
                  <c:v>116.36765723678522</c:v>
                </c:pt>
                <c:pt idx="1126">
                  <c:v>114.88505631603989</c:v>
                </c:pt>
                <c:pt idx="1127">
                  <c:v>116.62396238727916</c:v>
                </c:pt>
                <c:pt idx="1128">
                  <c:v>115.27103211066245</c:v>
                </c:pt>
                <c:pt idx="1129">
                  <c:v>116.47345975667838</c:v>
                </c:pt>
                <c:pt idx="1130">
                  <c:v>116.47345975667838</c:v>
                </c:pt>
                <c:pt idx="1131">
                  <c:v>116.47345975667838</c:v>
                </c:pt>
                <c:pt idx="1132">
                  <c:v>114.12980432371728</c:v>
                </c:pt>
                <c:pt idx="1133">
                  <c:v>113.88041087063272</c:v>
                </c:pt>
                <c:pt idx="1134">
                  <c:v>111.30353158046272</c:v>
                </c:pt>
                <c:pt idx="1135">
                  <c:v>112.47890597022237</c:v>
                </c:pt>
                <c:pt idx="1136">
                  <c:v>109.90277453395009</c:v>
                </c:pt>
                <c:pt idx="1137">
                  <c:v>109.90277453395009</c:v>
                </c:pt>
                <c:pt idx="1138">
                  <c:v>109.90277453395009</c:v>
                </c:pt>
                <c:pt idx="1139">
                  <c:v>113.43085869052541</c:v>
                </c:pt>
                <c:pt idx="1140">
                  <c:v>116.08093208385799</c:v>
                </c:pt>
                <c:pt idx="1141">
                  <c:v>120.01088286012714</c:v>
                </c:pt>
                <c:pt idx="1142">
                  <c:v>120.01088286012714</c:v>
                </c:pt>
                <c:pt idx="1143">
                  <c:v>120.01088286012714</c:v>
                </c:pt>
                <c:pt idx="1144">
                  <c:v>120.01088286012714</c:v>
                </c:pt>
                <c:pt idx="1145">
                  <c:v>120.01088286012714</c:v>
                </c:pt>
                <c:pt idx="1146">
                  <c:v>117.96639641262581</c:v>
                </c:pt>
                <c:pt idx="1147">
                  <c:v>114.44231765769433</c:v>
                </c:pt>
                <c:pt idx="1148">
                  <c:v>114.84403659325766</c:v>
                </c:pt>
                <c:pt idx="1149">
                  <c:v>116.17916727642736</c:v>
                </c:pt>
                <c:pt idx="1150">
                  <c:v>117.03968889865079</c:v>
                </c:pt>
                <c:pt idx="1151">
                  <c:v>117.03968889865079</c:v>
                </c:pt>
                <c:pt idx="1152">
                  <c:v>118.06963446134691</c:v>
                </c:pt>
                <c:pt idx="1153">
                  <c:v>116.9578458113822</c:v>
                </c:pt>
                <c:pt idx="1154">
                  <c:v>118.8829610287349</c:v>
                </c:pt>
                <c:pt idx="1155">
                  <c:v>117.48412938850483</c:v>
                </c:pt>
                <c:pt idx="1156">
                  <c:v>117.95854435040734</c:v>
                </c:pt>
                <c:pt idx="1157">
                  <c:v>117.27476454657875</c:v>
                </c:pt>
                <c:pt idx="1158">
                  <c:v>117.27476454657875</c:v>
                </c:pt>
                <c:pt idx="1159">
                  <c:v>117.27476454657875</c:v>
                </c:pt>
                <c:pt idx="1160">
                  <c:v>119.28573145315518</c:v>
                </c:pt>
                <c:pt idx="1161">
                  <c:v>119.74390124373883</c:v>
                </c:pt>
                <c:pt idx="1162">
                  <c:v>117.38887095647705</c:v>
                </c:pt>
                <c:pt idx="1163">
                  <c:v>115.23956372568649</c:v>
                </c:pt>
                <c:pt idx="1164">
                  <c:v>116.23558034693211</c:v>
                </c:pt>
                <c:pt idx="1165">
                  <c:v>116.23558034693211</c:v>
                </c:pt>
                <c:pt idx="1166">
                  <c:v>116.23558034693211</c:v>
                </c:pt>
                <c:pt idx="1167">
                  <c:v>116.0623664272116</c:v>
                </c:pt>
                <c:pt idx="1168">
                  <c:v>119.39032388485191</c:v>
                </c:pt>
                <c:pt idx="1169">
                  <c:v>123.72903655204983</c:v>
                </c:pt>
                <c:pt idx="1170">
                  <c:v>124.70367004700724</c:v>
                </c:pt>
                <c:pt idx="1171">
                  <c:v>118.92150183176582</c:v>
                </c:pt>
                <c:pt idx="1172">
                  <c:v>118.92150183176582</c:v>
                </c:pt>
                <c:pt idx="1173">
                  <c:v>118.92150183176582</c:v>
                </c:pt>
                <c:pt idx="1174">
                  <c:v>121.15613980836606</c:v>
                </c:pt>
                <c:pt idx="1175">
                  <c:v>119.58067769926781</c:v>
                </c:pt>
                <c:pt idx="1176">
                  <c:v>117.89730002432626</c:v>
                </c:pt>
                <c:pt idx="1177">
                  <c:v>117.56115811921626</c:v>
                </c:pt>
                <c:pt idx="1178">
                  <c:v>114.90955240955255</c:v>
                </c:pt>
                <c:pt idx="1179">
                  <c:v>114.90955240955255</c:v>
                </c:pt>
                <c:pt idx="1180">
                  <c:v>114.90955240955255</c:v>
                </c:pt>
                <c:pt idx="1181">
                  <c:v>115.4412142908579</c:v>
                </c:pt>
                <c:pt idx="1182">
                  <c:v>115.45992134227426</c:v>
                </c:pt>
                <c:pt idx="1183">
                  <c:v>114.58732962545805</c:v>
                </c:pt>
                <c:pt idx="1184">
                  <c:v>116.89381304840613</c:v>
                </c:pt>
                <c:pt idx="1185">
                  <c:v>119.47180044801267</c:v>
                </c:pt>
                <c:pt idx="1186">
                  <c:v>119.47180044801267</c:v>
                </c:pt>
                <c:pt idx="1187">
                  <c:v>119.47180044801267</c:v>
                </c:pt>
                <c:pt idx="1188">
                  <c:v>122.06341472217713</c:v>
                </c:pt>
                <c:pt idx="1189">
                  <c:v>120.43723010738539</c:v>
                </c:pt>
                <c:pt idx="1190">
                  <c:v>119.96457055454111</c:v>
                </c:pt>
                <c:pt idx="1191">
                  <c:v>121.79352587664363</c:v>
                </c:pt>
                <c:pt idx="1192">
                  <c:v>122.10704563014949</c:v>
                </c:pt>
                <c:pt idx="1193">
                  <c:v>122.10704563014949</c:v>
                </c:pt>
                <c:pt idx="1194">
                  <c:v>122.10704563014949</c:v>
                </c:pt>
                <c:pt idx="1195">
                  <c:v>125.37695287410135</c:v>
                </c:pt>
                <c:pt idx="1196">
                  <c:v>124.53457467525391</c:v>
                </c:pt>
                <c:pt idx="1197">
                  <c:v>123.98535467895499</c:v>
                </c:pt>
                <c:pt idx="1198">
                  <c:v>124.53710598420007</c:v>
                </c:pt>
                <c:pt idx="1199">
                  <c:v>125.82390760537017</c:v>
                </c:pt>
                <c:pt idx="1200">
                  <c:v>125.82390760537017</c:v>
                </c:pt>
                <c:pt idx="1201">
                  <c:v>125.82390760537017</c:v>
                </c:pt>
                <c:pt idx="1202">
                  <c:v>124.66805308258006</c:v>
                </c:pt>
                <c:pt idx="1203">
                  <c:v>123.06103095576788</c:v>
                </c:pt>
                <c:pt idx="1204">
                  <c:v>117.23441993616186</c:v>
                </c:pt>
                <c:pt idx="1205">
                  <c:v>116.77532047753063</c:v>
                </c:pt>
                <c:pt idx="1206">
                  <c:v>116.10794382166674</c:v>
                </c:pt>
                <c:pt idx="1207">
                  <c:v>116.10794382166674</c:v>
                </c:pt>
                <c:pt idx="1208">
                  <c:v>116.10794382166674</c:v>
                </c:pt>
                <c:pt idx="1209">
                  <c:v>115.36459148006423</c:v>
                </c:pt>
                <c:pt idx="1210">
                  <c:v>120.50747025730892</c:v>
                </c:pt>
                <c:pt idx="1211">
                  <c:v>120.93005677155138</c:v>
                </c:pt>
                <c:pt idx="1212">
                  <c:v>124.67501202423435</c:v>
                </c:pt>
                <c:pt idx="1213">
                  <c:v>124.29365756008042</c:v>
                </c:pt>
                <c:pt idx="1214">
                  <c:v>124.29365756008042</c:v>
                </c:pt>
                <c:pt idx="1215">
                  <c:v>124.29365756008042</c:v>
                </c:pt>
                <c:pt idx="1216">
                  <c:v>124.15101971543177</c:v>
                </c:pt>
                <c:pt idx="1217">
                  <c:v>125.68764385370577</c:v>
                </c:pt>
                <c:pt idx="1218">
                  <c:v>125.25423641408049</c:v>
                </c:pt>
                <c:pt idx="1219">
                  <c:v>121.41663831159329</c:v>
                </c:pt>
                <c:pt idx="1220">
                  <c:v>124.76781219499671</c:v>
                </c:pt>
                <c:pt idx="1221">
                  <c:v>124.76781219499671</c:v>
                </c:pt>
                <c:pt idx="1222">
                  <c:v>124.76781219499671</c:v>
                </c:pt>
                <c:pt idx="1223">
                  <c:v>119.57308681864411</c:v>
                </c:pt>
                <c:pt idx="1224">
                  <c:v>128.21228009547676</c:v>
                </c:pt>
                <c:pt idx="1225">
                  <c:v>128.21228009547676</c:v>
                </c:pt>
                <c:pt idx="1226">
                  <c:v>127.94955001331391</c:v>
                </c:pt>
                <c:pt idx="1227">
                  <c:v>131.54775810444579</c:v>
                </c:pt>
                <c:pt idx="1228">
                  <c:v>131.54775810444579</c:v>
                </c:pt>
                <c:pt idx="1229">
                  <c:v>131.54775810444579</c:v>
                </c:pt>
                <c:pt idx="1230">
                  <c:v>133.94714963749237</c:v>
                </c:pt>
                <c:pt idx="1231">
                  <c:v>137.62880802677751</c:v>
                </c:pt>
                <c:pt idx="1232">
                  <c:v>136.60773277412218</c:v>
                </c:pt>
                <c:pt idx="1233">
                  <c:v>140.08750775286475</c:v>
                </c:pt>
                <c:pt idx="1234">
                  <c:v>140.2528702912991</c:v>
                </c:pt>
                <c:pt idx="1235">
                  <c:v>140.2528702912991</c:v>
                </c:pt>
                <c:pt idx="1236">
                  <c:v>140.2528702912991</c:v>
                </c:pt>
                <c:pt idx="1237">
                  <c:v>141.16667905514225</c:v>
                </c:pt>
                <c:pt idx="1238">
                  <c:v>139.78170828814885</c:v>
                </c:pt>
                <c:pt idx="1239">
                  <c:v>139.78626678372316</c:v>
                </c:pt>
                <c:pt idx="1240">
                  <c:v>138.84299540184389</c:v>
                </c:pt>
                <c:pt idx="1241">
                  <c:v>138.84299540184389</c:v>
                </c:pt>
                <c:pt idx="1242">
                  <c:v>138.84299540184389</c:v>
                </c:pt>
                <c:pt idx="1243">
                  <c:v>138.84299540184389</c:v>
                </c:pt>
                <c:pt idx="1244">
                  <c:v>137.67360761273727</c:v>
                </c:pt>
                <c:pt idx="1245">
                  <c:v>136.53902361690774</c:v>
                </c:pt>
                <c:pt idx="1246">
                  <c:v>134.50733690994912</c:v>
                </c:pt>
                <c:pt idx="1247">
                  <c:v>136.29514850571582</c:v>
                </c:pt>
                <c:pt idx="1248">
                  <c:v>138.04135953565353</c:v>
                </c:pt>
                <c:pt idx="1249">
                  <c:v>138.04135953565353</c:v>
                </c:pt>
                <c:pt idx="1250">
                  <c:v>138.04135953565353</c:v>
                </c:pt>
                <c:pt idx="1251">
                  <c:v>135.03922523064395</c:v>
                </c:pt>
                <c:pt idx="1252">
                  <c:v>138.00125369962876</c:v>
                </c:pt>
                <c:pt idx="1253">
                  <c:v>137.34723970484191</c:v>
                </c:pt>
                <c:pt idx="1254">
                  <c:v>139.62918320374106</c:v>
                </c:pt>
                <c:pt idx="1255">
                  <c:v>139.36523389711775</c:v>
                </c:pt>
                <c:pt idx="1256">
                  <c:v>139.36523389711775</c:v>
                </c:pt>
                <c:pt idx="1257">
                  <c:v>139.36523389711775</c:v>
                </c:pt>
                <c:pt idx="1258">
                  <c:v>137.98303851927514</c:v>
                </c:pt>
                <c:pt idx="1259">
                  <c:v>139.58265942534814</c:v>
                </c:pt>
                <c:pt idx="1260">
                  <c:v>136.20794426732067</c:v>
                </c:pt>
                <c:pt idx="1261">
                  <c:v>136.13824325667753</c:v>
                </c:pt>
                <c:pt idx="1262">
                  <c:v>135.76768220917802</c:v>
                </c:pt>
                <c:pt idx="1263">
                  <c:v>135.76768220917802</c:v>
                </c:pt>
                <c:pt idx="1264">
                  <c:v>135.76768220917802</c:v>
                </c:pt>
                <c:pt idx="1265">
                  <c:v>139.42705931939261</c:v>
                </c:pt>
                <c:pt idx="1266">
                  <c:v>137.29157011547522</c:v>
                </c:pt>
                <c:pt idx="1267">
                  <c:v>132.24716011454368</c:v>
                </c:pt>
                <c:pt idx="1268">
                  <c:v>129.94662415920985</c:v>
                </c:pt>
                <c:pt idx="1269">
                  <c:v>129.18051623494662</c:v>
                </c:pt>
                <c:pt idx="1270">
                  <c:v>129.18051623494662</c:v>
                </c:pt>
                <c:pt idx="1271">
                  <c:v>129.18051623494662</c:v>
                </c:pt>
                <c:pt idx="1272">
                  <c:v>129.0628343148056</c:v>
                </c:pt>
                <c:pt idx="1273">
                  <c:v>128.4182474526628</c:v>
                </c:pt>
                <c:pt idx="1274">
                  <c:v>127.90011026667689</c:v>
                </c:pt>
                <c:pt idx="1275">
                  <c:v>126.8763925568563</c:v>
                </c:pt>
                <c:pt idx="1276">
                  <c:v>126.86399824954049</c:v>
                </c:pt>
                <c:pt idx="1277">
                  <c:v>126.86399824954049</c:v>
                </c:pt>
                <c:pt idx="1278">
                  <c:v>126.86399824954049</c:v>
                </c:pt>
                <c:pt idx="1279">
                  <c:v>126.44680093536888</c:v>
                </c:pt>
                <c:pt idx="1280">
                  <c:v>127.21916378814049</c:v>
                </c:pt>
                <c:pt idx="1281">
                  <c:v>128.56417297345564</c:v>
                </c:pt>
                <c:pt idx="1282">
                  <c:v>126.83613493307124</c:v>
                </c:pt>
                <c:pt idx="1283">
                  <c:v>129.68868448677117</c:v>
                </c:pt>
                <c:pt idx="1284">
                  <c:v>129.68868448677117</c:v>
                </c:pt>
                <c:pt idx="1285">
                  <c:v>129.68868448677117</c:v>
                </c:pt>
                <c:pt idx="1286">
                  <c:v>131.11000960965075</c:v>
                </c:pt>
                <c:pt idx="1287">
                  <c:v>131.68048903944239</c:v>
                </c:pt>
                <c:pt idx="1288">
                  <c:v>128.62285229930845</c:v>
                </c:pt>
                <c:pt idx="1289">
                  <c:v>130.36058628518242</c:v>
                </c:pt>
                <c:pt idx="1290">
                  <c:v>131.37150088269914</c:v>
                </c:pt>
                <c:pt idx="1291">
                  <c:v>131.37150088269914</c:v>
                </c:pt>
                <c:pt idx="1292">
                  <c:v>131.37150088269914</c:v>
                </c:pt>
                <c:pt idx="1293">
                  <c:v>129.53360576711822</c:v>
                </c:pt>
                <c:pt idx="1294">
                  <c:v>131.79133482292488</c:v>
                </c:pt>
                <c:pt idx="1295">
                  <c:v>130.91239723665799</c:v>
                </c:pt>
                <c:pt idx="1296">
                  <c:v>130.62494883873222</c:v>
                </c:pt>
                <c:pt idx="1297">
                  <c:v>130.16950957549872</c:v>
                </c:pt>
                <c:pt idx="1298">
                  <c:v>130.16950957549872</c:v>
                </c:pt>
                <c:pt idx="1299">
                  <c:v>130.16950957549872</c:v>
                </c:pt>
                <c:pt idx="1300">
                  <c:v>128.15514955033126</c:v>
                </c:pt>
                <c:pt idx="1301">
                  <c:v>128.44771757865198</c:v>
                </c:pt>
                <c:pt idx="1302">
                  <c:v>128.08815564721087</c:v>
                </c:pt>
                <c:pt idx="1303">
                  <c:v>128.05050234825518</c:v>
                </c:pt>
                <c:pt idx="1304">
                  <c:v>126.29810378257579</c:v>
                </c:pt>
                <c:pt idx="1305">
                  <c:v>126.29810378257579</c:v>
                </c:pt>
                <c:pt idx="1306">
                  <c:v>126.29810378257579</c:v>
                </c:pt>
                <c:pt idx="1307">
                  <c:v>119.04636860629945</c:v>
                </c:pt>
                <c:pt idx="1308">
                  <c:v>118.59502602604475</c:v>
                </c:pt>
                <c:pt idx="1309">
                  <c:v>118.00949341479266</c:v>
                </c:pt>
                <c:pt idx="1310">
                  <c:v>119.09454448271278</c:v>
                </c:pt>
                <c:pt idx="1311">
                  <c:v>119.4786838230534</c:v>
                </c:pt>
                <c:pt idx="1312">
                  <c:v>119.4786838230534</c:v>
                </c:pt>
                <c:pt idx="1313">
                  <c:v>119.4786838230534</c:v>
                </c:pt>
                <c:pt idx="1314">
                  <c:v>117.60768112615713</c:v>
                </c:pt>
                <c:pt idx="1315">
                  <c:v>116.77052560633867</c:v>
                </c:pt>
                <c:pt idx="1316">
                  <c:v>119.00864921131853</c:v>
                </c:pt>
                <c:pt idx="1317">
                  <c:v>118.88949293674278</c:v>
                </c:pt>
                <c:pt idx="1318">
                  <c:v>116.01095969112274</c:v>
                </c:pt>
                <c:pt idx="1319">
                  <c:v>116.01095969112274</c:v>
                </c:pt>
                <c:pt idx="1320">
                  <c:v>116.01095969112274</c:v>
                </c:pt>
                <c:pt idx="1321">
                  <c:v>114.31376923284935</c:v>
                </c:pt>
                <c:pt idx="1322">
                  <c:v>115.21885774246743</c:v>
                </c:pt>
                <c:pt idx="1323">
                  <c:v>114.2351773469797</c:v>
                </c:pt>
                <c:pt idx="1324">
                  <c:v>114.02862505093168</c:v>
                </c:pt>
                <c:pt idx="1325">
                  <c:v>115.60687643112801</c:v>
                </c:pt>
                <c:pt idx="1326">
                  <c:v>115.60687643112801</c:v>
                </c:pt>
                <c:pt idx="1327">
                  <c:v>115.60687643112801</c:v>
                </c:pt>
                <c:pt idx="1328">
                  <c:v>112.86312025937642</c:v>
                </c:pt>
                <c:pt idx="1329">
                  <c:v>113.56273797688378</c:v>
                </c:pt>
                <c:pt idx="1330">
                  <c:v>114.76494842992682</c:v>
                </c:pt>
                <c:pt idx="1331">
                  <c:v>116.76814874048982</c:v>
                </c:pt>
                <c:pt idx="1332">
                  <c:v>122.15028012796768</c:v>
                </c:pt>
                <c:pt idx="1333">
                  <c:v>122.15028012796768</c:v>
                </c:pt>
                <c:pt idx="1334">
                  <c:v>122.15028012796768</c:v>
                </c:pt>
                <c:pt idx="1335">
                  <c:v>121.5251110283929</c:v>
                </c:pt>
                <c:pt idx="1336">
                  <c:v>121.81128005653368</c:v>
                </c:pt>
                <c:pt idx="1337">
                  <c:v>121.3084663800559</c:v>
                </c:pt>
                <c:pt idx="1338">
                  <c:v>124.70868917503725</c:v>
                </c:pt>
                <c:pt idx="1339">
                  <c:v>124.70868917503725</c:v>
                </c:pt>
                <c:pt idx="1340">
                  <c:v>124.70868917503725</c:v>
                </c:pt>
                <c:pt idx="1341">
                  <c:v>124.70868917503725</c:v>
                </c:pt>
                <c:pt idx="1342">
                  <c:v>123.11691252948313</c:v>
                </c:pt>
                <c:pt idx="1343">
                  <c:v>126.46993793738217</c:v>
                </c:pt>
                <c:pt idx="1344">
                  <c:v>124.74676279846734</c:v>
                </c:pt>
                <c:pt idx="1345">
                  <c:v>123.29005813026073</c:v>
                </c:pt>
                <c:pt idx="1346">
                  <c:v>123.76917845327431</c:v>
                </c:pt>
                <c:pt idx="1347">
                  <c:v>123.76917845327431</c:v>
                </c:pt>
                <c:pt idx="1348">
                  <c:v>123.76917845327431</c:v>
                </c:pt>
                <c:pt idx="1349">
                  <c:v>125.69137052625479</c:v>
                </c:pt>
                <c:pt idx="1350">
                  <c:v>126.15756908841182</c:v>
                </c:pt>
                <c:pt idx="1351">
                  <c:v>124.99371978283507</c:v>
                </c:pt>
                <c:pt idx="1352">
                  <c:v>125.28799080778363</c:v>
                </c:pt>
                <c:pt idx="1353">
                  <c:v>122.26049697530044</c:v>
                </c:pt>
                <c:pt idx="1354">
                  <c:v>122.26049697530044</c:v>
                </c:pt>
                <c:pt idx="1355">
                  <c:v>122.26049697530044</c:v>
                </c:pt>
                <c:pt idx="1356">
                  <c:v>121.57114242324268</c:v>
                </c:pt>
                <c:pt idx="1357">
                  <c:v>120.16747215797932</c:v>
                </c:pt>
                <c:pt idx="1358">
                  <c:v>121.78880802645484</c:v>
                </c:pt>
                <c:pt idx="1359">
                  <c:v>123.30628908249372</c:v>
                </c:pt>
                <c:pt idx="1360">
                  <c:v>124.15425474478891</c:v>
                </c:pt>
                <c:pt idx="1361">
                  <c:v>124.15425474478891</c:v>
                </c:pt>
                <c:pt idx="1362">
                  <c:v>124.15425474478891</c:v>
                </c:pt>
                <c:pt idx="1363">
                  <c:v>124.45918381236274</c:v>
                </c:pt>
                <c:pt idx="1364">
                  <c:v>124.04238913449348</c:v>
                </c:pt>
                <c:pt idx="1365">
                  <c:v>124.72587908687946</c:v>
                </c:pt>
                <c:pt idx="1366">
                  <c:v>124.67995952499611</c:v>
                </c:pt>
                <c:pt idx="1367">
                  <c:v>121.46998944132351</c:v>
                </c:pt>
                <c:pt idx="1368">
                  <c:v>121.46998944132351</c:v>
                </c:pt>
                <c:pt idx="1369">
                  <c:v>121.46998944132351</c:v>
                </c:pt>
                <c:pt idx="1370">
                  <c:v>123.10045909825409</c:v>
                </c:pt>
                <c:pt idx="1371">
                  <c:v>125.66066638756746</c:v>
                </c:pt>
                <c:pt idx="1372">
                  <c:v>125.37494982240361</c:v>
                </c:pt>
                <c:pt idx="1373">
                  <c:v>127.15568349961801</c:v>
                </c:pt>
                <c:pt idx="1374">
                  <c:v>127.4078662730382</c:v>
                </c:pt>
                <c:pt idx="1375">
                  <c:v>127.4078662730382</c:v>
                </c:pt>
                <c:pt idx="1376">
                  <c:v>127.4078662730382</c:v>
                </c:pt>
                <c:pt idx="1377">
                  <c:v>125.66720844794102</c:v>
                </c:pt>
                <c:pt idx="1378">
                  <c:v>124.78929801020927</c:v>
                </c:pt>
                <c:pt idx="1379">
                  <c:v>124.47713233053548</c:v>
                </c:pt>
                <c:pt idx="1380">
                  <c:v>121.95894984966134</c:v>
                </c:pt>
                <c:pt idx="1381">
                  <c:v>122.27263907525467</c:v>
                </c:pt>
                <c:pt idx="1382">
                  <c:v>122.27263907525467</c:v>
                </c:pt>
                <c:pt idx="1383">
                  <c:v>122.27263907525467</c:v>
                </c:pt>
                <c:pt idx="1384">
                  <c:v>120.89779455548448</c:v>
                </c:pt>
                <c:pt idx="1385">
                  <c:v>121.78824468155037</c:v>
                </c:pt>
                <c:pt idx="1386">
                  <c:v>124.65494511539821</c:v>
                </c:pt>
                <c:pt idx="1387">
                  <c:v>124.65494511539821</c:v>
                </c:pt>
                <c:pt idx="1388">
                  <c:v>122.98204694950641</c:v>
                </c:pt>
                <c:pt idx="1389">
                  <c:v>122.98204694950641</c:v>
                </c:pt>
                <c:pt idx="1390">
                  <c:v>122.98204694950641</c:v>
                </c:pt>
                <c:pt idx="1391">
                  <c:v>121.82288018882271</c:v>
                </c:pt>
                <c:pt idx="1392">
                  <c:v>123.33184107622228</c:v>
                </c:pt>
                <c:pt idx="1393">
                  <c:v>124.70546213074334</c:v>
                </c:pt>
                <c:pt idx="1394">
                  <c:v>124.50225860883425</c:v>
                </c:pt>
                <c:pt idx="1395">
                  <c:v>126.48765171599716</c:v>
                </c:pt>
                <c:pt idx="1396">
                  <c:v>126.48765171599716</c:v>
                </c:pt>
                <c:pt idx="1397">
                  <c:v>126.48765171599716</c:v>
                </c:pt>
                <c:pt idx="1398">
                  <c:v>135.35697539747363</c:v>
                </c:pt>
                <c:pt idx="1399">
                  <c:v>132.20394716040954</c:v>
                </c:pt>
                <c:pt idx="1400">
                  <c:v>131.91116158748196</c:v>
                </c:pt>
                <c:pt idx="1401">
                  <c:v>134.98712409051836</c:v>
                </c:pt>
                <c:pt idx="1402">
                  <c:v>135.70334590328454</c:v>
                </c:pt>
                <c:pt idx="1403">
                  <c:v>135.70334590328454</c:v>
                </c:pt>
                <c:pt idx="1404">
                  <c:v>135.70334590328454</c:v>
                </c:pt>
                <c:pt idx="1405">
                  <c:v>136.10159351715885</c:v>
                </c:pt>
                <c:pt idx="1406">
                  <c:v>138.16920851649266</c:v>
                </c:pt>
                <c:pt idx="1407">
                  <c:v>136.88420088591465</c:v>
                </c:pt>
                <c:pt idx="1408">
                  <c:v>136.30174291938997</c:v>
                </c:pt>
                <c:pt idx="1409">
                  <c:v>136.27672070300653</c:v>
                </c:pt>
                <c:pt idx="1410">
                  <c:v>136.27672070300653</c:v>
                </c:pt>
                <c:pt idx="1411">
                  <c:v>136.27672070300653</c:v>
                </c:pt>
                <c:pt idx="1412">
                  <c:v>136.27672070300653</c:v>
                </c:pt>
                <c:pt idx="1413">
                  <c:v>136.27672070300653</c:v>
                </c:pt>
                <c:pt idx="1414">
                  <c:v>136.27672070300653</c:v>
                </c:pt>
                <c:pt idx="1415">
                  <c:v>137.66354561294133</c:v>
                </c:pt>
                <c:pt idx="1416">
                  <c:v>138.47397944560467</c:v>
                </c:pt>
                <c:pt idx="1417">
                  <c:v>138.47397944560467</c:v>
                </c:pt>
                <c:pt idx="1418">
                  <c:v>137.63474320654038</c:v>
                </c:pt>
                <c:pt idx="1419">
                  <c:v>136.38441972290713</c:v>
                </c:pt>
                <c:pt idx="1420">
                  <c:v>136.78357287857241</c:v>
                </c:pt>
                <c:pt idx="1421">
                  <c:v>139.92207729571078</c:v>
                </c:pt>
                <c:pt idx="1422">
                  <c:v>136.22664543495446</c:v>
                </c:pt>
                <c:pt idx="1423">
                  <c:v>136.59605041515459</c:v>
                </c:pt>
                <c:pt idx="1424">
                  <c:v>136.59605041515459</c:v>
                </c:pt>
                <c:pt idx="1425">
                  <c:v>136.59605041515459</c:v>
                </c:pt>
                <c:pt idx="1426">
                  <c:v>140.22002726290361</c:v>
                </c:pt>
                <c:pt idx="1427">
                  <c:v>141.29087170090233</c:v>
                </c:pt>
                <c:pt idx="1428">
                  <c:v>141.17729586651097</c:v>
                </c:pt>
                <c:pt idx="1429">
                  <c:v>142.22014333441641</c:v>
                </c:pt>
                <c:pt idx="1430">
                  <c:v>142.4839391555291</c:v>
                </c:pt>
                <c:pt idx="1431">
                  <c:v>142.4839391555291</c:v>
                </c:pt>
                <c:pt idx="1432">
                  <c:v>142.4839391555291</c:v>
                </c:pt>
                <c:pt idx="1433">
                  <c:v>142.41056442718073</c:v>
                </c:pt>
                <c:pt idx="1434">
                  <c:v>143.21774903803612</c:v>
                </c:pt>
                <c:pt idx="1435">
                  <c:v>144.05100190453035</c:v>
                </c:pt>
                <c:pt idx="1436">
                  <c:v>141.2314644813961</c:v>
                </c:pt>
                <c:pt idx="1437">
                  <c:v>139.36634425536232</c:v>
                </c:pt>
                <c:pt idx="1438">
                  <c:v>139.36634425536232</c:v>
                </c:pt>
                <c:pt idx="1439">
                  <c:v>139.36634425536232</c:v>
                </c:pt>
                <c:pt idx="1440">
                  <c:v>138.43123380454128</c:v>
                </c:pt>
                <c:pt idx="1441">
                  <c:v>137.35803892032524</c:v>
                </c:pt>
                <c:pt idx="1442">
                  <c:v>139.29778872406033</c:v>
                </c:pt>
                <c:pt idx="1443">
                  <c:v>134.2765074265229</c:v>
                </c:pt>
                <c:pt idx="1444">
                  <c:v>133.39689698728898</c:v>
                </c:pt>
                <c:pt idx="1445">
                  <c:v>133.39689698728898</c:v>
                </c:pt>
                <c:pt idx="1446">
                  <c:v>133.39689698728898</c:v>
                </c:pt>
                <c:pt idx="1447">
                  <c:v>134.96751473055772</c:v>
                </c:pt>
                <c:pt idx="1448">
                  <c:v>136.68511660109164</c:v>
                </c:pt>
                <c:pt idx="1449">
                  <c:v>136.68511660109164</c:v>
                </c:pt>
                <c:pt idx="1450">
                  <c:v>137.32880429513884</c:v>
                </c:pt>
                <c:pt idx="1451">
                  <c:v>136.30174291938997</c:v>
                </c:pt>
                <c:pt idx="1452">
                  <c:v>136.30174291938997</c:v>
                </c:pt>
                <c:pt idx="1453">
                  <c:v>136.30174291938997</c:v>
                </c:pt>
                <c:pt idx="1454">
                  <c:v>133.05533917022601</c:v>
                </c:pt>
                <c:pt idx="1455">
                  <c:v>134.97553457691697</c:v>
                </c:pt>
                <c:pt idx="1456">
                  <c:v>131.28555142444034</c:v>
                </c:pt>
                <c:pt idx="1457">
                  <c:v>131.28555142444034</c:v>
                </c:pt>
                <c:pt idx="1458">
                  <c:v>131.28555142444034</c:v>
                </c:pt>
                <c:pt idx="1459">
                  <c:v>131.28555142444034</c:v>
                </c:pt>
                <c:pt idx="1460">
                  <c:v>131.28555142444034</c:v>
                </c:pt>
                <c:pt idx="1461">
                  <c:v>131.28555142444034</c:v>
                </c:pt>
                <c:pt idx="1462">
                  <c:v>131.28555142444034</c:v>
                </c:pt>
                <c:pt idx="1463">
                  <c:v>131.28555142444034</c:v>
                </c:pt>
                <c:pt idx="1464">
                  <c:v>131.28555142444034</c:v>
                </c:pt>
                <c:pt idx="1465">
                  <c:v>129.02985179697791</c:v>
                </c:pt>
                <c:pt idx="1466">
                  <c:v>129.02985179697791</c:v>
                </c:pt>
                <c:pt idx="1467">
                  <c:v>129.02985179697791</c:v>
                </c:pt>
                <c:pt idx="1468">
                  <c:v>131.83343608264616</c:v>
                </c:pt>
                <c:pt idx="1469">
                  <c:v>133.0423235347414</c:v>
                </c:pt>
                <c:pt idx="1470">
                  <c:v>133.12764649910253</c:v>
                </c:pt>
                <c:pt idx="1471">
                  <c:v>140.01022381699372</c:v>
                </c:pt>
                <c:pt idx="1472">
                  <c:v>144.06311178715796</c:v>
                </c:pt>
                <c:pt idx="1473">
                  <c:v>144.06311178715796</c:v>
                </c:pt>
                <c:pt idx="1474">
                  <c:v>144.06311178715796</c:v>
                </c:pt>
                <c:pt idx="1475">
                  <c:v>144.78948041801763</c:v>
                </c:pt>
                <c:pt idx="1476">
                  <c:v>142.24940573488288</c:v>
                </c:pt>
                <c:pt idx="1477">
                  <c:v>140.85357230228726</c:v>
                </c:pt>
                <c:pt idx="1478">
                  <c:v>144.07832885013727</c:v>
                </c:pt>
                <c:pt idx="1479">
                  <c:v>142.67506777997264</c:v>
                </c:pt>
                <c:pt idx="1480">
                  <c:v>142.67506777997264</c:v>
                </c:pt>
                <c:pt idx="1481">
                  <c:v>142.67506777997264</c:v>
                </c:pt>
                <c:pt idx="1482">
                  <c:v>144.16517271010264</c:v>
                </c:pt>
                <c:pt idx="1483">
                  <c:v>144.19489136042429</c:v>
                </c:pt>
                <c:pt idx="1484">
                  <c:v>148.15195241120543</c:v>
                </c:pt>
                <c:pt idx="1485">
                  <c:v>145.78538308789513</c:v>
                </c:pt>
                <c:pt idx="1486">
                  <c:v>141.65394903099821</c:v>
                </c:pt>
                <c:pt idx="1487">
                  <c:v>141.65394903099821</c:v>
                </c:pt>
                <c:pt idx="1488">
                  <c:v>141.65394903099821</c:v>
                </c:pt>
                <c:pt idx="1489">
                  <c:v>136.78006862516571</c:v>
                </c:pt>
                <c:pt idx="1490">
                  <c:v>133.25642731234777</c:v>
                </c:pt>
                <c:pt idx="1491">
                  <c:v>132.45735990014168</c:v>
                </c:pt>
                <c:pt idx="1492">
                  <c:v>132.24466445792916</c:v>
                </c:pt>
                <c:pt idx="1493">
                  <c:v>130.31351687765419</c:v>
                </c:pt>
                <c:pt idx="1494">
                  <c:v>130.31351687765419</c:v>
                </c:pt>
                <c:pt idx="1495">
                  <c:v>130.31351687765419</c:v>
                </c:pt>
                <c:pt idx="1496">
                  <c:v>129.20072344501165</c:v>
                </c:pt>
                <c:pt idx="1497">
                  <c:v>130.06057467686949</c:v>
                </c:pt>
                <c:pt idx="1498">
                  <c:v>133.31960768292385</c:v>
                </c:pt>
                <c:pt idx="1499">
                  <c:v>133.38284799286365</c:v>
                </c:pt>
                <c:pt idx="1500">
                  <c:v>132.60400054775437</c:v>
                </c:pt>
                <c:pt idx="1501">
                  <c:v>132.60400054775437</c:v>
                </c:pt>
                <c:pt idx="1502">
                  <c:v>132.60400054775437</c:v>
                </c:pt>
                <c:pt idx="1503">
                  <c:v>131.71039169179812</c:v>
                </c:pt>
                <c:pt idx="1504">
                  <c:v>130.34435718525242</c:v>
                </c:pt>
                <c:pt idx="1505">
                  <c:v>127.69677276902615</c:v>
                </c:pt>
                <c:pt idx="1506">
                  <c:v>125.86209387672534</c:v>
                </c:pt>
                <c:pt idx="1507">
                  <c:v>125.86209387672534</c:v>
                </c:pt>
                <c:pt idx="1508">
                  <c:v>125.86209387672534</c:v>
                </c:pt>
                <c:pt idx="1509">
                  <c:v>125.86209387672534</c:v>
                </c:pt>
                <c:pt idx="1510">
                  <c:v>123.28592365480353</c:v>
                </c:pt>
                <c:pt idx="1511">
                  <c:v>122.32200546818564</c:v>
                </c:pt>
                <c:pt idx="1512">
                  <c:v>122.80819893727428</c:v>
                </c:pt>
                <c:pt idx="1513">
                  <c:v>124.32451109787385</c:v>
                </c:pt>
                <c:pt idx="1514">
                  <c:v>123.8218360893014</c:v>
                </c:pt>
                <c:pt idx="1515">
                  <c:v>123.8218360893014</c:v>
                </c:pt>
                <c:pt idx="1516">
                  <c:v>123.8218360893014</c:v>
                </c:pt>
                <c:pt idx="1517">
                  <c:v>122.15462562557322</c:v>
                </c:pt>
                <c:pt idx="1518">
                  <c:v>121.83031257457471</c:v>
                </c:pt>
                <c:pt idx="1519">
                  <c:v>122.15054891266345</c:v>
                </c:pt>
                <c:pt idx="1520">
                  <c:v>123.1335969573323</c:v>
                </c:pt>
                <c:pt idx="1521">
                  <c:v>124.93171585598458</c:v>
                </c:pt>
                <c:pt idx="1522">
                  <c:v>124.93171585598458</c:v>
                </c:pt>
                <c:pt idx="1523">
                  <c:v>124.93171585598458</c:v>
                </c:pt>
                <c:pt idx="1524">
                  <c:v>125.0279634657761</c:v>
                </c:pt>
                <c:pt idx="1525">
                  <c:v>123.05563313627823</c:v>
                </c:pt>
                <c:pt idx="1526">
                  <c:v>123.35545605269948</c:v>
                </c:pt>
                <c:pt idx="1527">
                  <c:v>123.33901139933469</c:v>
                </c:pt>
                <c:pt idx="1528">
                  <c:v>123.03103348948625</c:v>
                </c:pt>
                <c:pt idx="1529">
                  <c:v>123.03103348948625</c:v>
                </c:pt>
                <c:pt idx="1530">
                  <c:v>123.03103348948625</c:v>
                </c:pt>
                <c:pt idx="1531">
                  <c:v>122.7273280017934</c:v>
                </c:pt>
                <c:pt idx="1532">
                  <c:v>123.0638352047404</c:v>
                </c:pt>
                <c:pt idx="1533">
                  <c:v>124.5478374836174</c:v>
                </c:pt>
                <c:pt idx="1534">
                  <c:v>126.81649152198197</c:v>
                </c:pt>
                <c:pt idx="1535">
                  <c:v>125.39534228391982</c:v>
                </c:pt>
                <c:pt idx="1536">
                  <c:v>125.39534228391982</c:v>
                </c:pt>
                <c:pt idx="1537">
                  <c:v>125.39534228391982</c:v>
                </c:pt>
                <c:pt idx="1538">
                  <c:v>122.61160096672373</c:v>
                </c:pt>
                <c:pt idx="1539">
                  <c:v>127.252807399253</c:v>
                </c:pt>
                <c:pt idx="1540">
                  <c:v>126.9645378581038</c:v>
                </c:pt>
                <c:pt idx="1541">
                  <c:v>128.57513412791047</c:v>
                </c:pt>
                <c:pt idx="1542">
                  <c:v>132.50528349843989</c:v>
                </c:pt>
                <c:pt idx="1543">
                  <c:v>132.50528349843989</c:v>
                </c:pt>
                <c:pt idx="1544">
                  <c:v>132.50528349843989</c:v>
                </c:pt>
                <c:pt idx="1545">
                  <c:v>131.54139763063043</c:v>
                </c:pt>
                <c:pt idx="1546">
                  <c:v>131.48062441673221</c:v>
                </c:pt>
                <c:pt idx="1547">
                  <c:v>131.78625008930069</c:v>
                </c:pt>
                <c:pt idx="1548">
                  <c:v>128.99312399761243</c:v>
                </c:pt>
                <c:pt idx="1549">
                  <c:v>130.73303753004259</c:v>
                </c:pt>
                <c:pt idx="1550">
                  <c:v>130.73303753004259</c:v>
                </c:pt>
                <c:pt idx="1551">
                  <c:v>130.73303753004259</c:v>
                </c:pt>
                <c:pt idx="1552">
                  <c:v>128.80406522698095</c:v>
                </c:pt>
                <c:pt idx="1553">
                  <c:v>128.45654324740647</c:v>
                </c:pt>
                <c:pt idx="1554">
                  <c:v>129.71814413818598</c:v>
                </c:pt>
                <c:pt idx="1555">
                  <c:v>129.11756433497007</c:v>
                </c:pt>
                <c:pt idx="1556">
                  <c:v>129.75558296609009</c:v>
                </c:pt>
                <c:pt idx="1557">
                  <c:v>129.75558296609009</c:v>
                </c:pt>
                <c:pt idx="1558">
                  <c:v>129.75558296609009</c:v>
                </c:pt>
                <c:pt idx="1559">
                  <c:v>129.82727356671793</c:v>
                </c:pt>
                <c:pt idx="1560">
                  <c:v>130.76523928613955</c:v>
                </c:pt>
                <c:pt idx="1561">
                  <c:v>131.62645555283598</c:v>
                </c:pt>
                <c:pt idx="1562">
                  <c:v>129.08761758203465</c:v>
                </c:pt>
                <c:pt idx="1563">
                  <c:v>128.92491671175853</c:v>
                </c:pt>
                <c:pt idx="1564">
                  <c:v>128.92491671175853</c:v>
                </c:pt>
                <c:pt idx="1565">
                  <c:v>128.92491671175853</c:v>
                </c:pt>
                <c:pt idx="1566">
                  <c:v>129.96499850469681</c:v>
                </c:pt>
                <c:pt idx="1567">
                  <c:v>130.92582056239542</c:v>
                </c:pt>
                <c:pt idx="1568">
                  <c:v>131.09569765623897</c:v>
                </c:pt>
                <c:pt idx="1569">
                  <c:v>130.96539679384321</c:v>
                </c:pt>
                <c:pt idx="1570">
                  <c:v>129.00619797457577</c:v>
                </c:pt>
                <c:pt idx="1571">
                  <c:v>129.00619797457577</c:v>
                </c:pt>
                <c:pt idx="1572">
                  <c:v>129.00619797457577</c:v>
                </c:pt>
                <c:pt idx="1573">
                  <c:v>127.06643501334536</c:v>
                </c:pt>
                <c:pt idx="1574">
                  <c:v>127.95692212025627</c:v>
                </c:pt>
                <c:pt idx="1575">
                  <c:v>127.97384036599982</c:v>
                </c:pt>
                <c:pt idx="1576">
                  <c:v>128.55828941074628</c:v>
                </c:pt>
                <c:pt idx="1577">
                  <c:v>127.8359802365494</c:v>
                </c:pt>
                <c:pt idx="1578">
                  <c:v>127.8359802365494</c:v>
                </c:pt>
                <c:pt idx="1579">
                  <c:v>127.8359802365494</c:v>
                </c:pt>
                <c:pt idx="1580">
                  <c:v>128.69872516004472</c:v>
                </c:pt>
                <c:pt idx="1581">
                  <c:v>127.97571945771634</c:v>
                </c:pt>
                <c:pt idx="1582">
                  <c:v>126.93166572262702</c:v>
                </c:pt>
                <c:pt idx="1583">
                  <c:v>128.44511288542867</c:v>
                </c:pt>
                <c:pt idx="1584">
                  <c:v>128.32427657053162</c:v>
                </c:pt>
                <c:pt idx="1585">
                  <c:v>128.32427657053162</c:v>
                </c:pt>
                <c:pt idx="1586">
                  <c:v>128.32427657053162</c:v>
                </c:pt>
                <c:pt idx="1587">
                  <c:v>127.96724171802845</c:v>
                </c:pt>
                <c:pt idx="1588">
                  <c:v>125.45118372080275</c:v>
                </c:pt>
                <c:pt idx="1589">
                  <c:v>120.2497678543119</c:v>
                </c:pt>
                <c:pt idx="1590">
                  <c:v>120.2497678543119</c:v>
                </c:pt>
                <c:pt idx="1591">
                  <c:v>120.2497678543119</c:v>
                </c:pt>
                <c:pt idx="1592">
                  <c:v>120.2497678543119</c:v>
                </c:pt>
                <c:pt idx="1593">
                  <c:v>120.2497678543119</c:v>
                </c:pt>
                <c:pt idx="1594">
                  <c:v>120.35280285181416</c:v>
                </c:pt>
                <c:pt idx="1595">
                  <c:v>118.95132963721105</c:v>
                </c:pt>
                <c:pt idx="1596">
                  <c:v>118.95132963721105</c:v>
                </c:pt>
                <c:pt idx="1597">
                  <c:v>118.00620695705572</c:v>
                </c:pt>
                <c:pt idx="1598">
                  <c:v>116.18275603199559</c:v>
                </c:pt>
                <c:pt idx="1599">
                  <c:v>116.18275603199559</c:v>
                </c:pt>
                <c:pt idx="1600">
                  <c:v>116.16742697489468</c:v>
                </c:pt>
                <c:pt idx="1601">
                  <c:v>114.53887060112189</c:v>
                </c:pt>
                <c:pt idx="1602">
                  <c:v>115.4158693841233</c:v>
                </c:pt>
                <c:pt idx="1603">
                  <c:v>115.04609848904114</c:v>
                </c:pt>
                <c:pt idx="1604">
                  <c:v>116.94101508916323</c:v>
                </c:pt>
                <c:pt idx="1605">
                  <c:v>117.82352488256294</c:v>
                </c:pt>
                <c:pt idx="1606">
                  <c:v>117.82352488256294</c:v>
                </c:pt>
                <c:pt idx="1607">
                  <c:v>117.82352488256294</c:v>
                </c:pt>
                <c:pt idx="1608">
                  <c:v>119.07688597761805</c:v>
                </c:pt>
                <c:pt idx="1609">
                  <c:v>119.65542664078193</c:v>
                </c:pt>
                <c:pt idx="1610">
                  <c:v>119.87437162931209</c:v>
                </c:pt>
                <c:pt idx="1611">
                  <c:v>118.66959589549249</c:v>
                </c:pt>
                <c:pt idx="1612">
                  <c:v>118.22719116326095</c:v>
                </c:pt>
                <c:pt idx="1613">
                  <c:v>118.22719116326095</c:v>
                </c:pt>
                <c:pt idx="1614">
                  <c:v>118.22719116326095</c:v>
                </c:pt>
                <c:pt idx="1615">
                  <c:v>118.12895992330341</c:v>
                </c:pt>
                <c:pt idx="1616">
                  <c:v>118.06267860467685</c:v>
                </c:pt>
                <c:pt idx="1617">
                  <c:v>118.72282710753743</c:v>
                </c:pt>
                <c:pt idx="1618">
                  <c:v>117.63468013468021</c:v>
                </c:pt>
                <c:pt idx="1619">
                  <c:v>118.2437623703336</c:v>
                </c:pt>
                <c:pt idx="1620">
                  <c:v>118.2437623703336</c:v>
                </c:pt>
                <c:pt idx="1621">
                  <c:v>118.2437623703336</c:v>
                </c:pt>
                <c:pt idx="1622">
                  <c:v>117.89397773967949</c:v>
                </c:pt>
                <c:pt idx="1623">
                  <c:v>117.34920652509835</c:v>
                </c:pt>
                <c:pt idx="1624">
                  <c:v>117.99197062880312</c:v>
                </c:pt>
                <c:pt idx="1625">
                  <c:v>117.64306165802432</c:v>
                </c:pt>
                <c:pt idx="1626">
                  <c:v>116.98936631669822</c:v>
                </c:pt>
                <c:pt idx="1627">
                  <c:v>116.98936631669822</c:v>
                </c:pt>
                <c:pt idx="1628">
                  <c:v>116.98936631669822</c:v>
                </c:pt>
                <c:pt idx="1629">
                  <c:v>116.6986276416675</c:v>
                </c:pt>
                <c:pt idx="1630">
                  <c:v>117.40882957906349</c:v>
                </c:pt>
                <c:pt idx="1631">
                  <c:v>116.42140040801448</c:v>
                </c:pt>
                <c:pt idx="1632">
                  <c:v>116.67267517978115</c:v>
                </c:pt>
                <c:pt idx="1633">
                  <c:v>117.58050843657834</c:v>
                </c:pt>
                <c:pt idx="1634">
                  <c:v>117.58050843657834</c:v>
                </c:pt>
                <c:pt idx="1635">
                  <c:v>117.58050843657834</c:v>
                </c:pt>
                <c:pt idx="1636">
                  <c:v>116.72833178405088</c:v>
                </c:pt>
                <c:pt idx="1637">
                  <c:v>115.81039603008554</c:v>
                </c:pt>
                <c:pt idx="1638">
                  <c:v>115.25395514660586</c:v>
                </c:pt>
                <c:pt idx="1639">
                  <c:v>113.52202147232997</c:v>
                </c:pt>
                <c:pt idx="1640">
                  <c:v>114.05500529659164</c:v>
                </c:pt>
                <c:pt idx="1641">
                  <c:v>114.05500529659164</c:v>
                </c:pt>
                <c:pt idx="1642">
                  <c:v>114.05500529659164</c:v>
                </c:pt>
                <c:pt idx="1643">
                  <c:v>114.8752604996006</c:v>
                </c:pt>
                <c:pt idx="1644">
                  <c:v>114.31959808679592</c:v>
                </c:pt>
                <c:pt idx="1645">
                  <c:v>114.9435347744798</c:v>
                </c:pt>
                <c:pt idx="1646">
                  <c:v>113.34340411710554</c:v>
                </c:pt>
                <c:pt idx="1647">
                  <c:v>113.96476000689375</c:v>
                </c:pt>
                <c:pt idx="1648">
                  <c:v>113.96476000689375</c:v>
                </c:pt>
                <c:pt idx="1649">
                  <c:v>113.96476000689375</c:v>
                </c:pt>
                <c:pt idx="1650">
                  <c:v>114.79192422937068</c:v>
                </c:pt>
                <c:pt idx="1651">
                  <c:v>115.52105585378226</c:v>
                </c:pt>
                <c:pt idx="1652">
                  <c:v>117.24153619739806</c:v>
                </c:pt>
                <c:pt idx="1653">
                  <c:v>116.29424391720011</c:v>
                </c:pt>
                <c:pt idx="1654">
                  <c:v>114.74360692826112</c:v>
                </c:pt>
                <c:pt idx="1655">
                  <c:v>114.74360692826112</c:v>
                </c:pt>
                <c:pt idx="1656">
                  <c:v>114.74360692826112</c:v>
                </c:pt>
                <c:pt idx="1657">
                  <c:v>114.98249615283214</c:v>
                </c:pt>
                <c:pt idx="1658">
                  <c:v>116.23653728916881</c:v>
                </c:pt>
                <c:pt idx="1659">
                  <c:v>114.053824871697</c:v>
                </c:pt>
                <c:pt idx="1660">
                  <c:v>115.54400781693073</c:v>
                </c:pt>
                <c:pt idx="1661">
                  <c:v>114.4328643090162</c:v>
                </c:pt>
                <c:pt idx="1662">
                  <c:v>114.4328643090162</c:v>
                </c:pt>
                <c:pt idx="1663">
                  <c:v>114.4328643090162</c:v>
                </c:pt>
                <c:pt idx="1664">
                  <c:v>115.91762078667711</c:v>
                </c:pt>
                <c:pt idx="1665">
                  <c:v>114.66386585520871</c:v>
                </c:pt>
                <c:pt idx="1666">
                  <c:v>114.75786695829559</c:v>
                </c:pt>
                <c:pt idx="1667">
                  <c:v>115.03357703041226</c:v>
                </c:pt>
                <c:pt idx="1668">
                  <c:v>114.39208379928682</c:v>
                </c:pt>
                <c:pt idx="1669">
                  <c:v>114.39208379928682</c:v>
                </c:pt>
                <c:pt idx="1670">
                  <c:v>114.39208379928682</c:v>
                </c:pt>
                <c:pt idx="1671">
                  <c:v>115.1674065452443</c:v>
                </c:pt>
                <c:pt idx="1672">
                  <c:v>114.87451825723436</c:v>
                </c:pt>
                <c:pt idx="1673">
                  <c:v>114.70492913044568</c:v>
                </c:pt>
                <c:pt idx="1674">
                  <c:v>113.98114077478527</c:v>
                </c:pt>
                <c:pt idx="1675">
                  <c:v>114.5160689563638</c:v>
                </c:pt>
                <c:pt idx="1676">
                  <c:v>114.5160689563638</c:v>
                </c:pt>
                <c:pt idx="1677">
                  <c:v>114.5160689563638</c:v>
                </c:pt>
                <c:pt idx="1678">
                  <c:v>114.92748895173067</c:v>
                </c:pt>
                <c:pt idx="1679">
                  <c:v>112.8958725065019</c:v>
                </c:pt>
                <c:pt idx="1680">
                  <c:v>112.96663727219278</c:v>
                </c:pt>
                <c:pt idx="1681">
                  <c:v>109.76946829279117</c:v>
                </c:pt>
                <c:pt idx="1682">
                  <c:v>109.70478386834053</c:v>
                </c:pt>
                <c:pt idx="1683">
                  <c:v>109.70478386834053</c:v>
                </c:pt>
                <c:pt idx="1684">
                  <c:v>109.70478386834053</c:v>
                </c:pt>
                <c:pt idx="1685">
                  <c:v>110.39157280613283</c:v>
                </c:pt>
                <c:pt idx="1686">
                  <c:v>111.26563387659742</c:v>
                </c:pt>
                <c:pt idx="1687">
                  <c:v>110.37464021927113</c:v>
                </c:pt>
                <c:pt idx="1688">
                  <c:v>111.40089502748829</c:v>
                </c:pt>
                <c:pt idx="1689">
                  <c:v>111.50706241444979</c:v>
                </c:pt>
                <c:pt idx="1690">
                  <c:v>111.50706241444979</c:v>
                </c:pt>
                <c:pt idx="1691">
                  <c:v>111.50706241444979</c:v>
                </c:pt>
                <c:pt idx="1692">
                  <c:v>112.44975513055438</c:v>
                </c:pt>
                <c:pt idx="1693">
                  <c:v>111.51439478745091</c:v>
                </c:pt>
                <c:pt idx="1694">
                  <c:v>113.30145243897462</c:v>
                </c:pt>
                <c:pt idx="1695">
                  <c:v>115.37779467380638</c:v>
                </c:pt>
                <c:pt idx="1696">
                  <c:v>116.19425547996973</c:v>
                </c:pt>
                <c:pt idx="1697">
                  <c:v>116.19425547996973</c:v>
                </c:pt>
                <c:pt idx="1698">
                  <c:v>116.19425547996973</c:v>
                </c:pt>
                <c:pt idx="1699">
                  <c:v>116.54940274258645</c:v>
                </c:pt>
                <c:pt idx="1700">
                  <c:v>115.15227434322135</c:v>
                </c:pt>
                <c:pt idx="1701">
                  <c:v>115.66002901799295</c:v>
                </c:pt>
                <c:pt idx="1702">
                  <c:v>114.19150045851435</c:v>
                </c:pt>
                <c:pt idx="1703">
                  <c:v>113.33130986105495</c:v>
                </c:pt>
                <c:pt idx="1704">
                  <c:v>113.33130986105495</c:v>
                </c:pt>
                <c:pt idx="1705">
                  <c:v>113.33130986105495</c:v>
                </c:pt>
                <c:pt idx="1706">
                  <c:v>111.83529068176237</c:v>
                </c:pt>
                <c:pt idx="1707">
                  <c:v>111.63708927525529</c:v>
                </c:pt>
                <c:pt idx="1708">
                  <c:v>112.02412659173358</c:v>
                </c:pt>
                <c:pt idx="1709">
                  <c:v>111.9290089098094</c:v>
                </c:pt>
                <c:pt idx="1710">
                  <c:v>114.62244499769008</c:v>
                </c:pt>
                <c:pt idx="1711">
                  <c:v>114.62244499769008</c:v>
                </c:pt>
                <c:pt idx="1712">
                  <c:v>114.62244499769008</c:v>
                </c:pt>
                <c:pt idx="1713">
                  <c:v>115.12102792254298</c:v>
                </c:pt>
                <c:pt idx="1714">
                  <c:v>114.08667655144431</c:v>
                </c:pt>
                <c:pt idx="1715">
                  <c:v>113.8644202106444</c:v>
                </c:pt>
                <c:pt idx="1716">
                  <c:v>114.67961900257724</c:v>
                </c:pt>
                <c:pt idx="1717">
                  <c:v>113.00794134432168</c:v>
                </c:pt>
                <c:pt idx="1718">
                  <c:v>113.00794134432168</c:v>
                </c:pt>
                <c:pt idx="1719">
                  <c:v>113.00794134432168</c:v>
                </c:pt>
                <c:pt idx="1720">
                  <c:v>111.90420802929526</c:v>
                </c:pt>
                <c:pt idx="1721">
                  <c:v>109.77828997509202</c:v>
                </c:pt>
                <c:pt idx="1722">
                  <c:v>111.88561681982736</c:v>
                </c:pt>
                <c:pt idx="1723">
                  <c:v>111.88561681982736</c:v>
                </c:pt>
                <c:pt idx="1724">
                  <c:v>111.88561681982736</c:v>
                </c:pt>
                <c:pt idx="1725">
                  <c:v>111.88561681982736</c:v>
                </c:pt>
                <c:pt idx="1726">
                  <c:v>111.88561681982736</c:v>
                </c:pt>
                <c:pt idx="1727">
                  <c:v>111.97491100723349</c:v>
                </c:pt>
                <c:pt idx="1728">
                  <c:v>110.85017508899202</c:v>
                </c:pt>
                <c:pt idx="1729">
                  <c:v>110.66119569520927</c:v>
                </c:pt>
                <c:pt idx="1730">
                  <c:v>111.25188097665162</c:v>
                </c:pt>
                <c:pt idx="1731">
                  <c:v>110.10772367512722</c:v>
                </c:pt>
                <c:pt idx="1732">
                  <c:v>110.10772367512722</c:v>
                </c:pt>
                <c:pt idx="1733">
                  <c:v>110.10772367512722</c:v>
                </c:pt>
                <c:pt idx="1734">
                  <c:v>109.6186740827293</c:v>
                </c:pt>
                <c:pt idx="1735">
                  <c:v>110.1798843423732</c:v>
                </c:pt>
                <c:pt idx="1736">
                  <c:v>110.55270793232313</c:v>
                </c:pt>
                <c:pt idx="1737">
                  <c:v>111.58610529260862</c:v>
                </c:pt>
                <c:pt idx="1738">
                  <c:v>111.05359827812198</c:v>
                </c:pt>
                <c:pt idx="1739">
                  <c:v>111.05359827812198</c:v>
                </c:pt>
                <c:pt idx="1740">
                  <c:v>111.05359827812198</c:v>
                </c:pt>
                <c:pt idx="1741">
                  <c:v>112.07766781861149</c:v>
                </c:pt>
                <c:pt idx="1742">
                  <c:v>110.53495784673252</c:v>
                </c:pt>
                <c:pt idx="1743">
                  <c:v>109.49901887484586</c:v>
                </c:pt>
                <c:pt idx="1744">
                  <c:v>109.26090891429709</c:v>
                </c:pt>
                <c:pt idx="1745">
                  <c:v>106.48893483663132</c:v>
                </c:pt>
                <c:pt idx="1746">
                  <c:v>106.48893483663132</c:v>
                </c:pt>
                <c:pt idx="1747">
                  <c:v>106.48893483663132</c:v>
                </c:pt>
                <c:pt idx="1748">
                  <c:v>106.94640109920519</c:v>
                </c:pt>
                <c:pt idx="1749">
                  <c:v>107.22767034771836</c:v>
                </c:pt>
                <c:pt idx="1750">
                  <c:v>106.41888232027065</c:v>
                </c:pt>
                <c:pt idx="1751">
                  <c:v>104.78455296305937</c:v>
                </c:pt>
                <c:pt idx="1752">
                  <c:v>104.91658907449613</c:v>
                </c:pt>
                <c:pt idx="1753">
                  <c:v>104.91658907449613</c:v>
                </c:pt>
                <c:pt idx="1754">
                  <c:v>104.91658907449613</c:v>
                </c:pt>
                <c:pt idx="1755">
                  <c:v>104.13854262534106</c:v>
                </c:pt>
                <c:pt idx="1756">
                  <c:v>103.1928789243878</c:v>
                </c:pt>
                <c:pt idx="1757">
                  <c:v>103.64021725848114</c:v>
                </c:pt>
                <c:pt idx="1758">
                  <c:v>102.16736730686216</c:v>
                </c:pt>
                <c:pt idx="1759">
                  <c:v>101.78716271257025</c:v>
                </c:pt>
                <c:pt idx="1760">
                  <c:v>101.78716271257025</c:v>
                </c:pt>
                <c:pt idx="1761">
                  <c:v>101.78716271257025</c:v>
                </c:pt>
                <c:pt idx="1762">
                  <c:v>100.10087888596557</c:v>
                </c:pt>
                <c:pt idx="1763">
                  <c:v>99.797105611250345</c:v>
                </c:pt>
                <c:pt idx="1764">
                  <c:v>100.6494258427778</c:v>
                </c:pt>
                <c:pt idx="1765">
                  <c:v>100.56377205239716</c:v>
                </c:pt>
                <c:pt idx="1766">
                  <c:v>101.22477200144861</c:v>
                </c:pt>
                <c:pt idx="1767">
                  <c:v>101.22477200144861</c:v>
                </c:pt>
                <c:pt idx="1768">
                  <c:v>101.22477200144861</c:v>
                </c:pt>
                <c:pt idx="1769">
                  <c:v>102.79386204976039</c:v>
                </c:pt>
                <c:pt idx="1770">
                  <c:v>102.24880348617471</c:v>
                </c:pt>
                <c:pt idx="1771">
                  <c:v>101.39789803323526</c:v>
                </c:pt>
                <c:pt idx="1772">
                  <c:v>100.90983041454815</c:v>
                </c:pt>
                <c:pt idx="1773">
                  <c:v>101.53043564258523</c:v>
                </c:pt>
                <c:pt idx="1774">
                  <c:v>101.53043564258523</c:v>
                </c:pt>
                <c:pt idx="1775">
                  <c:v>101.53043564258523</c:v>
                </c:pt>
                <c:pt idx="1776">
                  <c:v>102.00622120626053</c:v>
                </c:pt>
                <c:pt idx="1777">
                  <c:v>103.36028915452793</c:v>
                </c:pt>
                <c:pt idx="1778">
                  <c:v>101.41843971631207</c:v>
                </c:pt>
                <c:pt idx="1779">
                  <c:v>101.41843971631207</c:v>
                </c:pt>
                <c:pt idx="1780">
                  <c:v>101.41843971631207</c:v>
                </c:pt>
                <c:pt idx="1781">
                  <c:v>101.41843971631207</c:v>
                </c:pt>
                <c:pt idx="1782">
                  <c:v>101.41843971631207</c:v>
                </c:pt>
                <c:pt idx="1783">
                  <c:v>102.78368712610498</c:v>
                </c:pt>
                <c:pt idx="1784">
                  <c:v>103.2846387526273</c:v>
                </c:pt>
                <c:pt idx="1785">
                  <c:v>104.59749336241131</c:v>
                </c:pt>
                <c:pt idx="1786">
                  <c:v>103.85949859634064</c:v>
                </c:pt>
                <c:pt idx="1787">
                  <c:v>103.12986382509499</c:v>
                </c:pt>
                <c:pt idx="1788">
                  <c:v>103.12986382509499</c:v>
                </c:pt>
                <c:pt idx="1789">
                  <c:v>103.12986382509499</c:v>
                </c:pt>
                <c:pt idx="1790">
                  <c:v>103.3320983833097</c:v>
                </c:pt>
                <c:pt idx="1791">
                  <c:v>103.27107549056365</c:v>
                </c:pt>
                <c:pt idx="1792">
                  <c:v>104.02043530425227</c:v>
                </c:pt>
                <c:pt idx="1793">
                  <c:v>102.58061082119296</c:v>
                </c:pt>
                <c:pt idx="1794">
                  <c:v>102.07641357290747</c:v>
                </c:pt>
                <c:pt idx="1795">
                  <c:v>102.07641357290747</c:v>
                </c:pt>
                <c:pt idx="1796">
                  <c:v>102.07641357290747</c:v>
                </c:pt>
                <c:pt idx="1797">
                  <c:v>101.37319019210858</c:v>
                </c:pt>
                <c:pt idx="1798">
                  <c:v>99.482948930417507</c:v>
                </c:pt>
                <c:pt idx="1799">
                  <c:v>97.767171148326582</c:v>
                </c:pt>
                <c:pt idx="1800">
                  <c:v>98.128279282660316</c:v>
                </c:pt>
                <c:pt idx="1801">
                  <c:v>96.20130920366185</c:v>
                </c:pt>
                <c:pt idx="1802">
                  <c:v>96.20130920366185</c:v>
                </c:pt>
                <c:pt idx="1803">
                  <c:v>96.20130920366185</c:v>
                </c:pt>
                <c:pt idx="1804">
                  <c:v>96.794195473525974</c:v>
                </c:pt>
                <c:pt idx="1805">
                  <c:v>98.461421215912253</c:v>
                </c:pt>
                <c:pt idx="1806">
                  <c:v>97.798243876675272</c:v>
                </c:pt>
                <c:pt idx="1807">
                  <c:v>96.400142847745002</c:v>
                </c:pt>
                <c:pt idx="1808">
                  <c:v>96.816018280632022</c:v>
                </c:pt>
                <c:pt idx="1809">
                  <c:v>96.816018280632022</c:v>
                </c:pt>
                <c:pt idx="1810">
                  <c:v>96.816018280632022</c:v>
                </c:pt>
                <c:pt idx="1811">
                  <c:v>97.928550108373415</c:v>
                </c:pt>
                <c:pt idx="1812">
                  <c:v>98.37750073801584</c:v>
                </c:pt>
                <c:pt idx="1813">
                  <c:v>100.30995106035883</c:v>
                </c:pt>
                <c:pt idx="1814">
                  <c:v>100.30995106035883</c:v>
                </c:pt>
                <c:pt idx="1815">
                  <c:v>100.30995106035883</c:v>
                </c:pt>
                <c:pt idx="1816">
                  <c:v>100.30995106035883</c:v>
                </c:pt>
                <c:pt idx="1817">
                  <c:v>100.30995106035883</c:v>
                </c:pt>
                <c:pt idx="1818">
                  <c:v>99.816614652226605</c:v>
                </c:pt>
                <c:pt idx="1819">
                  <c:v>99.664133718477743</c:v>
                </c:pt>
                <c:pt idx="1820">
                  <c:v>100.42457665682802</c:v>
                </c:pt>
                <c:pt idx="1821">
                  <c:v>100.40500262375973</c:v>
                </c:pt>
                <c:pt idx="1822">
                  <c:v>99.790670353293763</c:v>
                </c:pt>
                <c:pt idx="1823">
                  <c:v>99.790670353293763</c:v>
                </c:pt>
                <c:pt idx="1824">
                  <c:v>99.790670353293763</c:v>
                </c:pt>
                <c:pt idx="1825">
                  <c:v>99.889535072614535</c:v>
                </c:pt>
                <c:pt idx="1826">
                  <c:v>100</c:v>
                </c:pt>
              </c:numCache>
            </c:numRef>
          </c:val>
          <c:smooth val="0"/>
          <c:extLst>
            <c:ext xmlns:c16="http://schemas.microsoft.com/office/drawing/2014/chart" uri="{C3380CC4-5D6E-409C-BE32-E72D297353CC}">
              <c16:uniqueId val="{00000003-9E9F-443E-87D8-A4B4D8C106CA}"/>
            </c:ext>
          </c:extLst>
        </c:ser>
        <c:ser>
          <c:idx val="4"/>
          <c:order val="4"/>
          <c:tx>
            <c:strRef>
              <c:f>[32]Indexed!$G$3</c:f>
              <c:strCache>
                <c:ptCount val="1"/>
                <c:pt idx="0">
                  <c:v>Broadcom Inc</c:v>
                </c:pt>
              </c:strCache>
            </c:strRef>
          </c:tx>
          <c:spPr>
            <a:ln w="28575" cap="rnd">
              <a:solidFill>
                <a:schemeClr val="accent3">
                  <a:lumMod val="60000"/>
                </a:schemeClr>
              </a:solidFill>
              <a:round/>
            </a:ln>
            <a:effectLst/>
          </c:spPr>
          <c:marker>
            <c:symbol val="none"/>
          </c:marker>
          <c:cat>
            <c:numRef>
              <c:f>[32]Indexed!$B$4:$B$3657</c:f>
              <c:numCache>
                <c:formatCode>General</c:formatCode>
                <c:ptCount val="3654"/>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c:v>43351</c:v>
                </c:pt>
                <c:pt idx="1257">
                  <c:v>43350</c:v>
                </c:pt>
                <c:pt idx="1258">
                  <c:v>43349</c:v>
                </c:pt>
                <c:pt idx="1259">
                  <c:v>43348</c:v>
                </c:pt>
                <c:pt idx="1260">
                  <c:v>43347</c:v>
                </c:pt>
                <c:pt idx="1261">
                  <c:v>43346</c:v>
                </c:pt>
                <c:pt idx="1262">
                  <c:v>43345</c:v>
                </c:pt>
                <c:pt idx="1263">
                  <c:v>43344</c:v>
                </c:pt>
                <c:pt idx="1264">
                  <c:v>43343</c:v>
                </c:pt>
                <c:pt idx="1265">
                  <c:v>43342</c:v>
                </c:pt>
                <c:pt idx="1266">
                  <c:v>43341</c:v>
                </c:pt>
                <c:pt idx="1267">
                  <c:v>43340</c:v>
                </c:pt>
                <c:pt idx="1268">
                  <c:v>43339</c:v>
                </c:pt>
                <c:pt idx="1269">
                  <c:v>43338</c:v>
                </c:pt>
                <c:pt idx="1270">
                  <c:v>43337</c:v>
                </c:pt>
                <c:pt idx="1271">
                  <c:v>43336</c:v>
                </c:pt>
                <c:pt idx="1272">
                  <c:v>43335</c:v>
                </c:pt>
                <c:pt idx="1273">
                  <c:v>43334</c:v>
                </c:pt>
                <c:pt idx="1274">
                  <c:v>43333</c:v>
                </c:pt>
                <c:pt idx="1275">
                  <c:v>43332</c:v>
                </c:pt>
                <c:pt idx="1276">
                  <c:v>43331</c:v>
                </c:pt>
                <c:pt idx="1277">
                  <c:v>43330</c:v>
                </c:pt>
                <c:pt idx="1278">
                  <c:v>43329</c:v>
                </c:pt>
                <c:pt idx="1279">
                  <c:v>43328</c:v>
                </c:pt>
                <c:pt idx="1280">
                  <c:v>43327</c:v>
                </c:pt>
                <c:pt idx="1281">
                  <c:v>43326</c:v>
                </c:pt>
                <c:pt idx="1282">
                  <c:v>43325</c:v>
                </c:pt>
                <c:pt idx="1283">
                  <c:v>43324</c:v>
                </c:pt>
                <c:pt idx="1284">
                  <c:v>43323</c:v>
                </c:pt>
                <c:pt idx="1285">
                  <c:v>43322</c:v>
                </c:pt>
                <c:pt idx="1286">
                  <c:v>43321</c:v>
                </c:pt>
                <c:pt idx="1287">
                  <c:v>43320</c:v>
                </c:pt>
                <c:pt idx="1288">
                  <c:v>43319</c:v>
                </c:pt>
                <c:pt idx="1289">
                  <c:v>43318</c:v>
                </c:pt>
                <c:pt idx="1290">
                  <c:v>43317</c:v>
                </c:pt>
                <c:pt idx="1291">
                  <c:v>43316</c:v>
                </c:pt>
                <c:pt idx="1292">
                  <c:v>43315</c:v>
                </c:pt>
                <c:pt idx="1293">
                  <c:v>43314</c:v>
                </c:pt>
                <c:pt idx="1294">
                  <c:v>43313</c:v>
                </c:pt>
                <c:pt idx="1295">
                  <c:v>43312</c:v>
                </c:pt>
                <c:pt idx="1296">
                  <c:v>43311</c:v>
                </c:pt>
                <c:pt idx="1297">
                  <c:v>43310</c:v>
                </c:pt>
                <c:pt idx="1298">
                  <c:v>43309</c:v>
                </c:pt>
                <c:pt idx="1299">
                  <c:v>43308</c:v>
                </c:pt>
                <c:pt idx="1300">
                  <c:v>43307</c:v>
                </c:pt>
                <c:pt idx="1301">
                  <c:v>43306</c:v>
                </c:pt>
                <c:pt idx="1302">
                  <c:v>43305</c:v>
                </c:pt>
                <c:pt idx="1303">
                  <c:v>43304</c:v>
                </c:pt>
                <c:pt idx="1304">
                  <c:v>43303</c:v>
                </c:pt>
                <c:pt idx="1305">
                  <c:v>43302</c:v>
                </c:pt>
                <c:pt idx="1306">
                  <c:v>43301</c:v>
                </c:pt>
                <c:pt idx="1307">
                  <c:v>43300</c:v>
                </c:pt>
                <c:pt idx="1308">
                  <c:v>43299</c:v>
                </c:pt>
                <c:pt idx="1309">
                  <c:v>43298</c:v>
                </c:pt>
                <c:pt idx="1310">
                  <c:v>43297</c:v>
                </c:pt>
                <c:pt idx="1311">
                  <c:v>43296</c:v>
                </c:pt>
                <c:pt idx="1312">
                  <c:v>43295</c:v>
                </c:pt>
                <c:pt idx="1313">
                  <c:v>43294</c:v>
                </c:pt>
                <c:pt idx="1314">
                  <c:v>43293</c:v>
                </c:pt>
                <c:pt idx="1315">
                  <c:v>43292</c:v>
                </c:pt>
                <c:pt idx="1316">
                  <c:v>43291</c:v>
                </c:pt>
                <c:pt idx="1317">
                  <c:v>43290</c:v>
                </c:pt>
                <c:pt idx="1318">
                  <c:v>43289</c:v>
                </c:pt>
                <c:pt idx="1319">
                  <c:v>43288</c:v>
                </c:pt>
                <c:pt idx="1320">
                  <c:v>43287</c:v>
                </c:pt>
                <c:pt idx="1321">
                  <c:v>43286</c:v>
                </c:pt>
                <c:pt idx="1322">
                  <c:v>43285</c:v>
                </c:pt>
                <c:pt idx="1323">
                  <c:v>43284</c:v>
                </c:pt>
                <c:pt idx="1324">
                  <c:v>43283</c:v>
                </c:pt>
                <c:pt idx="1325">
                  <c:v>43282</c:v>
                </c:pt>
                <c:pt idx="1326">
                  <c:v>43281</c:v>
                </c:pt>
                <c:pt idx="1327">
                  <c:v>43280</c:v>
                </c:pt>
                <c:pt idx="1328">
                  <c:v>43279</c:v>
                </c:pt>
                <c:pt idx="1329">
                  <c:v>43278</c:v>
                </c:pt>
                <c:pt idx="1330">
                  <c:v>43277</c:v>
                </c:pt>
                <c:pt idx="1331">
                  <c:v>43276</c:v>
                </c:pt>
                <c:pt idx="1332">
                  <c:v>43275</c:v>
                </c:pt>
                <c:pt idx="1333">
                  <c:v>43274</c:v>
                </c:pt>
                <c:pt idx="1334">
                  <c:v>43273</c:v>
                </c:pt>
                <c:pt idx="1335">
                  <c:v>43272</c:v>
                </c:pt>
                <c:pt idx="1336">
                  <c:v>43271</c:v>
                </c:pt>
                <c:pt idx="1337">
                  <c:v>43270</c:v>
                </c:pt>
                <c:pt idx="1338">
                  <c:v>43269</c:v>
                </c:pt>
                <c:pt idx="1339">
                  <c:v>43268</c:v>
                </c:pt>
                <c:pt idx="1340">
                  <c:v>43267</c:v>
                </c:pt>
                <c:pt idx="1341">
                  <c:v>43266</c:v>
                </c:pt>
                <c:pt idx="1342">
                  <c:v>43265</c:v>
                </c:pt>
                <c:pt idx="1343">
                  <c:v>43264</c:v>
                </c:pt>
                <c:pt idx="1344">
                  <c:v>43263</c:v>
                </c:pt>
                <c:pt idx="1345">
                  <c:v>43262</c:v>
                </c:pt>
                <c:pt idx="1346">
                  <c:v>43261</c:v>
                </c:pt>
                <c:pt idx="1347">
                  <c:v>43260</c:v>
                </c:pt>
                <c:pt idx="1348">
                  <c:v>43259</c:v>
                </c:pt>
                <c:pt idx="1349">
                  <c:v>43258</c:v>
                </c:pt>
                <c:pt idx="1350">
                  <c:v>43257</c:v>
                </c:pt>
                <c:pt idx="1351">
                  <c:v>43256</c:v>
                </c:pt>
                <c:pt idx="1352">
                  <c:v>43255</c:v>
                </c:pt>
                <c:pt idx="1353">
                  <c:v>43254</c:v>
                </c:pt>
                <c:pt idx="1354">
                  <c:v>43253</c:v>
                </c:pt>
                <c:pt idx="1355">
                  <c:v>43252</c:v>
                </c:pt>
                <c:pt idx="1356">
                  <c:v>43251</c:v>
                </c:pt>
                <c:pt idx="1357">
                  <c:v>43250</c:v>
                </c:pt>
                <c:pt idx="1358">
                  <c:v>43249</c:v>
                </c:pt>
                <c:pt idx="1359">
                  <c:v>43248</c:v>
                </c:pt>
                <c:pt idx="1360">
                  <c:v>43247</c:v>
                </c:pt>
                <c:pt idx="1361">
                  <c:v>43246</c:v>
                </c:pt>
                <c:pt idx="1362">
                  <c:v>43245</c:v>
                </c:pt>
                <c:pt idx="1363">
                  <c:v>43244</c:v>
                </c:pt>
                <c:pt idx="1364">
                  <c:v>43243</c:v>
                </c:pt>
                <c:pt idx="1365">
                  <c:v>43242</c:v>
                </c:pt>
                <c:pt idx="1366">
                  <c:v>43241</c:v>
                </c:pt>
                <c:pt idx="1367">
                  <c:v>43240</c:v>
                </c:pt>
                <c:pt idx="1368">
                  <c:v>43239</c:v>
                </c:pt>
                <c:pt idx="1369">
                  <c:v>43238</c:v>
                </c:pt>
                <c:pt idx="1370">
                  <c:v>43237</c:v>
                </c:pt>
                <c:pt idx="1371">
                  <c:v>43236</c:v>
                </c:pt>
                <c:pt idx="1372">
                  <c:v>43235</c:v>
                </c:pt>
                <c:pt idx="1373">
                  <c:v>43234</c:v>
                </c:pt>
                <c:pt idx="1374">
                  <c:v>43233</c:v>
                </c:pt>
                <c:pt idx="1375">
                  <c:v>43232</c:v>
                </c:pt>
                <c:pt idx="1376">
                  <c:v>43231</c:v>
                </c:pt>
                <c:pt idx="1377">
                  <c:v>43230</c:v>
                </c:pt>
                <c:pt idx="1378">
                  <c:v>43229</c:v>
                </c:pt>
                <c:pt idx="1379">
                  <c:v>43228</c:v>
                </c:pt>
                <c:pt idx="1380">
                  <c:v>43227</c:v>
                </c:pt>
                <c:pt idx="1381">
                  <c:v>43226</c:v>
                </c:pt>
                <c:pt idx="1382">
                  <c:v>43225</c:v>
                </c:pt>
                <c:pt idx="1383">
                  <c:v>43224</c:v>
                </c:pt>
                <c:pt idx="1384">
                  <c:v>43223</c:v>
                </c:pt>
                <c:pt idx="1385">
                  <c:v>43222</c:v>
                </c:pt>
                <c:pt idx="1386">
                  <c:v>43221</c:v>
                </c:pt>
                <c:pt idx="1387">
                  <c:v>43220</c:v>
                </c:pt>
                <c:pt idx="1388">
                  <c:v>43219</c:v>
                </c:pt>
                <c:pt idx="1389">
                  <c:v>43218</c:v>
                </c:pt>
                <c:pt idx="1390">
                  <c:v>43217</c:v>
                </c:pt>
                <c:pt idx="1391">
                  <c:v>43216</c:v>
                </c:pt>
                <c:pt idx="1392">
                  <c:v>43215</c:v>
                </c:pt>
                <c:pt idx="1393">
                  <c:v>43214</c:v>
                </c:pt>
                <c:pt idx="1394">
                  <c:v>43213</c:v>
                </c:pt>
                <c:pt idx="1395">
                  <c:v>43212</c:v>
                </c:pt>
                <c:pt idx="1396">
                  <c:v>43211</c:v>
                </c:pt>
                <c:pt idx="1397">
                  <c:v>43210</c:v>
                </c:pt>
                <c:pt idx="1398">
                  <c:v>43209</c:v>
                </c:pt>
                <c:pt idx="1399">
                  <c:v>43208</c:v>
                </c:pt>
                <c:pt idx="1400">
                  <c:v>43207</c:v>
                </c:pt>
                <c:pt idx="1401">
                  <c:v>43206</c:v>
                </c:pt>
                <c:pt idx="1402">
                  <c:v>43205</c:v>
                </c:pt>
                <c:pt idx="1403">
                  <c:v>43204</c:v>
                </c:pt>
                <c:pt idx="1404">
                  <c:v>43203</c:v>
                </c:pt>
                <c:pt idx="1405">
                  <c:v>43202</c:v>
                </c:pt>
                <c:pt idx="1406">
                  <c:v>43201</c:v>
                </c:pt>
                <c:pt idx="1407">
                  <c:v>43200</c:v>
                </c:pt>
                <c:pt idx="1408">
                  <c:v>43199</c:v>
                </c:pt>
                <c:pt idx="1409">
                  <c:v>43198</c:v>
                </c:pt>
                <c:pt idx="1410">
                  <c:v>43197</c:v>
                </c:pt>
                <c:pt idx="1411">
                  <c:v>43196</c:v>
                </c:pt>
                <c:pt idx="1412">
                  <c:v>43195</c:v>
                </c:pt>
                <c:pt idx="1413">
                  <c:v>43194</c:v>
                </c:pt>
                <c:pt idx="1414">
                  <c:v>43193</c:v>
                </c:pt>
                <c:pt idx="1415">
                  <c:v>43192</c:v>
                </c:pt>
                <c:pt idx="1416">
                  <c:v>43191</c:v>
                </c:pt>
                <c:pt idx="1417">
                  <c:v>43190</c:v>
                </c:pt>
                <c:pt idx="1418">
                  <c:v>43189</c:v>
                </c:pt>
                <c:pt idx="1419">
                  <c:v>43188</c:v>
                </c:pt>
                <c:pt idx="1420">
                  <c:v>43187</c:v>
                </c:pt>
                <c:pt idx="1421">
                  <c:v>43186</c:v>
                </c:pt>
                <c:pt idx="1422">
                  <c:v>43185</c:v>
                </c:pt>
                <c:pt idx="1423">
                  <c:v>43184</c:v>
                </c:pt>
                <c:pt idx="1424">
                  <c:v>43183</c:v>
                </c:pt>
                <c:pt idx="1425">
                  <c:v>43182</c:v>
                </c:pt>
                <c:pt idx="1426">
                  <c:v>43181</c:v>
                </c:pt>
                <c:pt idx="1427">
                  <c:v>43180</c:v>
                </c:pt>
                <c:pt idx="1428">
                  <c:v>43179</c:v>
                </c:pt>
                <c:pt idx="1429">
                  <c:v>43178</c:v>
                </c:pt>
                <c:pt idx="1430">
                  <c:v>43177</c:v>
                </c:pt>
                <c:pt idx="1431">
                  <c:v>43176</c:v>
                </c:pt>
                <c:pt idx="1432">
                  <c:v>43175</c:v>
                </c:pt>
                <c:pt idx="1433">
                  <c:v>43174</c:v>
                </c:pt>
                <c:pt idx="1434">
                  <c:v>43173</c:v>
                </c:pt>
                <c:pt idx="1435">
                  <c:v>43172</c:v>
                </c:pt>
                <c:pt idx="1436">
                  <c:v>43171</c:v>
                </c:pt>
                <c:pt idx="1437">
                  <c:v>43170</c:v>
                </c:pt>
                <c:pt idx="1438">
                  <c:v>43169</c:v>
                </c:pt>
                <c:pt idx="1439">
                  <c:v>43168</c:v>
                </c:pt>
                <c:pt idx="1440">
                  <c:v>43167</c:v>
                </c:pt>
                <c:pt idx="1441">
                  <c:v>43166</c:v>
                </c:pt>
                <c:pt idx="1442">
                  <c:v>43165</c:v>
                </c:pt>
                <c:pt idx="1443">
                  <c:v>43164</c:v>
                </c:pt>
                <c:pt idx="1444">
                  <c:v>43163</c:v>
                </c:pt>
                <c:pt idx="1445">
                  <c:v>43162</c:v>
                </c:pt>
                <c:pt idx="1446">
                  <c:v>43161</c:v>
                </c:pt>
                <c:pt idx="1447">
                  <c:v>43160</c:v>
                </c:pt>
                <c:pt idx="1448">
                  <c:v>43159</c:v>
                </c:pt>
                <c:pt idx="1449">
                  <c:v>43158</c:v>
                </c:pt>
                <c:pt idx="1450">
                  <c:v>43157</c:v>
                </c:pt>
                <c:pt idx="1451">
                  <c:v>43156</c:v>
                </c:pt>
                <c:pt idx="1452">
                  <c:v>43155</c:v>
                </c:pt>
                <c:pt idx="1453">
                  <c:v>43154</c:v>
                </c:pt>
                <c:pt idx="1454">
                  <c:v>43153</c:v>
                </c:pt>
                <c:pt idx="1455">
                  <c:v>43152</c:v>
                </c:pt>
                <c:pt idx="1456">
                  <c:v>43151</c:v>
                </c:pt>
                <c:pt idx="1457">
                  <c:v>43150</c:v>
                </c:pt>
                <c:pt idx="1458">
                  <c:v>43149</c:v>
                </c:pt>
                <c:pt idx="1459">
                  <c:v>43148</c:v>
                </c:pt>
                <c:pt idx="1460">
                  <c:v>43147</c:v>
                </c:pt>
                <c:pt idx="1461">
                  <c:v>43146</c:v>
                </c:pt>
                <c:pt idx="1462">
                  <c:v>43145</c:v>
                </c:pt>
                <c:pt idx="1463">
                  <c:v>43144</c:v>
                </c:pt>
                <c:pt idx="1464">
                  <c:v>43143</c:v>
                </c:pt>
                <c:pt idx="1465">
                  <c:v>43142</c:v>
                </c:pt>
                <c:pt idx="1466">
                  <c:v>43141</c:v>
                </c:pt>
                <c:pt idx="1467">
                  <c:v>43140</c:v>
                </c:pt>
                <c:pt idx="1468">
                  <c:v>43139</c:v>
                </c:pt>
                <c:pt idx="1469">
                  <c:v>43138</c:v>
                </c:pt>
                <c:pt idx="1470">
                  <c:v>43137</c:v>
                </c:pt>
                <c:pt idx="1471">
                  <c:v>43136</c:v>
                </c:pt>
                <c:pt idx="1472">
                  <c:v>43135</c:v>
                </c:pt>
                <c:pt idx="1473">
                  <c:v>43134</c:v>
                </c:pt>
                <c:pt idx="1474">
                  <c:v>43133</c:v>
                </c:pt>
                <c:pt idx="1475">
                  <c:v>43132</c:v>
                </c:pt>
                <c:pt idx="1476">
                  <c:v>43131</c:v>
                </c:pt>
                <c:pt idx="1477">
                  <c:v>43130</c:v>
                </c:pt>
                <c:pt idx="1478">
                  <c:v>43129</c:v>
                </c:pt>
                <c:pt idx="1479">
                  <c:v>43128</c:v>
                </c:pt>
                <c:pt idx="1480">
                  <c:v>43127</c:v>
                </c:pt>
                <c:pt idx="1481">
                  <c:v>43126</c:v>
                </c:pt>
                <c:pt idx="1482">
                  <c:v>43125</c:v>
                </c:pt>
                <c:pt idx="1483">
                  <c:v>43124</c:v>
                </c:pt>
                <c:pt idx="1484">
                  <c:v>43123</c:v>
                </c:pt>
                <c:pt idx="1485">
                  <c:v>43122</c:v>
                </c:pt>
                <c:pt idx="1486">
                  <c:v>43121</c:v>
                </c:pt>
                <c:pt idx="1487">
                  <c:v>43120</c:v>
                </c:pt>
                <c:pt idx="1488">
                  <c:v>43119</c:v>
                </c:pt>
                <c:pt idx="1489">
                  <c:v>43118</c:v>
                </c:pt>
                <c:pt idx="1490">
                  <c:v>43117</c:v>
                </c:pt>
                <c:pt idx="1491">
                  <c:v>43116</c:v>
                </c:pt>
                <c:pt idx="1492">
                  <c:v>43115</c:v>
                </c:pt>
                <c:pt idx="1493">
                  <c:v>43114</c:v>
                </c:pt>
                <c:pt idx="1494">
                  <c:v>43113</c:v>
                </c:pt>
                <c:pt idx="1495">
                  <c:v>43112</c:v>
                </c:pt>
                <c:pt idx="1496">
                  <c:v>43111</c:v>
                </c:pt>
                <c:pt idx="1497">
                  <c:v>43110</c:v>
                </c:pt>
                <c:pt idx="1498">
                  <c:v>43109</c:v>
                </c:pt>
                <c:pt idx="1499">
                  <c:v>43108</c:v>
                </c:pt>
                <c:pt idx="1500">
                  <c:v>43107</c:v>
                </c:pt>
                <c:pt idx="1501">
                  <c:v>43106</c:v>
                </c:pt>
                <c:pt idx="1502">
                  <c:v>43105</c:v>
                </c:pt>
                <c:pt idx="1503">
                  <c:v>43104</c:v>
                </c:pt>
                <c:pt idx="1504">
                  <c:v>43103</c:v>
                </c:pt>
                <c:pt idx="1505">
                  <c:v>43102</c:v>
                </c:pt>
                <c:pt idx="1506">
                  <c:v>43101</c:v>
                </c:pt>
                <c:pt idx="1507">
                  <c:v>43100</c:v>
                </c:pt>
                <c:pt idx="1508">
                  <c:v>43099</c:v>
                </c:pt>
                <c:pt idx="1509">
                  <c:v>43098</c:v>
                </c:pt>
                <c:pt idx="1510">
                  <c:v>43097</c:v>
                </c:pt>
                <c:pt idx="1511">
                  <c:v>43096</c:v>
                </c:pt>
                <c:pt idx="1512">
                  <c:v>43095</c:v>
                </c:pt>
                <c:pt idx="1513">
                  <c:v>43094</c:v>
                </c:pt>
                <c:pt idx="1514">
                  <c:v>43093</c:v>
                </c:pt>
                <c:pt idx="1515">
                  <c:v>43092</c:v>
                </c:pt>
                <c:pt idx="1516">
                  <c:v>43091</c:v>
                </c:pt>
                <c:pt idx="1517">
                  <c:v>43090</c:v>
                </c:pt>
                <c:pt idx="1518">
                  <c:v>43089</c:v>
                </c:pt>
                <c:pt idx="1519">
                  <c:v>43088</c:v>
                </c:pt>
                <c:pt idx="1520">
                  <c:v>43087</c:v>
                </c:pt>
                <c:pt idx="1521">
                  <c:v>43086</c:v>
                </c:pt>
                <c:pt idx="1522">
                  <c:v>43085</c:v>
                </c:pt>
                <c:pt idx="1523">
                  <c:v>43084</c:v>
                </c:pt>
                <c:pt idx="1524">
                  <c:v>43083</c:v>
                </c:pt>
                <c:pt idx="1525">
                  <c:v>43082</c:v>
                </c:pt>
                <c:pt idx="1526">
                  <c:v>43081</c:v>
                </c:pt>
                <c:pt idx="1527">
                  <c:v>43080</c:v>
                </c:pt>
                <c:pt idx="1528">
                  <c:v>43079</c:v>
                </c:pt>
                <c:pt idx="1529">
                  <c:v>43078</c:v>
                </c:pt>
                <c:pt idx="1530">
                  <c:v>43077</c:v>
                </c:pt>
                <c:pt idx="1531">
                  <c:v>43076</c:v>
                </c:pt>
                <c:pt idx="1532">
                  <c:v>43075</c:v>
                </c:pt>
                <c:pt idx="1533">
                  <c:v>43074</c:v>
                </c:pt>
                <c:pt idx="1534">
                  <c:v>43073</c:v>
                </c:pt>
                <c:pt idx="1535">
                  <c:v>43072</c:v>
                </c:pt>
                <c:pt idx="1536">
                  <c:v>43071</c:v>
                </c:pt>
                <c:pt idx="1537">
                  <c:v>43070</c:v>
                </c:pt>
                <c:pt idx="1538">
                  <c:v>43069</c:v>
                </c:pt>
                <c:pt idx="1539">
                  <c:v>43068</c:v>
                </c:pt>
                <c:pt idx="1540">
                  <c:v>43067</c:v>
                </c:pt>
                <c:pt idx="1541">
                  <c:v>43066</c:v>
                </c:pt>
                <c:pt idx="1542">
                  <c:v>43065</c:v>
                </c:pt>
                <c:pt idx="1543">
                  <c:v>43064</c:v>
                </c:pt>
                <c:pt idx="1544">
                  <c:v>43063</c:v>
                </c:pt>
                <c:pt idx="1545">
                  <c:v>43062</c:v>
                </c:pt>
                <c:pt idx="1546">
                  <c:v>43061</c:v>
                </c:pt>
                <c:pt idx="1547">
                  <c:v>43060</c:v>
                </c:pt>
                <c:pt idx="1548">
                  <c:v>43059</c:v>
                </c:pt>
                <c:pt idx="1549">
                  <c:v>43058</c:v>
                </c:pt>
                <c:pt idx="1550">
                  <c:v>43057</c:v>
                </c:pt>
                <c:pt idx="1551">
                  <c:v>43056</c:v>
                </c:pt>
                <c:pt idx="1552">
                  <c:v>43055</c:v>
                </c:pt>
                <c:pt idx="1553">
                  <c:v>43054</c:v>
                </c:pt>
                <c:pt idx="1554">
                  <c:v>43053</c:v>
                </c:pt>
                <c:pt idx="1555">
                  <c:v>43052</c:v>
                </c:pt>
                <c:pt idx="1556">
                  <c:v>43051</c:v>
                </c:pt>
                <c:pt idx="1557">
                  <c:v>43050</c:v>
                </c:pt>
                <c:pt idx="1558">
                  <c:v>43049</c:v>
                </c:pt>
                <c:pt idx="1559">
                  <c:v>43048</c:v>
                </c:pt>
                <c:pt idx="1560">
                  <c:v>43047</c:v>
                </c:pt>
                <c:pt idx="1561">
                  <c:v>43046</c:v>
                </c:pt>
                <c:pt idx="1562">
                  <c:v>43045</c:v>
                </c:pt>
                <c:pt idx="1563">
                  <c:v>43044</c:v>
                </c:pt>
                <c:pt idx="1564">
                  <c:v>43043</c:v>
                </c:pt>
                <c:pt idx="1565">
                  <c:v>43042</c:v>
                </c:pt>
                <c:pt idx="1566">
                  <c:v>43041</c:v>
                </c:pt>
                <c:pt idx="1567">
                  <c:v>43040</c:v>
                </c:pt>
                <c:pt idx="1568">
                  <c:v>43039</c:v>
                </c:pt>
                <c:pt idx="1569">
                  <c:v>43038</c:v>
                </c:pt>
                <c:pt idx="1570">
                  <c:v>43037</c:v>
                </c:pt>
                <c:pt idx="1571">
                  <c:v>43036</c:v>
                </c:pt>
                <c:pt idx="1572">
                  <c:v>43035</c:v>
                </c:pt>
                <c:pt idx="1573">
                  <c:v>43034</c:v>
                </c:pt>
                <c:pt idx="1574">
                  <c:v>43033</c:v>
                </c:pt>
                <c:pt idx="1575">
                  <c:v>43032</c:v>
                </c:pt>
                <c:pt idx="1576">
                  <c:v>43031</c:v>
                </c:pt>
                <c:pt idx="1577">
                  <c:v>43030</c:v>
                </c:pt>
                <c:pt idx="1578">
                  <c:v>43029</c:v>
                </c:pt>
                <c:pt idx="1579">
                  <c:v>43028</c:v>
                </c:pt>
                <c:pt idx="1580">
                  <c:v>43027</c:v>
                </c:pt>
                <c:pt idx="1581">
                  <c:v>43026</c:v>
                </c:pt>
                <c:pt idx="1582">
                  <c:v>43025</c:v>
                </c:pt>
                <c:pt idx="1583">
                  <c:v>43024</c:v>
                </c:pt>
                <c:pt idx="1584">
                  <c:v>43023</c:v>
                </c:pt>
                <c:pt idx="1585">
                  <c:v>43022</c:v>
                </c:pt>
                <c:pt idx="1586">
                  <c:v>43021</c:v>
                </c:pt>
                <c:pt idx="1587">
                  <c:v>43020</c:v>
                </c:pt>
                <c:pt idx="1588">
                  <c:v>43019</c:v>
                </c:pt>
                <c:pt idx="1589">
                  <c:v>43018</c:v>
                </c:pt>
                <c:pt idx="1590">
                  <c:v>43017</c:v>
                </c:pt>
                <c:pt idx="1591">
                  <c:v>43016</c:v>
                </c:pt>
                <c:pt idx="1592">
                  <c:v>43015</c:v>
                </c:pt>
                <c:pt idx="1593">
                  <c:v>43014</c:v>
                </c:pt>
                <c:pt idx="1594">
                  <c:v>43013</c:v>
                </c:pt>
                <c:pt idx="1595">
                  <c:v>43012</c:v>
                </c:pt>
                <c:pt idx="1596">
                  <c:v>43011</c:v>
                </c:pt>
                <c:pt idx="1597">
                  <c:v>43010</c:v>
                </c:pt>
                <c:pt idx="1598">
                  <c:v>43009</c:v>
                </c:pt>
                <c:pt idx="1599">
                  <c:v>43008</c:v>
                </c:pt>
                <c:pt idx="1600">
                  <c:v>43007</c:v>
                </c:pt>
                <c:pt idx="1601">
                  <c:v>43006</c:v>
                </c:pt>
                <c:pt idx="1602">
                  <c:v>43005</c:v>
                </c:pt>
                <c:pt idx="1603">
                  <c:v>43004</c:v>
                </c:pt>
                <c:pt idx="1604">
                  <c:v>43003</c:v>
                </c:pt>
                <c:pt idx="1605">
                  <c:v>43002</c:v>
                </c:pt>
                <c:pt idx="1606">
                  <c:v>43001</c:v>
                </c:pt>
                <c:pt idx="1607">
                  <c:v>43000</c:v>
                </c:pt>
                <c:pt idx="1608">
                  <c:v>42999</c:v>
                </c:pt>
                <c:pt idx="1609">
                  <c:v>42998</c:v>
                </c:pt>
                <c:pt idx="1610">
                  <c:v>42997</c:v>
                </c:pt>
                <c:pt idx="1611">
                  <c:v>42996</c:v>
                </c:pt>
                <c:pt idx="1612">
                  <c:v>42995</c:v>
                </c:pt>
                <c:pt idx="1613">
                  <c:v>42994</c:v>
                </c:pt>
                <c:pt idx="1614">
                  <c:v>42993</c:v>
                </c:pt>
                <c:pt idx="1615">
                  <c:v>42992</c:v>
                </c:pt>
                <c:pt idx="1616">
                  <c:v>42991</c:v>
                </c:pt>
                <c:pt idx="1617">
                  <c:v>42990</c:v>
                </c:pt>
                <c:pt idx="1618">
                  <c:v>42989</c:v>
                </c:pt>
                <c:pt idx="1619">
                  <c:v>42988</c:v>
                </c:pt>
                <c:pt idx="1620">
                  <c:v>42987</c:v>
                </c:pt>
                <c:pt idx="1621">
                  <c:v>42986</c:v>
                </c:pt>
                <c:pt idx="1622">
                  <c:v>42985</c:v>
                </c:pt>
                <c:pt idx="1623">
                  <c:v>42984</c:v>
                </c:pt>
                <c:pt idx="1624">
                  <c:v>42983</c:v>
                </c:pt>
                <c:pt idx="1625">
                  <c:v>42982</c:v>
                </c:pt>
                <c:pt idx="1626">
                  <c:v>42981</c:v>
                </c:pt>
                <c:pt idx="1627">
                  <c:v>42980</c:v>
                </c:pt>
                <c:pt idx="1628">
                  <c:v>42979</c:v>
                </c:pt>
                <c:pt idx="1629">
                  <c:v>42978</c:v>
                </c:pt>
                <c:pt idx="1630">
                  <c:v>42977</c:v>
                </c:pt>
                <c:pt idx="1631">
                  <c:v>42976</c:v>
                </c:pt>
                <c:pt idx="1632">
                  <c:v>42975</c:v>
                </c:pt>
                <c:pt idx="1633">
                  <c:v>42974</c:v>
                </c:pt>
                <c:pt idx="1634">
                  <c:v>42973</c:v>
                </c:pt>
                <c:pt idx="1635">
                  <c:v>42972</c:v>
                </c:pt>
                <c:pt idx="1636">
                  <c:v>42971</c:v>
                </c:pt>
                <c:pt idx="1637">
                  <c:v>42970</c:v>
                </c:pt>
                <c:pt idx="1638">
                  <c:v>42969</c:v>
                </c:pt>
                <c:pt idx="1639">
                  <c:v>42968</c:v>
                </c:pt>
                <c:pt idx="1640">
                  <c:v>42967</c:v>
                </c:pt>
                <c:pt idx="1641">
                  <c:v>42966</c:v>
                </c:pt>
                <c:pt idx="1642">
                  <c:v>42965</c:v>
                </c:pt>
                <c:pt idx="1643">
                  <c:v>42964</c:v>
                </c:pt>
                <c:pt idx="1644">
                  <c:v>42963</c:v>
                </c:pt>
                <c:pt idx="1645">
                  <c:v>42962</c:v>
                </c:pt>
                <c:pt idx="1646">
                  <c:v>42961</c:v>
                </c:pt>
                <c:pt idx="1647">
                  <c:v>42960</c:v>
                </c:pt>
                <c:pt idx="1648">
                  <c:v>42959</c:v>
                </c:pt>
                <c:pt idx="1649">
                  <c:v>42958</c:v>
                </c:pt>
                <c:pt idx="1650">
                  <c:v>42957</c:v>
                </c:pt>
                <c:pt idx="1651">
                  <c:v>42956</c:v>
                </c:pt>
                <c:pt idx="1652">
                  <c:v>42955</c:v>
                </c:pt>
                <c:pt idx="1653">
                  <c:v>42954</c:v>
                </c:pt>
                <c:pt idx="1654">
                  <c:v>42953</c:v>
                </c:pt>
                <c:pt idx="1655">
                  <c:v>42952</c:v>
                </c:pt>
                <c:pt idx="1656">
                  <c:v>42951</c:v>
                </c:pt>
                <c:pt idx="1657">
                  <c:v>42950</c:v>
                </c:pt>
                <c:pt idx="1658">
                  <c:v>42949</c:v>
                </c:pt>
                <c:pt idx="1659">
                  <c:v>42948</c:v>
                </c:pt>
                <c:pt idx="1660">
                  <c:v>42947</c:v>
                </c:pt>
                <c:pt idx="1661">
                  <c:v>42946</c:v>
                </c:pt>
                <c:pt idx="1662">
                  <c:v>42945</c:v>
                </c:pt>
                <c:pt idx="1663">
                  <c:v>42944</c:v>
                </c:pt>
                <c:pt idx="1664">
                  <c:v>42943</c:v>
                </c:pt>
                <c:pt idx="1665">
                  <c:v>42942</c:v>
                </c:pt>
                <c:pt idx="1666">
                  <c:v>42941</c:v>
                </c:pt>
                <c:pt idx="1667">
                  <c:v>42940</c:v>
                </c:pt>
                <c:pt idx="1668">
                  <c:v>42939</c:v>
                </c:pt>
                <c:pt idx="1669">
                  <c:v>42938</c:v>
                </c:pt>
                <c:pt idx="1670">
                  <c:v>42937</c:v>
                </c:pt>
                <c:pt idx="1671">
                  <c:v>42936</c:v>
                </c:pt>
                <c:pt idx="1672">
                  <c:v>42935</c:v>
                </c:pt>
                <c:pt idx="1673">
                  <c:v>42934</c:v>
                </c:pt>
                <c:pt idx="1674">
                  <c:v>42933</c:v>
                </c:pt>
                <c:pt idx="1675">
                  <c:v>42932</c:v>
                </c:pt>
                <c:pt idx="1676">
                  <c:v>42931</c:v>
                </c:pt>
                <c:pt idx="1677">
                  <c:v>42930</c:v>
                </c:pt>
                <c:pt idx="1678">
                  <c:v>42929</c:v>
                </c:pt>
                <c:pt idx="1679">
                  <c:v>42928</c:v>
                </c:pt>
                <c:pt idx="1680">
                  <c:v>42927</c:v>
                </c:pt>
                <c:pt idx="1681">
                  <c:v>42926</c:v>
                </c:pt>
                <c:pt idx="1682">
                  <c:v>42925</c:v>
                </c:pt>
                <c:pt idx="1683">
                  <c:v>42924</c:v>
                </c:pt>
                <c:pt idx="1684">
                  <c:v>42923</c:v>
                </c:pt>
                <c:pt idx="1685">
                  <c:v>42922</c:v>
                </c:pt>
                <c:pt idx="1686">
                  <c:v>42921</c:v>
                </c:pt>
                <c:pt idx="1687">
                  <c:v>42920</c:v>
                </c:pt>
                <c:pt idx="1688">
                  <c:v>42919</c:v>
                </c:pt>
                <c:pt idx="1689">
                  <c:v>42918</c:v>
                </c:pt>
                <c:pt idx="1690">
                  <c:v>42917</c:v>
                </c:pt>
                <c:pt idx="1691">
                  <c:v>42916</c:v>
                </c:pt>
                <c:pt idx="1692">
                  <c:v>42915</c:v>
                </c:pt>
                <c:pt idx="1693">
                  <c:v>42914</c:v>
                </c:pt>
                <c:pt idx="1694">
                  <c:v>42913</c:v>
                </c:pt>
                <c:pt idx="1695">
                  <c:v>42912</c:v>
                </c:pt>
                <c:pt idx="1696">
                  <c:v>42911</c:v>
                </c:pt>
                <c:pt idx="1697">
                  <c:v>42910</c:v>
                </c:pt>
                <c:pt idx="1698">
                  <c:v>42909</c:v>
                </c:pt>
                <c:pt idx="1699">
                  <c:v>42908</c:v>
                </c:pt>
                <c:pt idx="1700">
                  <c:v>42907</c:v>
                </c:pt>
                <c:pt idx="1701">
                  <c:v>42906</c:v>
                </c:pt>
                <c:pt idx="1702">
                  <c:v>42905</c:v>
                </c:pt>
                <c:pt idx="1703">
                  <c:v>42904</c:v>
                </c:pt>
                <c:pt idx="1704">
                  <c:v>42903</c:v>
                </c:pt>
                <c:pt idx="1705">
                  <c:v>42902</c:v>
                </c:pt>
                <c:pt idx="1706">
                  <c:v>42901</c:v>
                </c:pt>
                <c:pt idx="1707">
                  <c:v>42900</c:v>
                </c:pt>
                <c:pt idx="1708">
                  <c:v>42899</c:v>
                </c:pt>
                <c:pt idx="1709">
                  <c:v>42898</c:v>
                </c:pt>
                <c:pt idx="1710">
                  <c:v>42897</c:v>
                </c:pt>
                <c:pt idx="1711">
                  <c:v>42896</c:v>
                </c:pt>
                <c:pt idx="1712">
                  <c:v>42895</c:v>
                </c:pt>
                <c:pt idx="1713">
                  <c:v>42894</c:v>
                </c:pt>
                <c:pt idx="1714">
                  <c:v>42893</c:v>
                </c:pt>
                <c:pt idx="1715">
                  <c:v>42892</c:v>
                </c:pt>
                <c:pt idx="1716">
                  <c:v>42891</c:v>
                </c:pt>
                <c:pt idx="1717">
                  <c:v>42890</c:v>
                </c:pt>
                <c:pt idx="1718">
                  <c:v>42889</c:v>
                </c:pt>
                <c:pt idx="1719">
                  <c:v>42888</c:v>
                </c:pt>
                <c:pt idx="1720">
                  <c:v>42887</c:v>
                </c:pt>
                <c:pt idx="1721">
                  <c:v>42886</c:v>
                </c:pt>
                <c:pt idx="1722">
                  <c:v>42885</c:v>
                </c:pt>
                <c:pt idx="1723">
                  <c:v>42884</c:v>
                </c:pt>
                <c:pt idx="1724">
                  <c:v>42883</c:v>
                </c:pt>
                <c:pt idx="1725">
                  <c:v>42882</c:v>
                </c:pt>
                <c:pt idx="1726">
                  <c:v>42881</c:v>
                </c:pt>
                <c:pt idx="1727">
                  <c:v>42880</c:v>
                </c:pt>
                <c:pt idx="1728">
                  <c:v>42879</c:v>
                </c:pt>
                <c:pt idx="1729">
                  <c:v>42878</c:v>
                </c:pt>
                <c:pt idx="1730">
                  <c:v>42877</c:v>
                </c:pt>
                <c:pt idx="1731">
                  <c:v>42876</c:v>
                </c:pt>
                <c:pt idx="1732">
                  <c:v>42875</c:v>
                </c:pt>
                <c:pt idx="1733">
                  <c:v>42874</c:v>
                </c:pt>
                <c:pt idx="1734">
                  <c:v>42873</c:v>
                </c:pt>
                <c:pt idx="1735">
                  <c:v>42872</c:v>
                </c:pt>
                <c:pt idx="1736">
                  <c:v>42871</c:v>
                </c:pt>
                <c:pt idx="1737">
                  <c:v>42870</c:v>
                </c:pt>
                <c:pt idx="1738">
                  <c:v>42869</c:v>
                </c:pt>
                <c:pt idx="1739">
                  <c:v>42868</c:v>
                </c:pt>
                <c:pt idx="1740">
                  <c:v>42867</c:v>
                </c:pt>
                <c:pt idx="1741">
                  <c:v>42866</c:v>
                </c:pt>
                <c:pt idx="1742">
                  <c:v>42865</c:v>
                </c:pt>
                <c:pt idx="1743">
                  <c:v>42864</c:v>
                </c:pt>
                <c:pt idx="1744">
                  <c:v>42863</c:v>
                </c:pt>
                <c:pt idx="1745">
                  <c:v>42862</c:v>
                </c:pt>
                <c:pt idx="1746">
                  <c:v>42861</c:v>
                </c:pt>
                <c:pt idx="1747">
                  <c:v>42860</c:v>
                </c:pt>
                <c:pt idx="1748">
                  <c:v>42859</c:v>
                </c:pt>
                <c:pt idx="1749">
                  <c:v>42858</c:v>
                </c:pt>
                <c:pt idx="1750">
                  <c:v>42857</c:v>
                </c:pt>
                <c:pt idx="1751">
                  <c:v>42856</c:v>
                </c:pt>
                <c:pt idx="1752">
                  <c:v>42855</c:v>
                </c:pt>
                <c:pt idx="1753">
                  <c:v>42854</c:v>
                </c:pt>
                <c:pt idx="1754">
                  <c:v>42853</c:v>
                </c:pt>
                <c:pt idx="1755">
                  <c:v>42852</c:v>
                </c:pt>
                <c:pt idx="1756">
                  <c:v>42851</c:v>
                </c:pt>
                <c:pt idx="1757">
                  <c:v>42850</c:v>
                </c:pt>
                <c:pt idx="1758">
                  <c:v>42849</c:v>
                </c:pt>
                <c:pt idx="1759">
                  <c:v>42848</c:v>
                </c:pt>
                <c:pt idx="1760">
                  <c:v>42847</c:v>
                </c:pt>
                <c:pt idx="1761">
                  <c:v>42846</c:v>
                </c:pt>
                <c:pt idx="1762">
                  <c:v>42845</c:v>
                </c:pt>
                <c:pt idx="1763">
                  <c:v>42844</c:v>
                </c:pt>
                <c:pt idx="1764">
                  <c:v>42843</c:v>
                </c:pt>
                <c:pt idx="1765">
                  <c:v>42842</c:v>
                </c:pt>
                <c:pt idx="1766">
                  <c:v>42841</c:v>
                </c:pt>
                <c:pt idx="1767">
                  <c:v>42840</c:v>
                </c:pt>
                <c:pt idx="1768">
                  <c:v>42839</c:v>
                </c:pt>
                <c:pt idx="1769">
                  <c:v>42838</c:v>
                </c:pt>
                <c:pt idx="1770">
                  <c:v>42837</c:v>
                </c:pt>
                <c:pt idx="1771">
                  <c:v>42836</c:v>
                </c:pt>
                <c:pt idx="1772">
                  <c:v>42835</c:v>
                </c:pt>
                <c:pt idx="1773">
                  <c:v>42834</c:v>
                </c:pt>
                <c:pt idx="1774">
                  <c:v>42833</c:v>
                </c:pt>
                <c:pt idx="1775">
                  <c:v>42832</c:v>
                </c:pt>
                <c:pt idx="1776">
                  <c:v>42831</c:v>
                </c:pt>
                <c:pt idx="1777">
                  <c:v>42830</c:v>
                </c:pt>
                <c:pt idx="1778">
                  <c:v>42829</c:v>
                </c:pt>
                <c:pt idx="1779">
                  <c:v>42828</c:v>
                </c:pt>
                <c:pt idx="1780">
                  <c:v>42827</c:v>
                </c:pt>
                <c:pt idx="1781">
                  <c:v>42826</c:v>
                </c:pt>
                <c:pt idx="1782">
                  <c:v>42825</c:v>
                </c:pt>
                <c:pt idx="1783">
                  <c:v>42824</c:v>
                </c:pt>
                <c:pt idx="1784">
                  <c:v>42823</c:v>
                </c:pt>
                <c:pt idx="1785">
                  <c:v>42822</c:v>
                </c:pt>
                <c:pt idx="1786">
                  <c:v>42821</c:v>
                </c:pt>
                <c:pt idx="1787">
                  <c:v>42820</c:v>
                </c:pt>
                <c:pt idx="1788">
                  <c:v>42819</c:v>
                </c:pt>
                <c:pt idx="1789">
                  <c:v>42818</c:v>
                </c:pt>
                <c:pt idx="1790">
                  <c:v>42817</c:v>
                </c:pt>
                <c:pt idx="1791">
                  <c:v>42816</c:v>
                </c:pt>
                <c:pt idx="1792">
                  <c:v>42815</c:v>
                </c:pt>
                <c:pt idx="1793">
                  <c:v>42814</c:v>
                </c:pt>
                <c:pt idx="1794">
                  <c:v>42813</c:v>
                </c:pt>
                <c:pt idx="1795">
                  <c:v>42812</c:v>
                </c:pt>
                <c:pt idx="1796">
                  <c:v>42811</c:v>
                </c:pt>
                <c:pt idx="1797">
                  <c:v>42810</c:v>
                </c:pt>
                <c:pt idx="1798">
                  <c:v>42809</c:v>
                </c:pt>
                <c:pt idx="1799">
                  <c:v>42808</c:v>
                </c:pt>
                <c:pt idx="1800">
                  <c:v>42807</c:v>
                </c:pt>
                <c:pt idx="1801">
                  <c:v>42806</c:v>
                </c:pt>
                <c:pt idx="1802">
                  <c:v>42805</c:v>
                </c:pt>
                <c:pt idx="1803">
                  <c:v>42804</c:v>
                </c:pt>
                <c:pt idx="1804">
                  <c:v>42803</c:v>
                </c:pt>
                <c:pt idx="1805">
                  <c:v>42802</c:v>
                </c:pt>
                <c:pt idx="1806">
                  <c:v>42801</c:v>
                </c:pt>
                <c:pt idx="1807">
                  <c:v>42800</c:v>
                </c:pt>
                <c:pt idx="1808">
                  <c:v>42799</c:v>
                </c:pt>
                <c:pt idx="1809">
                  <c:v>42798</c:v>
                </c:pt>
                <c:pt idx="1810">
                  <c:v>42797</c:v>
                </c:pt>
                <c:pt idx="1811">
                  <c:v>42796</c:v>
                </c:pt>
                <c:pt idx="1812">
                  <c:v>42795</c:v>
                </c:pt>
                <c:pt idx="1813">
                  <c:v>42794</c:v>
                </c:pt>
                <c:pt idx="1814">
                  <c:v>42793</c:v>
                </c:pt>
                <c:pt idx="1815">
                  <c:v>42792</c:v>
                </c:pt>
                <c:pt idx="1816">
                  <c:v>42791</c:v>
                </c:pt>
                <c:pt idx="1817">
                  <c:v>42790</c:v>
                </c:pt>
                <c:pt idx="1818">
                  <c:v>42789</c:v>
                </c:pt>
                <c:pt idx="1819">
                  <c:v>42788</c:v>
                </c:pt>
                <c:pt idx="1820">
                  <c:v>42787</c:v>
                </c:pt>
                <c:pt idx="1821">
                  <c:v>42786</c:v>
                </c:pt>
                <c:pt idx="1822">
                  <c:v>42785</c:v>
                </c:pt>
                <c:pt idx="1823">
                  <c:v>42784</c:v>
                </c:pt>
                <c:pt idx="1824">
                  <c:v>42783</c:v>
                </c:pt>
                <c:pt idx="1825">
                  <c:v>42782</c:v>
                </c:pt>
                <c:pt idx="1826">
                  <c:v>42781</c:v>
                </c:pt>
              </c:numCache>
            </c:numRef>
          </c:cat>
          <c:val>
            <c:numRef>
              <c:f>[32]Indexed!$G$4:$G$3657</c:f>
              <c:numCache>
                <c:formatCode>General</c:formatCode>
                <c:ptCount val="3654"/>
                <c:pt idx="0">
                  <c:v>292.62100101946692</c:v>
                </c:pt>
                <c:pt idx="1">
                  <c:v>280.87771251031603</c:v>
                </c:pt>
                <c:pt idx="2">
                  <c:v>278.37273654060874</c:v>
                </c:pt>
                <c:pt idx="3">
                  <c:v>278.37273654060874</c:v>
                </c:pt>
                <c:pt idx="4">
                  <c:v>278.37273654060874</c:v>
                </c:pt>
                <c:pt idx="5">
                  <c:v>287.08189717947471</c:v>
                </c:pt>
                <c:pt idx="6">
                  <c:v>296.78139715520172</c:v>
                </c:pt>
                <c:pt idx="7">
                  <c:v>291.38307684839071</c:v>
                </c:pt>
                <c:pt idx="8">
                  <c:v>285.27112966648866</c:v>
                </c:pt>
                <c:pt idx="9">
                  <c:v>286.49934462837996</c:v>
                </c:pt>
                <c:pt idx="10">
                  <c:v>286.49934462837996</c:v>
                </c:pt>
                <c:pt idx="11">
                  <c:v>286.49934462837996</c:v>
                </c:pt>
                <c:pt idx="12">
                  <c:v>281.97970775280356</c:v>
                </c:pt>
                <c:pt idx="13">
                  <c:v>292.94140492256901</c:v>
                </c:pt>
                <c:pt idx="14">
                  <c:v>287.74212340404875</c:v>
                </c:pt>
                <c:pt idx="15">
                  <c:v>284.42157386280888</c:v>
                </c:pt>
                <c:pt idx="16">
                  <c:v>271.90640322345746</c:v>
                </c:pt>
                <c:pt idx="17">
                  <c:v>271.90640322345746</c:v>
                </c:pt>
                <c:pt idx="18">
                  <c:v>271.90640322345746</c:v>
                </c:pt>
                <c:pt idx="19">
                  <c:v>263.27006165347831</c:v>
                </c:pt>
                <c:pt idx="20">
                  <c:v>270.45973105490555</c:v>
                </c:pt>
                <c:pt idx="21">
                  <c:v>259.30384970144178</c:v>
                </c:pt>
                <c:pt idx="22">
                  <c:v>262.91567551822908</c:v>
                </c:pt>
                <c:pt idx="23">
                  <c:v>258.86208068352829</c:v>
                </c:pt>
                <c:pt idx="24">
                  <c:v>258.86208068352829</c:v>
                </c:pt>
                <c:pt idx="25">
                  <c:v>258.86208068352829</c:v>
                </c:pt>
                <c:pt idx="26">
                  <c:v>265.89640273799699</c:v>
                </c:pt>
                <c:pt idx="27">
                  <c:v>273.7851352007379</c:v>
                </c:pt>
                <c:pt idx="28">
                  <c:v>280.49419874751197</c:v>
                </c:pt>
                <c:pt idx="29">
                  <c:v>289.51405408029513</c:v>
                </c:pt>
                <c:pt idx="30">
                  <c:v>289.51405408029513</c:v>
                </c:pt>
                <c:pt idx="31">
                  <c:v>289.51405408029513</c:v>
                </c:pt>
                <c:pt idx="32">
                  <c:v>289.51405408029513</c:v>
                </c:pt>
                <c:pt idx="33">
                  <c:v>289.91213165687657</c:v>
                </c:pt>
                <c:pt idx="34">
                  <c:v>301.95640565075973</c:v>
                </c:pt>
                <c:pt idx="35">
                  <c:v>301.98067867372197</c:v>
                </c:pt>
                <c:pt idx="36">
                  <c:v>301.54861886499339</c:v>
                </c:pt>
                <c:pt idx="37">
                  <c:v>300.57284334190979</c:v>
                </c:pt>
                <c:pt idx="38">
                  <c:v>300.57284334190979</c:v>
                </c:pt>
                <c:pt idx="39">
                  <c:v>300.57284334190979</c:v>
                </c:pt>
                <c:pt idx="40">
                  <c:v>309.25287635322098</c:v>
                </c:pt>
                <c:pt idx="41">
                  <c:v>312.15107529491723</c:v>
                </c:pt>
                <c:pt idx="42">
                  <c:v>325.70513131705422</c:v>
                </c:pt>
                <c:pt idx="43">
                  <c:v>322.01563182678774</c:v>
                </c:pt>
                <c:pt idx="44">
                  <c:v>323.03024418661096</c:v>
                </c:pt>
                <c:pt idx="45">
                  <c:v>323.03024418661096</c:v>
                </c:pt>
                <c:pt idx="46">
                  <c:v>323.03024418661096</c:v>
                </c:pt>
                <c:pt idx="47">
                  <c:v>322.87004223506</c:v>
                </c:pt>
                <c:pt idx="48">
                  <c:v>326.52555949317923</c:v>
                </c:pt>
                <c:pt idx="49">
                  <c:v>324.77304723530267</c:v>
                </c:pt>
                <c:pt idx="50">
                  <c:v>327.33627846011939</c:v>
                </c:pt>
                <c:pt idx="51">
                  <c:v>322.73411330647116</c:v>
                </c:pt>
                <c:pt idx="52">
                  <c:v>322.73411330647116</c:v>
                </c:pt>
                <c:pt idx="53">
                  <c:v>322.73411330647116</c:v>
                </c:pt>
                <c:pt idx="54">
                  <c:v>322.73411330647116</c:v>
                </c:pt>
                <c:pt idx="55">
                  <c:v>318.0736928977135</c:v>
                </c:pt>
                <c:pt idx="56">
                  <c:v>313.72396718287297</c:v>
                </c:pt>
                <c:pt idx="57">
                  <c:v>313.13656002718579</c:v>
                </c:pt>
                <c:pt idx="58">
                  <c:v>308.24797320258261</c:v>
                </c:pt>
                <c:pt idx="59">
                  <c:v>308.24797320258261</c:v>
                </c:pt>
                <c:pt idx="60">
                  <c:v>308.24797320258261</c:v>
                </c:pt>
                <c:pt idx="61">
                  <c:v>301.3155978445555</c:v>
                </c:pt>
                <c:pt idx="62">
                  <c:v>310.62672945288608</c:v>
                </c:pt>
                <c:pt idx="63">
                  <c:v>298.51449099470841</c:v>
                </c:pt>
                <c:pt idx="64">
                  <c:v>301.79134909461618</c:v>
                </c:pt>
                <c:pt idx="65">
                  <c:v>306.65566289625707</c:v>
                </c:pt>
                <c:pt idx="66">
                  <c:v>306.65566289625707</c:v>
                </c:pt>
                <c:pt idx="67">
                  <c:v>306.65566289625707</c:v>
                </c:pt>
                <c:pt idx="68">
                  <c:v>283.22734113306467</c:v>
                </c:pt>
                <c:pt idx="69">
                  <c:v>285.722607893587</c:v>
                </c:pt>
                <c:pt idx="70">
                  <c:v>286.61585513859893</c:v>
                </c:pt>
                <c:pt idx="71">
                  <c:v>274.27545026457597</c:v>
                </c:pt>
                <c:pt idx="72">
                  <c:v>270.94519151415113</c:v>
                </c:pt>
                <c:pt idx="73">
                  <c:v>270.94519151415113</c:v>
                </c:pt>
                <c:pt idx="74">
                  <c:v>270.94519151415113</c:v>
                </c:pt>
                <c:pt idx="75">
                  <c:v>268.19263071022863</c:v>
                </c:pt>
                <c:pt idx="76">
                  <c:v>269.31404437108597</c:v>
                </c:pt>
                <c:pt idx="77">
                  <c:v>268.78974707510071</c:v>
                </c:pt>
                <c:pt idx="78">
                  <c:v>273.96475557065878</c:v>
                </c:pt>
                <c:pt idx="79">
                  <c:v>265.3478324190495</c:v>
                </c:pt>
                <c:pt idx="80">
                  <c:v>265.3478324190495</c:v>
                </c:pt>
                <c:pt idx="81">
                  <c:v>265.3478324190495</c:v>
                </c:pt>
                <c:pt idx="82">
                  <c:v>271.24132239429099</c:v>
                </c:pt>
                <c:pt idx="83">
                  <c:v>271.24132239429099</c:v>
                </c:pt>
                <c:pt idx="84">
                  <c:v>269.48881013641437</c:v>
                </c:pt>
                <c:pt idx="85">
                  <c:v>268.59556289140249</c:v>
                </c:pt>
                <c:pt idx="86">
                  <c:v>276.09107238215449</c:v>
                </c:pt>
                <c:pt idx="87">
                  <c:v>276.09107238215449</c:v>
                </c:pt>
                <c:pt idx="88">
                  <c:v>276.09107238215449</c:v>
                </c:pt>
                <c:pt idx="89">
                  <c:v>279.04752657896012</c:v>
                </c:pt>
                <c:pt idx="90">
                  <c:v>276.5376960046604</c:v>
                </c:pt>
                <c:pt idx="91">
                  <c:v>276.11534540511673</c:v>
                </c:pt>
                <c:pt idx="92">
                  <c:v>274.65896402737997</c:v>
                </c:pt>
                <c:pt idx="93">
                  <c:v>273.42103985630371</c:v>
                </c:pt>
                <c:pt idx="94">
                  <c:v>273.42103985630371</c:v>
                </c:pt>
                <c:pt idx="95">
                  <c:v>273.42103985630371</c:v>
                </c:pt>
                <c:pt idx="96">
                  <c:v>269.62473906500315</c:v>
                </c:pt>
                <c:pt idx="97">
                  <c:v>266.40613622020487</c:v>
                </c:pt>
                <c:pt idx="98">
                  <c:v>270.78984416719254</c:v>
                </c:pt>
                <c:pt idx="99">
                  <c:v>271.348123695325</c:v>
                </c:pt>
                <c:pt idx="100">
                  <c:v>271.33355988154761</c:v>
                </c:pt>
                <c:pt idx="101">
                  <c:v>271.33355988154761</c:v>
                </c:pt>
                <c:pt idx="102">
                  <c:v>271.33355988154761</c:v>
                </c:pt>
                <c:pt idx="103">
                  <c:v>266.33331715131806</c:v>
                </c:pt>
                <c:pt idx="104">
                  <c:v>263.29918928103308</c:v>
                </c:pt>
                <c:pt idx="105">
                  <c:v>260.72624884703146</c:v>
                </c:pt>
                <c:pt idx="106">
                  <c:v>256.3473955046361</c:v>
                </c:pt>
                <c:pt idx="107">
                  <c:v>258.10476236710514</c:v>
                </c:pt>
                <c:pt idx="108">
                  <c:v>258.10476236710514</c:v>
                </c:pt>
                <c:pt idx="109">
                  <c:v>258.10476236710514</c:v>
                </c:pt>
                <c:pt idx="110">
                  <c:v>257.0852954026895</c:v>
                </c:pt>
                <c:pt idx="111">
                  <c:v>253.94922083596293</c:v>
                </c:pt>
                <c:pt idx="112">
                  <c:v>259.17277537744548</c:v>
                </c:pt>
                <c:pt idx="113">
                  <c:v>253.44434195834751</c:v>
                </c:pt>
                <c:pt idx="114">
                  <c:v>250.21117529977181</c:v>
                </c:pt>
                <c:pt idx="115">
                  <c:v>250.21117529977181</c:v>
                </c:pt>
                <c:pt idx="116">
                  <c:v>250.21117529977181</c:v>
                </c:pt>
                <c:pt idx="117">
                  <c:v>249.59949512112237</c:v>
                </c:pt>
                <c:pt idx="118">
                  <c:v>247.28870333511335</c:v>
                </c:pt>
                <c:pt idx="119">
                  <c:v>247.77416379435894</c:v>
                </c:pt>
                <c:pt idx="120">
                  <c:v>244.36137676586242</c:v>
                </c:pt>
                <c:pt idx="121">
                  <c:v>244.30797611534541</c:v>
                </c:pt>
                <c:pt idx="122">
                  <c:v>244.30797611534541</c:v>
                </c:pt>
                <c:pt idx="123">
                  <c:v>244.30797611534541</c:v>
                </c:pt>
                <c:pt idx="124">
                  <c:v>241.56512452060781</c:v>
                </c:pt>
                <c:pt idx="125">
                  <c:v>235.45317733870576</c:v>
                </c:pt>
                <c:pt idx="126">
                  <c:v>235.58425166270206</c:v>
                </c:pt>
                <c:pt idx="127">
                  <c:v>239.01160250497594</c:v>
                </c:pt>
                <c:pt idx="128">
                  <c:v>239.25918733919121</c:v>
                </c:pt>
                <c:pt idx="129">
                  <c:v>239.25918733919121</c:v>
                </c:pt>
                <c:pt idx="130">
                  <c:v>239.25918733919121</c:v>
                </c:pt>
                <c:pt idx="131">
                  <c:v>239.77863003058403</c:v>
                </c:pt>
                <c:pt idx="132">
                  <c:v>237.28336327006164</c:v>
                </c:pt>
                <c:pt idx="133">
                  <c:v>235.65221612699645</c:v>
                </c:pt>
                <c:pt idx="134">
                  <c:v>231.05490557794064</c:v>
                </c:pt>
                <c:pt idx="135">
                  <c:v>236.58915481334043</c:v>
                </c:pt>
                <c:pt idx="136">
                  <c:v>236.58915481334043</c:v>
                </c:pt>
                <c:pt idx="137">
                  <c:v>236.58915481334043</c:v>
                </c:pt>
                <c:pt idx="138">
                  <c:v>235.41434050196611</c:v>
                </c:pt>
                <c:pt idx="139">
                  <c:v>237.62318559153357</c:v>
                </c:pt>
                <c:pt idx="140">
                  <c:v>238.37079469877179</c:v>
                </c:pt>
                <c:pt idx="141">
                  <c:v>245.08471285013837</c:v>
                </c:pt>
                <c:pt idx="142">
                  <c:v>245.11869508228554</c:v>
                </c:pt>
                <c:pt idx="143">
                  <c:v>245.11869508228554</c:v>
                </c:pt>
                <c:pt idx="144">
                  <c:v>245.11869508228554</c:v>
                </c:pt>
                <c:pt idx="145">
                  <c:v>244.81770959755326</c:v>
                </c:pt>
                <c:pt idx="146">
                  <c:v>243.01665129375212</c:v>
                </c:pt>
                <c:pt idx="147">
                  <c:v>238.35623088499443</c:v>
                </c:pt>
                <c:pt idx="148">
                  <c:v>240.21554444390506</c:v>
                </c:pt>
                <c:pt idx="149">
                  <c:v>245.64299237827078</c:v>
                </c:pt>
                <c:pt idx="150">
                  <c:v>245.64299237827078</c:v>
                </c:pt>
                <c:pt idx="151">
                  <c:v>245.64299237827078</c:v>
                </c:pt>
                <c:pt idx="152">
                  <c:v>246.29836399825234</c:v>
                </c:pt>
                <c:pt idx="153">
                  <c:v>247.4586144958493</c:v>
                </c:pt>
                <c:pt idx="154">
                  <c:v>243.63804068158649</c:v>
                </c:pt>
                <c:pt idx="155">
                  <c:v>242.2253507451818</c:v>
                </c:pt>
                <c:pt idx="156">
                  <c:v>241.83212777319287</c:v>
                </c:pt>
                <c:pt idx="157">
                  <c:v>241.83212777319287</c:v>
                </c:pt>
                <c:pt idx="158">
                  <c:v>241.83212777319287</c:v>
                </c:pt>
                <c:pt idx="159">
                  <c:v>239.56988203310837</c:v>
                </c:pt>
                <c:pt idx="160">
                  <c:v>240.00194184183695</c:v>
                </c:pt>
                <c:pt idx="161">
                  <c:v>241.07480945676971</c:v>
                </c:pt>
                <c:pt idx="162">
                  <c:v>241.60396135734743</c:v>
                </c:pt>
                <c:pt idx="163">
                  <c:v>241.60396135734743</c:v>
                </c:pt>
                <c:pt idx="164">
                  <c:v>241.60396135734743</c:v>
                </c:pt>
                <c:pt idx="165">
                  <c:v>241.60396135734743</c:v>
                </c:pt>
                <c:pt idx="166">
                  <c:v>238.79799990290786</c:v>
                </c:pt>
                <c:pt idx="167">
                  <c:v>239.40968008155735</c:v>
                </c:pt>
                <c:pt idx="168">
                  <c:v>241.37579494150199</c:v>
                </c:pt>
                <c:pt idx="169">
                  <c:v>242.19136851303458</c:v>
                </c:pt>
                <c:pt idx="170">
                  <c:v>240.75926015826008</c:v>
                </c:pt>
                <c:pt idx="171">
                  <c:v>240.75926015826008</c:v>
                </c:pt>
                <c:pt idx="172">
                  <c:v>240.75926015826008</c:v>
                </c:pt>
                <c:pt idx="173">
                  <c:v>235.80756347395507</c:v>
                </c:pt>
                <c:pt idx="174">
                  <c:v>234.67644060391279</c:v>
                </c:pt>
                <c:pt idx="175">
                  <c:v>233.71522889460655</c:v>
                </c:pt>
                <c:pt idx="176">
                  <c:v>234.21039856303702</c:v>
                </c:pt>
                <c:pt idx="177">
                  <c:v>230.67624641972913</c:v>
                </c:pt>
                <c:pt idx="178">
                  <c:v>230.67624641972913</c:v>
                </c:pt>
                <c:pt idx="179">
                  <c:v>230.67624641972913</c:v>
                </c:pt>
                <c:pt idx="180">
                  <c:v>229.8800912665663</c:v>
                </c:pt>
                <c:pt idx="181">
                  <c:v>227.66639157240641</c:v>
                </c:pt>
                <c:pt idx="182">
                  <c:v>232.38506723627358</c:v>
                </c:pt>
                <c:pt idx="183">
                  <c:v>236.97266857614446</c:v>
                </c:pt>
                <c:pt idx="184">
                  <c:v>236.01145686683819</c:v>
                </c:pt>
                <c:pt idx="185">
                  <c:v>236.01145686683819</c:v>
                </c:pt>
                <c:pt idx="186">
                  <c:v>236.01145686683819</c:v>
                </c:pt>
                <c:pt idx="187">
                  <c:v>235.08908199427157</c:v>
                </c:pt>
                <c:pt idx="188">
                  <c:v>234.74440506820719</c:v>
                </c:pt>
                <c:pt idx="189">
                  <c:v>234.11816107578036</c:v>
                </c:pt>
                <c:pt idx="190">
                  <c:v>235.29297538715471</c:v>
                </c:pt>
                <c:pt idx="191">
                  <c:v>235.6570707315889</c:v>
                </c:pt>
                <c:pt idx="192">
                  <c:v>235.6570707315889</c:v>
                </c:pt>
                <c:pt idx="193">
                  <c:v>235.6570707315889</c:v>
                </c:pt>
                <c:pt idx="194">
                  <c:v>236.74450216029905</c:v>
                </c:pt>
                <c:pt idx="195">
                  <c:v>236.80761202000099</c:v>
                </c:pt>
                <c:pt idx="196">
                  <c:v>236.31729695616292</c:v>
                </c:pt>
                <c:pt idx="197">
                  <c:v>235.29297538715471</c:v>
                </c:pt>
                <c:pt idx="198">
                  <c:v>235.64250691781155</c:v>
                </c:pt>
                <c:pt idx="199">
                  <c:v>235.64250691781155</c:v>
                </c:pt>
                <c:pt idx="200">
                  <c:v>235.64250691781155</c:v>
                </c:pt>
                <c:pt idx="201">
                  <c:v>235.01626292538472</c:v>
                </c:pt>
                <c:pt idx="202">
                  <c:v>231.88018835865819</c:v>
                </c:pt>
                <c:pt idx="203">
                  <c:v>230.76848390698578</c:v>
                </c:pt>
                <c:pt idx="204">
                  <c:v>234.10845186659546</c:v>
                </c:pt>
                <c:pt idx="205">
                  <c:v>234.55022088450895</c:v>
                </c:pt>
                <c:pt idx="206">
                  <c:v>234.55022088450895</c:v>
                </c:pt>
                <c:pt idx="207">
                  <c:v>234.55022088450895</c:v>
                </c:pt>
                <c:pt idx="208">
                  <c:v>231.23938055245395</c:v>
                </c:pt>
                <c:pt idx="209">
                  <c:v>232.54526918782466</c:v>
                </c:pt>
                <c:pt idx="210">
                  <c:v>227.4819165978931</c:v>
                </c:pt>
                <c:pt idx="211">
                  <c:v>226.06437205689596</c:v>
                </c:pt>
                <c:pt idx="212">
                  <c:v>227.22947715908538</c:v>
                </c:pt>
                <c:pt idx="213">
                  <c:v>227.22947715908538</c:v>
                </c:pt>
                <c:pt idx="214">
                  <c:v>227.22947715908538</c:v>
                </c:pt>
                <c:pt idx="215">
                  <c:v>231.72969561629202</c:v>
                </c:pt>
                <c:pt idx="216">
                  <c:v>233.79290256808582</c:v>
                </c:pt>
                <c:pt idx="217">
                  <c:v>234.96771687946017</c:v>
                </c:pt>
                <c:pt idx="218">
                  <c:v>235.81241807854747</c:v>
                </c:pt>
                <c:pt idx="219">
                  <c:v>233.10840332054954</c:v>
                </c:pt>
                <c:pt idx="220">
                  <c:v>233.10840332054954</c:v>
                </c:pt>
                <c:pt idx="221">
                  <c:v>233.10840332054954</c:v>
                </c:pt>
                <c:pt idx="222">
                  <c:v>228.40914607505218</c:v>
                </c:pt>
                <c:pt idx="223">
                  <c:v>227.94310403417643</c:v>
                </c:pt>
                <c:pt idx="224">
                  <c:v>229.7587261517549</c:v>
                </c:pt>
                <c:pt idx="225">
                  <c:v>227.27802320500996</c:v>
                </c:pt>
                <c:pt idx="226">
                  <c:v>227.27802320500996</c:v>
                </c:pt>
                <c:pt idx="227">
                  <c:v>227.27802320500996</c:v>
                </c:pt>
                <c:pt idx="228">
                  <c:v>227.27802320500996</c:v>
                </c:pt>
                <c:pt idx="229">
                  <c:v>227.99165008010095</c:v>
                </c:pt>
                <c:pt idx="230">
                  <c:v>231.48696538666923</c:v>
                </c:pt>
                <c:pt idx="231">
                  <c:v>231.63745812903537</c:v>
                </c:pt>
                <c:pt idx="232">
                  <c:v>229.52570513131704</c:v>
                </c:pt>
                <c:pt idx="233">
                  <c:v>224.37982426331376</c:v>
                </c:pt>
                <c:pt idx="234">
                  <c:v>224.37982426331376</c:v>
                </c:pt>
                <c:pt idx="235">
                  <c:v>224.37982426331376</c:v>
                </c:pt>
                <c:pt idx="236">
                  <c:v>228.1955434729841</c:v>
                </c:pt>
                <c:pt idx="237">
                  <c:v>226.5449779115491</c:v>
                </c:pt>
                <c:pt idx="238">
                  <c:v>225.47211029661631</c:v>
                </c:pt>
                <c:pt idx="239">
                  <c:v>225.54978397009563</c:v>
                </c:pt>
                <c:pt idx="240">
                  <c:v>225.01092286033301</c:v>
                </c:pt>
                <c:pt idx="241">
                  <c:v>225.01092286033301</c:v>
                </c:pt>
                <c:pt idx="242">
                  <c:v>225.01092286033301</c:v>
                </c:pt>
                <c:pt idx="243">
                  <c:v>228.73440458274672</c:v>
                </c:pt>
                <c:pt idx="244">
                  <c:v>226.10320889363561</c:v>
                </c:pt>
                <c:pt idx="245">
                  <c:v>228.52565658527112</c:v>
                </c:pt>
                <c:pt idx="246">
                  <c:v>230.99665032283121</c:v>
                </c:pt>
                <c:pt idx="247">
                  <c:v>228.50623816690128</c:v>
                </c:pt>
                <c:pt idx="248">
                  <c:v>228.50623816690128</c:v>
                </c:pt>
                <c:pt idx="249">
                  <c:v>228.50623816690128</c:v>
                </c:pt>
                <c:pt idx="250">
                  <c:v>227.52075343463275</c:v>
                </c:pt>
                <c:pt idx="251">
                  <c:v>225.21967085780861</c:v>
                </c:pt>
                <c:pt idx="252">
                  <c:v>225.02548667411037</c:v>
                </c:pt>
                <c:pt idx="253">
                  <c:v>225.14685178892177</c:v>
                </c:pt>
                <c:pt idx="254">
                  <c:v>230.59371814165735</c:v>
                </c:pt>
                <c:pt idx="255">
                  <c:v>230.59371814165735</c:v>
                </c:pt>
                <c:pt idx="256">
                  <c:v>230.59371814165735</c:v>
                </c:pt>
                <c:pt idx="257">
                  <c:v>225.64202145735229</c:v>
                </c:pt>
                <c:pt idx="258">
                  <c:v>229.97718335841543</c:v>
                </c:pt>
                <c:pt idx="259">
                  <c:v>227.34598766930435</c:v>
                </c:pt>
                <c:pt idx="260">
                  <c:v>229.2975387154716</c:v>
                </c:pt>
                <c:pt idx="261">
                  <c:v>229.2975387154716</c:v>
                </c:pt>
                <c:pt idx="262">
                  <c:v>229.2975387154716</c:v>
                </c:pt>
                <c:pt idx="263">
                  <c:v>229.2975387154716</c:v>
                </c:pt>
                <c:pt idx="264">
                  <c:v>227.04014757997962</c:v>
                </c:pt>
                <c:pt idx="265">
                  <c:v>223.54968687800377</c:v>
                </c:pt>
                <c:pt idx="266">
                  <c:v>223.08849944172047</c:v>
                </c:pt>
                <c:pt idx="267">
                  <c:v>222.91858828098449</c:v>
                </c:pt>
                <c:pt idx="268">
                  <c:v>219.05917762998203</c:v>
                </c:pt>
                <c:pt idx="269">
                  <c:v>219.05917762998203</c:v>
                </c:pt>
                <c:pt idx="270">
                  <c:v>219.05917762998203</c:v>
                </c:pt>
                <c:pt idx="271">
                  <c:v>220.88450895674546</c:v>
                </c:pt>
                <c:pt idx="272">
                  <c:v>214.43759405796396</c:v>
                </c:pt>
                <c:pt idx="273">
                  <c:v>210.56361959318414</c:v>
                </c:pt>
                <c:pt idx="274">
                  <c:v>213.5734744405068</c:v>
                </c:pt>
                <c:pt idx="275">
                  <c:v>214.38904801203938</c:v>
                </c:pt>
                <c:pt idx="276">
                  <c:v>214.38904801203938</c:v>
                </c:pt>
                <c:pt idx="277">
                  <c:v>214.38904801203938</c:v>
                </c:pt>
                <c:pt idx="278">
                  <c:v>209.03927375115296</c:v>
                </c:pt>
                <c:pt idx="279">
                  <c:v>205.04878877615417</c:v>
                </c:pt>
                <c:pt idx="280">
                  <c:v>213.63658430020874</c:v>
                </c:pt>
                <c:pt idx="281">
                  <c:v>211.70930627700372</c:v>
                </c:pt>
                <c:pt idx="282">
                  <c:v>219.70969464537112</c:v>
                </c:pt>
                <c:pt idx="283">
                  <c:v>219.70969464537112</c:v>
                </c:pt>
                <c:pt idx="284">
                  <c:v>219.70969464537112</c:v>
                </c:pt>
                <c:pt idx="285">
                  <c:v>217.76785280838874</c:v>
                </c:pt>
                <c:pt idx="286">
                  <c:v>215.46191562697214</c:v>
                </c:pt>
                <c:pt idx="287">
                  <c:v>215.80659255303652</c:v>
                </c:pt>
                <c:pt idx="288">
                  <c:v>218.52517112481186</c:v>
                </c:pt>
                <c:pt idx="289">
                  <c:v>221.46706150784019</c:v>
                </c:pt>
                <c:pt idx="290">
                  <c:v>221.46706150784019</c:v>
                </c:pt>
                <c:pt idx="291">
                  <c:v>221.46706150784019</c:v>
                </c:pt>
                <c:pt idx="292">
                  <c:v>226.36535754162824</c:v>
                </c:pt>
                <c:pt idx="293">
                  <c:v>222.92344288557695</c:v>
                </c:pt>
                <c:pt idx="294">
                  <c:v>226.39448516918299</c:v>
                </c:pt>
                <c:pt idx="295">
                  <c:v>229.06451769503374</c:v>
                </c:pt>
                <c:pt idx="296">
                  <c:v>226.28768386814895</c:v>
                </c:pt>
                <c:pt idx="297">
                  <c:v>226.28768386814895</c:v>
                </c:pt>
                <c:pt idx="298">
                  <c:v>226.28768386814895</c:v>
                </c:pt>
                <c:pt idx="299">
                  <c:v>220.93790960726247</c:v>
                </c:pt>
                <c:pt idx="300">
                  <c:v>223.20986455653187</c:v>
                </c:pt>
                <c:pt idx="301">
                  <c:v>221.98164959464052</c:v>
                </c:pt>
                <c:pt idx="302">
                  <c:v>224.2827321714646</c:v>
                </c:pt>
                <c:pt idx="303">
                  <c:v>232.43361328219817</c:v>
                </c:pt>
                <c:pt idx="304">
                  <c:v>232.43361328219817</c:v>
                </c:pt>
                <c:pt idx="305">
                  <c:v>232.43361328219817</c:v>
                </c:pt>
                <c:pt idx="306">
                  <c:v>233.02102043788531</c:v>
                </c:pt>
                <c:pt idx="307">
                  <c:v>231.71027719792221</c:v>
                </c:pt>
                <c:pt idx="308">
                  <c:v>235.42890431574347</c:v>
                </c:pt>
                <c:pt idx="309">
                  <c:v>234.80266032331664</c:v>
                </c:pt>
                <c:pt idx="310">
                  <c:v>235.49201417544538</c:v>
                </c:pt>
                <c:pt idx="311">
                  <c:v>235.49201417544538</c:v>
                </c:pt>
                <c:pt idx="312">
                  <c:v>235.49201417544538</c:v>
                </c:pt>
                <c:pt idx="313">
                  <c:v>235.68134375455122</c:v>
                </c:pt>
                <c:pt idx="314">
                  <c:v>234.21525316762944</c:v>
                </c:pt>
                <c:pt idx="315">
                  <c:v>234.89975241516578</c:v>
                </c:pt>
                <c:pt idx="316">
                  <c:v>237.13772513228798</c:v>
                </c:pt>
                <c:pt idx="317">
                  <c:v>231.05490557794064</c:v>
                </c:pt>
                <c:pt idx="318">
                  <c:v>231.05490557794064</c:v>
                </c:pt>
                <c:pt idx="319">
                  <c:v>231.05490557794064</c:v>
                </c:pt>
                <c:pt idx="320">
                  <c:v>231.05490557794064</c:v>
                </c:pt>
                <c:pt idx="321">
                  <c:v>225.08859653381231</c:v>
                </c:pt>
                <c:pt idx="322">
                  <c:v>221.44764308947038</c:v>
                </c:pt>
                <c:pt idx="323">
                  <c:v>229.43832224865287</c:v>
                </c:pt>
                <c:pt idx="324">
                  <c:v>234.01135977474635</c:v>
                </c:pt>
                <c:pt idx="325">
                  <c:v>234.01135977474635</c:v>
                </c:pt>
                <c:pt idx="326">
                  <c:v>234.01135977474635</c:v>
                </c:pt>
                <c:pt idx="327">
                  <c:v>224.13709403369094</c:v>
                </c:pt>
                <c:pt idx="328">
                  <c:v>221.98650419923297</c:v>
                </c:pt>
                <c:pt idx="329">
                  <c:v>225.28278071751055</c:v>
                </c:pt>
                <c:pt idx="330">
                  <c:v>230.7296470702461</c:v>
                </c:pt>
                <c:pt idx="331">
                  <c:v>230.33156949366474</c:v>
                </c:pt>
                <c:pt idx="332">
                  <c:v>230.33156949366474</c:v>
                </c:pt>
                <c:pt idx="333">
                  <c:v>230.33156949366474</c:v>
                </c:pt>
                <c:pt idx="334">
                  <c:v>225.32647215884265</c:v>
                </c:pt>
                <c:pt idx="335">
                  <c:v>234.763823486577</c:v>
                </c:pt>
                <c:pt idx="336">
                  <c:v>232.13748240205834</c:v>
                </c:pt>
                <c:pt idx="337">
                  <c:v>228.54022039904848</c:v>
                </c:pt>
                <c:pt idx="338">
                  <c:v>219.02519539783484</c:v>
                </c:pt>
                <c:pt idx="339">
                  <c:v>219.02519539783484</c:v>
                </c:pt>
                <c:pt idx="340">
                  <c:v>219.02519539783484</c:v>
                </c:pt>
                <c:pt idx="341">
                  <c:v>220.24855575513374</c:v>
                </c:pt>
                <c:pt idx="342">
                  <c:v>212.43264236127965</c:v>
                </c:pt>
                <c:pt idx="343">
                  <c:v>215.35025972134571</c:v>
                </c:pt>
                <c:pt idx="344">
                  <c:v>204.50021845720667</c:v>
                </c:pt>
                <c:pt idx="345">
                  <c:v>218.52517112481186</c:v>
                </c:pt>
                <c:pt idx="346">
                  <c:v>218.52517112481186</c:v>
                </c:pt>
                <c:pt idx="347">
                  <c:v>218.52517112481186</c:v>
                </c:pt>
                <c:pt idx="348">
                  <c:v>215.3454051167532</c:v>
                </c:pt>
                <c:pt idx="349">
                  <c:v>224.79732025826499</c:v>
                </c:pt>
                <c:pt idx="350">
                  <c:v>233.26860527210056</c:v>
                </c:pt>
                <c:pt idx="351">
                  <c:v>237.67173163745809</c:v>
                </c:pt>
                <c:pt idx="352">
                  <c:v>228.10330598572745</c:v>
                </c:pt>
                <c:pt idx="353">
                  <c:v>228.10330598572745</c:v>
                </c:pt>
                <c:pt idx="354">
                  <c:v>228.10330598572745</c:v>
                </c:pt>
                <c:pt idx="355">
                  <c:v>221.93310354871593</c:v>
                </c:pt>
                <c:pt idx="356">
                  <c:v>233.44822564202144</c:v>
                </c:pt>
                <c:pt idx="357">
                  <c:v>229.08879071799601</c:v>
                </c:pt>
                <c:pt idx="358">
                  <c:v>231.25394436623137</c:v>
                </c:pt>
                <c:pt idx="359">
                  <c:v>237.85620661197143</c:v>
                </c:pt>
                <c:pt idx="360">
                  <c:v>237.85620661197143</c:v>
                </c:pt>
                <c:pt idx="361">
                  <c:v>237.85620661197143</c:v>
                </c:pt>
                <c:pt idx="362">
                  <c:v>234.60362153502595</c:v>
                </c:pt>
                <c:pt idx="363">
                  <c:v>234.2249623768144</c:v>
                </c:pt>
                <c:pt idx="364">
                  <c:v>237.45327443079759</c:v>
                </c:pt>
                <c:pt idx="365">
                  <c:v>236.08913054031748</c:v>
                </c:pt>
                <c:pt idx="366">
                  <c:v>236.08913054031748</c:v>
                </c:pt>
                <c:pt idx="367">
                  <c:v>236.08913054031748</c:v>
                </c:pt>
                <c:pt idx="368">
                  <c:v>236.08913054031748</c:v>
                </c:pt>
                <c:pt idx="369">
                  <c:v>232.23942909849993</c:v>
                </c:pt>
                <c:pt idx="370">
                  <c:v>228.19068886839165</c:v>
                </c:pt>
                <c:pt idx="371">
                  <c:v>230.41409777173646</c:v>
                </c:pt>
                <c:pt idx="372">
                  <c:v>229.47715908539249</c:v>
                </c:pt>
                <c:pt idx="373">
                  <c:v>226.22942861303949</c:v>
                </c:pt>
                <c:pt idx="374">
                  <c:v>226.22942861303949</c:v>
                </c:pt>
                <c:pt idx="375">
                  <c:v>226.22942861303949</c:v>
                </c:pt>
                <c:pt idx="376">
                  <c:v>228.47225593475412</c:v>
                </c:pt>
                <c:pt idx="377">
                  <c:v>225.83135103645807</c:v>
                </c:pt>
                <c:pt idx="378">
                  <c:v>231.50638380503906</c:v>
                </c:pt>
                <c:pt idx="379">
                  <c:v>226.58381474828872</c:v>
                </c:pt>
                <c:pt idx="380">
                  <c:v>218.69993689014029</c:v>
                </c:pt>
                <c:pt idx="381">
                  <c:v>218.69993689014029</c:v>
                </c:pt>
                <c:pt idx="382">
                  <c:v>218.69993689014029</c:v>
                </c:pt>
                <c:pt idx="383">
                  <c:v>219.30190785960485</c:v>
                </c:pt>
                <c:pt idx="384">
                  <c:v>215.88426622651582</c:v>
                </c:pt>
                <c:pt idx="385">
                  <c:v>225.19054323025389</c:v>
                </c:pt>
                <c:pt idx="386">
                  <c:v>225.63716685275983</c:v>
                </c:pt>
                <c:pt idx="387">
                  <c:v>225.74882275838632</c:v>
                </c:pt>
                <c:pt idx="388">
                  <c:v>225.74882275838632</c:v>
                </c:pt>
                <c:pt idx="389">
                  <c:v>225.74882275838632</c:v>
                </c:pt>
                <c:pt idx="390">
                  <c:v>226.62265158502839</c:v>
                </c:pt>
                <c:pt idx="391">
                  <c:v>224.22447691635514</c:v>
                </c:pt>
                <c:pt idx="392">
                  <c:v>222.95742511772417</c:v>
                </c:pt>
                <c:pt idx="393">
                  <c:v>216.44254575464831</c:v>
                </c:pt>
                <c:pt idx="394">
                  <c:v>216.44254575464831</c:v>
                </c:pt>
                <c:pt idx="395">
                  <c:v>216.44254575464831</c:v>
                </c:pt>
                <c:pt idx="396">
                  <c:v>216.44254575464831</c:v>
                </c:pt>
                <c:pt idx="397">
                  <c:v>219.46210981115587</c:v>
                </c:pt>
                <c:pt idx="398">
                  <c:v>219.04461381620465</c:v>
                </c:pt>
                <c:pt idx="399">
                  <c:v>218.16107578037767</c:v>
                </c:pt>
                <c:pt idx="400">
                  <c:v>216.39885431331618</c:v>
                </c:pt>
                <c:pt idx="401">
                  <c:v>216.34059905820669</c:v>
                </c:pt>
                <c:pt idx="402">
                  <c:v>216.34059905820669</c:v>
                </c:pt>
                <c:pt idx="403">
                  <c:v>216.34059905820669</c:v>
                </c:pt>
                <c:pt idx="404">
                  <c:v>215.24831302490409</c:v>
                </c:pt>
                <c:pt idx="405">
                  <c:v>206.54400699063058</c:v>
                </c:pt>
                <c:pt idx="406">
                  <c:v>207.82562260303899</c:v>
                </c:pt>
                <c:pt idx="407">
                  <c:v>206.42749648041166</c:v>
                </c:pt>
                <c:pt idx="408">
                  <c:v>212.55886208068353</c:v>
                </c:pt>
                <c:pt idx="409">
                  <c:v>212.55886208068353</c:v>
                </c:pt>
                <c:pt idx="410">
                  <c:v>212.55886208068353</c:v>
                </c:pt>
                <c:pt idx="411">
                  <c:v>212.55886208068353</c:v>
                </c:pt>
                <c:pt idx="412">
                  <c:v>211.09277149376183</c:v>
                </c:pt>
                <c:pt idx="413">
                  <c:v>208.28195543472984</c:v>
                </c:pt>
                <c:pt idx="414">
                  <c:v>209.66066313898733</c:v>
                </c:pt>
                <c:pt idx="415">
                  <c:v>209.45676974610416</c:v>
                </c:pt>
                <c:pt idx="416">
                  <c:v>209.45676974610416</c:v>
                </c:pt>
                <c:pt idx="417">
                  <c:v>209.45676974610416</c:v>
                </c:pt>
                <c:pt idx="418">
                  <c:v>209.45676974610416</c:v>
                </c:pt>
                <c:pt idx="419">
                  <c:v>206.54400699063058</c:v>
                </c:pt>
                <c:pt idx="420">
                  <c:v>210.25292489926696</c:v>
                </c:pt>
                <c:pt idx="421">
                  <c:v>208.20428176125051</c:v>
                </c:pt>
                <c:pt idx="422">
                  <c:v>210.96169716976553</c:v>
                </c:pt>
                <c:pt idx="423">
                  <c:v>210.96169716976553</c:v>
                </c:pt>
                <c:pt idx="424">
                  <c:v>210.96169716976553</c:v>
                </c:pt>
                <c:pt idx="425">
                  <c:v>206.85470168454779</c:v>
                </c:pt>
                <c:pt idx="426">
                  <c:v>206.27214913345307</c:v>
                </c:pt>
                <c:pt idx="427">
                  <c:v>202.95159959221323</c:v>
                </c:pt>
                <c:pt idx="428">
                  <c:v>199.9126171173358</c:v>
                </c:pt>
                <c:pt idx="429">
                  <c:v>197.00956357104712</c:v>
                </c:pt>
                <c:pt idx="430">
                  <c:v>197.00956357104712</c:v>
                </c:pt>
                <c:pt idx="431">
                  <c:v>197.00956357104712</c:v>
                </c:pt>
                <c:pt idx="432">
                  <c:v>199.05820670906357</c:v>
                </c:pt>
                <c:pt idx="433">
                  <c:v>202.05835234720132</c:v>
                </c:pt>
                <c:pt idx="434">
                  <c:v>205.54881304917717</c:v>
                </c:pt>
                <c:pt idx="435">
                  <c:v>204.32545269187824</c:v>
                </c:pt>
                <c:pt idx="436">
                  <c:v>199.85436186222631</c:v>
                </c:pt>
                <c:pt idx="437">
                  <c:v>199.85436186222631</c:v>
                </c:pt>
                <c:pt idx="438">
                  <c:v>199.85436186222631</c:v>
                </c:pt>
                <c:pt idx="439">
                  <c:v>194.08709160638867</c:v>
                </c:pt>
                <c:pt idx="440">
                  <c:v>195.99495121122385</c:v>
                </c:pt>
                <c:pt idx="441">
                  <c:v>196.40273799699014</c:v>
                </c:pt>
                <c:pt idx="442">
                  <c:v>194.9512112238458</c:v>
                </c:pt>
                <c:pt idx="443">
                  <c:v>191.73260837904752</c:v>
                </c:pt>
                <c:pt idx="444">
                  <c:v>191.73260837904752</c:v>
                </c:pt>
                <c:pt idx="445">
                  <c:v>191.73260837904752</c:v>
                </c:pt>
                <c:pt idx="446">
                  <c:v>189.73251128695566</c:v>
                </c:pt>
                <c:pt idx="447">
                  <c:v>189.73251128695566</c:v>
                </c:pt>
                <c:pt idx="448">
                  <c:v>190.41215592989951</c:v>
                </c:pt>
                <c:pt idx="449">
                  <c:v>187.87319772804506</c:v>
                </c:pt>
                <c:pt idx="450">
                  <c:v>186.0915578426137</c:v>
                </c:pt>
                <c:pt idx="451">
                  <c:v>186.0915578426137</c:v>
                </c:pt>
                <c:pt idx="452">
                  <c:v>186.0915578426137</c:v>
                </c:pt>
                <c:pt idx="453">
                  <c:v>186.57701830185928</c:v>
                </c:pt>
                <c:pt idx="454">
                  <c:v>184.77595999805817</c:v>
                </c:pt>
                <c:pt idx="455">
                  <c:v>184.76625078887326</c:v>
                </c:pt>
                <c:pt idx="456">
                  <c:v>184.86819748531482</c:v>
                </c:pt>
                <c:pt idx="457">
                  <c:v>181.31948152822952</c:v>
                </c:pt>
                <c:pt idx="458">
                  <c:v>181.31948152822952</c:v>
                </c:pt>
                <c:pt idx="459">
                  <c:v>181.31948152822952</c:v>
                </c:pt>
                <c:pt idx="460">
                  <c:v>179.71746201271907</c:v>
                </c:pt>
                <c:pt idx="461">
                  <c:v>182.49429583960386</c:v>
                </c:pt>
                <c:pt idx="462">
                  <c:v>176.28525656585271</c:v>
                </c:pt>
                <c:pt idx="463">
                  <c:v>182.30982086509053</c:v>
                </c:pt>
                <c:pt idx="464">
                  <c:v>184.77595999805817</c:v>
                </c:pt>
                <c:pt idx="465">
                  <c:v>184.77595999805817</c:v>
                </c:pt>
                <c:pt idx="466">
                  <c:v>184.77595999805817</c:v>
                </c:pt>
                <c:pt idx="467">
                  <c:v>184.89732511286957</c:v>
                </c:pt>
                <c:pt idx="468">
                  <c:v>177.01344725472111</c:v>
                </c:pt>
                <c:pt idx="469">
                  <c:v>171.73649206272148</c:v>
                </c:pt>
                <c:pt idx="470">
                  <c:v>170.51798631001503</c:v>
                </c:pt>
                <c:pt idx="471">
                  <c:v>169.73154036603717</c:v>
                </c:pt>
                <c:pt idx="472">
                  <c:v>169.73154036603717</c:v>
                </c:pt>
                <c:pt idx="473">
                  <c:v>169.73154036603717</c:v>
                </c:pt>
                <c:pt idx="474">
                  <c:v>172.34331763677849</c:v>
                </c:pt>
                <c:pt idx="475">
                  <c:v>168.55672605466282</c:v>
                </c:pt>
                <c:pt idx="476">
                  <c:v>174.57158114471576</c:v>
                </c:pt>
                <c:pt idx="477">
                  <c:v>176.2415651245206</c:v>
                </c:pt>
                <c:pt idx="478">
                  <c:v>180.94082237001797</c:v>
                </c:pt>
                <c:pt idx="479">
                  <c:v>180.94082237001797</c:v>
                </c:pt>
                <c:pt idx="480">
                  <c:v>180.94082237001797</c:v>
                </c:pt>
                <c:pt idx="481">
                  <c:v>181.25637166852761</c:v>
                </c:pt>
                <c:pt idx="482">
                  <c:v>180.6155638623234</c:v>
                </c:pt>
                <c:pt idx="483">
                  <c:v>183.01373853099665</c:v>
                </c:pt>
                <c:pt idx="484">
                  <c:v>182.42147677071699</c:v>
                </c:pt>
                <c:pt idx="485">
                  <c:v>183.81960289334432</c:v>
                </c:pt>
                <c:pt idx="486">
                  <c:v>183.81960289334432</c:v>
                </c:pt>
                <c:pt idx="487">
                  <c:v>183.81960289334432</c:v>
                </c:pt>
                <c:pt idx="488">
                  <c:v>184.44099228117869</c:v>
                </c:pt>
                <c:pt idx="489">
                  <c:v>184.62061265109958</c:v>
                </c:pt>
                <c:pt idx="490">
                  <c:v>185.19831059760182</c:v>
                </c:pt>
                <c:pt idx="491">
                  <c:v>185.65464342929266</c:v>
                </c:pt>
                <c:pt idx="492">
                  <c:v>182.87295499781541</c:v>
                </c:pt>
                <c:pt idx="493">
                  <c:v>182.87295499781541</c:v>
                </c:pt>
                <c:pt idx="494">
                  <c:v>182.87295499781541</c:v>
                </c:pt>
                <c:pt idx="495">
                  <c:v>181.23695325015777</c:v>
                </c:pt>
                <c:pt idx="496">
                  <c:v>178.03776882372929</c:v>
                </c:pt>
                <c:pt idx="497">
                  <c:v>176.69789795621148</c:v>
                </c:pt>
                <c:pt idx="498">
                  <c:v>177.72707412981214</c:v>
                </c:pt>
                <c:pt idx="499">
                  <c:v>173.22685567260544</c:v>
                </c:pt>
                <c:pt idx="500">
                  <c:v>173.22685567260544</c:v>
                </c:pt>
                <c:pt idx="501">
                  <c:v>173.22685567260544</c:v>
                </c:pt>
                <c:pt idx="502">
                  <c:v>178.94072527792613</c:v>
                </c:pt>
                <c:pt idx="503">
                  <c:v>176.86295451235497</c:v>
                </c:pt>
                <c:pt idx="504">
                  <c:v>176.83382688480023</c:v>
                </c:pt>
                <c:pt idx="505">
                  <c:v>178.30962668090683</c:v>
                </c:pt>
                <c:pt idx="506">
                  <c:v>173.21229185882808</c:v>
                </c:pt>
                <c:pt idx="507">
                  <c:v>173.21229185882808</c:v>
                </c:pt>
                <c:pt idx="508">
                  <c:v>173.21229185882808</c:v>
                </c:pt>
                <c:pt idx="509">
                  <c:v>171.13452109325692</c:v>
                </c:pt>
                <c:pt idx="510">
                  <c:v>170.68304286615853</c:v>
                </c:pt>
                <c:pt idx="511">
                  <c:v>175.53764745861446</c:v>
                </c:pt>
                <c:pt idx="512">
                  <c:v>170.78013495800769</c:v>
                </c:pt>
                <c:pt idx="513">
                  <c:v>174.63469100441768</c:v>
                </c:pt>
                <c:pt idx="514">
                  <c:v>174.63469100441768</c:v>
                </c:pt>
                <c:pt idx="515">
                  <c:v>174.63469100441768</c:v>
                </c:pt>
                <c:pt idx="516">
                  <c:v>177.63969124714791</c:v>
                </c:pt>
                <c:pt idx="517">
                  <c:v>178.18340696150298</c:v>
                </c:pt>
                <c:pt idx="518">
                  <c:v>178.12029710180107</c:v>
                </c:pt>
                <c:pt idx="519">
                  <c:v>175.83377833875429</c:v>
                </c:pt>
                <c:pt idx="520">
                  <c:v>174.62012719064032</c:v>
                </c:pt>
                <c:pt idx="521">
                  <c:v>174.62012719064032</c:v>
                </c:pt>
                <c:pt idx="522">
                  <c:v>174.62012719064032</c:v>
                </c:pt>
                <c:pt idx="523">
                  <c:v>173.34822078741686</c:v>
                </c:pt>
                <c:pt idx="524">
                  <c:v>174.78032914219136</c:v>
                </c:pt>
                <c:pt idx="525">
                  <c:v>170.17330938395068</c:v>
                </c:pt>
                <c:pt idx="526">
                  <c:v>176.19787368318848</c:v>
                </c:pt>
                <c:pt idx="527">
                  <c:v>176.19787368318848</c:v>
                </c:pt>
                <c:pt idx="528">
                  <c:v>176.19787368318848</c:v>
                </c:pt>
                <c:pt idx="529">
                  <c:v>176.19787368318848</c:v>
                </c:pt>
                <c:pt idx="530">
                  <c:v>170.92577309578132</c:v>
                </c:pt>
                <c:pt idx="531">
                  <c:v>182.05252682169035</c:v>
                </c:pt>
                <c:pt idx="532">
                  <c:v>174.54245351716102</c:v>
                </c:pt>
                <c:pt idx="533">
                  <c:v>168.5275984271081</c:v>
                </c:pt>
                <c:pt idx="534">
                  <c:v>167.39647555706588</c:v>
                </c:pt>
                <c:pt idx="535">
                  <c:v>167.39647555706588</c:v>
                </c:pt>
                <c:pt idx="536">
                  <c:v>167.39647555706588</c:v>
                </c:pt>
                <c:pt idx="537">
                  <c:v>164.6390601485509</c:v>
                </c:pt>
                <c:pt idx="538">
                  <c:v>164.89635419195105</c:v>
                </c:pt>
                <c:pt idx="539">
                  <c:v>163.18267877081411</c:v>
                </c:pt>
                <c:pt idx="540">
                  <c:v>162.14379338802854</c:v>
                </c:pt>
                <c:pt idx="541">
                  <c:v>160.21166076023107</c:v>
                </c:pt>
                <c:pt idx="542">
                  <c:v>160.21166076023107</c:v>
                </c:pt>
                <c:pt idx="543">
                  <c:v>160.21166076023107</c:v>
                </c:pt>
                <c:pt idx="544">
                  <c:v>159.6339628137288</c:v>
                </c:pt>
                <c:pt idx="545">
                  <c:v>159.81843778824214</c:v>
                </c:pt>
                <c:pt idx="546">
                  <c:v>159.54172532647215</c:v>
                </c:pt>
                <c:pt idx="547">
                  <c:v>160.35729889800473</c:v>
                </c:pt>
                <c:pt idx="548">
                  <c:v>159.14364774989076</c:v>
                </c:pt>
                <c:pt idx="549">
                  <c:v>159.14364774989076</c:v>
                </c:pt>
                <c:pt idx="550">
                  <c:v>159.14364774989076</c:v>
                </c:pt>
                <c:pt idx="551">
                  <c:v>159.92038448468372</c:v>
                </c:pt>
                <c:pt idx="552">
                  <c:v>161.96902762270011</c:v>
                </c:pt>
                <c:pt idx="553">
                  <c:v>157.30375260934994</c:v>
                </c:pt>
                <c:pt idx="554">
                  <c:v>158.92033593863778</c:v>
                </c:pt>
                <c:pt idx="555">
                  <c:v>158.22612748191659</c:v>
                </c:pt>
                <c:pt idx="556">
                  <c:v>158.22612748191659</c:v>
                </c:pt>
                <c:pt idx="557">
                  <c:v>158.22612748191659</c:v>
                </c:pt>
                <c:pt idx="558">
                  <c:v>159.79416476527987</c:v>
                </c:pt>
                <c:pt idx="559">
                  <c:v>159.97863973979321</c:v>
                </c:pt>
                <c:pt idx="560">
                  <c:v>159.42036021166075</c:v>
                </c:pt>
                <c:pt idx="561">
                  <c:v>155.94446332346229</c:v>
                </c:pt>
                <c:pt idx="562">
                  <c:v>153.76960046604205</c:v>
                </c:pt>
                <c:pt idx="563">
                  <c:v>153.76960046604205</c:v>
                </c:pt>
                <c:pt idx="564">
                  <c:v>153.76960046604205</c:v>
                </c:pt>
                <c:pt idx="565">
                  <c:v>151.51220933055004</c:v>
                </c:pt>
                <c:pt idx="566">
                  <c:v>149.93446283800185</c:v>
                </c:pt>
                <c:pt idx="567">
                  <c:v>149.20627214913347</c:v>
                </c:pt>
                <c:pt idx="568">
                  <c:v>151.79377639691248</c:v>
                </c:pt>
                <c:pt idx="569">
                  <c:v>148.44895383271032</c:v>
                </c:pt>
                <c:pt idx="570">
                  <c:v>148.44895383271032</c:v>
                </c:pt>
                <c:pt idx="571">
                  <c:v>148.44895383271032</c:v>
                </c:pt>
                <c:pt idx="572">
                  <c:v>150.33254041458324</c:v>
                </c:pt>
                <c:pt idx="573">
                  <c:v>152.33749211126752</c:v>
                </c:pt>
                <c:pt idx="574">
                  <c:v>152.59964075926013</c:v>
                </c:pt>
                <c:pt idx="575">
                  <c:v>153.95407544055536</c:v>
                </c:pt>
                <c:pt idx="576">
                  <c:v>151.80834021068983</c:v>
                </c:pt>
                <c:pt idx="577">
                  <c:v>151.80834021068983</c:v>
                </c:pt>
                <c:pt idx="578">
                  <c:v>151.80834021068983</c:v>
                </c:pt>
                <c:pt idx="579">
                  <c:v>151.14325938152336</c:v>
                </c:pt>
                <c:pt idx="580">
                  <c:v>152.32778290208259</c:v>
                </c:pt>
                <c:pt idx="581">
                  <c:v>152.95888149910189</c:v>
                </c:pt>
                <c:pt idx="582">
                  <c:v>151.12869556774601</c:v>
                </c:pt>
                <c:pt idx="583">
                  <c:v>155.0754891014127</c:v>
                </c:pt>
                <c:pt idx="584">
                  <c:v>155.0754891014127</c:v>
                </c:pt>
                <c:pt idx="585">
                  <c:v>155.0754891014127</c:v>
                </c:pt>
                <c:pt idx="586">
                  <c:v>156.07553764745862</c:v>
                </c:pt>
                <c:pt idx="587">
                  <c:v>155.13859896111461</c:v>
                </c:pt>
                <c:pt idx="588">
                  <c:v>152.00737899898053</c:v>
                </c:pt>
                <c:pt idx="589">
                  <c:v>154.75993980290306</c:v>
                </c:pt>
                <c:pt idx="590">
                  <c:v>153.14821107820768</c:v>
                </c:pt>
                <c:pt idx="591">
                  <c:v>153.14821107820768</c:v>
                </c:pt>
                <c:pt idx="592">
                  <c:v>153.14821107820768</c:v>
                </c:pt>
                <c:pt idx="593">
                  <c:v>153.14821107820768</c:v>
                </c:pt>
                <c:pt idx="594">
                  <c:v>151.81804941987477</c:v>
                </c:pt>
                <c:pt idx="595">
                  <c:v>153.21617554250207</c:v>
                </c:pt>
                <c:pt idx="596">
                  <c:v>150.38594106510024</c:v>
                </c:pt>
                <c:pt idx="597">
                  <c:v>149.23539977668821</c:v>
                </c:pt>
                <c:pt idx="598">
                  <c:v>149.23539977668821</c:v>
                </c:pt>
                <c:pt idx="599">
                  <c:v>149.23539977668821</c:v>
                </c:pt>
                <c:pt idx="600">
                  <c:v>149.93446283800185</c:v>
                </c:pt>
                <c:pt idx="601">
                  <c:v>149.02179717462013</c:v>
                </c:pt>
                <c:pt idx="602">
                  <c:v>151.12384096315355</c:v>
                </c:pt>
                <c:pt idx="603">
                  <c:v>152.2112723918637</c:v>
                </c:pt>
                <c:pt idx="604">
                  <c:v>146.98286324578862</c:v>
                </c:pt>
                <c:pt idx="605">
                  <c:v>146.98286324578862</c:v>
                </c:pt>
                <c:pt idx="606">
                  <c:v>146.98286324578862</c:v>
                </c:pt>
                <c:pt idx="607">
                  <c:v>154.72110296616339</c:v>
                </c:pt>
                <c:pt idx="608">
                  <c:v>152.16272634593912</c:v>
                </c:pt>
                <c:pt idx="609">
                  <c:v>150.84227389679111</c:v>
                </c:pt>
                <c:pt idx="610">
                  <c:v>147.6236710519928</c:v>
                </c:pt>
                <c:pt idx="611">
                  <c:v>145.75950288848972</c:v>
                </c:pt>
                <c:pt idx="612">
                  <c:v>145.75950288848972</c:v>
                </c:pt>
                <c:pt idx="613">
                  <c:v>145.75950288848972</c:v>
                </c:pt>
                <c:pt idx="614">
                  <c:v>142.60400990339338</c:v>
                </c:pt>
                <c:pt idx="615">
                  <c:v>152.93946308073208</c:v>
                </c:pt>
                <c:pt idx="616">
                  <c:v>153.07539200932084</c:v>
                </c:pt>
                <c:pt idx="617">
                  <c:v>154.14340501966112</c:v>
                </c:pt>
                <c:pt idx="618">
                  <c:v>153.92980241759307</c:v>
                </c:pt>
                <c:pt idx="619">
                  <c:v>153.92980241759307</c:v>
                </c:pt>
                <c:pt idx="620">
                  <c:v>153.92980241759307</c:v>
                </c:pt>
                <c:pt idx="621">
                  <c:v>149.95388125637166</c:v>
                </c:pt>
                <c:pt idx="622">
                  <c:v>150.26457595028884</c:v>
                </c:pt>
                <c:pt idx="623">
                  <c:v>144.69634448274186</c:v>
                </c:pt>
                <c:pt idx="624">
                  <c:v>140.77867857662994</c:v>
                </c:pt>
                <c:pt idx="625">
                  <c:v>141.40006796446428</c:v>
                </c:pt>
                <c:pt idx="626">
                  <c:v>141.40006796446428</c:v>
                </c:pt>
                <c:pt idx="627">
                  <c:v>141.40006796446428</c:v>
                </c:pt>
                <c:pt idx="628">
                  <c:v>137.45327443079759</c:v>
                </c:pt>
                <c:pt idx="629">
                  <c:v>139.61357347444047</c:v>
                </c:pt>
                <c:pt idx="630">
                  <c:v>136.90955871644252</c:v>
                </c:pt>
                <c:pt idx="631">
                  <c:v>134.3026360502937</c:v>
                </c:pt>
                <c:pt idx="632">
                  <c:v>134.3026360502937</c:v>
                </c:pt>
                <c:pt idx="633">
                  <c:v>134.3026360502937</c:v>
                </c:pt>
                <c:pt idx="634">
                  <c:v>134.3026360502937</c:v>
                </c:pt>
                <c:pt idx="635">
                  <c:v>133.40453420068937</c:v>
                </c:pt>
                <c:pt idx="636">
                  <c:v>135.28812078256226</c:v>
                </c:pt>
                <c:pt idx="637">
                  <c:v>132.02097189183939</c:v>
                </c:pt>
                <c:pt idx="638">
                  <c:v>132.78799941744742</c:v>
                </c:pt>
                <c:pt idx="639">
                  <c:v>126.41875819214525</c:v>
                </c:pt>
                <c:pt idx="640">
                  <c:v>126.41875819214525</c:v>
                </c:pt>
                <c:pt idx="641">
                  <c:v>126.41875819214525</c:v>
                </c:pt>
                <c:pt idx="642">
                  <c:v>129.42375843487548</c:v>
                </c:pt>
                <c:pt idx="643">
                  <c:v>127.74891985047816</c:v>
                </c:pt>
                <c:pt idx="644">
                  <c:v>130.32186028447981</c:v>
                </c:pt>
                <c:pt idx="645">
                  <c:v>133.69581047623669</c:v>
                </c:pt>
                <c:pt idx="646">
                  <c:v>133.5161901063158</c:v>
                </c:pt>
                <c:pt idx="647">
                  <c:v>133.5161901063158</c:v>
                </c:pt>
                <c:pt idx="648">
                  <c:v>133.5161901063158</c:v>
                </c:pt>
                <c:pt idx="649">
                  <c:v>129.98203796300791</c:v>
                </c:pt>
                <c:pt idx="650">
                  <c:v>128.24894412350113</c:v>
                </c:pt>
                <c:pt idx="651">
                  <c:v>128.58391184038061</c:v>
                </c:pt>
                <c:pt idx="652">
                  <c:v>127.31686004174958</c:v>
                </c:pt>
                <c:pt idx="653">
                  <c:v>126.07408126608087</c:v>
                </c:pt>
                <c:pt idx="654">
                  <c:v>126.07408126608087</c:v>
                </c:pt>
                <c:pt idx="655">
                  <c:v>126.07408126608087</c:v>
                </c:pt>
                <c:pt idx="656">
                  <c:v>131.86076994028838</c:v>
                </c:pt>
                <c:pt idx="657">
                  <c:v>133.99679596096897</c:v>
                </c:pt>
                <c:pt idx="658">
                  <c:v>128.51594737608622</c:v>
                </c:pt>
                <c:pt idx="659">
                  <c:v>130.32186028447981</c:v>
                </c:pt>
                <c:pt idx="660">
                  <c:v>128.55478421282587</c:v>
                </c:pt>
                <c:pt idx="661">
                  <c:v>128.55478421282587</c:v>
                </c:pt>
                <c:pt idx="662">
                  <c:v>128.55478421282587</c:v>
                </c:pt>
                <c:pt idx="663">
                  <c:v>125.70027671246177</c:v>
                </c:pt>
                <c:pt idx="664">
                  <c:v>126.20515559007718</c:v>
                </c:pt>
                <c:pt idx="665">
                  <c:v>120.22428273217147</c:v>
                </c:pt>
                <c:pt idx="666">
                  <c:v>125.38472741395212</c:v>
                </c:pt>
                <c:pt idx="667">
                  <c:v>129.07422690421865</c:v>
                </c:pt>
                <c:pt idx="668">
                  <c:v>129.07422690421865</c:v>
                </c:pt>
                <c:pt idx="669">
                  <c:v>129.07422690421865</c:v>
                </c:pt>
                <c:pt idx="670">
                  <c:v>125.3895820185446</c:v>
                </c:pt>
                <c:pt idx="671">
                  <c:v>124.97694062818583</c:v>
                </c:pt>
                <c:pt idx="672">
                  <c:v>129.92378270789843</c:v>
                </c:pt>
                <c:pt idx="673">
                  <c:v>126.18088256711491</c:v>
                </c:pt>
                <c:pt idx="674">
                  <c:v>123.45259478615466</c:v>
                </c:pt>
                <c:pt idx="675">
                  <c:v>123.45259478615466</c:v>
                </c:pt>
                <c:pt idx="676">
                  <c:v>123.45259478615466</c:v>
                </c:pt>
                <c:pt idx="677">
                  <c:v>123.45259478615466</c:v>
                </c:pt>
                <c:pt idx="678">
                  <c:v>126.75372590902472</c:v>
                </c:pt>
                <c:pt idx="679">
                  <c:v>122.9525705131317</c:v>
                </c:pt>
                <c:pt idx="680">
                  <c:v>122.54963833195787</c:v>
                </c:pt>
                <c:pt idx="681">
                  <c:v>113.72396718287294</c:v>
                </c:pt>
                <c:pt idx="682">
                  <c:v>113.72396718287294</c:v>
                </c:pt>
                <c:pt idx="683">
                  <c:v>113.72396718287294</c:v>
                </c:pt>
                <c:pt idx="684">
                  <c:v>115.08325646876061</c:v>
                </c:pt>
                <c:pt idx="685">
                  <c:v>108.56352250109227</c:v>
                </c:pt>
                <c:pt idx="686">
                  <c:v>115.10267488713043</c:v>
                </c:pt>
                <c:pt idx="687">
                  <c:v>116.56391086945968</c:v>
                </c:pt>
                <c:pt idx="688">
                  <c:v>111.99087334336618</c:v>
                </c:pt>
                <c:pt idx="689">
                  <c:v>111.99087334336618</c:v>
                </c:pt>
                <c:pt idx="690">
                  <c:v>111.99087334336618</c:v>
                </c:pt>
                <c:pt idx="691">
                  <c:v>118.04941987475119</c:v>
                </c:pt>
                <c:pt idx="692">
                  <c:v>105.61192290887907</c:v>
                </c:pt>
                <c:pt idx="693">
                  <c:v>103.28656730909267</c:v>
                </c:pt>
                <c:pt idx="694">
                  <c:v>93.922035050245157</c:v>
                </c:pt>
                <c:pt idx="695">
                  <c:v>93.315209476188159</c:v>
                </c:pt>
                <c:pt idx="696">
                  <c:v>93.315209476188159</c:v>
                </c:pt>
                <c:pt idx="697">
                  <c:v>93.315209476188159</c:v>
                </c:pt>
                <c:pt idx="698">
                  <c:v>94.397786300305825</c:v>
                </c:pt>
                <c:pt idx="699">
                  <c:v>81.494247293557947</c:v>
                </c:pt>
                <c:pt idx="700">
                  <c:v>96.854216224088546</c:v>
                </c:pt>
                <c:pt idx="701">
                  <c:v>91.062672945288597</c:v>
                </c:pt>
                <c:pt idx="702">
                  <c:v>113.70454876450313</c:v>
                </c:pt>
                <c:pt idx="703">
                  <c:v>113.70454876450313</c:v>
                </c:pt>
                <c:pt idx="704">
                  <c:v>113.70454876450313</c:v>
                </c:pt>
                <c:pt idx="705">
                  <c:v>106.20903927375113</c:v>
                </c:pt>
                <c:pt idx="706">
                  <c:v>119.40870916063886</c:v>
                </c:pt>
                <c:pt idx="707">
                  <c:v>127.62755473566676</c:v>
                </c:pt>
                <c:pt idx="708">
                  <c:v>120.25826496431864</c:v>
                </c:pt>
                <c:pt idx="709">
                  <c:v>130.8073207437254</c:v>
                </c:pt>
                <c:pt idx="710">
                  <c:v>130.8073207437254</c:v>
                </c:pt>
                <c:pt idx="711">
                  <c:v>130.8073207437254</c:v>
                </c:pt>
                <c:pt idx="712">
                  <c:v>133.0355842516627</c:v>
                </c:pt>
                <c:pt idx="713">
                  <c:v>138.57468809165491</c:v>
                </c:pt>
                <c:pt idx="714">
                  <c:v>133.13753094810428</c:v>
                </c:pt>
                <c:pt idx="715">
                  <c:v>138.34166707121707</c:v>
                </c:pt>
                <c:pt idx="716">
                  <c:v>132.34623039953394</c:v>
                </c:pt>
                <c:pt idx="717">
                  <c:v>132.34623039953394</c:v>
                </c:pt>
                <c:pt idx="718">
                  <c:v>132.34623039953394</c:v>
                </c:pt>
                <c:pt idx="719">
                  <c:v>132.9918928103306</c:v>
                </c:pt>
                <c:pt idx="720">
                  <c:v>138.78343608913053</c:v>
                </c:pt>
                <c:pt idx="721">
                  <c:v>137.22996261954464</c:v>
                </c:pt>
                <c:pt idx="722">
                  <c:v>141.56026991601533</c:v>
                </c:pt>
                <c:pt idx="723">
                  <c:v>147.82270984028349</c:v>
                </c:pt>
                <c:pt idx="724">
                  <c:v>147.82270984028349</c:v>
                </c:pt>
                <c:pt idx="725">
                  <c:v>147.82270984028349</c:v>
                </c:pt>
                <c:pt idx="726">
                  <c:v>150.12379241710764</c:v>
                </c:pt>
                <c:pt idx="727">
                  <c:v>153.25501237924172</c:v>
                </c:pt>
                <c:pt idx="728">
                  <c:v>150.85683771056847</c:v>
                </c:pt>
                <c:pt idx="729">
                  <c:v>154.26477013447254</c:v>
                </c:pt>
                <c:pt idx="730">
                  <c:v>154.26477013447254</c:v>
                </c:pt>
                <c:pt idx="731">
                  <c:v>154.26477013447254</c:v>
                </c:pt>
                <c:pt idx="732">
                  <c:v>154.26477013447254</c:v>
                </c:pt>
                <c:pt idx="733">
                  <c:v>157.27462498179523</c:v>
                </c:pt>
                <c:pt idx="734">
                  <c:v>157.62901111704451</c:v>
                </c:pt>
                <c:pt idx="735">
                  <c:v>155.42502063206953</c:v>
                </c:pt>
                <c:pt idx="736">
                  <c:v>152.53167629496576</c:v>
                </c:pt>
                <c:pt idx="737">
                  <c:v>153.03170056798874</c:v>
                </c:pt>
                <c:pt idx="738">
                  <c:v>153.03170056798874</c:v>
                </c:pt>
                <c:pt idx="739">
                  <c:v>153.03170056798874</c:v>
                </c:pt>
                <c:pt idx="740">
                  <c:v>155.1968542162241</c:v>
                </c:pt>
                <c:pt idx="741">
                  <c:v>154.07544055536675</c:v>
                </c:pt>
                <c:pt idx="742">
                  <c:v>151.26947910092724</c:v>
                </c:pt>
                <c:pt idx="743">
                  <c:v>148.17709597553278</c:v>
                </c:pt>
                <c:pt idx="744">
                  <c:v>148.14311374338561</c:v>
                </c:pt>
                <c:pt idx="745">
                  <c:v>148.14311374338561</c:v>
                </c:pt>
                <c:pt idx="746">
                  <c:v>148.14311374338561</c:v>
                </c:pt>
                <c:pt idx="747">
                  <c:v>153.01713675421135</c:v>
                </c:pt>
                <c:pt idx="748">
                  <c:v>154.13855041506866</c:v>
                </c:pt>
                <c:pt idx="749">
                  <c:v>154.52691878246517</c:v>
                </c:pt>
                <c:pt idx="750">
                  <c:v>150.02184572066602</c:v>
                </c:pt>
                <c:pt idx="751">
                  <c:v>157.28918879557258</c:v>
                </c:pt>
                <c:pt idx="752">
                  <c:v>157.28918879557258</c:v>
                </c:pt>
                <c:pt idx="753">
                  <c:v>157.28918879557258</c:v>
                </c:pt>
                <c:pt idx="754">
                  <c:v>155.17743579785426</c:v>
                </c:pt>
                <c:pt idx="755">
                  <c:v>151.89086848876158</c:v>
                </c:pt>
                <c:pt idx="756">
                  <c:v>149.55580367979027</c:v>
                </c:pt>
                <c:pt idx="757">
                  <c:v>149.90533521044711</c:v>
                </c:pt>
                <c:pt idx="758">
                  <c:v>149.90533521044711</c:v>
                </c:pt>
                <c:pt idx="759">
                  <c:v>149.90533521044711</c:v>
                </c:pt>
                <c:pt idx="760">
                  <c:v>149.90533521044711</c:v>
                </c:pt>
                <c:pt idx="761">
                  <c:v>149.06063401135978</c:v>
                </c:pt>
                <c:pt idx="762">
                  <c:v>147.1624836157095</c:v>
                </c:pt>
                <c:pt idx="763">
                  <c:v>149.60920433030728</c:v>
                </c:pt>
                <c:pt idx="764">
                  <c:v>146.21098111558811</c:v>
                </c:pt>
                <c:pt idx="765">
                  <c:v>145.25947861546678</c:v>
                </c:pt>
                <c:pt idx="766">
                  <c:v>145.25947861546678</c:v>
                </c:pt>
                <c:pt idx="767">
                  <c:v>145.25947861546678</c:v>
                </c:pt>
                <c:pt idx="768">
                  <c:v>148.67712024855575</c:v>
                </c:pt>
                <c:pt idx="769">
                  <c:v>149.88106218748482</c:v>
                </c:pt>
                <c:pt idx="770">
                  <c:v>151.77435797854264</c:v>
                </c:pt>
                <c:pt idx="771">
                  <c:v>152.2986552745279</c:v>
                </c:pt>
                <c:pt idx="772">
                  <c:v>152.52682169037331</c:v>
                </c:pt>
                <c:pt idx="773">
                  <c:v>152.52682169037331</c:v>
                </c:pt>
                <c:pt idx="774">
                  <c:v>152.52682169037331</c:v>
                </c:pt>
                <c:pt idx="775">
                  <c:v>156.5075974561872</c:v>
                </c:pt>
                <c:pt idx="776">
                  <c:v>153.41521433079274</c:v>
                </c:pt>
                <c:pt idx="777">
                  <c:v>153.41521433079274</c:v>
                </c:pt>
                <c:pt idx="778">
                  <c:v>152.172435555124</c:v>
                </c:pt>
                <c:pt idx="779">
                  <c:v>153.66279916500798</c:v>
                </c:pt>
                <c:pt idx="780">
                  <c:v>153.66279916500798</c:v>
                </c:pt>
                <c:pt idx="781">
                  <c:v>153.66279916500798</c:v>
                </c:pt>
                <c:pt idx="782">
                  <c:v>154.36671683091413</c:v>
                </c:pt>
                <c:pt idx="783">
                  <c:v>155.590077188213</c:v>
                </c:pt>
                <c:pt idx="784">
                  <c:v>155.590077188213</c:v>
                </c:pt>
                <c:pt idx="785">
                  <c:v>155.11918054274477</c:v>
                </c:pt>
                <c:pt idx="786">
                  <c:v>154.86188649934462</c:v>
                </c:pt>
                <c:pt idx="787">
                  <c:v>154.86188649934462</c:v>
                </c:pt>
                <c:pt idx="788">
                  <c:v>154.86188649934462</c:v>
                </c:pt>
                <c:pt idx="789">
                  <c:v>157.33773484149717</c:v>
                </c:pt>
                <c:pt idx="790">
                  <c:v>158.95917277537743</c:v>
                </c:pt>
                <c:pt idx="791">
                  <c:v>157.19209670372348</c:v>
                </c:pt>
                <c:pt idx="792">
                  <c:v>156.86683819602894</c:v>
                </c:pt>
                <c:pt idx="793">
                  <c:v>153.12393805524539</c:v>
                </c:pt>
                <c:pt idx="794">
                  <c:v>153.12393805524539</c:v>
                </c:pt>
                <c:pt idx="795">
                  <c:v>153.12393805524539</c:v>
                </c:pt>
                <c:pt idx="796">
                  <c:v>159.13393854070586</c:v>
                </c:pt>
                <c:pt idx="797">
                  <c:v>155.21141803000148</c:v>
                </c:pt>
                <c:pt idx="798">
                  <c:v>152.94917228991699</c:v>
                </c:pt>
                <c:pt idx="799">
                  <c:v>152.61905917762996</c:v>
                </c:pt>
                <c:pt idx="800">
                  <c:v>153.42977814457012</c:v>
                </c:pt>
                <c:pt idx="801">
                  <c:v>153.42977814457012</c:v>
                </c:pt>
                <c:pt idx="802">
                  <c:v>153.42977814457012</c:v>
                </c:pt>
                <c:pt idx="803">
                  <c:v>151.07044031263652</c:v>
                </c:pt>
                <c:pt idx="804">
                  <c:v>150.35681343754553</c:v>
                </c:pt>
                <c:pt idx="805">
                  <c:v>148.8033399679596</c:v>
                </c:pt>
                <c:pt idx="806">
                  <c:v>150.84227389679111</c:v>
                </c:pt>
                <c:pt idx="807">
                  <c:v>153.50745181804942</c:v>
                </c:pt>
                <c:pt idx="808">
                  <c:v>153.50745181804942</c:v>
                </c:pt>
                <c:pt idx="809">
                  <c:v>153.50745181804942</c:v>
                </c:pt>
                <c:pt idx="810">
                  <c:v>154.59002864216708</c:v>
                </c:pt>
                <c:pt idx="811">
                  <c:v>154.59002864216708</c:v>
                </c:pt>
                <c:pt idx="812">
                  <c:v>153.53657944560416</c:v>
                </c:pt>
                <c:pt idx="813">
                  <c:v>155.1628719840769</c:v>
                </c:pt>
                <c:pt idx="814">
                  <c:v>152.8812078256226</c:v>
                </c:pt>
                <c:pt idx="815">
                  <c:v>152.8812078256226</c:v>
                </c:pt>
                <c:pt idx="816">
                  <c:v>152.8812078256226</c:v>
                </c:pt>
                <c:pt idx="817">
                  <c:v>153.04140977717364</c:v>
                </c:pt>
                <c:pt idx="818">
                  <c:v>151.30346133307441</c:v>
                </c:pt>
                <c:pt idx="819">
                  <c:v>154.23078790232535</c:v>
                </c:pt>
                <c:pt idx="820">
                  <c:v>151.01218505752706</c:v>
                </c:pt>
                <c:pt idx="821">
                  <c:v>151.90543230253897</c:v>
                </c:pt>
                <c:pt idx="822">
                  <c:v>151.90543230253897</c:v>
                </c:pt>
                <c:pt idx="823">
                  <c:v>151.90543230253897</c:v>
                </c:pt>
                <c:pt idx="824">
                  <c:v>149.99271809311131</c:v>
                </c:pt>
                <c:pt idx="825">
                  <c:v>152.27438225156561</c:v>
                </c:pt>
                <c:pt idx="826">
                  <c:v>153.17733870576239</c:v>
                </c:pt>
                <c:pt idx="827">
                  <c:v>151.82775862905967</c:v>
                </c:pt>
                <c:pt idx="828">
                  <c:v>152.14816253216176</c:v>
                </c:pt>
                <c:pt idx="829">
                  <c:v>152.14816253216176</c:v>
                </c:pt>
                <c:pt idx="830">
                  <c:v>152.14816253216176</c:v>
                </c:pt>
                <c:pt idx="831">
                  <c:v>151.33744356522161</c:v>
                </c:pt>
                <c:pt idx="832">
                  <c:v>152.02679741735037</c:v>
                </c:pt>
                <c:pt idx="833">
                  <c:v>152.45400262148647</c:v>
                </c:pt>
                <c:pt idx="834">
                  <c:v>148.06544006990629</c:v>
                </c:pt>
                <c:pt idx="835">
                  <c:v>143.98271760765084</c:v>
                </c:pt>
                <c:pt idx="836">
                  <c:v>143.98271760765084</c:v>
                </c:pt>
                <c:pt idx="837">
                  <c:v>143.98271760765084</c:v>
                </c:pt>
                <c:pt idx="838">
                  <c:v>142.16709549007234</c:v>
                </c:pt>
                <c:pt idx="839">
                  <c:v>140.90004369144134</c:v>
                </c:pt>
                <c:pt idx="840">
                  <c:v>139.89028593621052</c:v>
                </c:pt>
                <c:pt idx="841">
                  <c:v>141.53599689305304</c:v>
                </c:pt>
                <c:pt idx="842">
                  <c:v>140.69615029855817</c:v>
                </c:pt>
                <c:pt idx="843">
                  <c:v>140.69615029855817</c:v>
                </c:pt>
                <c:pt idx="844">
                  <c:v>140.69615029855817</c:v>
                </c:pt>
                <c:pt idx="845">
                  <c:v>137.05034224962375</c:v>
                </c:pt>
                <c:pt idx="846">
                  <c:v>136.08427593572503</c:v>
                </c:pt>
                <c:pt idx="847">
                  <c:v>139.55046361473856</c:v>
                </c:pt>
                <c:pt idx="848">
                  <c:v>140.57478518374677</c:v>
                </c:pt>
                <c:pt idx="849">
                  <c:v>139.1960774794893</c:v>
                </c:pt>
                <c:pt idx="850">
                  <c:v>139.1960774794893</c:v>
                </c:pt>
                <c:pt idx="851">
                  <c:v>139.1960774794893</c:v>
                </c:pt>
                <c:pt idx="852">
                  <c:v>140.50682071945241</c:v>
                </c:pt>
                <c:pt idx="853">
                  <c:v>140.04563328316908</c:v>
                </c:pt>
                <c:pt idx="854">
                  <c:v>140.93888052818099</c:v>
                </c:pt>
                <c:pt idx="855">
                  <c:v>136.73479295111414</c:v>
                </c:pt>
                <c:pt idx="856">
                  <c:v>136.37069760667995</c:v>
                </c:pt>
                <c:pt idx="857">
                  <c:v>136.37069760667995</c:v>
                </c:pt>
                <c:pt idx="858">
                  <c:v>136.37069760667995</c:v>
                </c:pt>
                <c:pt idx="859">
                  <c:v>133.23462303995339</c:v>
                </c:pt>
                <c:pt idx="860">
                  <c:v>132.60352444293412</c:v>
                </c:pt>
                <c:pt idx="861">
                  <c:v>131.23452594786153</c:v>
                </c:pt>
                <c:pt idx="862">
                  <c:v>134.02592358852371</c:v>
                </c:pt>
                <c:pt idx="863">
                  <c:v>136.62313704548765</c:v>
                </c:pt>
                <c:pt idx="864">
                  <c:v>136.62313704548765</c:v>
                </c:pt>
                <c:pt idx="865">
                  <c:v>136.62313704548765</c:v>
                </c:pt>
                <c:pt idx="866">
                  <c:v>133.22491383076849</c:v>
                </c:pt>
                <c:pt idx="867">
                  <c:v>131.10830622845768</c:v>
                </c:pt>
                <c:pt idx="868">
                  <c:v>133.42880722365166</c:v>
                </c:pt>
                <c:pt idx="869">
                  <c:v>134.02106898393126</c:v>
                </c:pt>
                <c:pt idx="870">
                  <c:v>133.08413029758725</c:v>
                </c:pt>
                <c:pt idx="871">
                  <c:v>133.08413029758725</c:v>
                </c:pt>
                <c:pt idx="872">
                  <c:v>133.08413029758725</c:v>
                </c:pt>
                <c:pt idx="873">
                  <c:v>134.42885576969758</c:v>
                </c:pt>
                <c:pt idx="874">
                  <c:v>133.87543084615757</c:v>
                </c:pt>
                <c:pt idx="875">
                  <c:v>137.05034224962375</c:v>
                </c:pt>
                <c:pt idx="876">
                  <c:v>138.57954269624736</c:v>
                </c:pt>
                <c:pt idx="877">
                  <c:v>137.99699014515267</c:v>
                </c:pt>
                <c:pt idx="878">
                  <c:v>137.99699014515267</c:v>
                </c:pt>
                <c:pt idx="879">
                  <c:v>137.99699014515267</c:v>
                </c:pt>
                <c:pt idx="880">
                  <c:v>141.09422787513955</c:v>
                </c:pt>
                <c:pt idx="881">
                  <c:v>139.68639254332734</c:v>
                </c:pt>
                <c:pt idx="882">
                  <c:v>140.21554444390503</c:v>
                </c:pt>
                <c:pt idx="883">
                  <c:v>140.13301616583328</c:v>
                </c:pt>
                <c:pt idx="884">
                  <c:v>140.93888052818099</c:v>
                </c:pt>
                <c:pt idx="885">
                  <c:v>140.93888052818099</c:v>
                </c:pt>
                <c:pt idx="886">
                  <c:v>140.93888052818099</c:v>
                </c:pt>
                <c:pt idx="887">
                  <c:v>145.91970484004077</c:v>
                </c:pt>
                <c:pt idx="888">
                  <c:v>144.67207145977957</c:v>
                </c:pt>
                <c:pt idx="889">
                  <c:v>142.93897762027282</c:v>
                </c:pt>
                <c:pt idx="890">
                  <c:v>142.0505849798534</c:v>
                </c:pt>
                <c:pt idx="891">
                  <c:v>141.71076265838147</c:v>
                </c:pt>
                <c:pt idx="892">
                  <c:v>141.71076265838147</c:v>
                </c:pt>
                <c:pt idx="893">
                  <c:v>141.71076265838147</c:v>
                </c:pt>
                <c:pt idx="894">
                  <c:v>141.27870284965286</c:v>
                </c:pt>
                <c:pt idx="895">
                  <c:v>137.39501917568813</c:v>
                </c:pt>
                <c:pt idx="896">
                  <c:v>133.04043885625515</c:v>
                </c:pt>
                <c:pt idx="897">
                  <c:v>137.2105442011748</c:v>
                </c:pt>
                <c:pt idx="898">
                  <c:v>137.2105442011748</c:v>
                </c:pt>
                <c:pt idx="899">
                  <c:v>137.2105442011748</c:v>
                </c:pt>
                <c:pt idx="900">
                  <c:v>137.2105442011748</c:v>
                </c:pt>
                <c:pt idx="901">
                  <c:v>137.56493033642408</c:v>
                </c:pt>
                <c:pt idx="902">
                  <c:v>134.01621437933881</c:v>
                </c:pt>
                <c:pt idx="903">
                  <c:v>133.77833875430844</c:v>
                </c:pt>
                <c:pt idx="904">
                  <c:v>134.57934851206369</c:v>
                </c:pt>
                <c:pt idx="905">
                  <c:v>132.1083547745036</c:v>
                </c:pt>
                <c:pt idx="906">
                  <c:v>132.1083547745036</c:v>
                </c:pt>
                <c:pt idx="907">
                  <c:v>132.1083547745036</c:v>
                </c:pt>
                <c:pt idx="908">
                  <c:v>139.62813728821789</c:v>
                </c:pt>
                <c:pt idx="909">
                  <c:v>139.5698820331084</c:v>
                </c:pt>
                <c:pt idx="910">
                  <c:v>136.10854895868732</c:v>
                </c:pt>
                <c:pt idx="911">
                  <c:v>135.33666682848678</c:v>
                </c:pt>
                <c:pt idx="912">
                  <c:v>132.90936453225882</c:v>
                </c:pt>
                <c:pt idx="913">
                  <c:v>132.90936453225882</c:v>
                </c:pt>
                <c:pt idx="914">
                  <c:v>132.90936453225882</c:v>
                </c:pt>
                <c:pt idx="915">
                  <c:v>130.41409777173646</c:v>
                </c:pt>
                <c:pt idx="916">
                  <c:v>131.83164231273363</c:v>
                </c:pt>
                <c:pt idx="917">
                  <c:v>137.72513228797513</c:v>
                </c:pt>
                <c:pt idx="918">
                  <c:v>133.81232098645563</c:v>
                </c:pt>
                <c:pt idx="919">
                  <c:v>133.85601242778776</c:v>
                </c:pt>
                <c:pt idx="920">
                  <c:v>133.85601242778776</c:v>
                </c:pt>
                <c:pt idx="921">
                  <c:v>133.85601242778776</c:v>
                </c:pt>
                <c:pt idx="922">
                  <c:v>131.55007524637119</c:v>
                </c:pt>
                <c:pt idx="923">
                  <c:v>131.09859701927277</c:v>
                </c:pt>
                <c:pt idx="924">
                  <c:v>129.34608476139618</c:v>
                </c:pt>
                <c:pt idx="925">
                  <c:v>129.93834652167581</c:v>
                </c:pt>
                <c:pt idx="926">
                  <c:v>135.21530171367539</c:v>
                </c:pt>
                <c:pt idx="927">
                  <c:v>135.21530171367539</c:v>
                </c:pt>
                <c:pt idx="928">
                  <c:v>135.21530171367539</c:v>
                </c:pt>
                <c:pt idx="929">
                  <c:v>138.5212874411379</c:v>
                </c:pt>
                <c:pt idx="930">
                  <c:v>140.77867857662994</c:v>
                </c:pt>
                <c:pt idx="931">
                  <c:v>145.42453517161027</c:v>
                </c:pt>
                <c:pt idx="932">
                  <c:v>146.48283897276565</c:v>
                </c:pt>
                <c:pt idx="933">
                  <c:v>146.08476139618429</c:v>
                </c:pt>
                <c:pt idx="934">
                  <c:v>146.08476139618429</c:v>
                </c:pt>
                <c:pt idx="935">
                  <c:v>146.08476139618429</c:v>
                </c:pt>
                <c:pt idx="936">
                  <c:v>145.82746735278411</c:v>
                </c:pt>
                <c:pt idx="937">
                  <c:v>147.46832370503421</c:v>
                </c:pt>
                <c:pt idx="938">
                  <c:v>146.01679693188987</c:v>
                </c:pt>
                <c:pt idx="939">
                  <c:v>143.76911500558279</c:v>
                </c:pt>
                <c:pt idx="940">
                  <c:v>140.7835331812224</c:v>
                </c:pt>
                <c:pt idx="941">
                  <c:v>140.7835331812224</c:v>
                </c:pt>
                <c:pt idx="942">
                  <c:v>140.7835331812224</c:v>
                </c:pt>
                <c:pt idx="943">
                  <c:v>140.67673188018836</c:v>
                </c:pt>
                <c:pt idx="944">
                  <c:v>138.39506772173405</c:v>
                </c:pt>
                <c:pt idx="945">
                  <c:v>137.93388028545075</c:v>
                </c:pt>
                <c:pt idx="946">
                  <c:v>139.97766881887469</c:v>
                </c:pt>
                <c:pt idx="947">
                  <c:v>138.54556046410019</c:v>
                </c:pt>
                <c:pt idx="948">
                  <c:v>138.54556046410019</c:v>
                </c:pt>
                <c:pt idx="949">
                  <c:v>138.54556046410019</c:v>
                </c:pt>
                <c:pt idx="950">
                  <c:v>134.01621437933881</c:v>
                </c:pt>
                <c:pt idx="951">
                  <c:v>133.25889606291568</c:v>
                </c:pt>
                <c:pt idx="952">
                  <c:v>133.75892033593863</c:v>
                </c:pt>
                <c:pt idx="953">
                  <c:v>133.48220787416864</c:v>
                </c:pt>
                <c:pt idx="954">
                  <c:v>137.22025341035973</c:v>
                </c:pt>
                <c:pt idx="955">
                  <c:v>137.22025341035973</c:v>
                </c:pt>
                <c:pt idx="956">
                  <c:v>137.22025341035973</c:v>
                </c:pt>
                <c:pt idx="957">
                  <c:v>138.30283023447737</c:v>
                </c:pt>
                <c:pt idx="958">
                  <c:v>138.30283023447737</c:v>
                </c:pt>
                <c:pt idx="959">
                  <c:v>143.3710374290014</c:v>
                </c:pt>
                <c:pt idx="960">
                  <c:v>145.8080489344143</c:v>
                </c:pt>
                <c:pt idx="961">
                  <c:v>139.74464779843683</c:v>
                </c:pt>
                <c:pt idx="962">
                  <c:v>139.74464779843683</c:v>
                </c:pt>
                <c:pt idx="963">
                  <c:v>139.74464779843683</c:v>
                </c:pt>
                <c:pt idx="964">
                  <c:v>138.70090781105878</c:v>
                </c:pt>
                <c:pt idx="965">
                  <c:v>136.62799165008008</c:v>
                </c:pt>
                <c:pt idx="966">
                  <c:v>134.23467158599931</c:v>
                </c:pt>
                <c:pt idx="967">
                  <c:v>135.54056022136996</c:v>
                </c:pt>
                <c:pt idx="968">
                  <c:v>133.01131122870044</c:v>
                </c:pt>
                <c:pt idx="969">
                  <c:v>133.01131122870044</c:v>
                </c:pt>
                <c:pt idx="970">
                  <c:v>133.01131122870044</c:v>
                </c:pt>
                <c:pt idx="971">
                  <c:v>135.46774115248311</c:v>
                </c:pt>
                <c:pt idx="972">
                  <c:v>134.71042283606002</c:v>
                </c:pt>
                <c:pt idx="973">
                  <c:v>134.98228069323756</c:v>
                </c:pt>
                <c:pt idx="974">
                  <c:v>129.11791834555075</c:v>
                </c:pt>
                <c:pt idx="975">
                  <c:v>129.09849992718091</c:v>
                </c:pt>
                <c:pt idx="976">
                  <c:v>129.09849992718091</c:v>
                </c:pt>
                <c:pt idx="977">
                  <c:v>129.09849992718091</c:v>
                </c:pt>
                <c:pt idx="978">
                  <c:v>136.71051992815185</c:v>
                </c:pt>
                <c:pt idx="979">
                  <c:v>135.79785426477014</c:v>
                </c:pt>
                <c:pt idx="980">
                  <c:v>137.61833098694112</c:v>
                </c:pt>
                <c:pt idx="981">
                  <c:v>136.030875285208</c:v>
                </c:pt>
                <c:pt idx="982">
                  <c:v>133.43851643283656</c:v>
                </c:pt>
                <c:pt idx="983">
                  <c:v>133.43851643283656</c:v>
                </c:pt>
                <c:pt idx="984">
                  <c:v>133.43851643283656</c:v>
                </c:pt>
                <c:pt idx="985">
                  <c:v>132.42875867760571</c:v>
                </c:pt>
                <c:pt idx="986">
                  <c:v>128.99655323073938</c:v>
                </c:pt>
                <c:pt idx="987">
                  <c:v>128.98684402155442</c:v>
                </c:pt>
                <c:pt idx="988">
                  <c:v>122.90887907179959</c:v>
                </c:pt>
                <c:pt idx="989">
                  <c:v>122.16126996456138</c:v>
                </c:pt>
                <c:pt idx="990">
                  <c:v>122.16126996456138</c:v>
                </c:pt>
                <c:pt idx="991">
                  <c:v>122.16126996456138</c:v>
                </c:pt>
                <c:pt idx="992">
                  <c:v>124.57886305160444</c:v>
                </c:pt>
                <c:pt idx="993">
                  <c:v>123.36521190349046</c:v>
                </c:pt>
                <c:pt idx="994">
                  <c:v>123.53997766881886</c:v>
                </c:pt>
                <c:pt idx="995">
                  <c:v>124.24874993931742</c:v>
                </c:pt>
                <c:pt idx="996">
                  <c:v>124.24874993931742</c:v>
                </c:pt>
                <c:pt idx="997">
                  <c:v>124.24874993931742</c:v>
                </c:pt>
                <c:pt idx="998">
                  <c:v>124.24874993931742</c:v>
                </c:pt>
                <c:pt idx="999">
                  <c:v>126.26341084518664</c:v>
                </c:pt>
                <c:pt idx="1000">
                  <c:v>130.69566483809893</c:v>
                </c:pt>
                <c:pt idx="1001">
                  <c:v>133.66182824408949</c:v>
                </c:pt>
                <c:pt idx="1002">
                  <c:v>132.33166658575658</c:v>
                </c:pt>
                <c:pt idx="1003">
                  <c:v>140.73013253070536</c:v>
                </c:pt>
                <c:pt idx="1004">
                  <c:v>140.73013253070536</c:v>
                </c:pt>
                <c:pt idx="1005">
                  <c:v>140.73013253070536</c:v>
                </c:pt>
                <c:pt idx="1006">
                  <c:v>144.3225399291228</c:v>
                </c:pt>
                <c:pt idx="1007">
                  <c:v>147.75959998058156</c:v>
                </c:pt>
                <c:pt idx="1008">
                  <c:v>146.60905869216953</c:v>
                </c:pt>
                <c:pt idx="1009">
                  <c:v>142.42438953347249</c:v>
                </c:pt>
                <c:pt idx="1010">
                  <c:v>147.56056119229086</c:v>
                </c:pt>
                <c:pt idx="1011">
                  <c:v>147.56056119229086</c:v>
                </c:pt>
                <c:pt idx="1012">
                  <c:v>147.56056119229086</c:v>
                </c:pt>
                <c:pt idx="1013">
                  <c:v>147.60910723821544</c:v>
                </c:pt>
                <c:pt idx="1014">
                  <c:v>147.2838487305209</c:v>
                </c:pt>
                <c:pt idx="1015">
                  <c:v>149.17714452157873</c:v>
                </c:pt>
                <c:pt idx="1016">
                  <c:v>151.25491528714986</c:v>
                </c:pt>
                <c:pt idx="1017">
                  <c:v>153.26472158842662</c:v>
                </c:pt>
                <c:pt idx="1018">
                  <c:v>153.26472158842662</c:v>
                </c:pt>
                <c:pt idx="1019">
                  <c:v>153.26472158842662</c:v>
                </c:pt>
                <c:pt idx="1020">
                  <c:v>153.31812223894363</c:v>
                </c:pt>
                <c:pt idx="1021">
                  <c:v>154.81334045342007</c:v>
                </c:pt>
                <c:pt idx="1022">
                  <c:v>154.57061022379725</c:v>
                </c:pt>
                <c:pt idx="1023">
                  <c:v>151.81319481528232</c:v>
                </c:pt>
                <c:pt idx="1024">
                  <c:v>150.69178115442497</c:v>
                </c:pt>
                <c:pt idx="1025">
                  <c:v>150.69178115442497</c:v>
                </c:pt>
                <c:pt idx="1026">
                  <c:v>150.69178115442497</c:v>
                </c:pt>
                <c:pt idx="1027">
                  <c:v>151.37628040196125</c:v>
                </c:pt>
                <c:pt idx="1028">
                  <c:v>152.59478615466767</c:v>
                </c:pt>
                <c:pt idx="1029">
                  <c:v>153.23073935627943</c:v>
                </c:pt>
                <c:pt idx="1030">
                  <c:v>152.92004466236224</c:v>
                </c:pt>
                <c:pt idx="1031">
                  <c:v>154.67741152483129</c:v>
                </c:pt>
                <c:pt idx="1032">
                  <c:v>154.67741152483129</c:v>
                </c:pt>
                <c:pt idx="1033">
                  <c:v>154.67741152483129</c:v>
                </c:pt>
                <c:pt idx="1034">
                  <c:v>154.67741152483129</c:v>
                </c:pt>
                <c:pt idx="1035">
                  <c:v>155.60464100199036</c:v>
                </c:pt>
                <c:pt idx="1036">
                  <c:v>154.61915626972183</c:v>
                </c:pt>
                <c:pt idx="1037">
                  <c:v>153.59968930530607</c:v>
                </c:pt>
                <c:pt idx="1038">
                  <c:v>153.90552939463078</c:v>
                </c:pt>
                <c:pt idx="1039">
                  <c:v>153.90552939463078</c:v>
                </c:pt>
                <c:pt idx="1040">
                  <c:v>153.90552939463078</c:v>
                </c:pt>
                <c:pt idx="1041">
                  <c:v>150.20632069517939</c:v>
                </c:pt>
                <c:pt idx="1042">
                  <c:v>149.28394582261274</c:v>
                </c:pt>
                <c:pt idx="1043">
                  <c:v>147.31297635807564</c:v>
                </c:pt>
                <c:pt idx="1044">
                  <c:v>147.81300063109859</c:v>
                </c:pt>
                <c:pt idx="1045">
                  <c:v>147.71590853924945</c:v>
                </c:pt>
                <c:pt idx="1046">
                  <c:v>147.71590853924945</c:v>
                </c:pt>
                <c:pt idx="1047">
                  <c:v>147.71590853924945</c:v>
                </c:pt>
                <c:pt idx="1048">
                  <c:v>146.60905869216953</c:v>
                </c:pt>
                <c:pt idx="1049">
                  <c:v>147.67707170250981</c:v>
                </c:pt>
                <c:pt idx="1050">
                  <c:v>147.1187921743774</c:v>
                </c:pt>
                <c:pt idx="1051">
                  <c:v>148.44895383271032</c:v>
                </c:pt>
                <c:pt idx="1052">
                  <c:v>145.98281469974268</c:v>
                </c:pt>
                <c:pt idx="1053">
                  <c:v>145.98281469974268</c:v>
                </c:pt>
                <c:pt idx="1054">
                  <c:v>145.98281469974268</c:v>
                </c:pt>
                <c:pt idx="1055">
                  <c:v>145.18665954657993</c:v>
                </c:pt>
                <c:pt idx="1056">
                  <c:v>143.68173212291859</c:v>
                </c:pt>
                <c:pt idx="1057">
                  <c:v>144.19632020971892</c:v>
                </c:pt>
                <c:pt idx="1058">
                  <c:v>141.83212777319287</c:v>
                </c:pt>
                <c:pt idx="1059">
                  <c:v>142.07000339822321</c:v>
                </c:pt>
                <c:pt idx="1060">
                  <c:v>142.07000339822321</c:v>
                </c:pt>
                <c:pt idx="1061">
                  <c:v>142.07000339822321</c:v>
                </c:pt>
                <c:pt idx="1062">
                  <c:v>144.08466430409243</c:v>
                </c:pt>
                <c:pt idx="1063">
                  <c:v>141.28355745424531</c:v>
                </c:pt>
                <c:pt idx="1064">
                  <c:v>145.30317005679888</c:v>
                </c:pt>
                <c:pt idx="1065">
                  <c:v>142.64770134472548</c:v>
                </c:pt>
                <c:pt idx="1066">
                  <c:v>140.92431671440363</c:v>
                </c:pt>
                <c:pt idx="1067">
                  <c:v>140.92431671440363</c:v>
                </c:pt>
                <c:pt idx="1068">
                  <c:v>140.92431671440363</c:v>
                </c:pt>
                <c:pt idx="1069">
                  <c:v>130.20049516966844</c:v>
                </c:pt>
                <c:pt idx="1070">
                  <c:v>131.66173115199766</c:v>
                </c:pt>
                <c:pt idx="1071">
                  <c:v>130.89470362638963</c:v>
                </c:pt>
                <c:pt idx="1072">
                  <c:v>130.61799116461964</c:v>
                </c:pt>
                <c:pt idx="1073">
                  <c:v>128.25379872809359</c:v>
                </c:pt>
                <c:pt idx="1074">
                  <c:v>128.25379872809359</c:v>
                </c:pt>
                <c:pt idx="1075">
                  <c:v>128.25379872809359</c:v>
                </c:pt>
                <c:pt idx="1076">
                  <c:v>128.89460653429776</c:v>
                </c:pt>
                <c:pt idx="1077">
                  <c:v>131.72969561629208</c:v>
                </c:pt>
                <c:pt idx="1078">
                  <c:v>134.4774018156221</c:v>
                </c:pt>
                <c:pt idx="1079">
                  <c:v>133.44822564202144</c:v>
                </c:pt>
                <c:pt idx="1080">
                  <c:v>132.40934025923588</c:v>
                </c:pt>
                <c:pt idx="1081">
                  <c:v>132.40934025923588</c:v>
                </c:pt>
                <c:pt idx="1082">
                  <c:v>132.40934025923588</c:v>
                </c:pt>
                <c:pt idx="1083">
                  <c:v>133.67639205786688</c:v>
                </c:pt>
                <c:pt idx="1084">
                  <c:v>131.79766008058644</c:v>
                </c:pt>
                <c:pt idx="1085">
                  <c:v>133.50162629253848</c:v>
                </c:pt>
                <c:pt idx="1086">
                  <c:v>135.24928394582261</c:v>
                </c:pt>
                <c:pt idx="1087">
                  <c:v>134.22981698140686</c:v>
                </c:pt>
                <c:pt idx="1088">
                  <c:v>134.22981698140686</c:v>
                </c:pt>
                <c:pt idx="1089">
                  <c:v>134.22981698140686</c:v>
                </c:pt>
                <c:pt idx="1090">
                  <c:v>136.38526142045731</c:v>
                </c:pt>
                <c:pt idx="1091">
                  <c:v>137.58920335938637</c:v>
                </c:pt>
                <c:pt idx="1092">
                  <c:v>136.73479295111414</c:v>
                </c:pt>
                <c:pt idx="1093">
                  <c:v>136.86586727511042</c:v>
                </c:pt>
                <c:pt idx="1094">
                  <c:v>136.86586727511042</c:v>
                </c:pt>
                <c:pt idx="1095">
                  <c:v>136.86586727511042</c:v>
                </c:pt>
                <c:pt idx="1096">
                  <c:v>136.86586727511042</c:v>
                </c:pt>
                <c:pt idx="1097">
                  <c:v>136.65711927763482</c:v>
                </c:pt>
                <c:pt idx="1098">
                  <c:v>136.56973639497062</c:v>
                </c:pt>
                <c:pt idx="1099">
                  <c:v>135.63279770862661</c:v>
                </c:pt>
                <c:pt idx="1100">
                  <c:v>133.85115782319531</c:v>
                </c:pt>
                <c:pt idx="1101">
                  <c:v>133.0452934608476</c:v>
                </c:pt>
                <c:pt idx="1102">
                  <c:v>133.0452934608476</c:v>
                </c:pt>
                <c:pt idx="1103">
                  <c:v>133.0452934608476</c:v>
                </c:pt>
                <c:pt idx="1104">
                  <c:v>130.632554978397</c:v>
                </c:pt>
                <c:pt idx="1105">
                  <c:v>134.08903344822562</c:v>
                </c:pt>
                <c:pt idx="1106">
                  <c:v>131.07432399631048</c:v>
                </c:pt>
                <c:pt idx="1107">
                  <c:v>132.10350016991114</c:v>
                </c:pt>
                <c:pt idx="1108">
                  <c:v>129.52570513131704</c:v>
                </c:pt>
                <c:pt idx="1109">
                  <c:v>129.52570513131704</c:v>
                </c:pt>
                <c:pt idx="1110">
                  <c:v>129.52570513131704</c:v>
                </c:pt>
                <c:pt idx="1111">
                  <c:v>130.22476819263071</c:v>
                </c:pt>
                <c:pt idx="1112">
                  <c:v>131.4724015728919</c:v>
                </c:pt>
                <c:pt idx="1113">
                  <c:v>129.2878295062867</c:v>
                </c:pt>
                <c:pt idx="1114">
                  <c:v>129.91892810330597</c:v>
                </c:pt>
                <c:pt idx="1115">
                  <c:v>130.07427545026457</c:v>
                </c:pt>
                <c:pt idx="1116">
                  <c:v>130.07427545026457</c:v>
                </c:pt>
                <c:pt idx="1117">
                  <c:v>130.07427545026457</c:v>
                </c:pt>
                <c:pt idx="1118">
                  <c:v>127.94310403417641</c:v>
                </c:pt>
                <c:pt idx="1119">
                  <c:v>125.01577746492546</c:v>
                </c:pt>
                <c:pt idx="1120">
                  <c:v>125.3895820185446</c:v>
                </c:pt>
                <c:pt idx="1121">
                  <c:v>126.61779698043594</c:v>
                </c:pt>
                <c:pt idx="1122">
                  <c:v>126.61779698043594</c:v>
                </c:pt>
                <c:pt idx="1123">
                  <c:v>126.61779698043594</c:v>
                </c:pt>
                <c:pt idx="1124">
                  <c:v>126.61779698043594</c:v>
                </c:pt>
                <c:pt idx="1125">
                  <c:v>123.95261905917762</c:v>
                </c:pt>
                <c:pt idx="1126">
                  <c:v>122.19039759211611</c:v>
                </c:pt>
                <c:pt idx="1127">
                  <c:v>124.51575319190252</c:v>
                </c:pt>
                <c:pt idx="1128">
                  <c:v>121.78746541094227</c:v>
                </c:pt>
                <c:pt idx="1129">
                  <c:v>121.64182727316859</c:v>
                </c:pt>
                <c:pt idx="1130">
                  <c:v>121.64182727316859</c:v>
                </c:pt>
                <c:pt idx="1131">
                  <c:v>121.64182727316859</c:v>
                </c:pt>
                <c:pt idx="1132">
                  <c:v>121.13209379096072</c:v>
                </c:pt>
                <c:pt idx="1133">
                  <c:v>119.559201903005</c:v>
                </c:pt>
                <c:pt idx="1134">
                  <c:v>114.60265061410749</c:v>
                </c:pt>
                <c:pt idx="1135">
                  <c:v>115.52988009126655</c:v>
                </c:pt>
                <c:pt idx="1136">
                  <c:v>113.22394290984998</c:v>
                </c:pt>
                <c:pt idx="1137">
                  <c:v>113.22394290984998</c:v>
                </c:pt>
                <c:pt idx="1138">
                  <c:v>113.22394290984998</c:v>
                </c:pt>
                <c:pt idx="1139">
                  <c:v>112.12194766736249</c:v>
                </c:pt>
                <c:pt idx="1140">
                  <c:v>123.06908102335063</c:v>
                </c:pt>
                <c:pt idx="1141">
                  <c:v>123.44288557696974</c:v>
                </c:pt>
                <c:pt idx="1142">
                  <c:v>123.44288557696974</c:v>
                </c:pt>
                <c:pt idx="1143">
                  <c:v>123.1079178600903</c:v>
                </c:pt>
                <c:pt idx="1144">
                  <c:v>123.1079178600903</c:v>
                </c:pt>
                <c:pt idx="1145">
                  <c:v>123.1079178600903</c:v>
                </c:pt>
                <c:pt idx="1146">
                  <c:v>121.77775620175734</c:v>
                </c:pt>
                <c:pt idx="1147">
                  <c:v>120.4621583572018</c:v>
                </c:pt>
                <c:pt idx="1148">
                  <c:v>113.50065537161997</c:v>
                </c:pt>
                <c:pt idx="1149">
                  <c:v>113.50065537161997</c:v>
                </c:pt>
                <c:pt idx="1150">
                  <c:v>118.89412107383852</c:v>
                </c:pt>
                <c:pt idx="1151">
                  <c:v>118.89412107383852</c:v>
                </c:pt>
                <c:pt idx="1152">
                  <c:v>118.89412107383852</c:v>
                </c:pt>
                <c:pt idx="1153">
                  <c:v>117.42803048691684</c:v>
                </c:pt>
                <c:pt idx="1154">
                  <c:v>118.39895140540801</c:v>
                </c:pt>
                <c:pt idx="1155">
                  <c:v>121.20491285984755</c:v>
                </c:pt>
                <c:pt idx="1156">
                  <c:v>123.37006650808291</c:v>
                </c:pt>
                <c:pt idx="1157">
                  <c:v>123.70988882955483</c:v>
                </c:pt>
                <c:pt idx="1158">
                  <c:v>123.70988882955483</c:v>
                </c:pt>
                <c:pt idx="1159">
                  <c:v>123.70988882955483</c:v>
                </c:pt>
                <c:pt idx="1160">
                  <c:v>125.39443662313705</c:v>
                </c:pt>
                <c:pt idx="1161">
                  <c:v>123.78270789844166</c:v>
                </c:pt>
                <c:pt idx="1162">
                  <c:v>119.83105976018254</c:v>
                </c:pt>
                <c:pt idx="1163">
                  <c:v>116.14641487450848</c:v>
                </c:pt>
                <c:pt idx="1164">
                  <c:v>110.95684256517306</c:v>
                </c:pt>
                <c:pt idx="1165">
                  <c:v>110.95684256517306</c:v>
                </c:pt>
                <c:pt idx="1166">
                  <c:v>110.95684256517306</c:v>
                </c:pt>
                <c:pt idx="1167">
                  <c:v>110.31603475896887</c:v>
                </c:pt>
                <c:pt idx="1168">
                  <c:v>112.64624496334773</c:v>
                </c:pt>
                <c:pt idx="1169">
                  <c:v>112.64624496334773</c:v>
                </c:pt>
                <c:pt idx="1170">
                  <c:v>117.51541336958104</c:v>
                </c:pt>
                <c:pt idx="1171">
                  <c:v>115.25316762949657</c:v>
                </c:pt>
                <c:pt idx="1172">
                  <c:v>115.25316762949657</c:v>
                </c:pt>
                <c:pt idx="1173">
                  <c:v>115.25316762949657</c:v>
                </c:pt>
                <c:pt idx="1174">
                  <c:v>114.46186708092625</c:v>
                </c:pt>
                <c:pt idx="1175">
                  <c:v>114.19000922374872</c:v>
                </c:pt>
                <c:pt idx="1176">
                  <c:v>114.48614010388853</c:v>
                </c:pt>
                <c:pt idx="1177">
                  <c:v>114.23370066508083</c:v>
                </c:pt>
                <c:pt idx="1178">
                  <c:v>111.60735958056216</c:v>
                </c:pt>
                <c:pt idx="1179">
                  <c:v>111.60735958056216</c:v>
                </c:pt>
                <c:pt idx="1180">
                  <c:v>111.60735958056216</c:v>
                </c:pt>
                <c:pt idx="1181">
                  <c:v>111.65590562648671</c:v>
                </c:pt>
                <c:pt idx="1182">
                  <c:v>111.65590562648671</c:v>
                </c:pt>
                <c:pt idx="1183">
                  <c:v>110.54420117481432</c:v>
                </c:pt>
                <c:pt idx="1184">
                  <c:v>111.23355502694305</c:v>
                </c:pt>
                <c:pt idx="1185">
                  <c:v>115.35025972134569</c:v>
                </c:pt>
                <c:pt idx="1186">
                  <c:v>115.35025972134569</c:v>
                </c:pt>
                <c:pt idx="1187">
                  <c:v>115.35025972134569</c:v>
                </c:pt>
                <c:pt idx="1188">
                  <c:v>114.73372493810379</c:v>
                </c:pt>
                <c:pt idx="1189">
                  <c:v>109.81115588135346</c:v>
                </c:pt>
                <c:pt idx="1190">
                  <c:v>109.146075052187</c:v>
                </c:pt>
                <c:pt idx="1191">
                  <c:v>108.56352250109227</c:v>
                </c:pt>
                <c:pt idx="1192">
                  <c:v>116.02019515510462</c:v>
                </c:pt>
                <c:pt idx="1193">
                  <c:v>116.02019515510462</c:v>
                </c:pt>
                <c:pt idx="1194">
                  <c:v>116.02019515510462</c:v>
                </c:pt>
                <c:pt idx="1195">
                  <c:v>116.63187533375405</c:v>
                </c:pt>
                <c:pt idx="1196">
                  <c:v>113.79193164716735</c:v>
                </c:pt>
                <c:pt idx="1197">
                  <c:v>110.80634982280692</c:v>
                </c:pt>
                <c:pt idx="1198">
                  <c:v>106.84499247536287</c:v>
                </c:pt>
                <c:pt idx="1199">
                  <c:v>107.17510558764988</c:v>
                </c:pt>
                <c:pt idx="1200">
                  <c:v>107.17510558764988</c:v>
                </c:pt>
                <c:pt idx="1201">
                  <c:v>107.17510558764988</c:v>
                </c:pt>
                <c:pt idx="1202">
                  <c:v>111.59765037137726</c:v>
                </c:pt>
                <c:pt idx="1203">
                  <c:v>108.49555803679792</c:v>
                </c:pt>
                <c:pt idx="1204">
                  <c:v>107.29161609786881</c:v>
                </c:pt>
                <c:pt idx="1205">
                  <c:v>102.67488713044321</c:v>
                </c:pt>
                <c:pt idx="1206">
                  <c:v>103.47589688819845</c:v>
                </c:pt>
                <c:pt idx="1207">
                  <c:v>103.47589688819845</c:v>
                </c:pt>
                <c:pt idx="1208">
                  <c:v>103.47589688819845</c:v>
                </c:pt>
                <c:pt idx="1209">
                  <c:v>107.8887324627409</c:v>
                </c:pt>
                <c:pt idx="1210">
                  <c:v>106.17505704160396</c:v>
                </c:pt>
                <c:pt idx="1211">
                  <c:v>111.19471819020342</c:v>
                </c:pt>
                <c:pt idx="1212">
                  <c:v>110.98597019272781</c:v>
                </c:pt>
                <c:pt idx="1213">
                  <c:v>110.82091363658431</c:v>
                </c:pt>
                <c:pt idx="1214">
                  <c:v>110.82091363658431</c:v>
                </c:pt>
                <c:pt idx="1215">
                  <c:v>110.82091363658431</c:v>
                </c:pt>
                <c:pt idx="1216">
                  <c:v>110.69469391718046</c:v>
                </c:pt>
                <c:pt idx="1217">
                  <c:v>115.13665711927763</c:v>
                </c:pt>
                <c:pt idx="1218">
                  <c:v>115.69493664741006</c:v>
                </c:pt>
                <c:pt idx="1219">
                  <c:v>112.85499296082332</c:v>
                </c:pt>
                <c:pt idx="1220">
                  <c:v>113.08801398126123</c:v>
                </c:pt>
                <c:pt idx="1221">
                  <c:v>113.08801398126123</c:v>
                </c:pt>
                <c:pt idx="1222">
                  <c:v>113.08801398126123</c:v>
                </c:pt>
                <c:pt idx="1223">
                  <c:v>111.12189912131656</c:v>
                </c:pt>
                <c:pt idx="1224">
                  <c:v>112.54429826690615</c:v>
                </c:pt>
                <c:pt idx="1225">
                  <c:v>118.79217437739695</c:v>
                </c:pt>
                <c:pt idx="1226">
                  <c:v>117.17559104810913</c:v>
                </c:pt>
                <c:pt idx="1227">
                  <c:v>118.56400796155154</c:v>
                </c:pt>
                <c:pt idx="1228">
                  <c:v>118.56400796155154</c:v>
                </c:pt>
                <c:pt idx="1229">
                  <c:v>118.56400796155154</c:v>
                </c:pt>
                <c:pt idx="1230">
                  <c:v>120.47672217097916</c:v>
                </c:pt>
                <c:pt idx="1231">
                  <c:v>121.08354774503616</c:v>
                </c:pt>
                <c:pt idx="1232">
                  <c:v>120.44273993883196</c:v>
                </c:pt>
                <c:pt idx="1233">
                  <c:v>121.12723918636826</c:v>
                </c:pt>
                <c:pt idx="1234">
                  <c:v>119.77765910966551</c:v>
                </c:pt>
                <c:pt idx="1235">
                  <c:v>119.77765910966551</c:v>
                </c:pt>
                <c:pt idx="1236">
                  <c:v>119.77765910966551</c:v>
                </c:pt>
                <c:pt idx="1237">
                  <c:v>119.64173018107674</c:v>
                </c:pt>
                <c:pt idx="1238">
                  <c:v>119.14656051264625</c:v>
                </c:pt>
                <c:pt idx="1239">
                  <c:v>120.22428273217147</c:v>
                </c:pt>
                <c:pt idx="1240">
                  <c:v>121.09811155881351</c:v>
                </c:pt>
                <c:pt idx="1241">
                  <c:v>120.44273993883196</c:v>
                </c:pt>
                <c:pt idx="1242">
                  <c:v>120.44273993883196</c:v>
                </c:pt>
                <c:pt idx="1243">
                  <c:v>120.44273993883196</c:v>
                </c:pt>
                <c:pt idx="1244">
                  <c:v>118.90383028302345</c:v>
                </c:pt>
                <c:pt idx="1245">
                  <c:v>117.37948444099227</c:v>
                </c:pt>
                <c:pt idx="1246">
                  <c:v>116.37943589494635</c:v>
                </c:pt>
                <c:pt idx="1247">
                  <c:v>114.00067964464296</c:v>
                </c:pt>
                <c:pt idx="1248">
                  <c:v>114.73372493810379</c:v>
                </c:pt>
                <c:pt idx="1249">
                  <c:v>114.73372493810379</c:v>
                </c:pt>
                <c:pt idx="1250">
                  <c:v>114.73372493810379</c:v>
                </c:pt>
                <c:pt idx="1251">
                  <c:v>114.28710131559782</c:v>
                </c:pt>
                <c:pt idx="1252">
                  <c:v>111.60250497596968</c:v>
                </c:pt>
                <c:pt idx="1253">
                  <c:v>112.893829797563</c:v>
                </c:pt>
                <c:pt idx="1254">
                  <c:v>116.80664109908247</c:v>
                </c:pt>
                <c:pt idx="1255">
                  <c:v>112.90839361134036</c:v>
                </c:pt>
                <c:pt idx="1256">
                  <c:v>112.90839361134036</c:v>
                </c:pt>
                <c:pt idx="1257">
                  <c:v>112.90839361134036</c:v>
                </c:pt>
                <c:pt idx="1258">
                  <c:v>104.84489538327102</c:v>
                </c:pt>
                <c:pt idx="1259">
                  <c:v>107.49065488615952</c:v>
                </c:pt>
                <c:pt idx="1260">
                  <c:v>106.5245885722608</c:v>
                </c:pt>
                <c:pt idx="1261">
                  <c:v>106.33040438856254</c:v>
                </c:pt>
                <c:pt idx="1262">
                  <c:v>106.33040438856254</c:v>
                </c:pt>
                <c:pt idx="1263">
                  <c:v>106.33040438856254</c:v>
                </c:pt>
                <c:pt idx="1264">
                  <c:v>106.33040438856254</c:v>
                </c:pt>
                <c:pt idx="1265">
                  <c:v>105.17500849555803</c:v>
                </c:pt>
                <c:pt idx="1266">
                  <c:v>104.36914413321034</c:v>
                </c:pt>
                <c:pt idx="1267">
                  <c:v>104.0972862760328</c:v>
                </c:pt>
                <c:pt idx="1268">
                  <c:v>103.38851400553423</c:v>
                </c:pt>
                <c:pt idx="1269">
                  <c:v>101.46123598232923</c:v>
                </c:pt>
                <c:pt idx="1270">
                  <c:v>101.46123598232923</c:v>
                </c:pt>
                <c:pt idx="1271">
                  <c:v>101.46123598232923</c:v>
                </c:pt>
                <c:pt idx="1272">
                  <c:v>99.805815816301759</c:v>
                </c:pt>
                <c:pt idx="1273">
                  <c:v>100.75246371183067</c:v>
                </c:pt>
                <c:pt idx="1274">
                  <c:v>102.19428127579009</c:v>
                </c:pt>
                <c:pt idx="1275">
                  <c:v>100.35438613524927</c:v>
                </c:pt>
                <c:pt idx="1276">
                  <c:v>101.59231030632554</c:v>
                </c:pt>
                <c:pt idx="1277">
                  <c:v>101.59231030632554</c:v>
                </c:pt>
                <c:pt idx="1278">
                  <c:v>101.59231030632554</c:v>
                </c:pt>
                <c:pt idx="1279">
                  <c:v>101.3107432399631</c:v>
                </c:pt>
                <c:pt idx="1280">
                  <c:v>100.28642167095489</c:v>
                </c:pt>
                <c:pt idx="1281">
                  <c:v>100.63595320161174</c:v>
                </c:pt>
                <c:pt idx="1282">
                  <c:v>102.47099373756008</c:v>
                </c:pt>
                <c:pt idx="1283">
                  <c:v>103.0292732656925</c:v>
                </c:pt>
                <c:pt idx="1284">
                  <c:v>103.0292732656925</c:v>
                </c:pt>
                <c:pt idx="1285">
                  <c:v>103.0292732656925</c:v>
                </c:pt>
                <c:pt idx="1286">
                  <c:v>105.14102626341084</c:v>
                </c:pt>
                <c:pt idx="1287">
                  <c:v>106.53915238603815</c:v>
                </c:pt>
                <c:pt idx="1288">
                  <c:v>106.95179377639693</c:v>
                </c:pt>
                <c:pt idx="1289">
                  <c:v>105.32064663333172</c:v>
                </c:pt>
                <c:pt idx="1290">
                  <c:v>105.73814262828292</c:v>
                </c:pt>
                <c:pt idx="1291">
                  <c:v>105.73814262828292</c:v>
                </c:pt>
                <c:pt idx="1292">
                  <c:v>105.73814262828292</c:v>
                </c:pt>
                <c:pt idx="1293">
                  <c:v>105.02937035778434</c:v>
                </c:pt>
                <c:pt idx="1294">
                  <c:v>105.24782756444489</c:v>
                </c:pt>
                <c:pt idx="1295">
                  <c:v>107.6605660468955</c:v>
                </c:pt>
                <c:pt idx="1296">
                  <c:v>109.3208408175154</c:v>
                </c:pt>
                <c:pt idx="1297">
                  <c:v>107.31103451623865</c:v>
                </c:pt>
                <c:pt idx="1298">
                  <c:v>107.31103451623865</c:v>
                </c:pt>
                <c:pt idx="1299">
                  <c:v>107.31103451623865</c:v>
                </c:pt>
                <c:pt idx="1300">
                  <c:v>108.34506529443178</c:v>
                </c:pt>
                <c:pt idx="1301">
                  <c:v>109.69949997572697</c:v>
                </c:pt>
                <c:pt idx="1302">
                  <c:v>105.50997621243749</c:v>
                </c:pt>
                <c:pt idx="1303">
                  <c:v>105.20899072770521</c:v>
                </c:pt>
                <c:pt idx="1304">
                  <c:v>102.10689839312587</c:v>
                </c:pt>
                <c:pt idx="1305">
                  <c:v>102.10689839312587</c:v>
                </c:pt>
                <c:pt idx="1306">
                  <c:v>102.10689839312587</c:v>
                </c:pt>
                <c:pt idx="1307">
                  <c:v>102.12631681149571</c:v>
                </c:pt>
                <c:pt idx="1308">
                  <c:v>101.35443468129522</c:v>
                </c:pt>
                <c:pt idx="1309">
                  <c:v>101.12626826544977</c:v>
                </c:pt>
                <c:pt idx="1310">
                  <c:v>98.669838341667074</c:v>
                </c:pt>
                <c:pt idx="1311">
                  <c:v>98.286324578863045</c:v>
                </c:pt>
                <c:pt idx="1312">
                  <c:v>98.286324578863045</c:v>
                </c:pt>
                <c:pt idx="1313">
                  <c:v>98.286324578863045</c:v>
                </c:pt>
                <c:pt idx="1314">
                  <c:v>101.93698723238991</c:v>
                </c:pt>
                <c:pt idx="1315">
                  <c:v>118.1804941987475</c:v>
                </c:pt>
                <c:pt idx="1316">
                  <c:v>121.63697266857613</c:v>
                </c:pt>
                <c:pt idx="1317">
                  <c:v>120.11748143113743</c:v>
                </c:pt>
                <c:pt idx="1318">
                  <c:v>120.23884654594883</c:v>
                </c:pt>
                <c:pt idx="1319">
                  <c:v>120.23884654594883</c:v>
                </c:pt>
                <c:pt idx="1320">
                  <c:v>120.23884654594883</c:v>
                </c:pt>
                <c:pt idx="1321">
                  <c:v>119.13199669886887</c:v>
                </c:pt>
                <c:pt idx="1322">
                  <c:v>116.16583329287829</c:v>
                </c:pt>
                <c:pt idx="1323">
                  <c:v>116.16583329287829</c:v>
                </c:pt>
                <c:pt idx="1324">
                  <c:v>117.50570416039614</c:v>
                </c:pt>
                <c:pt idx="1325">
                  <c:v>117.79212583135103</c:v>
                </c:pt>
                <c:pt idx="1326">
                  <c:v>117.79212583135103</c:v>
                </c:pt>
                <c:pt idx="1327">
                  <c:v>117.79212583135103</c:v>
                </c:pt>
                <c:pt idx="1328">
                  <c:v>118.88926646924607</c:v>
                </c:pt>
                <c:pt idx="1329">
                  <c:v>119.96213408417884</c:v>
                </c:pt>
                <c:pt idx="1330">
                  <c:v>122.11272391863682</c:v>
                </c:pt>
                <c:pt idx="1331">
                  <c:v>122.53992912277295</c:v>
                </c:pt>
                <c:pt idx="1332">
                  <c:v>126.07893587067332</c:v>
                </c:pt>
                <c:pt idx="1333">
                  <c:v>126.07893587067332</c:v>
                </c:pt>
                <c:pt idx="1334">
                  <c:v>126.07893587067332</c:v>
                </c:pt>
                <c:pt idx="1335">
                  <c:v>126.04980824311858</c:v>
                </c:pt>
                <c:pt idx="1336">
                  <c:v>126.8119811641342</c:v>
                </c:pt>
                <c:pt idx="1337">
                  <c:v>126.68090684013787</c:v>
                </c:pt>
                <c:pt idx="1338">
                  <c:v>128.40429147045973</c:v>
                </c:pt>
                <c:pt idx="1339">
                  <c:v>131.185979901937</c:v>
                </c:pt>
                <c:pt idx="1340">
                  <c:v>131.185979901937</c:v>
                </c:pt>
                <c:pt idx="1341">
                  <c:v>131.185979901937</c:v>
                </c:pt>
                <c:pt idx="1342">
                  <c:v>130.32671488907226</c:v>
                </c:pt>
                <c:pt idx="1343">
                  <c:v>127.95766784795377</c:v>
                </c:pt>
                <c:pt idx="1344">
                  <c:v>126.91392786057575</c:v>
                </c:pt>
                <c:pt idx="1345">
                  <c:v>126.62265158502839</c:v>
                </c:pt>
                <c:pt idx="1346">
                  <c:v>125.23423467158601</c:v>
                </c:pt>
                <c:pt idx="1347">
                  <c:v>125.23423467158601</c:v>
                </c:pt>
                <c:pt idx="1348">
                  <c:v>125.23423467158601</c:v>
                </c:pt>
                <c:pt idx="1349">
                  <c:v>128.49167435312395</c:v>
                </c:pt>
                <c:pt idx="1350">
                  <c:v>127.92854022039903</c:v>
                </c:pt>
                <c:pt idx="1351">
                  <c:v>125.8604786640128</c:v>
                </c:pt>
                <c:pt idx="1352">
                  <c:v>125.42841885528424</c:v>
                </c:pt>
                <c:pt idx="1353">
                  <c:v>124.44293412301566</c:v>
                </c:pt>
                <c:pt idx="1354">
                  <c:v>124.44293412301566</c:v>
                </c:pt>
                <c:pt idx="1355">
                  <c:v>124.44293412301566</c:v>
                </c:pt>
                <c:pt idx="1356">
                  <c:v>122.370017962037</c:v>
                </c:pt>
                <c:pt idx="1357">
                  <c:v>121.07383853585125</c:v>
                </c:pt>
                <c:pt idx="1358">
                  <c:v>121.21462206903246</c:v>
                </c:pt>
                <c:pt idx="1359">
                  <c:v>121.37967862517598</c:v>
                </c:pt>
                <c:pt idx="1360">
                  <c:v>121.37967862517598</c:v>
                </c:pt>
                <c:pt idx="1361">
                  <c:v>121.37967862517598</c:v>
                </c:pt>
                <c:pt idx="1362">
                  <c:v>121.37967862517598</c:v>
                </c:pt>
                <c:pt idx="1363">
                  <c:v>118.22418564007961</c:v>
                </c:pt>
                <c:pt idx="1364">
                  <c:v>116.78236807612019</c:v>
                </c:pt>
                <c:pt idx="1365">
                  <c:v>115.77746492548182</c:v>
                </c:pt>
                <c:pt idx="1366">
                  <c:v>116.04932278265936</c:v>
                </c:pt>
                <c:pt idx="1367">
                  <c:v>114.56381377736784</c:v>
                </c:pt>
                <c:pt idx="1368">
                  <c:v>114.56381377736784</c:v>
                </c:pt>
                <c:pt idx="1369">
                  <c:v>114.56381377736784</c:v>
                </c:pt>
                <c:pt idx="1370">
                  <c:v>116.24350696635759</c:v>
                </c:pt>
                <c:pt idx="1371">
                  <c:v>116.7580950531579</c:v>
                </c:pt>
                <c:pt idx="1372">
                  <c:v>117.2775377445507</c:v>
                </c:pt>
                <c:pt idx="1373">
                  <c:v>118.82130200495169</c:v>
                </c:pt>
                <c:pt idx="1374">
                  <c:v>118.15136657119277</c:v>
                </c:pt>
                <c:pt idx="1375">
                  <c:v>118.15136657119277</c:v>
                </c:pt>
                <c:pt idx="1376">
                  <c:v>118.15136657119277</c:v>
                </c:pt>
                <c:pt idx="1377">
                  <c:v>118.21447643089469</c:v>
                </c:pt>
                <c:pt idx="1378">
                  <c:v>115.56386232341376</c:v>
                </c:pt>
                <c:pt idx="1379">
                  <c:v>115.95223069081023</c:v>
                </c:pt>
                <c:pt idx="1380">
                  <c:v>114.55410456818291</c:v>
                </c:pt>
                <c:pt idx="1381">
                  <c:v>111.90834506529444</c:v>
                </c:pt>
                <c:pt idx="1382">
                  <c:v>111.90834506529444</c:v>
                </c:pt>
                <c:pt idx="1383">
                  <c:v>111.90834506529444</c:v>
                </c:pt>
                <c:pt idx="1384">
                  <c:v>109.34996844507015</c:v>
                </c:pt>
                <c:pt idx="1385">
                  <c:v>111.04422544783728</c:v>
                </c:pt>
                <c:pt idx="1386">
                  <c:v>111.84038060100004</c:v>
                </c:pt>
                <c:pt idx="1387">
                  <c:v>111.37433856012426</c:v>
                </c:pt>
                <c:pt idx="1388">
                  <c:v>113.00548570318946</c:v>
                </c:pt>
                <c:pt idx="1389">
                  <c:v>113.00548570318946</c:v>
                </c:pt>
                <c:pt idx="1390">
                  <c:v>113.00548570318946</c:v>
                </c:pt>
                <c:pt idx="1391">
                  <c:v>111.85979901936986</c:v>
                </c:pt>
                <c:pt idx="1392">
                  <c:v>111.17044516724113</c:v>
                </c:pt>
                <c:pt idx="1393">
                  <c:v>110.8743142871013</c:v>
                </c:pt>
                <c:pt idx="1394">
                  <c:v>113.33074421088401</c:v>
                </c:pt>
                <c:pt idx="1395">
                  <c:v>115.11238409631534</c:v>
                </c:pt>
                <c:pt idx="1396">
                  <c:v>115.11238409631534</c:v>
                </c:pt>
                <c:pt idx="1397">
                  <c:v>115.11238409631534</c:v>
                </c:pt>
                <c:pt idx="1398">
                  <c:v>117.89892713238508</c:v>
                </c:pt>
                <c:pt idx="1399">
                  <c:v>121.16607602310792</c:v>
                </c:pt>
                <c:pt idx="1400">
                  <c:v>122.20981601048595</c:v>
                </c:pt>
                <c:pt idx="1401">
                  <c:v>121.05927472207387</c:v>
                </c:pt>
                <c:pt idx="1402">
                  <c:v>119.87960580610708</c:v>
                </c:pt>
                <c:pt idx="1403">
                  <c:v>119.87960580610708</c:v>
                </c:pt>
                <c:pt idx="1404">
                  <c:v>119.87960580610708</c:v>
                </c:pt>
                <c:pt idx="1405">
                  <c:v>116.23379775717268</c:v>
                </c:pt>
                <c:pt idx="1406">
                  <c:v>116.66585756590125</c:v>
                </c:pt>
                <c:pt idx="1407">
                  <c:v>116.38914510413126</c:v>
                </c:pt>
                <c:pt idx="1408">
                  <c:v>113.95698820331084</c:v>
                </c:pt>
                <c:pt idx="1409">
                  <c:v>111.1073353075392</c:v>
                </c:pt>
                <c:pt idx="1410">
                  <c:v>111.1073353075392</c:v>
                </c:pt>
                <c:pt idx="1411">
                  <c:v>111.1073353075392</c:v>
                </c:pt>
                <c:pt idx="1412">
                  <c:v>114.71916112432643</c:v>
                </c:pt>
                <c:pt idx="1413">
                  <c:v>115.04927423661341</c:v>
                </c:pt>
                <c:pt idx="1414">
                  <c:v>114.94732754017186</c:v>
                </c:pt>
                <c:pt idx="1415">
                  <c:v>110.52963736103693</c:v>
                </c:pt>
                <c:pt idx="1416">
                  <c:v>114.39875722122433</c:v>
                </c:pt>
                <c:pt idx="1417">
                  <c:v>114.39875722122433</c:v>
                </c:pt>
                <c:pt idx="1418">
                  <c:v>114.39875722122433</c:v>
                </c:pt>
                <c:pt idx="1419">
                  <c:v>114.39875722122433</c:v>
                </c:pt>
                <c:pt idx="1420">
                  <c:v>114.89878149424729</c:v>
                </c:pt>
                <c:pt idx="1421">
                  <c:v>118.63197242584592</c:v>
                </c:pt>
                <c:pt idx="1422">
                  <c:v>120.26311956891109</c:v>
                </c:pt>
                <c:pt idx="1423">
                  <c:v>117.71445215787173</c:v>
                </c:pt>
                <c:pt idx="1424">
                  <c:v>117.71445215787173</c:v>
                </c:pt>
                <c:pt idx="1425">
                  <c:v>117.71445215787173</c:v>
                </c:pt>
                <c:pt idx="1426">
                  <c:v>118.24360405844942</c:v>
                </c:pt>
                <c:pt idx="1427">
                  <c:v>119.42327297441624</c:v>
                </c:pt>
                <c:pt idx="1428">
                  <c:v>117.65619690276228</c:v>
                </c:pt>
                <c:pt idx="1429">
                  <c:v>118.91353949220836</c:v>
                </c:pt>
                <c:pt idx="1430">
                  <c:v>123.72930724792465</c:v>
                </c:pt>
                <c:pt idx="1431">
                  <c:v>123.72930724792465</c:v>
                </c:pt>
                <c:pt idx="1432">
                  <c:v>123.72930724792465</c:v>
                </c:pt>
                <c:pt idx="1433">
                  <c:v>129.98689256760036</c:v>
                </c:pt>
                <c:pt idx="1434">
                  <c:v>126.50614107480945</c:v>
                </c:pt>
                <c:pt idx="1435">
                  <c:v>126.8119811641342</c:v>
                </c:pt>
                <c:pt idx="1436">
                  <c:v>127.59842710811202</c:v>
                </c:pt>
                <c:pt idx="1437">
                  <c:v>123.20015534734696</c:v>
                </c:pt>
                <c:pt idx="1438">
                  <c:v>123.20015534734696</c:v>
                </c:pt>
                <c:pt idx="1439">
                  <c:v>123.20015534734696</c:v>
                </c:pt>
                <c:pt idx="1440">
                  <c:v>119.88446041069953</c:v>
                </c:pt>
                <c:pt idx="1441">
                  <c:v>119.9330064566241</c:v>
                </c:pt>
                <c:pt idx="1442">
                  <c:v>121.83115685227439</c:v>
                </c:pt>
                <c:pt idx="1443">
                  <c:v>119.89902422447692</c:v>
                </c:pt>
                <c:pt idx="1444">
                  <c:v>121.78746541094227</c:v>
                </c:pt>
                <c:pt idx="1445">
                  <c:v>121.78746541094227</c:v>
                </c:pt>
                <c:pt idx="1446">
                  <c:v>121.78746541094227</c:v>
                </c:pt>
                <c:pt idx="1447">
                  <c:v>118.11738433904557</c:v>
                </c:pt>
                <c:pt idx="1448">
                  <c:v>119.64658478566921</c:v>
                </c:pt>
                <c:pt idx="1449">
                  <c:v>122.24379824263313</c:v>
                </c:pt>
                <c:pt idx="1450">
                  <c:v>122.7972231661731</c:v>
                </c:pt>
                <c:pt idx="1451">
                  <c:v>123.16617311519977</c:v>
                </c:pt>
                <c:pt idx="1452">
                  <c:v>123.16617311519977</c:v>
                </c:pt>
                <c:pt idx="1453">
                  <c:v>123.16617311519977</c:v>
                </c:pt>
                <c:pt idx="1454">
                  <c:v>121.04956551288896</c:v>
                </c:pt>
                <c:pt idx="1455">
                  <c:v>120.69517937763969</c:v>
                </c:pt>
                <c:pt idx="1456">
                  <c:v>121.18063983688528</c:v>
                </c:pt>
                <c:pt idx="1457">
                  <c:v>120.82625370163601</c:v>
                </c:pt>
                <c:pt idx="1458">
                  <c:v>120.82625370163601</c:v>
                </c:pt>
                <c:pt idx="1459">
                  <c:v>120.82625370163601</c:v>
                </c:pt>
                <c:pt idx="1460">
                  <c:v>120.82625370163601</c:v>
                </c:pt>
                <c:pt idx="1461">
                  <c:v>122.25350745181804</c:v>
                </c:pt>
                <c:pt idx="1462">
                  <c:v>120.2291373367639</c:v>
                </c:pt>
                <c:pt idx="1463">
                  <c:v>119.35530851012186</c:v>
                </c:pt>
                <c:pt idx="1464">
                  <c:v>118.64653623962329</c:v>
                </c:pt>
                <c:pt idx="1465">
                  <c:v>114.32593815233749</c:v>
                </c:pt>
                <c:pt idx="1466">
                  <c:v>114.32593815233749</c:v>
                </c:pt>
                <c:pt idx="1467">
                  <c:v>114.32593815233749</c:v>
                </c:pt>
                <c:pt idx="1468">
                  <c:v>111.44715762901112</c:v>
                </c:pt>
                <c:pt idx="1469">
                  <c:v>115.2386038157192</c:v>
                </c:pt>
                <c:pt idx="1470">
                  <c:v>116.69498519345598</c:v>
                </c:pt>
                <c:pt idx="1471">
                  <c:v>110.73353075392009</c:v>
                </c:pt>
                <c:pt idx="1472">
                  <c:v>114.31622894315257</c:v>
                </c:pt>
                <c:pt idx="1473">
                  <c:v>114.31622894315257</c:v>
                </c:pt>
                <c:pt idx="1474">
                  <c:v>114.31622894315257</c:v>
                </c:pt>
                <c:pt idx="1475">
                  <c:v>115.92310306325548</c:v>
                </c:pt>
                <c:pt idx="1476">
                  <c:v>120.40875770668478</c:v>
                </c:pt>
                <c:pt idx="1477">
                  <c:v>116.98626146900335</c:v>
                </c:pt>
                <c:pt idx="1478">
                  <c:v>119.16597893101606</c:v>
                </c:pt>
                <c:pt idx="1479">
                  <c:v>121.74862857420261</c:v>
                </c:pt>
                <c:pt idx="1480">
                  <c:v>121.74862857420261</c:v>
                </c:pt>
                <c:pt idx="1481">
                  <c:v>121.74862857420261</c:v>
                </c:pt>
                <c:pt idx="1482">
                  <c:v>120.04951696684304</c:v>
                </c:pt>
                <c:pt idx="1483">
                  <c:v>124.69537356182339</c:v>
                </c:pt>
                <c:pt idx="1484">
                  <c:v>127.62755473566676</c:v>
                </c:pt>
                <c:pt idx="1485">
                  <c:v>127.24404097286278</c:v>
                </c:pt>
                <c:pt idx="1486">
                  <c:v>129.32181173843389</c:v>
                </c:pt>
                <c:pt idx="1487">
                  <c:v>129.32181173843389</c:v>
                </c:pt>
                <c:pt idx="1488">
                  <c:v>129.32181173843389</c:v>
                </c:pt>
                <c:pt idx="1489">
                  <c:v>130.97723190446138</c:v>
                </c:pt>
                <c:pt idx="1490">
                  <c:v>129.04024467207145</c:v>
                </c:pt>
                <c:pt idx="1491">
                  <c:v>127.79746589640273</c:v>
                </c:pt>
                <c:pt idx="1492">
                  <c:v>128.30234477401817</c:v>
                </c:pt>
                <c:pt idx="1493">
                  <c:v>128.30234477401817</c:v>
                </c:pt>
                <c:pt idx="1494">
                  <c:v>128.30234477401817</c:v>
                </c:pt>
                <c:pt idx="1495">
                  <c:v>128.30234477401817</c:v>
                </c:pt>
                <c:pt idx="1496">
                  <c:v>127.91883101121412</c:v>
                </c:pt>
                <c:pt idx="1497">
                  <c:v>127.59357250351957</c:v>
                </c:pt>
                <c:pt idx="1498">
                  <c:v>130.3461333074421</c:v>
                </c:pt>
                <c:pt idx="1499">
                  <c:v>132.17631923879799</c:v>
                </c:pt>
                <c:pt idx="1500">
                  <c:v>131.86076994028838</c:v>
                </c:pt>
                <c:pt idx="1501">
                  <c:v>131.86076994028838</c:v>
                </c:pt>
                <c:pt idx="1502">
                  <c:v>131.86076994028838</c:v>
                </c:pt>
                <c:pt idx="1503">
                  <c:v>131.08403320549539</c:v>
                </c:pt>
                <c:pt idx="1504">
                  <c:v>131.04034176416332</c:v>
                </c:pt>
                <c:pt idx="1505">
                  <c:v>129.62279722316617</c:v>
                </c:pt>
                <c:pt idx="1506">
                  <c:v>124.7147919801932</c:v>
                </c:pt>
                <c:pt idx="1507">
                  <c:v>124.7147919801932</c:v>
                </c:pt>
                <c:pt idx="1508">
                  <c:v>124.7147919801932</c:v>
                </c:pt>
                <c:pt idx="1509">
                  <c:v>124.7147919801932</c:v>
                </c:pt>
                <c:pt idx="1510">
                  <c:v>126.4236127967377</c:v>
                </c:pt>
                <c:pt idx="1511">
                  <c:v>125.79251419971843</c:v>
                </c:pt>
                <c:pt idx="1512">
                  <c:v>125.29734453128793</c:v>
                </c:pt>
                <c:pt idx="1513">
                  <c:v>127.36055148308172</c:v>
                </c:pt>
                <c:pt idx="1514">
                  <c:v>127.36055148308172</c:v>
                </c:pt>
                <c:pt idx="1515">
                  <c:v>127.36055148308172</c:v>
                </c:pt>
                <c:pt idx="1516">
                  <c:v>127.36055148308172</c:v>
                </c:pt>
                <c:pt idx="1517">
                  <c:v>126.96247390650031</c:v>
                </c:pt>
                <c:pt idx="1518">
                  <c:v>128.95771639399968</c:v>
                </c:pt>
                <c:pt idx="1519">
                  <c:v>128.01592310306324</c:v>
                </c:pt>
                <c:pt idx="1520">
                  <c:v>128.35089081994272</c:v>
                </c:pt>
                <c:pt idx="1521">
                  <c:v>129.0014078353318</c:v>
                </c:pt>
                <c:pt idx="1522">
                  <c:v>129.0014078353318</c:v>
                </c:pt>
                <c:pt idx="1523">
                  <c:v>129.0014078353318</c:v>
                </c:pt>
                <c:pt idx="1524">
                  <c:v>125.89931550075244</c:v>
                </c:pt>
                <c:pt idx="1525">
                  <c:v>127.20520413612309</c:v>
                </c:pt>
                <c:pt idx="1526">
                  <c:v>125.58862080683528</c:v>
                </c:pt>
                <c:pt idx="1527">
                  <c:v>126.19544638089226</c:v>
                </c:pt>
                <c:pt idx="1528">
                  <c:v>126.17602796252245</c:v>
                </c:pt>
                <c:pt idx="1529">
                  <c:v>126.17602796252245</c:v>
                </c:pt>
                <c:pt idx="1530">
                  <c:v>126.17602796252245</c:v>
                </c:pt>
                <c:pt idx="1531">
                  <c:v>128.1081605903199</c:v>
                </c:pt>
                <c:pt idx="1532">
                  <c:v>128.1081605903199</c:v>
                </c:pt>
                <c:pt idx="1533">
                  <c:v>127.02072916160978</c:v>
                </c:pt>
                <c:pt idx="1534">
                  <c:v>127.97223166173114</c:v>
                </c:pt>
                <c:pt idx="1535">
                  <c:v>131.83164231273363</c:v>
                </c:pt>
                <c:pt idx="1536">
                  <c:v>131.83164231273363</c:v>
                </c:pt>
                <c:pt idx="1537">
                  <c:v>131.83164231273363</c:v>
                </c:pt>
                <c:pt idx="1538">
                  <c:v>134.92888004272052</c:v>
                </c:pt>
                <c:pt idx="1539">
                  <c:v>131.80251468517889</c:v>
                </c:pt>
                <c:pt idx="1540">
                  <c:v>134.66673139472789</c:v>
                </c:pt>
                <c:pt idx="1541">
                  <c:v>138.1717559104811</c:v>
                </c:pt>
                <c:pt idx="1542">
                  <c:v>137.08432448177095</c:v>
                </c:pt>
                <c:pt idx="1543">
                  <c:v>137.08432448177095</c:v>
                </c:pt>
                <c:pt idx="1544">
                  <c:v>137.08432448177095</c:v>
                </c:pt>
                <c:pt idx="1545">
                  <c:v>133.68124666245933</c:v>
                </c:pt>
                <c:pt idx="1546">
                  <c:v>133.68124666245933</c:v>
                </c:pt>
                <c:pt idx="1547">
                  <c:v>134.27350842273896</c:v>
                </c:pt>
                <c:pt idx="1548">
                  <c:v>133.44337103742902</c:v>
                </c:pt>
                <c:pt idx="1549">
                  <c:v>131.97728045050732</c:v>
                </c:pt>
                <c:pt idx="1550">
                  <c:v>131.97728045050732</c:v>
                </c:pt>
                <c:pt idx="1551">
                  <c:v>131.97728045050732</c:v>
                </c:pt>
                <c:pt idx="1552">
                  <c:v>132.09864556531869</c:v>
                </c:pt>
                <c:pt idx="1553">
                  <c:v>128.93829797562989</c:v>
                </c:pt>
                <c:pt idx="1554">
                  <c:v>127.80232050099518</c:v>
                </c:pt>
                <c:pt idx="1555">
                  <c:v>128.65187630467497</c:v>
                </c:pt>
                <c:pt idx="1556">
                  <c:v>128.62760328171271</c:v>
                </c:pt>
                <c:pt idx="1557">
                  <c:v>128.62760328171271</c:v>
                </c:pt>
                <c:pt idx="1558">
                  <c:v>128.62760328171271</c:v>
                </c:pt>
                <c:pt idx="1559">
                  <c:v>128.95771639399968</c:v>
                </c:pt>
                <c:pt idx="1560">
                  <c:v>132.2394290984999</c:v>
                </c:pt>
                <c:pt idx="1561">
                  <c:v>131.71513180251469</c:v>
                </c:pt>
                <c:pt idx="1562">
                  <c:v>134.72498664983738</c:v>
                </c:pt>
                <c:pt idx="1563">
                  <c:v>132.836545463372</c:v>
                </c:pt>
                <c:pt idx="1564">
                  <c:v>132.836545463372</c:v>
                </c:pt>
                <c:pt idx="1565">
                  <c:v>132.836545463372</c:v>
                </c:pt>
                <c:pt idx="1566">
                  <c:v>125.97698917423175</c:v>
                </c:pt>
                <c:pt idx="1567">
                  <c:v>125.87504247779017</c:v>
                </c:pt>
                <c:pt idx="1568">
                  <c:v>128.11786979950483</c:v>
                </c:pt>
                <c:pt idx="1569">
                  <c:v>126.81683576872665</c:v>
                </c:pt>
                <c:pt idx="1570">
                  <c:v>122.77295014321083</c:v>
                </c:pt>
                <c:pt idx="1571">
                  <c:v>122.77295014321083</c:v>
                </c:pt>
                <c:pt idx="1572">
                  <c:v>122.77295014321083</c:v>
                </c:pt>
                <c:pt idx="1573">
                  <c:v>118.33584154570609</c:v>
                </c:pt>
                <c:pt idx="1574">
                  <c:v>119.33589009175203</c:v>
                </c:pt>
                <c:pt idx="1575">
                  <c:v>120.23884654594883</c:v>
                </c:pt>
                <c:pt idx="1576">
                  <c:v>118.58342637992136</c:v>
                </c:pt>
                <c:pt idx="1577">
                  <c:v>118.56886256614399</c:v>
                </c:pt>
                <c:pt idx="1578">
                  <c:v>118.56886256614399</c:v>
                </c:pt>
                <c:pt idx="1579">
                  <c:v>118.56886256614399</c:v>
                </c:pt>
                <c:pt idx="1580">
                  <c:v>118.59313558910627</c:v>
                </c:pt>
                <c:pt idx="1581">
                  <c:v>118.45235205592503</c:v>
                </c:pt>
                <c:pt idx="1582">
                  <c:v>117.78241662216612</c:v>
                </c:pt>
                <c:pt idx="1583">
                  <c:v>119.74853148211078</c:v>
                </c:pt>
                <c:pt idx="1584">
                  <c:v>120.37477547453759</c:v>
                </c:pt>
                <c:pt idx="1585">
                  <c:v>120.37477547453759</c:v>
                </c:pt>
                <c:pt idx="1586">
                  <c:v>120.37477547453759</c:v>
                </c:pt>
                <c:pt idx="1587">
                  <c:v>120.75343463274916</c:v>
                </c:pt>
                <c:pt idx="1588">
                  <c:v>121.55929899509685</c:v>
                </c:pt>
                <c:pt idx="1589">
                  <c:v>119.41841836982378</c:v>
                </c:pt>
                <c:pt idx="1590">
                  <c:v>119.62716636729938</c:v>
                </c:pt>
                <c:pt idx="1591">
                  <c:v>119.29705325501239</c:v>
                </c:pt>
                <c:pt idx="1592">
                  <c:v>119.29705325501239</c:v>
                </c:pt>
                <c:pt idx="1593">
                  <c:v>119.29705325501239</c:v>
                </c:pt>
                <c:pt idx="1594">
                  <c:v>118.29215010437399</c:v>
                </c:pt>
                <c:pt idx="1595">
                  <c:v>117.48143113743386</c:v>
                </c:pt>
                <c:pt idx="1596">
                  <c:v>116.26777998931988</c:v>
                </c:pt>
                <c:pt idx="1597">
                  <c:v>116.73867663478809</c:v>
                </c:pt>
                <c:pt idx="1598">
                  <c:v>117.74357978542646</c:v>
                </c:pt>
                <c:pt idx="1599">
                  <c:v>117.74357978542646</c:v>
                </c:pt>
                <c:pt idx="1600">
                  <c:v>117.74357978542646</c:v>
                </c:pt>
                <c:pt idx="1601">
                  <c:v>117.9377639691247</c:v>
                </c:pt>
                <c:pt idx="1602">
                  <c:v>116.79207728530511</c:v>
                </c:pt>
                <c:pt idx="1603">
                  <c:v>115.1852031652022</c:v>
                </c:pt>
                <c:pt idx="1604">
                  <c:v>114.33079275692994</c:v>
                </c:pt>
                <c:pt idx="1605">
                  <c:v>116.14156026991603</c:v>
                </c:pt>
                <c:pt idx="1606">
                  <c:v>116.14156026991603</c:v>
                </c:pt>
                <c:pt idx="1607">
                  <c:v>116.14156026991603</c:v>
                </c:pt>
                <c:pt idx="1608">
                  <c:v>116.69498519345598</c:v>
                </c:pt>
                <c:pt idx="1609">
                  <c:v>117.92320015534735</c:v>
                </c:pt>
                <c:pt idx="1610">
                  <c:v>121.24860430117965</c:v>
                </c:pt>
                <c:pt idx="1611">
                  <c:v>121.27773192873438</c:v>
                </c:pt>
                <c:pt idx="1612">
                  <c:v>121.63211806398368</c:v>
                </c:pt>
                <c:pt idx="1613">
                  <c:v>121.63211806398368</c:v>
                </c:pt>
                <c:pt idx="1614">
                  <c:v>121.63211806398368</c:v>
                </c:pt>
                <c:pt idx="1615">
                  <c:v>119.88446041069953</c:v>
                </c:pt>
                <c:pt idx="1616">
                  <c:v>119.53978348463517</c:v>
                </c:pt>
                <c:pt idx="1617">
                  <c:v>119.9766978979562</c:v>
                </c:pt>
                <c:pt idx="1618">
                  <c:v>120.26797417350356</c:v>
                </c:pt>
                <c:pt idx="1619">
                  <c:v>118.50575270644205</c:v>
                </c:pt>
                <c:pt idx="1620">
                  <c:v>118.50575270644205</c:v>
                </c:pt>
                <c:pt idx="1621">
                  <c:v>118.50575270644205</c:v>
                </c:pt>
                <c:pt idx="1622">
                  <c:v>119.69027622700131</c:v>
                </c:pt>
                <c:pt idx="1623">
                  <c:v>121.06412932666632</c:v>
                </c:pt>
                <c:pt idx="1624">
                  <c:v>120.9039273751153</c:v>
                </c:pt>
                <c:pt idx="1625">
                  <c:v>122.69042186513907</c:v>
                </c:pt>
                <c:pt idx="1626">
                  <c:v>122.69042186513907</c:v>
                </c:pt>
                <c:pt idx="1627">
                  <c:v>122.69042186513907</c:v>
                </c:pt>
                <c:pt idx="1628">
                  <c:v>122.69042186513907</c:v>
                </c:pt>
                <c:pt idx="1629">
                  <c:v>122.370017962037</c:v>
                </c:pt>
                <c:pt idx="1630">
                  <c:v>119.43298218360114</c:v>
                </c:pt>
                <c:pt idx="1631">
                  <c:v>117.35035681343753</c:v>
                </c:pt>
                <c:pt idx="1632">
                  <c:v>118.08825671149083</c:v>
                </c:pt>
                <c:pt idx="1633">
                  <c:v>119.22423418612553</c:v>
                </c:pt>
                <c:pt idx="1634">
                  <c:v>119.22423418612553</c:v>
                </c:pt>
                <c:pt idx="1635">
                  <c:v>119.22423418612553</c:v>
                </c:pt>
                <c:pt idx="1636">
                  <c:v>123.81669013058887</c:v>
                </c:pt>
                <c:pt idx="1637">
                  <c:v>124.72450118937812</c:v>
                </c:pt>
                <c:pt idx="1638">
                  <c:v>123.88465459488324</c:v>
                </c:pt>
                <c:pt idx="1639">
                  <c:v>121.18063983688528</c:v>
                </c:pt>
                <c:pt idx="1640">
                  <c:v>121.05927472207387</c:v>
                </c:pt>
                <c:pt idx="1641">
                  <c:v>121.05927472207387</c:v>
                </c:pt>
                <c:pt idx="1642">
                  <c:v>121.05927472207387</c:v>
                </c:pt>
                <c:pt idx="1643">
                  <c:v>119.88446041069953</c:v>
                </c:pt>
                <c:pt idx="1644">
                  <c:v>123.02538958201853</c:v>
                </c:pt>
                <c:pt idx="1645">
                  <c:v>123.15646390601485</c:v>
                </c:pt>
                <c:pt idx="1646">
                  <c:v>121.80688382931208</c:v>
                </c:pt>
                <c:pt idx="1647">
                  <c:v>118.5348803339968</c:v>
                </c:pt>
                <c:pt idx="1648">
                  <c:v>118.5348803339968</c:v>
                </c:pt>
                <c:pt idx="1649">
                  <c:v>118.5348803339968</c:v>
                </c:pt>
                <c:pt idx="1650">
                  <c:v>116.85518714500705</c:v>
                </c:pt>
                <c:pt idx="1651">
                  <c:v>120.96218263022476</c:v>
                </c:pt>
                <c:pt idx="1652">
                  <c:v>122.02534103597262</c:v>
                </c:pt>
                <c:pt idx="1653">
                  <c:v>122.54963833195787</c:v>
                </c:pt>
                <c:pt idx="1654">
                  <c:v>120.96218263022476</c:v>
                </c:pt>
                <c:pt idx="1655">
                  <c:v>120.96218263022476</c:v>
                </c:pt>
                <c:pt idx="1656">
                  <c:v>120.96218263022476</c:v>
                </c:pt>
                <c:pt idx="1657">
                  <c:v>121.50589834457983</c:v>
                </c:pt>
                <c:pt idx="1658">
                  <c:v>122.9962619544638</c:v>
                </c:pt>
                <c:pt idx="1659">
                  <c:v>120.5835234720132</c:v>
                </c:pt>
                <c:pt idx="1660">
                  <c:v>119.74367687751833</c:v>
                </c:pt>
                <c:pt idx="1661">
                  <c:v>121.54473518131948</c:v>
                </c:pt>
                <c:pt idx="1662">
                  <c:v>121.54473518131948</c:v>
                </c:pt>
                <c:pt idx="1663">
                  <c:v>121.54473518131948</c:v>
                </c:pt>
                <c:pt idx="1664">
                  <c:v>121.82630224768192</c:v>
                </c:pt>
                <c:pt idx="1665">
                  <c:v>124.76819263071022</c:v>
                </c:pt>
                <c:pt idx="1666">
                  <c:v>123.45259478615466</c:v>
                </c:pt>
                <c:pt idx="1667">
                  <c:v>122.83606000291276</c:v>
                </c:pt>
                <c:pt idx="1668">
                  <c:v>122.87489683965241</c:v>
                </c:pt>
                <c:pt idx="1669">
                  <c:v>122.87489683965241</c:v>
                </c:pt>
                <c:pt idx="1670">
                  <c:v>122.87489683965241</c:v>
                </c:pt>
                <c:pt idx="1671">
                  <c:v>123.03024418661099</c:v>
                </c:pt>
                <c:pt idx="1672">
                  <c:v>123.50114083207922</c:v>
                </c:pt>
                <c:pt idx="1673">
                  <c:v>121.79232001553473</c:v>
                </c:pt>
                <c:pt idx="1674">
                  <c:v>120.88936356133793</c:v>
                </c:pt>
                <c:pt idx="1675">
                  <c:v>121.50589834457983</c:v>
                </c:pt>
                <c:pt idx="1676">
                  <c:v>121.50589834457983</c:v>
                </c:pt>
                <c:pt idx="1677">
                  <c:v>121.50589834457983</c:v>
                </c:pt>
                <c:pt idx="1678">
                  <c:v>120.05922617602795</c:v>
                </c:pt>
                <c:pt idx="1679">
                  <c:v>119.62716636729938</c:v>
                </c:pt>
                <c:pt idx="1680">
                  <c:v>116.94257002767124</c:v>
                </c:pt>
                <c:pt idx="1681">
                  <c:v>117.36977523180737</c:v>
                </c:pt>
                <c:pt idx="1682">
                  <c:v>116.32603524442935</c:v>
                </c:pt>
                <c:pt idx="1683">
                  <c:v>116.32603524442935</c:v>
                </c:pt>
                <c:pt idx="1684">
                  <c:v>116.32603524442935</c:v>
                </c:pt>
                <c:pt idx="1685">
                  <c:v>114.1026263410845</c:v>
                </c:pt>
                <c:pt idx="1686">
                  <c:v>112.43749696587213</c:v>
                </c:pt>
                <c:pt idx="1687">
                  <c:v>111.53939511626778</c:v>
                </c:pt>
                <c:pt idx="1688">
                  <c:v>111.53939511626778</c:v>
                </c:pt>
                <c:pt idx="1689">
                  <c:v>113.13656002718579</c:v>
                </c:pt>
                <c:pt idx="1690">
                  <c:v>113.13656002718579</c:v>
                </c:pt>
                <c:pt idx="1691">
                  <c:v>113.13656002718579</c:v>
                </c:pt>
                <c:pt idx="1692">
                  <c:v>113.61716588183893</c:v>
                </c:pt>
                <c:pt idx="1693">
                  <c:v>117.02024370115053</c:v>
                </c:pt>
                <c:pt idx="1694">
                  <c:v>114.24340987426574</c:v>
                </c:pt>
                <c:pt idx="1695">
                  <c:v>117.84552648186806</c:v>
                </c:pt>
                <c:pt idx="1696">
                  <c:v>119.06403223457448</c:v>
                </c:pt>
                <c:pt idx="1697">
                  <c:v>119.06403223457448</c:v>
                </c:pt>
                <c:pt idx="1698">
                  <c:v>119.06403223457448</c:v>
                </c:pt>
                <c:pt idx="1699">
                  <c:v>118.47177047429487</c:v>
                </c:pt>
                <c:pt idx="1700">
                  <c:v>118.99606777028011</c:v>
                </c:pt>
                <c:pt idx="1701">
                  <c:v>116.5056556143502</c:v>
                </c:pt>
                <c:pt idx="1702">
                  <c:v>117.0687897470751</c:v>
                </c:pt>
                <c:pt idx="1703">
                  <c:v>114.69003349677169</c:v>
                </c:pt>
                <c:pt idx="1704">
                  <c:v>114.69003349677169</c:v>
                </c:pt>
                <c:pt idx="1705">
                  <c:v>114.69003349677169</c:v>
                </c:pt>
                <c:pt idx="1706">
                  <c:v>115.53473469585902</c:v>
                </c:pt>
                <c:pt idx="1707">
                  <c:v>116.77265886693529</c:v>
                </c:pt>
                <c:pt idx="1708">
                  <c:v>117.9377639691247</c:v>
                </c:pt>
                <c:pt idx="1709">
                  <c:v>117.80668964512839</c:v>
                </c:pt>
                <c:pt idx="1710">
                  <c:v>118.13194815282296</c:v>
                </c:pt>
                <c:pt idx="1711">
                  <c:v>118.13194815282296</c:v>
                </c:pt>
                <c:pt idx="1712">
                  <c:v>118.13194815282296</c:v>
                </c:pt>
                <c:pt idx="1713">
                  <c:v>123.7681440846643</c:v>
                </c:pt>
                <c:pt idx="1714">
                  <c:v>123.44288557696974</c:v>
                </c:pt>
                <c:pt idx="1715">
                  <c:v>123.2389921840866</c:v>
                </c:pt>
                <c:pt idx="1716">
                  <c:v>122.43798242633137</c:v>
                </c:pt>
                <c:pt idx="1717">
                  <c:v>123.56425069178114</c:v>
                </c:pt>
                <c:pt idx="1718">
                  <c:v>123.56425069178114</c:v>
                </c:pt>
                <c:pt idx="1719">
                  <c:v>123.56425069178114</c:v>
                </c:pt>
                <c:pt idx="1720">
                  <c:v>113.88416913442401</c:v>
                </c:pt>
                <c:pt idx="1721">
                  <c:v>116.25807078013494</c:v>
                </c:pt>
                <c:pt idx="1722">
                  <c:v>116.42312733627844</c:v>
                </c:pt>
                <c:pt idx="1723">
                  <c:v>117.09791737462984</c:v>
                </c:pt>
                <c:pt idx="1724">
                  <c:v>117.09791737462984</c:v>
                </c:pt>
                <c:pt idx="1725">
                  <c:v>117.09791737462984</c:v>
                </c:pt>
                <c:pt idx="1726">
                  <c:v>117.09791737462984</c:v>
                </c:pt>
                <c:pt idx="1727">
                  <c:v>116.92800621389388</c:v>
                </c:pt>
                <c:pt idx="1728">
                  <c:v>116.31632603524442</c:v>
                </c:pt>
                <c:pt idx="1729">
                  <c:v>114.8308170299529</c:v>
                </c:pt>
                <c:pt idx="1730">
                  <c:v>115.7240642749648</c:v>
                </c:pt>
                <c:pt idx="1731">
                  <c:v>113.64629350939366</c:v>
                </c:pt>
                <c:pt idx="1732">
                  <c:v>113.64629350939366</c:v>
                </c:pt>
                <c:pt idx="1733">
                  <c:v>113.64629350939366</c:v>
                </c:pt>
                <c:pt idx="1734">
                  <c:v>115.37453274430798</c:v>
                </c:pt>
                <c:pt idx="1735">
                  <c:v>112.22874896839652</c:v>
                </c:pt>
                <c:pt idx="1736">
                  <c:v>116.84062333122966</c:v>
                </c:pt>
                <c:pt idx="1737">
                  <c:v>116.03961357347443</c:v>
                </c:pt>
                <c:pt idx="1738">
                  <c:v>114.54924996359046</c:v>
                </c:pt>
                <c:pt idx="1739">
                  <c:v>114.54924996359046</c:v>
                </c:pt>
                <c:pt idx="1740">
                  <c:v>114.54924996359046</c:v>
                </c:pt>
                <c:pt idx="1741">
                  <c:v>112.18505752706443</c:v>
                </c:pt>
                <c:pt idx="1742">
                  <c:v>112.30156803728337</c:v>
                </c:pt>
                <c:pt idx="1743">
                  <c:v>110.90829651924852</c:v>
                </c:pt>
                <c:pt idx="1744">
                  <c:v>109.26744016699841</c:v>
                </c:pt>
                <c:pt idx="1745">
                  <c:v>109.93252099616487</c:v>
                </c:pt>
                <c:pt idx="1746">
                  <c:v>109.93252099616487</c:v>
                </c:pt>
                <c:pt idx="1747">
                  <c:v>109.93252099616487</c:v>
                </c:pt>
                <c:pt idx="1748">
                  <c:v>108.4518665954658</c:v>
                </c:pt>
                <c:pt idx="1749">
                  <c:v>109.1800572843342</c:v>
                </c:pt>
                <c:pt idx="1750">
                  <c:v>109.44706053691927</c:v>
                </c:pt>
                <c:pt idx="1751">
                  <c:v>107.44210884023495</c:v>
                </c:pt>
                <c:pt idx="1752">
                  <c:v>107.19452400601969</c:v>
                </c:pt>
                <c:pt idx="1753">
                  <c:v>107.19452400601969</c:v>
                </c:pt>
                <c:pt idx="1754">
                  <c:v>107.19452400601969</c:v>
                </c:pt>
                <c:pt idx="1755">
                  <c:v>108.30137385309966</c:v>
                </c:pt>
                <c:pt idx="1756">
                  <c:v>107.61687460556337</c:v>
                </c:pt>
                <c:pt idx="1757">
                  <c:v>108.35477450361668</c:v>
                </c:pt>
                <c:pt idx="1758">
                  <c:v>107.4032720034953</c:v>
                </c:pt>
                <c:pt idx="1759">
                  <c:v>105.66532355939609</c:v>
                </c:pt>
                <c:pt idx="1760">
                  <c:v>105.66532355939609</c:v>
                </c:pt>
                <c:pt idx="1761">
                  <c:v>105.66532355939609</c:v>
                </c:pt>
                <c:pt idx="1762">
                  <c:v>105.93232681198117</c:v>
                </c:pt>
                <c:pt idx="1763">
                  <c:v>103.70891790863635</c:v>
                </c:pt>
                <c:pt idx="1764">
                  <c:v>103.45162386523616</c:v>
                </c:pt>
                <c:pt idx="1765">
                  <c:v>103.8254284188553</c:v>
                </c:pt>
                <c:pt idx="1766">
                  <c:v>102.58750424777901</c:v>
                </c:pt>
                <c:pt idx="1767">
                  <c:v>102.58750424777901</c:v>
                </c:pt>
                <c:pt idx="1768">
                  <c:v>102.58750424777901</c:v>
                </c:pt>
                <c:pt idx="1769">
                  <c:v>102.58750424777901</c:v>
                </c:pt>
                <c:pt idx="1770">
                  <c:v>101.55832807417835</c:v>
                </c:pt>
                <c:pt idx="1771">
                  <c:v>105.61192290887907</c:v>
                </c:pt>
                <c:pt idx="1772">
                  <c:v>105.8400893247245</c:v>
                </c:pt>
                <c:pt idx="1773">
                  <c:v>105.95174523035098</c:v>
                </c:pt>
                <c:pt idx="1774">
                  <c:v>105.95174523035098</c:v>
                </c:pt>
                <c:pt idx="1775">
                  <c:v>105.95174523035098</c:v>
                </c:pt>
                <c:pt idx="1776">
                  <c:v>105.58764988591678</c:v>
                </c:pt>
                <c:pt idx="1777">
                  <c:v>105.40802951599591</c:v>
                </c:pt>
                <c:pt idx="1778">
                  <c:v>106.29642215641535</c:v>
                </c:pt>
                <c:pt idx="1779">
                  <c:v>106.21874848293606</c:v>
                </c:pt>
                <c:pt idx="1780">
                  <c:v>106.29642215641535</c:v>
                </c:pt>
                <c:pt idx="1781">
                  <c:v>106.29642215641535</c:v>
                </c:pt>
                <c:pt idx="1782">
                  <c:v>106.29642215641535</c:v>
                </c:pt>
                <c:pt idx="1783">
                  <c:v>106.8207194524006</c:v>
                </c:pt>
                <c:pt idx="1784">
                  <c:v>107.4372542356425</c:v>
                </c:pt>
                <c:pt idx="1785">
                  <c:v>107.26248847031408</c:v>
                </c:pt>
                <c:pt idx="1786">
                  <c:v>106.34011359774746</c:v>
                </c:pt>
                <c:pt idx="1787">
                  <c:v>106.3012767610078</c:v>
                </c:pt>
                <c:pt idx="1788">
                  <c:v>106.3012767610078</c:v>
                </c:pt>
                <c:pt idx="1789">
                  <c:v>106.3012767610078</c:v>
                </c:pt>
                <c:pt idx="1790">
                  <c:v>105.27695519199962</c:v>
                </c:pt>
                <c:pt idx="1791">
                  <c:v>105.54881304917714</c:v>
                </c:pt>
                <c:pt idx="1792">
                  <c:v>104.8691684062333</c:v>
                </c:pt>
                <c:pt idx="1793">
                  <c:v>107.4032720034953</c:v>
                </c:pt>
                <c:pt idx="1794">
                  <c:v>107.37414437594057</c:v>
                </c:pt>
                <c:pt idx="1795">
                  <c:v>107.37414437594057</c:v>
                </c:pt>
                <c:pt idx="1796">
                  <c:v>107.37414437594057</c:v>
                </c:pt>
                <c:pt idx="1797">
                  <c:v>107.94698771785039</c:v>
                </c:pt>
                <c:pt idx="1798">
                  <c:v>109.68008155735716</c:v>
                </c:pt>
                <c:pt idx="1799">
                  <c:v>108.91305403174911</c:v>
                </c:pt>
                <c:pt idx="1800">
                  <c:v>109.93252099616487</c:v>
                </c:pt>
                <c:pt idx="1801">
                  <c:v>109.88397495024029</c:v>
                </c:pt>
                <c:pt idx="1802">
                  <c:v>109.88397495024029</c:v>
                </c:pt>
                <c:pt idx="1803">
                  <c:v>109.88397495024029</c:v>
                </c:pt>
                <c:pt idx="1804">
                  <c:v>107.77707655711441</c:v>
                </c:pt>
                <c:pt idx="1805">
                  <c:v>106.6216806641099</c:v>
                </c:pt>
                <c:pt idx="1806">
                  <c:v>106.43720568959658</c:v>
                </c:pt>
                <c:pt idx="1807">
                  <c:v>105.80125248798484</c:v>
                </c:pt>
                <c:pt idx="1808">
                  <c:v>105.98572746249818</c:v>
                </c:pt>
                <c:pt idx="1809">
                  <c:v>105.98572746249818</c:v>
                </c:pt>
                <c:pt idx="1810">
                  <c:v>105.98572746249818</c:v>
                </c:pt>
                <c:pt idx="1811">
                  <c:v>105.48570318947522</c:v>
                </c:pt>
                <c:pt idx="1812">
                  <c:v>104.44196320209717</c:v>
                </c:pt>
                <c:pt idx="1813">
                  <c:v>102.39817466867322</c:v>
                </c:pt>
                <c:pt idx="1814">
                  <c:v>103.53900674790037</c:v>
                </c:pt>
                <c:pt idx="1815">
                  <c:v>102.12631681149571</c:v>
                </c:pt>
                <c:pt idx="1816">
                  <c:v>102.12631681149571</c:v>
                </c:pt>
                <c:pt idx="1817">
                  <c:v>102.12631681149571</c:v>
                </c:pt>
                <c:pt idx="1818">
                  <c:v>102.22826350793727</c:v>
                </c:pt>
                <c:pt idx="1819">
                  <c:v>103.9662119520365</c:v>
                </c:pt>
                <c:pt idx="1820">
                  <c:v>103.28171270450022</c:v>
                </c:pt>
                <c:pt idx="1821">
                  <c:v>102.14573522986552</c:v>
                </c:pt>
                <c:pt idx="1822">
                  <c:v>102.14573522986552</c:v>
                </c:pt>
                <c:pt idx="1823">
                  <c:v>102.14573522986552</c:v>
                </c:pt>
                <c:pt idx="1824">
                  <c:v>102.14573522986552</c:v>
                </c:pt>
                <c:pt idx="1825">
                  <c:v>101.06315840574784</c:v>
                </c:pt>
                <c:pt idx="1826">
                  <c:v>100</c:v>
                </c:pt>
              </c:numCache>
            </c:numRef>
          </c:val>
          <c:smooth val="0"/>
          <c:extLst>
            <c:ext xmlns:c16="http://schemas.microsoft.com/office/drawing/2014/chart" uri="{C3380CC4-5D6E-409C-BE32-E72D297353CC}">
              <c16:uniqueId val="{00000004-9E9F-443E-87D8-A4B4D8C106CA}"/>
            </c:ext>
          </c:extLst>
        </c:ser>
        <c:ser>
          <c:idx val="5"/>
          <c:order val="5"/>
          <c:tx>
            <c:strRef>
              <c:f>[32]Indexed!$H$3</c:f>
              <c:strCache>
                <c:ptCount val="1"/>
                <c:pt idx="0">
                  <c:v>Micron Technology Inc</c:v>
                </c:pt>
              </c:strCache>
            </c:strRef>
          </c:tx>
          <c:spPr>
            <a:ln w="28575" cap="rnd">
              <a:solidFill>
                <a:schemeClr val="accent5">
                  <a:lumMod val="60000"/>
                </a:schemeClr>
              </a:solidFill>
              <a:round/>
            </a:ln>
            <a:effectLst/>
          </c:spPr>
          <c:marker>
            <c:symbol val="none"/>
          </c:marker>
          <c:cat>
            <c:numRef>
              <c:f>[32]Indexed!$B$4:$B$3657</c:f>
              <c:numCache>
                <c:formatCode>General</c:formatCode>
                <c:ptCount val="3654"/>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c:v>43351</c:v>
                </c:pt>
                <c:pt idx="1257">
                  <c:v>43350</c:v>
                </c:pt>
                <c:pt idx="1258">
                  <c:v>43349</c:v>
                </c:pt>
                <c:pt idx="1259">
                  <c:v>43348</c:v>
                </c:pt>
                <c:pt idx="1260">
                  <c:v>43347</c:v>
                </c:pt>
                <c:pt idx="1261">
                  <c:v>43346</c:v>
                </c:pt>
                <c:pt idx="1262">
                  <c:v>43345</c:v>
                </c:pt>
                <c:pt idx="1263">
                  <c:v>43344</c:v>
                </c:pt>
                <c:pt idx="1264">
                  <c:v>43343</c:v>
                </c:pt>
                <c:pt idx="1265">
                  <c:v>43342</c:v>
                </c:pt>
                <c:pt idx="1266">
                  <c:v>43341</c:v>
                </c:pt>
                <c:pt idx="1267">
                  <c:v>43340</c:v>
                </c:pt>
                <c:pt idx="1268">
                  <c:v>43339</c:v>
                </c:pt>
                <c:pt idx="1269">
                  <c:v>43338</c:v>
                </c:pt>
                <c:pt idx="1270">
                  <c:v>43337</c:v>
                </c:pt>
                <c:pt idx="1271">
                  <c:v>43336</c:v>
                </c:pt>
                <c:pt idx="1272">
                  <c:v>43335</c:v>
                </c:pt>
                <c:pt idx="1273">
                  <c:v>43334</c:v>
                </c:pt>
                <c:pt idx="1274">
                  <c:v>43333</c:v>
                </c:pt>
                <c:pt idx="1275">
                  <c:v>43332</c:v>
                </c:pt>
                <c:pt idx="1276">
                  <c:v>43331</c:v>
                </c:pt>
                <c:pt idx="1277">
                  <c:v>43330</c:v>
                </c:pt>
                <c:pt idx="1278">
                  <c:v>43329</c:v>
                </c:pt>
                <c:pt idx="1279">
                  <c:v>43328</c:v>
                </c:pt>
                <c:pt idx="1280">
                  <c:v>43327</c:v>
                </c:pt>
                <c:pt idx="1281">
                  <c:v>43326</c:v>
                </c:pt>
                <c:pt idx="1282">
                  <c:v>43325</c:v>
                </c:pt>
                <c:pt idx="1283">
                  <c:v>43324</c:v>
                </c:pt>
                <c:pt idx="1284">
                  <c:v>43323</c:v>
                </c:pt>
                <c:pt idx="1285">
                  <c:v>43322</c:v>
                </c:pt>
                <c:pt idx="1286">
                  <c:v>43321</c:v>
                </c:pt>
                <c:pt idx="1287">
                  <c:v>43320</c:v>
                </c:pt>
                <c:pt idx="1288">
                  <c:v>43319</c:v>
                </c:pt>
                <c:pt idx="1289">
                  <c:v>43318</c:v>
                </c:pt>
                <c:pt idx="1290">
                  <c:v>43317</c:v>
                </c:pt>
                <c:pt idx="1291">
                  <c:v>43316</c:v>
                </c:pt>
                <c:pt idx="1292">
                  <c:v>43315</c:v>
                </c:pt>
                <c:pt idx="1293">
                  <c:v>43314</c:v>
                </c:pt>
                <c:pt idx="1294">
                  <c:v>43313</c:v>
                </c:pt>
                <c:pt idx="1295">
                  <c:v>43312</c:v>
                </c:pt>
                <c:pt idx="1296">
                  <c:v>43311</c:v>
                </c:pt>
                <c:pt idx="1297">
                  <c:v>43310</c:v>
                </c:pt>
                <c:pt idx="1298">
                  <c:v>43309</c:v>
                </c:pt>
                <c:pt idx="1299">
                  <c:v>43308</c:v>
                </c:pt>
                <c:pt idx="1300">
                  <c:v>43307</c:v>
                </c:pt>
                <c:pt idx="1301">
                  <c:v>43306</c:v>
                </c:pt>
                <c:pt idx="1302">
                  <c:v>43305</c:v>
                </c:pt>
                <c:pt idx="1303">
                  <c:v>43304</c:v>
                </c:pt>
                <c:pt idx="1304">
                  <c:v>43303</c:v>
                </c:pt>
                <c:pt idx="1305">
                  <c:v>43302</c:v>
                </c:pt>
                <c:pt idx="1306">
                  <c:v>43301</c:v>
                </c:pt>
                <c:pt idx="1307">
                  <c:v>43300</c:v>
                </c:pt>
                <c:pt idx="1308">
                  <c:v>43299</c:v>
                </c:pt>
                <c:pt idx="1309">
                  <c:v>43298</c:v>
                </c:pt>
                <c:pt idx="1310">
                  <c:v>43297</c:v>
                </c:pt>
                <c:pt idx="1311">
                  <c:v>43296</c:v>
                </c:pt>
                <c:pt idx="1312">
                  <c:v>43295</c:v>
                </c:pt>
                <c:pt idx="1313">
                  <c:v>43294</c:v>
                </c:pt>
                <c:pt idx="1314">
                  <c:v>43293</c:v>
                </c:pt>
                <c:pt idx="1315">
                  <c:v>43292</c:v>
                </c:pt>
                <c:pt idx="1316">
                  <c:v>43291</c:v>
                </c:pt>
                <c:pt idx="1317">
                  <c:v>43290</c:v>
                </c:pt>
                <c:pt idx="1318">
                  <c:v>43289</c:v>
                </c:pt>
                <c:pt idx="1319">
                  <c:v>43288</c:v>
                </c:pt>
                <c:pt idx="1320">
                  <c:v>43287</c:v>
                </c:pt>
                <c:pt idx="1321">
                  <c:v>43286</c:v>
                </c:pt>
                <c:pt idx="1322">
                  <c:v>43285</c:v>
                </c:pt>
                <c:pt idx="1323">
                  <c:v>43284</c:v>
                </c:pt>
                <c:pt idx="1324">
                  <c:v>43283</c:v>
                </c:pt>
                <c:pt idx="1325">
                  <c:v>43282</c:v>
                </c:pt>
                <c:pt idx="1326">
                  <c:v>43281</c:v>
                </c:pt>
                <c:pt idx="1327">
                  <c:v>43280</c:v>
                </c:pt>
                <c:pt idx="1328">
                  <c:v>43279</c:v>
                </c:pt>
                <c:pt idx="1329">
                  <c:v>43278</c:v>
                </c:pt>
                <c:pt idx="1330">
                  <c:v>43277</c:v>
                </c:pt>
                <c:pt idx="1331">
                  <c:v>43276</c:v>
                </c:pt>
                <c:pt idx="1332">
                  <c:v>43275</c:v>
                </c:pt>
                <c:pt idx="1333">
                  <c:v>43274</c:v>
                </c:pt>
                <c:pt idx="1334">
                  <c:v>43273</c:v>
                </c:pt>
                <c:pt idx="1335">
                  <c:v>43272</c:v>
                </c:pt>
                <c:pt idx="1336">
                  <c:v>43271</c:v>
                </c:pt>
                <c:pt idx="1337">
                  <c:v>43270</c:v>
                </c:pt>
                <c:pt idx="1338">
                  <c:v>43269</c:v>
                </c:pt>
                <c:pt idx="1339">
                  <c:v>43268</c:v>
                </c:pt>
                <c:pt idx="1340">
                  <c:v>43267</c:v>
                </c:pt>
                <c:pt idx="1341">
                  <c:v>43266</c:v>
                </c:pt>
                <c:pt idx="1342">
                  <c:v>43265</c:v>
                </c:pt>
                <c:pt idx="1343">
                  <c:v>43264</c:v>
                </c:pt>
                <c:pt idx="1344">
                  <c:v>43263</c:v>
                </c:pt>
                <c:pt idx="1345">
                  <c:v>43262</c:v>
                </c:pt>
                <c:pt idx="1346">
                  <c:v>43261</c:v>
                </c:pt>
                <c:pt idx="1347">
                  <c:v>43260</c:v>
                </c:pt>
                <c:pt idx="1348">
                  <c:v>43259</c:v>
                </c:pt>
                <c:pt idx="1349">
                  <c:v>43258</c:v>
                </c:pt>
                <c:pt idx="1350">
                  <c:v>43257</c:v>
                </c:pt>
                <c:pt idx="1351">
                  <c:v>43256</c:v>
                </c:pt>
                <c:pt idx="1352">
                  <c:v>43255</c:v>
                </c:pt>
                <c:pt idx="1353">
                  <c:v>43254</c:v>
                </c:pt>
                <c:pt idx="1354">
                  <c:v>43253</c:v>
                </c:pt>
                <c:pt idx="1355">
                  <c:v>43252</c:v>
                </c:pt>
                <c:pt idx="1356">
                  <c:v>43251</c:v>
                </c:pt>
                <c:pt idx="1357">
                  <c:v>43250</c:v>
                </c:pt>
                <c:pt idx="1358">
                  <c:v>43249</c:v>
                </c:pt>
                <c:pt idx="1359">
                  <c:v>43248</c:v>
                </c:pt>
                <c:pt idx="1360">
                  <c:v>43247</c:v>
                </c:pt>
                <c:pt idx="1361">
                  <c:v>43246</c:v>
                </c:pt>
                <c:pt idx="1362">
                  <c:v>43245</c:v>
                </c:pt>
                <c:pt idx="1363">
                  <c:v>43244</c:v>
                </c:pt>
                <c:pt idx="1364">
                  <c:v>43243</c:v>
                </c:pt>
                <c:pt idx="1365">
                  <c:v>43242</c:v>
                </c:pt>
                <c:pt idx="1366">
                  <c:v>43241</c:v>
                </c:pt>
                <c:pt idx="1367">
                  <c:v>43240</c:v>
                </c:pt>
                <c:pt idx="1368">
                  <c:v>43239</c:v>
                </c:pt>
                <c:pt idx="1369">
                  <c:v>43238</c:v>
                </c:pt>
                <c:pt idx="1370">
                  <c:v>43237</c:v>
                </c:pt>
                <c:pt idx="1371">
                  <c:v>43236</c:v>
                </c:pt>
                <c:pt idx="1372">
                  <c:v>43235</c:v>
                </c:pt>
                <c:pt idx="1373">
                  <c:v>43234</c:v>
                </c:pt>
                <c:pt idx="1374">
                  <c:v>43233</c:v>
                </c:pt>
                <c:pt idx="1375">
                  <c:v>43232</c:v>
                </c:pt>
                <c:pt idx="1376">
                  <c:v>43231</c:v>
                </c:pt>
                <c:pt idx="1377">
                  <c:v>43230</c:v>
                </c:pt>
                <c:pt idx="1378">
                  <c:v>43229</c:v>
                </c:pt>
                <c:pt idx="1379">
                  <c:v>43228</c:v>
                </c:pt>
                <c:pt idx="1380">
                  <c:v>43227</c:v>
                </c:pt>
                <c:pt idx="1381">
                  <c:v>43226</c:v>
                </c:pt>
                <c:pt idx="1382">
                  <c:v>43225</c:v>
                </c:pt>
                <c:pt idx="1383">
                  <c:v>43224</c:v>
                </c:pt>
                <c:pt idx="1384">
                  <c:v>43223</c:v>
                </c:pt>
                <c:pt idx="1385">
                  <c:v>43222</c:v>
                </c:pt>
                <c:pt idx="1386">
                  <c:v>43221</c:v>
                </c:pt>
                <c:pt idx="1387">
                  <c:v>43220</c:v>
                </c:pt>
                <c:pt idx="1388">
                  <c:v>43219</c:v>
                </c:pt>
                <c:pt idx="1389">
                  <c:v>43218</c:v>
                </c:pt>
                <c:pt idx="1390">
                  <c:v>43217</c:v>
                </c:pt>
                <c:pt idx="1391">
                  <c:v>43216</c:v>
                </c:pt>
                <c:pt idx="1392">
                  <c:v>43215</c:v>
                </c:pt>
                <c:pt idx="1393">
                  <c:v>43214</c:v>
                </c:pt>
                <c:pt idx="1394">
                  <c:v>43213</c:v>
                </c:pt>
                <c:pt idx="1395">
                  <c:v>43212</c:v>
                </c:pt>
                <c:pt idx="1396">
                  <c:v>43211</c:v>
                </c:pt>
                <c:pt idx="1397">
                  <c:v>43210</c:v>
                </c:pt>
                <c:pt idx="1398">
                  <c:v>43209</c:v>
                </c:pt>
                <c:pt idx="1399">
                  <c:v>43208</c:v>
                </c:pt>
                <c:pt idx="1400">
                  <c:v>43207</c:v>
                </c:pt>
                <c:pt idx="1401">
                  <c:v>43206</c:v>
                </c:pt>
                <c:pt idx="1402">
                  <c:v>43205</c:v>
                </c:pt>
                <c:pt idx="1403">
                  <c:v>43204</c:v>
                </c:pt>
                <c:pt idx="1404">
                  <c:v>43203</c:v>
                </c:pt>
                <c:pt idx="1405">
                  <c:v>43202</c:v>
                </c:pt>
                <c:pt idx="1406">
                  <c:v>43201</c:v>
                </c:pt>
                <c:pt idx="1407">
                  <c:v>43200</c:v>
                </c:pt>
                <c:pt idx="1408">
                  <c:v>43199</c:v>
                </c:pt>
                <c:pt idx="1409">
                  <c:v>43198</c:v>
                </c:pt>
                <c:pt idx="1410">
                  <c:v>43197</c:v>
                </c:pt>
                <c:pt idx="1411">
                  <c:v>43196</c:v>
                </c:pt>
                <c:pt idx="1412">
                  <c:v>43195</c:v>
                </c:pt>
                <c:pt idx="1413">
                  <c:v>43194</c:v>
                </c:pt>
                <c:pt idx="1414">
                  <c:v>43193</c:v>
                </c:pt>
                <c:pt idx="1415">
                  <c:v>43192</c:v>
                </c:pt>
                <c:pt idx="1416">
                  <c:v>43191</c:v>
                </c:pt>
                <c:pt idx="1417">
                  <c:v>43190</c:v>
                </c:pt>
                <c:pt idx="1418">
                  <c:v>43189</c:v>
                </c:pt>
                <c:pt idx="1419">
                  <c:v>43188</c:v>
                </c:pt>
                <c:pt idx="1420">
                  <c:v>43187</c:v>
                </c:pt>
                <c:pt idx="1421">
                  <c:v>43186</c:v>
                </c:pt>
                <c:pt idx="1422">
                  <c:v>43185</c:v>
                </c:pt>
                <c:pt idx="1423">
                  <c:v>43184</c:v>
                </c:pt>
                <c:pt idx="1424">
                  <c:v>43183</c:v>
                </c:pt>
                <c:pt idx="1425">
                  <c:v>43182</c:v>
                </c:pt>
                <c:pt idx="1426">
                  <c:v>43181</c:v>
                </c:pt>
                <c:pt idx="1427">
                  <c:v>43180</c:v>
                </c:pt>
                <c:pt idx="1428">
                  <c:v>43179</c:v>
                </c:pt>
                <c:pt idx="1429">
                  <c:v>43178</c:v>
                </c:pt>
                <c:pt idx="1430">
                  <c:v>43177</c:v>
                </c:pt>
                <c:pt idx="1431">
                  <c:v>43176</c:v>
                </c:pt>
                <c:pt idx="1432">
                  <c:v>43175</c:v>
                </c:pt>
                <c:pt idx="1433">
                  <c:v>43174</c:v>
                </c:pt>
                <c:pt idx="1434">
                  <c:v>43173</c:v>
                </c:pt>
                <c:pt idx="1435">
                  <c:v>43172</c:v>
                </c:pt>
                <c:pt idx="1436">
                  <c:v>43171</c:v>
                </c:pt>
                <c:pt idx="1437">
                  <c:v>43170</c:v>
                </c:pt>
                <c:pt idx="1438">
                  <c:v>43169</c:v>
                </c:pt>
                <c:pt idx="1439">
                  <c:v>43168</c:v>
                </c:pt>
                <c:pt idx="1440">
                  <c:v>43167</c:v>
                </c:pt>
                <c:pt idx="1441">
                  <c:v>43166</c:v>
                </c:pt>
                <c:pt idx="1442">
                  <c:v>43165</c:v>
                </c:pt>
                <c:pt idx="1443">
                  <c:v>43164</c:v>
                </c:pt>
                <c:pt idx="1444">
                  <c:v>43163</c:v>
                </c:pt>
                <c:pt idx="1445">
                  <c:v>43162</c:v>
                </c:pt>
                <c:pt idx="1446">
                  <c:v>43161</c:v>
                </c:pt>
                <c:pt idx="1447">
                  <c:v>43160</c:v>
                </c:pt>
                <c:pt idx="1448">
                  <c:v>43159</c:v>
                </c:pt>
                <c:pt idx="1449">
                  <c:v>43158</c:v>
                </c:pt>
                <c:pt idx="1450">
                  <c:v>43157</c:v>
                </c:pt>
                <c:pt idx="1451">
                  <c:v>43156</c:v>
                </c:pt>
                <c:pt idx="1452">
                  <c:v>43155</c:v>
                </c:pt>
                <c:pt idx="1453">
                  <c:v>43154</c:v>
                </c:pt>
                <c:pt idx="1454">
                  <c:v>43153</c:v>
                </c:pt>
                <c:pt idx="1455">
                  <c:v>43152</c:v>
                </c:pt>
                <c:pt idx="1456">
                  <c:v>43151</c:v>
                </c:pt>
                <c:pt idx="1457">
                  <c:v>43150</c:v>
                </c:pt>
                <c:pt idx="1458">
                  <c:v>43149</c:v>
                </c:pt>
                <c:pt idx="1459">
                  <c:v>43148</c:v>
                </c:pt>
                <c:pt idx="1460">
                  <c:v>43147</c:v>
                </c:pt>
                <c:pt idx="1461">
                  <c:v>43146</c:v>
                </c:pt>
                <c:pt idx="1462">
                  <c:v>43145</c:v>
                </c:pt>
                <c:pt idx="1463">
                  <c:v>43144</c:v>
                </c:pt>
                <c:pt idx="1464">
                  <c:v>43143</c:v>
                </c:pt>
                <c:pt idx="1465">
                  <c:v>43142</c:v>
                </c:pt>
                <c:pt idx="1466">
                  <c:v>43141</c:v>
                </c:pt>
                <c:pt idx="1467">
                  <c:v>43140</c:v>
                </c:pt>
                <c:pt idx="1468">
                  <c:v>43139</c:v>
                </c:pt>
                <c:pt idx="1469">
                  <c:v>43138</c:v>
                </c:pt>
                <c:pt idx="1470">
                  <c:v>43137</c:v>
                </c:pt>
                <c:pt idx="1471">
                  <c:v>43136</c:v>
                </c:pt>
                <c:pt idx="1472">
                  <c:v>43135</c:v>
                </c:pt>
                <c:pt idx="1473">
                  <c:v>43134</c:v>
                </c:pt>
                <c:pt idx="1474">
                  <c:v>43133</c:v>
                </c:pt>
                <c:pt idx="1475">
                  <c:v>43132</c:v>
                </c:pt>
                <c:pt idx="1476">
                  <c:v>43131</c:v>
                </c:pt>
                <c:pt idx="1477">
                  <c:v>43130</c:v>
                </c:pt>
                <c:pt idx="1478">
                  <c:v>43129</c:v>
                </c:pt>
                <c:pt idx="1479">
                  <c:v>43128</c:v>
                </c:pt>
                <c:pt idx="1480">
                  <c:v>43127</c:v>
                </c:pt>
                <c:pt idx="1481">
                  <c:v>43126</c:v>
                </c:pt>
                <c:pt idx="1482">
                  <c:v>43125</c:v>
                </c:pt>
                <c:pt idx="1483">
                  <c:v>43124</c:v>
                </c:pt>
                <c:pt idx="1484">
                  <c:v>43123</c:v>
                </c:pt>
                <c:pt idx="1485">
                  <c:v>43122</c:v>
                </c:pt>
                <c:pt idx="1486">
                  <c:v>43121</c:v>
                </c:pt>
                <c:pt idx="1487">
                  <c:v>43120</c:v>
                </c:pt>
                <c:pt idx="1488">
                  <c:v>43119</c:v>
                </c:pt>
                <c:pt idx="1489">
                  <c:v>43118</c:v>
                </c:pt>
                <c:pt idx="1490">
                  <c:v>43117</c:v>
                </c:pt>
                <c:pt idx="1491">
                  <c:v>43116</c:v>
                </c:pt>
                <c:pt idx="1492">
                  <c:v>43115</c:v>
                </c:pt>
                <c:pt idx="1493">
                  <c:v>43114</c:v>
                </c:pt>
                <c:pt idx="1494">
                  <c:v>43113</c:v>
                </c:pt>
                <c:pt idx="1495">
                  <c:v>43112</c:v>
                </c:pt>
                <c:pt idx="1496">
                  <c:v>43111</c:v>
                </c:pt>
                <c:pt idx="1497">
                  <c:v>43110</c:v>
                </c:pt>
                <c:pt idx="1498">
                  <c:v>43109</c:v>
                </c:pt>
                <c:pt idx="1499">
                  <c:v>43108</c:v>
                </c:pt>
                <c:pt idx="1500">
                  <c:v>43107</c:v>
                </c:pt>
                <c:pt idx="1501">
                  <c:v>43106</c:v>
                </c:pt>
                <c:pt idx="1502">
                  <c:v>43105</c:v>
                </c:pt>
                <c:pt idx="1503">
                  <c:v>43104</c:v>
                </c:pt>
                <c:pt idx="1504">
                  <c:v>43103</c:v>
                </c:pt>
                <c:pt idx="1505">
                  <c:v>43102</c:v>
                </c:pt>
                <c:pt idx="1506">
                  <c:v>43101</c:v>
                </c:pt>
                <c:pt idx="1507">
                  <c:v>43100</c:v>
                </c:pt>
                <c:pt idx="1508">
                  <c:v>43099</c:v>
                </c:pt>
                <c:pt idx="1509">
                  <c:v>43098</c:v>
                </c:pt>
                <c:pt idx="1510">
                  <c:v>43097</c:v>
                </c:pt>
                <c:pt idx="1511">
                  <c:v>43096</c:v>
                </c:pt>
                <c:pt idx="1512">
                  <c:v>43095</c:v>
                </c:pt>
                <c:pt idx="1513">
                  <c:v>43094</c:v>
                </c:pt>
                <c:pt idx="1514">
                  <c:v>43093</c:v>
                </c:pt>
                <c:pt idx="1515">
                  <c:v>43092</c:v>
                </c:pt>
                <c:pt idx="1516">
                  <c:v>43091</c:v>
                </c:pt>
                <c:pt idx="1517">
                  <c:v>43090</c:v>
                </c:pt>
                <c:pt idx="1518">
                  <c:v>43089</c:v>
                </c:pt>
                <c:pt idx="1519">
                  <c:v>43088</c:v>
                </c:pt>
                <c:pt idx="1520">
                  <c:v>43087</c:v>
                </c:pt>
                <c:pt idx="1521">
                  <c:v>43086</c:v>
                </c:pt>
                <c:pt idx="1522">
                  <c:v>43085</c:v>
                </c:pt>
                <c:pt idx="1523">
                  <c:v>43084</c:v>
                </c:pt>
                <c:pt idx="1524">
                  <c:v>43083</c:v>
                </c:pt>
                <c:pt idx="1525">
                  <c:v>43082</c:v>
                </c:pt>
                <c:pt idx="1526">
                  <c:v>43081</c:v>
                </c:pt>
                <c:pt idx="1527">
                  <c:v>43080</c:v>
                </c:pt>
                <c:pt idx="1528">
                  <c:v>43079</c:v>
                </c:pt>
                <c:pt idx="1529">
                  <c:v>43078</c:v>
                </c:pt>
                <c:pt idx="1530">
                  <c:v>43077</c:v>
                </c:pt>
                <c:pt idx="1531">
                  <c:v>43076</c:v>
                </c:pt>
                <c:pt idx="1532">
                  <c:v>43075</c:v>
                </c:pt>
                <c:pt idx="1533">
                  <c:v>43074</c:v>
                </c:pt>
                <c:pt idx="1534">
                  <c:v>43073</c:v>
                </c:pt>
                <c:pt idx="1535">
                  <c:v>43072</c:v>
                </c:pt>
                <c:pt idx="1536">
                  <c:v>43071</c:v>
                </c:pt>
                <c:pt idx="1537">
                  <c:v>43070</c:v>
                </c:pt>
                <c:pt idx="1538">
                  <c:v>43069</c:v>
                </c:pt>
                <c:pt idx="1539">
                  <c:v>43068</c:v>
                </c:pt>
                <c:pt idx="1540">
                  <c:v>43067</c:v>
                </c:pt>
                <c:pt idx="1541">
                  <c:v>43066</c:v>
                </c:pt>
                <c:pt idx="1542">
                  <c:v>43065</c:v>
                </c:pt>
                <c:pt idx="1543">
                  <c:v>43064</c:v>
                </c:pt>
                <c:pt idx="1544">
                  <c:v>43063</c:v>
                </c:pt>
                <c:pt idx="1545">
                  <c:v>43062</c:v>
                </c:pt>
                <c:pt idx="1546">
                  <c:v>43061</c:v>
                </c:pt>
                <c:pt idx="1547">
                  <c:v>43060</c:v>
                </c:pt>
                <c:pt idx="1548">
                  <c:v>43059</c:v>
                </c:pt>
                <c:pt idx="1549">
                  <c:v>43058</c:v>
                </c:pt>
                <c:pt idx="1550">
                  <c:v>43057</c:v>
                </c:pt>
                <c:pt idx="1551">
                  <c:v>43056</c:v>
                </c:pt>
                <c:pt idx="1552">
                  <c:v>43055</c:v>
                </c:pt>
                <c:pt idx="1553">
                  <c:v>43054</c:v>
                </c:pt>
                <c:pt idx="1554">
                  <c:v>43053</c:v>
                </c:pt>
                <c:pt idx="1555">
                  <c:v>43052</c:v>
                </c:pt>
                <c:pt idx="1556">
                  <c:v>43051</c:v>
                </c:pt>
                <c:pt idx="1557">
                  <c:v>43050</c:v>
                </c:pt>
                <c:pt idx="1558">
                  <c:v>43049</c:v>
                </c:pt>
                <c:pt idx="1559">
                  <c:v>43048</c:v>
                </c:pt>
                <c:pt idx="1560">
                  <c:v>43047</c:v>
                </c:pt>
                <c:pt idx="1561">
                  <c:v>43046</c:v>
                </c:pt>
                <c:pt idx="1562">
                  <c:v>43045</c:v>
                </c:pt>
                <c:pt idx="1563">
                  <c:v>43044</c:v>
                </c:pt>
                <c:pt idx="1564">
                  <c:v>43043</c:v>
                </c:pt>
                <c:pt idx="1565">
                  <c:v>43042</c:v>
                </c:pt>
                <c:pt idx="1566">
                  <c:v>43041</c:v>
                </c:pt>
                <c:pt idx="1567">
                  <c:v>43040</c:v>
                </c:pt>
                <c:pt idx="1568">
                  <c:v>43039</c:v>
                </c:pt>
                <c:pt idx="1569">
                  <c:v>43038</c:v>
                </c:pt>
                <c:pt idx="1570">
                  <c:v>43037</c:v>
                </c:pt>
                <c:pt idx="1571">
                  <c:v>43036</c:v>
                </c:pt>
                <c:pt idx="1572">
                  <c:v>43035</c:v>
                </c:pt>
                <c:pt idx="1573">
                  <c:v>43034</c:v>
                </c:pt>
                <c:pt idx="1574">
                  <c:v>43033</c:v>
                </c:pt>
                <c:pt idx="1575">
                  <c:v>43032</c:v>
                </c:pt>
                <c:pt idx="1576">
                  <c:v>43031</c:v>
                </c:pt>
                <c:pt idx="1577">
                  <c:v>43030</c:v>
                </c:pt>
                <c:pt idx="1578">
                  <c:v>43029</c:v>
                </c:pt>
                <c:pt idx="1579">
                  <c:v>43028</c:v>
                </c:pt>
                <c:pt idx="1580">
                  <c:v>43027</c:v>
                </c:pt>
                <c:pt idx="1581">
                  <c:v>43026</c:v>
                </c:pt>
                <c:pt idx="1582">
                  <c:v>43025</c:v>
                </c:pt>
                <c:pt idx="1583">
                  <c:v>43024</c:v>
                </c:pt>
                <c:pt idx="1584">
                  <c:v>43023</c:v>
                </c:pt>
                <c:pt idx="1585">
                  <c:v>43022</c:v>
                </c:pt>
                <c:pt idx="1586">
                  <c:v>43021</c:v>
                </c:pt>
                <c:pt idx="1587">
                  <c:v>43020</c:v>
                </c:pt>
                <c:pt idx="1588">
                  <c:v>43019</c:v>
                </c:pt>
                <c:pt idx="1589">
                  <c:v>43018</c:v>
                </c:pt>
                <c:pt idx="1590">
                  <c:v>43017</c:v>
                </c:pt>
                <c:pt idx="1591">
                  <c:v>43016</c:v>
                </c:pt>
                <c:pt idx="1592">
                  <c:v>43015</c:v>
                </c:pt>
                <c:pt idx="1593">
                  <c:v>43014</c:v>
                </c:pt>
                <c:pt idx="1594">
                  <c:v>43013</c:v>
                </c:pt>
                <c:pt idx="1595">
                  <c:v>43012</c:v>
                </c:pt>
                <c:pt idx="1596">
                  <c:v>43011</c:v>
                </c:pt>
                <c:pt idx="1597">
                  <c:v>43010</c:v>
                </c:pt>
                <c:pt idx="1598">
                  <c:v>43009</c:v>
                </c:pt>
                <c:pt idx="1599">
                  <c:v>43008</c:v>
                </c:pt>
                <c:pt idx="1600">
                  <c:v>43007</c:v>
                </c:pt>
                <c:pt idx="1601">
                  <c:v>43006</c:v>
                </c:pt>
                <c:pt idx="1602">
                  <c:v>43005</c:v>
                </c:pt>
                <c:pt idx="1603">
                  <c:v>43004</c:v>
                </c:pt>
                <c:pt idx="1604">
                  <c:v>43003</c:v>
                </c:pt>
                <c:pt idx="1605">
                  <c:v>43002</c:v>
                </c:pt>
                <c:pt idx="1606">
                  <c:v>43001</c:v>
                </c:pt>
                <c:pt idx="1607">
                  <c:v>43000</c:v>
                </c:pt>
                <c:pt idx="1608">
                  <c:v>42999</c:v>
                </c:pt>
                <c:pt idx="1609">
                  <c:v>42998</c:v>
                </c:pt>
                <c:pt idx="1610">
                  <c:v>42997</c:v>
                </c:pt>
                <c:pt idx="1611">
                  <c:v>42996</c:v>
                </c:pt>
                <c:pt idx="1612">
                  <c:v>42995</c:v>
                </c:pt>
                <c:pt idx="1613">
                  <c:v>42994</c:v>
                </c:pt>
                <c:pt idx="1614">
                  <c:v>42993</c:v>
                </c:pt>
                <c:pt idx="1615">
                  <c:v>42992</c:v>
                </c:pt>
                <c:pt idx="1616">
                  <c:v>42991</c:v>
                </c:pt>
                <c:pt idx="1617">
                  <c:v>42990</c:v>
                </c:pt>
                <c:pt idx="1618">
                  <c:v>42989</c:v>
                </c:pt>
                <c:pt idx="1619">
                  <c:v>42988</c:v>
                </c:pt>
                <c:pt idx="1620">
                  <c:v>42987</c:v>
                </c:pt>
                <c:pt idx="1621">
                  <c:v>42986</c:v>
                </c:pt>
                <c:pt idx="1622">
                  <c:v>42985</c:v>
                </c:pt>
                <c:pt idx="1623">
                  <c:v>42984</c:v>
                </c:pt>
                <c:pt idx="1624">
                  <c:v>42983</c:v>
                </c:pt>
                <c:pt idx="1625">
                  <c:v>42982</c:v>
                </c:pt>
                <c:pt idx="1626">
                  <c:v>42981</c:v>
                </c:pt>
                <c:pt idx="1627">
                  <c:v>42980</c:v>
                </c:pt>
                <c:pt idx="1628">
                  <c:v>42979</c:v>
                </c:pt>
                <c:pt idx="1629">
                  <c:v>42978</c:v>
                </c:pt>
                <c:pt idx="1630">
                  <c:v>42977</c:v>
                </c:pt>
                <c:pt idx="1631">
                  <c:v>42976</c:v>
                </c:pt>
                <c:pt idx="1632">
                  <c:v>42975</c:v>
                </c:pt>
                <c:pt idx="1633">
                  <c:v>42974</c:v>
                </c:pt>
                <c:pt idx="1634">
                  <c:v>42973</c:v>
                </c:pt>
                <c:pt idx="1635">
                  <c:v>42972</c:v>
                </c:pt>
                <c:pt idx="1636">
                  <c:v>42971</c:v>
                </c:pt>
                <c:pt idx="1637">
                  <c:v>42970</c:v>
                </c:pt>
                <c:pt idx="1638">
                  <c:v>42969</c:v>
                </c:pt>
                <c:pt idx="1639">
                  <c:v>42968</c:v>
                </c:pt>
                <c:pt idx="1640">
                  <c:v>42967</c:v>
                </c:pt>
                <c:pt idx="1641">
                  <c:v>42966</c:v>
                </c:pt>
                <c:pt idx="1642">
                  <c:v>42965</c:v>
                </c:pt>
                <c:pt idx="1643">
                  <c:v>42964</c:v>
                </c:pt>
                <c:pt idx="1644">
                  <c:v>42963</c:v>
                </c:pt>
                <c:pt idx="1645">
                  <c:v>42962</c:v>
                </c:pt>
                <c:pt idx="1646">
                  <c:v>42961</c:v>
                </c:pt>
                <c:pt idx="1647">
                  <c:v>42960</c:v>
                </c:pt>
                <c:pt idx="1648">
                  <c:v>42959</c:v>
                </c:pt>
                <c:pt idx="1649">
                  <c:v>42958</c:v>
                </c:pt>
                <c:pt idx="1650">
                  <c:v>42957</c:v>
                </c:pt>
                <c:pt idx="1651">
                  <c:v>42956</c:v>
                </c:pt>
                <c:pt idx="1652">
                  <c:v>42955</c:v>
                </c:pt>
                <c:pt idx="1653">
                  <c:v>42954</c:v>
                </c:pt>
                <c:pt idx="1654">
                  <c:v>42953</c:v>
                </c:pt>
                <c:pt idx="1655">
                  <c:v>42952</c:v>
                </c:pt>
                <c:pt idx="1656">
                  <c:v>42951</c:v>
                </c:pt>
                <c:pt idx="1657">
                  <c:v>42950</c:v>
                </c:pt>
                <c:pt idx="1658">
                  <c:v>42949</c:v>
                </c:pt>
                <c:pt idx="1659">
                  <c:v>42948</c:v>
                </c:pt>
                <c:pt idx="1660">
                  <c:v>42947</c:v>
                </c:pt>
                <c:pt idx="1661">
                  <c:v>42946</c:v>
                </c:pt>
                <c:pt idx="1662">
                  <c:v>42945</c:v>
                </c:pt>
                <c:pt idx="1663">
                  <c:v>42944</c:v>
                </c:pt>
                <c:pt idx="1664">
                  <c:v>42943</c:v>
                </c:pt>
                <c:pt idx="1665">
                  <c:v>42942</c:v>
                </c:pt>
                <c:pt idx="1666">
                  <c:v>42941</c:v>
                </c:pt>
                <c:pt idx="1667">
                  <c:v>42940</c:v>
                </c:pt>
                <c:pt idx="1668">
                  <c:v>42939</c:v>
                </c:pt>
                <c:pt idx="1669">
                  <c:v>42938</c:v>
                </c:pt>
                <c:pt idx="1670">
                  <c:v>42937</c:v>
                </c:pt>
                <c:pt idx="1671">
                  <c:v>42936</c:v>
                </c:pt>
                <c:pt idx="1672">
                  <c:v>42935</c:v>
                </c:pt>
                <c:pt idx="1673">
                  <c:v>42934</c:v>
                </c:pt>
                <c:pt idx="1674">
                  <c:v>42933</c:v>
                </c:pt>
                <c:pt idx="1675">
                  <c:v>42932</c:v>
                </c:pt>
                <c:pt idx="1676">
                  <c:v>42931</c:v>
                </c:pt>
                <c:pt idx="1677">
                  <c:v>42930</c:v>
                </c:pt>
                <c:pt idx="1678">
                  <c:v>42929</c:v>
                </c:pt>
                <c:pt idx="1679">
                  <c:v>42928</c:v>
                </c:pt>
                <c:pt idx="1680">
                  <c:v>42927</c:v>
                </c:pt>
                <c:pt idx="1681">
                  <c:v>42926</c:v>
                </c:pt>
                <c:pt idx="1682">
                  <c:v>42925</c:v>
                </c:pt>
                <c:pt idx="1683">
                  <c:v>42924</c:v>
                </c:pt>
                <c:pt idx="1684">
                  <c:v>42923</c:v>
                </c:pt>
                <c:pt idx="1685">
                  <c:v>42922</c:v>
                </c:pt>
                <c:pt idx="1686">
                  <c:v>42921</c:v>
                </c:pt>
                <c:pt idx="1687">
                  <c:v>42920</c:v>
                </c:pt>
                <c:pt idx="1688">
                  <c:v>42919</c:v>
                </c:pt>
                <c:pt idx="1689">
                  <c:v>42918</c:v>
                </c:pt>
                <c:pt idx="1690">
                  <c:v>42917</c:v>
                </c:pt>
                <c:pt idx="1691">
                  <c:v>42916</c:v>
                </c:pt>
                <c:pt idx="1692">
                  <c:v>42915</c:v>
                </c:pt>
                <c:pt idx="1693">
                  <c:v>42914</c:v>
                </c:pt>
                <c:pt idx="1694">
                  <c:v>42913</c:v>
                </c:pt>
                <c:pt idx="1695">
                  <c:v>42912</c:v>
                </c:pt>
                <c:pt idx="1696">
                  <c:v>42911</c:v>
                </c:pt>
                <c:pt idx="1697">
                  <c:v>42910</c:v>
                </c:pt>
                <c:pt idx="1698">
                  <c:v>42909</c:v>
                </c:pt>
                <c:pt idx="1699">
                  <c:v>42908</c:v>
                </c:pt>
                <c:pt idx="1700">
                  <c:v>42907</c:v>
                </c:pt>
                <c:pt idx="1701">
                  <c:v>42906</c:v>
                </c:pt>
                <c:pt idx="1702">
                  <c:v>42905</c:v>
                </c:pt>
                <c:pt idx="1703">
                  <c:v>42904</c:v>
                </c:pt>
                <c:pt idx="1704">
                  <c:v>42903</c:v>
                </c:pt>
                <c:pt idx="1705">
                  <c:v>42902</c:v>
                </c:pt>
                <c:pt idx="1706">
                  <c:v>42901</c:v>
                </c:pt>
                <c:pt idx="1707">
                  <c:v>42900</c:v>
                </c:pt>
                <c:pt idx="1708">
                  <c:v>42899</c:v>
                </c:pt>
                <c:pt idx="1709">
                  <c:v>42898</c:v>
                </c:pt>
                <c:pt idx="1710">
                  <c:v>42897</c:v>
                </c:pt>
                <c:pt idx="1711">
                  <c:v>42896</c:v>
                </c:pt>
                <c:pt idx="1712">
                  <c:v>42895</c:v>
                </c:pt>
                <c:pt idx="1713">
                  <c:v>42894</c:v>
                </c:pt>
                <c:pt idx="1714">
                  <c:v>42893</c:v>
                </c:pt>
                <c:pt idx="1715">
                  <c:v>42892</c:v>
                </c:pt>
                <c:pt idx="1716">
                  <c:v>42891</c:v>
                </c:pt>
                <c:pt idx="1717">
                  <c:v>42890</c:v>
                </c:pt>
                <c:pt idx="1718">
                  <c:v>42889</c:v>
                </c:pt>
                <c:pt idx="1719">
                  <c:v>42888</c:v>
                </c:pt>
                <c:pt idx="1720">
                  <c:v>42887</c:v>
                </c:pt>
                <c:pt idx="1721">
                  <c:v>42886</c:v>
                </c:pt>
                <c:pt idx="1722">
                  <c:v>42885</c:v>
                </c:pt>
                <c:pt idx="1723">
                  <c:v>42884</c:v>
                </c:pt>
                <c:pt idx="1724">
                  <c:v>42883</c:v>
                </c:pt>
                <c:pt idx="1725">
                  <c:v>42882</c:v>
                </c:pt>
                <c:pt idx="1726">
                  <c:v>42881</c:v>
                </c:pt>
                <c:pt idx="1727">
                  <c:v>42880</c:v>
                </c:pt>
                <c:pt idx="1728">
                  <c:v>42879</c:v>
                </c:pt>
                <c:pt idx="1729">
                  <c:v>42878</c:v>
                </c:pt>
                <c:pt idx="1730">
                  <c:v>42877</c:v>
                </c:pt>
                <c:pt idx="1731">
                  <c:v>42876</c:v>
                </c:pt>
                <c:pt idx="1732">
                  <c:v>42875</c:v>
                </c:pt>
                <c:pt idx="1733">
                  <c:v>42874</c:v>
                </c:pt>
                <c:pt idx="1734">
                  <c:v>42873</c:v>
                </c:pt>
                <c:pt idx="1735">
                  <c:v>42872</c:v>
                </c:pt>
                <c:pt idx="1736">
                  <c:v>42871</c:v>
                </c:pt>
                <c:pt idx="1737">
                  <c:v>42870</c:v>
                </c:pt>
                <c:pt idx="1738">
                  <c:v>42869</c:v>
                </c:pt>
                <c:pt idx="1739">
                  <c:v>42868</c:v>
                </c:pt>
                <c:pt idx="1740">
                  <c:v>42867</c:v>
                </c:pt>
                <c:pt idx="1741">
                  <c:v>42866</c:v>
                </c:pt>
                <c:pt idx="1742">
                  <c:v>42865</c:v>
                </c:pt>
                <c:pt idx="1743">
                  <c:v>42864</c:v>
                </c:pt>
                <c:pt idx="1744">
                  <c:v>42863</c:v>
                </c:pt>
                <c:pt idx="1745">
                  <c:v>42862</c:v>
                </c:pt>
                <c:pt idx="1746">
                  <c:v>42861</c:v>
                </c:pt>
                <c:pt idx="1747">
                  <c:v>42860</c:v>
                </c:pt>
                <c:pt idx="1748">
                  <c:v>42859</c:v>
                </c:pt>
                <c:pt idx="1749">
                  <c:v>42858</c:v>
                </c:pt>
                <c:pt idx="1750">
                  <c:v>42857</c:v>
                </c:pt>
                <c:pt idx="1751">
                  <c:v>42856</c:v>
                </c:pt>
                <c:pt idx="1752">
                  <c:v>42855</c:v>
                </c:pt>
                <c:pt idx="1753">
                  <c:v>42854</c:v>
                </c:pt>
                <c:pt idx="1754">
                  <c:v>42853</c:v>
                </c:pt>
                <c:pt idx="1755">
                  <c:v>42852</c:v>
                </c:pt>
                <c:pt idx="1756">
                  <c:v>42851</c:v>
                </c:pt>
                <c:pt idx="1757">
                  <c:v>42850</c:v>
                </c:pt>
                <c:pt idx="1758">
                  <c:v>42849</c:v>
                </c:pt>
                <c:pt idx="1759">
                  <c:v>42848</c:v>
                </c:pt>
                <c:pt idx="1760">
                  <c:v>42847</c:v>
                </c:pt>
                <c:pt idx="1761">
                  <c:v>42846</c:v>
                </c:pt>
                <c:pt idx="1762">
                  <c:v>42845</c:v>
                </c:pt>
                <c:pt idx="1763">
                  <c:v>42844</c:v>
                </c:pt>
                <c:pt idx="1764">
                  <c:v>42843</c:v>
                </c:pt>
                <c:pt idx="1765">
                  <c:v>42842</c:v>
                </c:pt>
                <c:pt idx="1766">
                  <c:v>42841</c:v>
                </c:pt>
                <c:pt idx="1767">
                  <c:v>42840</c:v>
                </c:pt>
                <c:pt idx="1768">
                  <c:v>42839</c:v>
                </c:pt>
                <c:pt idx="1769">
                  <c:v>42838</c:v>
                </c:pt>
                <c:pt idx="1770">
                  <c:v>42837</c:v>
                </c:pt>
                <c:pt idx="1771">
                  <c:v>42836</c:v>
                </c:pt>
                <c:pt idx="1772">
                  <c:v>42835</c:v>
                </c:pt>
                <c:pt idx="1773">
                  <c:v>42834</c:v>
                </c:pt>
                <c:pt idx="1774">
                  <c:v>42833</c:v>
                </c:pt>
                <c:pt idx="1775">
                  <c:v>42832</c:v>
                </c:pt>
                <c:pt idx="1776">
                  <c:v>42831</c:v>
                </c:pt>
                <c:pt idx="1777">
                  <c:v>42830</c:v>
                </c:pt>
                <c:pt idx="1778">
                  <c:v>42829</c:v>
                </c:pt>
                <c:pt idx="1779">
                  <c:v>42828</c:v>
                </c:pt>
                <c:pt idx="1780">
                  <c:v>42827</c:v>
                </c:pt>
                <c:pt idx="1781">
                  <c:v>42826</c:v>
                </c:pt>
                <c:pt idx="1782">
                  <c:v>42825</c:v>
                </c:pt>
                <c:pt idx="1783">
                  <c:v>42824</c:v>
                </c:pt>
                <c:pt idx="1784">
                  <c:v>42823</c:v>
                </c:pt>
                <c:pt idx="1785">
                  <c:v>42822</c:v>
                </c:pt>
                <c:pt idx="1786">
                  <c:v>42821</c:v>
                </c:pt>
                <c:pt idx="1787">
                  <c:v>42820</c:v>
                </c:pt>
                <c:pt idx="1788">
                  <c:v>42819</c:v>
                </c:pt>
                <c:pt idx="1789">
                  <c:v>42818</c:v>
                </c:pt>
                <c:pt idx="1790">
                  <c:v>42817</c:v>
                </c:pt>
                <c:pt idx="1791">
                  <c:v>42816</c:v>
                </c:pt>
                <c:pt idx="1792">
                  <c:v>42815</c:v>
                </c:pt>
                <c:pt idx="1793">
                  <c:v>42814</c:v>
                </c:pt>
                <c:pt idx="1794">
                  <c:v>42813</c:v>
                </c:pt>
                <c:pt idx="1795">
                  <c:v>42812</c:v>
                </c:pt>
                <c:pt idx="1796">
                  <c:v>42811</c:v>
                </c:pt>
                <c:pt idx="1797">
                  <c:v>42810</c:v>
                </c:pt>
                <c:pt idx="1798">
                  <c:v>42809</c:v>
                </c:pt>
                <c:pt idx="1799">
                  <c:v>42808</c:v>
                </c:pt>
                <c:pt idx="1800">
                  <c:v>42807</c:v>
                </c:pt>
                <c:pt idx="1801">
                  <c:v>42806</c:v>
                </c:pt>
                <c:pt idx="1802">
                  <c:v>42805</c:v>
                </c:pt>
                <c:pt idx="1803">
                  <c:v>42804</c:v>
                </c:pt>
                <c:pt idx="1804">
                  <c:v>42803</c:v>
                </c:pt>
                <c:pt idx="1805">
                  <c:v>42802</c:v>
                </c:pt>
                <c:pt idx="1806">
                  <c:v>42801</c:v>
                </c:pt>
                <c:pt idx="1807">
                  <c:v>42800</c:v>
                </c:pt>
                <c:pt idx="1808">
                  <c:v>42799</c:v>
                </c:pt>
                <c:pt idx="1809">
                  <c:v>42798</c:v>
                </c:pt>
                <c:pt idx="1810">
                  <c:v>42797</c:v>
                </c:pt>
                <c:pt idx="1811">
                  <c:v>42796</c:v>
                </c:pt>
                <c:pt idx="1812">
                  <c:v>42795</c:v>
                </c:pt>
                <c:pt idx="1813">
                  <c:v>42794</c:v>
                </c:pt>
                <c:pt idx="1814">
                  <c:v>42793</c:v>
                </c:pt>
                <c:pt idx="1815">
                  <c:v>42792</c:v>
                </c:pt>
                <c:pt idx="1816">
                  <c:v>42791</c:v>
                </c:pt>
                <c:pt idx="1817">
                  <c:v>42790</c:v>
                </c:pt>
                <c:pt idx="1818">
                  <c:v>42789</c:v>
                </c:pt>
                <c:pt idx="1819">
                  <c:v>42788</c:v>
                </c:pt>
                <c:pt idx="1820">
                  <c:v>42787</c:v>
                </c:pt>
                <c:pt idx="1821">
                  <c:v>42786</c:v>
                </c:pt>
                <c:pt idx="1822">
                  <c:v>42785</c:v>
                </c:pt>
                <c:pt idx="1823">
                  <c:v>42784</c:v>
                </c:pt>
                <c:pt idx="1824">
                  <c:v>42783</c:v>
                </c:pt>
                <c:pt idx="1825">
                  <c:v>42782</c:v>
                </c:pt>
                <c:pt idx="1826">
                  <c:v>42781</c:v>
                </c:pt>
              </c:numCache>
            </c:numRef>
          </c:cat>
          <c:val>
            <c:numRef>
              <c:f>[32]Indexed!$H$4:$H$3657</c:f>
              <c:numCache>
                <c:formatCode>General</c:formatCode>
                <c:ptCount val="3654"/>
                <c:pt idx="0">
                  <c:v>417.02867072111206</c:v>
                </c:pt>
                <c:pt idx="1">
                  <c:v>390.35621198957432</c:v>
                </c:pt>
                <c:pt idx="2">
                  <c:v>389.92180712423982</c:v>
                </c:pt>
                <c:pt idx="3">
                  <c:v>389.92180712423982</c:v>
                </c:pt>
                <c:pt idx="4">
                  <c:v>389.92180712423982</c:v>
                </c:pt>
                <c:pt idx="5">
                  <c:v>395.39530842745438</c:v>
                </c:pt>
                <c:pt idx="6">
                  <c:v>382.79756733275417</c:v>
                </c:pt>
                <c:pt idx="7">
                  <c:v>365.42137271937446</c:v>
                </c:pt>
                <c:pt idx="8">
                  <c:v>351.3032145960035</c:v>
                </c:pt>
                <c:pt idx="9">
                  <c:v>352.606429192007</c:v>
                </c:pt>
                <c:pt idx="10">
                  <c:v>352.606429192007</c:v>
                </c:pt>
                <c:pt idx="11">
                  <c:v>352.606429192007</c:v>
                </c:pt>
                <c:pt idx="12">
                  <c:v>356.08166811468288</c:v>
                </c:pt>
                <c:pt idx="13">
                  <c:v>367.11555169417898</c:v>
                </c:pt>
                <c:pt idx="14">
                  <c:v>353.82276281494353</c:v>
                </c:pt>
                <c:pt idx="15">
                  <c:v>357.38488271068633</c:v>
                </c:pt>
                <c:pt idx="16">
                  <c:v>344.35273675065162</c:v>
                </c:pt>
                <c:pt idx="17">
                  <c:v>344.35273675065162</c:v>
                </c:pt>
                <c:pt idx="18">
                  <c:v>344.35273675065162</c:v>
                </c:pt>
                <c:pt idx="19">
                  <c:v>341.96350999131192</c:v>
                </c:pt>
                <c:pt idx="20">
                  <c:v>356.08166811468288</c:v>
                </c:pt>
                <c:pt idx="21">
                  <c:v>350.65160729800175</c:v>
                </c:pt>
                <c:pt idx="22">
                  <c:v>360.33883579496091</c:v>
                </c:pt>
                <c:pt idx="23">
                  <c:v>355.90790616854912</c:v>
                </c:pt>
                <c:pt idx="24">
                  <c:v>355.90790616854912</c:v>
                </c:pt>
                <c:pt idx="25">
                  <c:v>355.90790616854912</c:v>
                </c:pt>
                <c:pt idx="26">
                  <c:v>369.5482189400521</c:v>
                </c:pt>
                <c:pt idx="27">
                  <c:v>390.96437880104259</c:v>
                </c:pt>
                <c:pt idx="28">
                  <c:v>403.43179843614251</c:v>
                </c:pt>
                <c:pt idx="29">
                  <c:v>422.93657688966118</c:v>
                </c:pt>
                <c:pt idx="30">
                  <c:v>422.93657688966118</c:v>
                </c:pt>
                <c:pt idx="31">
                  <c:v>422.93657688966118</c:v>
                </c:pt>
                <c:pt idx="32">
                  <c:v>422.93657688966118</c:v>
                </c:pt>
                <c:pt idx="33">
                  <c:v>415.37793223284103</c:v>
                </c:pt>
                <c:pt idx="34">
                  <c:v>413.16246741963505</c:v>
                </c:pt>
                <c:pt idx="35">
                  <c:v>409.20938314509129</c:v>
                </c:pt>
                <c:pt idx="36">
                  <c:v>407.86272806255431</c:v>
                </c:pt>
                <c:pt idx="37">
                  <c:v>410.29539530842749</c:v>
                </c:pt>
                <c:pt idx="38">
                  <c:v>410.29539530842749</c:v>
                </c:pt>
                <c:pt idx="39">
                  <c:v>410.29539530842749</c:v>
                </c:pt>
                <c:pt idx="40">
                  <c:v>415.50825369244137</c:v>
                </c:pt>
                <c:pt idx="41">
                  <c:v>410.07819287576029</c:v>
                </c:pt>
                <c:pt idx="42">
                  <c:v>418.50564726324933</c:v>
                </c:pt>
                <c:pt idx="43">
                  <c:v>415.94265855777587</c:v>
                </c:pt>
                <c:pt idx="44">
                  <c:v>404.6481320590791</c:v>
                </c:pt>
                <c:pt idx="45">
                  <c:v>404.6481320590791</c:v>
                </c:pt>
                <c:pt idx="46">
                  <c:v>404.6481320590791</c:v>
                </c:pt>
                <c:pt idx="47">
                  <c:v>407.86272806255431</c:v>
                </c:pt>
                <c:pt idx="48">
                  <c:v>417.76715899218073</c:v>
                </c:pt>
                <c:pt idx="49">
                  <c:v>403.73588184187656</c:v>
                </c:pt>
                <c:pt idx="50">
                  <c:v>410.20851433536063</c:v>
                </c:pt>
                <c:pt idx="51">
                  <c:v>410.16507384882709</c:v>
                </c:pt>
                <c:pt idx="52">
                  <c:v>410.16507384882709</c:v>
                </c:pt>
                <c:pt idx="53">
                  <c:v>410.16507384882709</c:v>
                </c:pt>
                <c:pt idx="54">
                  <c:v>410.16507384882709</c:v>
                </c:pt>
                <c:pt idx="55">
                  <c:v>392.44135534317985</c:v>
                </c:pt>
                <c:pt idx="56">
                  <c:v>393.91833188531717</c:v>
                </c:pt>
                <c:pt idx="57">
                  <c:v>356.34231103388362</c:v>
                </c:pt>
                <c:pt idx="58">
                  <c:v>360.55603822762816</c:v>
                </c:pt>
                <c:pt idx="59">
                  <c:v>360.55603822762816</c:v>
                </c:pt>
                <c:pt idx="60">
                  <c:v>360.55603822762816</c:v>
                </c:pt>
                <c:pt idx="61">
                  <c:v>359.20938314509124</c:v>
                </c:pt>
                <c:pt idx="62">
                  <c:v>372.11120764552561</c:v>
                </c:pt>
                <c:pt idx="63">
                  <c:v>361.81581233709824</c:v>
                </c:pt>
                <c:pt idx="64">
                  <c:v>366.42050390964374</c:v>
                </c:pt>
                <c:pt idx="65">
                  <c:v>371.58992180712426</c:v>
                </c:pt>
                <c:pt idx="66">
                  <c:v>371.58992180712426</c:v>
                </c:pt>
                <c:pt idx="67">
                  <c:v>371.58992180712426</c:v>
                </c:pt>
                <c:pt idx="68">
                  <c:v>368.94005212858389</c:v>
                </c:pt>
                <c:pt idx="69">
                  <c:v>373.67506516072979</c:v>
                </c:pt>
                <c:pt idx="70">
                  <c:v>372.84969591659427</c:v>
                </c:pt>
                <c:pt idx="71">
                  <c:v>358.16681146828847</c:v>
                </c:pt>
                <c:pt idx="72">
                  <c:v>354.56125108601219</c:v>
                </c:pt>
                <c:pt idx="73">
                  <c:v>354.56125108601219</c:v>
                </c:pt>
                <c:pt idx="74">
                  <c:v>354.56125108601219</c:v>
                </c:pt>
                <c:pt idx="75">
                  <c:v>360.03475238922675</c:v>
                </c:pt>
                <c:pt idx="76">
                  <c:v>369.89574283231974</c:v>
                </c:pt>
                <c:pt idx="77">
                  <c:v>364.90008688097311</c:v>
                </c:pt>
                <c:pt idx="78">
                  <c:v>374.1963509991312</c:v>
                </c:pt>
                <c:pt idx="79">
                  <c:v>362.38053866203302</c:v>
                </c:pt>
                <c:pt idx="80">
                  <c:v>362.38053866203302</c:v>
                </c:pt>
                <c:pt idx="81">
                  <c:v>362.38053866203302</c:v>
                </c:pt>
                <c:pt idx="82">
                  <c:v>374.50043440486536</c:v>
                </c:pt>
                <c:pt idx="83">
                  <c:v>374.50043440486536</c:v>
                </c:pt>
                <c:pt idx="84">
                  <c:v>371.02519548218942</c:v>
                </c:pt>
                <c:pt idx="85">
                  <c:v>364.29192006950478</c:v>
                </c:pt>
                <c:pt idx="86">
                  <c:v>360.6863596872285</c:v>
                </c:pt>
                <c:pt idx="87">
                  <c:v>360.6863596872285</c:v>
                </c:pt>
                <c:pt idx="88">
                  <c:v>360.6863596872285</c:v>
                </c:pt>
                <c:pt idx="89">
                  <c:v>334.57862728062554</c:v>
                </c:pt>
                <c:pt idx="90">
                  <c:v>327.80191138140748</c:v>
                </c:pt>
                <c:pt idx="91">
                  <c:v>333.66637706342311</c:v>
                </c:pt>
                <c:pt idx="92">
                  <c:v>333.53605560382277</c:v>
                </c:pt>
                <c:pt idx="93">
                  <c:v>335.79496090356213</c:v>
                </c:pt>
                <c:pt idx="94">
                  <c:v>335.79496090356213</c:v>
                </c:pt>
                <c:pt idx="95">
                  <c:v>335.79496090356213</c:v>
                </c:pt>
                <c:pt idx="96">
                  <c:v>323.84882710686355</c:v>
                </c:pt>
                <c:pt idx="97">
                  <c:v>318.89661164205035</c:v>
                </c:pt>
                <c:pt idx="98">
                  <c:v>328.36663770634232</c:v>
                </c:pt>
                <c:pt idx="99">
                  <c:v>323.89226759339704</c:v>
                </c:pt>
                <c:pt idx="100">
                  <c:v>316.76802780191139</c:v>
                </c:pt>
                <c:pt idx="101">
                  <c:v>316.76802780191139</c:v>
                </c:pt>
                <c:pt idx="102">
                  <c:v>316.76802780191139</c:v>
                </c:pt>
                <c:pt idx="103">
                  <c:v>313.8140747176368</c:v>
                </c:pt>
                <c:pt idx="104">
                  <c:v>309.51346655082534</c:v>
                </c:pt>
                <c:pt idx="105">
                  <c:v>307.38488271068638</c:v>
                </c:pt>
                <c:pt idx="106">
                  <c:v>307.12423979148571</c:v>
                </c:pt>
                <c:pt idx="107">
                  <c:v>300.17376194613377</c:v>
                </c:pt>
                <c:pt idx="108">
                  <c:v>300.17376194613377</c:v>
                </c:pt>
                <c:pt idx="109">
                  <c:v>300.17376194613377</c:v>
                </c:pt>
                <c:pt idx="110">
                  <c:v>302.25890529973935</c:v>
                </c:pt>
                <c:pt idx="111">
                  <c:v>296.43788010425715</c:v>
                </c:pt>
                <c:pt idx="112">
                  <c:v>299.47871416159859</c:v>
                </c:pt>
                <c:pt idx="113">
                  <c:v>298.69678540399656</c:v>
                </c:pt>
                <c:pt idx="114">
                  <c:v>293.26672458731542</c:v>
                </c:pt>
                <c:pt idx="115">
                  <c:v>293.26672458731542</c:v>
                </c:pt>
                <c:pt idx="116">
                  <c:v>293.26672458731542</c:v>
                </c:pt>
                <c:pt idx="117">
                  <c:v>298.17549956559515</c:v>
                </c:pt>
                <c:pt idx="118">
                  <c:v>296.56820156385749</c:v>
                </c:pt>
                <c:pt idx="119">
                  <c:v>293.52736750651604</c:v>
                </c:pt>
                <c:pt idx="120">
                  <c:v>292.18071242397917</c:v>
                </c:pt>
                <c:pt idx="121">
                  <c:v>294.00521285838408</c:v>
                </c:pt>
                <c:pt idx="122">
                  <c:v>294.00521285838408</c:v>
                </c:pt>
                <c:pt idx="123">
                  <c:v>294.00521285838408</c:v>
                </c:pt>
                <c:pt idx="124">
                  <c:v>294.52649869678538</c:v>
                </c:pt>
                <c:pt idx="125">
                  <c:v>288.35794960903559</c:v>
                </c:pt>
                <c:pt idx="126">
                  <c:v>289.83492615117285</c:v>
                </c:pt>
                <c:pt idx="127">
                  <c:v>300.69504778453518</c:v>
                </c:pt>
                <c:pt idx="128">
                  <c:v>304.60469157254562</c:v>
                </c:pt>
                <c:pt idx="129">
                  <c:v>304.60469157254562</c:v>
                </c:pt>
                <c:pt idx="130">
                  <c:v>304.60469157254562</c:v>
                </c:pt>
                <c:pt idx="131">
                  <c:v>306.42919200695047</c:v>
                </c:pt>
                <c:pt idx="132">
                  <c:v>303.82276281494353</c:v>
                </c:pt>
                <c:pt idx="133">
                  <c:v>306.25543006081671</c:v>
                </c:pt>
                <c:pt idx="134">
                  <c:v>306.77671589921812</c:v>
                </c:pt>
                <c:pt idx="135">
                  <c:v>308.38401390095567</c:v>
                </c:pt>
                <c:pt idx="136">
                  <c:v>308.38401390095567</c:v>
                </c:pt>
                <c:pt idx="137">
                  <c:v>308.38401390095567</c:v>
                </c:pt>
                <c:pt idx="138">
                  <c:v>308.34057341442229</c:v>
                </c:pt>
                <c:pt idx="139">
                  <c:v>311.20764552562991</c:v>
                </c:pt>
                <c:pt idx="140">
                  <c:v>317.54995655951348</c:v>
                </c:pt>
                <c:pt idx="141">
                  <c:v>326.58557775847095</c:v>
                </c:pt>
                <c:pt idx="142">
                  <c:v>321.67680278019117</c:v>
                </c:pt>
                <c:pt idx="143">
                  <c:v>321.67680278019117</c:v>
                </c:pt>
                <c:pt idx="144">
                  <c:v>321.67680278019117</c:v>
                </c:pt>
                <c:pt idx="145">
                  <c:v>321.63336229365768</c:v>
                </c:pt>
                <c:pt idx="146">
                  <c:v>321.32927888792352</c:v>
                </c:pt>
                <c:pt idx="147">
                  <c:v>313.37966985230236</c:v>
                </c:pt>
                <c:pt idx="148">
                  <c:v>314.37880104257169</c:v>
                </c:pt>
                <c:pt idx="149">
                  <c:v>322.76281494352736</c:v>
                </c:pt>
                <c:pt idx="150">
                  <c:v>322.76281494352736</c:v>
                </c:pt>
                <c:pt idx="151">
                  <c:v>322.76281494352736</c:v>
                </c:pt>
                <c:pt idx="152">
                  <c:v>324.19635099913114</c:v>
                </c:pt>
                <c:pt idx="153">
                  <c:v>320.67767158992177</c:v>
                </c:pt>
                <c:pt idx="154">
                  <c:v>319.24413553431799</c:v>
                </c:pt>
                <c:pt idx="155">
                  <c:v>322.98001737619455</c:v>
                </c:pt>
                <c:pt idx="156">
                  <c:v>319.28757602085142</c:v>
                </c:pt>
                <c:pt idx="157">
                  <c:v>319.28757602085142</c:v>
                </c:pt>
                <c:pt idx="158">
                  <c:v>319.28757602085142</c:v>
                </c:pt>
                <c:pt idx="159">
                  <c:v>316.55082536924419</c:v>
                </c:pt>
                <c:pt idx="160">
                  <c:v>313.94439617723719</c:v>
                </c:pt>
                <c:pt idx="161">
                  <c:v>319.89574283231974</c:v>
                </c:pt>
                <c:pt idx="162">
                  <c:v>320.6342311033884</c:v>
                </c:pt>
                <c:pt idx="163">
                  <c:v>320.6342311033884</c:v>
                </c:pt>
                <c:pt idx="164">
                  <c:v>320.6342311033884</c:v>
                </c:pt>
                <c:pt idx="165">
                  <c:v>320.6342311033884</c:v>
                </c:pt>
                <c:pt idx="166">
                  <c:v>321.41615986099043</c:v>
                </c:pt>
                <c:pt idx="167">
                  <c:v>320.24326672458733</c:v>
                </c:pt>
                <c:pt idx="168">
                  <c:v>320.15638575152042</c:v>
                </c:pt>
                <c:pt idx="169">
                  <c:v>317.81059947871415</c:v>
                </c:pt>
                <c:pt idx="170">
                  <c:v>321.45960034752392</c:v>
                </c:pt>
                <c:pt idx="171">
                  <c:v>321.45960034752392</c:v>
                </c:pt>
                <c:pt idx="172">
                  <c:v>321.45960034752392</c:v>
                </c:pt>
                <c:pt idx="173">
                  <c:v>316.11642050390964</c:v>
                </c:pt>
                <c:pt idx="174">
                  <c:v>321.63336229365768</c:v>
                </c:pt>
                <c:pt idx="175">
                  <c:v>312.68462206776718</c:v>
                </c:pt>
                <c:pt idx="176">
                  <c:v>311.64205039096436</c:v>
                </c:pt>
                <c:pt idx="177">
                  <c:v>305.0825369244136</c:v>
                </c:pt>
                <c:pt idx="178">
                  <c:v>305.0825369244136</c:v>
                </c:pt>
                <c:pt idx="179">
                  <c:v>305.0825369244136</c:v>
                </c:pt>
                <c:pt idx="180">
                  <c:v>305.2997393570808</c:v>
                </c:pt>
                <c:pt idx="181">
                  <c:v>306.77671589921812</c:v>
                </c:pt>
                <c:pt idx="182">
                  <c:v>307.47176368375324</c:v>
                </c:pt>
                <c:pt idx="183">
                  <c:v>308.12337098175504</c:v>
                </c:pt>
                <c:pt idx="184">
                  <c:v>308.07993049522156</c:v>
                </c:pt>
                <c:pt idx="185">
                  <c:v>308.07993049522156</c:v>
                </c:pt>
                <c:pt idx="186">
                  <c:v>308.07993049522156</c:v>
                </c:pt>
                <c:pt idx="187">
                  <c:v>305.16941789748046</c:v>
                </c:pt>
                <c:pt idx="188">
                  <c:v>325.93397046046914</c:v>
                </c:pt>
                <c:pt idx="189">
                  <c:v>329.75673327541267</c:v>
                </c:pt>
                <c:pt idx="190">
                  <c:v>348.43614248479582</c:v>
                </c:pt>
                <c:pt idx="191">
                  <c:v>356.21198957428322</c:v>
                </c:pt>
                <c:pt idx="192">
                  <c:v>356.21198957428322</c:v>
                </c:pt>
                <c:pt idx="193">
                  <c:v>356.21198957428322</c:v>
                </c:pt>
                <c:pt idx="194">
                  <c:v>353.99652476107735</c:v>
                </c:pt>
                <c:pt idx="195">
                  <c:v>356.12510860121637</c:v>
                </c:pt>
                <c:pt idx="196">
                  <c:v>351.25977410947002</c:v>
                </c:pt>
                <c:pt idx="197">
                  <c:v>337.27193744569939</c:v>
                </c:pt>
                <c:pt idx="198">
                  <c:v>337.01129452649872</c:v>
                </c:pt>
                <c:pt idx="199">
                  <c:v>337.01129452649872</c:v>
                </c:pt>
                <c:pt idx="200">
                  <c:v>337.01129452649872</c:v>
                </c:pt>
                <c:pt idx="201">
                  <c:v>334.83927019982622</c:v>
                </c:pt>
                <c:pt idx="202">
                  <c:v>328.19287576020855</c:v>
                </c:pt>
                <c:pt idx="203">
                  <c:v>322.41529105125977</c:v>
                </c:pt>
                <c:pt idx="204">
                  <c:v>331.45091225021719</c:v>
                </c:pt>
                <c:pt idx="205">
                  <c:v>329.88705473501301</c:v>
                </c:pt>
                <c:pt idx="206">
                  <c:v>329.88705473501301</c:v>
                </c:pt>
                <c:pt idx="207">
                  <c:v>329.88705473501301</c:v>
                </c:pt>
                <c:pt idx="208">
                  <c:v>328.10599478714164</c:v>
                </c:pt>
                <c:pt idx="209">
                  <c:v>335.31711555169414</c:v>
                </c:pt>
                <c:pt idx="210">
                  <c:v>327.49782797567332</c:v>
                </c:pt>
                <c:pt idx="211">
                  <c:v>323.97914856646395</c:v>
                </c:pt>
                <c:pt idx="212">
                  <c:v>325.84708948740229</c:v>
                </c:pt>
                <c:pt idx="213">
                  <c:v>325.84708948740229</c:v>
                </c:pt>
                <c:pt idx="214">
                  <c:v>325.84708948740229</c:v>
                </c:pt>
                <c:pt idx="215">
                  <c:v>334.1442224152911</c:v>
                </c:pt>
                <c:pt idx="216">
                  <c:v>340.96437880104253</c:v>
                </c:pt>
                <c:pt idx="217">
                  <c:v>340.79061685490882</c:v>
                </c:pt>
                <c:pt idx="218">
                  <c:v>345.61251086012163</c:v>
                </c:pt>
                <c:pt idx="219">
                  <c:v>342.05039096437878</c:v>
                </c:pt>
                <c:pt idx="220">
                  <c:v>342.05039096437878</c:v>
                </c:pt>
                <c:pt idx="221">
                  <c:v>342.05039096437878</c:v>
                </c:pt>
                <c:pt idx="222">
                  <c:v>334.96959165942661</c:v>
                </c:pt>
                <c:pt idx="223">
                  <c:v>339.79148566463942</c:v>
                </c:pt>
                <c:pt idx="224">
                  <c:v>352.21546481320593</c:v>
                </c:pt>
                <c:pt idx="225">
                  <c:v>348.95742832319723</c:v>
                </c:pt>
                <c:pt idx="226">
                  <c:v>348.95742832319723</c:v>
                </c:pt>
                <c:pt idx="227">
                  <c:v>348.95742832319723</c:v>
                </c:pt>
                <c:pt idx="228">
                  <c:v>348.95742832319723</c:v>
                </c:pt>
                <c:pt idx="229">
                  <c:v>348.00173761946132</c:v>
                </c:pt>
                <c:pt idx="230">
                  <c:v>369.15725456125108</c:v>
                </c:pt>
                <c:pt idx="231">
                  <c:v>360.25195482189406</c:v>
                </c:pt>
                <c:pt idx="232">
                  <c:v>362.20677671589925</c:v>
                </c:pt>
                <c:pt idx="233">
                  <c:v>356.34231103388362</c:v>
                </c:pt>
                <c:pt idx="234">
                  <c:v>356.34231103388362</c:v>
                </c:pt>
                <c:pt idx="235">
                  <c:v>356.34231103388362</c:v>
                </c:pt>
                <c:pt idx="236">
                  <c:v>350.04344048653343</c:v>
                </c:pt>
                <c:pt idx="237">
                  <c:v>343.26672458731537</c:v>
                </c:pt>
                <c:pt idx="238">
                  <c:v>337.35881841876625</c:v>
                </c:pt>
                <c:pt idx="239">
                  <c:v>334.79582971329279</c:v>
                </c:pt>
                <c:pt idx="240">
                  <c:v>334.27454387489144</c:v>
                </c:pt>
                <c:pt idx="241">
                  <c:v>334.27454387489144</c:v>
                </c:pt>
                <c:pt idx="242">
                  <c:v>334.27454387489144</c:v>
                </c:pt>
                <c:pt idx="243">
                  <c:v>350.30408340573416</c:v>
                </c:pt>
                <c:pt idx="244">
                  <c:v>349.65247610773235</c:v>
                </c:pt>
                <c:pt idx="245">
                  <c:v>356.99391833188537</c:v>
                </c:pt>
                <c:pt idx="246">
                  <c:v>349.65247610773235</c:v>
                </c:pt>
                <c:pt idx="247">
                  <c:v>344.65682015638578</c:v>
                </c:pt>
                <c:pt idx="248">
                  <c:v>344.65682015638578</c:v>
                </c:pt>
                <c:pt idx="249">
                  <c:v>344.65682015638578</c:v>
                </c:pt>
                <c:pt idx="250">
                  <c:v>344.3961772371851</c:v>
                </c:pt>
                <c:pt idx="251">
                  <c:v>341.70286707211119</c:v>
                </c:pt>
                <c:pt idx="252">
                  <c:v>349.82623805386623</c:v>
                </c:pt>
                <c:pt idx="253">
                  <c:v>365.07384882710687</c:v>
                </c:pt>
                <c:pt idx="254">
                  <c:v>363.85751520417034</c:v>
                </c:pt>
                <c:pt idx="255">
                  <c:v>363.85751520417034</c:v>
                </c:pt>
                <c:pt idx="256">
                  <c:v>363.85751520417034</c:v>
                </c:pt>
                <c:pt idx="257">
                  <c:v>356.34231103388362</c:v>
                </c:pt>
                <c:pt idx="258">
                  <c:v>366.37706342311037</c:v>
                </c:pt>
                <c:pt idx="259">
                  <c:v>365.55169417897486</c:v>
                </c:pt>
                <c:pt idx="260">
                  <c:v>365.50825369244137</c:v>
                </c:pt>
                <c:pt idx="261">
                  <c:v>365.50825369244137</c:v>
                </c:pt>
                <c:pt idx="262">
                  <c:v>365.50825369244137</c:v>
                </c:pt>
                <c:pt idx="263">
                  <c:v>365.50825369244137</c:v>
                </c:pt>
                <c:pt idx="264">
                  <c:v>364.59600347523894</c:v>
                </c:pt>
                <c:pt idx="265">
                  <c:v>357.25456125108599</c:v>
                </c:pt>
                <c:pt idx="266">
                  <c:v>352.86707211120768</c:v>
                </c:pt>
                <c:pt idx="267">
                  <c:v>360.12163336229366</c:v>
                </c:pt>
                <c:pt idx="268">
                  <c:v>350.65160729800175</c:v>
                </c:pt>
                <c:pt idx="269">
                  <c:v>350.65160729800175</c:v>
                </c:pt>
                <c:pt idx="270">
                  <c:v>350.65160729800175</c:v>
                </c:pt>
                <c:pt idx="271">
                  <c:v>352.43266724587312</c:v>
                </c:pt>
                <c:pt idx="272">
                  <c:v>347.21980886185929</c:v>
                </c:pt>
                <c:pt idx="273">
                  <c:v>342.65855777584704</c:v>
                </c:pt>
                <c:pt idx="274">
                  <c:v>349.21807124239791</c:v>
                </c:pt>
                <c:pt idx="275">
                  <c:v>346.22067767158995</c:v>
                </c:pt>
                <c:pt idx="276">
                  <c:v>346.22067767158995</c:v>
                </c:pt>
                <c:pt idx="277">
                  <c:v>346.22067767158995</c:v>
                </c:pt>
                <c:pt idx="278">
                  <c:v>335.31711555169414</c:v>
                </c:pt>
                <c:pt idx="279">
                  <c:v>333.62293657688963</c:v>
                </c:pt>
                <c:pt idx="280">
                  <c:v>350.47784535186798</c:v>
                </c:pt>
                <c:pt idx="281">
                  <c:v>351.21633362293653</c:v>
                </c:pt>
                <c:pt idx="282">
                  <c:v>373.50130321459602</c:v>
                </c:pt>
                <c:pt idx="283">
                  <c:v>373.50130321459602</c:v>
                </c:pt>
                <c:pt idx="284">
                  <c:v>373.50130321459602</c:v>
                </c:pt>
                <c:pt idx="285">
                  <c:v>368.37532580364899</c:v>
                </c:pt>
                <c:pt idx="286">
                  <c:v>369.89574283231974</c:v>
                </c:pt>
                <c:pt idx="287">
                  <c:v>366.68114682884448</c:v>
                </c:pt>
                <c:pt idx="288">
                  <c:v>369.33101650738485</c:v>
                </c:pt>
                <c:pt idx="289">
                  <c:v>373.89226759339704</c:v>
                </c:pt>
                <c:pt idx="290">
                  <c:v>373.89226759339704</c:v>
                </c:pt>
                <c:pt idx="291">
                  <c:v>373.89226759339704</c:v>
                </c:pt>
                <c:pt idx="292">
                  <c:v>382.53692441355349</c:v>
                </c:pt>
                <c:pt idx="293">
                  <c:v>373.71850564726327</c:v>
                </c:pt>
                <c:pt idx="294">
                  <c:v>388.61859252823632</c:v>
                </c:pt>
                <c:pt idx="295">
                  <c:v>381.58123370981758</c:v>
                </c:pt>
                <c:pt idx="296">
                  <c:v>373.71850564726327</c:v>
                </c:pt>
                <c:pt idx="297">
                  <c:v>373.71850564726327</c:v>
                </c:pt>
                <c:pt idx="298">
                  <c:v>373.71850564726327</c:v>
                </c:pt>
                <c:pt idx="299">
                  <c:v>367.98436142484792</c:v>
                </c:pt>
                <c:pt idx="300">
                  <c:v>388.74891398783666</c:v>
                </c:pt>
                <c:pt idx="301">
                  <c:v>380.01737619461341</c:v>
                </c:pt>
                <c:pt idx="302">
                  <c:v>384.05734144222413</c:v>
                </c:pt>
                <c:pt idx="303">
                  <c:v>393.8314509122502</c:v>
                </c:pt>
                <c:pt idx="304">
                  <c:v>393.8314509122502</c:v>
                </c:pt>
                <c:pt idx="305">
                  <c:v>393.8314509122502</c:v>
                </c:pt>
                <c:pt idx="306">
                  <c:v>392.13727193744569</c:v>
                </c:pt>
                <c:pt idx="307">
                  <c:v>393.87489139878369</c:v>
                </c:pt>
                <c:pt idx="308">
                  <c:v>400.30408340573416</c:v>
                </c:pt>
                <c:pt idx="309">
                  <c:v>415.24761077324069</c:v>
                </c:pt>
                <c:pt idx="310">
                  <c:v>413.98783666377062</c:v>
                </c:pt>
                <c:pt idx="311">
                  <c:v>413.98783666377062</c:v>
                </c:pt>
                <c:pt idx="312">
                  <c:v>413.98783666377062</c:v>
                </c:pt>
                <c:pt idx="313">
                  <c:v>413.94439617723719</c:v>
                </c:pt>
                <c:pt idx="314">
                  <c:v>408.16681146828842</c:v>
                </c:pt>
                <c:pt idx="315">
                  <c:v>406.12510860121631</c:v>
                </c:pt>
                <c:pt idx="316">
                  <c:v>407.25456125108605</c:v>
                </c:pt>
                <c:pt idx="317">
                  <c:v>401.43353605560384</c:v>
                </c:pt>
                <c:pt idx="318">
                  <c:v>401.43353605560384</c:v>
                </c:pt>
                <c:pt idx="319">
                  <c:v>401.43353605560384</c:v>
                </c:pt>
                <c:pt idx="320">
                  <c:v>401.43353605560384</c:v>
                </c:pt>
                <c:pt idx="321">
                  <c:v>383.18853171155513</c:v>
                </c:pt>
                <c:pt idx="322">
                  <c:v>375.9339704604692</c:v>
                </c:pt>
                <c:pt idx="323">
                  <c:v>376.15117289313645</c:v>
                </c:pt>
                <c:pt idx="324">
                  <c:v>382.23284100781927</c:v>
                </c:pt>
                <c:pt idx="325">
                  <c:v>382.23284100781927</c:v>
                </c:pt>
                <c:pt idx="326">
                  <c:v>382.23284100781927</c:v>
                </c:pt>
                <c:pt idx="327">
                  <c:v>365.29105125977412</c:v>
                </c:pt>
                <c:pt idx="328">
                  <c:v>360.55603822762816</c:v>
                </c:pt>
                <c:pt idx="329">
                  <c:v>370.98175499565599</c:v>
                </c:pt>
                <c:pt idx="330">
                  <c:v>396.52476107732406</c:v>
                </c:pt>
                <c:pt idx="331">
                  <c:v>393.17984361424851</c:v>
                </c:pt>
                <c:pt idx="332">
                  <c:v>393.17984361424851</c:v>
                </c:pt>
                <c:pt idx="333">
                  <c:v>393.17984361424851</c:v>
                </c:pt>
                <c:pt idx="334">
                  <c:v>390.18245004344044</c:v>
                </c:pt>
                <c:pt idx="335">
                  <c:v>411.64205039096441</c:v>
                </c:pt>
                <c:pt idx="336">
                  <c:v>397.17636837532586</c:v>
                </c:pt>
                <c:pt idx="337">
                  <c:v>385.96872284969589</c:v>
                </c:pt>
                <c:pt idx="338">
                  <c:v>381.27715030408342</c:v>
                </c:pt>
                <c:pt idx="339">
                  <c:v>381.27715030408342</c:v>
                </c:pt>
                <c:pt idx="340">
                  <c:v>381.27715030408342</c:v>
                </c:pt>
                <c:pt idx="341">
                  <c:v>387.96698523023457</c:v>
                </c:pt>
                <c:pt idx="342">
                  <c:v>371.02519548218942</c:v>
                </c:pt>
                <c:pt idx="343">
                  <c:v>387.92354474370114</c:v>
                </c:pt>
                <c:pt idx="344">
                  <c:v>369.46133796698524</c:v>
                </c:pt>
                <c:pt idx="345">
                  <c:v>386.31624674196354</c:v>
                </c:pt>
                <c:pt idx="346">
                  <c:v>386.31624674196354</c:v>
                </c:pt>
                <c:pt idx="347">
                  <c:v>386.31624674196354</c:v>
                </c:pt>
                <c:pt idx="348">
                  <c:v>366.33362293657689</c:v>
                </c:pt>
                <c:pt idx="349">
                  <c:v>387.09817549956557</c:v>
                </c:pt>
                <c:pt idx="350">
                  <c:v>395.69939183318854</c:v>
                </c:pt>
                <c:pt idx="351">
                  <c:v>411.64205039096441</c:v>
                </c:pt>
                <c:pt idx="352">
                  <c:v>397.61077324066031</c:v>
                </c:pt>
                <c:pt idx="353">
                  <c:v>397.61077324066031</c:v>
                </c:pt>
                <c:pt idx="354">
                  <c:v>397.61077324066031</c:v>
                </c:pt>
                <c:pt idx="355">
                  <c:v>382.79756733275417</c:v>
                </c:pt>
                <c:pt idx="356">
                  <c:v>401.91138140747177</c:v>
                </c:pt>
                <c:pt idx="357">
                  <c:v>383.2754126846221</c:v>
                </c:pt>
                <c:pt idx="358">
                  <c:v>374.80451781059946</c:v>
                </c:pt>
                <c:pt idx="359">
                  <c:v>395.13466550825365</c:v>
                </c:pt>
                <c:pt idx="360">
                  <c:v>395.13466550825365</c:v>
                </c:pt>
                <c:pt idx="361">
                  <c:v>395.13466550825365</c:v>
                </c:pt>
                <c:pt idx="362">
                  <c:v>384.60034752389225</c:v>
                </c:pt>
                <c:pt idx="363">
                  <c:v>373.80538662033013</c:v>
                </c:pt>
                <c:pt idx="364">
                  <c:v>381.14682884448303</c:v>
                </c:pt>
                <c:pt idx="365">
                  <c:v>382.31972198088624</c:v>
                </c:pt>
                <c:pt idx="366">
                  <c:v>382.31972198088624</c:v>
                </c:pt>
                <c:pt idx="367">
                  <c:v>382.31972198088624</c:v>
                </c:pt>
                <c:pt idx="368">
                  <c:v>382.31972198088624</c:v>
                </c:pt>
                <c:pt idx="369">
                  <c:v>375.67332754126846</c:v>
                </c:pt>
                <c:pt idx="370">
                  <c:v>357.73240660295397</c:v>
                </c:pt>
                <c:pt idx="371">
                  <c:v>361.94613379669846</c:v>
                </c:pt>
                <c:pt idx="372">
                  <c:v>364.94352736750653</c:v>
                </c:pt>
                <c:pt idx="373">
                  <c:v>352.30234578627278</c:v>
                </c:pt>
                <c:pt idx="374">
                  <c:v>352.30234578627278</c:v>
                </c:pt>
                <c:pt idx="375">
                  <c:v>352.30234578627278</c:v>
                </c:pt>
                <c:pt idx="376">
                  <c:v>352.95395308427453</c:v>
                </c:pt>
                <c:pt idx="377">
                  <c:v>343.65768896611644</c:v>
                </c:pt>
                <c:pt idx="378">
                  <c:v>354.56125108601219</c:v>
                </c:pt>
                <c:pt idx="379">
                  <c:v>349.39183318853173</c:v>
                </c:pt>
                <c:pt idx="380">
                  <c:v>340.00868809730667</c:v>
                </c:pt>
                <c:pt idx="381">
                  <c:v>340.00868809730667</c:v>
                </c:pt>
                <c:pt idx="382">
                  <c:v>340.00868809730667</c:v>
                </c:pt>
                <c:pt idx="383">
                  <c:v>340.52997393570809</c:v>
                </c:pt>
                <c:pt idx="384">
                  <c:v>326.19461337966987</c:v>
                </c:pt>
                <c:pt idx="385">
                  <c:v>345.39530842745438</c:v>
                </c:pt>
                <c:pt idx="386">
                  <c:v>353.08427454387493</c:v>
                </c:pt>
                <c:pt idx="387">
                  <c:v>357.42832319721981</c:v>
                </c:pt>
                <c:pt idx="388">
                  <c:v>357.42832319721981</c:v>
                </c:pt>
                <c:pt idx="389">
                  <c:v>357.42832319721981</c:v>
                </c:pt>
                <c:pt idx="390">
                  <c:v>369.28757602085147</c:v>
                </c:pt>
                <c:pt idx="391">
                  <c:v>362.72806255430061</c:v>
                </c:pt>
                <c:pt idx="392">
                  <c:v>371.41615986099043</c:v>
                </c:pt>
                <c:pt idx="393">
                  <c:v>350.65160729800175</c:v>
                </c:pt>
                <c:pt idx="394">
                  <c:v>350.65160729800175</c:v>
                </c:pt>
                <c:pt idx="395">
                  <c:v>350.65160729800175</c:v>
                </c:pt>
                <c:pt idx="396">
                  <c:v>350.65160729800175</c:v>
                </c:pt>
                <c:pt idx="397">
                  <c:v>353.17115551694178</c:v>
                </c:pt>
                <c:pt idx="398">
                  <c:v>347.13292788879232</c:v>
                </c:pt>
                <c:pt idx="399">
                  <c:v>345.17810599478713</c:v>
                </c:pt>
                <c:pt idx="400">
                  <c:v>341.74630755864467</c:v>
                </c:pt>
                <c:pt idx="401">
                  <c:v>336.31624674196354</c:v>
                </c:pt>
                <c:pt idx="402">
                  <c:v>336.31624674196354</c:v>
                </c:pt>
                <c:pt idx="403">
                  <c:v>336.31624674196354</c:v>
                </c:pt>
                <c:pt idx="404">
                  <c:v>343.65768896611644</c:v>
                </c:pt>
                <c:pt idx="405">
                  <c:v>334.96959165942661</c:v>
                </c:pt>
                <c:pt idx="406">
                  <c:v>335.62119895742836</c:v>
                </c:pt>
                <c:pt idx="407">
                  <c:v>321.67680278019117</c:v>
                </c:pt>
                <c:pt idx="408">
                  <c:v>326.58557775847095</c:v>
                </c:pt>
                <c:pt idx="409">
                  <c:v>326.58557775847095</c:v>
                </c:pt>
                <c:pt idx="410">
                  <c:v>326.58557775847095</c:v>
                </c:pt>
                <c:pt idx="411">
                  <c:v>326.58557775847095</c:v>
                </c:pt>
                <c:pt idx="412">
                  <c:v>312.4239791485665</c:v>
                </c:pt>
                <c:pt idx="413">
                  <c:v>304.99565595134663</c:v>
                </c:pt>
                <c:pt idx="414">
                  <c:v>306.95047784535188</c:v>
                </c:pt>
                <c:pt idx="415">
                  <c:v>306.60295395308424</c:v>
                </c:pt>
                <c:pt idx="416">
                  <c:v>306.60295395308424</c:v>
                </c:pt>
                <c:pt idx="417">
                  <c:v>306.60295395308424</c:v>
                </c:pt>
                <c:pt idx="418">
                  <c:v>306.60295395308424</c:v>
                </c:pt>
                <c:pt idx="419">
                  <c:v>303.86620330147701</c:v>
                </c:pt>
                <c:pt idx="420">
                  <c:v>305.99478714161597</c:v>
                </c:pt>
                <c:pt idx="421">
                  <c:v>310.46915725456125</c:v>
                </c:pt>
                <c:pt idx="422">
                  <c:v>310.42571676802777</c:v>
                </c:pt>
                <c:pt idx="423">
                  <c:v>310.42571676802777</c:v>
                </c:pt>
                <c:pt idx="424">
                  <c:v>310.42571676802777</c:v>
                </c:pt>
                <c:pt idx="425">
                  <c:v>313.90095569070377</c:v>
                </c:pt>
                <c:pt idx="426">
                  <c:v>317.07211120764549</c:v>
                </c:pt>
                <c:pt idx="427">
                  <c:v>317.76715899218073</c:v>
                </c:pt>
                <c:pt idx="428">
                  <c:v>310.77324066029541</c:v>
                </c:pt>
                <c:pt idx="429">
                  <c:v>306.38575152041705</c:v>
                </c:pt>
                <c:pt idx="430">
                  <c:v>306.38575152041705</c:v>
                </c:pt>
                <c:pt idx="431">
                  <c:v>306.38575152041705</c:v>
                </c:pt>
                <c:pt idx="432">
                  <c:v>309.64378801042574</c:v>
                </c:pt>
                <c:pt idx="433">
                  <c:v>310.20851433536058</c:v>
                </c:pt>
                <c:pt idx="434">
                  <c:v>317.94092093831455</c:v>
                </c:pt>
                <c:pt idx="435">
                  <c:v>315.42137271937446</c:v>
                </c:pt>
                <c:pt idx="436">
                  <c:v>318.5925282363163</c:v>
                </c:pt>
                <c:pt idx="437">
                  <c:v>318.5925282363163</c:v>
                </c:pt>
                <c:pt idx="438">
                  <c:v>318.5925282363163</c:v>
                </c:pt>
                <c:pt idx="439">
                  <c:v>303.64900086880976</c:v>
                </c:pt>
                <c:pt idx="440">
                  <c:v>300.21720243266725</c:v>
                </c:pt>
                <c:pt idx="441">
                  <c:v>291.39878366637708</c:v>
                </c:pt>
                <c:pt idx="442">
                  <c:v>278.4100781928758</c:v>
                </c:pt>
                <c:pt idx="443">
                  <c:v>279.01824500434407</c:v>
                </c:pt>
                <c:pt idx="444">
                  <c:v>279.01824500434407</c:v>
                </c:pt>
                <c:pt idx="445">
                  <c:v>279.01824500434407</c:v>
                </c:pt>
                <c:pt idx="446">
                  <c:v>275.54300608166812</c:v>
                </c:pt>
                <c:pt idx="447">
                  <c:v>275.54300608166812</c:v>
                </c:pt>
                <c:pt idx="448">
                  <c:v>277.80191138140754</c:v>
                </c:pt>
                <c:pt idx="449">
                  <c:v>278.80104257167682</c:v>
                </c:pt>
                <c:pt idx="450">
                  <c:v>266.72458731537796</c:v>
                </c:pt>
                <c:pt idx="451">
                  <c:v>266.72458731537796</c:v>
                </c:pt>
                <c:pt idx="452">
                  <c:v>266.72458731537796</c:v>
                </c:pt>
                <c:pt idx="453">
                  <c:v>268.59252823631624</c:v>
                </c:pt>
                <c:pt idx="454">
                  <c:v>263.85751520417034</c:v>
                </c:pt>
                <c:pt idx="455">
                  <c:v>269.28757602085142</c:v>
                </c:pt>
                <c:pt idx="456">
                  <c:v>268.72284969591658</c:v>
                </c:pt>
                <c:pt idx="457">
                  <c:v>251.65073848827109</c:v>
                </c:pt>
                <c:pt idx="458">
                  <c:v>251.65073848827109</c:v>
                </c:pt>
                <c:pt idx="459">
                  <c:v>251.65073848827109</c:v>
                </c:pt>
                <c:pt idx="460">
                  <c:v>244.35273675065164</c:v>
                </c:pt>
                <c:pt idx="461">
                  <c:v>244.83058210251954</c:v>
                </c:pt>
                <c:pt idx="462">
                  <c:v>240.70373588184188</c:v>
                </c:pt>
                <c:pt idx="463">
                  <c:v>243.0929626411816</c:v>
                </c:pt>
                <c:pt idx="464">
                  <c:v>239.61772371850563</c:v>
                </c:pt>
                <c:pt idx="465">
                  <c:v>239.61772371850563</c:v>
                </c:pt>
                <c:pt idx="466">
                  <c:v>239.61772371850563</c:v>
                </c:pt>
                <c:pt idx="467">
                  <c:v>237.09817549956557</c:v>
                </c:pt>
                <c:pt idx="468">
                  <c:v>225.71676802780192</c:v>
                </c:pt>
                <c:pt idx="469">
                  <c:v>221.89400521285842</c:v>
                </c:pt>
                <c:pt idx="470">
                  <c:v>215.94265855777587</c:v>
                </c:pt>
                <c:pt idx="471">
                  <c:v>218.67940920938315</c:v>
                </c:pt>
                <c:pt idx="472">
                  <c:v>218.67940920938315</c:v>
                </c:pt>
                <c:pt idx="473">
                  <c:v>218.67940920938315</c:v>
                </c:pt>
                <c:pt idx="474">
                  <c:v>219.28757602085142</c:v>
                </c:pt>
                <c:pt idx="475">
                  <c:v>217.20243266724589</c:v>
                </c:pt>
                <c:pt idx="476">
                  <c:v>225.71676802780192</c:v>
                </c:pt>
                <c:pt idx="477">
                  <c:v>226.49869678540401</c:v>
                </c:pt>
                <c:pt idx="478">
                  <c:v>229.58297132927891</c:v>
                </c:pt>
                <c:pt idx="479">
                  <c:v>229.58297132927891</c:v>
                </c:pt>
                <c:pt idx="480">
                  <c:v>229.58297132927891</c:v>
                </c:pt>
                <c:pt idx="481">
                  <c:v>236.22936576889663</c:v>
                </c:pt>
                <c:pt idx="482">
                  <c:v>231.58123370981758</c:v>
                </c:pt>
                <c:pt idx="483">
                  <c:v>232.53692441355344</c:v>
                </c:pt>
                <c:pt idx="484">
                  <c:v>228.62728062554302</c:v>
                </c:pt>
                <c:pt idx="485">
                  <c:v>224.1963509991312</c:v>
                </c:pt>
                <c:pt idx="486">
                  <c:v>224.1963509991312</c:v>
                </c:pt>
                <c:pt idx="487">
                  <c:v>224.1963509991312</c:v>
                </c:pt>
                <c:pt idx="488">
                  <c:v>225.62988705473498</c:v>
                </c:pt>
                <c:pt idx="489">
                  <c:v>224.28323197219808</c:v>
                </c:pt>
                <c:pt idx="490">
                  <c:v>225.23892267593396</c:v>
                </c:pt>
                <c:pt idx="491">
                  <c:v>220.15638575152045</c:v>
                </c:pt>
                <c:pt idx="492">
                  <c:v>216.72458731537793</c:v>
                </c:pt>
                <c:pt idx="493">
                  <c:v>216.72458731537793</c:v>
                </c:pt>
                <c:pt idx="494">
                  <c:v>216.72458731537793</c:v>
                </c:pt>
                <c:pt idx="495">
                  <c:v>216.76802780191139</c:v>
                </c:pt>
                <c:pt idx="496">
                  <c:v>210.29539530842746</c:v>
                </c:pt>
                <c:pt idx="497">
                  <c:v>205.56038227628147</c:v>
                </c:pt>
                <c:pt idx="498">
                  <c:v>206.77671589921806</c:v>
                </c:pt>
                <c:pt idx="499">
                  <c:v>202.21546481320593</c:v>
                </c:pt>
                <c:pt idx="500">
                  <c:v>202.21546481320593</c:v>
                </c:pt>
                <c:pt idx="501">
                  <c:v>202.21546481320593</c:v>
                </c:pt>
                <c:pt idx="502">
                  <c:v>208.16681146828847</c:v>
                </c:pt>
                <c:pt idx="503">
                  <c:v>203.99652476107732</c:v>
                </c:pt>
                <c:pt idx="504">
                  <c:v>220.28670721112076</c:v>
                </c:pt>
                <c:pt idx="505">
                  <c:v>215.9860990443093</c:v>
                </c:pt>
                <c:pt idx="506">
                  <c:v>213.46655082536924</c:v>
                </c:pt>
                <c:pt idx="507">
                  <c:v>213.46655082536924</c:v>
                </c:pt>
                <c:pt idx="508">
                  <c:v>213.46655082536924</c:v>
                </c:pt>
                <c:pt idx="509">
                  <c:v>214.90008688097308</c:v>
                </c:pt>
                <c:pt idx="510">
                  <c:v>216.55082536924414</c:v>
                </c:pt>
                <c:pt idx="511">
                  <c:v>215.89921807124242</c:v>
                </c:pt>
                <c:pt idx="512">
                  <c:v>213.5099913119027</c:v>
                </c:pt>
                <c:pt idx="513">
                  <c:v>220.41702867072112</c:v>
                </c:pt>
                <c:pt idx="514">
                  <c:v>220.41702867072112</c:v>
                </c:pt>
                <c:pt idx="515">
                  <c:v>220.41702867072112</c:v>
                </c:pt>
                <c:pt idx="516">
                  <c:v>221.45960034752389</c:v>
                </c:pt>
                <c:pt idx="517">
                  <c:v>218.11468288444834</c:v>
                </c:pt>
                <c:pt idx="518">
                  <c:v>213.0755864465682</c:v>
                </c:pt>
                <c:pt idx="519">
                  <c:v>212.98870547350131</c:v>
                </c:pt>
                <c:pt idx="520">
                  <c:v>200.21720243266725</c:v>
                </c:pt>
                <c:pt idx="521">
                  <c:v>200.21720243266725</c:v>
                </c:pt>
                <c:pt idx="522">
                  <c:v>200.21720243266725</c:v>
                </c:pt>
                <c:pt idx="523">
                  <c:v>194.91746307558643</c:v>
                </c:pt>
                <c:pt idx="524">
                  <c:v>196.13379669852301</c:v>
                </c:pt>
                <c:pt idx="525">
                  <c:v>195.61251086012163</c:v>
                </c:pt>
                <c:pt idx="526">
                  <c:v>201.91138140747174</c:v>
                </c:pt>
                <c:pt idx="527">
                  <c:v>201.91138140747174</c:v>
                </c:pt>
                <c:pt idx="528">
                  <c:v>201.91138140747174</c:v>
                </c:pt>
                <c:pt idx="529">
                  <c:v>201.91138140747174</c:v>
                </c:pt>
                <c:pt idx="530">
                  <c:v>201.25977410947002</c:v>
                </c:pt>
                <c:pt idx="531">
                  <c:v>207.7758470894874</c:v>
                </c:pt>
                <c:pt idx="532">
                  <c:v>198.78366637706341</c:v>
                </c:pt>
                <c:pt idx="533">
                  <c:v>197.69765421372719</c:v>
                </c:pt>
                <c:pt idx="534">
                  <c:v>198.47958297132928</c:v>
                </c:pt>
                <c:pt idx="535">
                  <c:v>198.47958297132928</c:v>
                </c:pt>
                <c:pt idx="536">
                  <c:v>198.47958297132928</c:v>
                </c:pt>
                <c:pt idx="537">
                  <c:v>193.8314509122502</c:v>
                </c:pt>
                <c:pt idx="538">
                  <c:v>195.3084274543875</c:v>
                </c:pt>
                <c:pt idx="539">
                  <c:v>195.91659426585579</c:v>
                </c:pt>
                <c:pt idx="540">
                  <c:v>190.09556907037359</c:v>
                </c:pt>
                <c:pt idx="541">
                  <c:v>185.31711555169417</c:v>
                </c:pt>
                <c:pt idx="542">
                  <c:v>185.31711555169417</c:v>
                </c:pt>
                <c:pt idx="543">
                  <c:v>185.31711555169417</c:v>
                </c:pt>
                <c:pt idx="544">
                  <c:v>186.72893136403127</c:v>
                </c:pt>
                <c:pt idx="545">
                  <c:v>191.3553431798436</c:v>
                </c:pt>
                <c:pt idx="546">
                  <c:v>192.87576020851432</c:v>
                </c:pt>
                <c:pt idx="547">
                  <c:v>196.43788010425715</c:v>
                </c:pt>
                <c:pt idx="548">
                  <c:v>198.08861859252823</c:v>
                </c:pt>
                <c:pt idx="549">
                  <c:v>198.08861859252823</c:v>
                </c:pt>
                <c:pt idx="550">
                  <c:v>198.08861859252823</c:v>
                </c:pt>
                <c:pt idx="551">
                  <c:v>200.4344048653345</c:v>
                </c:pt>
                <c:pt idx="552">
                  <c:v>210.59947871416159</c:v>
                </c:pt>
                <c:pt idx="553">
                  <c:v>207.47176368375327</c:v>
                </c:pt>
                <c:pt idx="554">
                  <c:v>213.5099913119027</c:v>
                </c:pt>
                <c:pt idx="555">
                  <c:v>211.77237185056472</c:v>
                </c:pt>
                <c:pt idx="556">
                  <c:v>211.77237185056472</c:v>
                </c:pt>
                <c:pt idx="557">
                  <c:v>211.77237185056472</c:v>
                </c:pt>
                <c:pt idx="558">
                  <c:v>211.5551694178975</c:v>
                </c:pt>
                <c:pt idx="559">
                  <c:v>221.76368375325802</c:v>
                </c:pt>
                <c:pt idx="560">
                  <c:v>222.84969591659424</c:v>
                </c:pt>
                <c:pt idx="561">
                  <c:v>218.8966116420504</c:v>
                </c:pt>
                <c:pt idx="562">
                  <c:v>217.44135534317985</c:v>
                </c:pt>
                <c:pt idx="563">
                  <c:v>217.44135534317985</c:v>
                </c:pt>
                <c:pt idx="564">
                  <c:v>217.44135534317985</c:v>
                </c:pt>
                <c:pt idx="565">
                  <c:v>220.41702867072112</c:v>
                </c:pt>
                <c:pt idx="566">
                  <c:v>218.8966116420504</c:v>
                </c:pt>
                <c:pt idx="567">
                  <c:v>217.59339704604693</c:v>
                </c:pt>
                <c:pt idx="568">
                  <c:v>224.10947002606432</c:v>
                </c:pt>
                <c:pt idx="569">
                  <c:v>217.2893136403128</c:v>
                </c:pt>
                <c:pt idx="570">
                  <c:v>217.2893136403128</c:v>
                </c:pt>
                <c:pt idx="571">
                  <c:v>217.2893136403128</c:v>
                </c:pt>
                <c:pt idx="572">
                  <c:v>228.67072111207648</c:v>
                </c:pt>
                <c:pt idx="573">
                  <c:v>224.37011294526496</c:v>
                </c:pt>
                <c:pt idx="574">
                  <c:v>223.80538662033018</c:v>
                </c:pt>
                <c:pt idx="575">
                  <c:v>222.45873153779323</c:v>
                </c:pt>
                <c:pt idx="576">
                  <c:v>214.90008688097308</c:v>
                </c:pt>
                <c:pt idx="577">
                  <c:v>214.90008688097308</c:v>
                </c:pt>
                <c:pt idx="578">
                  <c:v>214.90008688097308</c:v>
                </c:pt>
                <c:pt idx="579">
                  <c:v>217.63683753258039</c:v>
                </c:pt>
                <c:pt idx="580">
                  <c:v>219.41789748045178</c:v>
                </c:pt>
                <c:pt idx="581">
                  <c:v>215.94265855777587</c:v>
                </c:pt>
                <c:pt idx="582">
                  <c:v>214.85664639443965</c:v>
                </c:pt>
                <c:pt idx="583">
                  <c:v>220.24326672458733</c:v>
                </c:pt>
                <c:pt idx="584">
                  <c:v>220.24326672458733</c:v>
                </c:pt>
                <c:pt idx="585">
                  <c:v>220.24326672458733</c:v>
                </c:pt>
                <c:pt idx="586">
                  <c:v>217.11555169417895</c:v>
                </c:pt>
                <c:pt idx="587">
                  <c:v>215.94265855777587</c:v>
                </c:pt>
                <c:pt idx="588">
                  <c:v>213.24934839270199</c:v>
                </c:pt>
                <c:pt idx="589">
                  <c:v>221.19895742832321</c:v>
                </c:pt>
                <c:pt idx="590">
                  <c:v>216.46394439617725</c:v>
                </c:pt>
                <c:pt idx="591">
                  <c:v>216.46394439617725</c:v>
                </c:pt>
                <c:pt idx="592">
                  <c:v>216.46394439617725</c:v>
                </c:pt>
                <c:pt idx="593">
                  <c:v>216.46394439617725</c:v>
                </c:pt>
                <c:pt idx="594">
                  <c:v>215.89921807124242</c:v>
                </c:pt>
                <c:pt idx="595">
                  <c:v>223.80538662033018</c:v>
                </c:pt>
                <c:pt idx="596">
                  <c:v>213.48827106863598</c:v>
                </c:pt>
                <c:pt idx="597">
                  <c:v>210.64291920069508</c:v>
                </c:pt>
                <c:pt idx="598">
                  <c:v>210.64291920069508</c:v>
                </c:pt>
                <c:pt idx="599">
                  <c:v>210.64291920069508</c:v>
                </c:pt>
                <c:pt idx="600">
                  <c:v>213.68375325803649</c:v>
                </c:pt>
                <c:pt idx="601">
                  <c:v>209.77410947002605</c:v>
                </c:pt>
                <c:pt idx="602">
                  <c:v>216.50738488271068</c:v>
                </c:pt>
                <c:pt idx="603">
                  <c:v>222.19808861859255</c:v>
                </c:pt>
                <c:pt idx="604">
                  <c:v>220.80799304952214</c:v>
                </c:pt>
                <c:pt idx="605">
                  <c:v>220.80799304952214</c:v>
                </c:pt>
                <c:pt idx="606">
                  <c:v>220.80799304952214</c:v>
                </c:pt>
                <c:pt idx="607">
                  <c:v>219.28757602085142</c:v>
                </c:pt>
                <c:pt idx="608">
                  <c:v>221.37271937445701</c:v>
                </c:pt>
                <c:pt idx="609">
                  <c:v>221.63336229365771</c:v>
                </c:pt>
                <c:pt idx="610">
                  <c:v>213.90095569070377</c:v>
                </c:pt>
                <c:pt idx="611">
                  <c:v>211.51172893136402</c:v>
                </c:pt>
                <c:pt idx="612">
                  <c:v>211.51172893136402</c:v>
                </c:pt>
                <c:pt idx="613">
                  <c:v>211.51172893136402</c:v>
                </c:pt>
                <c:pt idx="614">
                  <c:v>210.77324066029539</c:v>
                </c:pt>
                <c:pt idx="615">
                  <c:v>227.93223284100782</c:v>
                </c:pt>
                <c:pt idx="616">
                  <c:v>230.88618592528238</c:v>
                </c:pt>
                <c:pt idx="617">
                  <c:v>233.27541268462207</c:v>
                </c:pt>
                <c:pt idx="618">
                  <c:v>233.36229365768895</c:v>
                </c:pt>
                <c:pt idx="619">
                  <c:v>233.36229365768895</c:v>
                </c:pt>
                <c:pt idx="620">
                  <c:v>233.36229365768895</c:v>
                </c:pt>
                <c:pt idx="621">
                  <c:v>222.50217202432668</c:v>
                </c:pt>
                <c:pt idx="622">
                  <c:v>212.51086012163336</c:v>
                </c:pt>
                <c:pt idx="623">
                  <c:v>203.38835794960906</c:v>
                </c:pt>
                <c:pt idx="624">
                  <c:v>201.3032145960035</c:v>
                </c:pt>
                <c:pt idx="625">
                  <c:v>208.12337098175499</c:v>
                </c:pt>
                <c:pt idx="626">
                  <c:v>208.12337098175499</c:v>
                </c:pt>
                <c:pt idx="627">
                  <c:v>208.12337098175499</c:v>
                </c:pt>
                <c:pt idx="628">
                  <c:v>201.86794092093828</c:v>
                </c:pt>
                <c:pt idx="629">
                  <c:v>214.81320590790619</c:v>
                </c:pt>
                <c:pt idx="630">
                  <c:v>198.95742832319721</c:v>
                </c:pt>
                <c:pt idx="631">
                  <c:v>195.22154648132059</c:v>
                </c:pt>
                <c:pt idx="632">
                  <c:v>195.22154648132059</c:v>
                </c:pt>
                <c:pt idx="633">
                  <c:v>195.22154648132059</c:v>
                </c:pt>
                <c:pt idx="634">
                  <c:v>195.22154648132059</c:v>
                </c:pt>
                <c:pt idx="635">
                  <c:v>196.43788010425715</c:v>
                </c:pt>
                <c:pt idx="636">
                  <c:v>202.60642919200697</c:v>
                </c:pt>
                <c:pt idx="637">
                  <c:v>196.00347523892268</c:v>
                </c:pt>
                <c:pt idx="638">
                  <c:v>199.47871416159862</c:v>
                </c:pt>
                <c:pt idx="639">
                  <c:v>192.91920069504778</c:v>
                </c:pt>
                <c:pt idx="640">
                  <c:v>192.91920069504778</c:v>
                </c:pt>
                <c:pt idx="641">
                  <c:v>192.91920069504778</c:v>
                </c:pt>
                <c:pt idx="642">
                  <c:v>198.65334491746307</c:v>
                </c:pt>
                <c:pt idx="643">
                  <c:v>189.09643788010428</c:v>
                </c:pt>
                <c:pt idx="644">
                  <c:v>198.47958297132928</c:v>
                </c:pt>
                <c:pt idx="645">
                  <c:v>209.38314509122503</c:v>
                </c:pt>
                <c:pt idx="646">
                  <c:v>209.60034752389225</c:v>
                </c:pt>
                <c:pt idx="647">
                  <c:v>209.60034752389225</c:v>
                </c:pt>
                <c:pt idx="648">
                  <c:v>209.60034752389225</c:v>
                </c:pt>
                <c:pt idx="649">
                  <c:v>202.38922675933972</c:v>
                </c:pt>
                <c:pt idx="650">
                  <c:v>200.17376194613382</c:v>
                </c:pt>
                <c:pt idx="651">
                  <c:v>197.26324934839269</c:v>
                </c:pt>
                <c:pt idx="652">
                  <c:v>193.13640312771503</c:v>
                </c:pt>
                <c:pt idx="653">
                  <c:v>195.742832319722</c:v>
                </c:pt>
                <c:pt idx="654">
                  <c:v>195.742832319722</c:v>
                </c:pt>
                <c:pt idx="655">
                  <c:v>195.742832319722</c:v>
                </c:pt>
                <c:pt idx="656">
                  <c:v>208.03649000868808</c:v>
                </c:pt>
                <c:pt idx="657">
                  <c:v>216.46394439617725</c:v>
                </c:pt>
                <c:pt idx="658">
                  <c:v>196.82884448305822</c:v>
                </c:pt>
                <c:pt idx="659">
                  <c:v>196.69852302345788</c:v>
                </c:pt>
                <c:pt idx="660">
                  <c:v>191.83318853171153</c:v>
                </c:pt>
                <c:pt idx="661">
                  <c:v>191.83318853171153</c:v>
                </c:pt>
                <c:pt idx="662">
                  <c:v>191.83318853171153</c:v>
                </c:pt>
                <c:pt idx="663">
                  <c:v>190.13900955690707</c:v>
                </c:pt>
                <c:pt idx="664">
                  <c:v>190.74717636837531</c:v>
                </c:pt>
                <c:pt idx="665">
                  <c:v>179.88705473501304</c:v>
                </c:pt>
                <c:pt idx="666">
                  <c:v>188.53171155516941</c:v>
                </c:pt>
                <c:pt idx="667">
                  <c:v>198.52302345786273</c:v>
                </c:pt>
                <c:pt idx="668">
                  <c:v>198.52302345786273</c:v>
                </c:pt>
                <c:pt idx="669">
                  <c:v>198.52302345786273</c:v>
                </c:pt>
                <c:pt idx="670">
                  <c:v>197.7845351867941</c:v>
                </c:pt>
                <c:pt idx="671">
                  <c:v>201.69417897480452</c:v>
                </c:pt>
                <c:pt idx="672">
                  <c:v>206.86359687228494</c:v>
                </c:pt>
                <c:pt idx="673">
                  <c:v>200.56472632493487</c:v>
                </c:pt>
                <c:pt idx="674">
                  <c:v>200.39096437880107</c:v>
                </c:pt>
                <c:pt idx="675">
                  <c:v>200.39096437880107</c:v>
                </c:pt>
                <c:pt idx="676">
                  <c:v>200.39096437880107</c:v>
                </c:pt>
                <c:pt idx="677">
                  <c:v>200.39096437880107</c:v>
                </c:pt>
                <c:pt idx="678">
                  <c:v>209.77410947002605</c:v>
                </c:pt>
                <c:pt idx="679">
                  <c:v>202.17202432667247</c:v>
                </c:pt>
                <c:pt idx="680">
                  <c:v>201.43353605560384</c:v>
                </c:pt>
                <c:pt idx="681">
                  <c:v>179.06168549087749</c:v>
                </c:pt>
                <c:pt idx="682">
                  <c:v>179.06168549087749</c:v>
                </c:pt>
                <c:pt idx="683">
                  <c:v>179.06168549087749</c:v>
                </c:pt>
                <c:pt idx="684">
                  <c:v>178.49695916594268</c:v>
                </c:pt>
                <c:pt idx="685">
                  <c:v>173.28410078192877</c:v>
                </c:pt>
                <c:pt idx="686">
                  <c:v>182.71068635968723</c:v>
                </c:pt>
                <c:pt idx="687">
                  <c:v>193.39704604691573</c:v>
                </c:pt>
                <c:pt idx="688">
                  <c:v>188.879235447437</c:v>
                </c:pt>
                <c:pt idx="689">
                  <c:v>188.879235447437</c:v>
                </c:pt>
                <c:pt idx="690">
                  <c:v>188.879235447437</c:v>
                </c:pt>
                <c:pt idx="691">
                  <c:v>194.56993918331887</c:v>
                </c:pt>
                <c:pt idx="692">
                  <c:v>184.622067767159</c:v>
                </c:pt>
                <c:pt idx="693">
                  <c:v>187.9669852302346</c:v>
                </c:pt>
                <c:pt idx="694">
                  <c:v>166.15986099044309</c:v>
                </c:pt>
                <c:pt idx="695">
                  <c:v>156.86359687228497</c:v>
                </c:pt>
                <c:pt idx="696">
                  <c:v>156.86359687228497</c:v>
                </c:pt>
                <c:pt idx="697">
                  <c:v>156.86359687228497</c:v>
                </c:pt>
                <c:pt idx="698">
                  <c:v>157.64552562988706</c:v>
                </c:pt>
                <c:pt idx="699">
                  <c:v>150.69504778453518</c:v>
                </c:pt>
                <c:pt idx="700">
                  <c:v>162.38053866203305</c:v>
                </c:pt>
                <c:pt idx="701">
                  <c:v>149.73935708079929</c:v>
                </c:pt>
                <c:pt idx="702">
                  <c:v>186.75065160729801</c:v>
                </c:pt>
                <c:pt idx="703">
                  <c:v>186.75065160729801</c:v>
                </c:pt>
                <c:pt idx="704">
                  <c:v>186.75065160729801</c:v>
                </c:pt>
                <c:pt idx="705">
                  <c:v>168.59252823631624</c:v>
                </c:pt>
                <c:pt idx="706">
                  <c:v>189.92180712423979</c:v>
                </c:pt>
                <c:pt idx="707">
                  <c:v>207.90616854908777</c:v>
                </c:pt>
                <c:pt idx="708">
                  <c:v>199.69591659426587</c:v>
                </c:pt>
                <c:pt idx="709">
                  <c:v>223.58818418766288</c:v>
                </c:pt>
                <c:pt idx="710">
                  <c:v>223.58818418766288</c:v>
                </c:pt>
                <c:pt idx="711">
                  <c:v>223.58818418766288</c:v>
                </c:pt>
                <c:pt idx="712">
                  <c:v>233.36229365768895</c:v>
                </c:pt>
                <c:pt idx="713">
                  <c:v>240.1824500434405</c:v>
                </c:pt>
                <c:pt idx="714">
                  <c:v>225.02172024326671</c:v>
                </c:pt>
                <c:pt idx="715">
                  <c:v>237.14161598609905</c:v>
                </c:pt>
                <c:pt idx="716">
                  <c:v>228.32319721980889</c:v>
                </c:pt>
                <c:pt idx="717">
                  <c:v>228.32319721980889</c:v>
                </c:pt>
                <c:pt idx="718">
                  <c:v>228.32319721980889</c:v>
                </c:pt>
                <c:pt idx="719">
                  <c:v>219.72198088618592</c:v>
                </c:pt>
                <c:pt idx="720">
                  <c:v>227.49782797567332</c:v>
                </c:pt>
                <c:pt idx="721">
                  <c:v>226.32493483927024</c:v>
                </c:pt>
                <c:pt idx="722">
                  <c:v>238.96611642050391</c:v>
                </c:pt>
                <c:pt idx="723">
                  <c:v>247.56733275412688</c:v>
                </c:pt>
                <c:pt idx="724">
                  <c:v>247.56733275412688</c:v>
                </c:pt>
                <c:pt idx="725">
                  <c:v>247.56733275412688</c:v>
                </c:pt>
                <c:pt idx="726">
                  <c:v>256.29887054735013</c:v>
                </c:pt>
                <c:pt idx="727">
                  <c:v>260.59947871416165</c:v>
                </c:pt>
                <c:pt idx="728">
                  <c:v>250.868809730669</c:v>
                </c:pt>
                <c:pt idx="729">
                  <c:v>254.12684622067769</c:v>
                </c:pt>
                <c:pt idx="730">
                  <c:v>254.12684622067769</c:v>
                </c:pt>
                <c:pt idx="731">
                  <c:v>254.12684622067769</c:v>
                </c:pt>
                <c:pt idx="732">
                  <c:v>254.12684622067769</c:v>
                </c:pt>
                <c:pt idx="733">
                  <c:v>257.73240660295397</c:v>
                </c:pt>
                <c:pt idx="734">
                  <c:v>257.47176368375324</c:v>
                </c:pt>
                <c:pt idx="735">
                  <c:v>248.69678540399653</c:v>
                </c:pt>
                <c:pt idx="736">
                  <c:v>249.04430929626412</c:v>
                </c:pt>
                <c:pt idx="737">
                  <c:v>247.08948740225892</c:v>
                </c:pt>
                <c:pt idx="738">
                  <c:v>247.08948740225892</c:v>
                </c:pt>
                <c:pt idx="739">
                  <c:v>247.08948740225892</c:v>
                </c:pt>
                <c:pt idx="740">
                  <c:v>254.90877497827978</c:v>
                </c:pt>
                <c:pt idx="741">
                  <c:v>246.611642050391</c:v>
                </c:pt>
                <c:pt idx="742">
                  <c:v>241.0947002606429</c:v>
                </c:pt>
                <c:pt idx="743">
                  <c:v>233.62293657688969</c:v>
                </c:pt>
                <c:pt idx="744">
                  <c:v>230.6255430060817</c:v>
                </c:pt>
                <c:pt idx="745">
                  <c:v>230.6255430060817</c:v>
                </c:pt>
                <c:pt idx="746">
                  <c:v>230.6255430060817</c:v>
                </c:pt>
                <c:pt idx="747">
                  <c:v>239.05299739357079</c:v>
                </c:pt>
                <c:pt idx="748">
                  <c:v>240.22589052997395</c:v>
                </c:pt>
                <c:pt idx="749">
                  <c:v>245.30842745438747</c:v>
                </c:pt>
                <c:pt idx="750">
                  <c:v>240.70373588184188</c:v>
                </c:pt>
                <c:pt idx="751">
                  <c:v>250.91225021720246</c:v>
                </c:pt>
                <c:pt idx="752">
                  <c:v>250.91225021720246</c:v>
                </c:pt>
                <c:pt idx="753">
                  <c:v>250.91225021720246</c:v>
                </c:pt>
                <c:pt idx="754">
                  <c:v>257.16768027801913</c:v>
                </c:pt>
                <c:pt idx="755">
                  <c:v>257.03735881841874</c:v>
                </c:pt>
                <c:pt idx="756">
                  <c:v>256.1685490877498</c:v>
                </c:pt>
                <c:pt idx="757">
                  <c:v>250.47784535186796</c:v>
                </c:pt>
                <c:pt idx="758">
                  <c:v>250.47784535186796</c:v>
                </c:pt>
                <c:pt idx="759">
                  <c:v>250.47784535186796</c:v>
                </c:pt>
                <c:pt idx="760">
                  <c:v>250.47784535186796</c:v>
                </c:pt>
                <c:pt idx="761">
                  <c:v>250.56472632493484</c:v>
                </c:pt>
                <c:pt idx="762">
                  <c:v>244.00521285838403</c:v>
                </c:pt>
                <c:pt idx="763">
                  <c:v>249.86967854039966</c:v>
                </c:pt>
                <c:pt idx="764">
                  <c:v>249.56559513466553</c:v>
                </c:pt>
                <c:pt idx="765">
                  <c:v>246.1772371850565</c:v>
                </c:pt>
                <c:pt idx="766">
                  <c:v>246.1772371850565</c:v>
                </c:pt>
                <c:pt idx="767">
                  <c:v>246.1772371850565</c:v>
                </c:pt>
                <c:pt idx="768">
                  <c:v>248.95742832319723</c:v>
                </c:pt>
                <c:pt idx="769">
                  <c:v>249.86967854039966</c:v>
                </c:pt>
                <c:pt idx="770">
                  <c:v>253.12771503040835</c:v>
                </c:pt>
                <c:pt idx="771">
                  <c:v>232.68896611642052</c:v>
                </c:pt>
                <c:pt idx="772">
                  <c:v>236.88097306689838</c:v>
                </c:pt>
                <c:pt idx="773">
                  <c:v>236.88097306689838</c:v>
                </c:pt>
                <c:pt idx="774">
                  <c:v>236.88097306689838</c:v>
                </c:pt>
                <c:pt idx="775">
                  <c:v>240.616854908775</c:v>
                </c:pt>
                <c:pt idx="776">
                  <c:v>233.62293657688969</c:v>
                </c:pt>
                <c:pt idx="777">
                  <c:v>233.62293657688969</c:v>
                </c:pt>
                <c:pt idx="778">
                  <c:v>231.14682884448308</c:v>
                </c:pt>
                <c:pt idx="779">
                  <c:v>234.70894874022591</c:v>
                </c:pt>
                <c:pt idx="780">
                  <c:v>234.70894874022591</c:v>
                </c:pt>
                <c:pt idx="781">
                  <c:v>234.70894874022591</c:v>
                </c:pt>
                <c:pt idx="782">
                  <c:v>239.37880104257167</c:v>
                </c:pt>
                <c:pt idx="783">
                  <c:v>240.74717636837534</c:v>
                </c:pt>
                <c:pt idx="784">
                  <c:v>240.74717636837534</c:v>
                </c:pt>
                <c:pt idx="785">
                  <c:v>240.66029539530845</c:v>
                </c:pt>
                <c:pt idx="786">
                  <c:v>239.18331885317116</c:v>
                </c:pt>
                <c:pt idx="787">
                  <c:v>239.18331885317116</c:v>
                </c:pt>
                <c:pt idx="788">
                  <c:v>239.18331885317116</c:v>
                </c:pt>
                <c:pt idx="789">
                  <c:v>236.88097306689838</c:v>
                </c:pt>
                <c:pt idx="790">
                  <c:v>230.40834057341445</c:v>
                </c:pt>
                <c:pt idx="791">
                  <c:v>230.23457862728063</c:v>
                </c:pt>
                <c:pt idx="792">
                  <c:v>229.97393570807992</c:v>
                </c:pt>
                <c:pt idx="793">
                  <c:v>222.4152910512598</c:v>
                </c:pt>
                <c:pt idx="794">
                  <c:v>222.4152910512598</c:v>
                </c:pt>
                <c:pt idx="795">
                  <c:v>222.4152910512598</c:v>
                </c:pt>
                <c:pt idx="796">
                  <c:v>221.41615986099046</c:v>
                </c:pt>
                <c:pt idx="797">
                  <c:v>213.98783666377062</c:v>
                </c:pt>
                <c:pt idx="798">
                  <c:v>206.1685490877498</c:v>
                </c:pt>
                <c:pt idx="799">
                  <c:v>201.7810599478714</c:v>
                </c:pt>
                <c:pt idx="800">
                  <c:v>208.2102519548219</c:v>
                </c:pt>
                <c:pt idx="801">
                  <c:v>208.2102519548219</c:v>
                </c:pt>
                <c:pt idx="802">
                  <c:v>208.2102519548219</c:v>
                </c:pt>
                <c:pt idx="803">
                  <c:v>202.51954821894006</c:v>
                </c:pt>
                <c:pt idx="804">
                  <c:v>201.12945264986965</c:v>
                </c:pt>
                <c:pt idx="805">
                  <c:v>196.4813205907906</c:v>
                </c:pt>
                <c:pt idx="806">
                  <c:v>201.52041702867072</c:v>
                </c:pt>
                <c:pt idx="807">
                  <c:v>206.38575152041702</c:v>
                </c:pt>
                <c:pt idx="808">
                  <c:v>206.38575152041702</c:v>
                </c:pt>
                <c:pt idx="809">
                  <c:v>206.38575152041702</c:v>
                </c:pt>
                <c:pt idx="810">
                  <c:v>209.20938314509124</c:v>
                </c:pt>
                <c:pt idx="811">
                  <c:v>209.20938314509124</c:v>
                </c:pt>
                <c:pt idx="812">
                  <c:v>202.93223284100782</c:v>
                </c:pt>
                <c:pt idx="813">
                  <c:v>206.4291920069505</c:v>
                </c:pt>
                <c:pt idx="814">
                  <c:v>199.26151172893137</c:v>
                </c:pt>
                <c:pt idx="815">
                  <c:v>199.26151172893137</c:v>
                </c:pt>
                <c:pt idx="816">
                  <c:v>199.26151172893137</c:v>
                </c:pt>
                <c:pt idx="817">
                  <c:v>197.87141615986098</c:v>
                </c:pt>
                <c:pt idx="818">
                  <c:v>197.9582971329279</c:v>
                </c:pt>
                <c:pt idx="819">
                  <c:v>202.34578627280624</c:v>
                </c:pt>
                <c:pt idx="820">
                  <c:v>207.73240660295394</c:v>
                </c:pt>
                <c:pt idx="821">
                  <c:v>207.25456125108602</c:v>
                </c:pt>
                <c:pt idx="822">
                  <c:v>207.25456125108602</c:v>
                </c:pt>
                <c:pt idx="823">
                  <c:v>207.25456125108602</c:v>
                </c:pt>
                <c:pt idx="824">
                  <c:v>203.30147697654212</c:v>
                </c:pt>
                <c:pt idx="825">
                  <c:v>201.12945264986965</c:v>
                </c:pt>
                <c:pt idx="826">
                  <c:v>203.73588184187662</c:v>
                </c:pt>
                <c:pt idx="827">
                  <c:v>200.95569070373588</c:v>
                </c:pt>
                <c:pt idx="828">
                  <c:v>204.99565595134666</c:v>
                </c:pt>
                <c:pt idx="829">
                  <c:v>204.99565595134666</c:v>
                </c:pt>
                <c:pt idx="830">
                  <c:v>204.99565595134666</c:v>
                </c:pt>
                <c:pt idx="831">
                  <c:v>210.251954821894</c:v>
                </c:pt>
                <c:pt idx="832">
                  <c:v>207.12423979148568</c:v>
                </c:pt>
                <c:pt idx="833">
                  <c:v>211.46828844483059</c:v>
                </c:pt>
                <c:pt idx="834">
                  <c:v>215.42137271937446</c:v>
                </c:pt>
                <c:pt idx="835">
                  <c:v>210.16507384882712</c:v>
                </c:pt>
                <c:pt idx="836">
                  <c:v>210.16507384882712</c:v>
                </c:pt>
                <c:pt idx="837">
                  <c:v>210.16507384882712</c:v>
                </c:pt>
                <c:pt idx="838">
                  <c:v>206.55951346655081</c:v>
                </c:pt>
                <c:pt idx="839">
                  <c:v>207.99304952215465</c:v>
                </c:pt>
                <c:pt idx="840">
                  <c:v>208.99218071242399</c:v>
                </c:pt>
                <c:pt idx="841">
                  <c:v>211.51172893136402</c:v>
                </c:pt>
                <c:pt idx="842">
                  <c:v>208.6446568201564</c:v>
                </c:pt>
                <c:pt idx="843">
                  <c:v>208.6446568201564</c:v>
                </c:pt>
                <c:pt idx="844">
                  <c:v>208.6446568201564</c:v>
                </c:pt>
                <c:pt idx="845">
                  <c:v>204.60469157254565</c:v>
                </c:pt>
                <c:pt idx="846">
                  <c:v>194.00521285838403</c:v>
                </c:pt>
                <c:pt idx="847">
                  <c:v>194.00521285838403</c:v>
                </c:pt>
                <c:pt idx="848">
                  <c:v>196.43788010425715</c:v>
                </c:pt>
                <c:pt idx="849">
                  <c:v>188.83579496090357</c:v>
                </c:pt>
                <c:pt idx="850">
                  <c:v>188.83579496090357</c:v>
                </c:pt>
                <c:pt idx="851">
                  <c:v>188.83579496090357</c:v>
                </c:pt>
                <c:pt idx="852">
                  <c:v>197.65421372719373</c:v>
                </c:pt>
                <c:pt idx="853">
                  <c:v>196.17723718505647</c:v>
                </c:pt>
                <c:pt idx="854">
                  <c:v>201.80278019113814</c:v>
                </c:pt>
                <c:pt idx="855">
                  <c:v>194.874022589053</c:v>
                </c:pt>
                <c:pt idx="856">
                  <c:v>195.91659426585579</c:v>
                </c:pt>
                <c:pt idx="857">
                  <c:v>195.91659426585579</c:v>
                </c:pt>
                <c:pt idx="858">
                  <c:v>195.91659426585579</c:v>
                </c:pt>
                <c:pt idx="859">
                  <c:v>188.01042571676803</c:v>
                </c:pt>
                <c:pt idx="860">
                  <c:v>186.25108601216334</c:v>
                </c:pt>
                <c:pt idx="861">
                  <c:v>185.20851433536055</c:v>
                </c:pt>
                <c:pt idx="862">
                  <c:v>191.83318853171153</c:v>
                </c:pt>
                <c:pt idx="863">
                  <c:v>193.52736750651607</c:v>
                </c:pt>
                <c:pt idx="864">
                  <c:v>193.52736750651607</c:v>
                </c:pt>
                <c:pt idx="865">
                  <c:v>193.52736750651607</c:v>
                </c:pt>
                <c:pt idx="866">
                  <c:v>188.79235447437011</c:v>
                </c:pt>
                <c:pt idx="867">
                  <c:v>182.36316246741961</c:v>
                </c:pt>
                <c:pt idx="868">
                  <c:v>183.75325803649</c:v>
                </c:pt>
                <c:pt idx="869">
                  <c:v>186.14248479582974</c:v>
                </c:pt>
                <c:pt idx="870">
                  <c:v>187.70634231103389</c:v>
                </c:pt>
                <c:pt idx="871">
                  <c:v>187.70634231103389</c:v>
                </c:pt>
                <c:pt idx="872">
                  <c:v>187.70634231103389</c:v>
                </c:pt>
                <c:pt idx="873">
                  <c:v>211.120764552563</c:v>
                </c:pt>
                <c:pt idx="874">
                  <c:v>214.90008688097308</c:v>
                </c:pt>
                <c:pt idx="875">
                  <c:v>210.72980017376196</c:v>
                </c:pt>
                <c:pt idx="876">
                  <c:v>215.46481320590792</c:v>
                </c:pt>
                <c:pt idx="877">
                  <c:v>213.55343179843612</c:v>
                </c:pt>
                <c:pt idx="878">
                  <c:v>213.55343179843612</c:v>
                </c:pt>
                <c:pt idx="879">
                  <c:v>213.55343179843612</c:v>
                </c:pt>
                <c:pt idx="880">
                  <c:v>216.4205039096438</c:v>
                </c:pt>
                <c:pt idx="881">
                  <c:v>219.28757602085142</c:v>
                </c:pt>
                <c:pt idx="882">
                  <c:v>220.85143353605562</c:v>
                </c:pt>
                <c:pt idx="883">
                  <c:v>217.85403996524758</c:v>
                </c:pt>
                <c:pt idx="884">
                  <c:v>219.37445699391836</c:v>
                </c:pt>
                <c:pt idx="885">
                  <c:v>219.37445699391836</c:v>
                </c:pt>
                <c:pt idx="886">
                  <c:v>219.37445699391836</c:v>
                </c:pt>
                <c:pt idx="887">
                  <c:v>219.11381407471762</c:v>
                </c:pt>
                <c:pt idx="888">
                  <c:v>219.28757602085142</c:v>
                </c:pt>
                <c:pt idx="889">
                  <c:v>214.55256298870546</c:v>
                </c:pt>
                <c:pt idx="890">
                  <c:v>213.42311033883581</c:v>
                </c:pt>
                <c:pt idx="891">
                  <c:v>212.72806255430061</c:v>
                </c:pt>
                <c:pt idx="892">
                  <c:v>212.72806255430061</c:v>
                </c:pt>
                <c:pt idx="893">
                  <c:v>212.72806255430061</c:v>
                </c:pt>
                <c:pt idx="894">
                  <c:v>212.98870547350131</c:v>
                </c:pt>
                <c:pt idx="895">
                  <c:v>203.3449174630756</c:v>
                </c:pt>
                <c:pt idx="896">
                  <c:v>195.43874891398784</c:v>
                </c:pt>
                <c:pt idx="897">
                  <c:v>196.65508253692443</c:v>
                </c:pt>
                <c:pt idx="898">
                  <c:v>196.65508253692443</c:v>
                </c:pt>
                <c:pt idx="899">
                  <c:v>196.65508253692443</c:v>
                </c:pt>
                <c:pt idx="900">
                  <c:v>196.65508253692443</c:v>
                </c:pt>
                <c:pt idx="901">
                  <c:v>194.04865334491748</c:v>
                </c:pt>
                <c:pt idx="902">
                  <c:v>187.44569939183319</c:v>
                </c:pt>
                <c:pt idx="903">
                  <c:v>184.36142484795829</c:v>
                </c:pt>
                <c:pt idx="904">
                  <c:v>188.66203301476975</c:v>
                </c:pt>
                <c:pt idx="905">
                  <c:v>186.62033014769764</c:v>
                </c:pt>
                <c:pt idx="906">
                  <c:v>186.62033014769764</c:v>
                </c:pt>
                <c:pt idx="907">
                  <c:v>186.62033014769764</c:v>
                </c:pt>
                <c:pt idx="908">
                  <c:v>194.52649869678541</c:v>
                </c:pt>
                <c:pt idx="909">
                  <c:v>191.87662901824501</c:v>
                </c:pt>
                <c:pt idx="910">
                  <c:v>192.13727193744569</c:v>
                </c:pt>
                <c:pt idx="911">
                  <c:v>195.52562988705472</c:v>
                </c:pt>
                <c:pt idx="912">
                  <c:v>189.18331885317116</c:v>
                </c:pt>
                <c:pt idx="913">
                  <c:v>189.18331885317116</c:v>
                </c:pt>
                <c:pt idx="914">
                  <c:v>189.18331885317116</c:v>
                </c:pt>
                <c:pt idx="915">
                  <c:v>183.49261511728932</c:v>
                </c:pt>
                <c:pt idx="916">
                  <c:v>182.62380538662032</c:v>
                </c:pt>
                <c:pt idx="917">
                  <c:v>191.87662901824501</c:v>
                </c:pt>
                <c:pt idx="918">
                  <c:v>183.01476976542139</c:v>
                </c:pt>
                <c:pt idx="919">
                  <c:v>180.36490008688099</c:v>
                </c:pt>
                <c:pt idx="920">
                  <c:v>180.36490008688099</c:v>
                </c:pt>
                <c:pt idx="921">
                  <c:v>180.36490008688099</c:v>
                </c:pt>
                <c:pt idx="922">
                  <c:v>185.18679409209383</c:v>
                </c:pt>
                <c:pt idx="923">
                  <c:v>181.3640312771503</c:v>
                </c:pt>
                <c:pt idx="924">
                  <c:v>185.14335360556038</c:v>
                </c:pt>
                <c:pt idx="925">
                  <c:v>182.18940052128582</c:v>
                </c:pt>
                <c:pt idx="926">
                  <c:v>191.48566463944397</c:v>
                </c:pt>
                <c:pt idx="927">
                  <c:v>191.48566463944397</c:v>
                </c:pt>
                <c:pt idx="928">
                  <c:v>191.48566463944397</c:v>
                </c:pt>
                <c:pt idx="929">
                  <c:v>189.40052128583841</c:v>
                </c:pt>
                <c:pt idx="930">
                  <c:v>195.00434404865334</c:v>
                </c:pt>
                <c:pt idx="931">
                  <c:v>206.1685490877498</c:v>
                </c:pt>
                <c:pt idx="932">
                  <c:v>203.38835794960906</c:v>
                </c:pt>
                <c:pt idx="933">
                  <c:v>206.29887054735013</c:v>
                </c:pt>
                <c:pt idx="934">
                  <c:v>206.29887054735013</c:v>
                </c:pt>
                <c:pt idx="935">
                  <c:v>206.29887054735013</c:v>
                </c:pt>
                <c:pt idx="936">
                  <c:v>207.51520417028669</c:v>
                </c:pt>
                <c:pt idx="937">
                  <c:v>208.4708948740226</c:v>
                </c:pt>
                <c:pt idx="938">
                  <c:v>203.95308427454387</c:v>
                </c:pt>
                <c:pt idx="939">
                  <c:v>204.99565595134666</c:v>
                </c:pt>
                <c:pt idx="940">
                  <c:v>197.74109470026067</c:v>
                </c:pt>
                <c:pt idx="941">
                  <c:v>197.74109470026067</c:v>
                </c:pt>
                <c:pt idx="942">
                  <c:v>197.74109470026067</c:v>
                </c:pt>
                <c:pt idx="943">
                  <c:v>194.04865334491748</c:v>
                </c:pt>
                <c:pt idx="944">
                  <c:v>188.40139009556907</c:v>
                </c:pt>
                <c:pt idx="945">
                  <c:v>187.05473501303217</c:v>
                </c:pt>
                <c:pt idx="946">
                  <c:v>192.87576020851432</c:v>
                </c:pt>
                <c:pt idx="947">
                  <c:v>193.35360556038228</c:v>
                </c:pt>
                <c:pt idx="948">
                  <c:v>193.35360556038228</c:v>
                </c:pt>
                <c:pt idx="949">
                  <c:v>193.35360556038228</c:v>
                </c:pt>
                <c:pt idx="950">
                  <c:v>188.879235447437</c:v>
                </c:pt>
                <c:pt idx="951">
                  <c:v>186.35968722849697</c:v>
                </c:pt>
                <c:pt idx="952">
                  <c:v>179.62641181581233</c:v>
                </c:pt>
                <c:pt idx="953">
                  <c:v>175.5430060816681</c:v>
                </c:pt>
                <c:pt idx="954">
                  <c:v>171.24239791485664</c:v>
                </c:pt>
                <c:pt idx="955">
                  <c:v>171.24239791485664</c:v>
                </c:pt>
                <c:pt idx="956">
                  <c:v>171.24239791485664</c:v>
                </c:pt>
                <c:pt idx="957">
                  <c:v>171.9808861859253</c:v>
                </c:pt>
                <c:pt idx="958">
                  <c:v>171.9808861859253</c:v>
                </c:pt>
                <c:pt idx="959">
                  <c:v>172.02432667245876</c:v>
                </c:pt>
                <c:pt idx="960">
                  <c:v>174.23979148566465</c:v>
                </c:pt>
                <c:pt idx="961">
                  <c:v>167.63683753258039</c:v>
                </c:pt>
                <c:pt idx="962">
                  <c:v>167.63683753258039</c:v>
                </c:pt>
                <c:pt idx="963">
                  <c:v>167.63683753258039</c:v>
                </c:pt>
                <c:pt idx="964">
                  <c:v>165.377932232841</c:v>
                </c:pt>
                <c:pt idx="965">
                  <c:v>160.90356211989572</c:v>
                </c:pt>
                <c:pt idx="966">
                  <c:v>141.96350999131192</c:v>
                </c:pt>
                <c:pt idx="967">
                  <c:v>144.17897480451779</c:v>
                </c:pt>
                <c:pt idx="968">
                  <c:v>144.43961772371853</c:v>
                </c:pt>
                <c:pt idx="969">
                  <c:v>144.43961772371853</c:v>
                </c:pt>
                <c:pt idx="970">
                  <c:v>144.43961772371853</c:v>
                </c:pt>
                <c:pt idx="971">
                  <c:v>148.34926151172894</c:v>
                </c:pt>
                <c:pt idx="972">
                  <c:v>147.43701129452649</c:v>
                </c:pt>
                <c:pt idx="973">
                  <c:v>148.95742832319723</c:v>
                </c:pt>
                <c:pt idx="974">
                  <c:v>140.87749782797567</c:v>
                </c:pt>
                <c:pt idx="975">
                  <c:v>141.87662901824498</c:v>
                </c:pt>
                <c:pt idx="976">
                  <c:v>141.87662901824498</c:v>
                </c:pt>
                <c:pt idx="977">
                  <c:v>141.87662901824498</c:v>
                </c:pt>
                <c:pt idx="978">
                  <c:v>145.00434404865337</c:v>
                </c:pt>
                <c:pt idx="979">
                  <c:v>143.17984361424848</c:v>
                </c:pt>
                <c:pt idx="980">
                  <c:v>151.34665508253696</c:v>
                </c:pt>
                <c:pt idx="981">
                  <c:v>151.7810599478714</c:v>
                </c:pt>
                <c:pt idx="982">
                  <c:v>147.65421372719376</c:v>
                </c:pt>
                <c:pt idx="983">
                  <c:v>147.65421372719376</c:v>
                </c:pt>
                <c:pt idx="984">
                  <c:v>147.65421372719376</c:v>
                </c:pt>
                <c:pt idx="985">
                  <c:v>145.39530842745438</c:v>
                </c:pt>
                <c:pt idx="986">
                  <c:v>144.83058210251954</c:v>
                </c:pt>
                <c:pt idx="987">
                  <c:v>149.82623805386621</c:v>
                </c:pt>
                <c:pt idx="988">
                  <c:v>142.00695047784535</c:v>
                </c:pt>
                <c:pt idx="989">
                  <c:v>141.65942658557776</c:v>
                </c:pt>
                <c:pt idx="990">
                  <c:v>141.65942658557776</c:v>
                </c:pt>
                <c:pt idx="991">
                  <c:v>141.65942658557776</c:v>
                </c:pt>
                <c:pt idx="992">
                  <c:v>144.74370112945266</c:v>
                </c:pt>
                <c:pt idx="993">
                  <c:v>144.61337966985229</c:v>
                </c:pt>
                <c:pt idx="994">
                  <c:v>143.09296264118157</c:v>
                </c:pt>
                <c:pt idx="995">
                  <c:v>147.69765421372719</c:v>
                </c:pt>
                <c:pt idx="996">
                  <c:v>147.69765421372719</c:v>
                </c:pt>
                <c:pt idx="997">
                  <c:v>147.69765421372719</c:v>
                </c:pt>
                <c:pt idx="998">
                  <c:v>147.69765421372719</c:v>
                </c:pt>
                <c:pt idx="999">
                  <c:v>146.91572545612513</c:v>
                </c:pt>
                <c:pt idx="1000">
                  <c:v>150.86880973066897</c:v>
                </c:pt>
                <c:pt idx="1001">
                  <c:v>154.82189400521287</c:v>
                </c:pt>
                <c:pt idx="1002">
                  <c:v>150.39096437880104</c:v>
                </c:pt>
                <c:pt idx="1003">
                  <c:v>156.64639443961775</c:v>
                </c:pt>
                <c:pt idx="1004">
                  <c:v>156.64639443961775</c:v>
                </c:pt>
                <c:pt idx="1005">
                  <c:v>156.64639443961775</c:v>
                </c:pt>
                <c:pt idx="1006">
                  <c:v>162.07645525629889</c:v>
                </c:pt>
                <c:pt idx="1007">
                  <c:v>166.85490877497827</c:v>
                </c:pt>
                <c:pt idx="1008">
                  <c:v>167.28931364031277</c:v>
                </c:pt>
                <c:pt idx="1009">
                  <c:v>162.38053866203305</c:v>
                </c:pt>
                <c:pt idx="1010">
                  <c:v>169.15725456125108</c:v>
                </c:pt>
                <c:pt idx="1011">
                  <c:v>169.15725456125108</c:v>
                </c:pt>
                <c:pt idx="1012">
                  <c:v>169.15725456125108</c:v>
                </c:pt>
                <c:pt idx="1013">
                  <c:v>170.59079061685492</c:v>
                </c:pt>
                <c:pt idx="1014">
                  <c:v>172.67593397046048</c:v>
                </c:pt>
                <c:pt idx="1015">
                  <c:v>174.89139878366638</c:v>
                </c:pt>
                <c:pt idx="1016">
                  <c:v>183.01476976542139</c:v>
                </c:pt>
                <c:pt idx="1017">
                  <c:v>188.22762814943528</c:v>
                </c:pt>
                <c:pt idx="1018">
                  <c:v>188.22762814943528</c:v>
                </c:pt>
                <c:pt idx="1019">
                  <c:v>188.22762814943528</c:v>
                </c:pt>
                <c:pt idx="1020">
                  <c:v>184.8827106863597</c:v>
                </c:pt>
                <c:pt idx="1021">
                  <c:v>182.01563857515202</c:v>
                </c:pt>
                <c:pt idx="1022">
                  <c:v>182.71068635968723</c:v>
                </c:pt>
                <c:pt idx="1023">
                  <c:v>182.92788879235445</c:v>
                </c:pt>
                <c:pt idx="1024">
                  <c:v>182.88444830582105</c:v>
                </c:pt>
                <c:pt idx="1025">
                  <c:v>182.88444830582105</c:v>
                </c:pt>
                <c:pt idx="1026">
                  <c:v>182.88444830582105</c:v>
                </c:pt>
                <c:pt idx="1027">
                  <c:v>185.70807993049522</c:v>
                </c:pt>
                <c:pt idx="1028">
                  <c:v>186.9244135534318</c:v>
                </c:pt>
                <c:pt idx="1029">
                  <c:v>185.79496090356213</c:v>
                </c:pt>
                <c:pt idx="1030">
                  <c:v>188.53171155516941</c:v>
                </c:pt>
                <c:pt idx="1031">
                  <c:v>188.53171155516941</c:v>
                </c:pt>
                <c:pt idx="1032">
                  <c:v>188.53171155516941</c:v>
                </c:pt>
                <c:pt idx="1033">
                  <c:v>188.53171155516941</c:v>
                </c:pt>
                <c:pt idx="1034">
                  <c:v>188.53171155516941</c:v>
                </c:pt>
                <c:pt idx="1035">
                  <c:v>187.44569939183319</c:v>
                </c:pt>
                <c:pt idx="1036">
                  <c:v>185.75152041702867</c:v>
                </c:pt>
                <c:pt idx="1037">
                  <c:v>181.66811468288446</c:v>
                </c:pt>
                <c:pt idx="1038">
                  <c:v>182.49348392701998</c:v>
                </c:pt>
                <c:pt idx="1039">
                  <c:v>182.49348392701998</c:v>
                </c:pt>
                <c:pt idx="1040">
                  <c:v>182.49348392701998</c:v>
                </c:pt>
                <c:pt idx="1041">
                  <c:v>183.66637706342311</c:v>
                </c:pt>
                <c:pt idx="1042">
                  <c:v>183.18853171155519</c:v>
                </c:pt>
                <c:pt idx="1043">
                  <c:v>181.23370981754996</c:v>
                </c:pt>
                <c:pt idx="1044">
                  <c:v>186.35968722849697</c:v>
                </c:pt>
                <c:pt idx="1045">
                  <c:v>188.18418766290185</c:v>
                </c:pt>
                <c:pt idx="1046">
                  <c:v>188.18418766290185</c:v>
                </c:pt>
                <c:pt idx="1047">
                  <c:v>188.18418766290185</c:v>
                </c:pt>
                <c:pt idx="1048">
                  <c:v>186.31624674196351</c:v>
                </c:pt>
                <c:pt idx="1049">
                  <c:v>190.70373588184188</c:v>
                </c:pt>
                <c:pt idx="1050">
                  <c:v>184.36142484795829</c:v>
                </c:pt>
                <c:pt idx="1051">
                  <c:v>183.53605560382275</c:v>
                </c:pt>
                <c:pt idx="1052">
                  <c:v>179.53953084274542</c:v>
                </c:pt>
                <c:pt idx="1053">
                  <c:v>179.53953084274542</c:v>
                </c:pt>
                <c:pt idx="1054">
                  <c:v>179.53953084274542</c:v>
                </c:pt>
                <c:pt idx="1055">
                  <c:v>170.89487402258908</c:v>
                </c:pt>
                <c:pt idx="1056">
                  <c:v>170.41702867072109</c:v>
                </c:pt>
                <c:pt idx="1057">
                  <c:v>175.15204170286708</c:v>
                </c:pt>
                <c:pt idx="1058">
                  <c:v>176.15117289313639</c:v>
                </c:pt>
                <c:pt idx="1059">
                  <c:v>180.79930495221546</c:v>
                </c:pt>
                <c:pt idx="1060">
                  <c:v>180.79930495221546</c:v>
                </c:pt>
                <c:pt idx="1061">
                  <c:v>180.79930495221546</c:v>
                </c:pt>
                <c:pt idx="1062">
                  <c:v>191.09470026064292</c:v>
                </c:pt>
                <c:pt idx="1063">
                  <c:v>174.32667245873154</c:v>
                </c:pt>
                <c:pt idx="1064">
                  <c:v>175.36924413553433</c:v>
                </c:pt>
                <c:pt idx="1065">
                  <c:v>172.06776715899218</c:v>
                </c:pt>
                <c:pt idx="1066">
                  <c:v>171.76368375325802</c:v>
                </c:pt>
                <c:pt idx="1067">
                  <c:v>171.76368375325802</c:v>
                </c:pt>
                <c:pt idx="1068">
                  <c:v>171.76368375325802</c:v>
                </c:pt>
                <c:pt idx="1069">
                  <c:v>166.85490877497827</c:v>
                </c:pt>
                <c:pt idx="1070">
                  <c:v>168.67940920938312</c:v>
                </c:pt>
                <c:pt idx="1071">
                  <c:v>170.50390964378801</c:v>
                </c:pt>
                <c:pt idx="1072">
                  <c:v>169.54821894005215</c:v>
                </c:pt>
                <c:pt idx="1073">
                  <c:v>167.89748045178106</c:v>
                </c:pt>
                <c:pt idx="1074">
                  <c:v>167.89748045178106</c:v>
                </c:pt>
                <c:pt idx="1075">
                  <c:v>167.89748045178106</c:v>
                </c:pt>
                <c:pt idx="1076">
                  <c:v>164.33536055603821</c:v>
                </c:pt>
                <c:pt idx="1077">
                  <c:v>164.76976542137271</c:v>
                </c:pt>
                <c:pt idx="1078">
                  <c:v>173.71850564726324</c:v>
                </c:pt>
                <c:pt idx="1079">
                  <c:v>178.36663770634235</c:v>
                </c:pt>
                <c:pt idx="1080">
                  <c:v>180.62554300608167</c:v>
                </c:pt>
                <c:pt idx="1081">
                  <c:v>180.62554300608167</c:v>
                </c:pt>
                <c:pt idx="1082">
                  <c:v>180.62554300608167</c:v>
                </c:pt>
                <c:pt idx="1083">
                  <c:v>177.58470894874023</c:v>
                </c:pt>
                <c:pt idx="1084">
                  <c:v>179.49609035621199</c:v>
                </c:pt>
                <c:pt idx="1085">
                  <c:v>186.62033014769764</c:v>
                </c:pt>
                <c:pt idx="1086">
                  <c:v>185.70807993049522</c:v>
                </c:pt>
                <c:pt idx="1087">
                  <c:v>184.92615117289316</c:v>
                </c:pt>
                <c:pt idx="1088">
                  <c:v>184.92615117289316</c:v>
                </c:pt>
                <c:pt idx="1089">
                  <c:v>184.92615117289316</c:v>
                </c:pt>
                <c:pt idx="1090">
                  <c:v>180.40834057341445</c:v>
                </c:pt>
                <c:pt idx="1091">
                  <c:v>183.36229365768898</c:v>
                </c:pt>
                <c:pt idx="1092">
                  <c:v>182.27628149435276</c:v>
                </c:pt>
                <c:pt idx="1093">
                  <c:v>182.4066029539531</c:v>
                </c:pt>
                <c:pt idx="1094">
                  <c:v>182.4066029539531</c:v>
                </c:pt>
                <c:pt idx="1095">
                  <c:v>182.4066029539531</c:v>
                </c:pt>
                <c:pt idx="1096">
                  <c:v>182.4066029539531</c:v>
                </c:pt>
                <c:pt idx="1097">
                  <c:v>183.44917463075586</c:v>
                </c:pt>
                <c:pt idx="1098">
                  <c:v>181.05994787141617</c:v>
                </c:pt>
                <c:pt idx="1099">
                  <c:v>175.49956559513467</c:v>
                </c:pt>
                <c:pt idx="1100">
                  <c:v>167.59339704604693</c:v>
                </c:pt>
                <c:pt idx="1101">
                  <c:v>167.59339704604693</c:v>
                </c:pt>
                <c:pt idx="1102">
                  <c:v>167.59339704604693</c:v>
                </c:pt>
                <c:pt idx="1103">
                  <c:v>167.59339704604693</c:v>
                </c:pt>
                <c:pt idx="1104">
                  <c:v>171.06863596872287</c:v>
                </c:pt>
                <c:pt idx="1105">
                  <c:v>180.36490008688099</c:v>
                </c:pt>
                <c:pt idx="1106">
                  <c:v>171.02519548218939</c:v>
                </c:pt>
                <c:pt idx="1107">
                  <c:v>171.45960034752389</c:v>
                </c:pt>
                <c:pt idx="1108">
                  <c:v>172.02432667245876</c:v>
                </c:pt>
                <c:pt idx="1109">
                  <c:v>172.02432667245876</c:v>
                </c:pt>
                <c:pt idx="1110">
                  <c:v>172.02432667245876</c:v>
                </c:pt>
                <c:pt idx="1111">
                  <c:v>166.02953953084273</c:v>
                </c:pt>
                <c:pt idx="1112">
                  <c:v>166.11642050390964</c:v>
                </c:pt>
                <c:pt idx="1113">
                  <c:v>162.42397914856647</c:v>
                </c:pt>
                <c:pt idx="1114">
                  <c:v>165.42137271937446</c:v>
                </c:pt>
                <c:pt idx="1115">
                  <c:v>169.24413553431799</c:v>
                </c:pt>
                <c:pt idx="1116">
                  <c:v>169.24413553431799</c:v>
                </c:pt>
                <c:pt idx="1117">
                  <c:v>169.24413553431799</c:v>
                </c:pt>
                <c:pt idx="1118">
                  <c:v>158.94874022589053</c:v>
                </c:pt>
                <c:pt idx="1119">
                  <c:v>148.74022589052998</c:v>
                </c:pt>
                <c:pt idx="1120">
                  <c:v>147.13292788879235</c:v>
                </c:pt>
                <c:pt idx="1121">
                  <c:v>155.34317984361422</c:v>
                </c:pt>
                <c:pt idx="1122">
                  <c:v>155.34317984361422</c:v>
                </c:pt>
                <c:pt idx="1123">
                  <c:v>155.34317984361422</c:v>
                </c:pt>
                <c:pt idx="1124">
                  <c:v>155.34317984361422</c:v>
                </c:pt>
                <c:pt idx="1125">
                  <c:v>147.17636837532581</c:v>
                </c:pt>
                <c:pt idx="1126">
                  <c:v>145.87315377932234</c:v>
                </c:pt>
                <c:pt idx="1127">
                  <c:v>147.65421372719376</c:v>
                </c:pt>
                <c:pt idx="1128">
                  <c:v>150.60816681146829</c:v>
                </c:pt>
                <c:pt idx="1129">
                  <c:v>156.42919200695047</c:v>
                </c:pt>
                <c:pt idx="1130">
                  <c:v>156.42919200695047</c:v>
                </c:pt>
                <c:pt idx="1131">
                  <c:v>156.42919200695047</c:v>
                </c:pt>
                <c:pt idx="1132">
                  <c:v>155.99478714161597</c:v>
                </c:pt>
                <c:pt idx="1133">
                  <c:v>153.95308427454387</c:v>
                </c:pt>
                <c:pt idx="1134">
                  <c:v>146.56820156385751</c:v>
                </c:pt>
                <c:pt idx="1135">
                  <c:v>147.69765421372719</c:v>
                </c:pt>
                <c:pt idx="1136">
                  <c:v>142.05039096437881</c:v>
                </c:pt>
                <c:pt idx="1137">
                  <c:v>142.05039096437881</c:v>
                </c:pt>
                <c:pt idx="1138">
                  <c:v>142.05039096437881</c:v>
                </c:pt>
                <c:pt idx="1139">
                  <c:v>134.66550825369242</c:v>
                </c:pt>
                <c:pt idx="1140">
                  <c:v>142.26759339704606</c:v>
                </c:pt>
                <c:pt idx="1141">
                  <c:v>137.83666377063423</c:v>
                </c:pt>
                <c:pt idx="1142">
                  <c:v>137.83666377063423</c:v>
                </c:pt>
                <c:pt idx="1143">
                  <c:v>137.14161598609905</c:v>
                </c:pt>
                <c:pt idx="1144">
                  <c:v>137.14161598609905</c:v>
                </c:pt>
                <c:pt idx="1145">
                  <c:v>137.14161598609905</c:v>
                </c:pt>
                <c:pt idx="1146">
                  <c:v>138.70547350130323</c:v>
                </c:pt>
                <c:pt idx="1147">
                  <c:v>134.18766290182452</c:v>
                </c:pt>
                <c:pt idx="1148">
                  <c:v>126.06429192006952</c:v>
                </c:pt>
                <c:pt idx="1149">
                  <c:v>126.06429192006952</c:v>
                </c:pt>
                <c:pt idx="1150">
                  <c:v>131.71155516941789</c:v>
                </c:pt>
                <c:pt idx="1151">
                  <c:v>131.71155516941789</c:v>
                </c:pt>
                <c:pt idx="1152">
                  <c:v>131.71155516941789</c:v>
                </c:pt>
                <c:pt idx="1153">
                  <c:v>135.88184187662901</c:v>
                </c:pt>
                <c:pt idx="1154">
                  <c:v>136.44656820156388</c:v>
                </c:pt>
                <c:pt idx="1155">
                  <c:v>148.17549956559512</c:v>
                </c:pt>
                <c:pt idx="1156">
                  <c:v>147.17636837532581</c:v>
                </c:pt>
                <c:pt idx="1157">
                  <c:v>148.56646394439619</c:v>
                </c:pt>
                <c:pt idx="1158">
                  <c:v>148.56646394439619</c:v>
                </c:pt>
                <c:pt idx="1159">
                  <c:v>148.56646394439619</c:v>
                </c:pt>
                <c:pt idx="1160">
                  <c:v>152.12858384013904</c:v>
                </c:pt>
                <c:pt idx="1161">
                  <c:v>156.51607298001738</c:v>
                </c:pt>
                <c:pt idx="1162">
                  <c:v>152.95395308427456</c:v>
                </c:pt>
                <c:pt idx="1163">
                  <c:v>151.17289313640313</c:v>
                </c:pt>
                <c:pt idx="1164">
                  <c:v>153.38835794960906</c:v>
                </c:pt>
                <c:pt idx="1165">
                  <c:v>153.38835794960906</c:v>
                </c:pt>
                <c:pt idx="1166">
                  <c:v>153.38835794960906</c:v>
                </c:pt>
                <c:pt idx="1167">
                  <c:v>163.64031277150306</c:v>
                </c:pt>
                <c:pt idx="1168">
                  <c:v>160.20851433536058</c:v>
                </c:pt>
                <c:pt idx="1169">
                  <c:v>160.20851433536058</c:v>
                </c:pt>
                <c:pt idx="1170">
                  <c:v>173.89226759339707</c:v>
                </c:pt>
                <c:pt idx="1171">
                  <c:v>167.50651607298005</c:v>
                </c:pt>
                <c:pt idx="1172">
                  <c:v>167.50651607298005</c:v>
                </c:pt>
                <c:pt idx="1173">
                  <c:v>167.50651607298005</c:v>
                </c:pt>
                <c:pt idx="1174">
                  <c:v>164.6828844483058</c:v>
                </c:pt>
                <c:pt idx="1175">
                  <c:v>168.15812337098177</c:v>
                </c:pt>
                <c:pt idx="1176">
                  <c:v>160.72980017376196</c:v>
                </c:pt>
                <c:pt idx="1177">
                  <c:v>158.86185925282362</c:v>
                </c:pt>
                <c:pt idx="1178">
                  <c:v>158.12337098175499</c:v>
                </c:pt>
                <c:pt idx="1179">
                  <c:v>158.12337098175499</c:v>
                </c:pt>
                <c:pt idx="1180">
                  <c:v>158.12337098175499</c:v>
                </c:pt>
                <c:pt idx="1181">
                  <c:v>158.03649000868811</c:v>
                </c:pt>
                <c:pt idx="1182">
                  <c:v>158.03649000868811</c:v>
                </c:pt>
                <c:pt idx="1183">
                  <c:v>156.9070373588184</c:v>
                </c:pt>
                <c:pt idx="1184">
                  <c:v>159.99131190269333</c:v>
                </c:pt>
                <c:pt idx="1185">
                  <c:v>171.32927888792352</c:v>
                </c:pt>
                <c:pt idx="1186">
                  <c:v>171.32927888792352</c:v>
                </c:pt>
                <c:pt idx="1187">
                  <c:v>171.32927888792352</c:v>
                </c:pt>
                <c:pt idx="1188">
                  <c:v>173.37098175499563</c:v>
                </c:pt>
                <c:pt idx="1189">
                  <c:v>165.20417028670721</c:v>
                </c:pt>
                <c:pt idx="1190">
                  <c:v>164.42224152910515</c:v>
                </c:pt>
                <c:pt idx="1191">
                  <c:v>162.6411815812337</c:v>
                </c:pt>
                <c:pt idx="1192">
                  <c:v>169.89574283231971</c:v>
                </c:pt>
                <c:pt idx="1193">
                  <c:v>169.89574283231971</c:v>
                </c:pt>
                <c:pt idx="1194">
                  <c:v>169.89574283231971</c:v>
                </c:pt>
                <c:pt idx="1195">
                  <c:v>175.67332754126846</c:v>
                </c:pt>
                <c:pt idx="1196">
                  <c:v>177.80191138140748</c:v>
                </c:pt>
                <c:pt idx="1197">
                  <c:v>172.8931364031277</c:v>
                </c:pt>
                <c:pt idx="1198">
                  <c:v>173.41442224152911</c:v>
                </c:pt>
                <c:pt idx="1199">
                  <c:v>175.15204170286708</c:v>
                </c:pt>
                <c:pt idx="1200">
                  <c:v>175.15204170286708</c:v>
                </c:pt>
                <c:pt idx="1201">
                  <c:v>175.15204170286708</c:v>
                </c:pt>
                <c:pt idx="1202">
                  <c:v>174.28323197219808</c:v>
                </c:pt>
                <c:pt idx="1203">
                  <c:v>163.85751520417028</c:v>
                </c:pt>
                <c:pt idx="1204">
                  <c:v>156.42919200695047</c:v>
                </c:pt>
                <c:pt idx="1205">
                  <c:v>150.56472632493484</c:v>
                </c:pt>
                <c:pt idx="1206">
                  <c:v>153.77932232841007</c:v>
                </c:pt>
                <c:pt idx="1207">
                  <c:v>153.77932232841007</c:v>
                </c:pt>
                <c:pt idx="1208">
                  <c:v>153.77932232841007</c:v>
                </c:pt>
                <c:pt idx="1209">
                  <c:v>159.77410947002608</c:v>
                </c:pt>
                <c:pt idx="1210">
                  <c:v>153.90964378801041</c:v>
                </c:pt>
                <c:pt idx="1211">
                  <c:v>168.0278019113814</c:v>
                </c:pt>
                <c:pt idx="1212">
                  <c:v>172.71937445699393</c:v>
                </c:pt>
                <c:pt idx="1213">
                  <c:v>175.71676802780192</c:v>
                </c:pt>
                <c:pt idx="1214">
                  <c:v>175.71676802780192</c:v>
                </c:pt>
                <c:pt idx="1215">
                  <c:v>175.71676802780192</c:v>
                </c:pt>
                <c:pt idx="1216">
                  <c:v>179.40920938314508</c:v>
                </c:pt>
                <c:pt idx="1217">
                  <c:v>183.97046046915727</c:v>
                </c:pt>
                <c:pt idx="1218">
                  <c:v>187.70634231103389</c:v>
                </c:pt>
                <c:pt idx="1219">
                  <c:v>183.92701998262382</c:v>
                </c:pt>
                <c:pt idx="1220">
                  <c:v>184.49174630755866</c:v>
                </c:pt>
                <c:pt idx="1221">
                  <c:v>184.49174630755866</c:v>
                </c:pt>
                <c:pt idx="1222">
                  <c:v>184.49174630755866</c:v>
                </c:pt>
                <c:pt idx="1223">
                  <c:v>182.31972198088619</c:v>
                </c:pt>
                <c:pt idx="1224">
                  <c:v>180.75586446568201</c:v>
                </c:pt>
                <c:pt idx="1225">
                  <c:v>183.62293657688969</c:v>
                </c:pt>
                <c:pt idx="1226">
                  <c:v>187.0981754995656</c:v>
                </c:pt>
                <c:pt idx="1227">
                  <c:v>189.3136403127715</c:v>
                </c:pt>
                <c:pt idx="1228">
                  <c:v>189.3136403127715</c:v>
                </c:pt>
                <c:pt idx="1229">
                  <c:v>189.3136403127715</c:v>
                </c:pt>
                <c:pt idx="1230">
                  <c:v>191.83318853171153</c:v>
                </c:pt>
                <c:pt idx="1231">
                  <c:v>196.13379669852301</c:v>
                </c:pt>
                <c:pt idx="1232">
                  <c:v>198.78366637706341</c:v>
                </c:pt>
                <c:pt idx="1233">
                  <c:v>196.13379669852301</c:v>
                </c:pt>
                <c:pt idx="1234">
                  <c:v>196.4813205907906</c:v>
                </c:pt>
                <c:pt idx="1235">
                  <c:v>196.4813205907906</c:v>
                </c:pt>
                <c:pt idx="1236">
                  <c:v>196.4813205907906</c:v>
                </c:pt>
                <c:pt idx="1237">
                  <c:v>195.43874891398784</c:v>
                </c:pt>
                <c:pt idx="1238">
                  <c:v>192.6585577758471</c:v>
                </c:pt>
                <c:pt idx="1239">
                  <c:v>193.91833188531712</c:v>
                </c:pt>
                <c:pt idx="1240">
                  <c:v>196.17723718505647</c:v>
                </c:pt>
                <c:pt idx="1241">
                  <c:v>194.35273675065162</c:v>
                </c:pt>
                <c:pt idx="1242">
                  <c:v>194.35273675065162</c:v>
                </c:pt>
                <c:pt idx="1243">
                  <c:v>194.35273675065162</c:v>
                </c:pt>
                <c:pt idx="1244">
                  <c:v>200.08688097306694</c:v>
                </c:pt>
                <c:pt idx="1245">
                  <c:v>195.742832319722</c:v>
                </c:pt>
                <c:pt idx="1246">
                  <c:v>196.9157254561251</c:v>
                </c:pt>
                <c:pt idx="1247">
                  <c:v>189.3136403127715</c:v>
                </c:pt>
                <c:pt idx="1248">
                  <c:v>192.44135534317982</c:v>
                </c:pt>
                <c:pt idx="1249">
                  <c:v>192.44135534317982</c:v>
                </c:pt>
                <c:pt idx="1250">
                  <c:v>192.44135534317982</c:v>
                </c:pt>
                <c:pt idx="1251">
                  <c:v>189.48740225890529</c:v>
                </c:pt>
                <c:pt idx="1252">
                  <c:v>181.32059079061688</c:v>
                </c:pt>
                <c:pt idx="1253">
                  <c:v>189.40052128583841</c:v>
                </c:pt>
                <c:pt idx="1254">
                  <c:v>195.04778453518679</c:v>
                </c:pt>
                <c:pt idx="1255">
                  <c:v>194.874022589053</c:v>
                </c:pt>
                <c:pt idx="1256">
                  <c:v>194.874022589053</c:v>
                </c:pt>
                <c:pt idx="1257">
                  <c:v>194.874022589053</c:v>
                </c:pt>
                <c:pt idx="1258">
                  <c:v>193.96177237185057</c:v>
                </c:pt>
                <c:pt idx="1259">
                  <c:v>215.20417028670721</c:v>
                </c:pt>
                <c:pt idx="1260">
                  <c:v>225.58644656820155</c:v>
                </c:pt>
                <c:pt idx="1261">
                  <c:v>228.1494352736751</c:v>
                </c:pt>
                <c:pt idx="1262">
                  <c:v>228.1494352736751</c:v>
                </c:pt>
                <c:pt idx="1263">
                  <c:v>228.1494352736751</c:v>
                </c:pt>
                <c:pt idx="1264">
                  <c:v>228.1494352736751</c:v>
                </c:pt>
                <c:pt idx="1265">
                  <c:v>229.19200695047786</c:v>
                </c:pt>
                <c:pt idx="1266">
                  <c:v>225.15204170286708</c:v>
                </c:pt>
                <c:pt idx="1267">
                  <c:v>227.36750651607301</c:v>
                </c:pt>
                <c:pt idx="1268">
                  <c:v>226.19461337966987</c:v>
                </c:pt>
                <c:pt idx="1269">
                  <c:v>220.24326672458733</c:v>
                </c:pt>
                <c:pt idx="1270">
                  <c:v>220.24326672458733</c:v>
                </c:pt>
                <c:pt idx="1271">
                  <c:v>220.24326672458733</c:v>
                </c:pt>
                <c:pt idx="1272">
                  <c:v>215.89921807124242</c:v>
                </c:pt>
                <c:pt idx="1273">
                  <c:v>218.24500434404865</c:v>
                </c:pt>
                <c:pt idx="1274">
                  <c:v>216.94178974804518</c:v>
                </c:pt>
                <c:pt idx="1275">
                  <c:v>208.81841876629016</c:v>
                </c:pt>
                <c:pt idx="1276">
                  <c:v>204.64813205907907</c:v>
                </c:pt>
                <c:pt idx="1277">
                  <c:v>204.64813205907907</c:v>
                </c:pt>
                <c:pt idx="1278">
                  <c:v>204.64813205907907</c:v>
                </c:pt>
                <c:pt idx="1279">
                  <c:v>204.60469157254565</c:v>
                </c:pt>
                <c:pt idx="1280">
                  <c:v>206.29887054735013</c:v>
                </c:pt>
                <c:pt idx="1281">
                  <c:v>219.89574283231968</c:v>
                </c:pt>
                <c:pt idx="1282">
                  <c:v>223.02345786272809</c:v>
                </c:pt>
                <c:pt idx="1283">
                  <c:v>223.15377932232838</c:v>
                </c:pt>
                <c:pt idx="1284">
                  <c:v>223.15377932232838</c:v>
                </c:pt>
                <c:pt idx="1285">
                  <c:v>223.15377932232838</c:v>
                </c:pt>
                <c:pt idx="1286">
                  <c:v>227.01998262380539</c:v>
                </c:pt>
                <c:pt idx="1287">
                  <c:v>231.92875760208517</c:v>
                </c:pt>
                <c:pt idx="1288">
                  <c:v>230.40834057341445</c:v>
                </c:pt>
                <c:pt idx="1289">
                  <c:v>228.80104257167679</c:v>
                </c:pt>
                <c:pt idx="1290">
                  <c:v>229.40920938314511</c:v>
                </c:pt>
                <c:pt idx="1291">
                  <c:v>229.40920938314511</c:v>
                </c:pt>
                <c:pt idx="1292">
                  <c:v>229.40920938314511</c:v>
                </c:pt>
                <c:pt idx="1293">
                  <c:v>231.9721980886186</c:v>
                </c:pt>
                <c:pt idx="1294">
                  <c:v>227.15030408340576</c:v>
                </c:pt>
                <c:pt idx="1295">
                  <c:v>229.32232841007817</c:v>
                </c:pt>
                <c:pt idx="1296">
                  <c:v>230.27801911381408</c:v>
                </c:pt>
                <c:pt idx="1297">
                  <c:v>234.40486533449177</c:v>
                </c:pt>
                <c:pt idx="1298">
                  <c:v>234.40486533449177</c:v>
                </c:pt>
                <c:pt idx="1299">
                  <c:v>234.40486533449177</c:v>
                </c:pt>
                <c:pt idx="1300">
                  <c:v>233.53605560382275</c:v>
                </c:pt>
                <c:pt idx="1301">
                  <c:v>231.92875760208517</c:v>
                </c:pt>
                <c:pt idx="1302">
                  <c:v>230.97306689834926</c:v>
                </c:pt>
                <c:pt idx="1303">
                  <c:v>235.83840139009556</c:v>
                </c:pt>
                <c:pt idx="1304">
                  <c:v>239.00955690703736</c:v>
                </c:pt>
                <c:pt idx="1305">
                  <c:v>239.00955690703736</c:v>
                </c:pt>
                <c:pt idx="1306">
                  <c:v>239.00955690703736</c:v>
                </c:pt>
                <c:pt idx="1307">
                  <c:v>244.22241529105128</c:v>
                </c:pt>
                <c:pt idx="1308">
                  <c:v>249.56559513466553</c:v>
                </c:pt>
                <c:pt idx="1309">
                  <c:v>247.43701129452651</c:v>
                </c:pt>
                <c:pt idx="1310">
                  <c:v>243.91833188531712</c:v>
                </c:pt>
                <c:pt idx="1311">
                  <c:v>244.78714161598609</c:v>
                </c:pt>
                <c:pt idx="1312">
                  <c:v>244.78714161598609</c:v>
                </c:pt>
                <c:pt idx="1313">
                  <c:v>244.78714161598609</c:v>
                </c:pt>
                <c:pt idx="1314">
                  <c:v>240.8774978279757</c:v>
                </c:pt>
                <c:pt idx="1315">
                  <c:v>235.36055603822766</c:v>
                </c:pt>
                <c:pt idx="1316">
                  <c:v>242.13727193744572</c:v>
                </c:pt>
                <c:pt idx="1317">
                  <c:v>235.92528236316247</c:v>
                </c:pt>
                <c:pt idx="1318">
                  <c:v>231.23370981754996</c:v>
                </c:pt>
                <c:pt idx="1319">
                  <c:v>231.23370981754996</c:v>
                </c:pt>
                <c:pt idx="1320">
                  <c:v>231.23370981754996</c:v>
                </c:pt>
                <c:pt idx="1321">
                  <c:v>229.53953084274548</c:v>
                </c:pt>
                <c:pt idx="1322">
                  <c:v>223.63162467419633</c:v>
                </c:pt>
                <c:pt idx="1323">
                  <c:v>223.63162467419633</c:v>
                </c:pt>
                <c:pt idx="1324">
                  <c:v>236.66377063423107</c:v>
                </c:pt>
                <c:pt idx="1325">
                  <c:v>227.80191138140745</c:v>
                </c:pt>
                <c:pt idx="1326">
                  <c:v>227.80191138140745</c:v>
                </c:pt>
                <c:pt idx="1327">
                  <c:v>227.80191138140745</c:v>
                </c:pt>
                <c:pt idx="1328">
                  <c:v>230.84274543874895</c:v>
                </c:pt>
                <c:pt idx="1329">
                  <c:v>227.01998262380539</c:v>
                </c:pt>
                <c:pt idx="1330">
                  <c:v>237.14161598609905</c:v>
                </c:pt>
                <c:pt idx="1331">
                  <c:v>230.92962641181578</c:v>
                </c:pt>
                <c:pt idx="1332">
                  <c:v>248.04517810599478</c:v>
                </c:pt>
                <c:pt idx="1333">
                  <c:v>248.04517810599478</c:v>
                </c:pt>
                <c:pt idx="1334">
                  <c:v>248.04517810599478</c:v>
                </c:pt>
                <c:pt idx="1335">
                  <c:v>258.2102519548219</c:v>
                </c:pt>
                <c:pt idx="1336">
                  <c:v>256.08166811468294</c:v>
                </c:pt>
                <c:pt idx="1337">
                  <c:v>257.38488271068638</c:v>
                </c:pt>
                <c:pt idx="1338">
                  <c:v>253.90964378801044</c:v>
                </c:pt>
                <c:pt idx="1339">
                  <c:v>252.95395308427456</c:v>
                </c:pt>
                <c:pt idx="1340">
                  <c:v>252.95395308427456</c:v>
                </c:pt>
                <c:pt idx="1341">
                  <c:v>252.95395308427456</c:v>
                </c:pt>
                <c:pt idx="1342">
                  <c:v>257.08079930495222</c:v>
                </c:pt>
                <c:pt idx="1343">
                  <c:v>260.86012163336227</c:v>
                </c:pt>
                <c:pt idx="1344">
                  <c:v>263.03214596003477</c:v>
                </c:pt>
                <c:pt idx="1345">
                  <c:v>266.68114682884448</c:v>
                </c:pt>
                <c:pt idx="1346">
                  <c:v>266.68114682884448</c:v>
                </c:pt>
                <c:pt idx="1347">
                  <c:v>266.68114682884448</c:v>
                </c:pt>
                <c:pt idx="1348">
                  <c:v>266.68114682884448</c:v>
                </c:pt>
                <c:pt idx="1349">
                  <c:v>259.03562119895747</c:v>
                </c:pt>
                <c:pt idx="1350">
                  <c:v>258.12337098175504</c:v>
                </c:pt>
                <c:pt idx="1351">
                  <c:v>258.07993049522156</c:v>
                </c:pt>
                <c:pt idx="1352">
                  <c:v>256.73327541268463</c:v>
                </c:pt>
                <c:pt idx="1353">
                  <c:v>255.16941789748046</c:v>
                </c:pt>
                <c:pt idx="1354">
                  <c:v>255.16941789748046</c:v>
                </c:pt>
                <c:pt idx="1355">
                  <c:v>255.16941789748046</c:v>
                </c:pt>
                <c:pt idx="1356">
                  <c:v>250.17376194613382</c:v>
                </c:pt>
                <c:pt idx="1357">
                  <c:v>271.80712423979145</c:v>
                </c:pt>
                <c:pt idx="1358">
                  <c:v>272.02432667245876</c:v>
                </c:pt>
                <c:pt idx="1359">
                  <c:v>266.50738488271071</c:v>
                </c:pt>
                <c:pt idx="1360">
                  <c:v>266.50738488271071</c:v>
                </c:pt>
                <c:pt idx="1361">
                  <c:v>266.50738488271071</c:v>
                </c:pt>
                <c:pt idx="1362">
                  <c:v>266.50738488271071</c:v>
                </c:pt>
                <c:pt idx="1363">
                  <c:v>267.11555169417898</c:v>
                </c:pt>
                <c:pt idx="1364">
                  <c:v>260.51259774109468</c:v>
                </c:pt>
                <c:pt idx="1365">
                  <c:v>256.42919200695047</c:v>
                </c:pt>
                <c:pt idx="1366">
                  <c:v>241.00781928757601</c:v>
                </c:pt>
                <c:pt idx="1367">
                  <c:v>231.92875760208517</c:v>
                </c:pt>
                <c:pt idx="1368">
                  <c:v>231.92875760208517</c:v>
                </c:pt>
                <c:pt idx="1369">
                  <c:v>231.92875760208517</c:v>
                </c:pt>
                <c:pt idx="1370">
                  <c:v>237.61946133796701</c:v>
                </c:pt>
                <c:pt idx="1371">
                  <c:v>245.43874891398784</c:v>
                </c:pt>
                <c:pt idx="1372">
                  <c:v>234.62206776715897</c:v>
                </c:pt>
                <c:pt idx="1373">
                  <c:v>230.23457862728063</c:v>
                </c:pt>
                <c:pt idx="1374">
                  <c:v>225.10860121633365</c:v>
                </c:pt>
                <c:pt idx="1375">
                  <c:v>225.10860121633365</c:v>
                </c:pt>
                <c:pt idx="1376">
                  <c:v>225.10860121633365</c:v>
                </c:pt>
                <c:pt idx="1377">
                  <c:v>228.75760208514336</c:v>
                </c:pt>
                <c:pt idx="1378">
                  <c:v>221.58992180712423</c:v>
                </c:pt>
                <c:pt idx="1379">
                  <c:v>210.99044309296264</c:v>
                </c:pt>
                <c:pt idx="1380">
                  <c:v>210.59947871416159</c:v>
                </c:pt>
                <c:pt idx="1381">
                  <c:v>206.68983492615118</c:v>
                </c:pt>
                <c:pt idx="1382">
                  <c:v>206.68983492615118</c:v>
                </c:pt>
                <c:pt idx="1383">
                  <c:v>206.68983492615118</c:v>
                </c:pt>
                <c:pt idx="1384">
                  <c:v>202.51954821894006</c:v>
                </c:pt>
                <c:pt idx="1385">
                  <c:v>199.34839270199828</c:v>
                </c:pt>
                <c:pt idx="1386">
                  <c:v>203.25803649000869</c:v>
                </c:pt>
                <c:pt idx="1387">
                  <c:v>199.73935708079929</c:v>
                </c:pt>
                <c:pt idx="1388">
                  <c:v>206.4291920069505</c:v>
                </c:pt>
                <c:pt idx="1389">
                  <c:v>206.4291920069505</c:v>
                </c:pt>
                <c:pt idx="1390">
                  <c:v>206.4291920069505</c:v>
                </c:pt>
                <c:pt idx="1391">
                  <c:v>217.81059947871415</c:v>
                </c:pt>
                <c:pt idx="1392">
                  <c:v>206.77671589921806</c:v>
                </c:pt>
                <c:pt idx="1393">
                  <c:v>204.64813205907907</c:v>
                </c:pt>
                <c:pt idx="1394">
                  <c:v>212.94526498696786</c:v>
                </c:pt>
                <c:pt idx="1395">
                  <c:v>219.89574283231968</c:v>
                </c:pt>
                <c:pt idx="1396">
                  <c:v>219.89574283231968</c:v>
                </c:pt>
                <c:pt idx="1397">
                  <c:v>219.89574283231968</c:v>
                </c:pt>
                <c:pt idx="1398">
                  <c:v>223.37098175499568</c:v>
                </c:pt>
                <c:pt idx="1399">
                  <c:v>234.62206776715897</c:v>
                </c:pt>
                <c:pt idx="1400">
                  <c:v>227.01998262380539</c:v>
                </c:pt>
                <c:pt idx="1401">
                  <c:v>224.37011294526496</c:v>
                </c:pt>
                <c:pt idx="1402">
                  <c:v>226.88966116420502</c:v>
                </c:pt>
                <c:pt idx="1403">
                  <c:v>226.88966116420502</c:v>
                </c:pt>
                <c:pt idx="1404">
                  <c:v>226.88966116420502</c:v>
                </c:pt>
                <c:pt idx="1405">
                  <c:v>228.45351867940923</c:v>
                </c:pt>
                <c:pt idx="1406">
                  <c:v>219.28757602085142</c:v>
                </c:pt>
                <c:pt idx="1407">
                  <c:v>219.28757602085142</c:v>
                </c:pt>
                <c:pt idx="1408">
                  <c:v>208.34057341442227</c:v>
                </c:pt>
                <c:pt idx="1409">
                  <c:v>210.51259774109471</c:v>
                </c:pt>
                <c:pt idx="1410">
                  <c:v>210.51259774109471</c:v>
                </c:pt>
                <c:pt idx="1411">
                  <c:v>210.51259774109471</c:v>
                </c:pt>
                <c:pt idx="1412">
                  <c:v>216.50738488271068</c:v>
                </c:pt>
                <c:pt idx="1413">
                  <c:v>231.92875760208517</c:v>
                </c:pt>
                <c:pt idx="1414">
                  <c:v>223.93570807993052</c:v>
                </c:pt>
                <c:pt idx="1415">
                  <c:v>217.46307558644656</c:v>
                </c:pt>
                <c:pt idx="1416">
                  <c:v>226.49869678540401</c:v>
                </c:pt>
                <c:pt idx="1417">
                  <c:v>226.49869678540401</c:v>
                </c:pt>
                <c:pt idx="1418">
                  <c:v>226.49869678540401</c:v>
                </c:pt>
                <c:pt idx="1419">
                  <c:v>226.49869678540401</c:v>
                </c:pt>
                <c:pt idx="1420">
                  <c:v>223.67506516072982</c:v>
                </c:pt>
                <c:pt idx="1421">
                  <c:v>227.62814943527366</c:v>
                </c:pt>
                <c:pt idx="1422">
                  <c:v>241.35534317984363</c:v>
                </c:pt>
                <c:pt idx="1423">
                  <c:v>235.49087749782797</c:v>
                </c:pt>
                <c:pt idx="1424">
                  <c:v>235.49087749782797</c:v>
                </c:pt>
                <c:pt idx="1425">
                  <c:v>235.49087749782797</c:v>
                </c:pt>
                <c:pt idx="1426">
                  <c:v>255.95134665508255</c:v>
                </c:pt>
                <c:pt idx="1427">
                  <c:v>265.29105125977412</c:v>
                </c:pt>
                <c:pt idx="1428">
                  <c:v>265.63857515204171</c:v>
                </c:pt>
                <c:pt idx="1429">
                  <c:v>261.25108601216334</c:v>
                </c:pt>
                <c:pt idx="1430">
                  <c:v>263.16246741963511</c:v>
                </c:pt>
                <c:pt idx="1431">
                  <c:v>263.16246741963511</c:v>
                </c:pt>
                <c:pt idx="1432">
                  <c:v>263.16246741963511</c:v>
                </c:pt>
                <c:pt idx="1433">
                  <c:v>255.60382276281496</c:v>
                </c:pt>
                <c:pt idx="1434">
                  <c:v>259.68722849695916</c:v>
                </c:pt>
                <c:pt idx="1435">
                  <c:v>258.16681146828847</c:v>
                </c:pt>
                <c:pt idx="1436">
                  <c:v>257.90616854908774</c:v>
                </c:pt>
                <c:pt idx="1437">
                  <c:v>237.14161598609905</c:v>
                </c:pt>
                <c:pt idx="1438">
                  <c:v>237.14161598609905</c:v>
                </c:pt>
                <c:pt idx="1439">
                  <c:v>237.14161598609905</c:v>
                </c:pt>
                <c:pt idx="1440">
                  <c:v>239.87836663770636</c:v>
                </c:pt>
                <c:pt idx="1441">
                  <c:v>234.4483058210252</c:v>
                </c:pt>
                <c:pt idx="1442">
                  <c:v>233.44917463075586</c:v>
                </c:pt>
                <c:pt idx="1443">
                  <c:v>226.02085143353605</c:v>
                </c:pt>
                <c:pt idx="1444">
                  <c:v>213.33622936576887</c:v>
                </c:pt>
                <c:pt idx="1445">
                  <c:v>213.33622936576887</c:v>
                </c:pt>
                <c:pt idx="1446">
                  <c:v>213.33622936576887</c:v>
                </c:pt>
                <c:pt idx="1447">
                  <c:v>206.86359687228494</c:v>
                </c:pt>
                <c:pt idx="1448">
                  <c:v>212.03301476976543</c:v>
                </c:pt>
                <c:pt idx="1449">
                  <c:v>211.03388357949609</c:v>
                </c:pt>
                <c:pt idx="1450">
                  <c:v>208.42745438748912</c:v>
                </c:pt>
                <c:pt idx="1451">
                  <c:v>202.12858384013904</c:v>
                </c:pt>
                <c:pt idx="1452">
                  <c:v>202.12858384013904</c:v>
                </c:pt>
                <c:pt idx="1453">
                  <c:v>202.12858384013904</c:v>
                </c:pt>
                <c:pt idx="1454">
                  <c:v>192.2241529105126</c:v>
                </c:pt>
                <c:pt idx="1455">
                  <c:v>193.48392701998262</c:v>
                </c:pt>
                <c:pt idx="1456">
                  <c:v>195.04778453518679</c:v>
                </c:pt>
                <c:pt idx="1457">
                  <c:v>192.05039096437881</c:v>
                </c:pt>
                <c:pt idx="1458">
                  <c:v>192.05039096437881</c:v>
                </c:pt>
                <c:pt idx="1459">
                  <c:v>192.05039096437881</c:v>
                </c:pt>
                <c:pt idx="1460">
                  <c:v>192.05039096437881</c:v>
                </c:pt>
                <c:pt idx="1461">
                  <c:v>188.96611642050391</c:v>
                </c:pt>
                <c:pt idx="1462">
                  <c:v>188.74891398783669</c:v>
                </c:pt>
                <c:pt idx="1463">
                  <c:v>185.18679409209383</c:v>
                </c:pt>
                <c:pt idx="1464">
                  <c:v>183.27541268462207</c:v>
                </c:pt>
                <c:pt idx="1465">
                  <c:v>175.5430060816681</c:v>
                </c:pt>
                <c:pt idx="1466">
                  <c:v>175.5430060816681</c:v>
                </c:pt>
                <c:pt idx="1467">
                  <c:v>175.5430060816681</c:v>
                </c:pt>
                <c:pt idx="1468">
                  <c:v>173.7619461337967</c:v>
                </c:pt>
                <c:pt idx="1469">
                  <c:v>182.49348392701998</c:v>
                </c:pt>
                <c:pt idx="1470">
                  <c:v>190.616854908775</c:v>
                </c:pt>
                <c:pt idx="1471">
                  <c:v>171.15551694178976</c:v>
                </c:pt>
                <c:pt idx="1472">
                  <c:v>177.32406602953955</c:v>
                </c:pt>
                <c:pt idx="1473">
                  <c:v>177.32406602953955</c:v>
                </c:pt>
                <c:pt idx="1474">
                  <c:v>177.32406602953955</c:v>
                </c:pt>
                <c:pt idx="1475">
                  <c:v>184.57862728062554</c:v>
                </c:pt>
                <c:pt idx="1476">
                  <c:v>189.92180712423979</c:v>
                </c:pt>
                <c:pt idx="1477">
                  <c:v>181.01650738488274</c:v>
                </c:pt>
                <c:pt idx="1478">
                  <c:v>188.05386620330148</c:v>
                </c:pt>
                <c:pt idx="1479">
                  <c:v>189.70460469157254</c:v>
                </c:pt>
                <c:pt idx="1480">
                  <c:v>189.70460469157254</c:v>
                </c:pt>
                <c:pt idx="1481">
                  <c:v>189.70460469157254</c:v>
                </c:pt>
                <c:pt idx="1482">
                  <c:v>186.83753258036489</c:v>
                </c:pt>
                <c:pt idx="1483">
                  <c:v>187.14161598609905</c:v>
                </c:pt>
                <c:pt idx="1484">
                  <c:v>190.92093831450913</c:v>
                </c:pt>
                <c:pt idx="1485">
                  <c:v>186.27280625543008</c:v>
                </c:pt>
                <c:pt idx="1486">
                  <c:v>185.70807993049522</c:v>
                </c:pt>
                <c:pt idx="1487">
                  <c:v>185.70807993049522</c:v>
                </c:pt>
                <c:pt idx="1488">
                  <c:v>185.70807993049522</c:v>
                </c:pt>
                <c:pt idx="1489">
                  <c:v>191.09470026064292</c:v>
                </c:pt>
                <c:pt idx="1490">
                  <c:v>192.26759339704606</c:v>
                </c:pt>
                <c:pt idx="1491">
                  <c:v>186.44656820156388</c:v>
                </c:pt>
                <c:pt idx="1492">
                  <c:v>185.96872284969592</c:v>
                </c:pt>
                <c:pt idx="1493">
                  <c:v>185.96872284969592</c:v>
                </c:pt>
                <c:pt idx="1494">
                  <c:v>185.96872284969592</c:v>
                </c:pt>
                <c:pt idx="1495">
                  <c:v>185.96872284969592</c:v>
                </c:pt>
                <c:pt idx="1496">
                  <c:v>186.01216333622938</c:v>
                </c:pt>
                <c:pt idx="1497">
                  <c:v>188.14074717636839</c:v>
                </c:pt>
                <c:pt idx="1498">
                  <c:v>186.6637706342311</c:v>
                </c:pt>
                <c:pt idx="1499">
                  <c:v>197.87141615986098</c:v>
                </c:pt>
                <c:pt idx="1500">
                  <c:v>198.95742832319721</c:v>
                </c:pt>
                <c:pt idx="1501">
                  <c:v>198.95742832319721</c:v>
                </c:pt>
                <c:pt idx="1502">
                  <c:v>198.95742832319721</c:v>
                </c:pt>
                <c:pt idx="1503">
                  <c:v>203.64900086880974</c:v>
                </c:pt>
                <c:pt idx="1504">
                  <c:v>195.39530842745438</c:v>
                </c:pt>
                <c:pt idx="1505">
                  <c:v>189.70460469157254</c:v>
                </c:pt>
                <c:pt idx="1506">
                  <c:v>178.62728062554299</c:v>
                </c:pt>
                <c:pt idx="1507">
                  <c:v>178.62728062554299</c:v>
                </c:pt>
                <c:pt idx="1508">
                  <c:v>178.62728062554299</c:v>
                </c:pt>
                <c:pt idx="1509">
                  <c:v>178.62728062554299</c:v>
                </c:pt>
                <c:pt idx="1510">
                  <c:v>181.62467419635101</c:v>
                </c:pt>
                <c:pt idx="1511">
                  <c:v>184.53518679409208</c:v>
                </c:pt>
                <c:pt idx="1512">
                  <c:v>183.53605560382275</c:v>
                </c:pt>
                <c:pt idx="1513">
                  <c:v>191.65942658557776</c:v>
                </c:pt>
                <c:pt idx="1514">
                  <c:v>191.65942658557776</c:v>
                </c:pt>
                <c:pt idx="1515">
                  <c:v>191.65942658557776</c:v>
                </c:pt>
                <c:pt idx="1516">
                  <c:v>191.65942658557776</c:v>
                </c:pt>
                <c:pt idx="1517">
                  <c:v>192.96264118158123</c:v>
                </c:pt>
                <c:pt idx="1518">
                  <c:v>198.74022589052998</c:v>
                </c:pt>
                <c:pt idx="1519">
                  <c:v>191.05125977410947</c:v>
                </c:pt>
                <c:pt idx="1520">
                  <c:v>189.87836663770634</c:v>
                </c:pt>
                <c:pt idx="1521">
                  <c:v>184.1876629018245</c:v>
                </c:pt>
                <c:pt idx="1522">
                  <c:v>184.1876629018245</c:v>
                </c:pt>
                <c:pt idx="1523">
                  <c:v>184.1876629018245</c:v>
                </c:pt>
                <c:pt idx="1524">
                  <c:v>183.49261511728932</c:v>
                </c:pt>
                <c:pt idx="1525">
                  <c:v>182.66724587315377</c:v>
                </c:pt>
                <c:pt idx="1526">
                  <c:v>181.84187662901826</c:v>
                </c:pt>
                <c:pt idx="1527">
                  <c:v>186.83753258036489</c:v>
                </c:pt>
                <c:pt idx="1528">
                  <c:v>187.70634231103389</c:v>
                </c:pt>
                <c:pt idx="1529">
                  <c:v>187.70634231103389</c:v>
                </c:pt>
                <c:pt idx="1530">
                  <c:v>187.70634231103389</c:v>
                </c:pt>
                <c:pt idx="1531">
                  <c:v>187.66290182450044</c:v>
                </c:pt>
                <c:pt idx="1532">
                  <c:v>180.62554300608167</c:v>
                </c:pt>
                <c:pt idx="1533">
                  <c:v>179.01824500434404</c:v>
                </c:pt>
                <c:pt idx="1534">
                  <c:v>173.3275412684622</c:v>
                </c:pt>
                <c:pt idx="1535">
                  <c:v>182.4066029539531</c:v>
                </c:pt>
                <c:pt idx="1536">
                  <c:v>182.4066029539531</c:v>
                </c:pt>
                <c:pt idx="1537">
                  <c:v>182.4066029539531</c:v>
                </c:pt>
                <c:pt idx="1538">
                  <c:v>184.14422241529104</c:v>
                </c:pt>
                <c:pt idx="1539">
                  <c:v>190.0086880973067</c:v>
                </c:pt>
                <c:pt idx="1540">
                  <c:v>208.2102519548219</c:v>
                </c:pt>
                <c:pt idx="1541">
                  <c:v>208.73153779322328</c:v>
                </c:pt>
                <c:pt idx="1542">
                  <c:v>215.81233709817548</c:v>
                </c:pt>
                <c:pt idx="1543">
                  <c:v>215.81233709817548</c:v>
                </c:pt>
                <c:pt idx="1544">
                  <c:v>215.81233709817548</c:v>
                </c:pt>
                <c:pt idx="1545">
                  <c:v>213.46655082536924</c:v>
                </c:pt>
                <c:pt idx="1546">
                  <c:v>213.46655082536924</c:v>
                </c:pt>
                <c:pt idx="1547">
                  <c:v>214.59600347523892</c:v>
                </c:pt>
                <c:pt idx="1548">
                  <c:v>206.95047784535188</c:v>
                </c:pt>
                <c:pt idx="1549">
                  <c:v>200.52128583840138</c:v>
                </c:pt>
                <c:pt idx="1550">
                  <c:v>200.52128583840138</c:v>
                </c:pt>
                <c:pt idx="1551">
                  <c:v>200.52128583840138</c:v>
                </c:pt>
                <c:pt idx="1552">
                  <c:v>200.60816681146827</c:v>
                </c:pt>
                <c:pt idx="1553">
                  <c:v>197.04604691572544</c:v>
                </c:pt>
                <c:pt idx="1554">
                  <c:v>198.95742832319721</c:v>
                </c:pt>
                <c:pt idx="1555">
                  <c:v>198.08861859252823</c:v>
                </c:pt>
                <c:pt idx="1556">
                  <c:v>194.52649869678541</c:v>
                </c:pt>
                <c:pt idx="1557">
                  <c:v>194.52649869678541</c:v>
                </c:pt>
                <c:pt idx="1558">
                  <c:v>194.52649869678541</c:v>
                </c:pt>
                <c:pt idx="1559">
                  <c:v>188.96611642050391</c:v>
                </c:pt>
                <c:pt idx="1560">
                  <c:v>191.52910512597742</c:v>
                </c:pt>
                <c:pt idx="1561">
                  <c:v>190.92093831450913</c:v>
                </c:pt>
                <c:pt idx="1562">
                  <c:v>187.88010425716769</c:v>
                </c:pt>
                <c:pt idx="1563">
                  <c:v>189.87836663770634</c:v>
                </c:pt>
                <c:pt idx="1564">
                  <c:v>189.87836663770634</c:v>
                </c:pt>
                <c:pt idx="1565">
                  <c:v>189.87836663770634</c:v>
                </c:pt>
                <c:pt idx="1566">
                  <c:v>192.61511728931367</c:v>
                </c:pt>
                <c:pt idx="1567">
                  <c:v>192.78887923544744</c:v>
                </c:pt>
                <c:pt idx="1568">
                  <c:v>192.48479582971331</c:v>
                </c:pt>
                <c:pt idx="1569">
                  <c:v>180.9296264118158</c:v>
                </c:pt>
                <c:pt idx="1570">
                  <c:v>177.45438748913989</c:v>
                </c:pt>
                <c:pt idx="1571">
                  <c:v>177.45438748913989</c:v>
                </c:pt>
                <c:pt idx="1572">
                  <c:v>177.45438748913989</c:v>
                </c:pt>
                <c:pt idx="1573">
                  <c:v>176.36837532580364</c:v>
                </c:pt>
                <c:pt idx="1574">
                  <c:v>178.36663770634235</c:v>
                </c:pt>
                <c:pt idx="1575">
                  <c:v>180.71242397914858</c:v>
                </c:pt>
                <c:pt idx="1576">
                  <c:v>180.53866203301479</c:v>
                </c:pt>
                <c:pt idx="1577">
                  <c:v>180.27801911381408</c:v>
                </c:pt>
                <c:pt idx="1578">
                  <c:v>180.27801911381408</c:v>
                </c:pt>
                <c:pt idx="1579">
                  <c:v>180.27801911381408</c:v>
                </c:pt>
                <c:pt idx="1580">
                  <c:v>179.45264986967854</c:v>
                </c:pt>
                <c:pt idx="1581">
                  <c:v>180.9296264118158</c:v>
                </c:pt>
                <c:pt idx="1582">
                  <c:v>175.45612510860121</c:v>
                </c:pt>
                <c:pt idx="1583">
                  <c:v>180.23457862728063</c:v>
                </c:pt>
                <c:pt idx="1584">
                  <c:v>175.49956559513467</c:v>
                </c:pt>
                <c:pt idx="1585">
                  <c:v>175.49956559513467</c:v>
                </c:pt>
                <c:pt idx="1586">
                  <c:v>175.49956559513467</c:v>
                </c:pt>
                <c:pt idx="1587">
                  <c:v>176.28149435273676</c:v>
                </c:pt>
                <c:pt idx="1588">
                  <c:v>180.75586446568201</c:v>
                </c:pt>
                <c:pt idx="1589">
                  <c:v>182.36316246741961</c:v>
                </c:pt>
                <c:pt idx="1590">
                  <c:v>177.93223284100782</c:v>
                </c:pt>
                <c:pt idx="1591">
                  <c:v>172.32841007819289</c:v>
                </c:pt>
                <c:pt idx="1592">
                  <c:v>172.32841007819289</c:v>
                </c:pt>
                <c:pt idx="1593">
                  <c:v>172.32841007819289</c:v>
                </c:pt>
                <c:pt idx="1594">
                  <c:v>171.02519548218939</c:v>
                </c:pt>
                <c:pt idx="1595">
                  <c:v>171.85056472632493</c:v>
                </c:pt>
                <c:pt idx="1596">
                  <c:v>175.36924413553433</c:v>
                </c:pt>
                <c:pt idx="1597">
                  <c:v>173.80538662033013</c:v>
                </c:pt>
                <c:pt idx="1598">
                  <c:v>170.85143353605559</c:v>
                </c:pt>
                <c:pt idx="1599">
                  <c:v>170.85143353605559</c:v>
                </c:pt>
                <c:pt idx="1600">
                  <c:v>170.85143353605559</c:v>
                </c:pt>
                <c:pt idx="1601">
                  <c:v>164.90008688097308</c:v>
                </c:pt>
                <c:pt idx="1602">
                  <c:v>161.120764552563</c:v>
                </c:pt>
                <c:pt idx="1603">
                  <c:v>148.47958297132928</c:v>
                </c:pt>
                <c:pt idx="1604">
                  <c:v>151.47697654213727</c:v>
                </c:pt>
                <c:pt idx="1605">
                  <c:v>156.68983492615118</c:v>
                </c:pt>
                <c:pt idx="1606">
                  <c:v>156.68983492615118</c:v>
                </c:pt>
                <c:pt idx="1607">
                  <c:v>156.68983492615118</c:v>
                </c:pt>
                <c:pt idx="1608">
                  <c:v>155.99478714161597</c:v>
                </c:pt>
                <c:pt idx="1609">
                  <c:v>156.25543006081668</c:v>
                </c:pt>
                <c:pt idx="1610">
                  <c:v>156.1685490877498</c:v>
                </c:pt>
                <c:pt idx="1611">
                  <c:v>153.90964378801041</c:v>
                </c:pt>
                <c:pt idx="1612">
                  <c:v>150.52128583840138</c:v>
                </c:pt>
                <c:pt idx="1613">
                  <c:v>150.52128583840138</c:v>
                </c:pt>
                <c:pt idx="1614">
                  <c:v>150.52128583840138</c:v>
                </c:pt>
                <c:pt idx="1615">
                  <c:v>150.21720243266725</c:v>
                </c:pt>
                <c:pt idx="1616">
                  <c:v>150.26064291920071</c:v>
                </c:pt>
                <c:pt idx="1617">
                  <c:v>148.95742832319723</c:v>
                </c:pt>
                <c:pt idx="1618">
                  <c:v>145.26498696785404</c:v>
                </c:pt>
                <c:pt idx="1619">
                  <c:v>140.96437880104259</c:v>
                </c:pt>
                <c:pt idx="1620">
                  <c:v>140.96437880104259</c:v>
                </c:pt>
                <c:pt idx="1621">
                  <c:v>140.96437880104259</c:v>
                </c:pt>
                <c:pt idx="1622">
                  <c:v>142.44135534317982</c:v>
                </c:pt>
                <c:pt idx="1623">
                  <c:v>140.09556907037359</c:v>
                </c:pt>
                <c:pt idx="1624">
                  <c:v>139.31364031277153</c:v>
                </c:pt>
                <c:pt idx="1625">
                  <c:v>141.61598609904431</c:v>
                </c:pt>
                <c:pt idx="1626">
                  <c:v>141.61598609904431</c:v>
                </c:pt>
                <c:pt idx="1627">
                  <c:v>141.61598609904431</c:v>
                </c:pt>
                <c:pt idx="1628">
                  <c:v>141.61598609904431</c:v>
                </c:pt>
                <c:pt idx="1629">
                  <c:v>138.879235447437</c:v>
                </c:pt>
                <c:pt idx="1630">
                  <c:v>137.31537793223285</c:v>
                </c:pt>
                <c:pt idx="1631">
                  <c:v>136.75065160729801</c:v>
                </c:pt>
                <c:pt idx="1632">
                  <c:v>135.01303214596004</c:v>
                </c:pt>
                <c:pt idx="1633">
                  <c:v>131.58123370981755</c:v>
                </c:pt>
                <c:pt idx="1634">
                  <c:v>131.58123370981755</c:v>
                </c:pt>
                <c:pt idx="1635">
                  <c:v>131.58123370981755</c:v>
                </c:pt>
                <c:pt idx="1636">
                  <c:v>131.27715030408339</c:v>
                </c:pt>
                <c:pt idx="1637">
                  <c:v>132.27628149435273</c:v>
                </c:pt>
                <c:pt idx="1638">
                  <c:v>132.27628149435273</c:v>
                </c:pt>
                <c:pt idx="1639">
                  <c:v>128.41007819287574</c:v>
                </c:pt>
                <c:pt idx="1640">
                  <c:v>131.9721980886186</c:v>
                </c:pt>
                <c:pt idx="1641">
                  <c:v>131.9721980886186</c:v>
                </c:pt>
                <c:pt idx="1642">
                  <c:v>131.9721980886186</c:v>
                </c:pt>
                <c:pt idx="1643">
                  <c:v>128.67072111207648</c:v>
                </c:pt>
                <c:pt idx="1644">
                  <c:v>133.31885317115552</c:v>
                </c:pt>
                <c:pt idx="1645">
                  <c:v>128.93136403127716</c:v>
                </c:pt>
                <c:pt idx="1646">
                  <c:v>127.01998262380539</c:v>
                </c:pt>
                <c:pt idx="1647">
                  <c:v>121.67680278019115</c:v>
                </c:pt>
                <c:pt idx="1648">
                  <c:v>121.67680278019115</c:v>
                </c:pt>
                <c:pt idx="1649">
                  <c:v>121.67680278019115</c:v>
                </c:pt>
                <c:pt idx="1650">
                  <c:v>119.41789748045177</c:v>
                </c:pt>
                <c:pt idx="1651">
                  <c:v>124.15291051259774</c:v>
                </c:pt>
                <c:pt idx="1652">
                  <c:v>125.28236316246742</c:v>
                </c:pt>
                <c:pt idx="1653">
                  <c:v>124.1963509991312</c:v>
                </c:pt>
                <c:pt idx="1654">
                  <c:v>121.28583840139011</c:v>
                </c:pt>
                <c:pt idx="1655">
                  <c:v>121.28583840139011</c:v>
                </c:pt>
                <c:pt idx="1656">
                  <c:v>121.28583840139011</c:v>
                </c:pt>
                <c:pt idx="1657">
                  <c:v>120.89487402258905</c:v>
                </c:pt>
                <c:pt idx="1658">
                  <c:v>124.37011294526499</c:v>
                </c:pt>
                <c:pt idx="1659">
                  <c:v>123.11033883579496</c:v>
                </c:pt>
                <c:pt idx="1660">
                  <c:v>122.15464813205909</c:v>
                </c:pt>
                <c:pt idx="1661">
                  <c:v>127.1937445699392</c:v>
                </c:pt>
                <c:pt idx="1662">
                  <c:v>127.1937445699392</c:v>
                </c:pt>
                <c:pt idx="1663">
                  <c:v>127.1937445699392</c:v>
                </c:pt>
                <c:pt idx="1664">
                  <c:v>131.3640312771503</c:v>
                </c:pt>
                <c:pt idx="1665">
                  <c:v>129.49609035621199</c:v>
                </c:pt>
                <c:pt idx="1666">
                  <c:v>129.88705473501304</c:v>
                </c:pt>
                <c:pt idx="1667">
                  <c:v>137.57602085143355</c:v>
                </c:pt>
                <c:pt idx="1668">
                  <c:v>139.05299739357079</c:v>
                </c:pt>
                <c:pt idx="1669">
                  <c:v>139.05299739357079</c:v>
                </c:pt>
                <c:pt idx="1670">
                  <c:v>139.05299739357079</c:v>
                </c:pt>
                <c:pt idx="1671">
                  <c:v>139.00955690703736</c:v>
                </c:pt>
                <c:pt idx="1672">
                  <c:v>138.22762814943528</c:v>
                </c:pt>
                <c:pt idx="1673">
                  <c:v>138.57515204170286</c:v>
                </c:pt>
                <c:pt idx="1674">
                  <c:v>137.79322328410078</c:v>
                </c:pt>
                <c:pt idx="1675">
                  <c:v>138.09730668983494</c:v>
                </c:pt>
                <c:pt idx="1676">
                  <c:v>138.09730668983494</c:v>
                </c:pt>
                <c:pt idx="1677">
                  <c:v>138.09730668983494</c:v>
                </c:pt>
                <c:pt idx="1678">
                  <c:v>135.23023457862729</c:v>
                </c:pt>
                <c:pt idx="1679">
                  <c:v>136.62033014769764</c:v>
                </c:pt>
                <c:pt idx="1680">
                  <c:v>136.27280625543005</c:v>
                </c:pt>
                <c:pt idx="1681">
                  <c:v>132.49348392701998</c:v>
                </c:pt>
                <c:pt idx="1682">
                  <c:v>131.19026933101651</c:v>
                </c:pt>
                <c:pt idx="1683">
                  <c:v>131.19026933101651</c:v>
                </c:pt>
                <c:pt idx="1684">
                  <c:v>131.19026933101651</c:v>
                </c:pt>
                <c:pt idx="1685">
                  <c:v>130.75586446568201</c:v>
                </c:pt>
                <c:pt idx="1686">
                  <c:v>132.53692441355344</c:v>
                </c:pt>
                <c:pt idx="1687">
                  <c:v>126.5855777584709</c:v>
                </c:pt>
                <c:pt idx="1688">
                  <c:v>126.5855777584709</c:v>
                </c:pt>
                <c:pt idx="1689">
                  <c:v>129.71329278887924</c:v>
                </c:pt>
                <c:pt idx="1690">
                  <c:v>129.71329278887924</c:v>
                </c:pt>
                <c:pt idx="1691">
                  <c:v>129.71329278887924</c:v>
                </c:pt>
                <c:pt idx="1692">
                  <c:v>136.70721112076455</c:v>
                </c:pt>
                <c:pt idx="1693">
                  <c:v>140.05212858384016</c:v>
                </c:pt>
                <c:pt idx="1694">
                  <c:v>137.53258036490007</c:v>
                </c:pt>
                <c:pt idx="1695">
                  <c:v>141.18158123370984</c:v>
                </c:pt>
                <c:pt idx="1696">
                  <c:v>137.83666377063423</c:v>
                </c:pt>
                <c:pt idx="1697">
                  <c:v>137.83666377063423</c:v>
                </c:pt>
                <c:pt idx="1698">
                  <c:v>137.83666377063423</c:v>
                </c:pt>
                <c:pt idx="1699">
                  <c:v>138.53171155516941</c:v>
                </c:pt>
                <c:pt idx="1700">
                  <c:v>139.05299739357079</c:v>
                </c:pt>
                <c:pt idx="1701">
                  <c:v>133.92701998262379</c:v>
                </c:pt>
                <c:pt idx="1702">
                  <c:v>135.53431798436142</c:v>
                </c:pt>
                <c:pt idx="1703">
                  <c:v>129.71329278887924</c:v>
                </c:pt>
                <c:pt idx="1704">
                  <c:v>129.71329278887924</c:v>
                </c:pt>
                <c:pt idx="1705">
                  <c:v>129.71329278887924</c:v>
                </c:pt>
                <c:pt idx="1706">
                  <c:v>132.75412684622069</c:v>
                </c:pt>
                <c:pt idx="1707">
                  <c:v>134.92615117289313</c:v>
                </c:pt>
                <c:pt idx="1708">
                  <c:v>137.01129452649869</c:v>
                </c:pt>
                <c:pt idx="1709">
                  <c:v>135.53431798436142</c:v>
                </c:pt>
                <c:pt idx="1710">
                  <c:v>132.92788879235448</c:v>
                </c:pt>
                <c:pt idx="1711">
                  <c:v>132.92788879235448</c:v>
                </c:pt>
                <c:pt idx="1712">
                  <c:v>132.92788879235448</c:v>
                </c:pt>
                <c:pt idx="1713">
                  <c:v>140.96437880104259</c:v>
                </c:pt>
                <c:pt idx="1714">
                  <c:v>141.18158123370984</c:v>
                </c:pt>
                <c:pt idx="1715">
                  <c:v>137.14161598609905</c:v>
                </c:pt>
                <c:pt idx="1716">
                  <c:v>135.57775847089488</c:v>
                </c:pt>
                <c:pt idx="1717">
                  <c:v>135.57775847089488</c:v>
                </c:pt>
                <c:pt idx="1718">
                  <c:v>135.57775847089488</c:v>
                </c:pt>
                <c:pt idx="1719">
                  <c:v>135.57775847089488</c:v>
                </c:pt>
                <c:pt idx="1720">
                  <c:v>133.62293657688966</c:v>
                </c:pt>
                <c:pt idx="1721">
                  <c:v>133.66637706342311</c:v>
                </c:pt>
                <c:pt idx="1722">
                  <c:v>133.36229365768898</c:v>
                </c:pt>
                <c:pt idx="1723">
                  <c:v>129.27888792354477</c:v>
                </c:pt>
                <c:pt idx="1724">
                  <c:v>129.27888792354477</c:v>
                </c:pt>
                <c:pt idx="1725">
                  <c:v>129.27888792354477</c:v>
                </c:pt>
                <c:pt idx="1726">
                  <c:v>129.27888792354477</c:v>
                </c:pt>
                <c:pt idx="1727">
                  <c:v>127.84535186794092</c:v>
                </c:pt>
                <c:pt idx="1728">
                  <c:v>125.93397046046914</c:v>
                </c:pt>
                <c:pt idx="1729">
                  <c:v>122.89313640312771</c:v>
                </c:pt>
                <c:pt idx="1730">
                  <c:v>121.89400521285837</c:v>
                </c:pt>
                <c:pt idx="1731">
                  <c:v>120.85143353605561</c:v>
                </c:pt>
                <c:pt idx="1732">
                  <c:v>120.85143353605561</c:v>
                </c:pt>
                <c:pt idx="1733">
                  <c:v>120.85143353605561</c:v>
                </c:pt>
                <c:pt idx="1734">
                  <c:v>119.37445699391833</c:v>
                </c:pt>
                <c:pt idx="1735">
                  <c:v>117.28931364031277</c:v>
                </c:pt>
                <c:pt idx="1736">
                  <c:v>126.06429192006952</c:v>
                </c:pt>
                <c:pt idx="1737">
                  <c:v>125.23892267593398</c:v>
                </c:pt>
                <c:pt idx="1738">
                  <c:v>125.67332754126845</c:v>
                </c:pt>
                <c:pt idx="1739">
                  <c:v>125.67332754126845</c:v>
                </c:pt>
                <c:pt idx="1740">
                  <c:v>125.67332754126845</c:v>
                </c:pt>
                <c:pt idx="1741">
                  <c:v>126.10773240660296</c:v>
                </c:pt>
                <c:pt idx="1742">
                  <c:v>127.36750651607298</c:v>
                </c:pt>
                <c:pt idx="1743">
                  <c:v>125.15204170286707</c:v>
                </c:pt>
                <c:pt idx="1744">
                  <c:v>121.89400521285837</c:v>
                </c:pt>
                <c:pt idx="1745">
                  <c:v>122.50217202432667</c:v>
                </c:pt>
                <c:pt idx="1746">
                  <c:v>122.50217202432667</c:v>
                </c:pt>
                <c:pt idx="1747">
                  <c:v>122.50217202432667</c:v>
                </c:pt>
                <c:pt idx="1748">
                  <c:v>120.72111207645526</c:v>
                </c:pt>
                <c:pt idx="1749">
                  <c:v>121.63336229365768</c:v>
                </c:pt>
                <c:pt idx="1750">
                  <c:v>120.63423110338836</c:v>
                </c:pt>
                <c:pt idx="1751">
                  <c:v>122.89313640312771</c:v>
                </c:pt>
                <c:pt idx="1752">
                  <c:v>120.19982623805387</c:v>
                </c:pt>
                <c:pt idx="1753">
                  <c:v>120.19982623805387</c:v>
                </c:pt>
                <c:pt idx="1754">
                  <c:v>120.19982623805387</c:v>
                </c:pt>
                <c:pt idx="1755">
                  <c:v>120.02606429192006</c:v>
                </c:pt>
                <c:pt idx="1756">
                  <c:v>116.37706342311034</c:v>
                </c:pt>
                <c:pt idx="1757">
                  <c:v>117.24587315377933</c:v>
                </c:pt>
                <c:pt idx="1758">
                  <c:v>115.42137271937447</c:v>
                </c:pt>
                <c:pt idx="1759">
                  <c:v>118.67940920938315</c:v>
                </c:pt>
                <c:pt idx="1760">
                  <c:v>118.67940920938315</c:v>
                </c:pt>
                <c:pt idx="1761">
                  <c:v>118.67940920938315</c:v>
                </c:pt>
                <c:pt idx="1762">
                  <c:v>121.4596003475239</c:v>
                </c:pt>
                <c:pt idx="1763">
                  <c:v>118.41876629018246</c:v>
                </c:pt>
                <c:pt idx="1764">
                  <c:v>117.89748045178105</c:v>
                </c:pt>
                <c:pt idx="1765">
                  <c:v>117.85403996524761</c:v>
                </c:pt>
                <c:pt idx="1766">
                  <c:v>116.15986099044309</c:v>
                </c:pt>
                <c:pt idx="1767">
                  <c:v>116.15986099044309</c:v>
                </c:pt>
                <c:pt idx="1768">
                  <c:v>116.15986099044309</c:v>
                </c:pt>
                <c:pt idx="1769">
                  <c:v>116.15986099044309</c:v>
                </c:pt>
                <c:pt idx="1770">
                  <c:v>115.94265855777586</c:v>
                </c:pt>
                <c:pt idx="1771">
                  <c:v>118.07124239791487</c:v>
                </c:pt>
                <c:pt idx="1772">
                  <c:v>120.06950477845353</c:v>
                </c:pt>
                <c:pt idx="1773">
                  <c:v>123.89226759339704</c:v>
                </c:pt>
                <c:pt idx="1774">
                  <c:v>123.89226759339704</c:v>
                </c:pt>
                <c:pt idx="1775">
                  <c:v>123.89226759339704</c:v>
                </c:pt>
                <c:pt idx="1776">
                  <c:v>124.32667245873155</c:v>
                </c:pt>
                <c:pt idx="1777">
                  <c:v>122.76281494352739</c:v>
                </c:pt>
                <c:pt idx="1778">
                  <c:v>124.1963509991312</c:v>
                </c:pt>
                <c:pt idx="1779">
                  <c:v>124.41355343179845</c:v>
                </c:pt>
                <c:pt idx="1780">
                  <c:v>125.54300608166811</c:v>
                </c:pt>
                <c:pt idx="1781">
                  <c:v>125.54300608166811</c:v>
                </c:pt>
                <c:pt idx="1782">
                  <c:v>125.54300608166811</c:v>
                </c:pt>
                <c:pt idx="1783">
                  <c:v>125.84708948740226</c:v>
                </c:pt>
                <c:pt idx="1784">
                  <c:v>123.80538662033015</c:v>
                </c:pt>
                <c:pt idx="1785">
                  <c:v>124.63075586446568</c:v>
                </c:pt>
                <c:pt idx="1786">
                  <c:v>124.93483927019983</c:v>
                </c:pt>
                <c:pt idx="1787">
                  <c:v>123.50130321459601</c:v>
                </c:pt>
                <c:pt idx="1788">
                  <c:v>123.50130321459601</c:v>
                </c:pt>
                <c:pt idx="1789">
                  <c:v>123.50130321459601</c:v>
                </c:pt>
                <c:pt idx="1790">
                  <c:v>114.98696785403996</c:v>
                </c:pt>
                <c:pt idx="1791">
                  <c:v>113.20590790616853</c:v>
                </c:pt>
                <c:pt idx="1792">
                  <c:v>110.8601216333623</c:v>
                </c:pt>
                <c:pt idx="1793">
                  <c:v>113.85751520417028</c:v>
                </c:pt>
                <c:pt idx="1794">
                  <c:v>112.07645525629889</c:v>
                </c:pt>
                <c:pt idx="1795">
                  <c:v>112.07645525629889</c:v>
                </c:pt>
                <c:pt idx="1796">
                  <c:v>112.07645525629889</c:v>
                </c:pt>
                <c:pt idx="1797">
                  <c:v>113.11902693310165</c:v>
                </c:pt>
                <c:pt idx="1798">
                  <c:v>113.46655082536925</c:v>
                </c:pt>
                <c:pt idx="1799">
                  <c:v>111.12076455256299</c:v>
                </c:pt>
                <c:pt idx="1800">
                  <c:v>111.64205039096437</c:v>
                </c:pt>
                <c:pt idx="1801">
                  <c:v>109.38314509122502</c:v>
                </c:pt>
                <c:pt idx="1802">
                  <c:v>109.38314509122502</c:v>
                </c:pt>
                <c:pt idx="1803">
                  <c:v>109.38314509122502</c:v>
                </c:pt>
                <c:pt idx="1804">
                  <c:v>109.25282363162468</c:v>
                </c:pt>
                <c:pt idx="1805">
                  <c:v>110.251954821894</c:v>
                </c:pt>
                <c:pt idx="1806">
                  <c:v>111.38140747176368</c:v>
                </c:pt>
                <c:pt idx="1807">
                  <c:v>111.68549087749784</c:v>
                </c:pt>
                <c:pt idx="1808">
                  <c:v>111.07732406602955</c:v>
                </c:pt>
                <c:pt idx="1809">
                  <c:v>111.07732406602955</c:v>
                </c:pt>
                <c:pt idx="1810">
                  <c:v>111.07732406602955</c:v>
                </c:pt>
                <c:pt idx="1811">
                  <c:v>107.29800173761946</c:v>
                </c:pt>
                <c:pt idx="1812">
                  <c:v>106.64639443961772</c:v>
                </c:pt>
                <c:pt idx="1813">
                  <c:v>101.82450043440487</c:v>
                </c:pt>
                <c:pt idx="1814">
                  <c:v>103.21459600347525</c:v>
                </c:pt>
                <c:pt idx="1815">
                  <c:v>100.95569070373587</c:v>
                </c:pt>
                <c:pt idx="1816">
                  <c:v>100.95569070373587</c:v>
                </c:pt>
                <c:pt idx="1817">
                  <c:v>100.95569070373587</c:v>
                </c:pt>
                <c:pt idx="1818">
                  <c:v>101.99826238053866</c:v>
                </c:pt>
                <c:pt idx="1819">
                  <c:v>103.17115551694178</c:v>
                </c:pt>
                <c:pt idx="1820">
                  <c:v>103.25803649000869</c:v>
                </c:pt>
                <c:pt idx="1821">
                  <c:v>101.43353605560384</c:v>
                </c:pt>
                <c:pt idx="1822">
                  <c:v>101.43353605560384</c:v>
                </c:pt>
                <c:pt idx="1823">
                  <c:v>101.43353605560384</c:v>
                </c:pt>
                <c:pt idx="1824">
                  <c:v>101.43353605560384</c:v>
                </c:pt>
                <c:pt idx="1825">
                  <c:v>99.826238053866206</c:v>
                </c:pt>
                <c:pt idx="1826">
                  <c:v>100</c:v>
                </c:pt>
              </c:numCache>
            </c:numRef>
          </c:val>
          <c:smooth val="0"/>
          <c:extLst>
            <c:ext xmlns:c16="http://schemas.microsoft.com/office/drawing/2014/chart" uri="{C3380CC4-5D6E-409C-BE32-E72D297353CC}">
              <c16:uniqueId val="{00000005-9E9F-443E-87D8-A4B4D8C106CA}"/>
            </c:ext>
          </c:extLst>
        </c:ser>
        <c:ser>
          <c:idx val="6"/>
          <c:order val="6"/>
          <c:tx>
            <c:strRef>
              <c:f>Indexed!$I$3</c:f>
              <c:strCache>
                <c:ptCount val="1"/>
                <c:pt idx="0">
                  <c:v>S&amp;P500</c:v>
                </c:pt>
              </c:strCache>
            </c:strRef>
          </c:tx>
          <c:spPr>
            <a:ln w="28575" cap="rnd">
              <a:solidFill>
                <a:schemeClr val="accent1">
                  <a:lumMod val="80000"/>
                  <a:lumOff val="20000"/>
                </a:schemeClr>
              </a:solidFill>
              <a:round/>
            </a:ln>
            <a:effectLst/>
          </c:spPr>
          <c:marker>
            <c:symbol val="none"/>
          </c:marker>
          <c:cat>
            <c:numRef>
              <c:f>Indexed!$B$4:$B$3657</c:f>
              <c:numCache>
                <c:formatCode>[$-14009]dddd\,\ d\ mmmm\,\ yyyy;@</c:formatCode>
                <c:ptCount val="3654"/>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formatCode="m/d/yyyy">
                  <c:v>43351</c:v>
                </c:pt>
                <c:pt idx="1257" formatCode="m/d/yyyy">
                  <c:v>43350</c:v>
                </c:pt>
                <c:pt idx="1258" formatCode="m/d/yyyy">
                  <c:v>43349</c:v>
                </c:pt>
                <c:pt idx="1259" formatCode="m/d/yyyy">
                  <c:v>43348</c:v>
                </c:pt>
                <c:pt idx="1260" formatCode="m/d/yyyy">
                  <c:v>43347</c:v>
                </c:pt>
                <c:pt idx="1261" formatCode="m/d/yyyy">
                  <c:v>43346</c:v>
                </c:pt>
                <c:pt idx="1262" formatCode="m/d/yyyy">
                  <c:v>43345</c:v>
                </c:pt>
                <c:pt idx="1263" formatCode="m/d/yyyy">
                  <c:v>43344</c:v>
                </c:pt>
                <c:pt idx="1264" formatCode="m/d/yyyy">
                  <c:v>43343</c:v>
                </c:pt>
                <c:pt idx="1265" formatCode="m/d/yyyy">
                  <c:v>43342</c:v>
                </c:pt>
                <c:pt idx="1266" formatCode="m/d/yyyy">
                  <c:v>43341</c:v>
                </c:pt>
                <c:pt idx="1267" formatCode="m/d/yyyy">
                  <c:v>43340</c:v>
                </c:pt>
                <c:pt idx="1268" formatCode="m/d/yyyy">
                  <c:v>43339</c:v>
                </c:pt>
                <c:pt idx="1269" formatCode="m/d/yyyy">
                  <c:v>43338</c:v>
                </c:pt>
                <c:pt idx="1270" formatCode="m/d/yyyy">
                  <c:v>43337</c:v>
                </c:pt>
                <c:pt idx="1271" formatCode="m/d/yyyy">
                  <c:v>43336</c:v>
                </c:pt>
                <c:pt idx="1272" formatCode="m/d/yyyy">
                  <c:v>43335</c:v>
                </c:pt>
                <c:pt idx="1273" formatCode="m/d/yyyy">
                  <c:v>43334</c:v>
                </c:pt>
                <c:pt idx="1274" formatCode="m/d/yyyy">
                  <c:v>43333</c:v>
                </c:pt>
                <c:pt idx="1275" formatCode="m/d/yyyy">
                  <c:v>43332</c:v>
                </c:pt>
                <c:pt idx="1276" formatCode="m/d/yyyy">
                  <c:v>43331</c:v>
                </c:pt>
                <c:pt idx="1277" formatCode="m/d/yyyy">
                  <c:v>43330</c:v>
                </c:pt>
                <c:pt idx="1278" formatCode="m/d/yyyy">
                  <c:v>43329</c:v>
                </c:pt>
                <c:pt idx="1279" formatCode="m/d/yyyy">
                  <c:v>43328</c:v>
                </c:pt>
                <c:pt idx="1280" formatCode="m/d/yyyy">
                  <c:v>43327</c:v>
                </c:pt>
                <c:pt idx="1281" formatCode="m/d/yyyy">
                  <c:v>43326</c:v>
                </c:pt>
                <c:pt idx="1282" formatCode="m/d/yyyy">
                  <c:v>43325</c:v>
                </c:pt>
                <c:pt idx="1283" formatCode="m/d/yyyy">
                  <c:v>43324</c:v>
                </c:pt>
                <c:pt idx="1284" formatCode="m/d/yyyy">
                  <c:v>43323</c:v>
                </c:pt>
                <c:pt idx="1285" formatCode="m/d/yyyy">
                  <c:v>43322</c:v>
                </c:pt>
                <c:pt idx="1286" formatCode="m/d/yyyy">
                  <c:v>43321</c:v>
                </c:pt>
                <c:pt idx="1287" formatCode="m/d/yyyy">
                  <c:v>43320</c:v>
                </c:pt>
                <c:pt idx="1288" formatCode="m/d/yyyy">
                  <c:v>43319</c:v>
                </c:pt>
                <c:pt idx="1289" formatCode="m/d/yyyy">
                  <c:v>43318</c:v>
                </c:pt>
                <c:pt idx="1290" formatCode="m/d/yyyy">
                  <c:v>43317</c:v>
                </c:pt>
                <c:pt idx="1291" formatCode="m/d/yyyy">
                  <c:v>43316</c:v>
                </c:pt>
                <c:pt idx="1292" formatCode="m/d/yyyy">
                  <c:v>43315</c:v>
                </c:pt>
                <c:pt idx="1293" formatCode="m/d/yyyy">
                  <c:v>43314</c:v>
                </c:pt>
                <c:pt idx="1294" formatCode="m/d/yyyy">
                  <c:v>43313</c:v>
                </c:pt>
                <c:pt idx="1295" formatCode="m/d/yyyy">
                  <c:v>43312</c:v>
                </c:pt>
                <c:pt idx="1296" formatCode="m/d/yyyy">
                  <c:v>43311</c:v>
                </c:pt>
                <c:pt idx="1297" formatCode="m/d/yyyy">
                  <c:v>43310</c:v>
                </c:pt>
                <c:pt idx="1298" formatCode="m/d/yyyy">
                  <c:v>43309</c:v>
                </c:pt>
                <c:pt idx="1299" formatCode="m/d/yyyy">
                  <c:v>43308</c:v>
                </c:pt>
                <c:pt idx="1300" formatCode="m/d/yyyy">
                  <c:v>43307</c:v>
                </c:pt>
                <c:pt idx="1301" formatCode="m/d/yyyy">
                  <c:v>43306</c:v>
                </c:pt>
                <c:pt idx="1302" formatCode="m/d/yyyy">
                  <c:v>43305</c:v>
                </c:pt>
                <c:pt idx="1303" formatCode="m/d/yyyy">
                  <c:v>43304</c:v>
                </c:pt>
                <c:pt idx="1304" formatCode="m/d/yyyy">
                  <c:v>43303</c:v>
                </c:pt>
                <c:pt idx="1305" formatCode="m/d/yyyy">
                  <c:v>43302</c:v>
                </c:pt>
                <c:pt idx="1306" formatCode="m/d/yyyy">
                  <c:v>43301</c:v>
                </c:pt>
                <c:pt idx="1307" formatCode="m/d/yyyy">
                  <c:v>43300</c:v>
                </c:pt>
                <c:pt idx="1308" formatCode="m/d/yyyy">
                  <c:v>43299</c:v>
                </c:pt>
                <c:pt idx="1309" formatCode="m/d/yyyy">
                  <c:v>43298</c:v>
                </c:pt>
                <c:pt idx="1310" formatCode="m/d/yyyy">
                  <c:v>43297</c:v>
                </c:pt>
                <c:pt idx="1311" formatCode="m/d/yyyy">
                  <c:v>43296</c:v>
                </c:pt>
                <c:pt idx="1312" formatCode="m/d/yyyy">
                  <c:v>43295</c:v>
                </c:pt>
                <c:pt idx="1313" formatCode="m/d/yyyy">
                  <c:v>43294</c:v>
                </c:pt>
                <c:pt idx="1314" formatCode="m/d/yyyy">
                  <c:v>43293</c:v>
                </c:pt>
                <c:pt idx="1315" formatCode="m/d/yyyy">
                  <c:v>43292</c:v>
                </c:pt>
                <c:pt idx="1316" formatCode="m/d/yyyy">
                  <c:v>43291</c:v>
                </c:pt>
                <c:pt idx="1317" formatCode="m/d/yyyy">
                  <c:v>43290</c:v>
                </c:pt>
                <c:pt idx="1318" formatCode="m/d/yyyy">
                  <c:v>43289</c:v>
                </c:pt>
                <c:pt idx="1319" formatCode="m/d/yyyy">
                  <c:v>43288</c:v>
                </c:pt>
                <c:pt idx="1320" formatCode="m/d/yyyy">
                  <c:v>43287</c:v>
                </c:pt>
                <c:pt idx="1321" formatCode="m/d/yyyy">
                  <c:v>43286</c:v>
                </c:pt>
                <c:pt idx="1322" formatCode="m/d/yyyy">
                  <c:v>43285</c:v>
                </c:pt>
                <c:pt idx="1323" formatCode="m/d/yyyy">
                  <c:v>43284</c:v>
                </c:pt>
                <c:pt idx="1324" formatCode="m/d/yyyy">
                  <c:v>43283</c:v>
                </c:pt>
                <c:pt idx="1325" formatCode="m/d/yyyy">
                  <c:v>43282</c:v>
                </c:pt>
                <c:pt idx="1326" formatCode="m/d/yyyy">
                  <c:v>43281</c:v>
                </c:pt>
                <c:pt idx="1327" formatCode="m/d/yyyy">
                  <c:v>43280</c:v>
                </c:pt>
                <c:pt idx="1328" formatCode="m/d/yyyy">
                  <c:v>43279</c:v>
                </c:pt>
                <c:pt idx="1329" formatCode="m/d/yyyy">
                  <c:v>43278</c:v>
                </c:pt>
                <c:pt idx="1330" formatCode="m/d/yyyy">
                  <c:v>43277</c:v>
                </c:pt>
                <c:pt idx="1331" formatCode="m/d/yyyy">
                  <c:v>43276</c:v>
                </c:pt>
                <c:pt idx="1332" formatCode="m/d/yyyy">
                  <c:v>43275</c:v>
                </c:pt>
                <c:pt idx="1333" formatCode="m/d/yyyy">
                  <c:v>43274</c:v>
                </c:pt>
                <c:pt idx="1334" formatCode="m/d/yyyy">
                  <c:v>43273</c:v>
                </c:pt>
                <c:pt idx="1335" formatCode="m/d/yyyy">
                  <c:v>43272</c:v>
                </c:pt>
                <c:pt idx="1336" formatCode="m/d/yyyy">
                  <c:v>43271</c:v>
                </c:pt>
                <c:pt idx="1337" formatCode="m/d/yyyy">
                  <c:v>43270</c:v>
                </c:pt>
                <c:pt idx="1338" formatCode="m/d/yyyy">
                  <c:v>43269</c:v>
                </c:pt>
                <c:pt idx="1339" formatCode="m/d/yyyy">
                  <c:v>43268</c:v>
                </c:pt>
                <c:pt idx="1340" formatCode="m/d/yyyy">
                  <c:v>43267</c:v>
                </c:pt>
                <c:pt idx="1341" formatCode="m/d/yyyy">
                  <c:v>43266</c:v>
                </c:pt>
                <c:pt idx="1342" formatCode="m/d/yyyy">
                  <c:v>43265</c:v>
                </c:pt>
                <c:pt idx="1343" formatCode="m/d/yyyy">
                  <c:v>43264</c:v>
                </c:pt>
                <c:pt idx="1344" formatCode="m/d/yyyy">
                  <c:v>43263</c:v>
                </c:pt>
                <c:pt idx="1345" formatCode="m/d/yyyy">
                  <c:v>43262</c:v>
                </c:pt>
                <c:pt idx="1346" formatCode="m/d/yyyy">
                  <c:v>43261</c:v>
                </c:pt>
                <c:pt idx="1347" formatCode="m/d/yyyy">
                  <c:v>43260</c:v>
                </c:pt>
                <c:pt idx="1348" formatCode="m/d/yyyy">
                  <c:v>43259</c:v>
                </c:pt>
                <c:pt idx="1349" formatCode="m/d/yyyy">
                  <c:v>43258</c:v>
                </c:pt>
                <c:pt idx="1350" formatCode="m/d/yyyy">
                  <c:v>43257</c:v>
                </c:pt>
                <c:pt idx="1351" formatCode="m/d/yyyy">
                  <c:v>43256</c:v>
                </c:pt>
                <c:pt idx="1352" formatCode="m/d/yyyy">
                  <c:v>43255</c:v>
                </c:pt>
                <c:pt idx="1353" formatCode="m/d/yyyy">
                  <c:v>43254</c:v>
                </c:pt>
                <c:pt idx="1354" formatCode="m/d/yyyy">
                  <c:v>43253</c:v>
                </c:pt>
                <c:pt idx="1355" formatCode="m/d/yyyy">
                  <c:v>43252</c:v>
                </c:pt>
                <c:pt idx="1356" formatCode="m/d/yyyy">
                  <c:v>43251</c:v>
                </c:pt>
                <c:pt idx="1357" formatCode="m/d/yyyy">
                  <c:v>43250</c:v>
                </c:pt>
                <c:pt idx="1358" formatCode="m/d/yyyy">
                  <c:v>43249</c:v>
                </c:pt>
                <c:pt idx="1359" formatCode="m/d/yyyy">
                  <c:v>43248</c:v>
                </c:pt>
                <c:pt idx="1360" formatCode="m/d/yyyy">
                  <c:v>43247</c:v>
                </c:pt>
                <c:pt idx="1361" formatCode="m/d/yyyy">
                  <c:v>43246</c:v>
                </c:pt>
                <c:pt idx="1362" formatCode="m/d/yyyy">
                  <c:v>43245</c:v>
                </c:pt>
                <c:pt idx="1363" formatCode="m/d/yyyy">
                  <c:v>43244</c:v>
                </c:pt>
                <c:pt idx="1364" formatCode="m/d/yyyy">
                  <c:v>43243</c:v>
                </c:pt>
                <c:pt idx="1365" formatCode="m/d/yyyy">
                  <c:v>43242</c:v>
                </c:pt>
                <c:pt idx="1366" formatCode="m/d/yyyy">
                  <c:v>43241</c:v>
                </c:pt>
                <c:pt idx="1367" formatCode="m/d/yyyy">
                  <c:v>43240</c:v>
                </c:pt>
                <c:pt idx="1368" formatCode="m/d/yyyy">
                  <c:v>43239</c:v>
                </c:pt>
                <c:pt idx="1369" formatCode="m/d/yyyy">
                  <c:v>43238</c:v>
                </c:pt>
                <c:pt idx="1370" formatCode="m/d/yyyy">
                  <c:v>43237</c:v>
                </c:pt>
                <c:pt idx="1371" formatCode="m/d/yyyy">
                  <c:v>43236</c:v>
                </c:pt>
                <c:pt idx="1372" formatCode="m/d/yyyy">
                  <c:v>43235</c:v>
                </c:pt>
                <c:pt idx="1373" formatCode="m/d/yyyy">
                  <c:v>43234</c:v>
                </c:pt>
                <c:pt idx="1374" formatCode="m/d/yyyy">
                  <c:v>43233</c:v>
                </c:pt>
                <c:pt idx="1375" formatCode="m/d/yyyy">
                  <c:v>43232</c:v>
                </c:pt>
                <c:pt idx="1376" formatCode="m/d/yyyy">
                  <c:v>43231</c:v>
                </c:pt>
                <c:pt idx="1377" formatCode="m/d/yyyy">
                  <c:v>43230</c:v>
                </c:pt>
                <c:pt idx="1378" formatCode="m/d/yyyy">
                  <c:v>43229</c:v>
                </c:pt>
                <c:pt idx="1379" formatCode="m/d/yyyy">
                  <c:v>43228</c:v>
                </c:pt>
                <c:pt idx="1380" formatCode="m/d/yyyy">
                  <c:v>43227</c:v>
                </c:pt>
                <c:pt idx="1381" formatCode="m/d/yyyy">
                  <c:v>43226</c:v>
                </c:pt>
                <c:pt idx="1382" formatCode="m/d/yyyy">
                  <c:v>43225</c:v>
                </c:pt>
                <c:pt idx="1383" formatCode="m/d/yyyy">
                  <c:v>43224</c:v>
                </c:pt>
                <c:pt idx="1384" formatCode="m/d/yyyy">
                  <c:v>43223</c:v>
                </c:pt>
                <c:pt idx="1385" formatCode="m/d/yyyy">
                  <c:v>43222</c:v>
                </c:pt>
                <c:pt idx="1386" formatCode="m/d/yyyy">
                  <c:v>43221</c:v>
                </c:pt>
                <c:pt idx="1387" formatCode="m/d/yyyy">
                  <c:v>43220</c:v>
                </c:pt>
                <c:pt idx="1388" formatCode="m/d/yyyy">
                  <c:v>43219</c:v>
                </c:pt>
                <c:pt idx="1389" formatCode="m/d/yyyy">
                  <c:v>43218</c:v>
                </c:pt>
                <c:pt idx="1390" formatCode="m/d/yyyy">
                  <c:v>43217</c:v>
                </c:pt>
                <c:pt idx="1391" formatCode="m/d/yyyy">
                  <c:v>43216</c:v>
                </c:pt>
                <c:pt idx="1392" formatCode="m/d/yyyy">
                  <c:v>43215</c:v>
                </c:pt>
                <c:pt idx="1393" formatCode="m/d/yyyy">
                  <c:v>43214</c:v>
                </c:pt>
                <c:pt idx="1394" formatCode="m/d/yyyy">
                  <c:v>43213</c:v>
                </c:pt>
                <c:pt idx="1395" formatCode="m/d/yyyy">
                  <c:v>43212</c:v>
                </c:pt>
                <c:pt idx="1396" formatCode="m/d/yyyy">
                  <c:v>43211</c:v>
                </c:pt>
                <c:pt idx="1397" formatCode="m/d/yyyy">
                  <c:v>43210</c:v>
                </c:pt>
                <c:pt idx="1398" formatCode="m/d/yyyy">
                  <c:v>43209</c:v>
                </c:pt>
                <c:pt idx="1399" formatCode="m/d/yyyy">
                  <c:v>43208</c:v>
                </c:pt>
                <c:pt idx="1400" formatCode="m/d/yyyy">
                  <c:v>43207</c:v>
                </c:pt>
                <c:pt idx="1401" formatCode="m/d/yyyy">
                  <c:v>43206</c:v>
                </c:pt>
                <c:pt idx="1402" formatCode="m/d/yyyy">
                  <c:v>43205</c:v>
                </c:pt>
                <c:pt idx="1403" formatCode="m/d/yyyy">
                  <c:v>43204</c:v>
                </c:pt>
                <c:pt idx="1404" formatCode="m/d/yyyy">
                  <c:v>43203</c:v>
                </c:pt>
                <c:pt idx="1405" formatCode="m/d/yyyy">
                  <c:v>43202</c:v>
                </c:pt>
                <c:pt idx="1406" formatCode="m/d/yyyy">
                  <c:v>43201</c:v>
                </c:pt>
                <c:pt idx="1407" formatCode="m/d/yyyy">
                  <c:v>43200</c:v>
                </c:pt>
                <c:pt idx="1408" formatCode="m/d/yyyy">
                  <c:v>43199</c:v>
                </c:pt>
                <c:pt idx="1409" formatCode="m/d/yyyy">
                  <c:v>43198</c:v>
                </c:pt>
                <c:pt idx="1410" formatCode="m/d/yyyy">
                  <c:v>43197</c:v>
                </c:pt>
                <c:pt idx="1411" formatCode="m/d/yyyy">
                  <c:v>43196</c:v>
                </c:pt>
                <c:pt idx="1412" formatCode="m/d/yyyy">
                  <c:v>43195</c:v>
                </c:pt>
                <c:pt idx="1413" formatCode="m/d/yyyy">
                  <c:v>43194</c:v>
                </c:pt>
                <c:pt idx="1414" formatCode="m/d/yyyy">
                  <c:v>43193</c:v>
                </c:pt>
                <c:pt idx="1415" formatCode="m/d/yyyy">
                  <c:v>43192</c:v>
                </c:pt>
                <c:pt idx="1416" formatCode="m/d/yyyy">
                  <c:v>43191</c:v>
                </c:pt>
                <c:pt idx="1417" formatCode="m/d/yyyy">
                  <c:v>43190</c:v>
                </c:pt>
                <c:pt idx="1418" formatCode="m/d/yyyy">
                  <c:v>43189</c:v>
                </c:pt>
                <c:pt idx="1419" formatCode="m/d/yyyy">
                  <c:v>43188</c:v>
                </c:pt>
                <c:pt idx="1420" formatCode="m/d/yyyy">
                  <c:v>43187</c:v>
                </c:pt>
                <c:pt idx="1421" formatCode="m/d/yyyy">
                  <c:v>43186</c:v>
                </c:pt>
                <c:pt idx="1422" formatCode="m/d/yyyy">
                  <c:v>43185</c:v>
                </c:pt>
                <c:pt idx="1423" formatCode="m/d/yyyy">
                  <c:v>43184</c:v>
                </c:pt>
                <c:pt idx="1424" formatCode="m/d/yyyy">
                  <c:v>43183</c:v>
                </c:pt>
                <c:pt idx="1425" formatCode="m/d/yyyy">
                  <c:v>43182</c:v>
                </c:pt>
                <c:pt idx="1426" formatCode="m/d/yyyy">
                  <c:v>43181</c:v>
                </c:pt>
                <c:pt idx="1427" formatCode="m/d/yyyy">
                  <c:v>43180</c:v>
                </c:pt>
                <c:pt idx="1428" formatCode="m/d/yyyy">
                  <c:v>43179</c:v>
                </c:pt>
                <c:pt idx="1429" formatCode="m/d/yyyy">
                  <c:v>43178</c:v>
                </c:pt>
                <c:pt idx="1430" formatCode="m/d/yyyy">
                  <c:v>43177</c:v>
                </c:pt>
                <c:pt idx="1431" formatCode="m/d/yyyy">
                  <c:v>43176</c:v>
                </c:pt>
                <c:pt idx="1432" formatCode="m/d/yyyy">
                  <c:v>43175</c:v>
                </c:pt>
                <c:pt idx="1433" formatCode="m/d/yyyy">
                  <c:v>43174</c:v>
                </c:pt>
                <c:pt idx="1434" formatCode="m/d/yyyy">
                  <c:v>43173</c:v>
                </c:pt>
                <c:pt idx="1435" formatCode="m/d/yyyy">
                  <c:v>43172</c:v>
                </c:pt>
                <c:pt idx="1436" formatCode="m/d/yyyy">
                  <c:v>43171</c:v>
                </c:pt>
                <c:pt idx="1437" formatCode="m/d/yyyy">
                  <c:v>43170</c:v>
                </c:pt>
                <c:pt idx="1438" formatCode="m/d/yyyy">
                  <c:v>43169</c:v>
                </c:pt>
                <c:pt idx="1439" formatCode="m/d/yyyy">
                  <c:v>43168</c:v>
                </c:pt>
                <c:pt idx="1440" formatCode="m/d/yyyy">
                  <c:v>43167</c:v>
                </c:pt>
                <c:pt idx="1441" formatCode="m/d/yyyy">
                  <c:v>43166</c:v>
                </c:pt>
                <c:pt idx="1442" formatCode="m/d/yyyy">
                  <c:v>43165</c:v>
                </c:pt>
                <c:pt idx="1443" formatCode="m/d/yyyy">
                  <c:v>43164</c:v>
                </c:pt>
                <c:pt idx="1444" formatCode="m/d/yyyy">
                  <c:v>43163</c:v>
                </c:pt>
                <c:pt idx="1445" formatCode="m/d/yyyy">
                  <c:v>43162</c:v>
                </c:pt>
                <c:pt idx="1446" formatCode="m/d/yyyy">
                  <c:v>43161</c:v>
                </c:pt>
                <c:pt idx="1447" formatCode="m/d/yyyy">
                  <c:v>43160</c:v>
                </c:pt>
                <c:pt idx="1448" formatCode="m/d/yyyy">
                  <c:v>43159</c:v>
                </c:pt>
                <c:pt idx="1449" formatCode="m/d/yyyy">
                  <c:v>43158</c:v>
                </c:pt>
                <c:pt idx="1450" formatCode="m/d/yyyy">
                  <c:v>43157</c:v>
                </c:pt>
                <c:pt idx="1451" formatCode="m/d/yyyy">
                  <c:v>43156</c:v>
                </c:pt>
                <c:pt idx="1452" formatCode="m/d/yyyy">
                  <c:v>43155</c:v>
                </c:pt>
                <c:pt idx="1453" formatCode="m/d/yyyy">
                  <c:v>43154</c:v>
                </c:pt>
                <c:pt idx="1454" formatCode="m/d/yyyy">
                  <c:v>43153</c:v>
                </c:pt>
                <c:pt idx="1455" formatCode="m/d/yyyy">
                  <c:v>43152</c:v>
                </c:pt>
                <c:pt idx="1456" formatCode="m/d/yyyy">
                  <c:v>43151</c:v>
                </c:pt>
                <c:pt idx="1457" formatCode="m/d/yyyy">
                  <c:v>43150</c:v>
                </c:pt>
                <c:pt idx="1458" formatCode="m/d/yyyy">
                  <c:v>43149</c:v>
                </c:pt>
                <c:pt idx="1459" formatCode="m/d/yyyy">
                  <c:v>43148</c:v>
                </c:pt>
                <c:pt idx="1460" formatCode="m/d/yyyy">
                  <c:v>43147</c:v>
                </c:pt>
                <c:pt idx="1461" formatCode="m/d/yyyy">
                  <c:v>43146</c:v>
                </c:pt>
                <c:pt idx="1462" formatCode="m/d/yyyy">
                  <c:v>43145</c:v>
                </c:pt>
                <c:pt idx="1463" formatCode="m/d/yyyy">
                  <c:v>43144</c:v>
                </c:pt>
                <c:pt idx="1464" formatCode="m/d/yyyy">
                  <c:v>43143</c:v>
                </c:pt>
                <c:pt idx="1465" formatCode="m/d/yyyy">
                  <c:v>43142</c:v>
                </c:pt>
                <c:pt idx="1466" formatCode="m/d/yyyy">
                  <c:v>43141</c:v>
                </c:pt>
                <c:pt idx="1467" formatCode="m/d/yyyy">
                  <c:v>43140</c:v>
                </c:pt>
                <c:pt idx="1468" formatCode="m/d/yyyy">
                  <c:v>43139</c:v>
                </c:pt>
                <c:pt idx="1469" formatCode="m/d/yyyy">
                  <c:v>43138</c:v>
                </c:pt>
                <c:pt idx="1470" formatCode="m/d/yyyy">
                  <c:v>43137</c:v>
                </c:pt>
                <c:pt idx="1471" formatCode="m/d/yyyy">
                  <c:v>43136</c:v>
                </c:pt>
                <c:pt idx="1472" formatCode="m/d/yyyy">
                  <c:v>43135</c:v>
                </c:pt>
                <c:pt idx="1473" formatCode="m/d/yyyy">
                  <c:v>43134</c:v>
                </c:pt>
                <c:pt idx="1474" formatCode="m/d/yyyy">
                  <c:v>43133</c:v>
                </c:pt>
                <c:pt idx="1475" formatCode="m/d/yyyy">
                  <c:v>43132</c:v>
                </c:pt>
                <c:pt idx="1476" formatCode="m/d/yyyy">
                  <c:v>43131</c:v>
                </c:pt>
                <c:pt idx="1477" formatCode="m/d/yyyy">
                  <c:v>43130</c:v>
                </c:pt>
                <c:pt idx="1478" formatCode="m/d/yyyy">
                  <c:v>43129</c:v>
                </c:pt>
                <c:pt idx="1479" formatCode="m/d/yyyy">
                  <c:v>43128</c:v>
                </c:pt>
                <c:pt idx="1480" formatCode="m/d/yyyy">
                  <c:v>43127</c:v>
                </c:pt>
                <c:pt idx="1481" formatCode="m/d/yyyy">
                  <c:v>43126</c:v>
                </c:pt>
                <c:pt idx="1482" formatCode="m/d/yyyy">
                  <c:v>43125</c:v>
                </c:pt>
                <c:pt idx="1483" formatCode="m/d/yyyy">
                  <c:v>43124</c:v>
                </c:pt>
                <c:pt idx="1484" formatCode="m/d/yyyy">
                  <c:v>43123</c:v>
                </c:pt>
                <c:pt idx="1485" formatCode="m/d/yyyy">
                  <c:v>43122</c:v>
                </c:pt>
                <c:pt idx="1486" formatCode="m/d/yyyy">
                  <c:v>43121</c:v>
                </c:pt>
                <c:pt idx="1487" formatCode="m/d/yyyy">
                  <c:v>43120</c:v>
                </c:pt>
                <c:pt idx="1488" formatCode="m/d/yyyy">
                  <c:v>43119</c:v>
                </c:pt>
                <c:pt idx="1489" formatCode="m/d/yyyy">
                  <c:v>43118</c:v>
                </c:pt>
                <c:pt idx="1490" formatCode="m/d/yyyy">
                  <c:v>43117</c:v>
                </c:pt>
                <c:pt idx="1491" formatCode="m/d/yyyy">
                  <c:v>43116</c:v>
                </c:pt>
                <c:pt idx="1492" formatCode="m/d/yyyy">
                  <c:v>43115</c:v>
                </c:pt>
                <c:pt idx="1493" formatCode="m/d/yyyy">
                  <c:v>43114</c:v>
                </c:pt>
                <c:pt idx="1494" formatCode="m/d/yyyy">
                  <c:v>43113</c:v>
                </c:pt>
                <c:pt idx="1495" formatCode="m/d/yyyy">
                  <c:v>43112</c:v>
                </c:pt>
                <c:pt idx="1496" formatCode="m/d/yyyy">
                  <c:v>43111</c:v>
                </c:pt>
                <c:pt idx="1497" formatCode="m/d/yyyy">
                  <c:v>43110</c:v>
                </c:pt>
                <c:pt idx="1498" formatCode="m/d/yyyy">
                  <c:v>43109</c:v>
                </c:pt>
                <c:pt idx="1499" formatCode="m/d/yyyy">
                  <c:v>43108</c:v>
                </c:pt>
                <c:pt idx="1500" formatCode="m/d/yyyy">
                  <c:v>43107</c:v>
                </c:pt>
                <c:pt idx="1501" formatCode="m/d/yyyy">
                  <c:v>43106</c:v>
                </c:pt>
                <c:pt idx="1502" formatCode="m/d/yyyy">
                  <c:v>43105</c:v>
                </c:pt>
                <c:pt idx="1503" formatCode="m/d/yyyy">
                  <c:v>43104</c:v>
                </c:pt>
                <c:pt idx="1504" formatCode="m/d/yyyy">
                  <c:v>43103</c:v>
                </c:pt>
                <c:pt idx="1505" formatCode="m/d/yyyy">
                  <c:v>43102</c:v>
                </c:pt>
                <c:pt idx="1506" formatCode="m/d/yyyy">
                  <c:v>43101</c:v>
                </c:pt>
                <c:pt idx="1507" formatCode="m/d/yyyy">
                  <c:v>43100</c:v>
                </c:pt>
                <c:pt idx="1508" formatCode="m/d/yyyy">
                  <c:v>43099</c:v>
                </c:pt>
                <c:pt idx="1509" formatCode="m/d/yyyy">
                  <c:v>43098</c:v>
                </c:pt>
                <c:pt idx="1510" formatCode="m/d/yyyy">
                  <c:v>43097</c:v>
                </c:pt>
                <c:pt idx="1511" formatCode="m/d/yyyy">
                  <c:v>43096</c:v>
                </c:pt>
                <c:pt idx="1512" formatCode="m/d/yyyy">
                  <c:v>43095</c:v>
                </c:pt>
                <c:pt idx="1513" formatCode="m/d/yyyy">
                  <c:v>43094</c:v>
                </c:pt>
                <c:pt idx="1514" formatCode="m/d/yyyy">
                  <c:v>43093</c:v>
                </c:pt>
                <c:pt idx="1515" formatCode="m/d/yyyy">
                  <c:v>43092</c:v>
                </c:pt>
                <c:pt idx="1516" formatCode="m/d/yyyy">
                  <c:v>43091</c:v>
                </c:pt>
                <c:pt idx="1517" formatCode="m/d/yyyy">
                  <c:v>43090</c:v>
                </c:pt>
                <c:pt idx="1518" formatCode="m/d/yyyy">
                  <c:v>43089</c:v>
                </c:pt>
                <c:pt idx="1519" formatCode="m/d/yyyy">
                  <c:v>43088</c:v>
                </c:pt>
                <c:pt idx="1520" formatCode="m/d/yyyy">
                  <c:v>43087</c:v>
                </c:pt>
                <c:pt idx="1521" formatCode="m/d/yyyy">
                  <c:v>43086</c:v>
                </c:pt>
                <c:pt idx="1522" formatCode="m/d/yyyy">
                  <c:v>43085</c:v>
                </c:pt>
                <c:pt idx="1523" formatCode="m/d/yyyy">
                  <c:v>43084</c:v>
                </c:pt>
                <c:pt idx="1524" formatCode="m/d/yyyy">
                  <c:v>43083</c:v>
                </c:pt>
                <c:pt idx="1525" formatCode="m/d/yyyy">
                  <c:v>43082</c:v>
                </c:pt>
                <c:pt idx="1526" formatCode="m/d/yyyy">
                  <c:v>43081</c:v>
                </c:pt>
                <c:pt idx="1527" formatCode="m/d/yyyy">
                  <c:v>43080</c:v>
                </c:pt>
                <c:pt idx="1528" formatCode="m/d/yyyy">
                  <c:v>43079</c:v>
                </c:pt>
                <c:pt idx="1529" formatCode="m/d/yyyy">
                  <c:v>43078</c:v>
                </c:pt>
                <c:pt idx="1530" formatCode="m/d/yyyy">
                  <c:v>43077</c:v>
                </c:pt>
                <c:pt idx="1531" formatCode="m/d/yyyy">
                  <c:v>43076</c:v>
                </c:pt>
                <c:pt idx="1532" formatCode="m/d/yyyy">
                  <c:v>43075</c:v>
                </c:pt>
                <c:pt idx="1533" formatCode="m/d/yyyy">
                  <c:v>43074</c:v>
                </c:pt>
                <c:pt idx="1534" formatCode="m/d/yyyy">
                  <c:v>43073</c:v>
                </c:pt>
                <c:pt idx="1535" formatCode="m/d/yyyy">
                  <c:v>43072</c:v>
                </c:pt>
                <c:pt idx="1536" formatCode="m/d/yyyy">
                  <c:v>43071</c:v>
                </c:pt>
                <c:pt idx="1537" formatCode="m/d/yyyy">
                  <c:v>43070</c:v>
                </c:pt>
                <c:pt idx="1538" formatCode="m/d/yyyy">
                  <c:v>43069</c:v>
                </c:pt>
                <c:pt idx="1539" formatCode="m/d/yyyy">
                  <c:v>43068</c:v>
                </c:pt>
                <c:pt idx="1540" formatCode="m/d/yyyy">
                  <c:v>43067</c:v>
                </c:pt>
                <c:pt idx="1541" formatCode="m/d/yyyy">
                  <c:v>43066</c:v>
                </c:pt>
                <c:pt idx="1542" formatCode="m/d/yyyy">
                  <c:v>43065</c:v>
                </c:pt>
                <c:pt idx="1543" formatCode="m/d/yyyy">
                  <c:v>43064</c:v>
                </c:pt>
                <c:pt idx="1544" formatCode="m/d/yyyy">
                  <c:v>43063</c:v>
                </c:pt>
                <c:pt idx="1545" formatCode="m/d/yyyy">
                  <c:v>43062</c:v>
                </c:pt>
                <c:pt idx="1546" formatCode="m/d/yyyy">
                  <c:v>43061</c:v>
                </c:pt>
                <c:pt idx="1547" formatCode="m/d/yyyy">
                  <c:v>43060</c:v>
                </c:pt>
                <c:pt idx="1548" formatCode="m/d/yyyy">
                  <c:v>43059</c:v>
                </c:pt>
                <c:pt idx="1549" formatCode="m/d/yyyy">
                  <c:v>43058</c:v>
                </c:pt>
                <c:pt idx="1550" formatCode="m/d/yyyy">
                  <c:v>43057</c:v>
                </c:pt>
                <c:pt idx="1551" formatCode="m/d/yyyy">
                  <c:v>43056</c:v>
                </c:pt>
                <c:pt idx="1552" formatCode="m/d/yyyy">
                  <c:v>43055</c:v>
                </c:pt>
                <c:pt idx="1553" formatCode="m/d/yyyy">
                  <c:v>43054</c:v>
                </c:pt>
                <c:pt idx="1554" formatCode="m/d/yyyy">
                  <c:v>43053</c:v>
                </c:pt>
                <c:pt idx="1555" formatCode="m/d/yyyy">
                  <c:v>43052</c:v>
                </c:pt>
                <c:pt idx="1556" formatCode="m/d/yyyy">
                  <c:v>43051</c:v>
                </c:pt>
                <c:pt idx="1557" formatCode="m/d/yyyy">
                  <c:v>43050</c:v>
                </c:pt>
                <c:pt idx="1558" formatCode="m/d/yyyy">
                  <c:v>43049</c:v>
                </c:pt>
                <c:pt idx="1559" formatCode="m/d/yyyy">
                  <c:v>43048</c:v>
                </c:pt>
                <c:pt idx="1560" formatCode="m/d/yyyy">
                  <c:v>43047</c:v>
                </c:pt>
                <c:pt idx="1561" formatCode="m/d/yyyy">
                  <c:v>43046</c:v>
                </c:pt>
                <c:pt idx="1562" formatCode="m/d/yyyy">
                  <c:v>43045</c:v>
                </c:pt>
                <c:pt idx="1563" formatCode="m/d/yyyy">
                  <c:v>43044</c:v>
                </c:pt>
                <c:pt idx="1564" formatCode="m/d/yyyy">
                  <c:v>43043</c:v>
                </c:pt>
                <c:pt idx="1565" formatCode="m/d/yyyy">
                  <c:v>43042</c:v>
                </c:pt>
                <c:pt idx="1566" formatCode="m/d/yyyy">
                  <c:v>43041</c:v>
                </c:pt>
                <c:pt idx="1567" formatCode="m/d/yyyy">
                  <c:v>43040</c:v>
                </c:pt>
                <c:pt idx="1568" formatCode="m/d/yyyy">
                  <c:v>43039</c:v>
                </c:pt>
                <c:pt idx="1569" formatCode="m/d/yyyy">
                  <c:v>43038</c:v>
                </c:pt>
                <c:pt idx="1570" formatCode="m/d/yyyy">
                  <c:v>43037</c:v>
                </c:pt>
                <c:pt idx="1571" formatCode="m/d/yyyy">
                  <c:v>43036</c:v>
                </c:pt>
                <c:pt idx="1572" formatCode="m/d/yyyy">
                  <c:v>43035</c:v>
                </c:pt>
                <c:pt idx="1573" formatCode="m/d/yyyy">
                  <c:v>43034</c:v>
                </c:pt>
                <c:pt idx="1574" formatCode="m/d/yyyy">
                  <c:v>43033</c:v>
                </c:pt>
                <c:pt idx="1575" formatCode="m/d/yyyy">
                  <c:v>43032</c:v>
                </c:pt>
                <c:pt idx="1576" formatCode="m/d/yyyy">
                  <c:v>43031</c:v>
                </c:pt>
                <c:pt idx="1577" formatCode="m/d/yyyy">
                  <c:v>43030</c:v>
                </c:pt>
                <c:pt idx="1578" formatCode="m/d/yyyy">
                  <c:v>43029</c:v>
                </c:pt>
                <c:pt idx="1579" formatCode="m/d/yyyy">
                  <c:v>43028</c:v>
                </c:pt>
                <c:pt idx="1580" formatCode="m/d/yyyy">
                  <c:v>43027</c:v>
                </c:pt>
                <c:pt idx="1581" formatCode="m/d/yyyy">
                  <c:v>43026</c:v>
                </c:pt>
                <c:pt idx="1582" formatCode="m/d/yyyy">
                  <c:v>43025</c:v>
                </c:pt>
                <c:pt idx="1583" formatCode="m/d/yyyy">
                  <c:v>43024</c:v>
                </c:pt>
                <c:pt idx="1584" formatCode="m/d/yyyy">
                  <c:v>43023</c:v>
                </c:pt>
                <c:pt idx="1585" formatCode="m/d/yyyy">
                  <c:v>43022</c:v>
                </c:pt>
                <c:pt idx="1586" formatCode="m/d/yyyy">
                  <c:v>43021</c:v>
                </c:pt>
                <c:pt idx="1587" formatCode="m/d/yyyy">
                  <c:v>43020</c:v>
                </c:pt>
                <c:pt idx="1588" formatCode="m/d/yyyy">
                  <c:v>43019</c:v>
                </c:pt>
                <c:pt idx="1589" formatCode="m/d/yyyy">
                  <c:v>43018</c:v>
                </c:pt>
                <c:pt idx="1590" formatCode="m/d/yyyy">
                  <c:v>43017</c:v>
                </c:pt>
                <c:pt idx="1591" formatCode="m/d/yyyy">
                  <c:v>43016</c:v>
                </c:pt>
                <c:pt idx="1592" formatCode="m/d/yyyy">
                  <c:v>43015</c:v>
                </c:pt>
                <c:pt idx="1593" formatCode="m/d/yyyy">
                  <c:v>43014</c:v>
                </c:pt>
                <c:pt idx="1594" formatCode="m/d/yyyy">
                  <c:v>43013</c:v>
                </c:pt>
                <c:pt idx="1595" formatCode="m/d/yyyy">
                  <c:v>43012</c:v>
                </c:pt>
                <c:pt idx="1596" formatCode="m/d/yyyy">
                  <c:v>43011</c:v>
                </c:pt>
                <c:pt idx="1597" formatCode="m/d/yyyy">
                  <c:v>43010</c:v>
                </c:pt>
                <c:pt idx="1598" formatCode="m/d/yyyy">
                  <c:v>43009</c:v>
                </c:pt>
                <c:pt idx="1599" formatCode="m/d/yyyy">
                  <c:v>43008</c:v>
                </c:pt>
                <c:pt idx="1600" formatCode="m/d/yyyy">
                  <c:v>43007</c:v>
                </c:pt>
                <c:pt idx="1601" formatCode="m/d/yyyy">
                  <c:v>43006</c:v>
                </c:pt>
                <c:pt idx="1602" formatCode="m/d/yyyy">
                  <c:v>43005</c:v>
                </c:pt>
                <c:pt idx="1603" formatCode="m/d/yyyy">
                  <c:v>43004</c:v>
                </c:pt>
                <c:pt idx="1604" formatCode="m/d/yyyy">
                  <c:v>43003</c:v>
                </c:pt>
                <c:pt idx="1605" formatCode="m/d/yyyy">
                  <c:v>43002</c:v>
                </c:pt>
                <c:pt idx="1606" formatCode="m/d/yyyy">
                  <c:v>43001</c:v>
                </c:pt>
                <c:pt idx="1607" formatCode="m/d/yyyy">
                  <c:v>43000</c:v>
                </c:pt>
                <c:pt idx="1608" formatCode="m/d/yyyy">
                  <c:v>42999</c:v>
                </c:pt>
                <c:pt idx="1609" formatCode="m/d/yyyy">
                  <c:v>42998</c:v>
                </c:pt>
                <c:pt idx="1610" formatCode="m/d/yyyy">
                  <c:v>42997</c:v>
                </c:pt>
                <c:pt idx="1611" formatCode="m/d/yyyy">
                  <c:v>42996</c:v>
                </c:pt>
                <c:pt idx="1612" formatCode="m/d/yyyy">
                  <c:v>42995</c:v>
                </c:pt>
                <c:pt idx="1613" formatCode="m/d/yyyy">
                  <c:v>42994</c:v>
                </c:pt>
                <c:pt idx="1614" formatCode="m/d/yyyy">
                  <c:v>42993</c:v>
                </c:pt>
                <c:pt idx="1615" formatCode="m/d/yyyy">
                  <c:v>42992</c:v>
                </c:pt>
                <c:pt idx="1616" formatCode="m/d/yyyy">
                  <c:v>42991</c:v>
                </c:pt>
                <c:pt idx="1617" formatCode="m/d/yyyy">
                  <c:v>42990</c:v>
                </c:pt>
                <c:pt idx="1618" formatCode="m/d/yyyy">
                  <c:v>42989</c:v>
                </c:pt>
                <c:pt idx="1619" formatCode="m/d/yyyy">
                  <c:v>42988</c:v>
                </c:pt>
                <c:pt idx="1620" formatCode="m/d/yyyy">
                  <c:v>42987</c:v>
                </c:pt>
                <c:pt idx="1621" formatCode="m/d/yyyy">
                  <c:v>42986</c:v>
                </c:pt>
                <c:pt idx="1622" formatCode="m/d/yyyy">
                  <c:v>42985</c:v>
                </c:pt>
                <c:pt idx="1623" formatCode="m/d/yyyy">
                  <c:v>42984</c:v>
                </c:pt>
                <c:pt idx="1624" formatCode="m/d/yyyy">
                  <c:v>42983</c:v>
                </c:pt>
                <c:pt idx="1625" formatCode="m/d/yyyy">
                  <c:v>42982</c:v>
                </c:pt>
                <c:pt idx="1626" formatCode="m/d/yyyy">
                  <c:v>42981</c:v>
                </c:pt>
                <c:pt idx="1627" formatCode="m/d/yyyy">
                  <c:v>42980</c:v>
                </c:pt>
                <c:pt idx="1628" formatCode="m/d/yyyy">
                  <c:v>42979</c:v>
                </c:pt>
                <c:pt idx="1629" formatCode="m/d/yyyy">
                  <c:v>42978</c:v>
                </c:pt>
                <c:pt idx="1630" formatCode="m/d/yyyy">
                  <c:v>42977</c:v>
                </c:pt>
                <c:pt idx="1631" formatCode="m/d/yyyy">
                  <c:v>42976</c:v>
                </c:pt>
                <c:pt idx="1632" formatCode="m/d/yyyy">
                  <c:v>42975</c:v>
                </c:pt>
                <c:pt idx="1633" formatCode="m/d/yyyy">
                  <c:v>42974</c:v>
                </c:pt>
                <c:pt idx="1634" formatCode="m/d/yyyy">
                  <c:v>42973</c:v>
                </c:pt>
                <c:pt idx="1635" formatCode="m/d/yyyy">
                  <c:v>42972</c:v>
                </c:pt>
                <c:pt idx="1636" formatCode="m/d/yyyy">
                  <c:v>42971</c:v>
                </c:pt>
                <c:pt idx="1637" formatCode="m/d/yyyy">
                  <c:v>42970</c:v>
                </c:pt>
                <c:pt idx="1638" formatCode="m/d/yyyy">
                  <c:v>42969</c:v>
                </c:pt>
                <c:pt idx="1639" formatCode="m/d/yyyy">
                  <c:v>42968</c:v>
                </c:pt>
                <c:pt idx="1640" formatCode="m/d/yyyy">
                  <c:v>42967</c:v>
                </c:pt>
                <c:pt idx="1641" formatCode="m/d/yyyy">
                  <c:v>42966</c:v>
                </c:pt>
                <c:pt idx="1642" formatCode="m/d/yyyy">
                  <c:v>42965</c:v>
                </c:pt>
                <c:pt idx="1643" formatCode="m/d/yyyy">
                  <c:v>42964</c:v>
                </c:pt>
                <c:pt idx="1644" formatCode="m/d/yyyy">
                  <c:v>42963</c:v>
                </c:pt>
                <c:pt idx="1645" formatCode="m/d/yyyy">
                  <c:v>42962</c:v>
                </c:pt>
                <c:pt idx="1646" formatCode="m/d/yyyy">
                  <c:v>42961</c:v>
                </c:pt>
                <c:pt idx="1647" formatCode="m/d/yyyy">
                  <c:v>42960</c:v>
                </c:pt>
                <c:pt idx="1648" formatCode="m/d/yyyy">
                  <c:v>42959</c:v>
                </c:pt>
                <c:pt idx="1649" formatCode="m/d/yyyy">
                  <c:v>42958</c:v>
                </c:pt>
                <c:pt idx="1650" formatCode="m/d/yyyy">
                  <c:v>42957</c:v>
                </c:pt>
                <c:pt idx="1651" formatCode="m/d/yyyy">
                  <c:v>42956</c:v>
                </c:pt>
                <c:pt idx="1652" formatCode="m/d/yyyy">
                  <c:v>42955</c:v>
                </c:pt>
                <c:pt idx="1653" formatCode="m/d/yyyy">
                  <c:v>42954</c:v>
                </c:pt>
                <c:pt idx="1654" formatCode="m/d/yyyy">
                  <c:v>42953</c:v>
                </c:pt>
                <c:pt idx="1655" formatCode="m/d/yyyy">
                  <c:v>42952</c:v>
                </c:pt>
                <c:pt idx="1656" formatCode="m/d/yyyy">
                  <c:v>42951</c:v>
                </c:pt>
                <c:pt idx="1657" formatCode="m/d/yyyy">
                  <c:v>42950</c:v>
                </c:pt>
                <c:pt idx="1658" formatCode="m/d/yyyy">
                  <c:v>42949</c:v>
                </c:pt>
                <c:pt idx="1659" formatCode="m/d/yyyy">
                  <c:v>42948</c:v>
                </c:pt>
                <c:pt idx="1660" formatCode="m/d/yyyy">
                  <c:v>42947</c:v>
                </c:pt>
                <c:pt idx="1661" formatCode="m/d/yyyy">
                  <c:v>42946</c:v>
                </c:pt>
                <c:pt idx="1662" formatCode="m/d/yyyy">
                  <c:v>42945</c:v>
                </c:pt>
                <c:pt idx="1663" formatCode="m/d/yyyy">
                  <c:v>42944</c:v>
                </c:pt>
                <c:pt idx="1664" formatCode="m/d/yyyy">
                  <c:v>42943</c:v>
                </c:pt>
                <c:pt idx="1665" formatCode="m/d/yyyy">
                  <c:v>42942</c:v>
                </c:pt>
                <c:pt idx="1666" formatCode="m/d/yyyy">
                  <c:v>42941</c:v>
                </c:pt>
                <c:pt idx="1667" formatCode="m/d/yyyy">
                  <c:v>42940</c:v>
                </c:pt>
                <c:pt idx="1668" formatCode="m/d/yyyy">
                  <c:v>42939</c:v>
                </c:pt>
                <c:pt idx="1669" formatCode="m/d/yyyy">
                  <c:v>42938</c:v>
                </c:pt>
                <c:pt idx="1670" formatCode="m/d/yyyy">
                  <c:v>42937</c:v>
                </c:pt>
                <c:pt idx="1671" formatCode="m/d/yyyy">
                  <c:v>42936</c:v>
                </c:pt>
                <c:pt idx="1672" formatCode="m/d/yyyy">
                  <c:v>42935</c:v>
                </c:pt>
                <c:pt idx="1673" formatCode="m/d/yyyy">
                  <c:v>42934</c:v>
                </c:pt>
                <c:pt idx="1674" formatCode="m/d/yyyy">
                  <c:v>42933</c:v>
                </c:pt>
                <c:pt idx="1675" formatCode="m/d/yyyy">
                  <c:v>42932</c:v>
                </c:pt>
                <c:pt idx="1676" formatCode="m/d/yyyy">
                  <c:v>42931</c:v>
                </c:pt>
                <c:pt idx="1677" formatCode="m/d/yyyy">
                  <c:v>42930</c:v>
                </c:pt>
                <c:pt idx="1678" formatCode="m/d/yyyy">
                  <c:v>42929</c:v>
                </c:pt>
                <c:pt idx="1679" formatCode="m/d/yyyy">
                  <c:v>42928</c:v>
                </c:pt>
                <c:pt idx="1680" formatCode="m/d/yyyy">
                  <c:v>42927</c:v>
                </c:pt>
                <c:pt idx="1681" formatCode="m/d/yyyy">
                  <c:v>42926</c:v>
                </c:pt>
                <c:pt idx="1682" formatCode="m/d/yyyy">
                  <c:v>42925</c:v>
                </c:pt>
                <c:pt idx="1683" formatCode="m/d/yyyy">
                  <c:v>42924</c:v>
                </c:pt>
                <c:pt idx="1684" formatCode="m/d/yyyy">
                  <c:v>42923</c:v>
                </c:pt>
                <c:pt idx="1685" formatCode="m/d/yyyy">
                  <c:v>42922</c:v>
                </c:pt>
                <c:pt idx="1686" formatCode="m/d/yyyy">
                  <c:v>42921</c:v>
                </c:pt>
                <c:pt idx="1687" formatCode="m/d/yyyy">
                  <c:v>42920</c:v>
                </c:pt>
                <c:pt idx="1688" formatCode="m/d/yyyy">
                  <c:v>42919</c:v>
                </c:pt>
                <c:pt idx="1689" formatCode="m/d/yyyy">
                  <c:v>42918</c:v>
                </c:pt>
                <c:pt idx="1690" formatCode="m/d/yyyy">
                  <c:v>42917</c:v>
                </c:pt>
                <c:pt idx="1691" formatCode="m/d/yyyy">
                  <c:v>42916</c:v>
                </c:pt>
                <c:pt idx="1692" formatCode="m/d/yyyy">
                  <c:v>42915</c:v>
                </c:pt>
                <c:pt idx="1693" formatCode="m/d/yyyy">
                  <c:v>42914</c:v>
                </c:pt>
                <c:pt idx="1694" formatCode="m/d/yyyy">
                  <c:v>42913</c:v>
                </c:pt>
                <c:pt idx="1695" formatCode="m/d/yyyy">
                  <c:v>42912</c:v>
                </c:pt>
                <c:pt idx="1696" formatCode="m/d/yyyy">
                  <c:v>42911</c:v>
                </c:pt>
                <c:pt idx="1697" formatCode="m/d/yyyy">
                  <c:v>42910</c:v>
                </c:pt>
                <c:pt idx="1698" formatCode="m/d/yyyy">
                  <c:v>42909</c:v>
                </c:pt>
                <c:pt idx="1699" formatCode="m/d/yyyy">
                  <c:v>42908</c:v>
                </c:pt>
                <c:pt idx="1700" formatCode="m/d/yyyy">
                  <c:v>42907</c:v>
                </c:pt>
                <c:pt idx="1701" formatCode="m/d/yyyy">
                  <c:v>42906</c:v>
                </c:pt>
                <c:pt idx="1702" formatCode="m/d/yyyy">
                  <c:v>42905</c:v>
                </c:pt>
                <c:pt idx="1703" formatCode="m/d/yyyy">
                  <c:v>42904</c:v>
                </c:pt>
                <c:pt idx="1704" formatCode="m/d/yyyy">
                  <c:v>42903</c:v>
                </c:pt>
                <c:pt idx="1705" formatCode="m/d/yyyy">
                  <c:v>42902</c:v>
                </c:pt>
                <c:pt idx="1706" formatCode="m/d/yyyy">
                  <c:v>42901</c:v>
                </c:pt>
                <c:pt idx="1707" formatCode="m/d/yyyy">
                  <c:v>42900</c:v>
                </c:pt>
                <c:pt idx="1708" formatCode="m/d/yyyy">
                  <c:v>42899</c:v>
                </c:pt>
                <c:pt idx="1709" formatCode="m/d/yyyy">
                  <c:v>42898</c:v>
                </c:pt>
                <c:pt idx="1710" formatCode="m/d/yyyy">
                  <c:v>42897</c:v>
                </c:pt>
                <c:pt idx="1711" formatCode="m/d/yyyy">
                  <c:v>42896</c:v>
                </c:pt>
                <c:pt idx="1712" formatCode="m/d/yyyy">
                  <c:v>42895</c:v>
                </c:pt>
                <c:pt idx="1713" formatCode="m/d/yyyy">
                  <c:v>42894</c:v>
                </c:pt>
                <c:pt idx="1714" formatCode="m/d/yyyy">
                  <c:v>42893</c:v>
                </c:pt>
                <c:pt idx="1715" formatCode="m/d/yyyy">
                  <c:v>42892</c:v>
                </c:pt>
                <c:pt idx="1716" formatCode="m/d/yyyy">
                  <c:v>42891</c:v>
                </c:pt>
                <c:pt idx="1717" formatCode="m/d/yyyy">
                  <c:v>42890</c:v>
                </c:pt>
                <c:pt idx="1718" formatCode="m/d/yyyy">
                  <c:v>42889</c:v>
                </c:pt>
                <c:pt idx="1719" formatCode="m/d/yyyy">
                  <c:v>42888</c:v>
                </c:pt>
                <c:pt idx="1720" formatCode="m/d/yyyy">
                  <c:v>42887</c:v>
                </c:pt>
                <c:pt idx="1721" formatCode="m/d/yyyy">
                  <c:v>42886</c:v>
                </c:pt>
                <c:pt idx="1722" formatCode="m/d/yyyy">
                  <c:v>42885</c:v>
                </c:pt>
                <c:pt idx="1723" formatCode="m/d/yyyy">
                  <c:v>42884</c:v>
                </c:pt>
                <c:pt idx="1724" formatCode="m/d/yyyy">
                  <c:v>42883</c:v>
                </c:pt>
                <c:pt idx="1725" formatCode="m/d/yyyy">
                  <c:v>42882</c:v>
                </c:pt>
                <c:pt idx="1726" formatCode="m/d/yyyy">
                  <c:v>42881</c:v>
                </c:pt>
                <c:pt idx="1727" formatCode="m/d/yyyy">
                  <c:v>42880</c:v>
                </c:pt>
                <c:pt idx="1728" formatCode="m/d/yyyy">
                  <c:v>42879</c:v>
                </c:pt>
                <c:pt idx="1729" formatCode="m/d/yyyy">
                  <c:v>42878</c:v>
                </c:pt>
                <c:pt idx="1730" formatCode="m/d/yyyy">
                  <c:v>42877</c:v>
                </c:pt>
                <c:pt idx="1731" formatCode="m/d/yyyy">
                  <c:v>42876</c:v>
                </c:pt>
                <c:pt idx="1732" formatCode="m/d/yyyy">
                  <c:v>42875</c:v>
                </c:pt>
                <c:pt idx="1733" formatCode="m/d/yyyy">
                  <c:v>42874</c:v>
                </c:pt>
                <c:pt idx="1734" formatCode="m/d/yyyy">
                  <c:v>42873</c:v>
                </c:pt>
                <c:pt idx="1735" formatCode="m/d/yyyy">
                  <c:v>42872</c:v>
                </c:pt>
                <c:pt idx="1736" formatCode="m/d/yyyy">
                  <c:v>42871</c:v>
                </c:pt>
                <c:pt idx="1737" formatCode="m/d/yyyy">
                  <c:v>42870</c:v>
                </c:pt>
                <c:pt idx="1738" formatCode="m/d/yyyy">
                  <c:v>42869</c:v>
                </c:pt>
                <c:pt idx="1739" formatCode="m/d/yyyy">
                  <c:v>42868</c:v>
                </c:pt>
                <c:pt idx="1740" formatCode="m/d/yyyy">
                  <c:v>42867</c:v>
                </c:pt>
                <c:pt idx="1741" formatCode="m/d/yyyy">
                  <c:v>42866</c:v>
                </c:pt>
                <c:pt idx="1742" formatCode="m/d/yyyy">
                  <c:v>42865</c:v>
                </c:pt>
                <c:pt idx="1743" formatCode="m/d/yyyy">
                  <c:v>42864</c:v>
                </c:pt>
                <c:pt idx="1744" formatCode="m/d/yyyy">
                  <c:v>42863</c:v>
                </c:pt>
                <c:pt idx="1745" formatCode="m/d/yyyy">
                  <c:v>42862</c:v>
                </c:pt>
                <c:pt idx="1746" formatCode="m/d/yyyy">
                  <c:v>42861</c:v>
                </c:pt>
                <c:pt idx="1747" formatCode="m/d/yyyy">
                  <c:v>42860</c:v>
                </c:pt>
                <c:pt idx="1748" formatCode="m/d/yyyy">
                  <c:v>42859</c:v>
                </c:pt>
                <c:pt idx="1749" formatCode="m/d/yyyy">
                  <c:v>42858</c:v>
                </c:pt>
                <c:pt idx="1750" formatCode="m/d/yyyy">
                  <c:v>42857</c:v>
                </c:pt>
                <c:pt idx="1751" formatCode="m/d/yyyy">
                  <c:v>42856</c:v>
                </c:pt>
                <c:pt idx="1752" formatCode="m/d/yyyy">
                  <c:v>42855</c:v>
                </c:pt>
                <c:pt idx="1753" formatCode="m/d/yyyy">
                  <c:v>42854</c:v>
                </c:pt>
                <c:pt idx="1754" formatCode="m/d/yyyy">
                  <c:v>42853</c:v>
                </c:pt>
                <c:pt idx="1755" formatCode="m/d/yyyy">
                  <c:v>42852</c:v>
                </c:pt>
                <c:pt idx="1756" formatCode="m/d/yyyy">
                  <c:v>42851</c:v>
                </c:pt>
                <c:pt idx="1757" formatCode="m/d/yyyy">
                  <c:v>42850</c:v>
                </c:pt>
                <c:pt idx="1758" formatCode="m/d/yyyy">
                  <c:v>42849</c:v>
                </c:pt>
                <c:pt idx="1759" formatCode="m/d/yyyy">
                  <c:v>42848</c:v>
                </c:pt>
                <c:pt idx="1760" formatCode="m/d/yyyy">
                  <c:v>42847</c:v>
                </c:pt>
                <c:pt idx="1761" formatCode="m/d/yyyy">
                  <c:v>42846</c:v>
                </c:pt>
                <c:pt idx="1762" formatCode="m/d/yyyy">
                  <c:v>42845</c:v>
                </c:pt>
                <c:pt idx="1763" formatCode="m/d/yyyy">
                  <c:v>42844</c:v>
                </c:pt>
                <c:pt idx="1764" formatCode="m/d/yyyy">
                  <c:v>42843</c:v>
                </c:pt>
                <c:pt idx="1765" formatCode="m/d/yyyy">
                  <c:v>42842</c:v>
                </c:pt>
                <c:pt idx="1766" formatCode="m/d/yyyy">
                  <c:v>42841</c:v>
                </c:pt>
                <c:pt idx="1767" formatCode="m/d/yyyy">
                  <c:v>42840</c:v>
                </c:pt>
                <c:pt idx="1768" formatCode="m/d/yyyy">
                  <c:v>42839</c:v>
                </c:pt>
                <c:pt idx="1769" formatCode="m/d/yyyy">
                  <c:v>42838</c:v>
                </c:pt>
                <c:pt idx="1770" formatCode="m/d/yyyy">
                  <c:v>42837</c:v>
                </c:pt>
                <c:pt idx="1771" formatCode="m/d/yyyy">
                  <c:v>42836</c:v>
                </c:pt>
                <c:pt idx="1772" formatCode="m/d/yyyy">
                  <c:v>42835</c:v>
                </c:pt>
                <c:pt idx="1773" formatCode="m/d/yyyy">
                  <c:v>42834</c:v>
                </c:pt>
                <c:pt idx="1774" formatCode="m/d/yyyy">
                  <c:v>42833</c:v>
                </c:pt>
                <c:pt idx="1775" formatCode="m/d/yyyy">
                  <c:v>42832</c:v>
                </c:pt>
                <c:pt idx="1776" formatCode="m/d/yyyy">
                  <c:v>42831</c:v>
                </c:pt>
                <c:pt idx="1777" formatCode="m/d/yyyy">
                  <c:v>42830</c:v>
                </c:pt>
                <c:pt idx="1778" formatCode="m/d/yyyy">
                  <c:v>42829</c:v>
                </c:pt>
                <c:pt idx="1779" formatCode="m/d/yyyy">
                  <c:v>42828</c:v>
                </c:pt>
                <c:pt idx="1780" formatCode="m/d/yyyy">
                  <c:v>42827</c:v>
                </c:pt>
                <c:pt idx="1781" formatCode="m/d/yyyy">
                  <c:v>42826</c:v>
                </c:pt>
                <c:pt idx="1782" formatCode="m/d/yyyy">
                  <c:v>42825</c:v>
                </c:pt>
                <c:pt idx="1783" formatCode="m/d/yyyy">
                  <c:v>42824</c:v>
                </c:pt>
                <c:pt idx="1784" formatCode="m/d/yyyy">
                  <c:v>42823</c:v>
                </c:pt>
                <c:pt idx="1785" formatCode="m/d/yyyy">
                  <c:v>42822</c:v>
                </c:pt>
                <c:pt idx="1786" formatCode="m/d/yyyy">
                  <c:v>42821</c:v>
                </c:pt>
                <c:pt idx="1787" formatCode="m/d/yyyy">
                  <c:v>42820</c:v>
                </c:pt>
                <c:pt idx="1788" formatCode="m/d/yyyy">
                  <c:v>42819</c:v>
                </c:pt>
                <c:pt idx="1789" formatCode="m/d/yyyy">
                  <c:v>42818</c:v>
                </c:pt>
                <c:pt idx="1790" formatCode="m/d/yyyy">
                  <c:v>42817</c:v>
                </c:pt>
                <c:pt idx="1791" formatCode="m/d/yyyy">
                  <c:v>42816</c:v>
                </c:pt>
                <c:pt idx="1792" formatCode="m/d/yyyy">
                  <c:v>42815</c:v>
                </c:pt>
                <c:pt idx="1793" formatCode="m/d/yyyy">
                  <c:v>42814</c:v>
                </c:pt>
                <c:pt idx="1794" formatCode="m/d/yyyy">
                  <c:v>42813</c:v>
                </c:pt>
                <c:pt idx="1795" formatCode="m/d/yyyy">
                  <c:v>42812</c:v>
                </c:pt>
                <c:pt idx="1796" formatCode="m/d/yyyy">
                  <c:v>42811</c:v>
                </c:pt>
                <c:pt idx="1797" formatCode="m/d/yyyy">
                  <c:v>42810</c:v>
                </c:pt>
                <c:pt idx="1798" formatCode="m/d/yyyy">
                  <c:v>42809</c:v>
                </c:pt>
                <c:pt idx="1799" formatCode="m/d/yyyy">
                  <c:v>42808</c:v>
                </c:pt>
                <c:pt idx="1800" formatCode="m/d/yyyy">
                  <c:v>42807</c:v>
                </c:pt>
                <c:pt idx="1801" formatCode="m/d/yyyy">
                  <c:v>42806</c:v>
                </c:pt>
                <c:pt idx="1802" formatCode="m/d/yyyy">
                  <c:v>42805</c:v>
                </c:pt>
                <c:pt idx="1803" formatCode="m/d/yyyy">
                  <c:v>42804</c:v>
                </c:pt>
                <c:pt idx="1804" formatCode="m/d/yyyy">
                  <c:v>42803</c:v>
                </c:pt>
                <c:pt idx="1805" formatCode="m/d/yyyy">
                  <c:v>42802</c:v>
                </c:pt>
                <c:pt idx="1806" formatCode="m/d/yyyy">
                  <c:v>42801</c:v>
                </c:pt>
                <c:pt idx="1807" formatCode="m/d/yyyy">
                  <c:v>42800</c:v>
                </c:pt>
                <c:pt idx="1808" formatCode="m/d/yyyy">
                  <c:v>42799</c:v>
                </c:pt>
                <c:pt idx="1809" formatCode="m/d/yyyy">
                  <c:v>42798</c:v>
                </c:pt>
                <c:pt idx="1810" formatCode="m/d/yyyy">
                  <c:v>42797</c:v>
                </c:pt>
                <c:pt idx="1811" formatCode="m/d/yyyy">
                  <c:v>42796</c:v>
                </c:pt>
                <c:pt idx="1812" formatCode="m/d/yyyy">
                  <c:v>42795</c:v>
                </c:pt>
                <c:pt idx="1813" formatCode="m/d/yyyy">
                  <c:v>42794</c:v>
                </c:pt>
                <c:pt idx="1814" formatCode="m/d/yyyy">
                  <c:v>42793</c:v>
                </c:pt>
                <c:pt idx="1815" formatCode="m/d/yyyy">
                  <c:v>42792</c:v>
                </c:pt>
                <c:pt idx="1816" formatCode="m/d/yyyy">
                  <c:v>42791</c:v>
                </c:pt>
                <c:pt idx="1817" formatCode="m/d/yyyy">
                  <c:v>42790</c:v>
                </c:pt>
                <c:pt idx="1818" formatCode="m/d/yyyy">
                  <c:v>42789</c:v>
                </c:pt>
                <c:pt idx="1819" formatCode="m/d/yyyy">
                  <c:v>42788</c:v>
                </c:pt>
                <c:pt idx="1820" formatCode="m/d/yyyy">
                  <c:v>42787</c:v>
                </c:pt>
                <c:pt idx="1821" formatCode="m/d/yyyy">
                  <c:v>42786</c:v>
                </c:pt>
                <c:pt idx="1822" formatCode="m/d/yyyy">
                  <c:v>42785</c:v>
                </c:pt>
                <c:pt idx="1823" formatCode="m/d/yyyy">
                  <c:v>42784</c:v>
                </c:pt>
                <c:pt idx="1824" formatCode="m/d/yyyy">
                  <c:v>42783</c:v>
                </c:pt>
                <c:pt idx="1825" formatCode="m/d/yyyy">
                  <c:v>42782</c:v>
                </c:pt>
                <c:pt idx="1826" formatCode="m/d/yyyy">
                  <c:v>42781</c:v>
                </c:pt>
              </c:numCache>
            </c:numRef>
          </c:cat>
          <c:val>
            <c:numRef>
              <c:f>Indexed!$I$4:$I$3657</c:f>
              <c:numCache>
                <c:formatCode>0</c:formatCode>
                <c:ptCount val="3654"/>
                <c:pt idx="0">
                  <c:v>0</c:v>
                </c:pt>
                <c:pt idx="1">
                  <c:v>187.36490369266787</c:v>
                </c:pt>
                <c:pt idx="2">
                  <c:v>188.08726189209324</c:v>
                </c:pt>
                <c:pt idx="3">
                  <c:v>188.08726189209324</c:v>
                </c:pt>
                <c:pt idx="4">
                  <c:v>188.08726189209324</c:v>
                </c:pt>
                <c:pt idx="5">
                  <c:v>191.72416728743215</c:v>
                </c:pt>
                <c:pt idx="6">
                  <c:v>195.26146642545496</c:v>
                </c:pt>
                <c:pt idx="7">
                  <c:v>192.46738320740661</c:v>
                </c:pt>
                <c:pt idx="8">
                  <c:v>190.86389273172287</c:v>
                </c:pt>
                <c:pt idx="9">
                  <c:v>191.57305523039267</c:v>
                </c:pt>
                <c:pt idx="10">
                  <c:v>191.57305523039267</c:v>
                </c:pt>
                <c:pt idx="11">
                  <c:v>191.57305523039267</c:v>
                </c:pt>
                <c:pt idx="12">
                  <c:v>190.59018835798659</c:v>
                </c:pt>
                <c:pt idx="13">
                  <c:v>195.35511333404278</c:v>
                </c:pt>
                <c:pt idx="14">
                  <c:v>193.53155262317762</c:v>
                </c:pt>
                <c:pt idx="15">
                  <c:v>192.21240821538791</c:v>
                </c:pt>
                <c:pt idx="16">
                  <c:v>188.64956901138663</c:v>
                </c:pt>
                <c:pt idx="17">
                  <c:v>188.64956901138663</c:v>
                </c:pt>
                <c:pt idx="18">
                  <c:v>188.64956901138663</c:v>
                </c:pt>
                <c:pt idx="19">
                  <c:v>184.16558476109398</c:v>
                </c:pt>
                <c:pt idx="20">
                  <c:v>185.16249866978825</c:v>
                </c:pt>
                <c:pt idx="21">
                  <c:v>185.4400340534213</c:v>
                </c:pt>
                <c:pt idx="22">
                  <c:v>187.72501862296477</c:v>
                </c:pt>
                <c:pt idx="23">
                  <c:v>187.20612961583484</c:v>
                </c:pt>
                <c:pt idx="24">
                  <c:v>187.20612961583484</c:v>
                </c:pt>
                <c:pt idx="25">
                  <c:v>187.20612961583484</c:v>
                </c:pt>
                <c:pt idx="26">
                  <c:v>190.81536660636371</c:v>
                </c:pt>
                <c:pt idx="27">
                  <c:v>192.94498244120467</c:v>
                </c:pt>
                <c:pt idx="28">
                  <c:v>194.83281898478236</c:v>
                </c:pt>
                <c:pt idx="29">
                  <c:v>198.4824944131106</c:v>
                </c:pt>
                <c:pt idx="30">
                  <c:v>198.4824944131106</c:v>
                </c:pt>
                <c:pt idx="31">
                  <c:v>198.4824944131106</c:v>
                </c:pt>
                <c:pt idx="32">
                  <c:v>198.4824944131106</c:v>
                </c:pt>
                <c:pt idx="33">
                  <c:v>198.31988932638075</c:v>
                </c:pt>
                <c:pt idx="34">
                  <c:v>201.18548472916888</c:v>
                </c:pt>
                <c:pt idx="35">
                  <c:v>200.62019793551133</c:v>
                </c:pt>
                <c:pt idx="36">
                  <c:v>198.79919123124401</c:v>
                </c:pt>
                <c:pt idx="37">
                  <c:v>199.08609130573586</c:v>
                </c:pt>
                <c:pt idx="38">
                  <c:v>199.08609130573586</c:v>
                </c:pt>
                <c:pt idx="39">
                  <c:v>199.08609130573586</c:v>
                </c:pt>
                <c:pt idx="40">
                  <c:v>199.89571139725447</c:v>
                </c:pt>
                <c:pt idx="41">
                  <c:v>200.08853889539213</c:v>
                </c:pt>
                <c:pt idx="42">
                  <c:v>204.045546450995</c:v>
                </c:pt>
                <c:pt idx="43">
                  <c:v>204.17409811642014</c:v>
                </c:pt>
                <c:pt idx="44">
                  <c:v>202.88091944237524</c:v>
                </c:pt>
                <c:pt idx="45">
                  <c:v>202.88091944237524</c:v>
                </c:pt>
                <c:pt idx="46">
                  <c:v>202.88091944237524</c:v>
                </c:pt>
                <c:pt idx="47">
                  <c:v>203.41513248909226</c:v>
                </c:pt>
                <c:pt idx="48">
                  <c:v>204.02511439821222</c:v>
                </c:pt>
                <c:pt idx="49">
                  <c:v>203.73949132701927</c:v>
                </c:pt>
                <c:pt idx="50">
                  <c:v>203.9455145259125</c:v>
                </c:pt>
                <c:pt idx="51">
                  <c:v>201.16164733425563</c:v>
                </c:pt>
                <c:pt idx="52">
                  <c:v>201.16164733425563</c:v>
                </c:pt>
                <c:pt idx="53">
                  <c:v>201.16164733425563</c:v>
                </c:pt>
                <c:pt idx="54">
                  <c:v>201.16164733425563</c:v>
                </c:pt>
                <c:pt idx="55">
                  <c:v>199.91742045333618</c:v>
                </c:pt>
                <c:pt idx="56">
                  <c:v>197.90273491539853</c:v>
                </c:pt>
                <c:pt idx="57">
                  <c:v>194.44588698520806</c:v>
                </c:pt>
                <c:pt idx="58">
                  <c:v>196.68575077152283</c:v>
                </c:pt>
                <c:pt idx="59">
                  <c:v>196.68575077152283</c:v>
                </c:pt>
                <c:pt idx="60">
                  <c:v>196.68575077152283</c:v>
                </c:pt>
                <c:pt idx="61">
                  <c:v>198.73023305310207</c:v>
                </c:pt>
                <c:pt idx="62">
                  <c:v>200.48313291476006</c:v>
                </c:pt>
                <c:pt idx="63">
                  <c:v>197.25827391720762</c:v>
                </c:pt>
                <c:pt idx="64">
                  <c:v>198.74300308609131</c:v>
                </c:pt>
                <c:pt idx="65">
                  <c:v>200.57550282004897</c:v>
                </c:pt>
                <c:pt idx="66">
                  <c:v>200.57550282004897</c:v>
                </c:pt>
                <c:pt idx="67">
                  <c:v>200.57550282004897</c:v>
                </c:pt>
                <c:pt idx="68">
                  <c:v>198.67830158561242</c:v>
                </c:pt>
                <c:pt idx="69">
                  <c:v>200.11535596466956</c:v>
                </c:pt>
                <c:pt idx="70">
                  <c:v>199.49984037458762</c:v>
                </c:pt>
                <c:pt idx="71">
                  <c:v>195.45259125252741</c:v>
                </c:pt>
                <c:pt idx="72">
                  <c:v>193.18633606470149</c:v>
                </c:pt>
                <c:pt idx="73">
                  <c:v>193.18633606470149</c:v>
                </c:pt>
                <c:pt idx="74">
                  <c:v>193.18633606470149</c:v>
                </c:pt>
                <c:pt idx="75">
                  <c:v>194.83239331701608</c:v>
                </c:pt>
                <c:pt idx="76">
                  <c:v>192.10556560604448</c:v>
                </c:pt>
                <c:pt idx="77">
                  <c:v>194.4024688730446</c:v>
                </c:pt>
                <c:pt idx="78">
                  <c:v>198.15983824624882</c:v>
                </c:pt>
                <c:pt idx="79">
                  <c:v>195.57816324358836</c:v>
                </c:pt>
                <c:pt idx="80">
                  <c:v>195.57816324358836</c:v>
                </c:pt>
                <c:pt idx="81">
                  <c:v>195.57816324358836</c:v>
                </c:pt>
                <c:pt idx="82">
                  <c:v>200.12599765882732</c:v>
                </c:pt>
                <c:pt idx="83">
                  <c:v>200.12599765882732</c:v>
                </c:pt>
                <c:pt idx="84">
                  <c:v>199.66797914227945</c:v>
                </c:pt>
                <c:pt idx="85">
                  <c:v>199.3376609556241</c:v>
                </c:pt>
                <c:pt idx="86">
                  <c:v>199.97701394061934</c:v>
                </c:pt>
                <c:pt idx="87">
                  <c:v>199.97701394061934</c:v>
                </c:pt>
                <c:pt idx="88">
                  <c:v>199.97701394061934</c:v>
                </c:pt>
                <c:pt idx="89">
                  <c:v>200.25710333085027</c:v>
                </c:pt>
                <c:pt idx="90">
                  <c:v>199.58156858571886</c:v>
                </c:pt>
                <c:pt idx="91">
                  <c:v>200.10216026391402</c:v>
                </c:pt>
                <c:pt idx="92">
                  <c:v>199.33170160689582</c:v>
                </c:pt>
                <c:pt idx="93">
                  <c:v>199.33382994572736</c:v>
                </c:pt>
                <c:pt idx="94">
                  <c:v>199.33382994572736</c:v>
                </c:pt>
                <c:pt idx="95">
                  <c:v>199.33382994572736</c:v>
                </c:pt>
                <c:pt idx="96">
                  <c:v>197.90443758646379</c:v>
                </c:pt>
                <c:pt idx="97">
                  <c:v>197.79546663828881</c:v>
                </c:pt>
                <c:pt idx="98">
                  <c:v>199.43599020964137</c:v>
                </c:pt>
                <c:pt idx="99">
                  <c:v>200.13621368521868</c:v>
                </c:pt>
                <c:pt idx="100">
                  <c:v>199.95871022666807</c:v>
                </c:pt>
                <c:pt idx="101">
                  <c:v>199.95871022666807</c:v>
                </c:pt>
                <c:pt idx="102">
                  <c:v>199.95871022666807</c:v>
                </c:pt>
                <c:pt idx="103">
                  <c:v>199.21506863892733</c:v>
                </c:pt>
                <c:pt idx="104">
                  <c:v>198.38544216239225</c:v>
                </c:pt>
                <c:pt idx="105">
                  <c:v>197.11184420559752</c:v>
                </c:pt>
                <c:pt idx="106">
                  <c:v>196.3890603384059</c:v>
                </c:pt>
                <c:pt idx="107">
                  <c:v>196.03618176013623</c:v>
                </c:pt>
                <c:pt idx="108">
                  <c:v>196.03618176013623</c:v>
                </c:pt>
                <c:pt idx="109">
                  <c:v>196.03618176013623</c:v>
                </c:pt>
                <c:pt idx="110">
                  <c:v>195.6547834415239</c:v>
                </c:pt>
                <c:pt idx="111">
                  <c:v>193.75034585506015</c:v>
                </c:pt>
                <c:pt idx="112">
                  <c:v>194.73406406299881</c:v>
                </c:pt>
                <c:pt idx="113">
                  <c:v>194.38033414919653</c:v>
                </c:pt>
                <c:pt idx="114">
                  <c:v>193.461743109503</c:v>
                </c:pt>
                <c:pt idx="115">
                  <c:v>193.461743109503</c:v>
                </c:pt>
                <c:pt idx="116">
                  <c:v>193.461743109503</c:v>
                </c:pt>
                <c:pt idx="117">
                  <c:v>193.6694689794615</c:v>
                </c:pt>
                <c:pt idx="118">
                  <c:v>193.0909864850484</c:v>
                </c:pt>
                <c:pt idx="119">
                  <c:v>192.38608066404171</c:v>
                </c:pt>
                <c:pt idx="120">
                  <c:v>190.97414068319677</c:v>
                </c:pt>
                <c:pt idx="121">
                  <c:v>190.3318080238374</c:v>
                </c:pt>
                <c:pt idx="122">
                  <c:v>190.3318080238374</c:v>
                </c:pt>
                <c:pt idx="123">
                  <c:v>190.3318080238374</c:v>
                </c:pt>
                <c:pt idx="124">
                  <c:v>188.92242204959032</c:v>
                </c:pt>
                <c:pt idx="125">
                  <c:v>185.75289986165799</c:v>
                </c:pt>
                <c:pt idx="126">
                  <c:v>185.19314674896242</c:v>
                </c:pt>
                <c:pt idx="127">
                  <c:v>185.64180057465148</c:v>
                </c:pt>
                <c:pt idx="128">
                  <c:v>186.9251888900713</c:v>
                </c:pt>
                <c:pt idx="129">
                  <c:v>186.9251888900713</c:v>
                </c:pt>
                <c:pt idx="130">
                  <c:v>186.9251888900713</c:v>
                </c:pt>
                <c:pt idx="131">
                  <c:v>187.28360114930297</c:v>
                </c:pt>
                <c:pt idx="132">
                  <c:v>185.74225816750027</c:v>
                </c:pt>
                <c:pt idx="133">
                  <c:v>184.98329254017241</c:v>
                </c:pt>
                <c:pt idx="134">
                  <c:v>183.05672022986059</c:v>
                </c:pt>
                <c:pt idx="135">
                  <c:v>185.4651484516335</c:v>
                </c:pt>
                <c:pt idx="136">
                  <c:v>185.4651484516335</c:v>
                </c:pt>
                <c:pt idx="137">
                  <c:v>185.4651484516335</c:v>
                </c:pt>
                <c:pt idx="138">
                  <c:v>183.35809300840694</c:v>
                </c:pt>
                <c:pt idx="139">
                  <c:v>185.56816005108016</c:v>
                </c:pt>
                <c:pt idx="140">
                  <c:v>185.2774289666915</c:v>
                </c:pt>
                <c:pt idx="141">
                  <c:v>189.12887091624987</c:v>
                </c:pt>
                <c:pt idx="142">
                  <c:v>189.65542194317334</c:v>
                </c:pt>
                <c:pt idx="143">
                  <c:v>189.65542194317334</c:v>
                </c:pt>
                <c:pt idx="144">
                  <c:v>189.65542194317334</c:v>
                </c:pt>
                <c:pt idx="145">
                  <c:v>189.37873789507287</c:v>
                </c:pt>
                <c:pt idx="146">
                  <c:v>187.10822602958393</c:v>
                </c:pt>
                <c:pt idx="147">
                  <c:v>185.3438331382356</c:v>
                </c:pt>
                <c:pt idx="148">
                  <c:v>185.49451952750874</c:v>
                </c:pt>
                <c:pt idx="149">
                  <c:v>188.69809513674576</c:v>
                </c:pt>
                <c:pt idx="150">
                  <c:v>188.69809513674576</c:v>
                </c:pt>
                <c:pt idx="151">
                  <c:v>188.69809513674576</c:v>
                </c:pt>
                <c:pt idx="152">
                  <c:v>190.4331169522188</c:v>
                </c:pt>
                <c:pt idx="153">
                  <c:v>190.72895604980312</c:v>
                </c:pt>
                <c:pt idx="154">
                  <c:v>189.12631690965202</c:v>
                </c:pt>
                <c:pt idx="155">
                  <c:v>190.21943173353196</c:v>
                </c:pt>
                <c:pt idx="156">
                  <c:v>189.78737895072894</c:v>
                </c:pt>
                <c:pt idx="157">
                  <c:v>189.78737895072894</c:v>
                </c:pt>
                <c:pt idx="158">
                  <c:v>189.78737895072894</c:v>
                </c:pt>
                <c:pt idx="159">
                  <c:v>191.26444609981908</c:v>
                </c:pt>
                <c:pt idx="160">
                  <c:v>192.14940938597425</c:v>
                </c:pt>
                <c:pt idx="161">
                  <c:v>192.40310737469403</c:v>
                </c:pt>
                <c:pt idx="162">
                  <c:v>193.058635734809</c:v>
                </c:pt>
                <c:pt idx="163">
                  <c:v>193.058635734809</c:v>
                </c:pt>
                <c:pt idx="164">
                  <c:v>193.058635734809</c:v>
                </c:pt>
                <c:pt idx="165">
                  <c:v>193.058635734809</c:v>
                </c:pt>
                <c:pt idx="166">
                  <c:v>193.12333723528786</c:v>
                </c:pt>
                <c:pt idx="167">
                  <c:v>192.57592848781528</c:v>
                </c:pt>
                <c:pt idx="168">
                  <c:v>192.5159093327658</c:v>
                </c:pt>
                <c:pt idx="169">
                  <c:v>192.7759923379802</c:v>
                </c:pt>
                <c:pt idx="170">
                  <c:v>191.9493455358093</c:v>
                </c:pt>
                <c:pt idx="171">
                  <c:v>191.9493455358093</c:v>
                </c:pt>
                <c:pt idx="172">
                  <c:v>191.9493455358093</c:v>
                </c:pt>
                <c:pt idx="173">
                  <c:v>190.27349153985313</c:v>
                </c:pt>
                <c:pt idx="174">
                  <c:v>191.38831541981483</c:v>
                </c:pt>
                <c:pt idx="175">
                  <c:v>190.96435032457165</c:v>
                </c:pt>
                <c:pt idx="176">
                  <c:v>190.67915292114503</c:v>
                </c:pt>
                <c:pt idx="177">
                  <c:v>189.06757475790147</c:v>
                </c:pt>
                <c:pt idx="178">
                  <c:v>189.06757475790147</c:v>
                </c:pt>
                <c:pt idx="179">
                  <c:v>189.06757475790147</c:v>
                </c:pt>
                <c:pt idx="180">
                  <c:v>187.54070448015327</c:v>
                </c:pt>
                <c:pt idx="181">
                  <c:v>187.30531020538473</c:v>
                </c:pt>
                <c:pt idx="182">
                  <c:v>189.34042779610513</c:v>
                </c:pt>
                <c:pt idx="183">
                  <c:v>190.6868149409386</c:v>
                </c:pt>
                <c:pt idx="184">
                  <c:v>190.18835798659146</c:v>
                </c:pt>
                <c:pt idx="185">
                  <c:v>190.18835798659146</c:v>
                </c:pt>
                <c:pt idx="186">
                  <c:v>190.18835798659146</c:v>
                </c:pt>
                <c:pt idx="187">
                  <c:v>189.88315419814833</c:v>
                </c:pt>
                <c:pt idx="188">
                  <c:v>189.3242524209854</c:v>
                </c:pt>
                <c:pt idx="189">
                  <c:v>188.85814621687774</c:v>
                </c:pt>
                <c:pt idx="190">
                  <c:v>188.67085239970206</c:v>
                </c:pt>
                <c:pt idx="191">
                  <c:v>188.84835585825266</c:v>
                </c:pt>
                <c:pt idx="192">
                  <c:v>188.84835585825266</c:v>
                </c:pt>
                <c:pt idx="193">
                  <c:v>188.84835585825266</c:v>
                </c:pt>
                <c:pt idx="194">
                  <c:v>188.53251037565181</c:v>
                </c:pt>
                <c:pt idx="195">
                  <c:v>187.40704480153241</c:v>
                </c:pt>
                <c:pt idx="196">
                  <c:v>188.27923805469828</c:v>
                </c:pt>
                <c:pt idx="197">
                  <c:v>186.74725976375439</c:v>
                </c:pt>
                <c:pt idx="198">
                  <c:v>187.0920506544642</c:v>
                </c:pt>
                <c:pt idx="199">
                  <c:v>187.0920506544642</c:v>
                </c:pt>
                <c:pt idx="200">
                  <c:v>187.0920506544642</c:v>
                </c:pt>
                <c:pt idx="201">
                  <c:v>188.10897094817494</c:v>
                </c:pt>
                <c:pt idx="202">
                  <c:v>187.32105991273812</c:v>
                </c:pt>
                <c:pt idx="203">
                  <c:v>187.3559646695754</c:v>
                </c:pt>
                <c:pt idx="204">
                  <c:v>188.24305629456211</c:v>
                </c:pt>
                <c:pt idx="205">
                  <c:v>187.79567947217197</c:v>
                </c:pt>
                <c:pt idx="206">
                  <c:v>187.79567947217197</c:v>
                </c:pt>
                <c:pt idx="207">
                  <c:v>187.79567947217197</c:v>
                </c:pt>
                <c:pt idx="208">
                  <c:v>185.90954559965945</c:v>
                </c:pt>
                <c:pt idx="209">
                  <c:v>185.53538363307436</c:v>
                </c:pt>
                <c:pt idx="210">
                  <c:v>184.01872938171761</c:v>
                </c:pt>
                <c:pt idx="211">
                  <c:v>181.27019261466424</c:v>
                </c:pt>
                <c:pt idx="212">
                  <c:v>184.193253165904</c:v>
                </c:pt>
                <c:pt idx="213">
                  <c:v>184.193253165904</c:v>
                </c:pt>
                <c:pt idx="214">
                  <c:v>184.193253165904</c:v>
                </c:pt>
                <c:pt idx="215">
                  <c:v>185.59242311375971</c:v>
                </c:pt>
                <c:pt idx="216">
                  <c:v>186.1998510162818</c:v>
                </c:pt>
                <c:pt idx="217">
                  <c:v>185.98318612323081</c:v>
                </c:pt>
                <c:pt idx="218">
                  <c:v>186.63956581887837</c:v>
                </c:pt>
                <c:pt idx="219">
                  <c:v>185.99765882728531</c:v>
                </c:pt>
                <c:pt idx="220">
                  <c:v>185.99765882728531</c:v>
                </c:pt>
                <c:pt idx="221">
                  <c:v>185.99765882728531</c:v>
                </c:pt>
                <c:pt idx="222">
                  <c:v>183.92337980206449</c:v>
                </c:pt>
                <c:pt idx="223">
                  <c:v>185.51154623816112</c:v>
                </c:pt>
                <c:pt idx="224">
                  <c:v>184.89049696711717</c:v>
                </c:pt>
                <c:pt idx="225">
                  <c:v>185.26508460146854</c:v>
                </c:pt>
                <c:pt idx="226">
                  <c:v>185.26508460146854</c:v>
                </c:pt>
                <c:pt idx="227">
                  <c:v>185.26508460146854</c:v>
                </c:pt>
                <c:pt idx="228">
                  <c:v>185.26508460146854</c:v>
                </c:pt>
                <c:pt idx="229">
                  <c:v>183.88592103862933</c:v>
                </c:pt>
                <c:pt idx="230">
                  <c:v>182.9307225710333</c:v>
                </c:pt>
                <c:pt idx="231">
                  <c:v>182.68809194423753</c:v>
                </c:pt>
                <c:pt idx="232">
                  <c:v>182.63743748004683</c:v>
                </c:pt>
                <c:pt idx="233">
                  <c:v>182.21560072363519</c:v>
                </c:pt>
                <c:pt idx="234">
                  <c:v>182.21560072363519</c:v>
                </c:pt>
                <c:pt idx="235">
                  <c:v>182.21560072363519</c:v>
                </c:pt>
                <c:pt idx="236">
                  <c:v>181.61072682771095</c:v>
                </c:pt>
                <c:pt idx="237">
                  <c:v>180.56145578376078</c:v>
                </c:pt>
                <c:pt idx="238">
                  <c:v>180.75726295626262</c:v>
                </c:pt>
                <c:pt idx="239">
                  <c:v>179.83569224220494</c:v>
                </c:pt>
                <c:pt idx="240">
                  <c:v>177.35234649356178</c:v>
                </c:pt>
                <c:pt idx="241">
                  <c:v>177.35234649356178</c:v>
                </c:pt>
                <c:pt idx="242">
                  <c:v>177.35234649356178</c:v>
                </c:pt>
                <c:pt idx="243">
                  <c:v>179.71097158667661</c:v>
                </c:pt>
                <c:pt idx="244">
                  <c:v>179.78929445567732</c:v>
                </c:pt>
                <c:pt idx="245">
                  <c:v>180.76364797275727</c:v>
                </c:pt>
                <c:pt idx="246">
                  <c:v>181.12801958071722</c:v>
                </c:pt>
                <c:pt idx="247">
                  <c:v>180.79982973289347</c:v>
                </c:pt>
                <c:pt idx="248">
                  <c:v>180.79982973289347</c:v>
                </c:pt>
                <c:pt idx="249">
                  <c:v>180.79982973289347</c:v>
                </c:pt>
                <c:pt idx="250">
                  <c:v>180.44822815792276</c:v>
                </c:pt>
                <c:pt idx="251">
                  <c:v>179.61264233265936</c:v>
                </c:pt>
                <c:pt idx="252">
                  <c:v>179.94083218048314</c:v>
                </c:pt>
                <c:pt idx="253">
                  <c:v>179.90933276577633</c:v>
                </c:pt>
                <c:pt idx="254">
                  <c:v>180.05278280302227</c:v>
                </c:pt>
                <c:pt idx="255">
                  <c:v>180.05278280302227</c:v>
                </c:pt>
                <c:pt idx="256">
                  <c:v>180.05278280302227</c:v>
                </c:pt>
                <c:pt idx="257">
                  <c:v>178.47610939661595</c:v>
                </c:pt>
                <c:pt idx="258">
                  <c:v>179.12610407576886</c:v>
                </c:pt>
                <c:pt idx="259">
                  <c:v>178.86729807385336</c:v>
                </c:pt>
                <c:pt idx="260">
                  <c:v>178.95541130147919</c:v>
                </c:pt>
                <c:pt idx="261">
                  <c:v>178.95541130147919</c:v>
                </c:pt>
                <c:pt idx="262">
                  <c:v>178.95541130147919</c:v>
                </c:pt>
                <c:pt idx="263">
                  <c:v>178.95541130147919</c:v>
                </c:pt>
                <c:pt idx="264">
                  <c:v>178.81792061296159</c:v>
                </c:pt>
                <c:pt idx="265">
                  <c:v>178.60976907523678</c:v>
                </c:pt>
                <c:pt idx="266">
                  <c:v>178.27519421091839</c:v>
                </c:pt>
                <c:pt idx="267">
                  <c:v>178.65488985846548</c:v>
                </c:pt>
                <c:pt idx="268">
                  <c:v>176.90156432904115</c:v>
                </c:pt>
                <c:pt idx="269">
                  <c:v>176.90156432904115</c:v>
                </c:pt>
                <c:pt idx="270">
                  <c:v>176.90156432904115</c:v>
                </c:pt>
                <c:pt idx="271">
                  <c:v>177.0403320208577</c:v>
                </c:pt>
                <c:pt idx="272">
                  <c:v>175.19123124401406</c:v>
                </c:pt>
                <c:pt idx="273">
                  <c:v>175.70841758007873</c:v>
                </c:pt>
                <c:pt idx="274">
                  <c:v>177.21783547940834</c:v>
                </c:pt>
                <c:pt idx="275">
                  <c:v>177.66734064063002</c:v>
                </c:pt>
                <c:pt idx="276">
                  <c:v>177.66734064063002</c:v>
                </c:pt>
                <c:pt idx="277">
                  <c:v>177.66734064063002</c:v>
                </c:pt>
                <c:pt idx="278">
                  <c:v>175.05586889432797</c:v>
                </c:pt>
                <c:pt idx="279">
                  <c:v>172.95051612216665</c:v>
                </c:pt>
                <c:pt idx="280">
                  <c:v>176.74151324890923</c:v>
                </c:pt>
                <c:pt idx="281">
                  <c:v>178.28796424390765</c:v>
                </c:pt>
                <c:pt idx="282">
                  <c:v>180.16813876769183</c:v>
                </c:pt>
                <c:pt idx="283">
                  <c:v>180.16813876769183</c:v>
                </c:pt>
                <c:pt idx="284">
                  <c:v>180.16813876769183</c:v>
                </c:pt>
                <c:pt idx="285">
                  <c:v>178.8494200276684</c:v>
                </c:pt>
                <c:pt idx="286">
                  <c:v>177.40087261892094</c:v>
                </c:pt>
                <c:pt idx="287">
                  <c:v>177.27615196339258</c:v>
                </c:pt>
                <c:pt idx="288">
                  <c:v>178.46802170905607</c:v>
                </c:pt>
                <c:pt idx="289">
                  <c:v>177.97892944556776</c:v>
                </c:pt>
                <c:pt idx="290">
                  <c:v>177.97892944556776</c:v>
                </c:pt>
                <c:pt idx="291">
                  <c:v>177.97892944556776</c:v>
                </c:pt>
                <c:pt idx="292">
                  <c:v>179.26870277748219</c:v>
                </c:pt>
                <c:pt idx="293">
                  <c:v>178.06448866659574</c:v>
                </c:pt>
                <c:pt idx="294">
                  <c:v>178.21517505586891</c:v>
                </c:pt>
                <c:pt idx="295">
                  <c:v>178.25348515483665</c:v>
                </c:pt>
                <c:pt idx="296">
                  <c:v>177.93636266893688</c:v>
                </c:pt>
                <c:pt idx="297">
                  <c:v>177.93636266893688</c:v>
                </c:pt>
                <c:pt idx="298">
                  <c:v>177.93636266893688</c:v>
                </c:pt>
                <c:pt idx="299">
                  <c:v>176.01277003298924</c:v>
                </c:pt>
                <c:pt idx="300">
                  <c:v>177.64903692667872</c:v>
                </c:pt>
                <c:pt idx="301">
                  <c:v>176.01106736192401</c:v>
                </c:pt>
                <c:pt idx="302">
                  <c:v>177.21655847610941</c:v>
                </c:pt>
                <c:pt idx="303">
                  <c:v>178.16196658508034</c:v>
                </c:pt>
                <c:pt idx="304">
                  <c:v>178.16196658508034</c:v>
                </c:pt>
                <c:pt idx="305">
                  <c:v>178.16196658508034</c:v>
                </c:pt>
                <c:pt idx="306">
                  <c:v>177.52133659678623</c:v>
                </c:pt>
                <c:pt idx="307">
                  <c:v>175.57348089815898</c:v>
                </c:pt>
                <c:pt idx="308">
                  <c:v>176.29413642651909</c:v>
                </c:pt>
                <c:pt idx="309">
                  <c:v>175.71522826433969</c:v>
                </c:pt>
                <c:pt idx="310">
                  <c:v>175.74970735341066</c:v>
                </c:pt>
                <c:pt idx="311">
                  <c:v>175.74970735341066</c:v>
                </c:pt>
                <c:pt idx="312">
                  <c:v>175.74970735341066</c:v>
                </c:pt>
                <c:pt idx="313">
                  <c:v>174.40332020857721</c:v>
                </c:pt>
                <c:pt idx="314">
                  <c:v>173.67032031499414</c:v>
                </c:pt>
                <c:pt idx="315">
                  <c:v>173.4144939874428</c:v>
                </c:pt>
                <c:pt idx="316">
                  <c:v>173.58348409066721</c:v>
                </c:pt>
                <c:pt idx="317">
                  <c:v>171.11290837501329</c:v>
                </c:pt>
                <c:pt idx="318">
                  <c:v>171.11290837501329</c:v>
                </c:pt>
                <c:pt idx="319">
                  <c:v>171.11290837501329</c:v>
                </c:pt>
                <c:pt idx="320">
                  <c:v>171.11290837501329</c:v>
                </c:pt>
                <c:pt idx="321">
                  <c:v>169.11312120889644</c:v>
                </c:pt>
                <c:pt idx="322">
                  <c:v>168.50271363201023</c:v>
                </c:pt>
                <c:pt idx="323">
                  <c:v>169.03650101096096</c:v>
                </c:pt>
                <c:pt idx="324">
                  <c:v>169.18335639033734</c:v>
                </c:pt>
                <c:pt idx="325">
                  <c:v>169.18335639033734</c:v>
                </c:pt>
                <c:pt idx="326">
                  <c:v>169.18335639033734</c:v>
                </c:pt>
                <c:pt idx="327">
                  <c:v>166.41566457380014</c:v>
                </c:pt>
                <c:pt idx="328">
                  <c:v>165.54815366606363</c:v>
                </c:pt>
                <c:pt idx="329">
                  <c:v>166.45823135043099</c:v>
                </c:pt>
                <c:pt idx="330">
                  <c:v>167.73821432372034</c:v>
                </c:pt>
                <c:pt idx="331">
                  <c:v>166.56805363413855</c:v>
                </c:pt>
                <c:pt idx="332">
                  <c:v>166.56805363413855</c:v>
                </c:pt>
                <c:pt idx="333">
                  <c:v>166.56805363413855</c:v>
                </c:pt>
                <c:pt idx="334">
                  <c:v>166.66851122698733</c:v>
                </c:pt>
                <c:pt idx="335">
                  <c:v>169.16547834415238</c:v>
                </c:pt>
                <c:pt idx="336">
                  <c:v>168.67979142279449</c:v>
                </c:pt>
                <c:pt idx="337">
                  <c:v>168.94498244120464</c:v>
                </c:pt>
                <c:pt idx="338">
                  <c:v>167.85527295945514</c:v>
                </c:pt>
                <c:pt idx="339">
                  <c:v>167.85527295945514</c:v>
                </c:pt>
                <c:pt idx="340">
                  <c:v>167.85527295945514</c:v>
                </c:pt>
                <c:pt idx="341">
                  <c:v>167.68500585293179</c:v>
                </c:pt>
                <c:pt idx="342">
                  <c:v>165.95977439608384</c:v>
                </c:pt>
                <c:pt idx="343">
                  <c:v>164.96498882622112</c:v>
                </c:pt>
                <c:pt idx="344">
                  <c:v>162.66255187825902</c:v>
                </c:pt>
                <c:pt idx="345">
                  <c:v>163.53900180908801</c:v>
                </c:pt>
                <c:pt idx="346">
                  <c:v>163.53900180908801</c:v>
                </c:pt>
                <c:pt idx="347">
                  <c:v>163.53900180908801</c:v>
                </c:pt>
                <c:pt idx="348">
                  <c:v>160.41162073002022</c:v>
                </c:pt>
                <c:pt idx="349">
                  <c:v>162.59316803235072</c:v>
                </c:pt>
                <c:pt idx="350">
                  <c:v>164.74576992657231</c:v>
                </c:pt>
                <c:pt idx="351">
                  <c:v>166.08790039374267</c:v>
                </c:pt>
                <c:pt idx="352">
                  <c:v>162.22837075662446</c:v>
                </c:pt>
                <c:pt idx="353">
                  <c:v>162.22837075662446</c:v>
                </c:pt>
                <c:pt idx="354">
                  <c:v>162.22837075662446</c:v>
                </c:pt>
                <c:pt idx="355">
                  <c:v>163.00266042353942</c:v>
                </c:pt>
                <c:pt idx="356">
                  <c:v>167.09290198999679</c:v>
                </c:pt>
                <c:pt idx="357">
                  <c:v>165.217409811642</c:v>
                </c:pt>
                <c:pt idx="358">
                  <c:v>165.01010960944981</c:v>
                </c:pt>
                <c:pt idx="359">
                  <c:v>166.29605193146747</c:v>
                </c:pt>
                <c:pt idx="360">
                  <c:v>166.29605193146747</c:v>
                </c:pt>
                <c:pt idx="361">
                  <c:v>166.29605193146747</c:v>
                </c:pt>
                <c:pt idx="362">
                  <c:v>166.6050867298074</c:v>
                </c:pt>
                <c:pt idx="363">
                  <c:v>167.34404597211875</c:v>
                </c:pt>
                <c:pt idx="364">
                  <c:v>167.3976801106736</c:v>
                </c:pt>
                <c:pt idx="365">
                  <c:v>167.49302969032669</c:v>
                </c:pt>
                <c:pt idx="366">
                  <c:v>167.49302969032669</c:v>
                </c:pt>
                <c:pt idx="367">
                  <c:v>167.49302969032669</c:v>
                </c:pt>
                <c:pt idx="368">
                  <c:v>167.49302969032669</c:v>
                </c:pt>
                <c:pt idx="369">
                  <c:v>166.70767266148772</c:v>
                </c:pt>
                <c:pt idx="370">
                  <c:v>166.43098861338726</c:v>
                </c:pt>
                <c:pt idx="371">
                  <c:v>166.48845376183888</c:v>
                </c:pt>
                <c:pt idx="372">
                  <c:v>166.67404490794934</c:v>
                </c:pt>
                <c:pt idx="373">
                  <c:v>165.44982441204638</c:v>
                </c:pt>
                <c:pt idx="374">
                  <c:v>165.44982441204638</c:v>
                </c:pt>
                <c:pt idx="375">
                  <c:v>165.44982441204638</c:v>
                </c:pt>
                <c:pt idx="376">
                  <c:v>164.80749175268701</c:v>
                </c:pt>
                <c:pt idx="377">
                  <c:v>163.03799084814304</c:v>
                </c:pt>
                <c:pt idx="378">
                  <c:v>162.87368309034798</c:v>
                </c:pt>
                <c:pt idx="379">
                  <c:v>160.64105565606047</c:v>
                </c:pt>
                <c:pt idx="380">
                  <c:v>158.10322443332979</c:v>
                </c:pt>
                <c:pt idx="381">
                  <c:v>158.10322443332979</c:v>
                </c:pt>
                <c:pt idx="382">
                  <c:v>158.10322443332979</c:v>
                </c:pt>
                <c:pt idx="383">
                  <c:v>161.21655847610941</c:v>
                </c:pt>
                <c:pt idx="384">
                  <c:v>159.65818878365437</c:v>
                </c:pt>
                <c:pt idx="385">
                  <c:v>163.86591465361283</c:v>
                </c:pt>
                <c:pt idx="386">
                  <c:v>164.11024795147389</c:v>
                </c:pt>
                <c:pt idx="387">
                  <c:v>163.51899542407151</c:v>
                </c:pt>
                <c:pt idx="388">
                  <c:v>163.51899542407151</c:v>
                </c:pt>
                <c:pt idx="389">
                  <c:v>163.51899542407151</c:v>
                </c:pt>
                <c:pt idx="390">
                  <c:v>164.01277003298927</c:v>
                </c:pt>
                <c:pt idx="391">
                  <c:v>163.96083856549964</c:v>
                </c:pt>
                <c:pt idx="392">
                  <c:v>161.70735341066299</c:v>
                </c:pt>
                <c:pt idx="393">
                  <c:v>160.40225603916141</c:v>
                </c:pt>
                <c:pt idx="394">
                  <c:v>160.40225603916141</c:v>
                </c:pt>
                <c:pt idx="395">
                  <c:v>160.40225603916141</c:v>
                </c:pt>
                <c:pt idx="396">
                  <c:v>160.40225603916141</c:v>
                </c:pt>
                <c:pt idx="397">
                  <c:v>161.56390337341705</c:v>
                </c:pt>
                <c:pt idx="398">
                  <c:v>162.17260827923806</c:v>
                </c:pt>
                <c:pt idx="399">
                  <c:v>161.80440566138131</c:v>
                </c:pt>
                <c:pt idx="400">
                  <c:v>161.73715015430457</c:v>
                </c:pt>
                <c:pt idx="401">
                  <c:v>162.8042992444397</c:v>
                </c:pt>
                <c:pt idx="402">
                  <c:v>162.8042992444397</c:v>
                </c:pt>
                <c:pt idx="403">
                  <c:v>162.8042992444397</c:v>
                </c:pt>
                <c:pt idx="404">
                  <c:v>161.91507928062148</c:v>
                </c:pt>
                <c:pt idx="405">
                  <c:v>159.54623816111524</c:v>
                </c:pt>
                <c:pt idx="406">
                  <c:v>158.64041715441098</c:v>
                </c:pt>
                <c:pt idx="407">
                  <c:v>157.52474193891669</c:v>
                </c:pt>
                <c:pt idx="408">
                  <c:v>159.88379269979782</c:v>
                </c:pt>
                <c:pt idx="409">
                  <c:v>159.88379269979782</c:v>
                </c:pt>
                <c:pt idx="410">
                  <c:v>159.88379269979782</c:v>
                </c:pt>
                <c:pt idx="411">
                  <c:v>159.88379269979782</c:v>
                </c:pt>
                <c:pt idx="412">
                  <c:v>158.86091305735872</c:v>
                </c:pt>
                <c:pt idx="413">
                  <c:v>158.64807917420453</c:v>
                </c:pt>
                <c:pt idx="414">
                  <c:v>159.00223475577315</c:v>
                </c:pt>
                <c:pt idx="415">
                  <c:v>157.62732787059699</c:v>
                </c:pt>
                <c:pt idx="416">
                  <c:v>157.62732787059699</c:v>
                </c:pt>
                <c:pt idx="417">
                  <c:v>157.62732787059699</c:v>
                </c:pt>
                <c:pt idx="418">
                  <c:v>157.62732787059699</c:v>
                </c:pt>
                <c:pt idx="419">
                  <c:v>157.07183143556455</c:v>
                </c:pt>
                <c:pt idx="420">
                  <c:v>156.95477279982975</c:v>
                </c:pt>
                <c:pt idx="421">
                  <c:v>157.28083430882197</c:v>
                </c:pt>
                <c:pt idx="422">
                  <c:v>157.8976269022028</c:v>
                </c:pt>
                <c:pt idx="423">
                  <c:v>157.8976269022028</c:v>
                </c:pt>
                <c:pt idx="424">
                  <c:v>157.8976269022028</c:v>
                </c:pt>
                <c:pt idx="425">
                  <c:v>158.45397467276788</c:v>
                </c:pt>
                <c:pt idx="426">
                  <c:v>157.54687666276473</c:v>
                </c:pt>
                <c:pt idx="427">
                  <c:v>157.2680642758327</c:v>
                </c:pt>
                <c:pt idx="428">
                  <c:v>155.26189209322123</c:v>
                </c:pt>
                <c:pt idx="429">
                  <c:v>155.94168351601576</c:v>
                </c:pt>
                <c:pt idx="430">
                  <c:v>155.94168351601576</c:v>
                </c:pt>
                <c:pt idx="431">
                  <c:v>155.94168351601576</c:v>
                </c:pt>
                <c:pt idx="432">
                  <c:v>156.13919335958283</c:v>
                </c:pt>
                <c:pt idx="433">
                  <c:v>156.34010854528043</c:v>
                </c:pt>
                <c:pt idx="434">
                  <c:v>157.59284878152602</c:v>
                </c:pt>
                <c:pt idx="435">
                  <c:v>157.15483664999468</c:v>
                </c:pt>
                <c:pt idx="436">
                  <c:v>157.45961477067149</c:v>
                </c:pt>
                <c:pt idx="437">
                  <c:v>157.45961477067149</c:v>
                </c:pt>
                <c:pt idx="438">
                  <c:v>157.45961477067149</c:v>
                </c:pt>
                <c:pt idx="439">
                  <c:v>156.08045120783228</c:v>
                </c:pt>
                <c:pt idx="440">
                  <c:v>156.17792912631691</c:v>
                </c:pt>
                <c:pt idx="441">
                  <c:v>155.8986910716186</c:v>
                </c:pt>
                <c:pt idx="442">
                  <c:v>154.16111524954775</c:v>
                </c:pt>
                <c:pt idx="443">
                  <c:v>154.87283175481537</c:v>
                </c:pt>
                <c:pt idx="444">
                  <c:v>154.87283175481537</c:v>
                </c:pt>
                <c:pt idx="445">
                  <c:v>154.87283175481537</c:v>
                </c:pt>
                <c:pt idx="446">
                  <c:v>154.50250079812707</c:v>
                </c:pt>
                <c:pt idx="447">
                  <c:v>154.50250079812707</c:v>
                </c:pt>
                <c:pt idx="448">
                  <c:v>154.74768543152069</c:v>
                </c:pt>
                <c:pt idx="449">
                  <c:v>152.28647440672555</c:v>
                </c:pt>
                <c:pt idx="450">
                  <c:v>151.43301053527722</c:v>
                </c:pt>
                <c:pt idx="451">
                  <c:v>151.43301053527722</c:v>
                </c:pt>
                <c:pt idx="452">
                  <c:v>151.43301053527722</c:v>
                </c:pt>
                <c:pt idx="453">
                  <c:v>152.46866021070554</c:v>
                </c:pt>
                <c:pt idx="454">
                  <c:v>151.86931999574333</c:v>
                </c:pt>
                <c:pt idx="455">
                  <c:v>153.64605725231456</c:v>
                </c:pt>
                <c:pt idx="456">
                  <c:v>154.38586783015856</c:v>
                </c:pt>
                <c:pt idx="457">
                  <c:v>152.60827923805471</c:v>
                </c:pt>
                <c:pt idx="458">
                  <c:v>152.60827923805471</c:v>
                </c:pt>
                <c:pt idx="459">
                  <c:v>152.60827923805471</c:v>
                </c:pt>
                <c:pt idx="460">
                  <c:v>150.55911461104608</c:v>
                </c:pt>
                <c:pt idx="461">
                  <c:v>152.07662019793551</c:v>
                </c:pt>
                <c:pt idx="462">
                  <c:v>150.92178354794083</c:v>
                </c:pt>
                <c:pt idx="463">
                  <c:v>151.13334042779613</c:v>
                </c:pt>
                <c:pt idx="464">
                  <c:v>149.38554857933383</c:v>
                </c:pt>
                <c:pt idx="465">
                  <c:v>149.38554857933383</c:v>
                </c:pt>
                <c:pt idx="466">
                  <c:v>149.38554857933383</c:v>
                </c:pt>
                <c:pt idx="467">
                  <c:v>149.42854102373099</c:v>
                </c:pt>
                <c:pt idx="468">
                  <c:v>146.57614132169843</c:v>
                </c:pt>
                <c:pt idx="469">
                  <c:v>143.41428115355964</c:v>
                </c:pt>
                <c:pt idx="470">
                  <c:v>140.90624667447057</c:v>
                </c:pt>
                <c:pt idx="471">
                  <c:v>139.19165691178034</c:v>
                </c:pt>
                <c:pt idx="472">
                  <c:v>139.19165691178034</c:v>
                </c:pt>
                <c:pt idx="473">
                  <c:v>139.19165691178034</c:v>
                </c:pt>
                <c:pt idx="474">
                  <c:v>140.90071299350856</c:v>
                </c:pt>
                <c:pt idx="475">
                  <c:v>139.23720336277538</c:v>
                </c:pt>
                <c:pt idx="476">
                  <c:v>144.33031818665532</c:v>
                </c:pt>
                <c:pt idx="477">
                  <c:v>144.76833031818666</c:v>
                </c:pt>
                <c:pt idx="478">
                  <c:v>147.51048206874532</c:v>
                </c:pt>
                <c:pt idx="479">
                  <c:v>147.51048206874532</c:v>
                </c:pt>
                <c:pt idx="480">
                  <c:v>147.51048206874532</c:v>
                </c:pt>
                <c:pt idx="481">
                  <c:v>147.00393742683835</c:v>
                </c:pt>
                <c:pt idx="482">
                  <c:v>146.24071512184739</c:v>
                </c:pt>
                <c:pt idx="483">
                  <c:v>146.56251995317655</c:v>
                </c:pt>
                <c:pt idx="484">
                  <c:v>145.87293817175694</c:v>
                </c:pt>
                <c:pt idx="485">
                  <c:v>148.2945620942854</c:v>
                </c:pt>
                <c:pt idx="486">
                  <c:v>148.2945620942854</c:v>
                </c:pt>
                <c:pt idx="487">
                  <c:v>148.2945620942854</c:v>
                </c:pt>
                <c:pt idx="488">
                  <c:v>148.27455570926892</c:v>
                </c:pt>
                <c:pt idx="489">
                  <c:v>148.5014366287113</c:v>
                </c:pt>
                <c:pt idx="490">
                  <c:v>149.49153985314462</c:v>
                </c:pt>
                <c:pt idx="491">
                  <c:v>150.44035330424603</c:v>
                </c:pt>
                <c:pt idx="492">
                  <c:v>148.01021602639142</c:v>
                </c:pt>
                <c:pt idx="493">
                  <c:v>148.01021602639142</c:v>
                </c:pt>
                <c:pt idx="494">
                  <c:v>148.01021602639142</c:v>
                </c:pt>
                <c:pt idx="495">
                  <c:v>146.72044269447696</c:v>
                </c:pt>
                <c:pt idx="496">
                  <c:v>145.55496435032455</c:v>
                </c:pt>
                <c:pt idx="497">
                  <c:v>143.06480791742044</c:v>
                </c:pt>
                <c:pt idx="498">
                  <c:v>145.0943918271789</c:v>
                </c:pt>
                <c:pt idx="499">
                  <c:v>142.53229754176866</c:v>
                </c:pt>
                <c:pt idx="500">
                  <c:v>142.53229754176866</c:v>
                </c:pt>
                <c:pt idx="501">
                  <c:v>142.53229754176866</c:v>
                </c:pt>
                <c:pt idx="502">
                  <c:v>143.90975843354263</c:v>
                </c:pt>
                <c:pt idx="503">
                  <c:v>143.15206980951368</c:v>
                </c:pt>
                <c:pt idx="504">
                  <c:v>141.98020644886665</c:v>
                </c:pt>
                <c:pt idx="505">
                  <c:v>142.6668085559221</c:v>
                </c:pt>
                <c:pt idx="506">
                  <c:v>140.40481004575929</c:v>
                </c:pt>
                <c:pt idx="507">
                  <c:v>140.40481004575929</c:v>
                </c:pt>
                <c:pt idx="508">
                  <c:v>140.40481004575929</c:v>
                </c:pt>
                <c:pt idx="509">
                  <c:v>138.19687134191764</c:v>
                </c:pt>
                <c:pt idx="510">
                  <c:v>137.78525061189742</c:v>
                </c:pt>
                <c:pt idx="511">
                  <c:v>141.13312759391297</c:v>
                </c:pt>
                <c:pt idx="512">
                  <c:v>139.66414813238268</c:v>
                </c:pt>
                <c:pt idx="513">
                  <c:v>141.29913802277321</c:v>
                </c:pt>
                <c:pt idx="514">
                  <c:v>141.29913802277321</c:v>
                </c:pt>
                <c:pt idx="515">
                  <c:v>141.29913802277321</c:v>
                </c:pt>
                <c:pt idx="516">
                  <c:v>142.89709481749495</c:v>
                </c:pt>
                <c:pt idx="517">
                  <c:v>144.10939661594125</c:v>
                </c:pt>
                <c:pt idx="518">
                  <c:v>144.77812067681174</c:v>
                </c:pt>
                <c:pt idx="519">
                  <c:v>144.02639140151112</c:v>
                </c:pt>
                <c:pt idx="520">
                  <c:v>142.21432372033627</c:v>
                </c:pt>
                <c:pt idx="521">
                  <c:v>142.21432372033627</c:v>
                </c:pt>
                <c:pt idx="522">
                  <c:v>142.21432372033627</c:v>
                </c:pt>
                <c:pt idx="523">
                  <c:v>142.1385548579334</c:v>
                </c:pt>
                <c:pt idx="524">
                  <c:v>144.68277109715868</c:v>
                </c:pt>
                <c:pt idx="525">
                  <c:v>141.82568904969673</c:v>
                </c:pt>
                <c:pt idx="526">
                  <c:v>145.87464084282217</c:v>
                </c:pt>
                <c:pt idx="527">
                  <c:v>145.87464084282217</c:v>
                </c:pt>
                <c:pt idx="528">
                  <c:v>145.87464084282217</c:v>
                </c:pt>
                <c:pt idx="529">
                  <c:v>145.87464084282217</c:v>
                </c:pt>
                <c:pt idx="530">
                  <c:v>147.07076726614875</c:v>
                </c:pt>
                <c:pt idx="531">
                  <c:v>152.42481643077579</c:v>
                </c:pt>
                <c:pt idx="532">
                  <c:v>150.11812280515059</c:v>
                </c:pt>
                <c:pt idx="533">
                  <c:v>148.99691390869427</c:v>
                </c:pt>
                <c:pt idx="534">
                  <c:v>149.32467808875174</c:v>
                </c:pt>
                <c:pt idx="535">
                  <c:v>149.32467808875174</c:v>
                </c:pt>
                <c:pt idx="536">
                  <c:v>149.32467808875174</c:v>
                </c:pt>
                <c:pt idx="537">
                  <c:v>148.32606150899224</c:v>
                </c:pt>
                <c:pt idx="538">
                  <c:v>148.07832286900074</c:v>
                </c:pt>
                <c:pt idx="539">
                  <c:v>146.58380334149197</c:v>
                </c:pt>
                <c:pt idx="540">
                  <c:v>146.0585293178674</c:v>
                </c:pt>
                <c:pt idx="541">
                  <c:v>144.60615089922314</c:v>
                </c:pt>
                <c:pt idx="542">
                  <c:v>144.60615089922314</c:v>
                </c:pt>
                <c:pt idx="543">
                  <c:v>144.60615089922314</c:v>
                </c:pt>
                <c:pt idx="544">
                  <c:v>144.11024795147389</c:v>
                </c:pt>
                <c:pt idx="545">
                  <c:v>143.65648611258911</c:v>
                </c:pt>
                <c:pt idx="546">
                  <c:v>144.29200808768755</c:v>
                </c:pt>
                <c:pt idx="547">
                  <c:v>143.96041289773331</c:v>
                </c:pt>
                <c:pt idx="548">
                  <c:v>143.57135255932744</c:v>
                </c:pt>
                <c:pt idx="549">
                  <c:v>143.57135255932744</c:v>
                </c:pt>
                <c:pt idx="550">
                  <c:v>143.57135255932744</c:v>
                </c:pt>
                <c:pt idx="551">
                  <c:v>143.59604128977332</c:v>
                </c:pt>
                <c:pt idx="552">
                  <c:v>143.89060338405875</c:v>
                </c:pt>
                <c:pt idx="553">
                  <c:v>141.90443758646376</c:v>
                </c:pt>
                <c:pt idx="554">
                  <c:v>143.04437586463766</c:v>
                </c:pt>
                <c:pt idx="555">
                  <c:v>142.65318718740022</c:v>
                </c:pt>
                <c:pt idx="556">
                  <c:v>142.65318718740022</c:v>
                </c:pt>
                <c:pt idx="557">
                  <c:v>142.65318718740022</c:v>
                </c:pt>
                <c:pt idx="558">
                  <c:v>142.56294562094286</c:v>
                </c:pt>
                <c:pt idx="559">
                  <c:v>141.65244226880921</c:v>
                </c:pt>
                <c:pt idx="560">
                  <c:v>140.74747259763757</c:v>
                </c:pt>
                <c:pt idx="561">
                  <c:v>140.24092795573054</c:v>
                </c:pt>
                <c:pt idx="562">
                  <c:v>139.24103437267212</c:v>
                </c:pt>
                <c:pt idx="563">
                  <c:v>139.24103437267212</c:v>
                </c:pt>
                <c:pt idx="564">
                  <c:v>139.24103437267212</c:v>
                </c:pt>
                <c:pt idx="565">
                  <c:v>138.18112163456422</c:v>
                </c:pt>
                <c:pt idx="566">
                  <c:v>138.70128764499307</c:v>
                </c:pt>
                <c:pt idx="567">
                  <c:v>136.9986165797595</c:v>
                </c:pt>
                <c:pt idx="568">
                  <c:v>137.89124188570821</c:v>
                </c:pt>
                <c:pt idx="569">
                  <c:v>136.87900393742686</c:v>
                </c:pt>
                <c:pt idx="570">
                  <c:v>136.87900393742686</c:v>
                </c:pt>
                <c:pt idx="571">
                  <c:v>136.87900393742686</c:v>
                </c:pt>
                <c:pt idx="572">
                  <c:v>137.73161647334257</c:v>
                </c:pt>
                <c:pt idx="573">
                  <c:v>139.44961157816326</c:v>
                </c:pt>
                <c:pt idx="574">
                  <c:v>138.65276151963394</c:v>
                </c:pt>
                <c:pt idx="575">
                  <c:v>138.42034691922956</c:v>
                </c:pt>
                <c:pt idx="576">
                  <c:v>137.2663616047675</c:v>
                </c:pt>
                <c:pt idx="577">
                  <c:v>137.2663616047675</c:v>
                </c:pt>
                <c:pt idx="578">
                  <c:v>137.2663616047675</c:v>
                </c:pt>
                <c:pt idx="579">
                  <c:v>136.87644993082898</c:v>
                </c:pt>
                <c:pt idx="580">
                  <c:v>137.3442588060019</c:v>
                </c:pt>
                <c:pt idx="581">
                  <c:v>136.10811961264233</c:v>
                </c:pt>
                <c:pt idx="582">
                  <c:v>134.30754496115779</c:v>
                </c:pt>
                <c:pt idx="583">
                  <c:v>135.57688624028944</c:v>
                </c:pt>
                <c:pt idx="584">
                  <c:v>135.57688624028944</c:v>
                </c:pt>
                <c:pt idx="585">
                  <c:v>135.57688624028944</c:v>
                </c:pt>
                <c:pt idx="586">
                  <c:v>134.17260827923806</c:v>
                </c:pt>
                <c:pt idx="587">
                  <c:v>134.93412791316376</c:v>
                </c:pt>
                <c:pt idx="588">
                  <c:v>133.88613387251252</c:v>
                </c:pt>
                <c:pt idx="589">
                  <c:v>135.35043098861337</c:v>
                </c:pt>
                <c:pt idx="590">
                  <c:v>133.23443652229437</c:v>
                </c:pt>
                <c:pt idx="591">
                  <c:v>133.23443652229437</c:v>
                </c:pt>
                <c:pt idx="592">
                  <c:v>133.23443652229437</c:v>
                </c:pt>
                <c:pt idx="593">
                  <c:v>133.23443652229437</c:v>
                </c:pt>
                <c:pt idx="594">
                  <c:v>132.63211663296798</c:v>
                </c:pt>
                <c:pt idx="595">
                  <c:v>131.9693519208258</c:v>
                </c:pt>
                <c:pt idx="596">
                  <c:v>129.96658508034477</c:v>
                </c:pt>
                <c:pt idx="597">
                  <c:v>128.08555922102801</c:v>
                </c:pt>
                <c:pt idx="598">
                  <c:v>128.08555922102801</c:v>
                </c:pt>
                <c:pt idx="599">
                  <c:v>128.08555922102801</c:v>
                </c:pt>
                <c:pt idx="600">
                  <c:v>131.26572310311801</c:v>
                </c:pt>
                <c:pt idx="601">
                  <c:v>129.84271576034905</c:v>
                </c:pt>
                <c:pt idx="602">
                  <c:v>133.28892199638182</c:v>
                </c:pt>
                <c:pt idx="603">
                  <c:v>132.71725018622965</c:v>
                </c:pt>
                <c:pt idx="604">
                  <c:v>131.86080664041714</c:v>
                </c:pt>
                <c:pt idx="605">
                  <c:v>131.86080664041714</c:v>
                </c:pt>
                <c:pt idx="606">
                  <c:v>131.86080664041714</c:v>
                </c:pt>
                <c:pt idx="607">
                  <c:v>132.60998190911994</c:v>
                </c:pt>
                <c:pt idx="608">
                  <c:v>132.53123337235286</c:v>
                </c:pt>
                <c:pt idx="609">
                  <c:v>133.01010960944981</c:v>
                </c:pt>
                <c:pt idx="610">
                  <c:v>130.5348515483665</c:v>
                </c:pt>
                <c:pt idx="611">
                  <c:v>129.45876343513888</c:v>
                </c:pt>
                <c:pt idx="612">
                  <c:v>129.45876343513888</c:v>
                </c:pt>
                <c:pt idx="613">
                  <c:v>129.45876343513888</c:v>
                </c:pt>
                <c:pt idx="614">
                  <c:v>127.78972012344366</c:v>
                </c:pt>
                <c:pt idx="615">
                  <c:v>135.79397680110674</c:v>
                </c:pt>
                <c:pt idx="616">
                  <c:v>136.51931467489624</c:v>
                </c:pt>
                <c:pt idx="617">
                  <c:v>137.59242311375971</c:v>
                </c:pt>
                <c:pt idx="618">
                  <c:v>135.95530488453761</c:v>
                </c:pt>
                <c:pt idx="619">
                  <c:v>135.95530488453761</c:v>
                </c:pt>
                <c:pt idx="620">
                  <c:v>135.95530488453761</c:v>
                </c:pt>
                <c:pt idx="621">
                  <c:v>132.48270724699373</c:v>
                </c:pt>
                <c:pt idx="622">
                  <c:v>132.93050973715015</c:v>
                </c:pt>
                <c:pt idx="623">
                  <c:v>131.14057677982336</c:v>
                </c:pt>
                <c:pt idx="624">
                  <c:v>130.07257635415559</c:v>
                </c:pt>
                <c:pt idx="625">
                  <c:v>129.5864637650314</c:v>
                </c:pt>
                <c:pt idx="626">
                  <c:v>129.5864637650314</c:v>
                </c:pt>
                <c:pt idx="627">
                  <c:v>129.5864637650314</c:v>
                </c:pt>
                <c:pt idx="628">
                  <c:v>128.96584016175373</c:v>
                </c:pt>
                <c:pt idx="629">
                  <c:v>129.23826753219112</c:v>
                </c:pt>
                <c:pt idx="630">
                  <c:v>127.35000532084709</c:v>
                </c:pt>
                <c:pt idx="631">
                  <c:v>125.80397999361497</c:v>
                </c:pt>
                <c:pt idx="632">
                  <c:v>125.80397999361497</c:v>
                </c:pt>
                <c:pt idx="633">
                  <c:v>125.80397999361497</c:v>
                </c:pt>
                <c:pt idx="634">
                  <c:v>125.80397999361497</c:v>
                </c:pt>
                <c:pt idx="635">
                  <c:v>125.50856656379696</c:v>
                </c:pt>
                <c:pt idx="636">
                  <c:v>126.49185910396936</c:v>
                </c:pt>
                <c:pt idx="637">
                  <c:v>124.42013408534638</c:v>
                </c:pt>
                <c:pt idx="638">
                  <c:v>125.73842715760348</c:v>
                </c:pt>
                <c:pt idx="639">
                  <c:v>121.89847823773543</c:v>
                </c:pt>
                <c:pt idx="640">
                  <c:v>121.89847823773543</c:v>
                </c:pt>
                <c:pt idx="641">
                  <c:v>121.89847823773543</c:v>
                </c:pt>
                <c:pt idx="642">
                  <c:v>121.42173033947003</c:v>
                </c:pt>
                <c:pt idx="643">
                  <c:v>120.03831009896774</c:v>
                </c:pt>
                <c:pt idx="644">
                  <c:v>122.17175694370543</c:v>
                </c:pt>
                <c:pt idx="645">
                  <c:v>124.73427689688199</c:v>
                </c:pt>
                <c:pt idx="646">
                  <c:v>124.71214217303395</c:v>
                </c:pt>
                <c:pt idx="647">
                  <c:v>124.71214217303395</c:v>
                </c:pt>
                <c:pt idx="648">
                  <c:v>124.71214217303395</c:v>
                </c:pt>
                <c:pt idx="649">
                  <c:v>122.64297116100884</c:v>
                </c:pt>
                <c:pt idx="650">
                  <c:v>121.24805789081623</c:v>
                </c:pt>
                <c:pt idx="651">
                  <c:v>122.10024475896563</c:v>
                </c:pt>
                <c:pt idx="652">
                  <c:v>121.00627859955304</c:v>
                </c:pt>
                <c:pt idx="653">
                  <c:v>120.49420027668405</c:v>
                </c:pt>
                <c:pt idx="654">
                  <c:v>120.49420027668405</c:v>
                </c:pt>
                <c:pt idx="655">
                  <c:v>120.49420027668405</c:v>
                </c:pt>
                <c:pt idx="656">
                  <c:v>123.97275726295625</c:v>
                </c:pt>
                <c:pt idx="657">
                  <c:v>125.1254655741194</c:v>
                </c:pt>
                <c:pt idx="658">
                  <c:v>121.88528253697987</c:v>
                </c:pt>
                <c:pt idx="659">
                  <c:v>122.52761519633926</c:v>
                </c:pt>
                <c:pt idx="660">
                  <c:v>120.750877939768</c:v>
                </c:pt>
                <c:pt idx="661">
                  <c:v>120.750877939768</c:v>
                </c:pt>
                <c:pt idx="662">
                  <c:v>120.750877939768</c:v>
                </c:pt>
                <c:pt idx="663">
                  <c:v>119.09332765776313</c:v>
                </c:pt>
                <c:pt idx="664">
                  <c:v>119.15760349047568</c:v>
                </c:pt>
                <c:pt idx="665">
                  <c:v>116.4865382568905</c:v>
                </c:pt>
                <c:pt idx="666">
                  <c:v>120.1728211131212</c:v>
                </c:pt>
                <c:pt idx="667">
                  <c:v>122.36075343194636</c:v>
                </c:pt>
                <c:pt idx="668">
                  <c:v>122.36075343194636</c:v>
                </c:pt>
                <c:pt idx="669">
                  <c:v>122.36075343194636</c:v>
                </c:pt>
                <c:pt idx="670">
                  <c:v>119.1678195168671</c:v>
                </c:pt>
                <c:pt idx="671">
                  <c:v>118.4786634032138</c:v>
                </c:pt>
                <c:pt idx="672">
                  <c:v>121.14760029796743</c:v>
                </c:pt>
                <c:pt idx="673">
                  <c:v>117.55368734702564</c:v>
                </c:pt>
                <c:pt idx="674">
                  <c:v>118.75364478024902</c:v>
                </c:pt>
                <c:pt idx="675">
                  <c:v>118.75364478024902</c:v>
                </c:pt>
                <c:pt idx="676">
                  <c:v>118.75364478024902</c:v>
                </c:pt>
                <c:pt idx="677">
                  <c:v>118.75364478024902</c:v>
                </c:pt>
                <c:pt idx="678">
                  <c:v>117.05778439927637</c:v>
                </c:pt>
                <c:pt idx="679">
                  <c:v>113.20251143982121</c:v>
                </c:pt>
                <c:pt idx="680">
                  <c:v>113.38427157603491</c:v>
                </c:pt>
                <c:pt idx="681">
                  <c:v>105.93380866233906</c:v>
                </c:pt>
                <c:pt idx="682">
                  <c:v>105.93380866233906</c:v>
                </c:pt>
                <c:pt idx="683">
                  <c:v>105.93380866233906</c:v>
                </c:pt>
                <c:pt idx="684">
                  <c:v>107.56198786846866</c:v>
                </c:pt>
                <c:pt idx="685">
                  <c:v>105.16122166648931</c:v>
                </c:pt>
                <c:pt idx="686">
                  <c:v>110.01766521230181</c:v>
                </c:pt>
                <c:pt idx="687">
                  <c:v>111.80802383739493</c:v>
                </c:pt>
                <c:pt idx="688">
                  <c:v>108.18218580397998</c:v>
                </c:pt>
                <c:pt idx="689">
                  <c:v>108.18218580397998</c:v>
                </c:pt>
                <c:pt idx="690">
                  <c:v>108.18218580397998</c:v>
                </c:pt>
                <c:pt idx="691">
                  <c:v>111.95360221347239</c:v>
                </c:pt>
                <c:pt idx="692">
                  <c:v>105.37660955624135</c:v>
                </c:pt>
                <c:pt idx="693">
                  <c:v>104.17494945195276</c:v>
                </c:pt>
                <c:pt idx="694">
                  <c:v>95.238906033840593</c:v>
                </c:pt>
                <c:pt idx="695">
                  <c:v>98.113014791954882</c:v>
                </c:pt>
                <c:pt idx="696">
                  <c:v>98.113014791954882</c:v>
                </c:pt>
                <c:pt idx="697">
                  <c:v>98.113014791954882</c:v>
                </c:pt>
                <c:pt idx="698">
                  <c:v>102.55996594657869</c:v>
                </c:pt>
                <c:pt idx="699">
                  <c:v>102.0793870384165</c:v>
                </c:pt>
                <c:pt idx="700">
                  <c:v>107.65946578695329</c:v>
                </c:pt>
                <c:pt idx="701">
                  <c:v>101.56986272214536</c:v>
                </c:pt>
                <c:pt idx="702">
                  <c:v>115.39938278173885</c:v>
                </c:pt>
                <c:pt idx="703">
                  <c:v>115.39938278173885</c:v>
                </c:pt>
                <c:pt idx="704">
                  <c:v>115.39938278173885</c:v>
                </c:pt>
                <c:pt idx="705">
                  <c:v>105.59284878152602</c:v>
                </c:pt>
                <c:pt idx="706">
                  <c:v>116.69171012025114</c:v>
                </c:pt>
                <c:pt idx="707">
                  <c:v>122.68724060870491</c:v>
                </c:pt>
                <c:pt idx="708">
                  <c:v>116.91220602319889</c:v>
                </c:pt>
                <c:pt idx="709">
                  <c:v>126.52420985420878</c:v>
                </c:pt>
                <c:pt idx="710">
                  <c:v>126.52420985420878</c:v>
                </c:pt>
                <c:pt idx="711">
                  <c:v>126.52420985420878</c:v>
                </c:pt>
                <c:pt idx="712">
                  <c:v>128.71937852506119</c:v>
                </c:pt>
                <c:pt idx="713">
                  <c:v>133.23911886772373</c:v>
                </c:pt>
                <c:pt idx="714">
                  <c:v>127.84377992976481</c:v>
                </c:pt>
                <c:pt idx="715">
                  <c:v>131.54113014791955</c:v>
                </c:pt>
                <c:pt idx="716">
                  <c:v>125.75162285835904</c:v>
                </c:pt>
                <c:pt idx="717">
                  <c:v>125.75162285835904</c:v>
                </c:pt>
                <c:pt idx="718">
                  <c:v>125.75162285835904</c:v>
                </c:pt>
                <c:pt idx="719">
                  <c:v>126.79621155687985</c:v>
                </c:pt>
                <c:pt idx="720">
                  <c:v>132.65467702458233</c:v>
                </c:pt>
                <c:pt idx="721">
                  <c:v>133.15781632435883</c:v>
                </c:pt>
                <c:pt idx="722">
                  <c:v>137.31573906565924</c:v>
                </c:pt>
                <c:pt idx="723">
                  <c:v>142.07725869958497</c:v>
                </c:pt>
                <c:pt idx="724">
                  <c:v>142.07725869958497</c:v>
                </c:pt>
                <c:pt idx="725">
                  <c:v>142.07725869958497</c:v>
                </c:pt>
                <c:pt idx="726">
                  <c:v>143.58752793444717</c:v>
                </c:pt>
                <c:pt idx="727">
                  <c:v>144.13749068851763</c:v>
                </c:pt>
                <c:pt idx="728">
                  <c:v>143.46238161115249</c:v>
                </c:pt>
                <c:pt idx="729">
                  <c:v>143.88251569649887</c:v>
                </c:pt>
                <c:pt idx="730">
                  <c:v>143.88251569649887</c:v>
                </c:pt>
                <c:pt idx="731">
                  <c:v>143.88251569649887</c:v>
                </c:pt>
                <c:pt idx="732">
                  <c:v>143.88251569649887</c:v>
                </c:pt>
                <c:pt idx="733">
                  <c:v>143.61775034585506</c:v>
                </c:pt>
                <c:pt idx="734">
                  <c:v>143.85229328509098</c:v>
                </c:pt>
                <c:pt idx="735">
                  <c:v>142.92859423220176</c:v>
                </c:pt>
                <c:pt idx="736">
                  <c:v>142.68766627647122</c:v>
                </c:pt>
                <c:pt idx="737">
                  <c:v>141.64988826221133</c:v>
                </c:pt>
                <c:pt idx="738">
                  <c:v>141.64988826221133</c:v>
                </c:pt>
                <c:pt idx="739">
                  <c:v>141.64988826221133</c:v>
                </c:pt>
                <c:pt idx="740">
                  <c:v>142.41906991593063</c:v>
                </c:pt>
                <c:pt idx="741">
                  <c:v>141.94700436309461</c:v>
                </c:pt>
                <c:pt idx="742">
                  <c:v>140.36777695009047</c:v>
                </c:pt>
                <c:pt idx="743">
                  <c:v>138.2960519314675</c:v>
                </c:pt>
                <c:pt idx="744">
                  <c:v>137.29998935830585</c:v>
                </c:pt>
                <c:pt idx="745">
                  <c:v>137.29998935830585</c:v>
                </c:pt>
                <c:pt idx="746">
                  <c:v>137.29998935830585</c:v>
                </c:pt>
                <c:pt idx="747">
                  <c:v>139.77482175162285</c:v>
                </c:pt>
                <c:pt idx="748">
                  <c:v>139.33808662339044</c:v>
                </c:pt>
                <c:pt idx="749">
                  <c:v>139.458976269022</c:v>
                </c:pt>
                <c:pt idx="750">
                  <c:v>138.07087368309035</c:v>
                </c:pt>
                <c:pt idx="751">
                  <c:v>140.27753538363305</c:v>
                </c:pt>
                <c:pt idx="752">
                  <c:v>140.27753538363305</c:v>
                </c:pt>
                <c:pt idx="753">
                  <c:v>140.27753538363305</c:v>
                </c:pt>
                <c:pt idx="754">
                  <c:v>141.55751835692243</c:v>
                </c:pt>
                <c:pt idx="755">
                  <c:v>141.39619027349153</c:v>
                </c:pt>
                <c:pt idx="756">
                  <c:v>141.35532616792594</c:v>
                </c:pt>
                <c:pt idx="757">
                  <c:v>141.73119080557623</c:v>
                </c:pt>
                <c:pt idx="758">
                  <c:v>141.73119080557623</c:v>
                </c:pt>
                <c:pt idx="759">
                  <c:v>141.73119080557623</c:v>
                </c:pt>
                <c:pt idx="760">
                  <c:v>141.73119080557623</c:v>
                </c:pt>
                <c:pt idx="761">
                  <c:v>141.18591039693518</c:v>
                </c:pt>
                <c:pt idx="762">
                  <c:v>140.0144727040545</c:v>
                </c:pt>
                <c:pt idx="763">
                  <c:v>139.75311269554115</c:v>
                </c:pt>
                <c:pt idx="764">
                  <c:v>139.96509524316272</c:v>
                </c:pt>
                <c:pt idx="765">
                  <c:v>138.99542407151216</c:v>
                </c:pt>
                <c:pt idx="766">
                  <c:v>138.99542407151216</c:v>
                </c:pt>
                <c:pt idx="767">
                  <c:v>138.99542407151216</c:v>
                </c:pt>
                <c:pt idx="768">
                  <c:v>139.39342343301053</c:v>
                </c:pt>
                <c:pt idx="769">
                  <c:v>138.47185271895285</c:v>
                </c:pt>
                <c:pt idx="770">
                  <c:v>137.79631797382143</c:v>
                </c:pt>
                <c:pt idx="771">
                  <c:v>138.18367564116207</c:v>
                </c:pt>
                <c:pt idx="772">
                  <c:v>137.69713738427157</c:v>
                </c:pt>
                <c:pt idx="773">
                  <c:v>137.69713738427157</c:v>
                </c:pt>
                <c:pt idx="774">
                  <c:v>137.69713738427157</c:v>
                </c:pt>
                <c:pt idx="775">
                  <c:v>138.67617324678088</c:v>
                </c:pt>
                <c:pt idx="776">
                  <c:v>137.52389060338405</c:v>
                </c:pt>
                <c:pt idx="777">
                  <c:v>137.52389060338405</c:v>
                </c:pt>
                <c:pt idx="778">
                  <c:v>137.1199318931574</c:v>
                </c:pt>
                <c:pt idx="779">
                  <c:v>137.917207619453</c:v>
                </c:pt>
                <c:pt idx="780">
                  <c:v>137.917207619453</c:v>
                </c:pt>
                <c:pt idx="781">
                  <c:v>137.917207619453</c:v>
                </c:pt>
                <c:pt idx="782">
                  <c:v>137.91252527402364</c:v>
                </c:pt>
                <c:pt idx="783">
                  <c:v>137.20889645631584</c:v>
                </c:pt>
                <c:pt idx="784">
                  <c:v>137.20889645631584</c:v>
                </c:pt>
                <c:pt idx="785">
                  <c:v>137.2357135255933</c:v>
                </c:pt>
                <c:pt idx="786">
                  <c:v>137.11695221879324</c:v>
                </c:pt>
                <c:pt idx="787">
                  <c:v>137.11695221879324</c:v>
                </c:pt>
                <c:pt idx="788">
                  <c:v>137.11695221879324</c:v>
                </c:pt>
                <c:pt idx="789">
                  <c:v>136.44226880919442</c:v>
                </c:pt>
                <c:pt idx="790">
                  <c:v>135.83654357773759</c:v>
                </c:pt>
                <c:pt idx="791">
                  <c:v>135.89528572948814</c:v>
                </c:pt>
                <c:pt idx="792">
                  <c:v>135.84973927849313</c:v>
                </c:pt>
                <c:pt idx="793">
                  <c:v>134.88560178780463</c:v>
                </c:pt>
                <c:pt idx="794">
                  <c:v>134.88560178780463</c:v>
                </c:pt>
                <c:pt idx="795">
                  <c:v>134.88560178780463</c:v>
                </c:pt>
                <c:pt idx="796">
                  <c:v>134.87581142917952</c:v>
                </c:pt>
                <c:pt idx="797">
                  <c:v>133.72906246674472</c:v>
                </c:pt>
                <c:pt idx="798">
                  <c:v>133.34127913163775</c:v>
                </c:pt>
                <c:pt idx="799">
                  <c:v>133.48770884324784</c:v>
                </c:pt>
                <c:pt idx="800">
                  <c:v>133.91124827072468</c:v>
                </c:pt>
                <c:pt idx="801">
                  <c:v>133.91124827072468</c:v>
                </c:pt>
                <c:pt idx="802">
                  <c:v>133.91124827072468</c:v>
                </c:pt>
                <c:pt idx="803">
                  <c:v>132.69894647227838</c:v>
                </c:pt>
                <c:pt idx="804">
                  <c:v>132.50015962541238</c:v>
                </c:pt>
                <c:pt idx="805">
                  <c:v>131.66755347451314</c:v>
                </c:pt>
                <c:pt idx="806">
                  <c:v>132.54740874747259</c:v>
                </c:pt>
                <c:pt idx="807">
                  <c:v>133.70139406193465</c:v>
                </c:pt>
                <c:pt idx="808">
                  <c:v>133.70139406193465</c:v>
                </c:pt>
                <c:pt idx="809">
                  <c:v>133.70139406193465</c:v>
                </c:pt>
                <c:pt idx="810">
                  <c:v>134.23986378631477</c:v>
                </c:pt>
                <c:pt idx="811">
                  <c:v>134.23986378631477</c:v>
                </c:pt>
                <c:pt idx="812">
                  <c:v>133.68181334468449</c:v>
                </c:pt>
                <c:pt idx="813">
                  <c:v>133.38895392146429</c:v>
                </c:pt>
                <c:pt idx="814">
                  <c:v>132.39501968713418</c:v>
                </c:pt>
                <c:pt idx="815">
                  <c:v>132.39501968713418</c:v>
                </c:pt>
                <c:pt idx="816">
                  <c:v>132.39501968713418</c:v>
                </c:pt>
                <c:pt idx="817">
                  <c:v>132.10769394487602</c:v>
                </c:pt>
                <c:pt idx="818">
                  <c:v>132.31712248589974</c:v>
                </c:pt>
                <c:pt idx="819">
                  <c:v>132.8160051080132</c:v>
                </c:pt>
                <c:pt idx="820">
                  <c:v>132.89475364478025</c:v>
                </c:pt>
                <c:pt idx="821">
                  <c:v>132.82792380546985</c:v>
                </c:pt>
                <c:pt idx="822">
                  <c:v>132.82792380546985</c:v>
                </c:pt>
                <c:pt idx="823">
                  <c:v>132.82792380546985</c:v>
                </c:pt>
                <c:pt idx="824">
                  <c:v>131.81355751835693</c:v>
                </c:pt>
                <c:pt idx="825">
                  <c:v>131.70330956688306</c:v>
                </c:pt>
                <c:pt idx="826">
                  <c:v>131.60966265829521</c:v>
                </c:pt>
                <c:pt idx="827">
                  <c:v>131.40406512716825</c:v>
                </c:pt>
                <c:pt idx="828">
                  <c:v>131.66244546131745</c:v>
                </c:pt>
                <c:pt idx="829">
                  <c:v>131.66244546131745</c:v>
                </c:pt>
                <c:pt idx="830">
                  <c:v>131.66244546131745</c:v>
                </c:pt>
                <c:pt idx="831">
                  <c:v>131.32616792593382</c:v>
                </c:pt>
                <c:pt idx="832">
                  <c:v>130.96860700223476</c:v>
                </c:pt>
                <c:pt idx="833">
                  <c:v>130.87666276471214</c:v>
                </c:pt>
                <c:pt idx="834">
                  <c:v>131.0320314994147</c:v>
                </c:pt>
                <c:pt idx="835">
                  <c:v>130.54847291688836</c:v>
                </c:pt>
                <c:pt idx="836">
                  <c:v>130.54847291688836</c:v>
                </c:pt>
                <c:pt idx="837">
                  <c:v>130.54847291688836</c:v>
                </c:pt>
                <c:pt idx="838">
                  <c:v>129.29913802277321</c:v>
                </c:pt>
                <c:pt idx="839">
                  <c:v>129.69117803554326</c:v>
                </c:pt>
                <c:pt idx="840">
                  <c:v>129.27061828243055</c:v>
                </c:pt>
                <c:pt idx="841">
                  <c:v>129.37831222730659</c:v>
                </c:pt>
                <c:pt idx="842">
                  <c:v>128.66021070554433</c:v>
                </c:pt>
                <c:pt idx="843">
                  <c:v>128.66021070554433</c:v>
                </c:pt>
                <c:pt idx="844">
                  <c:v>128.66021070554433</c:v>
                </c:pt>
                <c:pt idx="845">
                  <c:v>128.13834202405025</c:v>
                </c:pt>
                <c:pt idx="846">
                  <c:v>127.89273172289029</c:v>
                </c:pt>
                <c:pt idx="847">
                  <c:v>127.52963711822922</c:v>
                </c:pt>
                <c:pt idx="848">
                  <c:v>127.98637863147813</c:v>
                </c:pt>
                <c:pt idx="849">
                  <c:v>127.1129083750133</c:v>
                </c:pt>
                <c:pt idx="850">
                  <c:v>127.1129083750133</c:v>
                </c:pt>
                <c:pt idx="851">
                  <c:v>127.1129083750133</c:v>
                </c:pt>
                <c:pt idx="852">
                  <c:v>127.61306800042567</c:v>
                </c:pt>
                <c:pt idx="853">
                  <c:v>127.26146642545493</c:v>
                </c:pt>
                <c:pt idx="854">
                  <c:v>127.51644141747364</c:v>
                </c:pt>
                <c:pt idx="855">
                  <c:v>126.25944450356496</c:v>
                </c:pt>
                <c:pt idx="856">
                  <c:v>126.43481962328403</c:v>
                </c:pt>
                <c:pt idx="857">
                  <c:v>126.43481962328403</c:v>
                </c:pt>
                <c:pt idx="858">
                  <c:v>126.43481962328403</c:v>
                </c:pt>
                <c:pt idx="859">
                  <c:v>125.06672342236884</c:v>
                </c:pt>
                <c:pt idx="860">
                  <c:v>124.26944769607321</c:v>
                </c:pt>
                <c:pt idx="861">
                  <c:v>123.14823879961689</c:v>
                </c:pt>
                <c:pt idx="862">
                  <c:v>125.0948174949452</c:v>
                </c:pt>
                <c:pt idx="863">
                  <c:v>125.65755028200492</c:v>
                </c:pt>
                <c:pt idx="864">
                  <c:v>125.65755028200492</c:v>
                </c:pt>
                <c:pt idx="865">
                  <c:v>125.65755028200492</c:v>
                </c:pt>
                <c:pt idx="866">
                  <c:v>123.89613706502077</c:v>
                </c:pt>
                <c:pt idx="867">
                  <c:v>122.91624986697882</c:v>
                </c:pt>
                <c:pt idx="868">
                  <c:v>125.15696498882622</c:v>
                </c:pt>
                <c:pt idx="869">
                  <c:v>126.71022666808555</c:v>
                </c:pt>
                <c:pt idx="870">
                  <c:v>126.07385335745451</c:v>
                </c:pt>
                <c:pt idx="871">
                  <c:v>126.07385335745451</c:v>
                </c:pt>
                <c:pt idx="872">
                  <c:v>126.07385335745451</c:v>
                </c:pt>
                <c:pt idx="873">
                  <c:v>126.74768543152068</c:v>
                </c:pt>
                <c:pt idx="874">
                  <c:v>127.05629456209428</c:v>
                </c:pt>
                <c:pt idx="875">
                  <c:v>126.27859955304883</c:v>
                </c:pt>
                <c:pt idx="876">
                  <c:v>127.35043098861341</c:v>
                </c:pt>
                <c:pt idx="877">
                  <c:v>127.36277535383633</c:v>
                </c:pt>
                <c:pt idx="878">
                  <c:v>127.36277535383633</c:v>
                </c:pt>
                <c:pt idx="879">
                  <c:v>127.36277535383633</c:v>
                </c:pt>
                <c:pt idx="880">
                  <c:v>127.98935830584229</c:v>
                </c:pt>
                <c:pt idx="881">
                  <c:v>127.98680429924445</c:v>
                </c:pt>
                <c:pt idx="882">
                  <c:v>127.94296051931467</c:v>
                </c:pt>
                <c:pt idx="883">
                  <c:v>127.61349366819196</c:v>
                </c:pt>
                <c:pt idx="884">
                  <c:v>128.01489837182078</c:v>
                </c:pt>
                <c:pt idx="885">
                  <c:v>128.01489837182078</c:v>
                </c:pt>
                <c:pt idx="886">
                  <c:v>128.01489837182078</c:v>
                </c:pt>
                <c:pt idx="887">
                  <c:v>128.10769394487602</c:v>
                </c:pt>
                <c:pt idx="888">
                  <c:v>127.73991699478557</c:v>
                </c:pt>
                <c:pt idx="889">
                  <c:v>126.82302862615728</c:v>
                </c:pt>
                <c:pt idx="890">
                  <c:v>126.78216452059168</c:v>
                </c:pt>
                <c:pt idx="891">
                  <c:v>126.79408321804833</c:v>
                </c:pt>
                <c:pt idx="892">
                  <c:v>126.79408321804833</c:v>
                </c:pt>
                <c:pt idx="893">
                  <c:v>126.79408321804833</c:v>
                </c:pt>
                <c:pt idx="894">
                  <c:v>126.67872725337874</c:v>
                </c:pt>
                <c:pt idx="895">
                  <c:v>125.05182505054806</c:v>
                </c:pt>
                <c:pt idx="896">
                  <c:v>123.71054591891028</c:v>
                </c:pt>
                <c:pt idx="897">
                  <c:v>124.56996913908694</c:v>
                </c:pt>
                <c:pt idx="898">
                  <c:v>124.56996913908694</c:v>
                </c:pt>
                <c:pt idx="899">
                  <c:v>124.56996913908694</c:v>
                </c:pt>
                <c:pt idx="900">
                  <c:v>124.56996913908694</c:v>
                </c:pt>
                <c:pt idx="901">
                  <c:v>124.48994359902098</c:v>
                </c:pt>
                <c:pt idx="902">
                  <c:v>122.93029690326701</c:v>
                </c:pt>
                <c:pt idx="903">
                  <c:v>122.13089283813983</c:v>
                </c:pt>
                <c:pt idx="904">
                  <c:v>122.52335851867618</c:v>
                </c:pt>
                <c:pt idx="905">
                  <c:v>121.19229541342982</c:v>
                </c:pt>
                <c:pt idx="906">
                  <c:v>121.19229541342982</c:v>
                </c:pt>
                <c:pt idx="907">
                  <c:v>121.19229541342982</c:v>
                </c:pt>
                <c:pt idx="908">
                  <c:v>124.42055975311268</c:v>
                </c:pt>
                <c:pt idx="909">
                  <c:v>124.48355858252633</c:v>
                </c:pt>
                <c:pt idx="910">
                  <c:v>123.46536128551666</c:v>
                </c:pt>
                <c:pt idx="911">
                  <c:v>124.4503564967543</c:v>
                </c:pt>
                <c:pt idx="912">
                  <c:v>122.96179631797382</c:v>
                </c:pt>
                <c:pt idx="913">
                  <c:v>122.96179631797382</c:v>
                </c:pt>
                <c:pt idx="914">
                  <c:v>122.96179631797382</c:v>
                </c:pt>
                <c:pt idx="915">
                  <c:v>121.21315313397893</c:v>
                </c:pt>
                <c:pt idx="916">
                  <c:v>120.91518569756306</c:v>
                </c:pt>
                <c:pt idx="917">
                  <c:v>124.56400979035864</c:v>
                </c:pt>
                <c:pt idx="918">
                  <c:v>122.75194210918379</c:v>
                </c:pt>
                <c:pt idx="919">
                  <c:v>124.23752261360008</c:v>
                </c:pt>
                <c:pt idx="920">
                  <c:v>124.23752261360008</c:v>
                </c:pt>
                <c:pt idx="921">
                  <c:v>124.23752261360008</c:v>
                </c:pt>
                <c:pt idx="922">
                  <c:v>125.06502075130361</c:v>
                </c:pt>
                <c:pt idx="923">
                  <c:v>122.76173246780888</c:v>
                </c:pt>
                <c:pt idx="924">
                  <c:v>122.66765989145472</c:v>
                </c:pt>
                <c:pt idx="925">
                  <c:v>121.09141215281471</c:v>
                </c:pt>
                <c:pt idx="926">
                  <c:v>124.80791742045334</c:v>
                </c:pt>
                <c:pt idx="927">
                  <c:v>124.80791742045334</c:v>
                </c:pt>
                <c:pt idx="928">
                  <c:v>124.80791742045334</c:v>
                </c:pt>
                <c:pt idx="929">
                  <c:v>125.7235287857827</c:v>
                </c:pt>
                <c:pt idx="930">
                  <c:v>126.86516973502182</c:v>
                </c:pt>
                <c:pt idx="931">
                  <c:v>128.26136000851335</c:v>
                </c:pt>
                <c:pt idx="932">
                  <c:v>128.59295519846759</c:v>
                </c:pt>
                <c:pt idx="933">
                  <c:v>128.80110673619239</c:v>
                </c:pt>
                <c:pt idx="934">
                  <c:v>128.80110673619239</c:v>
                </c:pt>
                <c:pt idx="935">
                  <c:v>128.80110673619239</c:v>
                </c:pt>
                <c:pt idx="936">
                  <c:v>127.85654996275406</c:v>
                </c:pt>
                <c:pt idx="937">
                  <c:v>128.53293604341812</c:v>
                </c:pt>
                <c:pt idx="938">
                  <c:v>127.93317016068957</c:v>
                </c:pt>
                <c:pt idx="939">
                  <c:v>127.06310524635522</c:v>
                </c:pt>
                <c:pt idx="940">
                  <c:v>126.70469298712355</c:v>
                </c:pt>
                <c:pt idx="941">
                  <c:v>126.70469298712355</c:v>
                </c:pt>
                <c:pt idx="942">
                  <c:v>126.70469298712355</c:v>
                </c:pt>
                <c:pt idx="943">
                  <c:v>127.49217835479409</c:v>
                </c:pt>
                <c:pt idx="944">
                  <c:v>127.03713951261042</c:v>
                </c:pt>
                <c:pt idx="945">
                  <c:v>127.87229967010747</c:v>
                </c:pt>
                <c:pt idx="946">
                  <c:v>128.30903479833989</c:v>
                </c:pt>
                <c:pt idx="947">
                  <c:v>128.28647440672555</c:v>
                </c:pt>
                <c:pt idx="948">
                  <c:v>128.28647440672555</c:v>
                </c:pt>
                <c:pt idx="949">
                  <c:v>128.28647440672555</c:v>
                </c:pt>
                <c:pt idx="950">
                  <c:v>127.69649888262211</c:v>
                </c:pt>
                <c:pt idx="951">
                  <c:v>127.40534213046718</c:v>
                </c:pt>
                <c:pt idx="952">
                  <c:v>126.83324465254869</c:v>
                </c:pt>
                <c:pt idx="953">
                  <c:v>126.67659891454718</c:v>
                </c:pt>
                <c:pt idx="954">
                  <c:v>127.29211450462914</c:v>
                </c:pt>
                <c:pt idx="955">
                  <c:v>127.29211450462914</c:v>
                </c:pt>
                <c:pt idx="956">
                  <c:v>127.29211450462914</c:v>
                </c:pt>
                <c:pt idx="957">
                  <c:v>127.52240076620198</c:v>
                </c:pt>
                <c:pt idx="958">
                  <c:v>127.52240076620198</c:v>
                </c:pt>
                <c:pt idx="959">
                  <c:v>126.55145259125253</c:v>
                </c:pt>
                <c:pt idx="960">
                  <c:v>126.18197297009684</c:v>
                </c:pt>
                <c:pt idx="961">
                  <c:v>125.2212408215388</c:v>
                </c:pt>
                <c:pt idx="962">
                  <c:v>125.2212408215388</c:v>
                </c:pt>
                <c:pt idx="963">
                  <c:v>125.2212408215388</c:v>
                </c:pt>
                <c:pt idx="964">
                  <c:v>124.50441630307544</c:v>
                </c:pt>
                <c:pt idx="965">
                  <c:v>124.03022241140791</c:v>
                </c:pt>
                <c:pt idx="966">
                  <c:v>124.18346280727891</c:v>
                </c:pt>
                <c:pt idx="967">
                  <c:v>125.37405554964349</c:v>
                </c:pt>
                <c:pt idx="968">
                  <c:v>125.59157177822709</c:v>
                </c:pt>
                <c:pt idx="969">
                  <c:v>125.59157177822709</c:v>
                </c:pt>
                <c:pt idx="970">
                  <c:v>125.59157177822709</c:v>
                </c:pt>
                <c:pt idx="971">
                  <c:v>125.74992018729381</c:v>
                </c:pt>
                <c:pt idx="972">
                  <c:v>124.56996913908694</c:v>
                </c:pt>
                <c:pt idx="973">
                  <c:v>124.19921251463234</c:v>
                </c:pt>
                <c:pt idx="974">
                  <c:v>123.00393742683835</c:v>
                </c:pt>
                <c:pt idx="975">
                  <c:v>122.88943279770139</c:v>
                </c:pt>
                <c:pt idx="976">
                  <c:v>122.88943279770139</c:v>
                </c:pt>
                <c:pt idx="977">
                  <c:v>122.88943279770139</c:v>
                </c:pt>
                <c:pt idx="978">
                  <c:v>123.08779397680109</c:v>
                </c:pt>
                <c:pt idx="979">
                  <c:v>122.5855060125572</c:v>
                </c:pt>
                <c:pt idx="980">
                  <c:v>122.83579865914653</c:v>
                </c:pt>
                <c:pt idx="981">
                  <c:v>122.87879110354369</c:v>
                </c:pt>
                <c:pt idx="982">
                  <c:v>122.30882196445674</c:v>
                </c:pt>
                <c:pt idx="983">
                  <c:v>122.30882196445674</c:v>
                </c:pt>
                <c:pt idx="984">
                  <c:v>122.30882196445674</c:v>
                </c:pt>
                <c:pt idx="985">
                  <c:v>121.03820368202618</c:v>
                </c:pt>
                <c:pt idx="986">
                  <c:v>120.30009577524743</c:v>
                </c:pt>
                <c:pt idx="987">
                  <c:v>119.3261679259338</c:v>
                </c:pt>
                <c:pt idx="988">
                  <c:v>116.82239012450782</c:v>
                </c:pt>
                <c:pt idx="989">
                  <c:v>117.14632329466852</c:v>
                </c:pt>
                <c:pt idx="990">
                  <c:v>117.14632329466852</c:v>
                </c:pt>
                <c:pt idx="991">
                  <c:v>117.14632329466852</c:v>
                </c:pt>
                <c:pt idx="992">
                  <c:v>118.7127806746834</c:v>
                </c:pt>
                <c:pt idx="993">
                  <c:v>118.4641906991593</c:v>
                </c:pt>
                <c:pt idx="994">
                  <c:v>119.28870916249868</c:v>
                </c:pt>
                <c:pt idx="995">
                  <c:v>120.29626476535064</c:v>
                </c:pt>
                <c:pt idx="996">
                  <c:v>120.29626476535064</c:v>
                </c:pt>
                <c:pt idx="997">
                  <c:v>120.29626476535064</c:v>
                </c:pt>
                <c:pt idx="998">
                  <c:v>120.29626476535064</c:v>
                </c:pt>
                <c:pt idx="999">
                  <c:v>120.13365967862082</c:v>
                </c:pt>
                <c:pt idx="1000">
                  <c:v>121.58220708736832</c:v>
                </c:pt>
                <c:pt idx="1001">
                  <c:v>121.92657231031181</c:v>
                </c:pt>
                <c:pt idx="1002">
                  <c:v>120.89943599020965</c:v>
                </c:pt>
                <c:pt idx="1003">
                  <c:v>121.72097477918487</c:v>
                </c:pt>
                <c:pt idx="1004">
                  <c:v>121.72097477918487</c:v>
                </c:pt>
                <c:pt idx="1005">
                  <c:v>121.72097477918487</c:v>
                </c:pt>
                <c:pt idx="1006">
                  <c:v>122.43567095881664</c:v>
                </c:pt>
                <c:pt idx="1007">
                  <c:v>121.35617750345855</c:v>
                </c:pt>
                <c:pt idx="1008">
                  <c:v>120.65169735021814</c:v>
                </c:pt>
                <c:pt idx="1009">
                  <c:v>119.69224220495902</c:v>
                </c:pt>
                <c:pt idx="1010">
                  <c:v>122.65191018410131</c:v>
                </c:pt>
                <c:pt idx="1011">
                  <c:v>122.65191018410131</c:v>
                </c:pt>
                <c:pt idx="1012">
                  <c:v>122.65191018410131</c:v>
                </c:pt>
                <c:pt idx="1013">
                  <c:v>122.19729700968394</c:v>
                </c:pt>
                <c:pt idx="1014">
                  <c:v>122.56762796637224</c:v>
                </c:pt>
                <c:pt idx="1015">
                  <c:v>122.76471214217304</c:v>
                </c:pt>
                <c:pt idx="1016">
                  <c:v>124.82579546663828</c:v>
                </c:pt>
                <c:pt idx="1017">
                  <c:v>125.38639991486644</c:v>
                </c:pt>
                <c:pt idx="1018">
                  <c:v>125.38639991486644</c:v>
                </c:pt>
                <c:pt idx="1019">
                  <c:v>125.38639991486644</c:v>
                </c:pt>
                <c:pt idx="1020">
                  <c:v>124.18942215600724</c:v>
                </c:pt>
                <c:pt idx="1021">
                  <c:v>124.45376183888474</c:v>
                </c:pt>
                <c:pt idx="1022">
                  <c:v>125.39448760242631</c:v>
                </c:pt>
                <c:pt idx="1023">
                  <c:v>125.27530062785996</c:v>
                </c:pt>
                <c:pt idx="1024">
                  <c:v>125.14121528147282</c:v>
                </c:pt>
                <c:pt idx="1025">
                  <c:v>125.14121528147282</c:v>
                </c:pt>
                <c:pt idx="1026">
                  <c:v>125.14121528147282</c:v>
                </c:pt>
                <c:pt idx="1027">
                  <c:v>124.55762477386401</c:v>
                </c:pt>
                <c:pt idx="1028">
                  <c:v>124.6035968926253</c:v>
                </c:pt>
                <c:pt idx="1029">
                  <c:v>124.87730126636161</c:v>
                </c:pt>
                <c:pt idx="1030">
                  <c:v>123.7829094391827</c:v>
                </c:pt>
                <c:pt idx="1031">
                  <c:v>123.65776311588806</c:v>
                </c:pt>
                <c:pt idx="1032">
                  <c:v>123.65776311588806</c:v>
                </c:pt>
                <c:pt idx="1033">
                  <c:v>123.65776311588806</c:v>
                </c:pt>
                <c:pt idx="1034">
                  <c:v>123.65776311588806</c:v>
                </c:pt>
                <c:pt idx="1035">
                  <c:v>123.4628072789188</c:v>
                </c:pt>
                <c:pt idx="1036">
                  <c:v>123.74417367244865</c:v>
                </c:pt>
                <c:pt idx="1037">
                  <c:v>123.681174843035</c:v>
                </c:pt>
                <c:pt idx="1038">
                  <c:v>123.75907204426943</c:v>
                </c:pt>
                <c:pt idx="1039">
                  <c:v>123.75907204426943</c:v>
                </c:pt>
                <c:pt idx="1040">
                  <c:v>123.75907204426943</c:v>
                </c:pt>
                <c:pt idx="1041">
                  <c:v>122.94647227838674</c:v>
                </c:pt>
                <c:pt idx="1042">
                  <c:v>122.94178993295732</c:v>
                </c:pt>
                <c:pt idx="1043">
                  <c:v>122.5156964988826</c:v>
                </c:pt>
                <c:pt idx="1044">
                  <c:v>123.26359476428648</c:v>
                </c:pt>
                <c:pt idx="1045">
                  <c:v>123.13461743109502</c:v>
                </c:pt>
                <c:pt idx="1046">
                  <c:v>123.13461743109502</c:v>
                </c:pt>
                <c:pt idx="1047">
                  <c:v>123.13461743109502</c:v>
                </c:pt>
                <c:pt idx="1048">
                  <c:v>122.56635096307332</c:v>
                </c:pt>
                <c:pt idx="1049">
                  <c:v>122.31137597105459</c:v>
                </c:pt>
                <c:pt idx="1050">
                  <c:v>122.04916462700861</c:v>
                </c:pt>
                <c:pt idx="1051">
                  <c:v>122.04703628817708</c:v>
                </c:pt>
                <c:pt idx="1052">
                  <c:v>120.65127168245185</c:v>
                </c:pt>
                <c:pt idx="1053">
                  <c:v>120.65127168245185</c:v>
                </c:pt>
                <c:pt idx="1054">
                  <c:v>120.65127168245185</c:v>
                </c:pt>
                <c:pt idx="1055">
                  <c:v>119.84420559753113</c:v>
                </c:pt>
                <c:pt idx="1056">
                  <c:v>119.41555815685857</c:v>
                </c:pt>
                <c:pt idx="1057">
                  <c:v>119.97275726295626</c:v>
                </c:pt>
                <c:pt idx="1058">
                  <c:v>119.1171650526764</c:v>
                </c:pt>
                <c:pt idx="1059">
                  <c:v>119.21719697775886</c:v>
                </c:pt>
                <c:pt idx="1060">
                  <c:v>119.21719697775886</c:v>
                </c:pt>
                <c:pt idx="1061">
                  <c:v>119.21719697775886</c:v>
                </c:pt>
                <c:pt idx="1062">
                  <c:v>121.52303926785144</c:v>
                </c:pt>
                <c:pt idx="1063">
                  <c:v>120.21836756411621</c:v>
                </c:pt>
                <c:pt idx="1064">
                  <c:v>120.57337448121741</c:v>
                </c:pt>
                <c:pt idx="1065">
                  <c:v>120.58912418857082</c:v>
                </c:pt>
                <c:pt idx="1066">
                  <c:v>120.14387570501223</c:v>
                </c:pt>
                <c:pt idx="1067">
                  <c:v>120.14387570501223</c:v>
                </c:pt>
                <c:pt idx="1068">
                  <c:v>120.14387570501223</c:v>
                </c:pt>
                <c:pt idx="1069">
                  <c:v>119.54794083218047</c:v>
                </c:pt>
                <c:pt idx="1070">
                  <c:v>119.65180376715973</c:v>
                </c:pt>
                <c:pt idx="1071">
                  <c:v>118.82600830052144</c:v>
                </c:pt>
                <c:pt idx="1072">
                  <c:v>118.47610939661595</c:v>
                </c:pt>
                <c:pt idx="1073">
                  <c:v>116.76364797275727</c:v>
                </c:pt>
                <c:pt idx="1074">
                  <c:v>116.76364797275727</c:v>
                </c:pt>
                <c:pt idx="1075">
                  <c:v>116.76364797275727</c:v>
                </c:pt>
                <c:pt idx="1076">
                  <c:v>117.01308928381397</c:v>
                </c:pt>
                <c:pt idx="1077">
                  <c:v>117.97169309354048</c:v>
                </c:pt>
                <c:pt idx="1078">
                  <c:v>118.74640842822177</c:v>
                </c:pt>
                <c:pt idx="1079">
                  <c:v>118.88091944237522</c:v>
                </c:pt>
                <c:pt idx="1080">
                  <c:v>119.34404597211876</c:v>
                </c:pt>
                <c:pt idx="1081">
                  <c:v>119.34404597211876</c:v>
                </c:pt>
                <c:pt idx="1082">
                  <c:v>119.34404597211876</c:v>
                </c:pt>
                <c:pt idx="1083">
                  <c:v>118.52676386080662</c:v>
                </c:pt>
                <c:pt idx="1084">
                  <c:v>118.86261572842396</c:v>
                </c:pt>
                <c:pt idx="1085">
                  <c:v>118.92731722890284</c:v>
                </c:pt>
                <c:pt idx="1086">
                  <c:v>119.021389805257</c:v>
                </c:pt>
                <c:pt idx="1087">
                  <c:v>118.87496009364691</c:v>
                </c:pt>
                <c:pt idx="1088">
                  <c:v>118.87496009364691</c:v>
                </c:pt>
                <c:pt idx="1089">
                  <c:v>118.87496009364691</c:v>
                </c:pt>
                <c:pt idx="1090">
                  <c:v>118.11769713738427</c:v>
                </c:pt>
                <c:pt idx="1091">
                  <c:v>118.53570288389912</c:v>
                </c:pt>
                <c:pt idx="1092">
                  <c:v>118.32542300734279</c:v>
                </c:pt>
                <c:pt idx="1093">
                  <c:v>118.14834521655848</c:v>
                </c:pt>
                <c:pt idx="1094">
                  <c:v>118.14834521655848</c:v>
                </c:pt>
                <c:pt idx="1095">
                  <c:v>118.14834521655848</c:v>
                </c:pt>
                <c:pt idx="1096">
                  <c:v>118.14834521655848</c:v>
                </c:pt>
                <c:pt idx="1097">
                  <c:v>116.87687559859529</c:v>
                </c:pt>
                <c:pt idx="1098">
                  <c:v>117.18761306800043</c:v>
                </c:pt>
                <c:pt idx="1099">
                  <c:v>116.83430882196446</c:v>
                </c:pt>
                <c:pt idx="1100">
                  <c:v>115.34745131424924</c:v>
                </c:pt>
                <c:pt idx="1101">
                  <c:v>115.26572310311802</c:v>
                </c:pt>
                <c:pt idx="1102">
                  <c:v>115.26572310311802</c:v>
                </c:pt>
                <c:pt idx="1103">
                  <c:v>115.26572310311802</c:v>
                </c:pt>
                <c:pt idx="1104">
                  <c:v>115.18782590188358</c:v>
                </c:pt>
                <c:pt idx="1105">
                  <c:v>116.27583271256785</c:v>
                </c:pt>
                <c:pt idx="1106">
                  <c:v>116.53506438224966</c:v>
                </c:pt>
                <c:pt idx="1107">
                  <c:v>115.98893263807597</c:v>
                </c:pt>
                <c:pt idx="1108">
                  <c:v>115.20825795466638</c:v>
                </c:pt>
                <c:pt idx="1109">
                  <c:v>115.20825795466638</c:v>
                </c:pt>
                <c:pt idx="1110">
                  <c:v>115.20825795466638</c:v>
                </c:pt>
                <c:pt idx="1111">
                  <c:v>115.10482068745344</c:v>
                </c:pt>
                <c:pt idx="1112">
                  <c:v>114.12365648611259</c:v>
                </c:pt>
                <c:pt idx="1113">
                  <c:v>112.37629030541663</c:v>
                </c:pt>
                <c:pt idx="1114">
                  <c:v>112.54017239544535</c:v>
                </c:pt>
                <c:pt idx="1115">
                  <c:v>113.43024369479622</c:v>
                </c:pt>
                <c:pt idx="1116">
                  <c:v>113.43024369479622</c:v>
                </c:pt>
                <c:pt idx="1117">
                  <c:v>113.43024369479622</c:v>
                </c:pt>
                <c:pt idx="1118">
                  <c:v>112.47547089496648</c:v>
                </c:pt>
                <c:pt idx="1119">
                  <c:v>112.32095349579652</c:v>
                </c:pt>
                <c:pt idx="1120">
                  <c:v>112.07406619133766</c:v>
                </c:pt>
                <c:pt idx="1121">
                  <c:v>113.6835160157497</c:v>
                </c:pt>
                <c:pt idx="1122">
                  <c:v>113.6835160157497</c:v>
                </c:pt>
                <c:pt idx="1123">
                  <c:v>113.6835160157497</c:v>
                </c:pt>
                <c:pt idx="1124">
                  <c:v>113.6835160157497</c:v>
                </c:pt>
                <c:pt idx="1125">
                  <c:v>112.20432052782803</c:v>
                </c:pt>
                <c:pt idx="1126">
                  <c:v>111.35894434393956</c:v>
                </c:pt>
                <c:pt idx="1127">
                  <c:v>111.11205703948069</c:v>
                </c:pt>
                <c:pt idx="1128">
                  <c:v>109.93338299457274</c:v>
                </c:pt>
                <c:pt idx="1129">
                  <c:v>110.51441949558371</c:v>
                </c:pt>
                <c:pt idx="1130">
                  <c:v>110.51441949558371</c:v>
                </c:pt>
                <c:pt idx="1131">
                  <c:v>110.51441949558371</c:v>
                </c:pt>
                <c:pt idx="1132">
                  <c:v>110.5305948707034</c:v>
                </c:pt>
                <c:pt idx="1133">
                  <c:v>110.03341491965521</c:v>
                </c:pt>
                <c:pt idx="1134">
                  <c:v>109.58433542619986</c:v>
                </c:pt>
                <c:pt idx="1135">
                  <c:v>108.53208470788549</c:v>
                </c:pt>
                <c:pt idx="1136">
                  <c:v>107.7765244226881</c:v>
                </c:pt>
                <c:pt idx="1137">
                  <c:v>107.7765244226881</c:v>
                </c:pt>
                <c:pt idx="1138">
                  <c:v>107.7765244226881</c:v>
                </c:pt>
                <c:pt idx="1139">
                  <c:v>104.19878684686601</c:v>
                </c:pt>
                <c:pt idx="1140">
                  <c:v>106.84388634670641</c:v>
                </c:pt>
                <c:pt idx="1141">
                  <c:v>106.70852399702034</c:v>
                </c:pt>
                <c:pt idx="1142">
                  <c:v>106.70852399702034</c:v>
                </c:pt>
                <c:pt idx="1143">
                  <c:v>105.80993934234328</c:v>
                </c:pt>
                <c:pt idx="1144">
                  <c:v>105.80993934234328</c:v>
                </c:pt>
                <c:pt idx="1145">
                  <c:v>105.80993934234328</c:v>
                </c:pt>
                <c:pt idx="1146">
                  <c:v>105.9414706821326</c:v>
                </c:pt>
                <c:pt idx="1147">
                  <c:v>105.04203469192295</c:v>
                </c:pt>
                <c:pt idx="1148">
                  <c:v>100.07874853676707</c:v>
                </c:pt>
                <c:pt idx="1149">
                  <c:v>100.07874853676707</c:v>
                </c:pt>
                <c:pt idx="1150">
                  <c:v>102.86772374161966</c:v>
                </c:pt>
                <c:pt idx="1151">
                  <c:v>102.86772374161966</c:v>
                </c:pt>
                <c:pt idx="1152">
                  <c:v>102.86772374161966</c:v>
                </c:pt>
                <c:pt idx="1153">
                  <c:v>105.03011599446633</c:v>
                </c:pt>
                <c:pt idx="1154">
                  <c:v>106.71320634244972</c:v>
                </c:pt>
                <c:pt idx="1155">
                  <c:v>108.38182398637863</c:v>
                </c:pt>
                <c:pt idx="1156">
                  <c:v>108.37245929551985</c:v>
                </c:pt>
                <c:pt idx="1157">
                  <c:v>110.67149090135149</c:v>
                </c:pt>
                <c:pt idx="1158">
                  <c:v>110.67149090135149</c:v>
                </c:pt>
                <c:pt idx="1159">
                  <c:v>110.67149090135149</c:v>
                </c:pt>
                <c:pt idx="1160">
                  <c:v>112.82494413110567</c:v>
                </c:pt>
                <c:pt idx="1161">
                  <c:v>112.84750452272003</c:v>
                </c:pt>
                <c:pt idx="1162">
                  <c:v>112.23922528466532</c:v>
                </c:pt>
                <c:pt idx="1163">
                  <c:v>112.27923805469831</c:v>
                </c:pt>
                <c:pt idx="1164">
                  <c:v>112.08172821113121</c:v>
                </c:pt>
                <c:pt idx="1165">
                  <c:v>112.08172821113121</c:v>
                </c:pt>
                <c:pt idx="1166">
                  <c:v>112.08172821113121</c:v>
                </c:pt>
                <c:pt idx="1167">
                  <c:v>114.7579014579121</c:v>
                </c:pt>
                <c:pt idx="1168">
                  <c:v>114.93285090986485</c:v>
                </c:pt>
                <c:pt idx="1169">
                  <c:v>114.93285090986485</c:v>
                </c:pt>
                <c:pt idx="1170">
                  <c:v>118.77705650739598</c:v>
                </c:pt>
                <c:pt idx="1171">
                  <c:v>117.49153985314462</c:v>
                </c:pt>
                <c:pt idx="1172">
                  <c:v>117.49153985314462</c:v>
                </c:pt>
                <c:pt idx="1173">
                  <c:v>117.49153985314462</c:v>
                </c:pt>
                <c:pt idx="1174">
                  <c:v>116.53761838884751</c:v>
                </c:pt>
                <c:pt idx="1175">
                  <c:v>116.79429605193145</c:v>
                </c:pt>
                <c:pt idx="1176">
                  <c:v>114.17133127593912</c:v>
                </c:pt>
                <c:pt idx="1177">
                  <c:v>113.8001489837182</c:v>
                </c:pt>
                <c:pt idx="1178">
                  <c:v>112.05959348728318</c:v>
                </c:pt>
                <c:pt idx="1179">
                  <c:v>112.05959348728318</c:v>
                </c:pt>
                <c:pt idx="1180">
                  <c:v>112.05959348728318</c:v>
                </c:pt>
                <c:pt idx="1181">
                  <c:v>112.79897839736086</c:v>
                </c:pt>
                <c:pt idx="1182">
                  <c:v>112.79897839736086</c:v>
                </c:pt>
                <c:pt idx="1183">
                  <c:v>112.45674151324891</c:v>
                </c:pt>
                <c:pt idx="1184">
                  <c:v>114.53570288389912</c:v>
                </c:pt>
                <c:pt idx="1185">
                  <c:v>116.47419389166755</c:v>
                </c:pt>
                <c:pt idx="1186">
                  <c:v>116.47419389166755</c:v>
                </c:pt>
                <c:pt idx="1187">
                  <c:v>116.47419389166755</c:v>
                </c:pt>
                <c:pt idx="1188">
                  <c:v>116.21581355751836</c:v>
                </c:pt>
                <c:pt idx="1189">
                  <c:v>114.99755241034373</c:v>
                </c:pt>
                <c:pt idx="1190">
                  <c:v>115.87442800893901</c:v>
                </c:pt>
                <c:pt idx="1191">
                  <c:v>116.04639778652761</c:v>
                </c:pt>
                <c:pt idx="1192">
                  <c:v>118.37863147813133</c:v>
                </c:pt>
                <c:pt idx="1193">
                  <c:v>118.37863147813133</c:v>
                </c:pt>
                <c:pt idx="1194">
                  <c:v>118.37863147813133</c:v>
                </c:pt>
                <c:pt idx="1195">
                  <c:v>119.47770565073958</c:v>
                </c:pt>
                <c:pt idx="1196">
                  <c:v>119.77822709375332</c:v>
                </c:pt>
                <c:pt idx="1197">
                  <c:v>117.29062466744705</c:v>
                </c:pt>
                <c:pt idx="1198">
                  <c:v>116.56103011599446</c:v>
                </c:pt>
                <c:pt idx="1199">
                  <c:v>115.91188677237416</c:v>
                </c:pt>
                <c:pt idx="1200">
                  <c:v>115.91188677237416</c:v>
                </c:pt>
                <c:pt idx="1201">
                  <c:v>115.91188677237416</c:v>
                </c:pt>
                <c:pt idx="1202">
                  <c:v>116.64871767585399</c:v>
                </c:pt>
                <c:pt idx="1203">
                  <c:v>115.43003086091306</c:v>
                </c:pt>
                <c:pt idx="1204">
                  <c:v>114.19091199318932</c:v>
                </c:pt>
                <c:pt idx="1205">
                  <c:v>112.42949877620516</c:v>
                </c:pt>
                <c:pt idx="1206">
                  <c:v>113.17186336064702</c:v>
                </c:pt>
                <c:pt idx="1207">
                  <c:v>113.17186336064702</c:v>
                </c:pt>
                <c:pt idx="1208">
                  <c:v>113.17186336064702</c:v>
                </c:pt>
                <c:pt idx="1209">
                  <c:v>115.16739384910078</c:v>
                </c:pt>
                <c:pt idx="1210">
                  <c:v>113.06161540917314</c:v>
                </c:pt>
                <c:pt idx="1211">
                  <c:v>116.66233904437587</c:v>
                </c:pt>
                <c:pt idx="1212">
                  <c:v>117.30892838139833</c:v>
                </c:pt>
                <c:pt idx="1213">
                  <c:v>117.81547302330533</c:v>
                </c:pt>
                <c:pt idx="1214">
                  <c:v>117.81547302330533</c:v>
                </c:pt>
                <c:pt idx="1215">
                  <c:v>117.81547302330533</c:v>
                </c:pt>
                <c:pt idx="1216">
                  <c:v>117.85803979993617</c:v>
                </c:pt>
                <c:pt idx="1217">
                  <c:v>119.57901457912099</c:v>
                </c:pt>
                <c:pt idx="1218">
                  <c:v>119.6092369905289</c:v>
                </c:pt>
                <c:pt idx="1219">
                  <c:v>117.09226348834734</c:v>
                </c:pt>
                <c:pt idx="1220">
                  <c:v>117.78780461849527</c:v>
                </c:pt>
                <c:pt idx="1221">
                  <c:v>117.78780461849527</c:v>
                </c:pt>
                <c:pt idx="1222">
                  <c:v>117.78780461849527</c:v>
                </c:pt>
                <c:pt idx="1223">
                  <c:v>116.13791635628392</c:v>
                </c:pt>
                <c:pt idx="1224">
                  <c:v>118.57741832499732</c:v>
                </c:pt>
                <c:pt idx="1225">
                  <c:v>122.60678940087261</c:v>
                </c:pt>
                <c:pt idx="1226">
                  <c:v>122.78088751729274</c:v>
                </c:pt>
                <c:pt idx="1227">
                  <c:v>122.82941364265191</c:v>
                </c:pt>
                <c:pt idx="1228">
                  <c:v>122.82941364265191</c:v>
                </c:pt>
                <c:pt idx="1229">
                  <c:v>122.82941364265191</c:v>
                </c:pt>
                <c:pt idx="1230">
                  <c:v>123.51218473981058</c:v>
                </c:pt>
                <c:pt idx="1231">
                  <c:v>124.52953070128765</c:v>
                </c:pt>
                <c:pt idx="1232">
                  <c:v>124.44099180589549</c:v>
                </c:pt>
                <c:pt idx="1233">
                  <c:v>124.49036926678727</c:v>
                </c:pt>
                <c:pt idx="1234">
                  <c:v>124.03873576673405</c:v>
                </c:pt>
                <c:pt idx="1235">
                  <c:v>124.03873576673405</c:v>
                </c:pt>
                <c:pt idx="1236">
                  <c:v>124.03873576673405</c:v>
                </c:pt>
                <c:pt idx="1237">
                  <c:v>124.03958710226668</c:v>
                </c:pt>
                <c:pt idx="1238">
                  <c:v>123.69777588592103</c:v>
                </c:pt>
                <c:pt idx="1239">
                  <c:v>124.10599127381079</c:v>
                </c:pt>
                <c:pt idx="1240">
                  <c:v>124.26817069277429</c:v>
                </c:pt>
                <c:pt idx="1241">
                  <c:v>124.70660849207194</c:v>
                </c:pt>
                <c:pt idx="1242">
                  <c:v>124.70660849207194</c:v>
                </c:pt>
                <c:pt idx="1243">
                  <c:v>124.70660849207194</c:v>
                </c:pt>
                <c:pt idx="1244">
                  <c:v>124.75258061083325</c:v>
                </c:pt>
                <c:pt idx="1245">
                  <c:v>123.78205810365009</c:v>
                </c:pt>
                <c:pt idx="1246">
                  <c:v>123.62711503671385</c:v>
                </c:pt>
                <c:pt idx="1247">
                  <c:v>122.96690433116953</c:v>
                </c:pt>
                <c:pt idx="1248">
                  <c:v>123.65563477705651</c:v>
                </c:pt>
                <c:pt idx="1249">
                  <c:v>123.65563477705651</c:v>
                </c:pt>
                <c:pt idx="1250">
                  <c:v>123.65563477705651</c:v>
                </c:pt>
                <c:pt idx="1251">
                  <c:v>123.62158135575183</c:v>
                </c:pt>
                <c:pt idx="1252">
                  <c:v>122.97201234436524</c:v>
                </c:pt>
                <c:pt idx="1253">
                  <c:v>122.92816856443545</c:v>
                </c:pt>
                <c:pt idx="1254">
                  <c:v>122.47015004788764</c:v>
                </c:pt>
                <c:pt idx="1255">
                  <c:v>122.23816111524954</c:v>
                </c:pt>
                <c:pt idx="1256">
                  <c:v>122.23816111524954</c:v>
                </c:pt>
                <c:pt idx="1257">
                  <c:v>122.23816111524954</c:v>
                </c:pt>
                <c:pt idx="1258">
                  <c:v>122.509311482388</c:v>
                </c:pt>
                <c:pt idx="1259">
                  <c:v>122.95839097584336</c:v>
                </c:pt>
                <c:pt idx="1260">
                  <c:v>123.30403320208576</c:v>
                </c:pt>
                <c:pt idx="1261">
                  <c:v>123.50835372991381</c:v>
                </c:pt>
                <c:pt idx="1262">
                  <c:v>123.50835372991381</c:v>
                </c:pt>
                <c:pt idx="1263">
                  <c:v>123.50835372991381</c:v>
                </c:pt>
                <c:pt idx="1264">
                  <c:v>123.50835372991381</c:v>
                </c:pt>
                <c:pt idx="1265">
                  <c:v>123.49175268702778</c:v>
                </c:pt>
                <c:pt idx="1266">
                  <c:v>124.04128977333191</c:v>
                </c:pt>
                <c:pt idx="1267">
                  <c:v>123.33808662339045</c:v>
                </c:pt>
                <c:pt idx="1268">
                  <c:v>123.30488453761839</c:v>
                </c:pt>
                <c:pt idx="1269">
                  <c:v>122.36628711290838</c:v>
                </c:pt>
                <c:pt idx="1270">
                  <c:v>122.36628711290838</c:v>
                </c:pt>
                <c:pt idx="1271">
                  <c:v>122.36628711290838</c:v>
                </c:pt>
                <c:pt idx="1272">
                  <c:v>121.61242949877619</c:v>
                </c:pt>
                <c:pt idx="1273">
                  <c:v>121.81845269766947</c:v>
                </c:pt>
                <c:pt idx="1274">
                  <c:v>121.86697882302863</c:v>
                </c:pt>
                <c:pt idx="1275">
                  <c:v>121.61540917314038</c:v>
                </c:pt>
                <c:pt idx="1276">
                  <c:v>121.32084707885495</c:v>
                </c:pt>
                <c:pt idx="1277">
                  <c:v>121.32084707885495</c:v>
                </c:pt>
                <c:pt idx="1278">
                  <c:v>121.32084707885495</c:v>
                </c:pt>
                <c:pt idx="1279">
                  <c:v>120.91901670745983</c:v>
                </c:pt>
                <c:pt idx="1280">
                  <c:v>119.96892625305948</c:v>
                </c:pt>
                <c:pt idx="1281">
                  <c:v>120.88794296051933</c:v>
                </c:pt>
                <c:pt idx="1282">
                  <c:v>120.12046397786527</c:v>
                </c:pt>
                <c:pt idx="1283">
                  <c:v>120.60359689262532</c:v>
                </c:pt>
                <c:pt idx="1284">
                  <c:v>120.60359689262532</c:v>
                </c:pt>
                <c:pt idx="1285">
                  <c:v>120.60359689262532</c:v>
                </c:pt>
                <c:pt idx="1286">
                  <c:v>121.46770245823136</c:v>
                </c:pt>
                <c:pt idx="1287">
                  <c:v>121.64307757795041</c:v>
                </c:pt>
                <c:pt idx="1288">
                  <c:v>121.67500266042353</c:v>
                </c:pt>
                <c:pt idx="1289">
                  <c:v>121.33234010854528</c:v>
                </c:pt>
                <c:pt idx="1290">
                  <c:v>120.90454400340533</c:v>
                </c:pt>
                <c:pt idx="1291">
                  <c:v>120.90454400340533</c:v>
                </c:pt>
                <c:pt idx="1292">
                  <c:v>120.90454400340533</c:v>
                </c:pt>
                <c:pt idx="1293">
                  <c:v>120.3456422262424</c:v>
                </c:pt>
                <c:pt idx="1294">
                  <c:v>119.755666702139</c:v>
                </c:pt>
                <c:pt idx="1295">
                  <c:v>119.88038735766733</c:v>
                </c:pt>
                <c:pt idx="1296">
                  <c:v>119.29764818559114</c:v>
                </c:pt>
                <c:pt idx="1297">
                  <c:v>119.98808130254336</c:v>
                </c:pt>
                <c:pt idx="1298">
                  <c:v>119.98808130254336</c:v>
                </c:pt>
                <c:pt idx="1299">
                  <c:v>119.98808130254336</c:v>
                </c:pt>
                <c:pt idx="1300">
                  <c:v>120.7806746834096</c:v>
                </c:pt>
                <c:pt idx="1301">
                  <c:v>121.14802596573375</c:v>
                </c:pt>
                <c:pt idx="1302">
                  <c:v>120.0553368096201</c:v>
                </c:pt>
                <c:pt idx="1303">
                  <c:v>119.48409066723423</c:v>
                </c:pt>
                <c:pt idx="1304">
                  <c:v>119.2648717675854</c:v>
                </c:pt>
                <c:pt idx="1305">
                  <c:v>119.2648717675854</c:v>
                </c:pt>
                <c:pt idx="1306">
                  <c:v>119.2648717675854</c:v>
                </c:pt>
                <c:pt idx="1307">
                  <c:v>119.37809939342343</c:v>
                </c:pt>
                <c:pt idx="1308">
                  <c:v>119.85186761732467</c:v>
                </c:pt>
                <c:pt idx="1309">
                  <c:v>119.59348728317549</c:v>
                </c:pt>
                <c:pt idx="1310">
                  <c:v>119.12014472704054</c:v>
                </c:pt>
                <c:pt idx="1311">
                  <c:v>119.24273704373735</c:v>
                </c:pt>
                <c:pt idx="1312">
                  <c:v>119.24273704373735</c:v>
                </c:pt>
                <c:pt idx="1313">
                  <c:v>119.24273704373735</c:v>
                </c:pt>
                <c:pt idx="1314">
                  <c:v>119.11418537831221</c:v>
                </c:pt>
                <c:pt idx="1315">
                  <c:v>118.08108970948174</c:v>
                </c:pt>
                <c:pt idx="1316">
                  <c:v>118.924763222305</c:v>
                </c:pt>
                <c:pt idx="1317">
                  <c:v>118.51314249228477</c:v>
                </c:pt>
                <c:pt idx="1318">
                  <c:v>117.47664148132384</c:v>
                </c:pt>
                <c:pt idx="1319">
                  <c:v>117.47664148132384</c:v>
                </c:pt>
                <c:pt idx="1320">
                  <c:v>117.47664148132384</c:v>
                </c:pt>
                <c:pt idx="1321">
                  <c:v>116.48866659572204</c:v>
                </c:pt>
                <c:pt idx="1322">
                  <c:v>115.49302969032669</c:v>
                </c:pt>
                <c:pt idx="1323">
                  <c:v>115.49302969032669</c:v>
                </c:pt>
                <c:pt idx="1324">
                  <c:v>116.06725550707672</c:v>
                </c:pt>
                <c:pt idx="1325">
                  <c:v>115.71224858997553</c:v>
                </c:pt>
                <c:pt idx="1326">
                  <c:v>115.71224858997553</c:v>
                </c:pt>
                <c:pt idx="1327">
                  <c:v>115.71224858997553</c:v>
                </c:pt>
                <c:pt idx="1328">
                  <c:v>115.624561030116</c:v>
                </c:pt>
                <c:pt idx="1329">
                  <c:v>114.91454719591358</c:v>
                </c:pt>
                <c:pt idx="1330">
                  <c:v>115.91188677237416</c:v>
                </c:pt>
                <c:pt idx="1331">
                  <c:v>115.65691178035544</c:v>
                </c:pt>
                <c:pt idx="1332">
                  <c:v>117.26636160476748</c:v>
                </c:pt>
                <c:pt idx="1333">
                  <c:v>117.26636160476748</c:v>
                </c:pt>
                <c:pt idx="1334">
                  <c:v>117.26636160476748</c:v>
                </c:pt>
                <c:pt idx="1335">
                  <c:v>117.0484197084176</c:v>
                </c:pt>
                <c:pt idx="1336">
                  <c:v>117.79589230605514</c:v>
                </c:pt>
                <c:pt idx="1337">
                  <c:v>117.59455145259126</c:v>
                </c:pt>
                <c:pt idx="1338">
                  <c:v>118.06959667979142</c:v>
                </c:pt>
                <c:pt idx="1339">
                  <c:v>118.32116632967968</c:v>
                </c:pt>
                <c:pt idx="1340">
                  <c:v>118.32116632967968</c:v>
                </c:pt>
                <c:pt idx="1341">
                  <c:v>118.32116632967968</c:v>
                </c:pt>
                <c:pt idx="1342">
                  <c:v>118.44163030754495</c:v>
                </c:pt>
                <c:pt idx="1343">
                  <c:v>118.14962221985741</c:v>
                </c:pt>
                <c:pt idx="1344">
                  <c:v>118.62722145365541</c:v>
                </c:pt>
                <c:pt idx="1345">
                  <c:v>118.42077258699587</c:v>
                </c:pt>
                <c:pt idx="1346">
                  <c:v>118.29434926040226</c:v>
                </c:pt>
                <c:pt idx="1347">
                  <c:v>118.29434926040226</c:v>
                </c:pt>
                <c:pt idx="1348">
                  <c:v>118.29434926040226</c:v>
                </c:pt>
                <c:pt idx="1349">
                  <c:v>117.92572097477918</c:v>
                </c:pt>
                <c:pt idx="1350">
                  <c:v>118.01000319250825</c:v>
                </c:pt>
                <c:pt idx="1351">
                  <c:v>117.00755560285199</c:v>
                </c:pt>
                <c:pt idx="1352">
                  <c:v>116.92540172395445</c:v>
                </c:pt>
                <c:pt idx="1353">
                  <c:v>116.40395871022666</c:v>
                </c:pt>
                <c:pt idx="1354">
                  <c:v>116.40395871022666</c:v>
                </c:pt>
                <c:pt idx="1355">
                  <c:v>116.40395871022666</c:v>
                </c:pt>
                <c:pt idx="1356">
                  <c:v>115.15462381611152</c:v>
                </c:pt>
                <c:pt idx="1357">
                  <c:v>115.95232521017347</c:v>
                </c:pt>
                <c:pt idx="1358">
                  <c:v>114.49866978823029</c:v>
                </c:pt>
                <c:pt idx="1359">
                  <c:v>115.83824624880282</c:v>
                </c:pt>
                <c:pt idx="1360">
                  <c:v>115.83824624880282</c:v>
                </c:pt>
                <c:pt idx="1361">
                  <c:v>115.83824624880282</c:v>
                </c:pt>
                <c:pt idx="1362">
                  <c:v>115.83824624880282</c:v>
                </c:pt>
                <c:pt idx="1363">
                  <c:v>116.11195062253911</c:v>
                </c:pt>
                <c:pt idx="1364">
                  <c:v>116.34734489730765</c:v>
                </c:pt>
                <c:pt idx="1365">
                  <c:v>115.97062892412472</c:v>
                </c:pt>
                <c:pt idx="1366">
                  <c:v>116.33542619985103</c:v>
                </c:pt>
                <c:pt idx="1367">
                  <c:v>115.482387996169</c:v>
                </c:pt>
                <c:pt idx="1368">
                  <c:v>115.482387996169</c:v>
                </c:pt>
                <c:pt idx="1369">
                  <c:v>115.482387996169</c:v>
                </c:pt>
                <c:pt idx="1370">
                  <c:v>115.78716611684581</c:v>
                </c:pt>
                <c:pt idx="1371">
                  <c:v>115.88634670639566</c:v>
                </c:pt>
                <c:pt idx="1372">
                  <c:v>115.41768649569011</c:v>
                </c:pt>
                <c:pt idx="1373">
                  <c:v>116.2128338831542</c:v>
                </c:pt>
                <c:pt idx="1374">
                  <c:v>116.11024795147387</c:v>
                </c:pt>
                <c:pt idx="1375">
                  <c:v>116.11024795147387</c:v>
                </c:pt>
                <c:pt idx="1376">
                  <c:v>116.11024795147387</c:v>
                </c:pt>
                <c:pt idx="1377">
                  <c:v>115.91231244014048</c:v>
                </c:pt>
                <c:pt idx="1378">
                  <c:v>114.83622432691286</c:v>
                </c:pt>
                <c:pt idx="1379">
                  <c:v>113.73502181547303</c:v>
                </c:pt>
                <c:pt idx="1380">
                  <c:v>113.76524422688092</c:v>
                </c:pt>
                <c:pt idx="1381">
                  <c:v>113.37320421411088</c:v>
                </c:pt>
                <c:pt idx="1382">
                  <c:v>113.37320421411088</c:v>
                </c:pt>
                <c:pt idx="1383">
                  <c:v>113.37320421411088</c:v>
                </c:pt>
                <c:pt idx="1384">
                  <c:v>111.9391295094179</c:v>
                </c:pt>
                <c:pt idx="1385">
                  <c:v>112.1919761626051</c:v>
                </c:pt>
                <c:pt idx="1386">
                  <c:v>113.00627859955306</c:v>
                </c:pt>
                <c:pt idx="1387">
                  <c:v>112.71895285729489</c:v>
                </c:pt>
                <c:pt idx="1388">
                  <c:v>113.64946259444504</c:v>
                </c:pt>
                <c:pt idx="1389">
                  <c:v>113.64946259444504</c:v>
                </c:pt>
                <c:pt idx="1390">
                  <c:v>113.64946259444504</c:v>
                </c:pt>
                <c:pt idx="1391">
                  <c:v>113.52303926785143</c:v>
                </c:pt>
                <c:pt idx="1392">
                  <c:v>112.35075023943813</c:v>
                </c:pt>
                <c:pt idx="1393">
                  <c:v>112.14472704054485</c:v>
                </c:pt>
                <c:pt idx="1394">
                  <c:v>113.66563796956474</c:v>
                </c:pt>
                <c:pt idx="1395">
                  <c:v>113.65925295307014</c:v>
                </c:pt>
                <c:pt idx="1396">
                  <c:v>113.65925295307014</c:v>
                </c:pt>
                <c:pt idx="1397">
                  <c:v>113.65925295307014</c:v>
                </c:pt>
                <c:pt idx="1398">
                  <c:v>114.63786314781315</c:v>
                </c:pt>
                <c:pt idx="1399">
                  <c:v>115.29807385335744</c:v>
                </c:pt>
                <c:pt idx="1400">
                  <c:v>115.20229860593807</c:v>
                </c:pt>
                <c:pt idx="1401">
                  <c:v>113.98701713312759</c:v>
                </c:pt>
                <c:pt idx="1402">
                  <c:v>113.07012876449932</c:v>
                </c:pt>
                <c:pt idx="1403">
                  <c:v>113.07012876449932</c:v>
                </c:pt>
                <c:pt idx="1404">
                  <c:v>113.07012876449932</c:v>
                </c:pt>
                <c:pt idx="1405">
                  <c:v>113.39746727679045</c:v>
                </c:pt>
                <c:pt idx="1406">
                  <c:v>112.46951154623817</c:v>
                </c:pt>
                <c:pt idx="1407">
                  <c:v>113.09439182717888</c:v>
                </c:pt>
                <c:pt idx="1408">
                  <c:v>111.23379802064488</c:v>
                </c:pt>
                <c:pt idx="1409">
                  <c:v>110.86389273172288</c:v>
                </c:pt>
                <c:pt idx="1410">
                  <c:v>110.86389273172288</c:v>
                </c:pt>
                <c:pt idx="1411">
                  <c:v>110.86389273172288</c:v>
                </c:pt>
                <c:pt idx="1412">
                  <c:v>113.348515483665</c:v>
                </c:pt>
                <c:pt idx="1413">
                  <c:v>112.57592848781526</c:v>
                </c:pt>
                <c:pt idx="1414">
                  <c:v>111.28870916249866</c:v>
                </c:pt>
                <c:pt idx="1415">
                  <c:v>109.90230924763222</c:v>
                </c:pt>
                <c:pt idx="1416">
                  <c:v>112.41332340108545</c:v>
                </c:pt>
                <c:pt idx="1417">
                  <c:v>112.41332340108545</c:v>
                </c:pt>
                <c:pt idx="1418">
                  <c:v>112.41332340108545</c:v>
                </c:pt>
                <c:pt idx="1419">
                  <c:v>112.41332340108545</c:v>
                </c:pt>
                <c:pt idx="1420">
                  <c:v>110.88645312333722</c:v>
                </c:pt>
                <c:pt idx="1421">
                  <c:v>111.21081196126423</c:v>
                </c:pt>
                <c:pt idx="1422">
                  <c:v>113.16590401191871</c:v>
                </c:pt>
                <c:pt idx="1423">
                  <c:v>110.173885282537</c:v>
                </c:pt>
                <c:pt idx="1424">
                  <c:v>110.173885282537</c:v>
                </c:pt>
                <c:pt idx="1425">
                  <c:v>110.173885282537</c:v>
                </c:pt>
                <c:pt idx="1426">
                  <c:v>112.53336171118443</c:v>
                </c:pt>
                <c:pt idx="1427">
                  <c:v>115.4381185484729</c:v>
                </c:pt>
                <c:pt idx="1428">
                  <c:v>115.65137809939343</c:v>
                </c:pt>
                <c:pt idx="1429">
                  <c:v>115.48025965733746</c:v>
                </c:pt>
                <c:pt idx="1430">
                  <c:v>117.14419495583699</c:v>
                </c:pt>
                <c:pt idx="1431">
                  <c:v>117.14419495583699</c:v>
                </c:pt>
                <c:pt idx="1432">
                  <c:v>117.14419495583699</c:v>
                </c:pt>
                <c:pt idx="1433">
                  <c:v>116.94498244120464</c:v>
                </c:pt>
                <c:pt idx="1434">
                  <c:v>117.03650101096095</c:v>
                </c:pt>
                <c:pt idx="1435">
                  <c:v>117.71033308502714</c:v>
                </c:pt>
                <c:pt idx="1436">
                  <c:v>118.4641906991593</c:v>
                </c:pt>
                <c:pt idx="1437">
                  <c:v>118.6153027561988</c:v>
                </c:pt>
                <c:pt idx="1438">
                  <c:v>118.6153027561988</c:v>
                </c:pt>
                <c:pt idx="1439">
                  <c:v>118.6153027561988</c:v>
                </c:pt>
                <c:pt idx="1440">
                  <c:v>116.58912418857082</c:v>
                </c:pt>
                <c:pt idx="1441">
                  <c:v>116.07108651697351</c:v>
                </c:pt>
                <c:pt idx="1442">
                  <c:v>116.1272746621262</c:v>
                </c:pt>
                <c:pt idx="1443">
                  <c:v>115.82164520591678</c:v>
                </c:pt>
                <c:pt idx="1444">
                  <c:v>114.55783760774716</c:v>
                </c:pt>
                <c:pt idx="1445">
                  <c:v>114.55783760774716</c:v>
                </c:pt>
                <c:pt idx="1446">
                  <c:v>114.55783760774716</c:v>
                </c:pt>
                <c:pt idx="1447">
                  <c:v>113.97978078110036</c:v>
                </c:pt>
                <c:pt idx="1448">
                  <c:v>115.51899542407152</c:v>
                </c:pt>
                <c:pt idx="1449">
                  <c:v>116.8151537724806</c:v>
                </c:pt>
                <c:pt idx="1450">
                  <c:v>118.31861232308182</c:v>
                </c:pt>
                <c:pt idx="1451">
                  <c:v>116.94370543790573</c:v>
                </c:pt>
                <c:pt idx="1452">
                  <c:v>116.94370543790573</c:v>
                </c:pt>
                <c:pt idx="1453">
                  <c:v>116.94370543790573</c:v>
                </c:pt>
                <c:pt idx="1454">
                  <c:v>115.09886133872513</c:v>
                </c:pt>
                <c:pt idx="1455">
                  <c:v>114.986910716186</c:v>
                </c:pt>
                <c:pt idx="1456">
                  <c:v>115.62243269128447</c:v>
                </c:pt>
                <c:pt idx="1457">
                  <c:v>116.30179844631266</c:v>
                </c:pt>
                <c:pt idx="1458">
                  <c:v>116.30179844631266</c:v>
                </c:pt>
                <c:pt idx="1459">
                  <c:v>116.30179844631266</c:v>
                </c:pt>
                <c:pt idx="1460">
                  <c:v>116.30179844631266</c:v>
                </c:pt>
                <c:pt idx="1461">
                  <c:v>116.25838033414919</c:v>
                </c:pt>
                <c:pt idx="1462">
                  <c:v>114.87198041928275</c:v>
                </c:pt>
                <c:pt idx="1463">
                  <c:v>113.35277216132809</c:v>
                </c:pt>
                <c:pt idx="1464">
                  <c:v>113.05735873151006</c:v>
                </c:pt>
                <c:pt idx="1465">
                  <c:v>111.50579972331596</c:v>
                </c:pt>
                <c:pt idx="1466">
                  <c:v>111.50579972331596</c:v>
                </c:pt>
                <c:pt idx="1467">
                  <c:v>111.50579972331596</c:v>
                </c:pt>
                <c:pt idx="1468">
                  <c:v>109.86485048419708</c:v>
                </c:pt>
                <c:pt idx="1469">
                  <c:v>114.14962221985741</c:v>
                </c:pt>
                <c:pt idx="1470">
                  <c:v>114.72342236884113</c:v>
                </c:pt>
                <c:pt idx="1471">
                  <c:v>112.75683728849633</c:v>
                </c:pt>
                <c:pt idx="1472">
                  <c:v>117.57497073534107</c:v>
                </c:pt>
                <c:pt idx="1473">
                  <c:v>117.57497073534107</c:v>
                </c:pt>
                <c:pt idx="1474">
                  <c:v>117.57497073534107</c:v>
                </c:pt>
                <c:pt idx="1475">
                  <c:v>120.12259231669682</c:v>
                </c:pt>
                <c:pt idx="1476">
                  <c:v>120.20048951793126</c:v>
                </c:pt>
                <c:pt idx="1477">
                  <c:v>120.14174736618068</c:v>
                </c:pt>
                <c:pt idx="1478">
                  <c:v>121.46557411939982</c:v>
                </c:pt>
                <c:pt idx="1479">
                  <c:v>122.28881557944024</c:v>
                </c:pt>
                <c:pt idx="1480">
                  <c:v>122.28881557944024</c:v>
                </c:pt>
                <c:pt idx="1481">
                  <c:v>122.28881557944024</c:v>
                </c:pt>
                <c:pt idx="1482">
                  <c:v>120.85772054911142</c:v>
                </c:pt>
                <c:pt idx="1483">
                  <c:v>120.78493136107269</c:v>
                </c:pt>
                <c:pt idx="1484">
                  <c:v>120.85261253591572</c:v>
                </c:pt>
                <c:pt idx="1485">
                  <c:v>120.59040119186974</c:v>
                </c:pt>
                <c:pt idx="1486">
                  <c:v>119.62541236564861</c:v>
                </c:pt>
                <c:pt idx="1487">
                  <c:v>119.62541236564861</c:v>
                </c:pt>
                <c:pt idx="1488">
                  <c:v>119.62541236564861</c:v>
                </c:pt>
                <c:pt idx="1489">
                  <c:v>119.10311801638822</c:v>
                </c:pt>
                <c:pt idx="1490">
                  <c:v>119.29594551452591</c:v>
                </c:pt>
                <c:pt idx="1491">
                  <c:v>118.18324997339577</c:v>
                </c:pt>
                <c:pt idx="1492">
                  <c:v>118.6012557199106</c:v>
                </c:pt>
                <c:pt idx="1493">
                  <c:v>118.6012557199106</c:v>
                </c:pt>
                <c:pt idx="1494">
                  <c:v>118.6012557199106</c:v>
                </c:pt>
                <c:pt idx="1495">
                  <c:v>118.6012557199106</c:v>
                </c:pt>
                <c:pt idx="1496">
                  <c:v>117.80610833244651</c:v>
                </c:pt>
                <c:pt idx="1497">
                  <c:v>116.98329254017239</c:v>
                </c:pt>
                <c:pt idx="1498">
                  <c:v>117.11354687666275</c:v>
                </c:pt>
                <c:pt idx="1499">
                  <c:v>116.96115781632437</c:v>
                </c:pt>
                <c:pt idx="1500">
                  <c:v>116.76705331488773</c:v>
                </c:pt>
                <c:pt idx="1501">
                  <c:v>116.76705331488773</c:v>
                </c:pt>
                <c:pt idx="1502">
                  <c:v>116.76705331488773</c:v>
                </c:pt>
                <c:pt idx="1503">
                  <c:v>115.95147387464084</c:v>
                </c:pt>
                <c:pt idx="1504">
                  <c:v>115.48621900606577</c:v>
                </c:pt>
                <c:pt idx="1505">
                  <c:v>114.75194210918377</c:v>
                </c:pt>
                <c:pt idx="1506">
                  <c:v>113.80695966797916</c:v>
                </c:pt>
                <c:pt idx="1507">
                  <c:v>113.80695966797916</c:v>
                </c:pt>
                <c:pt idx="1508">
                  <c:v>113.80695966797916</c:v>
                </c:pt>
                <c:pt idx="1509">
                  <c:v>113.80695966797916</c:v>
                </c:pt>
                <c:pt idx="1510">
                  <c:v>114.39991486644674</c:v>
                </c:pt>
                <c:pt idx="1511">
                  <c:v>114.19048632542301</c:v>
                </c:pt>
                <c:pt idx="1512">
                  <c:v>114.10024475896563</c:v>
                </c:pt>
                <c:pt idx="1513">
                  <c:v>114.22113440459722</c:v>
                </c:pt>
                <c:pt idx="1514">
                  <c:v>114.22113440459722</c:v>
                </c:pt>
                <c:pt idx="1515">
                  <c:v>114.22113440459722</c:v>
                </c:pt>
                <c:pt idx="1516">
                  <c:v>114.22113440459722</c:v>
                </c:pt>
                <c:pt idx="1517">
                  <c:v>114.27349153985315</c:v>
                </c:pt>
                <c:pt idx="1518">
                  <c:v>114.04703628817707</c:v>
                </c:pt>
                <c:pt idx="1519">
                  <c:v>114.14153453229754</c:v>
                </c:pt>
                <c:pt idx="1520">
                  <c:v>114.51143982121954</c:v>
                </c:pt>
                <c:pt idx="1521">
                  <c:v>113.90060657656697</c:v>
                </c:pt>
                <c:pt idx="1522">
                  <c:v>113.90060657656697</c:v>
                </c:pt>
                <c:pt idx="1523">
                  <c:v>113.90060657656697</c:v>
                </c:pt>
                <c:pt idx="1524">
                  <c:v>112.88751729275302</c:v>
                </c:pt>
                <c:pt idx="1525">
                  <c:v>113.3489411514313</c:v>
                </c:pt>
                <c:pt idx="1526">
                  <c:v>113.40257528998616</c:v>
                </c:pt>
                <c:pt idx="1527">
                  <c:v>113.22720017026711</c:v>
                </c:pt>
                <c:pt idx="1528">
                  <c:v>112.86580823667127</c:v>
                </c:pt>
                <c:pt idx="1529">
                  <c:v>112.86580823667127</c:v>
                </c:pt>
                <c:pt idx="1530">
                  <c:v>112.86580823667127</c:v>
                </c:pt>
                <c:pt idx="1531">
                  <c:v>112.2477386399915</c:v>
                </c:pt>
                <c:pt idx="1532">
                  <c:v>111.91954879216772</c:v>
                </c:pt>
                <c:pt idx="1533">
                  <c:v>111.93231882515697</c:v>
                </c:pt>
                <c:pt idx="1534">
                  <c:v>112.35245291050336</c:v>
                </c:pt>
                <c:pt idx="1535">
                  <c:v>112.47078854953708</c:v>
                </c:pt>
                <c:pt idx="1536">
                  <c:v>112.47078854953708</c:v>
                </c:pt>
                <c:pt idx="1537">
                  <c:v>112.47078854953708</c:v>
                </c:pt>
                <c:pt idx="1538">
                  <c:v>112.69894647227838</c:v>
                </c:pt>
                <c:pt idx="1539">
                  <c:v>111.78333510694902</c:v>
                </c:pt>
                <c:pt idx="1540">
                  <c:v>111.82462488028094</c:v>
                </c:pt>
                <c:pt idx="1541">
                  <c:v>110.73406406299884</c:v>
                </c:pt>
                <c:pt idx="1542">
                  <c:v>110.77663083962968</c:v>
                </c:pt>
                <c:pt idx="1543">
                  <c:v>110.77663083962968</c:v>
                </c:pt>
                <c:pt idx="1544">
                  <c:v>110.77663083962968</c:v>
                </c:pt>
                <c:pt idx="1545">
                  <c:v>110.54932425242099</c:v>
                </c:pt>
                <c:pt idx="1546">
                  <c:v>110.54932425242099</c:v>
                </c:pt>
                <c:pt idx="1547">
                  <c:v>110.63232946685113</c:v>
                </c:pt>
                <c:pt idx="1548">
                  <c:v>109.91337660955625</c:v>
                </c:pt>
                <c:pt idx="1549">
                  <c:v>109.77333191444079</c:v>
                </c:pt>
                <c:pt idx="1550">
                  <c:v>109.77333191444079</c:v>
                </c:pt>
                <c:pt idx="1551">
                  <c:v>109.77333191444079</c:v>
                </c:pt>
                <c:pt idx="1552">
                  <c:v>110.06236032776417</c:v>
                </c:pt>
                <c:pt idx="1553">
                  <c:v>109.16760668298393</c:v>
                </c:pt>
                <c:pt idx="1554">
                  <c:v>109.77418324997339</c:v>
                </c:pt>
                <c:pt idx="1555">
                  <c:v>110.02830690645951</c:v>
                </c:pt>
                <c:pt idx="1556">
                  <c:v>109.92018729381718</c:v>
                </c:pt>
                <c:pt idx="1557">
                  <c:v>109.92018729381718</c:v>
                </c:pt>
                <c:pt idx="1558">
                  <c:v>109.92018729381718</c:v>
                </c:pt>
                <c:pt idx="1559">
                  <c:v>110.01894221560072</c:v>
                </c:pt>
                <c:pt idx="1560">
                  <c:v>110.43439395551773</c:v>
                </c:pt>
                <c:pt idx="1561">
                  <c:v>110.27519421091839</c:v>
                </c:pt>
                <c:pt idx="1562">
                  <c:v>110.2960519314675</c:v>
                </c:pt>
                <c:pt idx="1563">
                  <c:v>110.15600723635204</c:v>
                </c:pt>
                <c:pt idx="1564">
                  <c:v>110.15600723635204</c:v>
                </c:pt>
                <c:pt idx="1565">
                  <c:v>110.15600723635204</c:v>
                </c:pt>
                <c:pt idx="1566">
                  <c:v>109.81589869107162</c:v>
                </c:pt>
                <c:pt idx="1567">
                  <c:v>109.79504097052251</c:v>
                </c:pt>
                <c:pt idx="1568">
                  <c:v>109.62051718633607</c:v>
                </c:pt>
                <c:pt idx="1569">
                  <c:v>109.51707991912312</c:v>
                </c:pt>
                <c:pt idx="1570">
                  <c:v>109.86783015856125</c:v>
                </c:pt>
                <c:pt idx="1571">
                  <c:v>109.86783015856125</c:v>
                </c:pt>
                <c:pt idx="1572">
                  <c:v>109.86783015856125</c:v>
                </c:pt>
                <c:pt idx="1573">
                  <c:v>108.98797488560179</c:v>
                </c:pt>
                <c:pt idx="1574">
                  <c:v>108.84963286155156</c:v>
                </c:pt>
                <c:pt idx="1575">
                  <c:v>109.35958284558902</c:v>
                </c:pt>
                <c:pt idx="1576">
                  <c:v>109.18293072257103</c:v>
                </c:pt>
                <c:pt idx="1577">
                  <c:v>109.61838884750452</c:v>
                </c:pt>
                <c:pt idx="1578">
                  <c:v>109.61838884750452</c:v>
                </c:pt>
                <c:pt idx="1579">
                  <c:v>109.61838884750452</c:v>
                </c:pt>
                <c:pt idx="1580">
                  <c:v>109.06033840587422</c:v>
                </c:pt>
                <c:pt idx="1581">
                  <c:v>109.02458231350431</c:v>
                </c:pt>
                <c:pt idx="1582">
                  <c:v>108.94370543790572</c:v>
                </c:pt>
                <c:pt idx="1583">
                  <c:v>108.87049058210066</c:v>
                </c:pt>
                <c:pt idx="1584">
                  <c:v>108.68021709056082</c:v>
                </c:pt>
                <c:pt idx="1585">
                  <c:v>108.68021709056082</c:v>
                </c:pt>
                <c:pt idx="1586">
                  <c:v>108.68021709056082</c:v>
                </c:pt>
                <c:pt idx="1587">
                  <c:v>108.58486751090773</c:v>
                </c:pt>
                <c:pt idx="1588">
                  <c:v>108.76833031818664</c:v>
                </c:pt>
                <c:pt idx="1589">
                  <c:v>108.5725231456848</c:v>
                </c:pt>
                <c:pt idx="1590">
                  <c:v>108.32095349579653</c:v>
                </c:pt>
                <c:pt idx="1591">
                  <c:v>108.51676066829839</c:v>
                </c:pt>
                <c:pt idx="1592">
                  <c:v>108.51676066829839</c:v>
                </c:pt>
                <c:pt idx="1593">
                  <c:v>108.51676066829839</c:v>
                </c:pt>
                <c:pt idx="1594">
                  <c:v>108.6333936362669</c:v>
                </c:pt>
                <c:pt idx="1595">
                  <c:v>108.02341172714695</c:v>
                </c:pt>
                <c:pt idx="1596">
                  <c:v>107.8889007129935</c:v>
                </c:pt>
                <c:pt idx="1597">
                  <c:v>107.65648611258911</c:v>
                </c:pt>
                <c:pt idx="1598">
                  <c:v>107.24103437267215</c:v>
                </c:pt>
                <c:pt idx="1599">
                  <c:v>107.24103437267215</c:v>
                </c:pt>
                <c:pt idx="1600">
                  <c:v>107.24103437267215</c:v>
                </c:pt>
                <c:pt idx="1601">
                  <c:v>106.84516335000531</c:v>
                </c:pt>
                <c:pt idx="1602">
                  <c:v>106.71661168458017</c:v>
                </c:pt>
                <c:pt idx="1603">
                  <c:v>106.28243056294562</c:v>
                </c:pt>
                <c:pt idx="1604">
                  <c:v>106.27476854315205</c:v>
                </c:pt>
                <c:pt idx="1605">
                  <c:v>106.51143982121954</c:v>
                </c:pt>
                <c:pt idx="1606">
                  <c:v>106.51143982121954</c:v>
                </c:pt>
                <c:pt idx="1607">
                  <c:v>106.51143982121954</c:v>
                </c:pt>
                <c:pt idx="1608">
                  <c:v>106.44248164307757</c:v>
                </c:pt>
                <c:pt idx="1609">
                  <c:v>106.76769181653718</c:v>
                </c:pt>
                <c:pt idx="1610">
                  <c:v>106.70001064169416</c:v>
                </c:pt>
                <c:pt idx="1611">
                  <c:v>106.58167500266043</c:v>
                </c:pt>
                <c:pt idx="1612">
                  <c:v>106.42673193572416</c:v>
                </c:pt>
                <c:pt idx="1613">
                  <c:v>106.42673193572416</c:v>
                </c:pt>
                <c:pt idx="1614">
                  <c:v>106.42673193572416</c:v>
                </c:pt>
                <c:pt idx="1615">
                  <c:v>106.23049909545598</c:v>
                </c:pt>
                <c:pt idx="1616">
                  <c:v>106.3475577311908</c:v>
                </c:pt>
                <c:pt idx="1617">
                  <c:v>106.26710652335851</c:v>
                </c:pt>
                <c:pt idx="1618">
                  <c:v>105.91082260295839</c:v>
                </c:pt>
                <c:pt idx="1619">
                  <c:v>104.77514100244758</c:v>
                </c:pt>
                <c:pt idx="1620">
                  <c:v>104.77514100244758</c:v>
                </c:pt>
                <c:pt idx="1621">
                  <c:v>104.77514100244758</c:v>
                </c:pt>
                <c:pt idx="1622">
                  <c:v>104.93136107268278</c:v>
                </c:pt>
                <c:pt idx="1623">
                  <c:v>104.95009045440034</c:v>
                </c:pt>
                <c:pt idx="1624">
                  <c:v>104.62275194210918</c:v>
                </c:pt>
                <c:pt idx="1625">
                  <c:v>105.41875066510589</c:v>
                </c:pt>
                <c:pt idx="1626">
                  <c:v>105.41875066510589</c:v>
                </c:pt>
                <c:pt idx="1627">
                  <c:v>105.41875066510589</c:v>
                </c:pt>
                <c:pt idx="1628">
                  <c:v>105.41875066510589</c:v>
                </c:pt>
                <c:pt idx="1629">
                  <c:v>105.21017345961477</c:v>
                </c:pt>
                <c:pt idx="1630">
                  <c:v>104.61168458018517</c:v>
                </c:pt>
                <c:pt idx="1631">
                  <c:v>104.131105672023</c:v>
                </c:pt>
                <c:pt idx="1632">
                  <c:v>104.04341811216344</c:v>
                </c:pt>
                <c:pt idx="1633">
                  <c:v>103.99276364797277</c:v>
                </c:pt>
                <c:pt idx="1634">
                  <c:v>103.99276364797277</c:v>
                </c:pt>
                <c:pt idx="1635">
                  <c:v>103.99276364797277</c:v>
                </c:pt>
                <c:pt idx="1636">
                  <c:v>103.81909119931892</c:v>
                </c:pt>
                <c:pt idx="1637">
                  <c:v>104.03490475683728</c:v>
                </c:pt>
                <c:pt idx="1638">
                  <c:v>104.3954453549005</c:v>
                </c:pt>
                <c:pt idx="1639">
                  <c:v>103.36788336703202</c:v>
                </c:pt>
                <c:pt idx="1640">
                  <c:v>103.24784505693307</c:v>
                </c:pt>
                <c:pt idx="1641">
                  <c:v>103.24784505693307</c:v>
                </c:pt>
                <c:pt idx="1642">
                  <c:v>103.24784505693307</c:v>
                </c:pt>
                <c:pt idx="1643">
                  <c:v>103.43769288070661</c:v>
                </c:pt>
                <c:pt idx="1644">
                  <c:v>105.0594870703416</c:v>
                </c:pt>
                <c:pt idx="1645">
                  <c:v>104.91050335213366</c:v>
                </c:pt>
                <c:pt idx="1646">
                  <c:v>104.96286048738961</c:v>
                </c:pt>
                <c:pt idx="1647">
                  <c:v>103.91912312440141</c:v>
                </c:pt>
                <c:pt idx="1648">
                  <c:v>103.91912312440141</c:v>
                </c:pt>
                <c:pt idx="1649">
                  <c:v>103.91912312440141</c:v>
                </c:pt>
                <c:pt idx="1650">
                  <c:v>103.7867404490795</c:v>
                </c:pt>
                <c:pt idx="1651">
                  <c:v>105.31105672022987</c:v>
                </c:pt>
                <c:pt idx="1652">
                  <c:v>105.34936681919763</c:v>
                </c:pt>
                <c:pt idx="1653">
                  <c:v>105.60434181121634</c:v>
                </c:pt>
                <c:pt idx="1654">
                  <c:v>105.43066936256251</c:v>
                </c:pt>
                <c:pt idx="1655">
                  <c:v>105.43066936256251</c:v>
                </c:pt>
                <c:pt idx="1656">
                  <c:v>105.43066936256251</c:v>
                </c:pt>
                <c:pt idx="1657">
                  <c:v>105.23188251569648</c:v>
                </c:pt>
                <c:pt idx="1658">
                  <c:v>105.46216877726935</c:v>
                </c:pt>
                <c:pt idx="1659">
                  <c:v>105.41023730977972</c:v>
                </c:pt>
                <c:pt idx="1660">
                  <c:v>105.15270831116314</c:v>
                </c:pt>
                <c:pt idx="1661">
                  <c:v>105.22932850909865</c:v>
                </c:pt>
                <c:pt idx="1662">
                  <c:v>105.22932850909865</c:v>
                </c:pt>
                <c:pt idx="1663">
                  <c:v>105.22932850909865</c:v>
                </c:pt>
                <c:pt idx="1664">
                  <c:v>105.37065020751304</c:v>
                </c:pt>
                <c:pt idx="1665">
                  <c:v>105.47323613919335</c:v>
                </c:pt>
                <c:pt idx="1666">
                  <c:v>105.44343939555179</c:v>
                </c:pt>
                <c:pt idx="1667">
                  <c:v>105.13610726827712</c:v>
                </c:pt>
                <c:pt idx="1668">
                  <c:v>105.24805789081621</c:v>
                </c:pt>
                <c:pt idx="1669">
                  <c:v>105.24805789081621</c:v>
                </c:pt>
                <c:pt idx="1670">
                  <c:v>105.24805789081621</c:v>
                </c:pt>
                <c:pt idx="1671">
                  <c:v>105.28679365755028</c:v>
                </c:pt>
                <c:pt idx="1672">
                  <c:v>105.30296903267001</c:v>
                </c:pt>
                <c:pt idx="1673">
                  <c:v>104.7402362456103</c:v>
                </c:pt>
                <c:pt idx="1674">
                  <c:v>104.67766308396295</c:v>
                </c:pt>
                <c:pt idx="1675">
                  <c:v>104.68319676492497</c:v>
                </c:pt>
                <c:pt idx="1676">
                  <c:v>104.68319676492497</c:v>
                </c:pt>
                <c:pt idx="1677">
                  <c:v>104.68319676492497</c:v>
                </c:pt>
                <c:pt idx="1678">
                  <c:v>104.19623284026818</c:v>
                </c:pt>
                <c:pt idx="1679">
                  <c:v>104.00127700329892</c:v>
                </c:pt>
                <c:pt idx="1680">
                  <c:v>103.24699372140044</c:v>
                </c:pt>
                <c:pt idx="1681">
                  <c:v>103.32787059699903</c:v>
                </c:pt>
                <c:pt idx="1682">
                  <c:v>103.23209534957965</c:v>
                </c:pt>
                <c:pt idx="1683">
                  <c:v>103.23209534957965</c:v>
                </c:pt>
                <c:pt idx="1684">
                  <c:v>103.23209534957965</c:v>
                </c:pt>
                <c:pt idx="1685">
                  <c:v>102.57528998616581</c:v>
                </c:pt>
                <c:pt idx="1686">
                  <c:v>103.54538682558263</c:v>
                </c:pt>
                <c:pt idx="1687">
                  <c:v>103.39512610407577</c:v>
                </c:pt>
                <c:pt idx="1688">
                  <c:v>103.39512610407577</c:v>
                </c:pt>
                <c:pt idx="1689">
                  <c:v>103.15675215494306</c:v>
                </c:pt>
                <c:pt idx="1690">
                  <c:v>103.15675215494306</c:v>
                </c:pt>
                <c:pt idx="1691">
                  <c:v>103.15675215494306</c:v>
                </c:pt>
                <c:pt idx="1692">
                  <c:v>102.99882941364264</c:v>
                </c:pt>
                <c:pt idx="1693">
                  <c:v>103.89230605512398</c:v>
                </c:pt>
                <c:pt idx="1694">
                  <c:v>102.98520804512079</c:v>
                </c:pt>
                <c:pt idx="1695">
                  <c:v>103.82334787698201</c:v>
                </c:pt>
                <c:pt idx="1696">
                  <c:v>103.79057145897627</c:v>
                </c:pt>
                <c:pt idx="1697">
                  <c:v>103.79057145897627</c:v>
                </c:pt>
                <c:pt idx="1698">
                  <c:v>103.79057145897627</c:v>
                </c:pt>
                <c:pt idx="1699">
                  <c:v>103.62881770777908</c:v>
                </c:pt>
                <c:pt idx="1700">
                  <c:v>103.67606682983931</c:v>
                </c:pt>
                <c:pt idx="1701">
                  <c:v>103.73651165265511</c:v>
                </c:pt>
                <c:pt idx="1702">
                  <c:v>104.4358837926998</c:v>
                </c:pt>
                <c:pt idx="1703">
                  <c:v>103.57135255932745</c:v>
                </c:pt>
                <c:pt idx="1704">
                  <c:v>103.57135255932745</c:v>
                </c:pt>
                <c:pt idx="1705">
                  <c:v>103.57135255932745</c:v>
                </c:pt>
                <c:pt idx="1706">
                  <c:v>103.54198148345218</c:v>
                </c:pt>
                <c:pt idx="1707">
                  <c:v>103.77439608385654</c:v>
                </c:pt>
                <c:pt idx="1708">
                  <c:v>103.87783335106948</c:v>
                </c:pt>
                <c:pt idx="1709">
                  <c:v>103.41130147919549</c:v>
                </c:pt>
                <c:pt idx="1710">
                  <c:v>103.51261040757689</c:v>
                </c:pt>
                <c:pt idx="1711">
                  <c:v>103.51261040757689</c:v>
                </c:pt>
                <c:pt idx="1712">
                  <c:v>103.51261040757689</c:v>
                </c:pt>
                <c:pt idx="1713">
                  <c:v>103.59859529637119</c:v>
                </c:pt>
                <c:pt idx="1714">
                  <c:v>103.57092689156113</c:v>
                </c:pt>
                <c:pt idx="1715">
                  <c:v>103.40874747259763</c:v>
                </c:pt>
                <c:pt idx="1716">
                  <c:v>103.69692455038842</c:v>
                </c:pt>
                <c:pt idx="1717">
                  <c:v>103.82334787698201</c:v>
                </c:pt>
                <c:pt idx="1718">
                  <c:v>103.82334787698201</c:v>
                </c:pt>
                <c:pt idx="1719">
                  <c:v>103.82334787698201</c:v>
                </c:pt>
                <c:pt idx="1720">
                  <c:v>103.43982121953815</c:v>
                </c:pt>
                <c:pt idx="1721">
                  <c:v>102.66255187825904</c:v>
                </c:pt>
                <c:pt idx="1722">
                  <c:v>102.70980100031923</c:v>
                </c:pt>
                <c:pt idx="1723">
                  <c:v>102.83367032031501</c:v>
                </c:pt>
                <c:pt idx="1724">
                  <c:v>102.83367032031501</c:v>
                </c:pt>
                <c:pt idx="1725">
                  <c:v>102.83367032031501</c:v>
                </c:pt>
                <c:pt idx="1726">
                  <c:v>102.83367032031501</c:v>
                </c:pt>
                <c:pt idx="1727">
                  <c:v>102.80174523784187</c:v>
                </c:pt>
                <c:pt idx="1728">
                  <c:v>102.3471320634245</c:v>
                </c:pt>
                <c:pt idx="1729">
                  <c:v>102.09300840693838</c:v>
                </c:pt>
                <c:pt idx="1730">
                  <c:v>101.9057145897627</c:v>
                </c:pt>
                <c:pt idx="1731">
                  <c:v>101.38256890496966</c:v>
                </c:pt>
                <c:pt idx="1732">
                  <c:v>101.38256890496966</c:v>
                </c:pt>
                <c:pt idx="1733">
                  <c:v>101.38256890496966</c:v>
                </c:pt>
                <c:pt idx="1734">
                  <c:v>100.70107481110992</c:v>
                </c:pt>
                <c:pt idx="1735">
                  <c:v>100.33116952218795</c:v>
                </c:pt>
                <c:pt idx="1736">
                  <c:v>102.18878365435778</c:v>
                </c:pt>
                <c:pt idx="1737">
                  <c:v>102.25901883579867</c:v>
                </c:pt>
                <c:pt idx="1738">
                  <c:v>101.77290624667448</c:v>
                </c:pt>
                <c:pt idx="1739">
                  <c:v>101.77290624667448</c:v>
                </c:pt>
                <c:pt idx="1740">
                  <c:v>101.77290624667448</c:v>
                </c:pt>
                <c:pt idx="1741">
                  <c:v>101.92359263594764</c:v>
                </c:pt>
                <c:pt idx="1742">
                  <c:v>102.14451420666171</c:v>
                </c:pt>
                <c:pt idx="1743">
                  <c:v>102.02915824199212</c:v>
                </c:pt>
                <c:pt idx="1744">
                  <c:v>102.13387251250398</c:v>
                </c:pt>
                <c:pt idx="1745">
                  <c:v>102.1300415026072</c:v>
                </c:pt>
                <c:pt idx="1746">
                  <c:v>102.1300415026072</c:v>
                </c:pt>
                <c:pt idx="1747">
                  <c:v>102.1300415026072</c:v>
                </c:pt>
                <c:pt idx="1748">
                  <c:v>101.71416409492392</c:v>
                </c:pt>
                <c:pt idx="1749">
                  <c:v>101.65499627540704</c:v>
                </c:pt>
                <c:pt idx="1750">
                  <c:v>101.78439927636479</c:v>
                </c:pt>
                <c:pt idx="1751">
                  <c:v>101.6635096307332</c:v>
                </c:pt>
                <c:pt idx="1752">
                  <c:v>101.48770884324784</c:v>
                </c:pt>
                <c:pt idx="1753">
                  <c:v>101.48770884324784</c:v>
                </c:pt>
                <c:pt idx="1754">
                  <c:v>101.48770884324784</c:v>
                </c:pt>
                <c:pt idx="1755">
                  <c:v>101.68223901245079</c:v>
                </c:pt>
                <c:pt idx="1756">
                  <c:v>101.62605086729806</c:v>
                </c:pt>
                <c:pt idx="1757">
                  <c:v>101.67542832818985</c:v>
                </c:pt>
                <c:pt idx="1758">
                  <c:v>101.0599127381079</c:v>
                </c:pt>
                <c:pt idx="1759">
                  <c:v>99.976162605086728</c:v>
                </c:pt>
                <c:pt idx="1760">
                  <c:v>99.976162605086728</c:v>
                </c:pt>
                <c:pt idx="1761">
                  <c:v>99.976162605086728</c:v>
                </c:pt>
                <c:pt idx="1762">
                  <c:v>100.28051505799725</c:v>
                </c:pt>
                <c:pt idx="1763">
                  <c:v>99.528360114930308</c:v>
                </c:pt>
                <c:pt idx="1764">
                  <c:v>99.699478556986278</c:v>
                </c:pt>
                <c:pt idx="1765">
                  <c:v>99.98978397360861</c:v>
                </c:pt>
                <c:pt idx="1766">
                  <c:v>99.135894434393947</c:v>
                </c:pt>
                <c:pt idx="1767">
                  <c:v>99.135894434393947</c:v>
                </c:pt>
                <c:pt idx="1768">
                  <c:v>99.135894434393947</c:v>
                </c:pt>
                <c:pt idx="1769">
                  <c:v>99.135894434393947</c:v>
                </c:pt>
                <c:pt idx="1770">
                  <c:v>99.816111524954763</c:v>
                </c:pt>
                <c:pt idx="1771">
                  <c:v>100.19282749813772</c:v>
                </c:pt>
                <c:pt idx="1772">
                  <c:v>100.33670320314994</c:v>
                </c:pt>
                <c:pt idx="1773">
                  <c:v>100.26774502500797</c:v>
                </c:pt>
                <c:pt idx="1774">
                  <c:v>100.26774502500797</c:v>
                </c:pt>
                <c:pt idx="1775">
                  <c:v>100.26774502500797</c:v>
                </c:pt>
                <c:pt idx="1776">
                  <c:v>100.35075023943811</c:v>
                </c:pt>
                <c:pt idx="1777">
                  <c:v>100.1574970735341</c:v>
                </c:pt>
                <c:pt idx="1778">
                  <c:v>100.46440353304244</c:v>
                </c:pt>
                <c:pt idx="1779">
                  <c:v>100.40821538788975</c:v>
                </c:pt>
                <c:pt idx="1780">
                  <c:v>100.5733744812174</c:v>
                </c:pt>
                <c:pt idx="1781">
                  <c:v>100.5733744812174</c:v>
                </c:pt>
                <c:pt idx="1782">
                  <c:v>100.5733744812174</c:v>
                </c:pt>
                <c:pt idx="1783">
                  <c:v>100.8006810684261</c:v>
                </c:pt>
                <c:pt idx="1784">
                  <c:v>100.50569330637438</c:v>
                </c:pt>
                <c:pt idx="1785">
                  <c:v>100.39672235819943</c:v>
                </c:pt>
                <c:pt idx="1786">
                  <c:v>99.673938491007775</c:v>
                </c:pt>
                <c:pt idx="1787">
                  <c:v>99.775673087155482</c:v>
                </c:pt>
                <c:pt idx="1788">
                  <c:v>99.775673087155482</c:v>
                </c:pt>
                <c:pt idx="1789">
                  <c:v>99.775673087155482</c:v>
                </c:pt>
                <c:pt idx="1790">
                  <c:v>99.859955304884537</c:v>
                </c:pt>
                <c:pt idx="1791">
                  <c:v>99.965946578695323</c:v>
                </c:pt>
                <c:pt idx="1792">
                  <c:v>99.777375758220714</c:v>
                </c:pt>
                <c:pt idx="1793">
                  <c:v>101.03096732999892</c:v>
                </c:pt>
                <c:pt idx="1794">
                  <c:v>101.23443652229436</c:v>
                </c:pt>
                <c:pt idx="1795">
                  <c:v>101.23443652229436</c:v>
                </c:pt>
                <c:pt idx="1796">
                  <c:v>101.23443652229436</c:v>
                </c:pt>
                <c:pt idx="1797">
                  <c:v>101.36767053314888</c:v>
                </c:pt>
                <c:pt idx="1798">
                  <c:v>101.53282962647654</c:v>
                </c:pt>
                <c:pt idx="1799">
                  <c:v>100.68958178141961</c:v>
                </c:pt>
                <c:pt idx="1800">
                  <c:v>101.03096732999892</c:v>
                </c:pt>
                <c:pt idx="1801">
                  <c:v>100.9939342343301</c:v>
                </c:pt>
                <c:pt idx="1802">
                  <c:v>100.9939342343301</c:v>
                </c:pt>
                <c:pt idx="1803">
                  <c:v>100.9939342343301</c:v>
                </c:pt>
                <c:pt idx="1804">
                  <c:v>100.6648930509737</c:v>
                </c:pt>
                <c:pt idx="1805">
                  <c:v>100.58444184314143</c:v>
                </c:pt>
                <c:pt idx="1806">
                  <c:v>100.81472810471426</c:v>
                </c:pt>
                <c:pt idx="1807">
                  <c:v>101.10929019899967</c:v>
                </c:pt>
                <c:pt idx="1808">
                  <c:v>101.44173672448653</c:v>
                </c:pt>
                <c:pt idx="1809">
                  <c:v>101.44173672448653</c:v>
                </c:pt>
                <c:pt idx="1810">
                  <c:v>101.44173672448653</c:v>
                </c:pt>
                <c:pt idx="1811">
                  <c:v>101.39065659252952</c:v>
                </c:pt>
                <c:pt idx="1812">
                  <c:v>101.98829413642652</c:v>
                </c:pt>
                <c:pt idx="1813">
                  <c:v>100.61253591571777</c:v>
                </c:pt>
                <c:pt idx="1814">
                  <c:v>100.87261892093223</c:v>
                </c:pt>
                <c:pt idx="1815">
                  <c:v>100.77003298925189</c:v>
                </c:pt>
                <c:pt idx="1816">
                  <c:v>100.77003298925189</c:v>
                </c:pt>
                <c:pt idx="1817">
                  <c:v>100.77003298925189</c:v>
                </c:pt>
                <c:pt idx="1818">
                  <c:v>100.61977226774503</c:v>
                </c:pt>
                <c:pt idx="1819">
                  <c:v>100.57763115888049</c:v>
                </c:pt>
                <c:pt idx="1820">
                  <c:v>100.68660210705545</c:v>
                </c:pt>
                <c:pt idx="1821">
                  <c:v>100.0813025433649</c:v>
                </c:pt>
                <c:pt idx="1822">
                  <c:v>100.0813025433649</c:v>
                </c:pt>
                <c:pt idx="1823">
                  <c:v>100.0813025433649</c:v>
                </c:pt>
                <c:pt idx="1824">
                  <c:v>100.0813025433649</c:v>
                </c:pt>
                <c:pt idx="1825">
                  <c:v>99.913589443439392</c:v>
                </c:pt>
                <c:pt idx="1826">
                  <c:v>100</c:v>
                </c:pt>
              </c:numCache>
            </c:numRef>
          </c:val>
          <c:smooth val="0"/>
          <c:extLst>
            <c:ext xmlns:c16="http://schemas.microsoft.com/office/drawing/2014/chart" uri="{C3380CC4-5D6E-409C-BE32-E72D297353CC}">
              <c16:uniqueId val="{00000006-9E9F-443E-87D8-A4B4D8C106CA}"/>
            </c:ext>
          </c:extLst>
        </c:ser>
        <c:ser>
          <c:idx val="7"/>
          <c:order val="7"/>
          <c:tx>
            <c:strRef>
              <c:f>Indexed!$J$3</c:f>
              <c:strCache>
                <c:ptCount val="1"/>
                <c:pt idx="0">
                  <c:v>NASDAQ</c:v>
                </c:pt>
              </c:strCache>
            </c:strRef>
          </c:tx>
          <c:spPr>
            <a:ln w="28575" cap="rnd">
              <a:solidFill>
                <a:schemeClr val="accent3">
                  <a:lumMod val="80000"/>
                  <a:lumOff val="20000"/>
                </a:schemeClr>
              </a:solidFill>
              <a:round/>
            </a:ln>
            <a:effectLst/>
          </c:spPr>
          <c:marker>
            <c:symbol val="none"/>
          </c:marker>
          <c:cat>
            <c:numRef>
              <c:f>Indexed!$B$4:$B$3657</c:f>
              <c:numCache>
                <c:formatCode>[$-14009]dddd\,\ d\ mmmm\,\ yyyy;@</c:formatCode>
                <c:ptCount val="3654"/>
                <c:pt idx="0">
                  <c:v>44607</c:v>
                </c:pt>
                <c:pt idx="1">
                  <c:v>44606</c:v>
                </c:pt>
                <c:pt idx="2">
                  <c:v>44605</c:v>
                </c:pt>
                <c:pt idx="3">
                  <c:v>44604</c:v>
                </c:pt>
                <c:pt idx="4">
                  <c:v>44603</c:v>
                </c:pt>
                <c:pt idx="5">
                  <c:v>44602</c:v>
                </c:pt>
                <c:pt idx="6">
                  <c:v>44601</c:v>
                </c:pt>
                <c:pt idx="7">
                  <c:v>44600</c:v>
                </c:pt>
                <c:pt idx="8">
                  <c:v>44599</c:v>
                </c:pt>
                <c:pt idx="9">
                  <c:v>44598</c:v>
                </c:pt>
                <c:pt idx="10">
                  <c:v>44597</c:v>
                </c:pt>
                <c:pt idx="11">
                  <c:v>44596</c:v>
                </c:pt>
                <c:pt idx="12">
                  <c:v>44595</c:v>
                </c:pt>
                <c:pt idx="13">
                  <c:v>44594</c:v>
                </c:pt>
                <c:pt idx="14">
                  <c:v>44593</c:v>
                </c:pt>
                <c:pt idx="15">
                  <c:v>44592</c:v>
                </c:pt>
                <c:pt idx="16">
                  <c:v>44591</c:v>
                </c:pt>
                <c:pt idx="17">
                  <c:v>44590</c:v>
                </c:pt>
                <c:pt idx="18">
                  <c:v>44589</c:v>
                </c:pt>
                <c:pt idx="19">
                  <c:v>44588</c:v>
                </c:pt>
                <c:pt idx="20">
                  <c:v>44587</c:v>
                </c:pt>
                <c:pt idx="21">
                  <c:v>44586</c:v>
                </c:pt>
                <c:pt idx="22">
                  <c:v>44585</c:v>
                </c:pt>
                <c:pt idx="23">
                  <c:v>44584</c:v>
                </c:pt>
                <c:pt idx="24">
                  <c:v>44583</c:v>
                </c:pt>
                <c:pt idx="25">
                  <c:v>44582</c:v>
                </c:pt>
                <c:pt idx="26">
                  <c:v>44581</c:v>
                </c:pt>
                <c:pt idx="27">
                  <c:v>44580</c:v>
                </c:pt>
                <c:pt idx="28">
                  <c:v>44579</c:v>
                </c:pt>
                <c:pt idx="29">
                  <c:v>44578</c:v>
                </c:pt>
                <c:pt idx="30">
                  <c:v>44577</c:v>
                </c:pt>
                <c:pt idx="31">
                  <c:v>44576</c:v>
                </c:pt>
                <c:pt idx="32">
                  <c:v>44575</c:v>
                </c:pt>
                <c:pt idx="33">
                  <c:v>44574</c:v>
                </c:pt>
                <c:pt idx="34">
                  <c:v>44573</c:v>
                </c:pt>
                <c:pt idx="35">
                  <c:v>44572</c:v>
                </c:pt>
                <c:pt idx="36">
                  <c:v>44571</c:v>
                </c:pt>
                <c:pt idx="37">
                  <c:v>44570</c:v>
                </c:pt>
                <c:pt idx="38">
                  <c:v>44569</c:v>
                </c:pt>
                <c:pt idx="39">
                  <c:v>44568</c:v>
                </c:pt>
                <c:pt idx="40">
                  <c:v>44567</c:v>
                </c:pt>
                <c:pt idx="41">
                  <c:v>44566</c:v>
                </c:pt>
                <c:pt idx="42">
                  <c:v>44565</c:v>
                </c:pt>
                <c:pt idx="43">
                  <c:v>44564</c:v>
                </c:pt>
                <c:pt idx="44">
                  <c:v>44563</c:v>
                </c:pt>
                <c:pt idx="45">
                  <c:v>44562</c:v>
                </c:pt>
                <c:pt idx="46">
                  <c:v>44561</c:v>
                </c:pt>
                <c:pt idx="47">
                  <c:v>44560</c:v>
                </c:pt>
                <c:pt idx="48">
                  <c:v>44559</c:v>
                </c:pt>
                <c:pt idx="49">
                  <c:v>44558</c:v>
                </c:pt>
                <c:pt idx="50">
                  <c:v>44557</c:v>
                </c:pt>
                <c:pt idx="51">
                  <c:v>44556</c:v>
                </c:pt>
                <c:pt idx="52">
                  <c:v>44555</c:v>
                </c:pt>
                <c:pt idx="53">
                  <c:v>44554</c:v>
                </c:pt>
                <c:pt idx="54">
                  <c:v>44553</c:v>
                </c:pt>
                <c:pt idx="55">
                  <c:v>44552</c:v>
                </c:pt>
                <c:pt idx="56">
                  <c:v>44551</c:v>
                </c:pt>
                <c:pt idx="57">
                  <c:v>44550</c:v>
                </c:pt>
                <c:pt idx="58">
                  <c:v>44549</c:v>
                </c:pt>
                <c:pt idx="59">
                  <c:v>44548</c:v>
                </c:pt>
                <c:pt idx="60">
                  <c:v>44547</c:v>
                </c:pt>
                <c:pt idx="61">
                  <c:v>44546</c:v>
                </c:pt>
                <c:pt idx="62">
                  <c:v>44545</c:v>
                </c:pt>
                <c:pt idx="63">
                  <c:v>44544</c:v>
                </c:pt>
                <c:pt idx="64">
                  <c:v>44543</c:v>
                </c:pt>
                <c:pt idx="65">
                  <c:v>44542</c:v>
                </c:pt>
                <c:pt idx="66">
                  <c:v>44541</c:v>
                </c:pt>
                <c:pt idx="67">
                  <c:v>44540</c:v>
                </c:pt>
                <c:pt idx="68">
                  <c:v>44539</c:v>
                </c:pt>
                <c:pt idx="69">
                  <c:v>44538</c:v>
                </c:pt>
                <c:pt idx="70">
                  <c:v>44537</c:v>
                </c:pt>
                <c:pt idx="71">
                  <c:v>44536</c:v>
                </c:pt>
                <c:pt idx="72">
                  <c:v>44535</c:v>
                </c:pt>
                <c:pt idx="73">
                  <c:v>44534</c:v>
                </c:pt>
                <c:pt idx="74">
                  <c:v>44533</c:v>
                </c:pt>
                <c:pt idx="75">
                  <c:v>44532</c:v>
                </c:pt>
                <c:pt idx="76">
                  <c:v>44531</c:v>
                </c:pt>
                <c:pt idx="77">
                  <c:v>44530</c:v>
                </c:pt>
                <c:pt idx="78">
                  <c:v>44529</c:v>
                </c:pt>
                <c:pt idx="79">
                  <c:v>44528</c:v>
                </c:pt>
                <c:pt idx="80">
                  <c:v>44527</c:v>
                </c:pt>
                <c:pt idx="81">
                  <c:v>44526</c:v>
                </c:pt>
                <c:pt idx="82">
                  <c:v>44525</c:v>
                </c:pt>
                <c:pt idx="83">
                  <c:v>44524</c:v>
                </c:pt>
                <c:pt idx="84">
                  <c:v>44523</c:v>
                </c:pt>
                <c:pt idx="85">
                  <c:v>44522</c:v>
                </c:pt>
                <c:pt idx="86">
                  <c:v>44521</c:v>
                </c:pt>
                <c:pt idx="87">
                  <c:v>44520</c:v>
                </c:pt>
                <c:pt idx="88">
                  <c:v>44519</c:v>
                </c:pt>
                <c:pt idx="89">
                  <c:v>44518</c:v>
                </c:pt>
                <c:pt idx="90">
                  <c:v>44517</c:v>
                </c:pt>
                <c:pt idx="91">
                  <c:v>44516</c:v>
                </c:pt>
                <c:pt idx="92">
                  <c:v>44515</c:v>
                </c:pt>
                <c:pt idx="93">
                  <c:v>44514</c:v>
                </c:pt>
                <c:pt idx="94">
                  <c:v>44513</c:v>
                </c:pt>
                <c:pt idx="95">
                  <c:v>44512</c:v>
                </c:pt>
                <c:pt idx="96">
                  <c:v>44511</c:v>
                </c:pt>
                <c:pt idx="97">
                  <c:v>44510</c:v>
                </c:pt>
                <c:pt idx="98">
                  <c:v>44509</c:v>
                </c:pt>
                <c:pt idx="99">
                  <c:v>44508</c:v>
                </c:pt>
                <c:pt idx="100">
                  <c:v>44507</c:v>
                </c:pt>
                <c:pt idx="101">
                  <c:v>44506</c:v>
                </c:pt>
                <c:pt idx="102">
                  <c:v>44505</c:v>
                </c:pt>
                <c:pt idx="103">
                  <c:v>44504</c:v>
                </c:pt>
                <c:pt idx="104">
                  <c:v>44503</c:v>
                </c:pt>
                <c:pt idx="105">
                  <c:v>44502</c:v>
                </c:pt>
                <c:pt idx="106">
                  <c:v>44501</c:v>
                </c:pt>
                <c:pt idx="107">
                  <c:v>44500</c:v>
                </c:pt>
                <c:pt idx="108">
                  <c:v>44499</c:v>
                </c:pt>
                <c:pt idx="109">
                  <c:v>44498</c:v>
                </c:pt>
                <c:pt idx="110">
                  <c:v>44497</c:v>
                </c:pt>
                <c:pt idx="111">
                  <c:v>44496</c:v>
                </c:pt>
                <c:pt idx="112">
                  <c:v>44495</c:v>
                </c:pt>
                <c:pt idx="113">
                  <c:v>44494</c:v>
                </c:pt>
                <c:pt idx="114">
                  <c:v>44493</c:v>
                </c:pt>
                <c:pt idx="115">
                  <c:v>44492</c:v>
                </c:pt>
                <c:pt idx="116">
                  <c:v>44491</c:v>
                </c:pt>
                <c:pt idx="117">
                  <c:v>44490</c:v>
                </c:pt>
                <c:pt idx="118">
                  <c:v>44489</c:v>
                </c:pt>
                <c:pt idx="119">
                  <c:v>44488</c:v>
                </c:pt>
                <c:pt idx="120">
                  <c:v>44487</c:v>
                </c:pt>
                <c:pt idx="121">
                  <c:v>44486</c:v>
                </c:pt>
                <c:pt idx="122">
                  <c:v>44485</c:v>
                </c:pt>
                <c:pt idx="123">
                  <c:v>44484</c:v>
                </c:pt>
                <c:pt idx="124">
                  <c:v>44483</c:v>
                </c:pt>
                <c:pt idx="125">
                  <c:v>44482</c:v>
                </c:pt>
                <c:pt idx="126">
                  <c:v>44481</c:v>
                </c:pt>
                <c:pt idx="127">
                  <c:v>44480</c:v>
                </c:pt>
                <c:pt idx="128">
                  <c:v>44479</c:v>
                </c:pt>
                <c:pt idx="129">
                  <c:v>44478</c:v>
                </c:pt>
                <c:pt idx="130">
                  <c:v>44477</c:v>
                </c:pt>
                <c:pt idx="131">
                  <c:v>44476</c:v>
                </c:pt>
                <c:pt idx="132">
                  <c:v>44475</c:v>
                </c:pt>
                <c:pt idx="133">
                  <c:v>44474</c:v>
                </c:pt>
                <c:pt idx="134">
                  <c:v>44473</c:v>
                </c:pt>
                <c:pt idx="135">
                  <c:v>44472</c:v>
                </c:pt>
                <c:pt idx="136">
                  <c:v>44471</c:v>
                </c:pt>
                <c:pt idx="137">
                  <c:v>44470</c:v>
                </c:pt>
                <c:pt idx="138">
                  <c:v>44469</c:v>
                </c:pt>
                <c:pt idx="139">
                  <c:v>44468</c:v>
                </c:pt>
                <c:pt idx="140">
                  <c:v>44467</c:v>
                </c:pt>
                <c:pt idx="141">
                  <c:v>44466</c:v>
                </c:pt>
                <c:pt idx="142">
                  <c:v>44465</c:v>
                </c:pt>
                <c:pt idx="143">
                  <c:v>44464</c:v>
                </c:pt>
                <c:pt idx="144">
                  <c:v>44463</c:v>
                </c:pt>
                <c:pt idx="145">
                  <c:v>44462</c:v>
                </c:pt>
                <c:pt idx="146">
                  <c:v>44461</c:v>
                </c:pt>
                <c:pt idx="147">
                  <c:v>44460</c:v>
                </c:pt>
                <c:pt idx="148">
                  <c:v>44459</c:v>
                </c:pt>
                <c:pt idx="149">
                  <c:v>44458</c:v>
                </c:pt>
                <c:pt idx="150">
                  <c:v>44457</c:v>
                </c:pt>
                <c:pt idx="151">
                  <c:v>44456</c:v>
                </c:pt>
                <c:pt idx="152">
                  <c:v>44455</c:v>
                </c:pt>
                <c:pt idx="153">
                  <c:v>44454</c:v>
                </c:pt>
                <c:pt idx="154">
                  <c:v>44453</c:v>
                </c:pt>
                <c:pt idx="155">
                  <c:v>44452</c:v>
                </c:pt>
                <c:pt idx="156">
                  <c:v>44451</c:v>
                </c:pt>
                <c:pt idx="157">
                  <c:v>44450</c:v>
                </c:pt>
                <c:pt idx="158">
                  <c:v>44449</c:v>
                </c:pt>
                <c:pt idx="159">
                  <c:v>44448</c:v>
                </c:pt>
                <c:pt idx="160">
                  <c:v>44447</c:v>
                </c:pt>
                <c:pt idx="161">
                  <c:v>44446</c:v>
                </c:pt>
                <c:pt idx="162">
                  <c:v>44445</c:v>
                </c:pt>
                <c:pt idx="163">
                  <c:v>44444</c:v>
                </c:pt>
                <c:pt idx="164">
                  <c:v>44443</c:v>
                </c:pt>
                <c:pt idx="165">
                  <c:v>44442</c:v>
                </c:pt>
                <c:pt idx="166">
                  <c:v>44441</c:v>
                </c:pt>
                <c:pt idx="167">
                  <c:v>44440</c:v>
                </c:pt>
                <c:pt idx="168">
                  <c:v>44439</c:v>
                </c:pt>
                <c:pt idx="169">
                  <c:v>44438</c:v>
                </c:pt>
                <c:pt idx="170">
                  <c:v>44437</c:v>
                </c:pt>
                <c:pt idx="171">
                  <c:v>44436</c:v>
                </c:pt>
                <c:pt idx="172">
                  <c:v>44435</c:v>
                </c:pt>
                <c:pt idx="173">
                  <c:v>44434</c:v>
                </c:pt>
                <c:pt idx="174">
                  <c:v>44433</c:v>
                </c:pt>
                <c:pt idx="175">
                  <c:v>44432</c:v>
                </c:pt>
                <c:pt idx="176">
                  <c:v>44431</c:v>
                </c:pt>
                <c:pt idx="177">
                  <c:v>44430</c:v>
                </c:pt>
                <c:pt idx="178">
                  <c:v>44429</c:v>
                </c:pt>
                <c:pt idx="179">
                  <c:v>44428</c:v>
                </c:pt>
                <c:pt idx="180">
                  <c:v>44427</c:v>
                </c:pt>
                <c:pt idx="181">
                  <c:v>44426</c:v>
                </c:pt>
                <c:pt idx="182">
                  <c:v>44425</c:v>
                </c:pt>
                <c:pt idx="183">
                  <c:v>44424</c:v>
                </c:pt>
                <c:pt idx="184">
                  <c:v>44423</c:v>
                </c:pt>
                <c:pt idx="185">
                  <c:v>44422</c:v>
                </c:pt>
                <c:pt idx="186">
                  <c:v>44421</c:v>
                </c:pt>
                <c:pt idx="187">
                  <c:v>44420</c:v>
                </c:pt>
                <c:pt idx="188">
                  <c:v>44419</c:v>
                </c:pt>
                <c:pt idx="189">
                  <c:v>44418</c:v>
                </c:pt>
                <c:pt idx="190">
                  <c:v>44417</c:v>
                </c:pt>
                <c:pt idx="191">
                  <c:v>44416</c:v>
                </c:pt>
                <c:pt idx="192">
                  <c:v>44415</c:v>
                </c:pt>
                <c:pt idx="193">
                  <c:v>44414</c:v>
                </c:pt>
                <c:pt idx="194">
                  <c:v>44413</c:v>
                </c:pt>
                <c:pt idx="195">
                  <c:v>44412</c:v>
                </c:pt>
                <c:pt idx="196">
                  <c:v>44411</c:v>
                </c:pt>
                <c:pt idx="197">
                  <c:v>44410</c:v>
                </c:pt>
                <c:pt idx="198">
                  <c:v>44409</c:v>
                </c:pt>
                <c:pt idx="199">
                  <c:v>44408</c:v>
                </c:pt>
                <c:pt idx="200">
                  <c:v>44407</c:v>
                </c:pt>
                <c:pt idx="201">
                  <c:v>44406</c:v>
                </c:pt>
                <c:pt idx="202">
                  <c:v>44405</c:v>
                </c:pt>
                <c:pt idx="203">
                  <c:v>44404</c:v>
                </c:pt>
                <c:pt idx="204">
                  <c:v>44403</c:v>
                </c:pt>
                <c:pt idx="205">
                  <c:v>44402</c:v>
                </c:pt>
                <c:pt idx="206">
                  <c:v>44401</c:v>
                </c:pt>
                <c:pt idx="207">
                  <c:v>44400</c:v>
                </c:pt>
                <c:pt idx="208">
                  <c:v>44399</c:v>
                </c:pt>
                <c:pt idx="209">
                  <c:v>44398</c:v>
                </c:pt>
                <c:pt idx="210">
                  <c:v>44397</c:v>
                </c:pt>
                <c:pt idx="211">
                  <c:v>44396</c:v>
                </c:pt>
                <c:pt idx="212">
                  <c:v>44395</c:v>
                </c:pt>
                <c:pt idx="213">
                  <c:v>44394</c:v>
                </c:pt>
                <c:pt idx="214">
                  <c:v>44393</c:v>
                </c:pt>
                <c:pt idx="215">
                  <c:v>44392</c:v>
                </c:pt>
                <c:pt idx="216">
                  <c:v>44391</c:v>
                </c:pt>
                <c:pt idx="217">
                  <c:v>44390</c:v>
                </c:pt>
                <c:pt idx="218">
                  <c:v>44389</c:v>
                </c:pt>
                <c:pt idx="219">
                  <c:v>44388</c:v>
                </c:pt>
                <c:pt idx="220">
                  <c:v>44387</c:v>
                </c:pt>
                <c:pt idx="221">
                  <c:v>44386</c:v>
                </c:pt>
                <c:pt idx="222">
                  <c:v>44385</c:v>
                </c:pt>
                <c:pt idx="223">
                  <c:v>44384</c:v>
                </c:pt>
                <c:pt idx="224">
                  <c:v>44383</c:v>
                </c:pt>
                <c:pt idx="225">
                  <c:v>44382</c:v>
                </c:pt>
                <c:pt idx="226">
                  <c:v>44381</c:v>
                </c:pt>
                <c:pt idx="227">
                  <c:v>44380</c:v>
                </c:pt>
                <c:pt idx="228">
                  <c:v>44379</c:v>
                </c:pt>
                <c:pt idx="229">
                  <c:v>44378</c:v>
                </c:pt>
                <c:pt idx="230">
                  <c:v>44377</c:v>
                </c:pt>
                <c:pt idx="231">
                  <c:v>44376</c:v>
                </c:pt>
                <c:pt idx="232">
                  <c:v>44375</c:v>
                </c:pt>
                <c:pt idx="233">
                  <c:v>44374</c:v>
                </c:pt>
                <c:pt idx="234">
                  <c:v>44373</c:v>
                </c:pt>
                <c:pt idx="235">
                  <c:v>44372</c:v>
                </c:pt>
                <c:pt idx="236">
                  <c:v>44371</c:v>
                </c:pt>
                <c:pt idx="237">
                  <c:v>44370</c:v>
                </c:pt>
                <c:pt idx="238">
                  <c:v>44369</c:v>
                </c:pt>
                <c:pt idx="239">
                  <c:v>44368</c:v>
                </c:pt>
                <c:pt idx="240">
                  <c:v>44367</c:v>
                </c:pt>
                <c:pt idx="241">
                  <c:v>44366</c:v>
                </c:pt>
                <c:pt idx="242">
                  <c:v>44365</c:v>
                </c:pt>
                <c:pt idx="243">
                  <c:v>44364</c:v>
                </c:pt>
                <c:pt idx="244">
                  <c:v>44363</c:v>
                </c:pt>
                <c:pt idx="245">
                  <c:v>44362</c:v>
                </c:pt>
                <c:pt idx="246">
                  <c:v>44361</c:v>
                </c:pt>
                <c:pt idx="247">
                  <c:v>44360</c:v>
                </c:pt>
                <c:pt idx="248">
                  <c:v>44359</c:v>
                </c:pt>
                <c:pt idx="249">
                  <c:v>44358</c:v>
                </c:pt>
                <c:pt idx="250">
                  <c:v>44357</c:v>
                </c:pt>
                <c:pt idx="251">
                  <c:v>44356</c:v>
                </c:pt>
                <c:pt idx="252">
                  <c:v>44355</c:v>
                </c:pt>
                <c:pt idx="253">
                  <c:v>44354</c:v>
                </c:pt>
                <c:pt idx="254">
                  <c:v>44353</c:v>
                </c:pt>
                <c:pt idx="255">
                  <c:v>44352</c:v>
                </c:pt>
                <c:pt idx="256">
                  <c:v>44351</c:v>
                </c:pt>
                <c:pt idx="257">
                  <c:v>44350</c:v>
                </c:pt>
                <c:pt idx="258">
                  <c:v>44349</c:v>
                </c:pt>
                <c:pt idx="259">
                  <c:v>44348</c:v>
                </c:pt>
                <c:pt idx="260">
                  <c:v>44347</c:v>
                </c:pt>
                <c:pt idx="261">
                  <c:v>44346</c:v>
                </c:pt>
                <c:pt idx="262">
                  <c:v>44345</c:v>
                </c:pt>
                <c:pt idx="263">
                  <c:v>44344</c:v>
                </c:pt>
                <c:pt idx="264">
                  <c:v>44343</c:v>
                </c:pt>
                <c:pt idx="265">
                  <c:v>44342</c:v>
                </c:pt>
                <c:pt idx="266">
                  <c:v>44341</c:v>
                </c:pt>
                <c:pt idx="267">
                  <c:v>44340</c:v>
                </c:pt>
                <c:pt idx="268">
                  <c:v>44339</c:v>
                </c:pt>
                <c:pt idx="269">
                  <c:v>44338</c:v>
                </c:pt>
                <c:pt idx="270">
                  <c:v>44337</c:v>
                </c:pt>
                <c:pt idx="271">
                  <c:v>44336</c:v>
                </c:pt>
                <c:pt idx="272">
                  <c:v>44335</c:v>
                </c:pt>
                <c:pt idx="273">
                  <c:v>44334</c:v>
                </c:pt>
                <c:pt idx="274">
                  <c:v>44333</c:v>
                </c:pt>
                <c:pt idx="275">
                  <c:v>44332</c:v>
                </c:pt>
                <c:pt idx="276">
                  <c:v>44331</c:v>
                </c:pt>
                <c:pt idx="277">
                  <c:v>44330</c:v>
                </c:pt>
                <c:pt idx="278">
                  <c:v>44329</c:v>
                </c:pt>
                <c:pt idx="279">
                  <c:v>44328</c:v>
                </c:pt>
                <c:pt idx="280">
                  <c:v>44327</c:v>
                </c:pt>
                <c:pt idx="281">
                  <c:v>44326</c:v>
                </c:pt>
                <c:pt idx="282">
                  <c:v>44325</c:v>
                </c:pt>
                <c:pt idx="283">
                  <c:v>44324</c:v>
                </c:pt>
                <c:pt idx="284">
                  <c:v>44323</c:v>
                </c:pt>
                <c:pt idx="285">
                  <c:v>44322</c:v>
                </c:pt>
                <c:pt idx="286">
                  <c:v>44321</c:v>
                </c:pt>
                <c:pt idx="287">
                  <c:v>44320</c:v>
                </c:pt>
                <c:pt idx="288">
                  <c:v>44319</c:v>
                </c:pt>
                <c:pt idx="289">
                  <c:v>44318</c:v>
                </c:pt>
                <c:pt idx="290">
                  <c:v>44317</c:v>
                </c:pt>
                <c:pt idx="291">
                  <c:v>44316</c:v>
                </c:pt>
                <c:pt idx="292">
                  <c:v>44315</c:v>
                </c:pt>
                <c:pt idx="293">
                  <c:v>44314</c:v>
                </c:pt>
                <c:pt idx="294">
                  <c:v>44313</c:v>
                </c:pt>
                <c:pt idx="295">
                  <c:v>44312</c:v>
                </c:pt>
                <c:pt idx="296">
                  <c:v>44311</c:v>
                </c:pt>
                <c:pt idx="297">
                  <c:v>44310</c:v>
                </c:pt>
                <c:pt idx="298">
                  <c:v>44309</c:v>
                </c:pt>
                <c:pt idx="299">
                  <c:v>44308</c:v>
                </c:pt>
                <c:pt idx="300">
                  <c:v>44307</c:v>
                </c:pt>
                <c:pt idx="301">
                  <c:v>44306</c:v>
                </c:pt>
                <c:pt idx="302">
                  <c:v>44305</c:v>
                </c:pt>
                <c:pt idx="303">
                  <c:v>44304</c:v>
                </c:pt>
                <c:pt idx="304">
                  <c:v>44303</c:v>
                </c:pt>
                <c:pt idx="305">
                  <c:v>44302</c:v>
                </c:pt>
                <c:pt idx="306">
                  <c:v>44301</c:v>
                </c:pt>
                <c:pt idx="307">
                  <c:v>44300</c:v>
                </c:pt>
                <c:pt idx="308">
                  <c:v>44299</c:v>
                </c:pt>
                <c:pt idx="309">
                  <c:v>44298</c:v>
                </c:pt>
                <c:pt idx="310">
                  <c:v>44297</c:v>
                </c:pt>
                <c:pt idx="311">
                  <c:v>44296</c:v>
                </c:pt>
                <c:pt idx="312">
                  <c:v>44295</c:v>
                </c:pt>
                <c:pt idx="313">
                  <c:v>44294</c:v>
                </c:pt>
                <c:pt idx="314">
                  <c:v>44293</c:v>
                </c:pt>
                <c:pt idx="315">
                  <c:v>44292</c:v>
                </c:pt>
                <c:pt idx="316">
                  <c:v>44291</c:v>
                </c:pt>
                <c:pt idx="317">
                  <c:v>44290</c:v>
                </c:pt>
                <c:pt idx="318">
                  <c:v>44289</c:v>
                </c:pt>
                <c:pt idx="319">
                  <c:v>44288</c:v>
                </c:pt>
                <c:pt idx="320">
                  <c:v>44287</c:v>
                </c:pt>
                <c:pt idx="321">
                  <c:v>44286</c:v>
                </c:pt>
                <c:pt idx="322">
                  <c:v>44285</c:v>
                </c:pt>
                <c:pt idx="323">
                  <c:v>44284</c:v>
                </c:pt>
                <c:pt idx="324">
                  <c:v>44283</c:v>
                </c:pt>
                <c:pt idx="325">
                  <c:v>44282</c:v>
                </c:pt>
                <c:pt idx="326">
                  <c:v>44281</c:v>
                </c:pt>
                <c:pt idx="327">
                  <c:v>44280</c:v>
                </c:pt>
                <c:pt idx="328">
                  <c:v>44279</c:v>
                </c:pt>
                <c:pt idx="329">
                  <c:v>44278</c:v>
                </c:pt>
                <c:pt idx="330">
                  <c:v>44277</c:v>
                </c:pt>
                <c:pt idx="331">
                  <c:v>44276</c:v>
                </c:pt>
                <c:pt idx="332">
                  <c:v>44275</c:v>
                </c:pt>
                <c:pt idx="333">
                  <c:v>44274</c:v>
                </c:pt>
                <c:pt idx="334">
                  <c:v>44273</c:v>
                </c:pt>
                <c:pt idx="335">
                  <c:v>44272</c:v>
                </c:pt>
                <c:pt idx="336">
                  <c:v>44271</c:v>
                </c:pt>
                <c:pt idx="337">
                  <c:v>44270</c:v>
                </c:pt>
                <c:pt idx="338">
                  <c:v>44269</c:v>
                </c:pt>
                <c:pt idx="339">
                  <c:v>44268</c:v>
                </c:pt>
                <c:pt idx="340">
                  <c:v>44267</c:v>
                </c:pt>
                <c:pt idx="341">
                  <c:v>44266</c:v>
                </c:pt>
                <c:pt idx="342">
                  <c:v>44265</c:v>
                </c:pt>
                <c:pt idx="343">
                  <c:v>44264</c:v>
                </c:pt>
                <c:pt idx="344">
                  <c:v>44263</c:v>
                </c:pt>
                <c:pt idx="345">
                  <c:v>44262</c:v>
                </c:pt>
                <c:pt idx="346">
                  <c:v>44261</c:v>
                </c:pt>
                <c:pt idx="347">
                  <c:v>44260</c:v>
                </c:pt>
                <c:pt idx="348">
                  <c:v>44259</c:v>
                </c:pt>
                <c:pt idx="349">
                  <c:v>44258</c:v>
                </c:pt>
                <c:pt idx="350">
                  <c:v>44257</c:v>
                </c:pt>
                <c:pt idx="351">
                  <c:v>44256</c:v>
                </c:pt>
                <c:pt idx="352">
                  <c:v>44255</c:v>
                </c:pt>
                <c:pt idx="353">
                  <c:v>44254</c:v>
                </c:pt>
                <c:pt idx="354">
                  <c:v>44253</c:v>
                </c:pt>
                <c:pt idx="355">
                  <c:v>44252</c:v>
                </c:pt>
                <c:pt idx="356">
                  <c:v>44251</c:v>
                </c:pt>
                <c:pt idx="357">
                  <c:v>44250</c:v>
                </c:pt>
                <c:pt idx="358">
                  <c:v>44249</c:v>
                </c:pt>
                <c:pt idx="359">
                  <c:v>44248</c:v>
                </c:pt>
                <c:pt idx="360">
                  <c:v>44247</c:v>
                </c:pt>
                <c:pt idx="361">
                  <c:v>44246</c:v>
                </c:pt>
                <c:pt idx="362">
                  <c:v>44245</c:v>
                </c:pt>
                <c:pt idx="363">
                  <c:v>44244</c:v>
                </c:pt>
                <c:pt idx="364">
                  <c:v>44243</c:v>
                </c:pt>
                <c:pt idx="365">
                  <c:v>44242</c:v>
                </c:pt>
                <c:pt idx="366">
                  <c:v>44241</c:v>
                </c:pt>
                <c:pt idx="367">
                  <c:v>44240</c:v>
                </c:pt>
                <c:pt idx="368">
                  <c:v>44239</c:v>
                </c:pt>
                <c:pt idx="369">
                  <c:v>44238</c:v>
                </c:pt>
                <c:pt idx="370">
                  <c:v>44237</c:v>
                </c:pt>
                <c:pt idx="371">
                  <c:v>44236</c:v>
                </c:pt>
                <c:pt idx="372">
                  <c:v>44235</c:v>
                </c:pt>
                <c:pt idx="373">
                  <c:v>44234</c:v>
                </c:pt>
                <c:pt idx="374">
                  <c:v>44233</c:v>
                </c:pt>
                <c:pt idx="375">
                  <c:v>44232</c:v>
                </c:pt>
                <c:pt idx="376">
                  <c:v>44231</c:v>
                </c:pt>
                <c:pt idx="377">
                  <c:v>44230</c:v>
                </c:pt>
                <c:pt idx="378">
                  <c:v>44229</c:v>
                </c:pt>
                <c:pt idx="379">
                  <c:v>44228</c:v>
                </c:pt>
                <c:pt idx="380">
                  <c:v>44227</c:v>
                </c:pt>
                <c:pt idx="381">
                  <c:v>44226</c:v>
                </c:pt>
                <c:pt idx="382">
                  <c:v>44225</c:v>
                </c:pt>
                <c:pt idx="383">
                  <c:v>44224</c:v>
                </c:pt>
                <c:pt idx="384">
                  <c:v>44223</c:v>
                </c:pt>
                <c:pt idx="385">
                  <c:v>44222</c:v>
                </c:pt>
                <c:pt idx="386">
                  <c:v>44221</c:v>
                </c:pt>
                <c:pt idx="387">
                  <c:v>44220</c:v>
                </c:pt>
                <c:pt idx="388">
                  <c:v>44219</c:v>
                </c:pt>
                <c:pt idx="389">
                  <c:v>44218</c:v>
                </c:pt>
                <c:pt idx="390">
                  <c:v>44217</c:v>
                </c:pt>
                <c:pt idx="391">
                  <c:v>44216</c:v>
                </c:pt>
                <c:pt idx="392">
                  <c:v>44215</c:v>
                </c:pt>
                <c:pt idx="393">
                  <c:v>44214</c:v>
                </c:pt>
                <c:pt idx="394">
                  <c:v>44213</c:v>
                </c:pt>
                <c:pt idx="395">
                  <c:v>44212</c:v>
                </c:pt>
                <c:pt idx="396">
                  <c:v>44211</c:v>
                </c:pt>
                <c:pt idx="397">
                  <c:v>44210</c:v>
                </c:pt>
                <c:pt idx="398">
                  <c:v>44209</c:v>
                </c:pt>
                <c:pt idx="399">
                  <c:v>44208</c:v>
                </c:pt>
                <c:pt idx="400">
                  <c:v>44207</c:v>
                </c:pt>
                <c:pt idx="401">
                  <c:v>44206</c:v>
                </c:pt>
                <c:pt idx="402">
                  <c:v>44205</c:v>
                </c:pt>
                <c:pt idx="403">
                  <c:v>44204</c:v>
                </c:pt>
                <c:pt idx="404">
                  <c:v>44203</c:v>
                </c:pt>
                <c:pt idx="405">
                  <c:v>44202</c:v>
                </c:pt>
                <c:pt idx="406">
                  <c:v>44201</c:v>
                </c:pt>
                <c:pt idx="407">
                  <c:v>44200</c:v>
                </c:pt>
                <c:pt idx="408">
                  <c:v>44199</c:v>
                </c:pt>
                <c:pt idx="409">
                  <c:v>44198</c:v>
                </c:pt>
                <c:pt idx="410">
                  <c:v>44197</c:v>
                </c:pt>
                <c:pt idx="411">
                  <c:v>44196</c:v>
                </c:pt>
                <c:pt idx="412">
                  <c:v>44195</c:v>
                </c:pt>
                <c:pt idx="413">
                  <c:v>44194</c:v>
                </c:pt>
                <c:pt idx="414">
                  <c:v>44193</c:v>
                </c:pt>
                <c:pt idx="415">
                  <c:v>44192</c:v>
                </c:pt>
                <c:pt idx="416">
                  <c:v>44191</c:v>
                </c:pt>
                <c:pt idx="417">
                  <c:v>44190</c:v>
                </c:pt>
                <c:pt idx="418">
                  <c:v>44189</c:v>
                </c:pt>
                <c:pt idx="419">
                  <c:v>44188</c:v>
                </c:pt>
                <c:pt idx="420">
                  <c:v>44187</c:v>
                </c:pt>
                <c:pt idx="421">
                  <c:v>44186</c:v>
                </c:pt>
                <c:pt idx="422">
                  <c:v>44185</c:v>
                </c:pt>
                <c:pt idx="423">
                  <c:v>44184</c:v>
                </c:pt>
                <c:pt idx="424">
                  <c:v>44183</c:v>
                </c:pt>
                <c:pt idx="425">
                  <c:v>44182</c:v>
                </c:pt>
                <c:pt idx="426">
                  <c:v>44181</c:v>
                </c:pt>
                <c:pt idx="427">
                  <c:v>44180</c:v>
                </c:pt>
                <c:pt idx="428">
                  <c:v>44179</c:v>
                </c:pt>
                <c:pt idx="429">
                  <c:v>44178</c:v>
                </c:pt>
                <c:pt idx="430">
                  <c:v>44177</c:v>
                </c:pt>
                <c:pt idx="431">
                  <c:v>44176</c:v>
                </c:pt>
                <c:pt idx="432">
                  <c:v>44175</c:v>
                </c:pt>
                <c:pt idx="433">
                  <c:v>44174</c:v>
                </c:pt>
                <c:pt idx="434">
                  <c:v>44173</c:v>
                </c:pt>
                <c:pt idx="435">
                  <c:v>44172</c:v>
                </c:pt>
                <c:pt idx="436">
                  <c:v>44171</c:v>
                </c:pt>
                <c:pt idx="437">
                  <c:v>44170</c:v>
                </c:pt>
                <c:pt idx="438">
                  <c:v>44169</c:v>
                </c:pt>
                <c:pt idx="439">
                  <c:v>44168</c:v>
                </c:pt>
                <c:pt idx="440">
                  <c:v>44167</c:v>
                </c:pt>
                <c:pt idx="441">
                  <c:v>44166</c:v>
                </c:pt>
                <c:pt idx="442">
                  <c:v>44165</c:v>
                </c:pt>
                <c:pt idx="443">
                  <c:v>44164</c:v>
                </c:pt>
                <c:pt idx="444">
                  <c:v>44163</c:v>
                </c:pt>
                <c:pt idx="445">
                  <c:v>44162</c:v>
                </c:pt>
                <c:pt idx="446">
                  <c:v>44161</c:v>
                </c:pt>
                <c:pt idx="447">
                  <c:v>44160</c:v>
                </c:pt>
                <c:pt idx="448">
                  <c:v>44159</c:v>
                </c:pt>
                <c:pt idx="449">
                  <c:v>44158</c:v>
                </c:pt>
                <c:pt idx="450">
                  <c:v>44157</c:v>
                </c:pt>
                <c:pt idx="451">
                  <c:v>44156</c:v>
                </c:pt>
                <c:pt idx="452">
                  <c:v>44155</c:v>
                </c:pt>
                <c:pt idx="453">
                  <c:v>44154</c:v>
                </c:pt>
                <c:pt idx="454">
                  <c:v>44153</c:v>
                </c:pt>
                <c:pt idx="455">
                  <c:v>44152</c:v>
                </c:pt>
                <c:pt idx="456">
                  <c:v>44151</c:v>
                </c:pt>
                <c:pt idx="457">
                  <c:v>44150</c:v>
                </c:pt>
                <c:pt idx="458">
                  <c:v>44149</c:v>
                </c:pt>
                <c:pt idx="459">
                  <c:v>44148</c:v>
                </c:pt>
                <c:pt idx="460">
                  <c:v>44147</c:v>
                </c:pt>
                <c:pt idx="461">
                  <c:v>44146</c:v>
                </c:pt>
                <c:pt idx="462">
                  <c:v>44145</c:v>
                </c:pt>
                <c:pt idx="463">
                  <c:v>44144</c:v>
                </c:pt>
                <c:pt idx="464">
                  <c:v>44143</c:v>
                </c:pt>
                <c:pt idx="465">
                  <c:v>44142</c:v>
                </c:pt>
                <c:pt idx="466">
                  <c:v>44141</c:v>
                </c:pt>
                <c:pt idx="467">
                  <c:v>44140</c:v>
                </c:pt>
                <c:pt idx="468">
                  <c:v>44139</c:v>
                </c:pt>
                <c:pt idx="469">
                  <c:v>44138</c:v>
                </c:pt>
                <c:pt idx="470">
                  <c:v>44137</c:v>
                </c:pt>
                <c:pt idx="471">
                  <c:v>44136</c:v>
                </c:pt>
                <c:pt idx="472">
                  <c:v>44135</c:v>
                </c:pt>
                <c:pt idx="473">
                  <c:v>44134</c:v>
                </c:pt>
                <c:pt idx="474">
                  <c:v>44133</c:v>
                </c:pt>
                <c:pt idx="475">
                  <c:v>44132</c:v>
                </c:pt>
                <c:pt idx="476">
                  <c:v>44131</c:v>
                </c:pt>
                <c:pt idx="477">
                  <c:v>44130</c:v>
                </c:pt>
                <c:pt idx="478">
                  <c:v>44129</c:v>
                </c:pt>
                <c:pt idx="479">
                  <c:v>44128</c:v>
                </c:pt>
                <c:pt idx="480">
                  <c:v>44127</c:v>
                </c:pt>
                <c:pt idx="481">
                  <c:v>44126</c:v>
                </c:pt>
                <c:pt idx="482">
                  <c:v>44125</c:v>
                </c:pt>
                <c:pt idx="483">
                  <c:v>44124</c:v>
                </c:pt>
                <c:pt idx="484">
                  <c:v>44123</c:v>
                </c:pt>
                <c:pt idx="485">
                  <c:v>44122</c:v>
                </c:pt>
                <c:pt idx="486">
                  <c:v>44121</c:v>
                </c:pt>
                <c:pt idx="487">
                  <c:v>44120</c:v>
                </c:pt>
                <c:pt idx="488">
                  <c:v>44119</c:v>
                </c:pt>
                <c:pt idx="489">
                  <c:v>44118</c:v>
                </c:pt>
                <c:pt idx="490">
                  <c:v>44117</c:v>
                </c:pt>
                <c:pt idx="491">
                  <c:v>44116</c:v>
                </c:pt>
                <c:pt idx="492">
                  <c:v>44115</c:v>
                </c:pt>
                <c:pt idx="493">
                  <c:v>44114</c:v>
                </c:pt>
                <c:pt idx="494">
                  <c:v>44113</c:v>
                </c:pt>
                <c:pt idx="495">
                  <c:v>44112</c:v>
                </c:pt>
                <c:pt idx="496">
                  <c:v>44111</c:v>
                </c:pt>
                <c:pt idx="497">
                  <c:v>44110</c:v>
                </c:pt>
                <c:pt idx="498">
                  <c:v>44109</c:v>
                </c:pt>
                <c:pt idx="499">
                  <c:v>44108</c:v>
                </c:pt>
                <c:pt idx="500">
                  <c:v>44107</c:v>
                </c:pt>
                <c:pt idx="501">
                  <c:v>44106</c:v>
                </c:pt>
                <c:pt idx="502">
                  <c:v>44105</c:v>
                </c:pt>
                <c:pt idx="503">
                  <c:v>44104</c:v>
                </c:pt>
                <c:pt idx="504">
                  <c:v>44103</c:v>
                </c:pt>
                <c:pt idx="505">
                  <c:v>44102</c:v>
                </c:pt>
                <c:pt idx="506">
                  <c:v>44101</c:v>
                </c:pt>
                <c:pt idx="507">
                  <c:v>44100</c:v>
                </c:pt>
                <c:pt idx="508">
                  <c:v>44099</c:v>
                </c:pt>
                <c:pt idx="509">
                  <c:v>44098</c:v>
                </c:pt>
                <c:pt idx="510">
                  <c:v>44097</c:v>
                </c:pt>
                <c:pt idx="511">
                  <c:v>44096</c:v>
                </c:pt>
                <c:pt idx="512">
                  <c:v>44095</c:v>
                </c:pt>
                <c:pt idx="513">
                  <c:v>44094</c:v>
                </c:pt>
                <c:pt idx="514">
                  <c:v>44093</c:v>
                </c:pt>
                <c:pt idx="515">
                  <c:v>44092</c:v>
                </c:pt>
                <c:pt idx="516">
                  <c:v>44091</c:v>
                </c:pt>
                <c:pt idx="517">
                  <c:v>44090</c:v>
                </c:pt>
                <c:pt idx="518">
                  <c:v>44089</c:v>
                </c:pt>
                <c:pt idx="519">
                  <c:v>44088</c:v>
                </c:pt>
                <c:pt idx="520">
                  <c:v>44087</c:v>
                </c:pt>
                <c:pt idx="521">
                  <c:v>44086</c:v>
                </c:pt>
                <c:pt idx="522">
                  <c:v>44085</c:v>
                </c:pt>
                <c:pt idx="523">
                  <c:v>44084</c:v>
                </c:pt>
                <c:pt idx="524">
                  <c:v>44083</c:v>
                </c:pt>
                <c:pt idx="525">
                  <c:v>44082</c:v>
                </c:pt>
                <c:pt idx="526">
                  <c:v>44081</c:v>
                </c:pt>
                <c:pt idx="527">
                  <c:v>44080</c:v>
                </c:pt>
                <c:pt idx="528">
                  <c:v>44079</c:v>
                </c:pt>
                <c:pt idx="529">
                  <c:v>44078</c:v>
                </c:pt>
                <c:pt idx="530">
                  <c:v>44077</c:v>
                </c:pt>
                <c:pt idx="531">
                  <c:v>44076</c:v>
                </c:pt>
                <c:pt idx="532">
                  <c:v>44075</c:v>
                </c:pt>
                <c:pt idx="533">
                  <c:v>44074</c:v>
                </c:pt>
                <c:pt idx="534">
                  <c:v>44073</c:v>
                </c:pt>
                <c:pt idx="535">
                  <c:v>44072</c:v>
                </c:pt>
                <c:pt idx="536">
                  <c:v>44071</c:v>
                </c:pt>
                <c:pt idx="537">
                  <c:v>44070</c:v>
                </c:pt>
                <c:pt idx="538">
                  <c:v>44069</c:v>
                </c:pt>
                <c:pt idx="539">
                  <c:v>44068</c:v>
                </c:pt>
                <c:pt idx="540">
                  <c:v>44067</c:v>
                </c:pt>
                <c:pt idx="541">
                  <c:v>44066</c:v>
                </c:pt>
                <c:pt idx="542">
                  <c:v>44065</c:v>
                </c:pt>
                <c:pt idx="543">
                  <c:v>44064</c:v>
                </c:pt>
                <c:pt idx="544">
                  <c:v>44063</c:v>
                </c:pt>
                <c:pt idx="545">
                  <c:v>44062</c:v>
                </c:pt>
                <c:pt idx="546">
                  <c:v>44061</c:v>
                </c:pt>
                <c:pt idx="547">
                  <c:v>44060</c:v>
                </c:pt>
                <c:pt idx="548">
                  <c:v>44059</c:v>
                </c:pt>
                <c:pt idx="549">
                  <c:v>44058</c:v>
                </c:pt>
                <c:pt idx="550">
                  <c:v>44057</c:v>
                </c:pt>
                <c:pt idx="551">
                  <c:v>44056</c:v>
                </c:pt>
                <c:pt idx="552">
                  <c:v>44055</c:v>
                </c:pt>
                <c:pt idx="553">
                  <c:v>44054</c:v>
                </c:pt>
                <c:pt idx="554">
                  <c:v>44053</c:v>
                </c:pt>
                <c:pt idx="555">
                  <c:v>44052</c:v>
                </c:pt>
                <c:pt idx="556">
                  <c:v>44051</c:v>
                </c:pt>
                <c:pt idx="557">
                  <c:v>44050</c:v>
                </c:pt>
                <c:pt idx="558">
                  <c:v>44049</c:v>
                </c:pt>
                <c:pt idx="559">
                  <c:v>44048</c:v>
                </c:pt>
                <c:pt idx="560">
                  <c:v>44047</c:v>
                </c:pt>
                <c:pt idx="561">
                  <c:v>44046</c:v>
                </c:pt>
                <c:pt idx="562">
                  <c:v>44045</c:v>
                </c:pt>
                <c:pt idx="563">
                  <c:v>44044</c:v>
                </c:pt>
                <c:pt idx="564">
                  <c:v>44043</c:v>
                </c:pt>
                <c:pt idx="565">
                  <c:v>44042</c:v>
                </c:pt>
                <c:pt idx="566">
                  <c:v>44041</c:v>
                </c:pt>
                <c:pt idx="567">
                  <c:v>44040</c:v>
                </c:pt>
                <c:pt idx="568">
                  <c:v>44039</c:v>
                </c:pt>
                <c:pt idx="569">
                  <c:v>44038</c:v>
                </c:pt>
                <c:pt idx="570">
                  <c:v>44037</c:v>
                </c:pt>
                <c:pt idx="571">
                  <c:v>44036</c:v>
                </c:pt>
                <c:pt idx="572">
                  <c:v>44035</c:v>
                </c:pt>
                <c:pt idx="573">
                  <c:v>44034</c:v>
                </c:pt>
                <c:pt idx="574">
                  <c:v>44033</c:v>
                </c:pt>
                <c:pt idx="575">
                  <c:v>44032</c:v>
                </c:pt>
                <c:pt idx="576">
                  <c:v>44031</c:v>
                </c:pt>
                <c:pt idx="577">
                  <c:v>44030</c:v>
                </c:pt>
                <c:pt idx="578">
                  <c:v>44029</c:v>
                </c:pt>
                <c:pt idx="579">
                  <c:v>44028</c:v>
                </c:pt>
                <c:pt idx="580">
                  <c:v>44027</c:v>
                </c:pt>
                <c:pt idx="581">
                  <c:v>44026</c:v>
                </c:pt>
                <c:pt idx="582">
                  <c:v>44025</c:v>
                </c:pt>
                <c:pt idx="583">
                  <c:v>44024</c:v>
                </c:pt>
                <c:pt idx="584">
                  <c:v>44023</c:v>
                </c:pt>
                <c:pt idx="585">
                  <c:v>44022</c:v>
                </c:pt>
                <c:pt idx="586">
                  <c:v>44021</c:v>
                </c:pt>
                <c:pt idx="587">
                  <c:v>44020</c:v>
                </c:pt>
                <c:pt idx="588">
                  <c:v>44019</c:v>
                </c:pt>
                <c:pt idx="589">
                  <c:v>44018</c:v>
                </c:pt>
                <c:pt idx="590">
                  <c:v>44017</c:v>
                </c:pt>
                <c:pt idx="591">
                  <c:v>44016</c:v>
                </c:pt>
                <c:pt idx="592">
                  <c:v>44015</c:v>
                </c:pt>
                <c:pt idx="593">
                  <c:v>44014</c:v>
                </c:pt>
                <c:pt idx="594">
                  <c:v>44013</c:v>
                </c:pt>
                <c:pt idx="595">
                  <c:v>44012</c:v>
                </c:pt>
                <c:pt idx="596">
                  <c:v>44011</c:v>
                </c:pt>
                <c:pt idx="597">
                  <c:v>44010</c:v>
                </c:pt>
                <c:pt idx="598">
                  <c:v>44009</c:v>
                </c:pt>
                <c:pt idx="599">
                  <c:v>44008</c:v>
                </c:pt>
                <c:pt idx="600">
                  <c:v>44007</c:v>
                </c:pt>
                <c:pt idx="601">
                  <c:v>44006</c:v>
                </c:pt>
                <c:pt idx="602">
                  <c:v>44005</c:v>
                </c:pt>
                <c:pt idx="603">
                  <c:v>44004</c:v>
                </c:pt>
                <c:pt idx="604">
                  <c:v>44003</c:v>
                </c:pt>
                <c:pt idx="605">
                  <c:v>44002</c:v>
                </c:pt>
                <c:pt idx="606">
                  <c:v>44001</c:v>
                </c:pt>
                <c:pt idx="607">
                  <c:v>44000</c:v>
                </c:pt>
                <c:pt idx="608">
                  <c:v>43999</c:v>
                </c:pt>
                <c:pt idx="609">
                  <c:v>43998</c:v>
                </c:pt>
                <c:pt idx="610">
                  <c:v>43997</c:v>
                </c:pt>
                <c:pt idx="611">
                  <c:v>43996</c:v>
                </c:pt>
                <c:pt idx="612">
                  <c:v>43995</c:v>
                </c:pt>
                <c:pt idx="613">
                  <c:v>43994</c:v>
                </c:pt>
                <c:pt idx="614">
                  <c:v>43993</c:v>
                </c:pt>
                <c:pt idx="615">
                  <c:v>43992</c:v>
                </c:pt>
                <c:pt idx="616">
                  <c:v>43991</c:v>
                </c:pt>
                <c:pt idx="617">
                  <c:v>43990</c:v>
                </c:pt>
                <c:pt idx="618">
                  <c:v>43989</c:v>
                </c:pt>
                <c:pt idx="619">
                  <c:v>43988</c:v>
                </c:pt>
                <c:pt idx="620">
                  <c:v>43987</c:v>
                </c:pt>
                <c:pt idx="621">
                  <c:v>43986</c:v>
                </c:pt>
                <c:pt idx="622">
                  <c:v>43985</c:v>
                </c:pt>
                <c:pt idx="623">
                  <c:v>43984</c:v>
                </c:pt>
                <c:pt idx="624">
                  <c:v>43983</c:v>
                </c:pt>
                <c:pt idx="625">
                  <c:v>43982</c:v>
                </c:pt>
                <c:pt idx="626">
                  <c:v>43981</c:v>
                </c:pt>
                <c:pt idx="627">
                  <c:v>43980</c:v>
                </c:pt>
                <c:pt idx="628">
                  <c:v>43979</c:v>
                </c:pt>
                <c:pt idx="629">
                  <c:v>43978</c:v>
                </c:pt>
                <c:pt idx="630">
                  <c:v>43977</c:v>
                </c:pt>
                <c:pt idx="631">
                  <c:v>43976</c:v>
                </c:pt>
                <c:pt idx="632">
                  <c:v>43975</c:v>
                </c:pt>
                <c:pt idx="633">
                  <c:v>43974</c:v>
                </c:pt>
                <c:pt idx="634">
                  <c:v>43973</c:v>
                </c:pt>
                <c:pt idx="635">
                  <c:v>43972</c:v>
                </c:pt>
                <c:pt idx="636">
                  <c:v>43971</c:v>
                </c:pt>
                <c:pt idx="637">
                  <c:v>43970</c:v>
                </c:pt>
                <c:pt idx="638">
                  <c:v>43969</c:v>
                </c:pt>
                <c:pt idx="639">
                  <c:v>43968</c:v>
                </c:pt>
                <c:pt idx="640">
                  <c:v>43967</c:v>
                </c:pt>
                <c:pt idx="641">
                  <c:v>43966</c:v>
                </c:pt>
                <c:pt idx="642">
                  <c:v>43965</c:v>
                </c:pt>
                <c:pt idx="643">
                  <c:v>43964</c:v>
                </c:pt>
                <c:pt idx="644">
                  <c:v>43963</c:v>
                </c:pt>
                <c:pt idx="645">
                  <c:v>43962</c:v>
                </c:pt>
                <c:pt idx="646">
                  <c:v>43961</c:v>
                </c:pt>
                <c:pt idx="647">
                  <c:v>43960</c:v>
                </c:pt>
                <c:pt idx="648">
                  <c:v>43959</c:v>
                </c:pt>
                <c:pt idx="649">
                  <c:v>43958</c:v>
                </c:pt>
                <c:pt idx="650">
                  <c:v>43957</c:v>
                </c:pt>
                <c:pt idx="651">
                  <c:v>43956</c:v>
                </c:pt>
                <c:pt idx="652">
                  <c:v>43955</c:v>
                </c:pt>
                <c:pt idx="653">
                  <c:v>43954</c:v>
                </c:pt>
                <c:pt idx="654">
                  <c:v>43953</c:v>
                </c:pt>
                <c:pt idx="655">
                  <c:v>43952</c:v>
                </c:pt>
                <c:pt idx="656">
                  <c:v>43951</c:v>
                </c:pt>
                <c:pt idx="657">
                  <c:v>43950</c:v>
                </c:pt>
                <c:pt idx="658">
                  <c:v>43949</c:v>
                </c:pt>
                <c:pt idx="659">
                  <c:v>43948</c:v>
                </c:pt>
                <c:pt idx="660">
                  <c:v>43947</c:v>
                </c:pt>
                <c:pt idx="661">
                  <c:v>43946</c:v>
                </c:pt>
                <c:pt idx="662">
                  <c:v>43945</c:v>
                </c:pt>
                <c:pt idx="663">
                  <c:v>43944</c:v>
                </c:pt>
                <c:pt idx="664">
                  <c:v>43943</c:v>
                </c:pt>
                <c:pt idx="665">
                  <c:v>43942</c:v>
                </c:pt>
                <c:pt idx="666">
                  <c:v>43941</c:v>
                </c:pt>
                <c:pt idx="667">
                  <c:v>43940</c:v>
                </c:pt>
                <c:pt idx="668">
                  <c:v>43939</c:v>
                </c:pt>
                <c:pt idx="669">
                  <c:v>43938</c:v>
                </c:pt>
                <c:pt idx="670">
                  <c:v>43937</c:v>
                </c:pt>
                <c:pt idx="671">
                  <c:v>43936</c:v>
                </c:pt>
                <c:pt idx="672">
                  <c:v>43935</c:v>
                </c:pt>
                <c:pt idx="673">
                  <c:v>43934</c:v>
                </c:pt>
                <c:pt idx="674">
                  <c:v>43933</c:v>
                </c:pt>
                <c:pt idx="675">
                  <c:v>43932</c:v>
                </c:pt>
                <c:pt idx="676">
                  <c:v>43931</c:v>
                </c:pt>
                <c:pt idx="677">
                  <c:v>43930</c:v>
                </c:pt>
                <c:pt idx="678">
                  <c:v>43929</c:v>
                </c:pt>
                <c:pt idx="679">
                  <c:v>43928</c:v>
                </c:pt>
                <c:pt idx="680">
                  <c:v>43927</c:v>
                </c:pt>
                <c:pt idx="681">
                  <c:v>43926</c:v>
                </c:pt>
                <c:pt idx="682">
                  <c:v>43925</c:v>
                </c:pt>
                <c:pt idx="683">
                  <c:v>43924</c:v>
                </c:pt>
                <c:pt idx="684">
                  <c:v>43923</c:v>
                </c:pt>
                <c:pt idx="685">
                  <c:v>43922</c:v>
                </c:pt>
                <c:pt idx="686">
                  <c:v>43921</c:v>
                </c:pt>
                <c:pt idx="687">
                  <c:v>43920</c:v>
                </c:pt>
                <c:pt idx="688">
                  <c:v>43919</c:v>
                </c:pt>
                <c:pt idx="689">
                  <c:v>43918</c:v>
                </c:pt>
                <c:pt idx="690">
                  <c:v>43917</c:v>
                </c:pt>
                <c:pt idx="691">
                  <c:v>43916</c:v>
                </c:pt>
                <c:pt idx="692">
                  <c:v>43915</c:v>
                </c:pt>
                <c:pt idx="693">
                  <c:v>43914</c:v>
                </c:pt>
                <c:pt idx="694">
                  <c:v>43913</c:v>
                </c:pt>
                <c:pt idx="695">
                  <c:v>43912</c:v>
                </c:pt>
                <c:pt idx="696">
                  <c:v>43911</c:v>
                </c:pt>
                <c:pt idx="697">
                  <c:v>43910</c:v>
                </c:pt>
                <c:pt idx="698">
                  <c:v>43909</c:v>
                </c:pt>
                <c:pt idx="699">
                  <c:v>43908</c:v>
                </c:pt>
                <c:pt idx="700">
                  <c:v>43907</c:v>
                </c:pt>
                <c:pt idx="701">
                  <c:v>43906</c:v>
                </c:pt>
                <c:pt idx="702">
                  <c:v>43905</c:v>
                </c:pt>
                <c:pt idx="703">
                  <c:v>43904</c:v>
                </c:pt>
                <c:pt idx="704">
                  <c:v>43903</c:v>
                </c:pt>
                <c:pt idx="705">
                  <c:v>43902</c:v>
                </c:pt>
                <c:pt idx="706">
                  <c:v>43901</c:v>
                </c:pt>
                <c:pt idx="707">
                  <c:v>43900</c:v>
                </c:pt>
                <c:pt idx="708">
                  <c:v>43899</c:v>
                </c:pt>
                <c:pt idx="709">
                  <c:v>43898</c:v>
                </c:pt>
                <c:pt idx="710">
                  <c:v>43897</c:v>
                </c:pt>
                <c:pt idx="711">
                  <c:v>43896</c:v>
                </c:pt>
                <c:pt idx="712">
                  <c:v>43895</c:v>
                </c:pt>
                <c:pt idx="713">
                  <c:v>43894</c:v>
                </c:pt>
                <c:pt idx="714">
                  <c:v>43893</c:v>
                </c:pt>
                <c:pt idx="715">
                  <c:v>43892</c:v>
                </c:pt>
                <c:pt idx="716">
                  <c:v>43891</c:v>
                </c:pt>
                <c:pt idx="717">
                  <c:v>43890</c:v>
                </c:pt>
                <c:pt idx="718">
                  <c:v>43889</c:v>
                </c:pt>
                <c:pt idx="719">
                  <c:v>43888</c:v>
                </c:pt>
                <c:pt idx="720">
                  <c:v>43887</c:v>
                </c:pt>
                <c:pt idx="721">
                  <c:v>43886</c:v>
                </c:pt>
                <c:pt idx="722">
                  <c:v>43885</c:v>
                </c:pt>
                <c:pt idx="723">
                  <c:v>43884</c:v>
                </c:pt>
                <c:pt idx="724">
                  <c:v>43883</c:v>
                </c:pt>
                <c:pt idx="725">
                  <c:v>43882</c:v>
                </c:pt>
                <c:pt idx="726">
                  <c:v>43881</c:v>
                </c:pt>
                <c:pt idx="727">
                  <c:v>43880</c:v>
                </c:pt>
                <c:pt idx="728">
                  <c:v>43879</c:v>
                </c:pt>
                <c:pt idx="729">
                  <c:v>43878</c:v>
                </c:pt>
                <c:pt idx="730">
                  <c:v>43877</c:v>
                </c:pt>
                <c:pt idx="731">
                  <c:v>43876</c:v>
                </c:pt>
                <c:pt idx="732">
                  <c:v>43875</c:v>
                </c:pt>
                <c:pt idx="733">
                  <c:v>43874</c:v>
                </c:pt>
                <c:pt idx="734">
                  <c:v>43873</c:v>
                </c:pt>
                <c:pt idx="735">
                  <c:v>43872</c:v>
                </c:pt>
                <c:pt idx="736">
                  <c:v>43871</c:v>
                </c:pt>
                <c:pt idx="737">
                  <c:v>43870</c:v>
                </c:pt>
                <c:pt idx="738">
                  <c:v>43869</c:v>
                </c:pt>
                <c:pt idx="739">
                  <c:v>43868</c:v>
                </c:pt>
                <c:pt idx="740">
                  <c:v>43867</c:v>
                </c:pt>
                <c:pt idx="741">
                  <c:v>43866</c:v>
                </c:pt>
                <c:pt idx="742">
                  <c:v>43865</c:v>
                </c:pt>
                <c:pt idx="743">
                  <c:v>43864</c:v>
                </c:pt>
                <c:pt idx="744">
                  <c:v>43863</c:v>
                </c:pt>
                <c:pt idx="745">
                  <c:v>43862</c:v>
                </c:pt>
                <c:pt idx="746">
                  <c:v>43861</c:v>
                </c:pt>
                <c:pt idx="747">
                  <c:v>43860</c:v>
                </c:pt>
                <c:pt idx="748">
                  <c:v>43859</c:v>
                </c:pt>
                <c:pt idx="749">
                  <c:v>43858</c:v>
                </c:pt>
                <c:pt idx="750">
                  <c:v>43857</c:v>
                </c:pt>
                <c:pt idx="751">
                  <c:v>43856</c:v>
                </c:pt>
                <c:pt idx="752">
                  <c:v>43855</c:v>
                </c:pt>
                <c:pt idx="753">
                  <c:v>43854</c:v>
                </c:pt>
                <c:pt idx="754">
                  <c:v>43853</c:v>
                </c:pt>
                <c:pt idx="755">
                  <c:v>43852</c:v>
                </c:pt>
                <c:pt idx="756">
                  <c:v>43851</c:v>
                </c:pt>
                <c:pt idx="757">
                  <c:v>43850</c:v>
                </c:pt>
                <c:pt idx="758">
                  <c:v>43849</c:v>
                </c:pt>
                <c:pt idx="759">
                  <c:v>43848</c:v>
                </c:pt>
                <c:pt idx="760">
                  <c:v>43847</c:v>
                </c:pt>
                <c:pt idx="761">
                  <c:v>43846</c:v>
                </c:pt>
                <c:pt idx="762">
                  <c:v>43845</c:v>
                </c:pt>
                <c:pt idx="763">
                  <c:v>43844</c:v>
                </c:pt>
                <c:pt idx="764">
                  <c:v>43843</c:v>
                </c:pt>
                <c:pt idx="765">
                  <c:v>43842</c:v>
                </c:pt>
                <c:pt idx="766">
                  <c:v>43841</c:v>
                </c:pt>
                <c:pt idx="767">
                  <c:v>43840</c:v>
                </c:pt>
                <c:pt idx="768">
                  <c:v>43839</c:v>
                </c:pt>
                <c:pt idx="769">
                  <c:v>43838</c:v>
                </c:pt>
                <c:pt idx="770">
                  <c:v>43837</c:v>
                </c:pt>
                <c:pt idx="771">
                  <c:v>43836</c:v>
                </c:pt>
                <c:pt idx="772">
                  <c:v>43835</c:v>
                </c:pt>
                <c:pt idx="773">
                  <c:v>43834</c:v>
                </c:pt>
                <c:pt idx="774">
                  <c:v>43833</c:v>
                </c:pt>
                <c:pt idx="775">
                  <c:v>43832</c:v>
                </c:pt>
                <c:pt idx="776">
                  <c:v>43831</c:v>
                </c:pt>
                <c:pt idx="777">
                  <c:v>43830</c:v>
                </c:pt>
                <c:pt idx="778">
                  <c:v>43829</c:v>
                </c:pt>
                <c:pt idx="779">
                  <c:v>43828</c:v>
                </c:pt>
                <c:pt idx="780">
                  <c:v>43827</c:v>
                </c:pt>
                <c:pt idx="781">
                  <c:v>43826</c:v>
                </c:pt>
                <c:pt idx="782">
                  <c:v>43825</c:v>
                </c:pt>
                <c:pt idx="783">
                  <c:v>43824</c:v>
                </c:pt>
                <c:pt idx="784">
                  <c:v>43823</c:v>
                </c:pt>
                <c:pt idx="785">
                  <c:v>43822</c:v>
                </c:pt>
                <c:pt idx="786">
                  <c:v>43821</c:v>
                </c:pt>
                <c:pt idx="787">
                  <c:v>43820</c:v>
                </c:pt>
                <c:pt idx="788">
                  <c:v>43819</c:v>
                </c:pt>
                <c:pt idx="789">
                  <c:v>43818</c:v>
                </c:pt>
                <c:pt idx="790">
                  <c:v>43817</c:v>
                </c:pt>
                <c:pt idx="791">
                  <c:v>43816</c:v>
                </c:pt>
                <c:pt idx="792">
                  <c:v>43815</c:v>
                </c:pt>
                <c:pt idx="793">
                  <c:v>43814</c:v>
                </c:pt>
                <c:pt idx="794">
                  <c:v>43813</c:v>
                </c:pt>
                <c:pt idx="795">
                  <c:v>43812</c:v>
                </c:pt>
                <c:pt idx="796">
                  <c:v>43811</c:v>
                </c:pt>
                <c:pt idx="797">
                  <c:v>43810</c:v>
                </c:pt>
                <c:pt idx="798">
                  <c:v>43809</c:v>
                </c:pt>
                <c:pt idx="799">
                  <c:v>43808</c:v>
                </c:pt>
                <c:pt idx="800">
                  <c:v>43807</c:v>
                </c:pt>
                <c:pt idx="801">
                  <c:v>43806</c:v>
                </c:pt>
                <c:pt idx="802">
                  <c:v>43805</c:v>
                </c:pt>
                <c:pt idx="803">
                  <c:v>43804</c:v>
                </c:pt>
                <c:pt idx="804">
                  <c:v>43803</c:v>
                </c:pt>
                <c:pt idx="805">
                  <c:v>43802</c:v>
                </c:pt>
                <c:pt idx="806">
                  <c:v>43801</c:v>
                </c:pt>
                <c:pt idx="807">
                  <c:v>43800</c:v>
                </c:pt>
                <c:pt idx="808">
                  <c:v>43799</c:v>
                </c:pt>
                <c:pt idx="809">
                  <c:v>43798</c:v>
                </c:pt>
                <c:pt idx="810">
                  <c:v>43797</c:v>
                </c:pt>
                <c:pt idx="811">
                  <c:v>43796</c:v>
                </c:pt>
                <c:pt idx="812">
                  <c:v>43795</c:v>
                </c:pt>
                <c:pt idx="813">
                  <c:v>43794</c:v>
                </c:pt>
                <c:pt idx="814">
                  <c:v>43793</c:v>
                </c:pt>
                <c:pt idx="815">
                  <c:v>43792</c:v>
                </c:pt>
                <c:pt idx="816">
                  <c:v>43791</c:v>
                </c:pt>
                <c:pt idx="817">
                  <c:v>43790</c:v>
                </c:pt>
                <c:pt idx="818">
                  <c:v>43789</c:v>
                </c:pt>
                <c:pt idx="819">
                  <c:v>43788</c:v>
                </c:pt>
                <c:pt idx="820">
                  <c:v>43787</c:v>
                </c:pt>
                <c:pt idx="821">
                  <c:v>43786</c:v>
                </c:pt>
                <c:pt idx="822">
                  <c:v>43785</c:v>
                </c:pt>
                <c:pt idx="823">
                  <c:v>43784</c:v>
                </c:pt>
                <c:pt idx="824">
                  <c:v>43783</c:v>
                </c:pt>
                <c:pt idx="825">
                  <c:v>43782</c:v>
                </c:pt>
                <c:pt idx="826">
                  <c:v>43781</c:v>
                </c:pt>
                <c:pt idx="827">
                  <c:v>43780</c:v>
                </c:pt>
                <c:pt idx="828">
                  <c:v>43779</c:v>
                </c:pt>
                <c:pt idx="829">
                  <c:v>43778</c:v>
                </c:pt>
                <c:pt idx="830">
                  <c:v>43777</c:v>
                </c:pt>
                <c:pt idx="831">
                  <c:v>43776</c:v>
                </c:pt>
                <c:pt idx="832">
                  <c:v>43775</c:v>
                </c:pt>
                <c:pt idx="833">
                  <c:v>43774</c:v>
                </c:pt>
                <c:pt idx="834">
                  <c:v>43773</c:v>
                </c:pt>
                <c:pt idx="835">
                  <c:v>43772</c:v>
                </c:pt>
                <c:pt idx="836">
                  <c:v>43771</c:v>
                </c:pt>
                <c:pt idx="837">
                  <c:v>43770</c:v>
                </c:pt>
                <c:pt idx="838">
                  <c:v>43769</c:v>
                </c:pt>
                <c:pt idx="839">
                  <c:v>43768</c:v>
                </c:pt>
                <c:pt idx="840">
                  <c:v>43767</c:v>
                </c:pt>
                <c:pt idx="841">
                  <c:v>43766</c:v>
                </c:pt>
                <c:pt idx="842">
                  <c:v>43765</c:v>
                </c:pt>
                <c:pt idx="843">
                  <c:v>43764</c:v>
                </c:pt>
                <c:pt idx="844">
                  <c:v>43763</c:v>
                </c:pt>
                <c:pt idx="845">
                  <c:v>43762</c:v>
                </c:pt>
                <c:pt idx="846">
                  <c:v>43761</c:v>
                </c:pt>
                <c:pt idx="847">
                  <c:v>43760</c:v>
                </c:pt>
                <c:pt idx="848">
                  <c:v>43759</c:v>
                </c:pt>
                <c:pt idx="849">
                  <c:v>43758</c:v>
                </c:pt>
                <c:pt idx="850">
                  <c:v>43757</c:v>
                </c:pt>
                <c:pt idx="851">
                  <c:v>43756</c:v>
                </c:pt>
                <c:pt idx="852">
                  <c:v>43755</c:v>
                </c:pt>
                <c:pt idx="853">
                  <c:v>43754</c:v>
                </c:pt>
                <c:pt idx="854">
                  <c:v>43753</c:v>
                </c:pt>
                <c:pt idx="855">
                  <c:v>43752</c:v>
                </c:pt>
                <c:pt idx="856">
                  <c:v>43751</c:v>
                </c:pt>
                <c:pt idx="857">
                  <c:v>43750</c:v>
                </c:pt>
                <c:pt idx="858">
                  <c:v>43749</c:v>
                </c:pt>
                <c:pt idx="859">
                  <c:v>43748</c:v>
                </c:pt>
                <c:pt idx="860">
                  <c:v>43747</c:v>
                </c:pt>
                <c:pt idx="861">
                  <c:v>43746</c:v>
                </c:pt>
                <c:pt idx="862">
                  <c:v>43745</c:v>
                </c:pt>
                <c:pt idx="863">
                  <c:v>43744</c:v>
                </c:pt>
                <c:pt idx="864">
                  <c:v>43743</c:v>
                </c:pt>
                <c:pt idx="865">
                  <c:v>43742</c:v>
                </c:pt>
                <c:pt idx="866">
                  <c:v>43741</c:v>
                </c:pt>
                <c:pt idx="867">
                  <c:v>43740</c:v>
                </c:pt>
                <c:pt idx="868">
                  <c:v>43739</c:v>
                </c:pt>
                <c:pt idx="869">
                  <c:v>43738</c:v>
                </c:pt>
                <c:pt idx="870">
                  <c:v>43737</c:v>
                </c:pt>
                <c:pt idx="871">
                  <c:v>43736</c:v>
                </c:pt>
                <c:pt idx="872">
                  <c:v>43735</c:v>
                </c:pt>
                <c:pt idx="873">
                  <c:v>43734</c:v>
                </c:pt>
                <c:pt idx="874">
                  <c:v>43733</c:v>
                </c:pt>
                <c:pt idx="875">
                  <c:v>43732</c:v>
                </c:pt>
                <c:pt idx="876">
                  <c:v>43731</c:v>
                </c:pt>
                <c:pt idx="877">
                  <c:v>43730</c:v>
                </c:pt>
                <c:pt idx="878">
                  <c:v>43729</c:v>
                </c:pt>
                <c:pt idx="879">
                  <c:v>43728</c:v>
                </c:pt>
                <c:pt idx="880">
                  <c:v>43727</c:v>
                </c:pt>
                <c:pt idx="881">
                  <c:v>43726</c:v>
                </c:pt>
                <c:pt idx="882">
                  <c:v>43725</c:v>
                </c:pt>
                <c:pt idx="883">
                  <c:v>43724</c:v>
                </c:pt>
                <c:pt idx="884">
                  <c:v>43723</c:v>
                </c:pt>
                <c:pt idx="885">
                  <c:v>43722</c:v>
                </c:pt>
                <c:pt idx="886">
                  <c:v>43721</c:v>
                </c:pt>
                <c:pt idx="887">
                  <c:v>43720</c:v>
                </c:pt>
                <c:pt idx="888">
                  <c:v>43719</c:v>
                </c:pt>
                <c:pt idx="889">
                  <c:v>43718</c:v>
                </c:pt>
                <c:pt idx="890">
                  <c:v>43717</c:v>
                </c:pt>
                <c:pt idx="891">
                  <c:v>43716</c:v>
                </c:pt>
                <c:pt idx="892">
                  <c:v>43715</c:v>
                </c:pt>
                <c:pt idx="893">
                  <c:v>43714</c:v>
                </c:pt>
                <c:pt idx="894">
                  <c:v>43713</c:v>
                </c:pt>
                <c:pt idx="895">
                  <c:v>43712</c:v>
                </c:pt>
                <c:pt idx="896">
                  <c:v>43711</c:v>
                </c:pt>
                <c:pt idx="897">
                  <c:v>43710</c:v>
                </c:pt>
                <c:pt idx="898">
                  <c:v>43709</c:v>
                </c:pt>
                <c:pt idx="899">
                  <c:v>43708</c:v>
                </c:pt>
                <c:pt idx="900">
                  <c:v>43707</c:v>
                </c:pt>
                <c:pt idx="901">
                  <c:v>43706</c:v>
                </c:pt>
                <c:pt idx="902">
                  <c:v>43705</c:v>
                </c:pt>
                <c:pt idx="903">
                  <c:v>43704</c:v>
                </c:pt>
                <c:pt idx="904">
                  <c:v>43703</c:v>
                </c:pt>
                <c:pt idx="905">
                  <c:v>43702</c:v>
                </c:pt>
                <c:pt idx="906">
                  <c:v>43701</c:v>
                </c:pt>
                <c:pt idx="907">
                  <c:v>43700</c:v>
                </c:pt>
                <c:pt idx="908">
                  <c:v>43699</c:v>
                </c:pt>
                <c:pt idx="909">
                  <c:v>43698</c:v>
                </c:pt>
                <c:pt idx="910">
                  <c:v>43697</c:v>
                </c:pt>
                <c:pt idx="911">
                  <c:v>43696</c:v>
                </c:pt>
                <c:pt idx="912">
                  <c:v>43695</c:v>
                </c:pt>
                <c:pt idx="913">
                  <c:v>43694</c:v>
                </c:pt>
                <c:pt idx="914">
                  <c:v>43693</c:v>
                </c:pt>
                <c:pt idx="915">
                  <c:v>43692</c:v>
                </c:pt>
                <c:pt idx="916">
                  <c:v>43691</c:v>
                </c:pt>
                <c:pt idx="917">
                  <c:v>43690</c:v>
                </c:pt>
                <c:pt idx="918">
                  <c:v>43689</c:v>
                </c:pt>
                <c:pt idx="919">
                  <c:v>43688</c:v>
                </c:pt>
                <c:pt idx="920">
                  <c:v>43687</c:v>
                </c:pt>
                <c:pt idx="921">
                  <c:v>43686</c:v>
                </c:pt>
                <c:pt idx="922">
                  <c:v>43685</c:v>
                </c:pt>
                <c:pt idx="923">
                  <c:v>43684</c:v>
                </c:pt>
                <c:pt idx="924">
                  <c:v>43683</c:v>
                </c:pt>
                <c:pt idx="925">
                  <c:v>43682</c:v>
                </c:pt>
                <c:pt idx="926">
                  <c:v>43681</c:v>
                </c:pt>
                <c:pt idx="927">
                  <c:v>43680</c:v>
                </c:pt>
                <c:pt idx="928">
                  <c:v>43679</c:v>
                </c:pt>
                <c:pt idx="929">
                  <c:v>43678</c:v>
                </c:pt>
                <c:pt idx="930">
                  <c:v>43677</c:v>
                </c:pt>
                <c:pt idx="931">
                  <c:v>43676</c:v>
                </c:pt>
                <c:pt idx="932">
                  <c:v>43675</c:v>
                </c:pt>
                <c:pt idx="933">
                  <c:v>43674</c:v>
                </c:pt>
                <c:pt idx="934">
                  <c:v>43673</c:v>
                </c:pt>
                <c:pt idx="935">
                  <c:v>43672</c:v>
                </c:pt>
                <c:pt idx="936">
                  <c:v>43671</c:v>
                </c:pt>
                <c:pt idx="937">
                  <c:v>43670</c:v>
                </c:pt>
                <c:pt idx="938">
                  <c:v>43669</c:v>
                </c:pt>
                <c:pt idx="939">
                  <c:v>43668</c:v>
                </c:pt>
                <c:pt idx="940">
                  <c:v>43667</c:v>
                </c:pt>
                <c:pt idx="941">
                  <c:v>43666</c:v>
                </c:pt>
                <c:pt idx="942">
                  <c:v>43665</c:v>
                </c:pt>
                <c:pt idx="943">
                  <c:v>43664</c:v>
                </c:pt>
                <c:pt idx="944">
                  <c:v>43663</c:v>
                </c:pt>
                <c:pt idx="945">
                  <c:v>43662</c:v>
                </c:pt>
                <c:pt idx="946">
                  <c:v>43661</c:v>
                </c:pt>
                <c:pt idx="947">
                  <c:v>43660</c:v>
                </c:pt>
                <c:pt idx="948">
                  <c:v>43659</c:v>
                </c:pt>
                <c:pt idx="949">
                  <c:v>43658</c:v>
                </c:pt>
                <c:pt idx="950">
                  <c:v>43657</c:v>
                </c:pt>
                <c:pt idx="951">
                  <c:v>43656</c:v>
                </c:pt>
                <c:pt idx="952">
                  <c:v>43655</c:v>
                </c:pt>
                <c:pt idx="953">
                  <c:v>43654</c:v>
                </c:pt>
                <c:pt idx="954">
                  <c:v>43653</c:v>
                </c:pt>
                <c:pt idx="955">
                  <c:v>43652</c:v>
                </c:pt>
                <c:pt idx="956">
                  <c:v>43651</c:v>
                </c:pt>
                <c:pt idx="957">
                  <c:v>43650</c:v>
                </c:pt>
                <c:pt idx="958">
                  <c:v>43649</c:v>
                </c:pt>
                <c:pt idx="959">
                  <c:v>43648</c:v>
                </c:pt>
                <c:pt idx="960">
                  <c:v>43647</c:v>
                </c:pt>
                <c:pt idx="961">
                  <c:v>43646</c:v>
                </c:pt>
                <c:pt idx="962">
                  <c:v>43645</c:v>
                </c:pt>
                <c:pt idx="963">
                  <c:v>43644</c:v>
                </c:pt>
                <c:pt idx="964">
                  <c:v>43643</c:v>
                </c:pt>
                <c:pt idx="965">
                  <c:v>43642</c:v>
                </c:pt>
                <c:pt idx="966">
                  <c:v>43641</c:v>
                </c:pt>
                <c:pt idx="967">
                  <c:v>43640</c:v>
                </c:pt>
                <c:pt idx="968">
                  <c:v>43639</c:v>
                </c:pt>
                <c:pt idx="969">
                  <c:v>43638</c:v>
                </c:pt>
                <c:pt idx="970">
                  <c:v>43637</c:v>
                </c:pt>
                <c:pt idx="971">
                  <c:v>43636</c:v>
                </c:pt>
                <c:pt idx="972">
                  <c:v>43635</c:v>
                </c:pt>
                <c:pt idx="973">
                  <c:v>43634</c:v>
                </c:pt>
                <c:pt idx="974">
                  <c:v>43633</c:v>
                </c:pt>
                <c:pt idx="975">
                  <c:v>43632</c:v>
                </c:pt>
                <c:pt idx="976">
                  <c:v>43631</c:v>
                </c:pt>
                <c:pt idx="977">
                  <c:v>43630</c:v>
                </c:pt>
                <c:pt idx="978">
                  <c:v>43629</c:v>
                </c:pt>
                <c:pt idx="979">
                  <c:v>43628</c:v>
                </c:pt>
                <c:pt idx="980">
                  <c:v>43627</c:v>
                </c:pt>
                <c:pt idx="981">
                  <c:v>43626</c:v>
                </c:pt>
                <c:pt idx="982">
                  <c:v>43625</c:v>
                </c:pt>
                <c:pt idx="983">
                  <c:v>43624</c:v>
                </c:pt>
                <c:pt idx="984">
                  <c:v>43623</c:v>
                </c:pt>
                <c:pt idx="985">
                  <c:v>43622</c:v>
                </c:pt>
                <c:pt idx="986">
                  <c:v>43621</c:v>
                </c:pt>
                <c:pt idx="987">
                  <c:v>43620</c:v>
                </c:pt>
                <c:pt idx="988">
                  <c:v>43619</c:v>
                </c:pt>
                <c:pt idx="989">
                  <c:v>43618</c:v>
                </c:pt>
                <c:pt idx="990">
                  <c:v>43617</c:v>
                </c:pt>
                <c:pt idx="991">
                  <c:v>43616</c:v>
                </c:pt>
                <c:pt idx="992">
                  <c:v>43615</c:v>
                </c:pt>
                <c:pt idx="993">
                  <c:v>43614</c:v>
                </c:pt>
                <c:pt idx="994">
                  <c:v>43613</c:v>
                </c:pt>
                <c:pt idx="995">
                  <c:v>43612</c:v>
                </c:pt>
                <c:pt idx="996">
                  <c:v>43611</c:v>
                </c:pt>
                <c:pt idx="997">
                  <c:v>43610</c:v>
                </c:pt>
                <c:pt idx="998">
                  <c:v>43609</c:v>
                </c:pt>
                <c:pt idx="999">
                  <c:v>43608</c:v>
                </c:pt>
                <c:pt idx="1000">
                  <c:v>43607</c:v>
                </c:pt>
                <c:pt idx="1001">
                  <c:v>43606</c:v>
                </c:pt>
                <c:pt idx="1002">
                  <c:v>43605</c:v>
                </c:pt>
                <c:pt idx="1003">
                  <c:v>43604</c:v>
                </c:pt>
                <c:pt idx="1004">
                  <c:v>43603</c:v>
                </c:pt>
                <c:pt idx="1005">
                  <c:v>43602</c:v>
                </c:pt>
                <c:pt idx="1006">
                  <c:v>43601</c:v>
                </c:pt>
                <c:pt idx="1007">
                  <c:v>43600</c:v>
                </c:pt>
                <c:pt idx="1008">
                  <c:v>43599</c:v>
                </c:pt>
                <c:pt idx="1009">
                  <c:v>43598</c:v>
                </c:pt>
                <c:pt idx="1010">
                  <c:v>43597</c:v>
                </c:pt>
                <c:pt idx="1011">
                  <c:v>43596</c:v>
                </c:pt>
                <c:pt idx="1012">
                  <c:v>43595</c:v>
                </c:pt>
                <c:pt idx="1013">
                  <c:v>43594</c:v>
                </c:pt>
                <c:pt idx="1014">
                  <c:v>43593</c:v>
                </c:pt>
                <c:pt idx="1015">
                  <c:v>43592</c:v>
                </c:pt>
                <c:pt idx="1016">
                  <c:v>43591</c:v>
                </c:pt>
                <c:pt idx="1017">
                  <c:v>43590</c:v>
                </c:pt>
                <c:pt idx="1018">
                  <c:v>43589</c:v>
                </c:pt>
                <c:pt idx="1019">
                  <c:v>43588</c:v>
                </c:pt>
                <c:pt idx="1020">
                  <c:v>43587</c:v>
                </c:pt>
                <c:pt idx="1021">
                  <c:v>43586</c:v>
                </c:pt>
                <c:pt idx="1022">
                  <c:v>43585</c:v>
                </c:pt>
                <c:pt idx="1023">
                  <c:v>43584</c:v>
                </c:pt>
                <c:pt idx="1024">
                  <c:v>43583</c:v>
                </c:pt>
                <c:pt idx="1025">
                  <c:v>43582</c:v>
                </c:pt>
                <c:pt idx="1026">
                  <c:v>43581</c:v>
                </c:pt>
                <c:pt idx="1027">
                  <c:v>43580</c:v>
                </c:pt>
                <c:pt idx="1028">
                  <c:v>43579</c:v>
                </c:pt>
                <c:pt idx="1029">
                  <c:v>43578</c:v>
                </c:pt>
                <c:pt idx="1030">
                  <c:v>43577</c:v>
                </c:pt>
                <c:pt idx="1031">
                  <c:v>43576</c:v>
                </c:pt>
                <c:pt idx="1032">
                  <c:v>43575</c:v>
                </c:pt>
                <c:pt idx="1033">
                  <c:v>43574</c:v>
                </c:pt>
                <c:pt idx="1034">
                  <c:v>43573</c:v>
                </c:pt>
                <c:pt idx="1035">
                  <c:v>43572</c:v>
                </c:pt>
                <c:pt idx="1036">
                  <c:v>43571</c:v>
                </c:pt>
                <c:pt idx="1037">
                  <c:v>43570</c:v>
                </c:pt>
                <c:pt idx="1038">
                  <c:v>43569</c:v>
                </c:pt>
                <c:pt idx="1039">
                  <c:v>43568</c:v>
                </c:pt>
                <c:pt idx="1040">
                  <c:v>43567</c:v>
                </c:pt>
                <c:pt idx="1041">
                  <c:v>43566</c:v>
                </c:pt>
                <c:pt idx="1042">
                  <c:v>43565</c:v>
                </c:pt>
                <c:pt idx="1043">
                  <c:v>43564</c:v>
                </c:pt>
                <c:pt idx="1044">
                  <c:v>43563</c:v>
                </c:pt>
                <c:pt idx="1045">
                  <c:v>43562</c:v>
                </c:pt>
                <c:pt idx="1046">
                  <c:v>43561</c:v>
                </c:pt>
                <c:pt idx="1047">
                  <c:v>43560</c:v>
                </c:pt>
                <c:pt idx="1048">
                  <c:v>43559</c:v>
                </c:pt>
                <c:pt idx="1049">
                  <c:v>43558</c:v>
                </c:pt>
                <c:pt idx="1050">
                  <c:v>43557</c:v>
                </c:pt>
                <c:pt idx="1051">
                  <c:v>43556</c:v>
                </c:pt>
                <c:pt idx="1052">
                  <c:v>43555</c:v>
                </c:pt>
                <c:pt idx="1053">
                  <c:v>43554</c:v>
                </c:pt>
                <c:pt idx="1054">
                  <c:v>43553</c:v>
                </c:pt>
                <c:pt idx="1055">
                  <c:v>43552</c:v>
                </c:pt>
                <c:pt idx="1056">
                  <c:v>43551</c:v>
                </c:pt>
                <c:pt idx="1057">
                  <c:v>43550</c:v>
                </c:pt>
                <c:pt idx="1058">
                  <c:v>43549</c:v>
                </c:pt>
                <c:pt idx="1059">
                  <c:v>43548</c:v>
                </c:pt>
                <c:pt idx="1060">
                  <c:v>43547</c:v>
                </c:pt>
                <c:pt idx="1061">
                  <c:v>43546</c:v>
                </c:pt>
                <c:pt idx="1062">
                  <c:v>43545</c:v>
                </c:pt>
                <c:pt idx="1063">
                  <c:v>43544</c:v>
                </c:pt>
                <c:pt idx="1064">
                  <c:v>43543</c:v>
                </c:pt>
                <c:pt idx="1065">
                  <c:v>43542</c:v>
                </c:pt>
                <c:pt idx="1066">
                  <c:v>43541</c:v>
                </c:pt>
                <c:pt idx="1067">
                  <c:v>43540</c:v>
                </c:pt>
                <c:pt idx="1068">
                  <c:v>43539</c:v>
                </c:pt>
                <c:pt idx="1069">
                  <c:v>43538</c:v>
                </c:pt>
                <c:pt idx="1070">
                  <c:v>43537</c:v>
                </c:pt>
                <c:pt idx="1071">
                  <c:v>43536</c:v>
                </c:pt>
                <c:pt idx="1072">
                  <c:v>43535</c:v>
                </c:pt>
                <c:pt idx="1073">
                  <c:v>43534</c:v>
                </c:pt>
                <c:pt idx="1074">
                  <c:v>43533</c:v>
                </c:pt>
                <c:pt idx="1075">
                  <c:v>43532</c:v>
                </c:pt>
                <c:pt idx="1076">
                  <c:v>43531</c:v>
                </c:pt>
                <c:pt idx="1077">
                  <c:v>43530</c:v>
                </c:pt>
                <c:pt idx="1078">
                  <c:v>43529</c:v>
                </c:pt>
                <c:pt idx="1079">
                  <c:v>43528</c:v>
                </c:pt>
                <c:pt idx="1080">
                  <c:v>43527</c:v>
                </c:pt>
                <c:pt idx="1081">
                  <c:v>43526</c:v>
                </c:pt>
                <c:pt idx="1082">
                  <c:v>43525</c:v>
                </c:pt>
                <c:pt idx="1083">
                  <c:v>43524</c:v>
                </c:pt>
                <c:pt idx="1084">
                  <c:v>43523</c:v>
                </c:pt>
                <c:pt idx="1085">
                  <c:v>43522</c:v>
                </c:pt>
                <c:pt idx="1086">
                  <c:v>43521</c:v>
                </c:pt>
                <c:pt idx="1087">
                  <c:v>43520</c:v>
                </c:pt>
                <c:pt idx="1088">
                  <c:v>43519</c:v>
                </c:pt>
                <c:pt idx="1089">
                  <c:v>43518</c:v>
                </c:pt>
                <c:pt idx="1090">
                  <c:v>43517</c:v>
                </c:pt>
                <c:pt idx="1091">
                  <c:v>43516</c:v>
                </c:pt>
                <c:pt idx="1092">
                  <c:v>43515</c:v>
                </c:pt>
                <c:pt idx="1093">
                  <c:v>43514</c:v>
                </c:pt>
                <c:pt idx="1094">
                  <c:v>43513</c:v>
                </c:pt>
                <c:pt idx="1095">
                  <c:v>43512</c:v>
                </c:pt>
                <c:pt idx="1096">
                  <c:v>43511</c:v>
                </c:pt>
                <c:pt idx="1097">
                  <c:v>43510</c:v>
                </c:pt>
                <c:pt idx="1098">
                  <c:v>43509</c:v>
                </c:pt>
                <c:pt idx="1099">
                  <c:v>43508</c:v>
                </c:pt>
                <c:pt idx="1100">
                  <c:v>43507</c:v>
                </c:pt>
                <c:pt idx="1101">
                  <c:v>43506</c:v>
                </c:pt>
                <c:pt idx="1102">
                  <c:v>43505</c:v>
                </c:pt>
                <c:pt idx="1103">
                  <c:v>43504</c:v>
                </c:pt>
                <c:pt idx="1104">
                  <c:v>43503</c:v>
                </c:pt>
                <c:pt idx="1105">
                  <c:v>43502</c:v>
                </c:pt>
                <c:pt idx="1106">
                  <c:v>43501</c:v>
                </c:pt>
                <c:pt idx="1107">
                  <c:v>43500</c:v>
                </c:pt>
                <c:pt idx="1108">
                  <c:v>43499</c:v>
                </c:pt>
                <c:pt idx="1109">
                  <c:v>43498</c:v>
                </c:pt>
                <c:pt idx="1110">
                  <c:v>43497</c:v>
                </c:pt>
                <c:pt idx="1111">
                  <c:v>43496</c:v>
                </c:pt>
                <c:pt idx="1112">
                  <c:v>43495</c:v>
                </c:pt>
                <c:pt idx="1113">
                  <c:v>43494</c:v>
                </c:pt>
                <c:pt idx="1114">
                  <c:v>43493</c:v>
                </c:pt>
                <c:pt idx="1115">
                  <c:v>43492</c:v>
                </c:pt>
                <c:pt idx="1116">
                  <c:v>43491</c:v>
                </c:pt>
                <c:pt idx="1117">
                  <c:v>43490</c:v>
                </c:pt>
                <c:pt idx="1118">
                  <c:v>43489</c:v>
                </c:pt>
                <c:pt idx="1119">
                  <c:v>43488</c:v>
                </c:pt>
                <c:pt idx="1120">
                  <c:v>43487</c:v>
                </c:pt>
                <c:pt idx="1121">
                  <c:v>43486</c:v>
                </c:pt>
                <c:pt idx="1122">
                  <c:v>43485</c:v>
                </c:pt>
                <c:pt idx="1123">
                  <c:v>43484</c:v>
                </c:pt>
                <c:pt idx="1124">
                  <c:v>43483</c:v>
                </c:pt>
                <c:pt idx="1125">
                  <c:v>43482</c:v>
                </c:pt>
                <c:pt idx="1126">
                  <c:v>43481</c:v>
                </c:pt>
                <c:pt idx="1127">
                  <c:v>43480</c:v>
                </c:pt>
                <c:pt idx="1128">
                  <c:v>43479</c:v>
                </c:pt>
                <c:pt idx="1129">
                  <c:v>43478</c:v>
                </c:pt>
                <c:pt idx="1130">
                  <c:v>43477</c:v>
                </c:pt>
                <c:pt idx="1131">
                  <c:v>43476</c:v>
                </c:pt>
                <c:pt idx="1132">
                  <c:v>43475</c:v>
                </c:pt>
                <c:pt idx="1133">
                  <c:v>43474</c:v>
                </c:pt>
                <c:pt idx="1134">
                  <c:v>43473</c:v>
                </c:pt>
                <c:pt idx="1135">
                  <c:v>43472</c:v>
                </c:pt>
                <c:pt idx="1136">
                  <c:v>43471</c:v>
                </c:pt>
                <c:pt idx="1137">
                  <c:v>43470</c:v>
                </c:pt>
                <c:pt idx="1138">
                  <c:v>43469</c:v>
                </c:pt>
                <c:pt idx="1139">
                  <c:v>43468</c:v>
                </c:pt>
                <c:pt idx="1140">
                  <c:v>43467</c:v>
                </c:pt>
                <c:pt idx="1141">
                  <c:v>43466</c:v>
                </c:pt>
                <c:pt idx="1142">
                  <c:v>43465</c:v>
                </c:pt>
                <c:pt idx="1143">
                  <c:v>43464</c:v>
                </c:pt>
                <c:pt idx="1144">
                  <c:v>43463</c:v>
                </c:pt>
                <c:pt idx="1145">
                  <c:v>43462</c:v>
                </c:pt>
                <c:pt idx="1146">
                  <c:v>43461</c:v>
                </c:pt>
                <c:pt idx="1147">
                  <c:v>43460</c:v>
                </c:pt>
                <c:pt idx="1148">
                  <c:v>43459</c:v>
                </c:pt>
                <c:pt idx="1149">
                  <c:v>43458</c:v>
                </c:pt>
                <c:pt idx="1150">
                  <c:v>43457</c:v>
                </c:pt>
                <c:pt idx="1151">
                  <c:v>43456</c:v>
                </c:pt>
                <c:pt idx="1152">
                  <c:v>43455</c:v>
                </c:pt>
                <c:pt idx="1153">
                  <c:v>43454</c:v>
                </c:pt>
                <c:pt idx="1154">
                  <c:v>43453</c:v>
                </c:pt>
                <c:pt idx="1155">
                  <c:v>43452</c:v>
                </c:pt>
                <c:pt idx="1156">
                  <c:v>43451</c:v>
                </c:pt>
                <c:pt idx="1157">
                  <c:v>43450</c:v>
                </c:pt>
                <c:pt idx="1158">
                  <c:v>43449</c:v>
                </c:pt>
                <c:pt idx="1159">
                  <c:v>43448</c:v>
                </c:pt>
                <c:pt idx="1160">
                  <c:v>43447</c:v>
                </c:pt>
                <c:pt idx="1161">
                  <c:v>43446</c:v>
                </c:pt>
                <c:pt idx="1162">
                  <c:v>43445</c:v>
                </c:pt>
                <c:pt idx="1163">
                  <c:v>43444</c:v>
                </c:pt>
                <c:pt idx="1164">
                  <c:v>43443</c:v>
                </c:pt>
                <c:pt idx="1165">
                  <c:v>43442</c:v>
                </c:pt>
                <c:pt idx="1166">
                  <c:v>43441</c:v>
                </c:pt>
                <c:pt idx="1167">
                  <c:v>43440</c:v>
                </c:pt>
                <c:pt idx="1168">
                  <c:v>43439</c:v>
                </c:pt>
                <c:pt idx="1169">
                  <c:v>43438</c:v>
                </c:pt>
                <c:pt idx="1170">
                  <c:v>43437</c:v>
                </c:pt>
                <c:pt idx="1171">
                  <c:v>43436</c:v>
                </c:pt>
                <c:pt idx="1172">
                  <c:v>43435</c:v>
                </c:pt>
                <c:pt idx="1173">
                  <c:v>43434</c:v>
                </c:pt>
                <c:pt idx="1174">
                  <c:v>43433</c:v>
                </c:pt>
                <c:pt idx="1175">
                  <c:v>43432</c:v>
                </c:pt>
                <c:pt idx="1176">
                  <c:v>43431</c:v>
                </c:pt>
                <c:pt idx="1177">
                  <c:v>43430</c:v>
                </c:pt>
                <c:pt idx="1178">
                  <c:v>43429</c:v>
                </c:pt>
                <c:pt idx="1179">
                  <c:v>43428</c:v>
                </c:pt>
                <c:pt idx="1180">
                  <c:v>43427</c:v>
                </c:pt>
                <c:pt idx="1181">
                  <c:v>43426</c:v>
                </c:pt>
                <c:pt idx="1182">
                  <c:v>43425</c:v>
                </c:pt>
                <c:pt idx="1183">
                  <c:v>43424</c:v>
                </c:pt>
                <c:pt idx="1184">
                  <c:v>43423</c:v>
                </c:pt>
                <c:pt idx="1185">
                  <c:v>43422</c:v>
                </c:pt>
                <c:pt idx="1186">
                  <c:v>43421</c:v>
                </c:pt>
                <c:pt idx="1187">
                  <c:v>43420</c:v>
                </c:pt>
                <c:pt idx="1188">
                  <c:v>43419</c:v>
                </c:pt>
                <c:pt idx="1189">
                  <c:v>43418</c:v>
                </c:pt>
                <c:pt idx="1190">
                  <c:v>43417</c:v>
                </c:pt>
                <c:pt idx="1191">
                  <c:v>43416</c:v>
                </c:pt>
                <c:pt idx="1192">
                  <c:v>43415</c:v>
                </c:pt>
                <c:pt idx="1193">
                  <c:v>43414</c:v>
                </c:pt>
                <c:pt idx="1194">
                  <c:v>43413</c:v>
                </c:pt>
                <c:pt idx="1195">
                  <c:v>43412</c:v>
                </c:pt>
                <c:pt idx="1196">
                  <c:v>43411</c:v>
                </c:pt>
                <c:pt idx="1197">
                  <c:v>43410</c:v>
                </c:pt>
                <c:pt idx="1198">
                  <c:v>43409</c:v>
                </c:pt>
                <c:pt idx="1199">
                  <c:v>43408</c:v>
                </c:pt>
                <c:pt idx="1200">
                  <c:v>43407</c:v>
                </c:pt>
                <c:pt idx="1201">
                  <c:v>43406</c:v>
                </c:pt>
                <c:pt idx="1202">
                  <c:v>43405</c:v>
                </c:pt>
                <c:pt idx="1203">
                  <c:v>43404</c:v>
                </c:pt>
                <c:pt idx="1204">
                  <c:v>43403</c:v>
                </c:pt>
                <c:pt idx="1205">
                  <c:v>43402</c:v>
                </c:pt>
                <c:pt idx="1206">
                  <c:v>43401</c:v>
                </c:pt>
                <c:pt idx="1207">
                  <c:v>43400</c:v>
                </c:pt>
                <c:pt idx="1208">
                  <c:v>43399</c:v>
                </c:pt>
                <c:pt idx="1209">
                  <c:v>43398</c:v>
                </c:pt>
                <c:pt idx="1210">
                  <c:v>43397</c:v>
                </c:pt>
                <c:pt idx="1211">
                  <c:v>43396</c:v>
                </c:pt>
                <c:pt idx="1212">
                  <c:v>43395</c:v>
                </c:pt>
                <c:pt idx="1213">
                  <c:v>43394</c:v>
                </c:pt>
                <c:pt idx="1214">
                  <c:v>43393</c:v>
                </c:pt>
                <c:pt idx="1215">
                  <c:v>43392</c:v>
                </c:pt>
                <c:pt idx="1216">
                  <c:v>43391</c:v>
                </c:pt>
                <c:pt idx="1217">
                  <c:v>43390</c:v>
                </c:pt>
                <c:pt idx="1218">
                  <c:v>43389</c:v>
                </c:pt>
                <c:pt idx="1219">
                  <c:v>43388</c:v>
                </c:pt>
                <c:pt idx="1220">
                  <c:v>43387</c:v>
                </c:pt>
                <c:pt idx="1221">
                  <c:v>43386</c:v>
                </c:pt>
                <c:pt idx="1222">
                  <c:v>43385</c:v>
                </c:pt>
                <c:pt idx="1223">
                  <c:v>43384</c:v>
                </c:pt>
                <c:pt idx="1224">
                  <c:v>43383</c:v>
                </c:pt>
                <c:pt idx="1225">
                  <c:v>43382</c:v>
                </c:pt>
                <c:pt idx="1226">
                  <c:v>43381</c:v>
                </c:pt>
                <c:pt idx="1227">
                  <c:v>43380</c:v>
                </c:pt>
                <c:pt idx="1228">
                  <c:v>43379</c:v>
                </c:pt>
                <c:pt idx="1229">
                  <c:v>43378</c:v>
                </c:pt>
                <c:pt idx="1230">
                  <c:v>43377</c:v>
                </c:pt>
                <c:pt idx="1231">
                  <c:v>43376</c:v>
                </c:pt>
                <c:pt idx="1232">
                  <c:v>43375</c:v>
                </c:pt>
                <c:pt idx="1233">
                  <c:v>43374</c:v>
                </c:pt>
                <c:pt idx="1234">
                  <c:v>43373</c:v>
                </c:pt>
                <c:pt idx="1235">
                  <c:v>43372</c:v>
                </c:pt>
                <c:pt idx="1236">
                  <c:v>43371</c:v>
                </c:pt>
                <c:pt idx="1237">
                  <c:v>43370</c:v>
                </c:pt>
                <c:pt idx="1238">
                  <c:v>43369</c:v>
                </c:pt>
                <c:pt idx="1239">
                  <c:v>43368</c:v>
                </c:pt>
                <c:pt idx="1240">
                  <c:v>43367</c:v>
                </c:pt>
                <c:pt idx="1241">
                  <c:v>43366</c:v>
                </c:pt>
                <c:pt idx="1242">
                  <c:v>43365</c:v>
                </c:pt>
                <c:pt idx="1243">
                  <c:v>43364</c:v>
                </c:pt>
                <c:pt idx="1244">
                  <c:v>43363</c:v>
                </c:pt>
                <c:pt idx="1245">
                  <c:v>43362</c:v>
                </c:pt>
                <c:pt idx="1246">
                  <c:v>43361</c:v>
                </c:pt>
                <c:pt idx="1247">
                  <c:v>43360</c:v>
                </c:pt>
                <c:pt idx="1248">
                  <c:v>43359</c:v>
                </c:pt>
                <c:pt idx="1249">
                  <c:v>43358</c:v>
                </c:pt>
                <c:pt idx="1250">
                  <c:v>43357</c:v>
                </c:pt>
                <c:pt idx="1251">
                  <c:v>43356</c:v>
                </c:pt>
                <c:pt idx="1252">
                  <c:v>43355</c:v>
                </c:pt>
                <c:pt idx="1253">
                  <c:v>43354</c:v>
                </c:pt>
                <c:pt idx="1254">
                  <c:v>43353</c:v>
                </c:pt>
                <c:pt idx="1255">
                  <c:v>43352</c:v>
                </c:pt>
                <c:pt idx="1256" formatCode="m/d/yyyy">
                  <c:v>43351</c:v>
                </c:pt>
                <c:pt idx="1257" formatCode="m/d/yyyy">
                  <c:v>43350</c:v>
                </c:pt>
                <c:pt idx="1258" formatCode="m/d/yyyy">
                  <c:v>43349</c:v>
                </c:pt>
                <c:pt idx="1259" formatCode="m/d/yyyy">
                  <c:v>43348</c:v>
                </c:pt>
                <c:pt idx="1260" formatCode="m/d/yyyy">
                  <c:v>43347</c:v>
                </c:pt>
                <c:pt idx="1261" formatCode="m/d/yyyy">
                  <c:v>43346</c:v>
                </c:pt>
                <c:pt idx="1262" formatCode="m/d/yyyy">
                  <c:v>43345</c:v>
                </c:pt>
                <c:pt idx="1263" formatCode="m/d/yyyy">
                  <c:v>43344</c:v>
                </c:pt>
                <c:pt idx="1264" formatCode="m/d/yyyy">
                  <c:v>43343</c:v>
                </c:pt>
                <c:pt idx="1265" formatCode="m/d/yyyy">
                  <c:v>43342</c:v>
                </c:pt>
                <c:pt idx="1266" formatCode="m/d/yyyy">
                  <c:v>43341</c:v>
                </c:pt>
                <c:pt idx="1267" formatCode="m/d/yyyy">
                  <c:v>43340</c:v>
                </c:pt>
                <c:pt idx="1268" formatCode="m/d/yyyy">
                  <c:v>43339</c:v>
                </c:pt>
                <c:pt idx="1269" formatCode="m/d/yyyy">
                  <c:v>43338</c:v>
                </c:pt>
                <c:pt idx="1270" formatCode="m/d/yyyy">
                  <c:v>43337</c:v>
                </c:pt>
                <c:pt idx="1271" formatCode="m/d/yyyy">
                  <c:v>43336</c:v>
                </c:pt>
                <c:pt idx="1272" formatCode="m/d/yyyy">
                  <c:v>43335</c:v>
                </c:pt>
                <c:pt idx="1273" formatCode="m/d/yyyy">
                  <c:v>43334</c:v>
                </c:pt>
                <c:pt idx="1274" formatCode="m/d/yyyy">
                  <c:v>43333</c:v>
                </c:pt>
                <c:pt idx="1275" formatCode="m/d/yyyy">
                  <c:v>43332</c:v>
                </c:pt>
                <c:pt idx="1276" formatCode="m/d/yyyy">
                  <c:v>43331</c:v>
                </c:pt>
                <c:pt idx="1277" formatCode="m/d/yyyy">
                  <c:v>43330</c:v>
                </c:pt>
                <c:pt idx="1278" formatCode="m/d/yyyy">
                  <c:v>43329</c:v>
                </c:pt>
                <c:pt idx="1279" formatCode="m/d/yyyy">
                  <c:v>43328</c:v>
                </c:pt>
                <c:pt idx="1280" formatCode="m/d/yyyy">
                  <c:v>43327</c:v>
                </c:pt>
                <c:pt idx="1281" formatCode="m/d/yyyy">
                  <c:v>43326</c:v>
                </c:pt>
                <c:pt idx="1282" formatCode="m/d/yyyy">
                  <c:v>43325</c:v>
                </c:pt>
                <c:pt idx="1283" formatCode="m/d/yyyy">
                  <c:v>43324</c:v>
                </c:pt>
                <c:pt idx="1284" formatCode="m/d/yyyy">
                  <c:v>43323</c:v>
                </c:pt>
                <c:pt idx="1285" formatCode="m/d/yyyy">
                  <c:v>43322</c:v>
                </c:pt>
                <c:pt idx="1286" formatCode="m/d/yyyy">
                  <c:v>43321</c:v>
                </c:pt>
                <c:pt idx="1287" formatCode="m/d/yyyy">
                  <c:v>43320</c:v>
                </c:pt>
                <c:pt idx="1288" formatCode="m/d/yyyy">
                  <c:v>43319</c:v>
                </c:pt>
                <c:pt idx="1289" formatCode="m/d/yyyy">
                  <c:v>43318</c:v>
                </c:pt>
                <c:pt idx="1290" formatCode="m/d/yyyy">
                  <c:v>43317</c:v>
                </c:pt>
                <c:pt idx="1291" formatCode="m/d/yyyy">
                  <c:v>43316</c:v>
                </c:pt>
                <c:pt idx="1292" formatCode="m/d/yyyy">
                  <c:v>43315</c:v>
                </c:pt>
                <c:pt idx="1293" formatCode="m/d/yyyy">
                  <c:v>43314</c:v>
                </c:pt>
                <c:pt idx="1294" formatCode="m/d/yyyy">
                  <c:v>43313</c:v>
                </c:pt>
                <c:pt idx="1295" formatCode="m/d/yyyy">
                  <c:v>43312</c:v>
                </c:pt>
                <c:pt idx="1296" formatCode="m/d/yyyy">
                  <c:v>43311</c:v>
                </c:pt>
                <c:pt idx="1297" formatCode="m/d/yyyy">
                  <c:v>43310</c:v>
                </c:pt>
                <c:pt idx="1298" formatCode="m/d/yyyy">
                  <c:v>43309</c:v>
                </c:pt>
                <c:pt idx="1299" formatCode="m/d/yyyy">
                  <c:v>43308</c:v>
                </c:pt>
                <c:pt idx="1300" formatCode="m/d/yyyy">
                  <c:v>43307</c:v>
                </c:pt>
                <c:pt idx="1301" formatCode="m/d/yyyy">
                  <c:v>43306</c:v>
                </c:pt>
                <c:pt idx="1302" formatCode="m/d/yyyy">
                  <c:v>43305</c:v>
                </c:pt>
                <c:pt idx="1303" formatCode="m/d/yyyy">
                  <c:v>43304</c:v>
                </c:pt>
                <c:pt idx="1304" formatCode="m/d/yyyy">
                  <c:v>43303</c:v>
                </c:pt>
                <c:pt idx="1305" formatCode="m/d/yyyy">
                  <c:v>43302</c:v>
                </c:pt>
                <c:pt idx="1306" formatCode="m/d/yyyy">
                  <c:v>43301</c:v>
                </c:pt>
                <c:pt idx="1307" formatCode="m/d/yyyy">
                  <c:v>43300</c:v>
                </c:pt>
                <c:pt idx="1308" formatCode="m/d/yyyy">
                  <c:v>43299</c:v>
                </c:pt>
                <c:pt idx="1309" formatCode="m/d/yyyy">
                  <c:v>43298</c:v>
                </c:pt>
                <c:pt idx="1310" formatCode="m/d/yyyy">
                  <c:v>43297</c:v>
                </c:pt>
                <c:pt idx="1311" formatCode="m/d/yyyy">
                  <c:v>43296</c:v>
                </c:pt>
                <c:pt idx="1312" formatCode="m/d/yyyy">
                  <c:v>43295</c:v>
                </c:pt>
                <c:pt idx="1313" formatCode="m/d/yyyy">
                  <c:v>43294</c:v>
                </c:pt>
                <c:pt idx="1314" formatCode="m/d/yyyy">
                  <c:v>43293</c:v>
                </c:pt>
                <c:pt idx="1315" formatCode="m/d/yyyy">
                  <c:v>43292</c:v>
                </c:pt>
                <c:pt idx="1316" formatCode="m/d/yyyy">
                  <c:v>43291</c:v>
                </c:pt>
                <c:pt idx="1317" formatCode="m/d/yyyy">
                  <c:v>43290</c:v>
                </c:pt>
                <c:pt idx="1318" formatCode="m/d/yyyy">
                  <c:v>43289</c:v>
                </c:pt>
                <c:pt idx="1319" formatCode="m/d/yyyy">
                  <c:v>43288</c:v>
                </c:pt>
                <c:pt idx="1320" formatCode="m/d/yyyy">
                  <c:v>43287</c:v>
                </c:pt>
                <c:pt idx="1321" formatCode="m/d/yyyy">
                  <c:v>43286</c:v>
                </c:pt>
                <c:pt idx="1322" formatCode="m/d/yyyy">
                  <c:v>43285</c:v>
                </c:pt>
                <c:pt idx="1323" formatCode="m/d/yyyy">
                  <c:v>43284</c:v>
                </c:pt>
                <c:pt idx="1324" formatCode="m/d/yyyy">
                  <c:v>43283</c:v>
                </c:pt>
                <c:pt idx="1325" formatCode="m/d/yyyy">
                  <c:v>43282</c:v>
                </c:pt>
                <c:pt idx="1326" formatCode="m/d/yyyy">
                  <c:v>43281</c:v>
                </c:pt>
                <c:pt idx="1327" formatCode="m/d/yyyy">
                  <c:v>43280</c:v>
                </c:pt>
                <c:pt idx="1328" formatCode="m/d/yyyy">
                  <c:v>43279</c:v>
                </c:pt>
                <c:pt idx="1329" formatCode="m/d/yyyy">
                  <c:v>43278</c:v>
                </c:pt>
                <c:pt idx="1330" formatCode="m/d/yyyy">
                  <c:v>43277</c:v>
                </c:pt>
                <c:pt idx="1331" formatCode="m/d/yyyy">
                  <c:v>43276</c:v>
                </c:pt>
                <c:pt idx="1332" formatCode="m/d/yyyy">
                  <c:v>43275</c:v>
                </c:pt>
                <c:pt idx="1333" formatCode="m/d/yyyy">
                  <c:v>43274</c:v>
                </c:pt>
                <c:pt idx="1334" formatCode="m/d/yyyy">
                  <c:v>43273</c:v>
                </c:pt>
                <c:pt idx="1335" formatCode="m/d/yyyy">
                  <c:v>43272</c:v>
                </c:pt>
                <c:pt idx="1336" formatCode="m/d/yyyy">
                  <c:v>43271</c:v>
                </c:pt>
                <c:pt idx="1337" formatCode="m/d/yyyy">
                  <c:v>43270</c:v>
                </c:pt>
                <c:pt idx="1338" formatCode="m/d/yyyy">
                  <c:v>43269</c:v>
                </c:pt>
                <c:pt idx="1339" formatCode="m/d/yyyy">
                  <c:v>43268</c:v>
                </c:pt>
                <c:pt idx="1340" formatCode="m/d/yyyy">
                  <c:v>43267</c:v>
                </c:pt>
                <c:pt idx="1341" formatCode="m/d/yyyy">
                  <c:v>43266</c:v>
                </c:pt>
                <c:pt idx="1342" formatCode="m/d/yyyy">
                  <c:v>43265</c:v>
                </c:pt>
                <c:pt idx="1343" formatCode="m/d/yyyy">
                  <c:v>43264</c:v>
                </c:pt>
                <c:pt idx="1344" formatCode="m/d/yyyy">
                  <c:v>43263</c:v>
                </c:pt>
                <c:pt idx="1345" formatCode="m/d/yyyy">
                  <c:v>43262</c:v>
                </c:pt>
                <c:pt idx="1346" formatCode="m/d/yyyy">
                  <c:v>43261</c:v>
                </c:pt>
                <c:pt idx="1347" formatCode="m/d/yyyy">
                  <c:v>43260</c:v>
                </c:pt>
                <c:pt idx="1348" formatCode="m/d/yyyy">
                  <c:v>43259</c:v>
                </c:pt>
                <c:pt idx="1349" formatCode="m/d/yyyy">
                  <c:v>43258</c:v>
                </c:pt>
                <c:pt idx="1350" formatCode="m/d/yyyy">
                  <c:v>43257</c:v>
                </c:pt>
                <c:pt idx="1351" formatCode="m/d/yyyy">
                  <c:v>43256</c:v>
                </c:pt>
                <c:pt idx="1352" formatCode="m/d/yyyy">
                  <c:v>43255</c:v>
                </c:pt>
                <c:pt idx="1353" formatCode="m/d/yyyy">
                  <c:v>43254</c:v>
                </c:pt>
                <c:pt idx="1354" formatCode="m/d/yyyy">
                  <c:v>43253</c:v>
                </c:pt>
                <c:pt idx="1355" formatCode="m/d/yyyy">
                  <c:v>43252</c:v>
                </c:pt>
                <c:pt idx="1356" formatCode="m/d/yyyy">
                  <c:v>43251</c:v>
                </c:pt>
                <c:pt idx="1357" formatCode="m/d/yyyy">
                  <c:v>43250</c:v>
                </c:pt>
                <c:pt idx="1358" formatCode="m/d/yyyy">
                  <c:v>43249</c:v>
                </c:pt>
                <c:pt idx="1359" formatCode="m/d/yyyy">
                  <c:v>43248</c:v>
                </c:pt>
                <c:pt idx="1360" formatCode="m/d/yyyy">
                  <c:v>43247</c:v>
                </c:pt>
                <c:pt idx="1361" formatCode="m/d/yyyy">
                  <c:v>43246</c:v>
                </c:pt>
                <c:pt idx="1362" formatCode="m/d/yyyy">
                  <c:v>43245</c:v>
                </c:pt>
                <c:pt idx="1363" formatCode="m/d/yyyy">
                  <c:v>43244</c:v>
                </c:pt>
                <c:pt idx="1364" formatCode="m/d/yyyy">
                  <c:v>43243</c:v>
                </c:pt>
                <c:pt idx="1365" formatCode="m/d/yyyy">
                  <c:v>43242</c:v>
                </c:pt>
                <c:pt idx="1366" formatCode="m/d/yyyy">
                  <c:v>43241</c:v>
                </c:pt>
                <c:pt idx="1367" formatCode="m/d/yyyy">
                  <c:v>43240</c:v>
                </c:pt>
                <c:pt idx="1368" formatCode="m/d/yyyy">
                  <c:v>43239</c:v>
                </c:pt>
                <c:pt idx="1369" formatCode="m/d/yyyy">
                  <c:v>43238</c:v>
                </c:pt>
                <c:pt idx="1370" formatCode="m/d/yyyy">
                  <c:v>43237</c:v>
                </c:pt>
                <c:pt idx="1371" formatCode="m/d/yyyy">
                  <c:v>43236</c:v>
                </c:pt>
                <c:pt idx="1372" formatCode="m/d/yyyy">
                  <c:v>43235</c:v>
                </c:pt>
                <c:pt idx="1373" formatCode="m/d/yyyy">
                  <c:v>43234</c:v>
                </c:pt>
                <c:pt idx="1374" formatCode="m/d/yyyy">
                  <c:v>43233</c:v>
                </c:pt>
                <c:pt idx="1375" formatCode="m/d/yyyy">
                  <c:v>43232</c:v>
                </c:pt>
                <c:pt idx="1376" formatCode="m/d/yyyy">
                  <c:v>43231</c:v>
                </c:pt>
                <c:pt idx="1377" formatCode="m/d/yyyy">
                  <c:v>43230</c:v>
                </c:pt>
                <c:pt idx="1378" formatCode="m/d/yyyy">
                  <c:v>43229</c:v>
                </c:pt>
                <c:pt idx="1379" formatCode="m/d/yyyy">
                  <c:v>43228</c:v>
                </c:pt>
                <c:pt idx="1380" formatCode="m/d/yyyy">
                  <c:v>43227</c:v>
                </c:pt>
                <c:pt idx="1381" formatCode="m/d/yyyy">
                  <c:v>43226</c:v>
                </c:pt>
                <c:pt idx="1382" formatCode="m/d/yyyy">
                  <c:v>43225</c:v>
                </c:pt>
                <c:pt idx="1383" formatCode="m/d/yyyy">
                  <c:v>43224</c:v>
                </c:pt>
                <c:pt idx="1384" formatCode="m/d/yyyy">
                  <c:v>43223</c:v>
                </c:pt>
                <c:pt idx="1385" formatCode="m/d/yyyy">
                  <c:v>43222</c:v>
                </c:pt>
                <c:pt idx="1386" formatCode="m/d/yyyy">
                  <c:v>43221</c:v>
                </c:pt>
                <c:pt idx="1387" formatCode="m/d/yyyy">
                  <c:v>43220</c:v>
                </c:pt>
                <c:pt idx="1388" formatCode="m/d/yyyy">
                  <c:v>43219</c:v>
                </c:pt>
                <c:pt idx="1389" formatCode="m/d/yyyy">
                  <c:v>43218</c:v>
                </c:pt>
                <c:pt idx="1390" formatCode="m/d/yyyy">
                  <c:v>43217</c:v>
                </c:pt>
                <c:pt idx="1391" formatCode="m/d/yyyy">
                  <c:v>43216</c:v>
                </c:pt>
                <c:pt idx="1392" formatCode="m/d/yyyy">
                  <c:v>43215</c:v>
                </c:pt>
                <c:pt idx="1393" formatCode="m/d/yyyy">
                  <c:v>43214</c:v>
                </c:pt>
                <c:pt idx="1394" formatCode="m/d/yyyy">
                  <c:v>43213</c:v>
                </c:pt>
                <c:pt idx="1395" formatCode="m/d/yyyy">
                  <c:v>43212</c:v>
                </c:pt>
                <c:pt idx="1396" formatCode="m/d/yyyy">
                  <c:v>43211</c:v>
                </c:pt>
                <c:pt idx="1397" formatCode="m/d/yyyy">
                  <c:v>43210</c:v>
                </c:pt>
                <c:pt idx="1398" formatCode="m/d/yyyy">
                  <c:v>43209</c:v>
                </c:pt>
                <c:pt idx="1399" formatCode="m/d/yyyy">
                  <c:v>43208</c:v>
                </c:pt>
                <c:pt idx="1400" formatCode="m/d/yyyy">
                  <c:v>43207</c:v>
                </c:pt>
                <c:pt idx="1401" formatCode="m/d/yyyy">
                  <c:v>43206</c:v>
                </c:pt>
                <c:pt idx="1402" formatCode="m/d/yyyy">
                  <c:v>43205</c:v>
                </c:pt>
                <c:pt idx="1403" formatCode="m/d/yyyy">
                  <c:v>43204</c:v>
                </c:pt>
                <c:pt idx="1404" formatCode="m/d/yyyy">
                  <c:v>43203</c:v>
                </c:pt>
                <c:pt idx="1405" formatCode="m/d/yyyy">
                  <c:v>43202</c:v>
                </c:pt>
                <c:pt idx="1406" formatCode="m/d/yyyy">
                  <c:v>43201</c:v>
                </c:pt>
                <c:pt idx="1407" formatCode="m/d/yyyy">
                  <c:v>43200</c:v>
                </c:pt>
                <c:pt idx="1408" formatCode="m/d/yyyy">
                  <c:v>43199</c:v>
                </c:pt>
                <c:pt idx="1409" formatCode="m/d/yyyy">
                  <c:v>43198</c:v>
                </c:pt>
                <c:pt idx="1410" formatCode="m/d/yyyy">
                  <c:v>43197</c:v>
                </c:pt>
                <c:pt idx="1411" formatCode="m/d/yyyy">
                  <c:v>43196</c:v>
                </c:pt>
                <c:pt idx="1412" formatCode="m/d/yyyy">
                  <c:v>43195</c:v>
                </c:pt>
                <c:pt idx="1413" formatCode="m/d/yyyy">
                  <c:v>43194</c:v>
                </c:pt>
                <c:pt idx="1414" formatCode="m/d/yyyy">
                  <c:v>43193</c:v>
                </c:pt>
                <c:pt idx="1415" formatCode="m/d/yyyy">
                  <c:v>43192</c:v>
                </c:pt>
                <c:pt idx="1416" formatCode="m/d/yyyy">
                  <c:v>43191</c:v>
                </c:pt>
                <c:pt idx="1417" formatCode="m/d/yyyy">
                  <c:v>43190</c:v>
                </c:pt>
                <c:pt idx="1418" formatCode="m/d/yyyy">
                  <c:v>43189</c:v>
                </c:pt>
                <c:pt idx="1419" formatCode="m/d/yyyy">
                  <c:v>43188</c:v>
                </c:pt>
                <c:pt idx="1420" formatCode="m/d/yyyy">
                  <c:v>43187</c:v>
                </c:pt>
                <c:pt idx="1421" formatCode="m/d/yyyy">
                  <c:v>43186</c:v>
                </c:pt>
                <c:pt idx="1422" formatCode="m/d/yyyy">
                  <c:v>43185</c:v>
                </c:pt>
                <c:pt idx="1423" formatCode="m/d/yyyy">
                  <c:v>43184</c:v>
                </c:pt>
                <c:pt idx="1424" formatCode="m/d/yyyy">
                  <c:v>43183</c:v>
                </c:pt>
                <c:pt idx="1425" formatCode="m/d/yyyy">
                  <c:v>43182</c:v>
                </c:pt>
                <c:pt idx="1426" formatCode="m/d/yyyy">
                  <c:v>43181</c:v>
                </c:pt>
                <c:pt idx="1427" formatCode="m/d/yyyy">
                  <c:v>43180</c:v>
                </c:pt>
                <c:pt idx="1428" formatCode="m/d/yyyy">
                  <c:v>43179</c:v>
                </c:pt>
                <c:pt idx="1429" formatCode="m/d/yyyy">
                  <c:v>43178</c:v>
                </c:pt>
                <c:pt idx="1430" formatCode="m/d/yyyy">
                  <c:v>43177</c:v>
                </c:pt>
                <c:pt idx="1431" formatCode="m/d/yyyy">
                  <c:v>43176</c:v>
                </c:pt>
                <c:pt idx="1432" formatCode="m/d/yyyy">
                  <c:v>43175</c:v>
                </c:pt>
                <c:pt idx="1433" formatCode="m/d/yyyy">
                  <c:v>43174</c:v>
                </c:pt>
                <c:pt idx="1434" formatCode="m/d/yyyy">
                  <c:v>43173</c:v>
                </c:pt>
                <c:pt idx="1435" formatCode="m/d/yyyy">
                  <c:v>43172</c:v>
                </c:pt>
                <c:pt idx="1436" formatCode="m/d/yyyy">
                  <c:v>43171</c:v>
                </c:pt>
                <c:pt idx="1437" formatCode="m/d/yyyy">
                  <c:v>43170</c:v>
                </c:pt>
                <c:pt idx="1438" formatCode="m/d/yyyy">
                  <c:v>43169</c:v>
                </c:pt>
                <c:pt idx="1439" formatCode="m/d/yyyy">
                  <c:v>43168</c:v>
                </c:pt>
                <c:pt idx="1440" formatCode="m/d/yyyy">
                  <c:v>43167</c:v>
                </c:pt>
                <c:pt idx="1441" formatCode="m/d/yyyy">
                  <c:v>43166</c:v>
                </c:pt>
                <c:pt idx="1442" formatCode="m/d/yyyy">
                  <c:v>43165</c:v>
                </c:pt>
                <c:pt idx="1443" formatCode="m/d/yyyy">
                  <c:v>43164</c:v>
                </c:pt>
                <c:pt idx="1444" formatCode="m/d/yyyy">
                  <c:v>43163</c:v>
                </c:pt>
                <c:pt idx="1445" formatCode="m/d/yyyy">
                  <c:v>43162</c:v>
                </c:pt>
                <c:pt idx="1446" formatCode="m/d/yyyy">
                  <c:v>43161</c:v>
                </c:pt>
                <c:pt idx="1447" formatCode="m/d/yyyy">
                  <c:v>43160</c:v>
                </c:pt>
                <c:pt idx="1448" formatCode="m/d/yyyy">
                  <c:v>43159</c:v>
                </c:pt>
                <c:pt idx="1449" formatCode="m/d/yyyy">
                  <c:v>43158</c:v>
                </c:pt>
                <c:pt idx="1450" formatCode="m/d/yyyy">
                  <c:v>43157</c:v>
                </c:pt>
                <c:pt idx="1451" formatCode="m/d/yyyy">
                  <c:v>43156</c:v>
                </c:pt>
                <c:pt idx="1452" formatCode="m/d/yyyy">
                  <c:v>43155</c:v>
                </c:pt>
                <c:pt idx="1453" formatCode="m/d/yyyy">
                  <c:v>43154</c:v>
                </c:pt>
                <c:pt idx="1454" formatCode="m/d/yyyy">
                  <c:v>43153</c:v>
                </c:pt>
                <c:pt idx="1455" formatCode="m/d/yyyy">
                  <c:v>43152</c:v>
                </c:pt>
                <c:pt idx="1456" formatCode="m/d/yyyy">
                  <c:v>43151</c:v>
                </c:pt>
                <c:pt idx="1457" formatCode="m/d/yyyy">
                  <c:v>43150</c:v>
                </c:pt>
                <c:pt idx="1458" formatCode="m/d/yyyy">
                  <c:v>43149</c:v>
                </c:pt>
                <c:pt idx="1459" formatCode="m/d/yyyy">
                  <c:v>43148</c:v>
                </c:pt>
                <c:pt idx="1460" formatCode="m/d/yyyy">
                  <c:v>43147</c:v>
                </c:pt>
                <c:pt idx="1461" formatCode="m/d/yyyy">
                  <c:v>43146</c:v>
                </c:pt>
                <c:pt idx="1462" formatCode="m/d/yyyy">
                  <c:v>43145</c:v>
                </c:pt>
                <c:pt idx="1463" formatCode="m/d/yyyy">
                  <c:v>43144</c:v>
                </c:pt>
                <c:pt idx="1464" formatCode="m/d/yyyy">
                  <c:v>43143</c:v>
                </c:pt>
                <c:pt idx="1465" formatCode="m/d/yyyy">
                  <c:v>43142</c:v>
                </c:pt>
                <c:pt idx="1466" formatCode="m/d/yyyy">
                  <c:v>43141</c:v>
                </c:pt>
                <c:pt idx="1467" formatCode="m/d/yyyy">
                  <c:v>43140</c:v>
                </c:pt>
                <c:pt idx="1468" formatCode="m/d/yyyy">
                  <c:v>43139</c:v>
                </c:pt>
                <c:pt idx="1469" formatCode="m/d/yyyy">
                  <c:v>43138</c:v>
                </c:pt>
                <c:pt idx="1470" formatCode="m/d/yyyy">
                  <c:v>43137</c:v>
                </c:pt>
                <c:pt idx="1471" formatCode="m/d/yyyy">
                  <c:v>43136</c:v>
                </c:pt>
                <c:pt idx="1472" formatCode="m/d/yyyy">
                  <c:v>43135</c:v>
                </c:pt>
                <c:pt idx="1473" formatCode="m/d/yyyy">
                  <c:v>43134</c:v>
                </c:pt>
                <c:pt idx="1474" formatCode="m/d/yyyy">
                  <c:v>43133</c:v>
                </c:pt>
                <c:pt idx="1475" formatCode="m/d/yyyy">
                  <c:v>43132</c:v>
                </c:pt>
                <c:pt idx="1476" formatCode="m/d/yyyy">
                  <c:v>43131</c:v>
                </c:pt>
                <c:pt idx="1477" formatCode="m/d/yyyy">
                  <c:v>43130</c:v>
                </c:pt>
                <c:pt idx="1478" formatCode="m/d/yyyy">
                  <c:v>43129</c:v>
                </c:pt>
                <c:pt idx="1479" formatCode="m/d/yyyy">
                  <c:v>43128</c:v>
                </c:pt>
                <c:pt idx="1480" formatCode="m/d/yyyy">
                  <c:v>43127</c:v>
                </c:pt>
                <c:pt idx="1481" formatCode="m/d/yyyy">
                  <c:v>43126</c:v>
                </c:pt>
                <c:pt idx="1482" formatCode="m/d/yyyy">
                  <c:v>43125</c:v>
                </c:pt>
                <c:pt idx="1483" formatCode="m/d/yyyy">
                  <c:v>43124</c:v>
                </c:pt>
                <c:pt idx="1484" formatCode="m/d/yyyy">
                  <c:v>43123</c:v>
                </c:pt>
                <c:pt idx="1485" formatCode="m/d/yyyy">
                  <c:v>43122</c:v>
                </c:pt>
                <c:pt idx="1486" formatCode="m/d/yyyy">
                  <c:v>43121</c:v>
                </c:pt>
                <c:pt idx="1487" formatCode="m/d/yyyy">
                  <c:v>43120</c:v>
                </c:pt>
                <c:pt idx="1488" formatCode="m/d/yyyy">
                  <c:v>43119</c:v>
                </c:pt>
                <c:pt idx="1489" formatCode="m/d/yyyy">
                  <c:v>43118</c:v>
                </c:pt>
                <c:pt idx="1490" formatCode="m/d/yyyy">
                  <c:v>43117</c:v>
                </c:pt>
                <c:pt idx="1491" formatCode="m/d/yyyy">
                  <c:v>43116</c:v>
                </c:pt>
                <c:pt idx="1492" formatCode="m/d/yyyy">
                  <c:v>43115</c:v>
                </c:pt>
                <c:pt idx="1493" formatCode="m/d/yyyy">
                  <c:v>43114</c:v>
                </c:pt>
                <c:pt idx="1494" formatCode="m/d/yyyy">
                  <c:v>43113</c:v>
                </c:pt>
                <c:pt idx="1495" formatCode="m/d/yyyy">
                  <c:v>43112</c:v>
                </c:pt>
                <c:pt idx="1496" formatCode="m/d/yyyy">
                  <c:v>43111</c:v>
                </c:pt>
                <c:pt idx="1497" formatCode="m/d/yyyy">
                  <c:v>43110</c:v>
                </c:pt>
                <c:pt idx="1498" formatCode="m/d/yyyy">
                  <c:v>43109</c:v>
                </c:pt>
                <c:pt idx="1499" formatCode="m/d/yyyy">
                  <c:v>43108</c:v>
                </c:pt>
                <c:pt idx="1500" formatCode="m/d/yyyy">
                  <c:v>43107</c:v>
                </c:pt>
                <c:pt idx="1501" formatCode="m/d/yyyy">
                  <c:v>43106</c:v>
                </c:pt>
                <c:pt idx="1502" formatCode="m/d/yyyy">
                  <c:v>43105</c:v>
                </c:pt>
                <c:pt idx="1503" formatCode="m/d/yyyy">
                  <c:v>43104</c:v>
                </c:pt>
                <c:pt idx="1504" formatCode="m/d/yyyy">
                  <c:v>43103</c:v>
                </c:pt>
                <c:pt idx="1505" formatCode="m/d/yyyy">
                  <c:v>43102</c:v>
                </c:pt>
                <c:pt idx="1506" formatCode="m/d/yyyy">
                  <c:v>43101</c:v>
                </c:pt>
                <c:pt idx="1507" formatCode="m/d/yyyy">
                  <c:v>43100</c:v>
                </c:pt>
                <c:pt idx="1508" formatCode="m/d/yyyy">
                  <c:v>43099</c:v>
                </c:pt>
                <c:pt idx="1509" formatCode="m/d/yyyy">
                  <c:v>43098</c:v>
                </c:pt>
                <c:pt idx="1510" formatCode="m/d/yyyy">
                  <c:v>43097</c:v>
                </c:pt>
                <c:pt idx="1511" formatCode="m/d/yyyy">
                  <c:v>43096</c:v>
                </c:pt>
                <c:pt idx="1512" formatCode="m/d/yyyy">
                  <c:v>43095</c:v>
                </c:pt>
                <c:pt idx="1513" formatCode="m/d/yyyy">
                  <c:v>43094</c:v>
                </c:pt>
                <c:pt idx="1514" formatCode="m/d/yyyy">
                  <c:v>43093</c:v>
                </c:pt>
                <c:pt idx="1515" formatCode="m/d/yyyy">
                  <c:v>43092</c:v>
                </c:pt>
                <c:pt idx="1516" formatCode="m/d/yyyy">
                  <c:v>43091</c:v>
                </c:pt>
                <c:pt idx="1517" formatCode="m/d/yyyy">
                  <c:v>43090</c:v>
                </c:pt>
                <c:pt idx="1518" formatCode="m/d/yyyy">
                  <c:v>43089</c:v>
                </c:pt>
                <c:pt idx="1519" formatCode="m/d/yyyy">
                  <c:v>43088</c:v>
                </c:pt>
                <c:pt idx="1520" formatCode="m/d/yyyy">
                  <c:v>43087</c:v>
                </c:pt>
                <c:pt idx="1521" formatCode="m/d/yyyy">
                  <c:v>43086</c:v>
                </c:pt>
                <c:pt idx="1522" formatCode="m/d/yyyy">
                  <c:v>43085</c:v>
                </c:pt>
                <c:pt idx="1523" formatCode="m/d/yyyy">
                  <c:v>43084</c:v>
                </c:pt>
                <c:pt idx="1524" formatCode="m/d/yyyy">
                  <c:v>43083</c:v>
                </c:pt>
                <c:pt idx="1525" formatCode="m/d/yyyy">
                  <c:v>43082</c:v>
                </c:pt>
                <c:pt idx="1526" formatCode="m/d/yyyy">
                  <c:v>43081</c:v>
                </c:pt>
                <c:pt idx="1527" formatCode="m/d/yyyy">
                  <c:v>43080</c:v>
                </c:pt>
                <c:pt idx="1528" formatCode="m/d/yyyy">
                  <c:v>43079</c:v>
                </c:pt>
                <c:pt idx="1529" formatCode="m/d/yyyy">
                  <c:v>43078</c:v>
                </c:pt>
                <c:pt idx="1530" formatCode="m/d/yyyy">
                  <c:v>43077</c:v>
                </c:pt>
                <c:pt idx="1531" formatCode="m/d/yyyy">
                  <c:v>43076</c:v>
                </c:pt>
                <c:pt idx="1532" formatCode="m/d/yyyy">
                  <c:v>43075</c:v>
                </c:pt>
                <c:pt idx="1533" formatCode="m/d/yyyy">
                  <c:v>43074</c:v>
                </c:pt>
                <c:pt idx="1534" formatCode="m/d/yyyy">
                  <c:v>43073</c:v>
                </c:pt>
                <c:pt idx="1535" formatCode="m/d/yyyy">
                  <c:v>43072</c:v>
                </c:pt>
                <c:pt idx="1536" formatCode="m/d/yyyy">
                  <c:v>43071</c:v>
                </c:pt>
                <c:pt idx="1537" formatCode="m/d/yyyy">
                  <c:v>43070</c:v>
                </c:pt>
                <c:pt idx="1538" formatCode="m/d/yyyy">
                  <c:v>43069</c:v>
                </c:pt>
                <c:pt idx="1539" formatCode="m/d/yyyy">
                  <c:v>43068</c:v>
                </c:pt>
                <c:pt idx="1540" formatCode="m/d/yyyy">
                  <c:v>43067</c:v>
                </c:pt>
                <c:pt idx="1541" formatCode="m/d/yyyy">
                  <c:v>43066</c:v>
                </c:pt>
                <c:pt idx="1542" formatCode="m/d/yyyy">
                  <c:v>43065</c:v>
                </c:pt>
                <c:pt idx="1543" formatCode="m/d/yyyy">
                  <c:v>43064</c:v>
                </c:pt>
                <c:pt idx="1544" formatCode="m/d/yyyy">
                  <c:v>43063</c:v>
                </c:pt>
                <c:pt idx="1545" formatCode="m/d/yyyy">
                  <c:v>43062</c:v>
                </c:pt>
                <c:pt idx="1546" formatCode="m/d/yyyy">
                  <c:v>43061</c:v>
                </c:pt>
                <c:pt idx="1547" formatCode="m/d/yyyy">
                  <c:v>43060</c:v>
                </c:pt>
                <c:pt idx="1548" formatCode="m/d/yyyy">
                  <c:v>43059</c:v>
                </c:pt>
                <c:pt idx="1549" formatCode="m/d/yyyy">
                  <c:v>43058</c:v>
                </c:pt>
                <c:pt idx="1550" formatCode="m/d/yyyy">
                  <c:v>43057</c:v>
                </c:pt>
                <c:pt idx="1551" formatCode="m/d/yyyy">
                  <c:v>43056</c:v>
                </c:pt>
                <c:pt idx="1552" formatCode="m/d/yyyy">
                  <c:v>43055</c:v>
                </c:pt>
                <c:pt idx="1553" formatCode="m/d/yyyy">
                  <c:v>43054</c:v>
                </c:pt>
                <c:pt idx="1554" formatCode="m/d/yyyy">
                  <c:v>43053</c:v>
                </c:pt>
                <c:pt idx="1555" formatCode="m/d/yyyy">
                  <c:v>43052</c:v>
                </c:pt>
                <c:pt idx="1556" formatCode="m/d/yyyy">
                  <c:v>43051</c:v>
                </c:pt>
                <c:pt idx="1557" formatCode="m/d/yyyy">
                  <c:v>43050</c:v>
                </c:pt>
                <c:pt idx="1558" formatCode="m/d/yyyy">
                  <c:v>43049</c:v>
                </c:pt>
                <c:pt idx="1559" formatCode="m/d/yyyy">
                  <c:v>43048</c:v>
                </c:pt>
                <c:pt idx="1560" formatCode="m/d/yyyy">
                  <c:v>43047</c:v>
                </c:pt>
                <c:pt idx="1561" formatCode="m/d/yyyy">
                  <c:v>43046</c:v>
                </c:pt>
                <c:pt idx="1562" formatCode="m/d/yyyy">
                  <c:v>43045</c:v>
                </c:pt>
                <c:pt idx="1563" formatCode="m/d/yyyy">
                  <c:v>43044</c:v>
                </c:pt>
                <c:pt idx="1564" formatCode="m/d/yyyy">
                  <c:v>43043</c:v>
                </c:pt>
                <c:pt idx="1565" formatCode="m/d/yyyy">
                  <c:v>43042</c:v>
                </c:pt>
                <c:pt idx="1566" formatCode="m/d/yyyy">
                  <c:v>43041</c:v>
                </c:pt>
                <c:pt idx="1567" formatCode="m/d/yyyy">
                  <c:v>43040</c:v>
                </c:pt>
                <c:pt idx="1568" formatCode="m/d/yyyy">
                  <c:v>43039</c:v>
                </c:pt>
                <c:pt idx="1569" formatCode="m/d/yyyy">
                  <c:v>43038</c:v>
                </c:pt>
                <c:pt idx="1570" formatCode="m/d/yyyy">
                  <c:v>43037</c:v>
                </c:pt>
                <c:pt idx="1571" formatCode="m/d/yyyy">
                  <c:v>43036</c:v>
                </c:pt>
                <c:pt idx="1572" formatCode="m/d/yyyy">
                  <c:v>43035</c:v>
                </c:pt>
                <c:pt idx="1573" formatCode="m/d/yyyy">
                  <c:v>43034</c:v>
                </c:pt>
                <c:pt idx="1574" formatCode="m/d/yyyy">
                  <c:v>43033</c:v>
                </c:pt>
                <c:pt idx="1575" formatCode="m/d/yyyy">
                  <c:v>43032</c:v>
                </c:pt>
                <c:pt idx="1576" formatCode="m/d/yyyy">
                  <c:v>43031</c:v>
                </c:pt>
                <c:pt idx="1577" formatCode="m/d/yyyy">
                  <c:v>43030</c:v>
                </c:pt>
                <c:pt idx="1578" formatCode="m/d/yyyy">
                  <c:v>43029</c:v>
                </c:pt>
                <c:pt idx="1579" formatCode="m/d/yyyy">
                  <c:v>43028</c:v>
                </c:pt>
                <c:pt idx="1580" formatCode="m/d/yyyy">
                  <c:v>43027</c:v>
                </c:pt>
                <c:pt idx="1581" formatCode="m/d/yyyy">
                  <c:v>43026</c:v>
                </c:pt>
                <c:pt idx="1582" formatCode="m/d/yyyy">
                  <c:v>43025</c:v>
                </c:pt>
                <c:pt idx="1583" formatCode="m/d/yyyy">
                  <c:v>43024</c:v>
                </c:pt>
                <c:pt idx="1584" formatCode="m/d/yyyy">
                  <c:v>43023</c:v>
                </c:pt>
                <c:pt idx="1585" formatCode="m/d/yyyy">
                  <c:v>43022</c:v>
                </c:pt>
                <c:pt idx="1586" formatCode="m/d/yyyy">
                  <c:v>43021</c:v>
                </c:pt>
                <c:pt idx="1587" formatCode="m/d/yyyy">
                  <c:v>43020</c:v>
                </c:pt>
                <c:pt idx="1588" formatCode="m/d/yyyy">
                  <c:v>43019</c:v>
                </c:pt>
                <c:pt idx="1589" formatCode="m/d/yyyy">
                  <c:v>43018</c:v>
                </c:pt>
                <c:pt idx="1590" formatCode="m/d/yyyy">
                  <c:v>43017</c:v>
                </c:pt>
                <c:pt idx="1591" formatCode="m/d/yyyy">
                  <c:v>43016</c:v>
                </c:pt>
                <c:pt idx="1592" formatCode="m/d/yyyy">
                  <c:v>43015</c:v>
                </c:pt>
                <c:pt idx="1593" formatCode="m/d/yyyy">
                  <c:v>43014</c:v>
                </c:pt>
                <c:pt idx="1594" formatCode="m/d/yyyy">
                  <c:v>43013</c:v>
                </c:pt>
                <c:pt idx="1595" formatCode="m/d/yyyy">
                  <c:v>43012</c:v>
                </c:pt>
                <c:pt idx="1596" formatCode="m/d/yyyy">
                  <c:v>43011</c:v>
                </c:pt>
                <c:pt idx="1597" formatCode="m/d/yyyy">
                  <c:v>43010</c:v>
                </c:pt>
                <c:pt idx="1598" formatCode="m/d/yyyy">
                  <c:v>43009</c:v>
                </c:pt>
                <c:pt idx="1599" formatCode="m/d/yyyy">
                  <c:v>43008</c:v>
                </c:pt>
                <c:pt idx="1600" formatCode="m/d/yyyy">
                  <c:v>43007</c:v>
                </c:pt>
                <c:pt idx="1601" formatCode="m/d/yyyy">
                  <c:v>43006</c:v>
                </c:pt>
                <c:pt idx="1602" formatCode="m/d/yyyy">
                  <c:v>43005</c:v>
                </c:pt>
                <c:pt idx="1603" formatCode="m/d/yyyy">
                  <c:v>43004</c:v>
                </c:pt>
                <c:pt idx="1604" formatCode="m/d/yyyy">
                  <c:v>43003</c:v>
                </c:pt>
                <c:pt idx="1605" formatCode="m/d/yyyy">
                  <c:v>43002</c:v>
                </c:pt>
                <c:pt idx="1606" formatCode="m/d/yyyy">
                  <c:v>43001</c:v>
                </c:pt>
                <c:pt idx="1607" formatCode="m/d/yyyy">
                  <c:v>43000</c:v>
                </c:pt>
                <c:pt idx="1608" formatCode="m/d/yyyy">
                  <c:v>42999</c:v>
                </c:pt>
                <c:pt idx="1609" formatCode="m/d/yyyy">
                  <c:v>42998</c:v>
                </c:pt>
                <c:pt idx="1610" formatCode="m/d/yyyy">
                  <c:v>42997</c:v>
                </c:pt>
                <c:pt idx="1611" formatCode="m/d/yyyy">
                  <c:v>42996</c:v>
                </c:pt>
                <c:pt idx="1612" formatCode="m/d/yyyy">
                  <c:v>42995</c:v>
                </c:pt>
                <c:pt idx="1613" formatCode="m/d/yyyy">
                  <c:v>42994</c:v>
                </c:pt>
                <c:pt idx="1614" formatCode="m/d/yyyy">
                  <c:v>42993</c:v>
                </c:pt>
                <c:pt idx="1615" formatCode="m/d/yyyy">
                  <c:v>42992</c:v>
                </c:pt>
                <c:pt idx="1616" formatCode="m/d/yyyy">
                  <c:v>42991</c:v>
                </c:pt>
                <c:pt idx="1617" formatCode="m/d/yyyy">
                  <c:v>42990</c:v>
                </c:pt>
                <c:pt idx="1618" formatCode="m/d/yyyy">
                  <c:v>42989</c:v>
                </c:pt>
                <c:pt idx="1619" formatCode="m/d/yyyy">
                  <c:v>42988</c:v>
                </c:pt>
                <c:pt idx="1620" formatCode="m/d/yyyy">
                  <c:v>42987</c:v>
                </c:pt>
                <c:pt idx="1621" formatCode="m/d/yyyy">
                  <c:v>42986</c:v>
                </c:pt>
                <c:pt idx="1622" formatCode="m/d/yyyy">
                  <c:v>42985</c:v>
                </c:pt>
                <c:pt idx="1623" formatCode="m/d/yyyy">
                  <c:v>42984</c:v>
                </c:pt>
                <c:pt idx="1624" formatCode="m/d/yyyy">
                  <c:v>42983</c:v>
                </c:pt>
                <c:pt idx="1625" formatCode="m/d/yyyy">
                  <c:v>42982</c:v>
                </c:pt>
                <c:pt idx="1626" formatCode="m/d/yyyy">
                  <c:v>42981</c:v>
                </c:pt>
                <c:pt idx="1627" formatCode="m/d/yyyy">
                  <c:v>42980</c:v>
                </c:pt>
                <c:pt idx="1628" formatCode="m/d/yyyy">
                  <c:v>42979</c:v>
                </c:pt>
                <c:pt idx="1629" formatCode="m/d/yyyy">
                  <c:v>42978</c:v>
                </c:pt>
                <c:pt idx="1630" formatCode="m/d/yyyy">
                  <c:v>42977</c:v>
                </c:pt>
                <c:pt idx="1631" formatCode="m/d/yyyy">
                  <c:v>42976</c:v>
                </c:pt>
                <c:pt idx="1632" formatCode="m/d/yyyy">
                  <c:v>42975</c:v>
                </c:pt>
                <c:pt idx="1633" formatCode="m/d/yyyy">
                  <c:v>42974</c:v>
                </c:pt>
                <c:pt idx="1634" formatCode="m/d/yyyy">
                  <c:v>42973</c:v>
                </c:pt>
                <c:pt idx="1635" formatCode="m/d/yyyy">
                  <c:v>42972</c:v>
                </c:pt>
                <c:pt idx="1636" formatCode="m/d/yyyy">
                  <c:v>42971</c:v>
                </c:pt>
                <c:pt idx="1637" formatCode="m/d/yyyy">
                  <c:v>42970</c:v>
                </c:pt>
                <c:pt idx="1638" formatCode="m/d/yyyy">
                  <c:v>42969</c:v>
                </c:pt>
                <c:pt idx="1639" formatCode="m/d/yyyy">
                  <c:v>42968</c:v>
                </c:pt>
                <c:pt idx="1640" formatCode="m/d/yyyy">
                  <c:v>42967</c:v>
                </c:pt>
                <c:pt idx="1641" formatCode="m/d/yyyy">
                  <c:v>42966</c:v>
                </c:pt>
                <c:pt idx="1642" formatCode="m/d/yyyy">
                  <c:v>42965</c:v>
                </c:pt>
                <c:pt idx="1643" formatCode="m/d/yyyy">
                  <c:v>42964</c:v>
                </c:pt>
                <c:pt idx="1644" formatCode="m/d/yyyy">
                  <c:v>42963</c:v>
                </c:pt>
                <c:pt idx="1645" formatCode="m/d/yyyy">
                  <c:v>42962</c:v>
                </c:pt>
                <c:pt idx="1646" formatCode="m/d/yyyy">
                  <c:v>42961</c:v>
                </c:pt>
                <c:pt idx="1647" formatCode="m/d/yyyy">
                  <c:v>42960</c:v>
                </c:pt>
                <c:pt idx="1648" formatCode="m/d/yyyy">
                  <c:v>42959</c:v>
                </c:pt>
                <c:pt idx="1649" formatCode="m/d/yyyy">
                  <c:v>42958</c:v>
                </c:pt>
                <c:pt idx="1650" formatCode="m/d/yyyy">
                  <c:v>42957</c:v>
                </c:pt>
                <c:pt idx="1651" formatCode="m/d/yyyy">
                  <c:v>42956</c:v>
                </c:pt>
                <c:pt idx="1652" formatCode="m/d/yyyy">
                  <c:v>42955</c:v>
                </c:pt>
                <c:pt idx="1653" formatCode="m/d/yyyy">
                  <c:v>42954</c:v>
                </c:pt>
                <c:pt idx="1654" formatCode="m/d/yyyy">
                  <c:v>42953</c:v>
                </c:pt>
                <c:pt idx="1655" formatCode="m/d/yyyy">
                  <c:v>42952</c:v>
                </c:pt>
                <c:pt idx="1656" formatCode="m/d/yyyy">
                  <c:v>42951</c:v>
                </c:pt>
                <c:pt idx="1657" formatCode="m/d/yyyy">
                  <c:v>42950</c:v>
                </c:pt>
                <c:pt idx="1658" formatCode="m/d/yyyy">
                  <c:v>42949</c:v>
                </c:pt>
                <c:pt idx="1659" formatCode="m/d/yyyy">
                  <c:v>42948</c:v>
                </c:pt>
                <c:pt idx="1660" formatCode="m/d/yyyy">
                  <c:v>42947</c:v>
                </c:pt>
                <c:pt idx="1661" formatCode="m/d/yyyy">
                  <c:v>42946</c:v>
                </c:pt>
                <c:pt idx="1662" formatCode="m/d/yyyy">
                  <c:v>42945</c:v>
                </c:pt>
                <c:pt idx="1663" formatCode="m/d/yyyy">
                  <c:v>42944</c:v>
                </c:pt>
                <c:pt idx="1664" formatCode="m/d/yyyy">
                  <c:v>42943</c:v>
                </c:pt>
                <c:pt idx="1665" formatCode="m/d/yyyy">
                  <c:v>42942</c:v>
                </c:pt>
                <c:pt idx="1666" formatCode="m/d/yyyy">
                  <c:v>42941</c:v>
                </c:pt>
                <c:pt idx="1667" formatCode="m/d/yyyy">
                  <c:v>42940</c:v>
                </c:pt>
                <c:pt idx="1668" formatCode="m/d/yyyy">
                  <c:v>42939</c:v>
                </c:pt>
                <c:pt idx="1669" formatCode="m/d/yyyy">
                  <c:v>42938</c:v>
                </c:pt>
                <c:pt idx="1670" formatCode="m/d/yyyy">
                  <c:v>42937</c:v>
                </c:pt>
                <c:pt idx="1671" formatCode="m/d/yyyy">
                  <c:v>42936</c:v>
                </c:pt>
                <c:pt idx="1672" formatCode="m/d/yyyy">
                  <c:v>42935</c:v>
                </c:pt>
                <c:pt idx="1673" formatCode="m/d/yyyy">
                  <c:v>42934</c:v>
                </c:pt>
                <c:pt idx="1674" formatCode="m/d/yyyy">
                  <c:v>42933</c:v>
                </c:pt>
                <c:pt idx="1675" formatCode="m/d/yyyy">
                  <c:v>42932</c:v>
                </c:pt>
                <c:pt idx="1676" formatCode="m/d/yyyy">
                  <c:v>42931</c:v>
                </c:pt>
                <c:pt idx="1677" formatCode="m/d/yyyy">
                  <c:v>42930</c:v>
                </c:pt>
                <c:pt idx="1678" formatCode="m/d/yyyy">
                  <c:v>42929</c:v>
                </c:pt>
                <c:pt idx="1679" formatCode="m/d/yyyy">
                  <c:v>42928</c:v>
                </c:pt>
                <c:pt idx="1680" formatCode="m/d/yyyy">
                  <c:v>42927</c:v>
                </c:pt>
                <c:pt idx="1681" formatCode="m/d/yyyy">
                  <c:v>42926</c:v>
                </c:pt>
                <c:pt idx="1682" formatCode="m/d/yyyy">
                  <c:v>42925</c:v>
                </c:pt>
                <c:pt idx="1683" formatCode="m/d/yyyy">
                  <c:v>42924</c:v>
                </c:pt>
                <c:pt idx="1684" formatCode="m/d/yyyy">
                  <c:v>42923</c:v>
                </c:pt>
                <c:pt idx="1685" formatCode="m/d/yyyy">
                  <c:v>42922</c:v>
                </c:pt>
                <c:pt idx="1686" formatCode="m/d/yyyy">
                  <c:v>42921</c:v>
                </c:pt>
                <c:pt idx="1687" formatCode="m/d/yyyy">
                  <c:v>42920</c:v>
                </c:pt>
                <c:pt idx="1688" formatCode="m/d/yyyy">
                  <c:v>42919</c:v>
                </c:pt>
                <c:pt idx="1689" formatCode="m/d/yyyy">
                  <c:v>42918</c:v>
                </c:pt>
                <c:pt idx="1690" formatCode="m/d/yyyy">
                  <c:v>42917</c:v>
                </c:pt>
                <c:pt idx="1691" formatCode="m/d/yyyy">
                  <c:v>42916</c:v>
                </c:pt>
                <c:pt idx="1692" formatCode="m/d/yyyy">
                  <c:v>42915</c:v>
                </c:pt>
                <c:pt idx="1693" formatCode="m/d/yyyy">
                  <c:v>42914</c:v>
                </c:pt>
                <c:pt idx="1694" formatCode="m/d/yyyy">
                  <c:v>42913</c:v>
                </c:pt>
                <c:pt idx="1695" formatCode="m/d/yyyy">
                  <c:v>42912</c:v>
                </c:pt>
                <c:pt idx="1696" formatCode="m/d/yyyy">
                  <c:v>42911</c:v>
                </c:pt>
                <c:pt idx="1697" formatCode="m/d/yyyy">
                  <c:v>42910</c:v>
                </c:pt>
                <c:pt idx="1698" formatCode="m/d/yyyy">
                  <c:v>42909</c:v>
                </c:pt>
                <c:pt idx="1699" formatCode="m/d/yyyy">
                  <c:v>42908</c:v>
                </c:pt>
                <c:pt idx="1700" formatCode="m/d/yyyy">
                  <c:v>42907</c:v>
                </c:pt>
                <c:pt idx="1701" formatCode="m/d/yyyy">
                  <c:v>42906</c:v>
                </c:pt>
                <c:pt idx="1702" formatCode="m/d/yyyy">
                  <c:v>42905</c:v>
                </c:pt>
                <c:pt idx="1703" formatCode="m/d/yyyy">
                  <c:v>42904</c:v>
                </c:pt>
                <c:pt idx="1704" formatCode="m/d/yyyy">
                  <c:v>42903</c:v>
                </c:pt>
                <c:pt idx="1705" formatCode="m/d/yyyy">
                  <c:v>42902</c:v>
                </c:pt>
                <c:pt idx="1706" formatCode="m/d/yyyy">
                  <c:v>42901</c:v>
                </c:pt>
                <c:pt idx="1707" formatCode="m/d/yyyy">
                  <c:v>42900</c:v>
                </c:pt>
                <c:pt idx="1708" formatCode="m/d/yyyy">
                  <c:v>42899</c:v>
                </c:pt>
                <c:pt idx="1709" formatCode="m/d/yyyy">
                  <c:v>42898</c:v>
                </c:pt>
                <c:pt idx="1710" formatCode="m/d/yyyy">
                  <c:v>42897</c:v>
                </c:pt>
                <c:pt idx="1711" formatCode="m/d/yyyy">
                  <c:v>42896</c:v>
                </c:pt>
                <c:pt idx="1712" formatCode="m/d/yyyy">
                  <c:v>42895</c:v>
                </c:pt>
                <c:pt idx="1713" formatCode="m/d/yyyy">
                  <c:v>42894</c:v>
                </c:pt>
                <c:pt idx="1714" formatCode="m/d/yyyy">
                  <c:v>42893</c:v>
                </c:pt>
                <c:pt idx="1715" formatCode="m/d/yyyy">
                  <c:v>42892</c:v>
                </c:pt>
                <c:pt idx="1716" formatCode="m/d/yyyy">
                  <c:v>42891</c:v>
                </c:pt>
                <c:pt idx="1717" formatCode="m/d/yyyy">
                  <c:v>42890</c:v>
                </c:pt>
                <c:pt idx="1718" formatCode="m/d/yyyy">
                  <c:v>42889</c:v>
                </c:pt>
                <c:pt idx="1719" formatCode="m/d/yyyy">
                  <c:v>42888</c:v>
                </c:pt>
                <c:pt idx="1720" formatCode="m/d/yyyy">
                  <c:v>42887</c:v>
                </c:pt>
                <c:pt idx="1721" formatCode="m/d/yyyy">
                  <c:v>42886</c:v>
                </c:pt>
                <c:pt idx="1722" formatCode="m/d/yyyy">
                  <c:v>42885</c:v>
                </c:pt>
                <c:pt idx="1723" formatCode="m/d/yyyy">
                  <c:v>42884</c:v>
                </c:pt>
                <c:pt idx="1724" formatCode="m/d/yyyy">
                  <c:v>42883</c:v>
                </c:pt>
                <c:pt idx="1725" formatCode="m/d/yyyy">
                  <c:v>42882</c:v>
                </c:pt>
                <c:pt idx="1726" formatCode="m/d/yyyy">
                  <c:v>42881</c:v>
                </c:pt>
                <c:pt idx="1727" formatCode="m/d/yyyy">
                  <c:v>42880</c:v>
                </c:pt>
                <c:pt idx="1728" formatCode="m/d/yyyy">
                  <c:v>42879</c:v>
                </c:pt>
                <c:pt idx="1729" formatCode="m/d/yyyy">
                  <c:v>42878</c:v>
                </c:pt>
                <c:pt idx="1730" formatCode="m/d/yyyy">
                  <c:v>42877</c:v>
                </c:pt>
                <c:pt idx="1731" formatCode="m/d/yyyy">
                  <c:v>42876</c:v>
                </c:pt>
                <c:pt idx="1732" formatCode="m/d/yyyy">
                  <c:v>42875</c:v>
                </c:pt>
                <c:pt idx="1733" formatCode="m/d/yyyy">
                  <c:v>42874</c:v>
                </c:pt>
                <c:pt idx="1734" formatCode="m/d/yyyy">
                  <c:v>42873</c:v>
                </c:pt>
                <c:pt idx="1735" formatCode="m/d/yyyy">
                  <c:v>42872</c:v>
                </c:pt>
                <c:pt idx="1736" formatCode="m/d/yyyy">
                  <c:v>42871</c:v>
                </c:pt>
                <c:pt idx="1737" formatCode="m/d/yyyy">
                  <c:v>42870</c:v>
                </c:pt>
                <c:pt idx="1738" formatCode="m/d/yyyy">
                  <c:v>42869</c:v>
                </c:pt>
                <c:pt idx="1739" formatCode="m/d/yyyy">
                  <c:v>42868</c:v>
                </c:pt>
                <c:pt idx="1740" formatCode="m/d/yyyy">
                  <c:v>42867</c:v>
                </c:pt>
                <c:pt idx="1741" formatCode="m/d/yyyy">
                  <c:v>42866</c:v>
                </c:pt>
                <c:pt idx="1742" formatCode="m/d/yyyy">
                  <c:v>42865</c:v>
                </c:pt>
                <c:pt idx="1743" formatCode="m/d/yyyy">
                  <c:v>42864</c:v>
                </c:pt>
                <c:pt idx="1744" formatCode="m/d/yyyy">
                  <c:v>42863</c:v>
                </c:pt>
                <c:pt idx="1745" formatCode="m/d/yyyy">
                  <c:v>42862</c:v>
                </c:pt>
                <c:pt idx="1746" formatCode="m/d/yyyy">
                  <c:v>42861</c:v>
                </c:pt>
                <c:pt idx="1747" formatCode="m/d/yyyy">
                  <c:v>42860</c:v>
                </c:pt>
                <c:pt idx="1748" formatCode="m/d/yyyy">
                  <c:v>42859</c:v>
                </c:pt>
                <c:pt idx="1749" formatCode="m/d/yyyy">
                  <c:v>42858</c:v>
                </c:pt>
                <c:pt idx="1750" formatCode="m/d/yyyy">
                  <c:v>42857</c:v>
                </c:pt>
                <c:pt idx="1751" formatCode="m/d/yyyy">
                  <c:v>42856</c:v>
                </c:pt>
                <c:pt idx="1752" formatCode="m/d/yyyy">
                  <c:v>42855</c:v>
                </c:pt>
                <c:pt idx="1753" formatCode="m/d/yyyy">
                  <c:v>42854</c:v>
                </c:pt>
                <c:pt idx="1754" formatCode="m/d/yyyy">
                  <c:v>42853</c:v>
                </c:pt>
                <c:pt idx="1755" formatCode="m/d/yyyy">
                  <c:v>42852</c:v>
                </c:pt>
                <c:pt idx="1756" formatCode="m/d/yyyy">
                  <c:v>42851</c:v>
                </c:pt>
                <c:pt idx="1757" formatCode="m/d/yyyy">
                  <c:v>42850</c:v>
                </c:pt>
                <c:pt idx="1758" formatCode="m/d/yyyy">
                  <c:v>42849</c:v>
                </c:pt>
                <c:pt idx="1759" formatCode="m/d/yyyy">
                  <c:v>42848</c:v>
                </c:pt>
                <c:pt idx="1760" formatCode="m/d/yyyy">
                  <c:v>42847</c:v>
                </c:pt>
                <c:pt idx="1761" formatCode="m/d/yyyy">
                  <c:v>42846</c:v>
                </c:pt>
                <c:pt idx="1762" formatCode="m/d/yyyy">
                  <c:v>42845</c:v>
                </c:pt>
                <c:pt idx="1763" formatCode="m/d/yyyy">
                  <c:v>42844</c:v>
                </c:pt>
                <c:pt idx="1764" formatCode="m/d/yyyy">
                  <c:v>42843</c:v>
                </c:pt>
                <c:pt idx="1765" formatCode="m/d/yyyy">
                  <c:v>42842</c:v>
                </c:pt>
                <c:pt idx="1766" formatCode="m/d/yyyy">
                  <c:v>42841</c:v>
                </c:pt>
                <c:pt idx="1767" formatCode="m/d/yyyy">
                  <c:v>42840</c:v>
                </c:pt>
                <c:pt idx="1768" formatCode="m/d/yyyy">
                  <c:v>42839</c:v>
                </c:pt>
                <c:pt idx="1769" formatCode="m/d/yyyy">
                  <c:v>42838</c:v>
                </c:pt>
                <c:pt idx="1770" formatCode="m/d/yyyy">
                  <c:v>42837</c:v>
                </c:pt>
                <c:pt idx="1771" formatCode="m/d/yyyy">
                  <c:v>42836</c:v>
                </c:pt>
                <c:pt idx="1772" formatCode="m/d/yyyy">
                  <c:v>42835</c:v>
                </c:pt>
                <c:pt idx="1773" formatCode="m/d/yyyy">
                  <c:v>42834</c:v>
                </c:pt>
                <c:pt idx="1774" formatCode="m/d/yyyy">
                  <c:v>42833</c:v>
                </c:pt>
                <c:pt idx="1775" formatCode="m/d/yyyy">
                  <c:v>42832</c:v>
                </c:pt>
                <c:pt idx="1776" formatCode="m/d/yyyy">
                  <c:v>42831</c:v>
                </c:pt>
                <c:pt idx="1777" formatCode="m/d/yyyy">
                  <c:v>42830</c:v>
                </c:pt>
                <c:pt idx="1778" formatCode="m/d/yyyy">
                  <c:v>42829</c:v>
                </c:pt>
                <c:pt idx="1779" formatCode="m/d/yyyy">
                  <c:v>42828</c:v>
                </c:pt>
                <c:pt idx="1780" formatCode="m/d/yyyy">
                  <c:v>42827</c:v>
                </c:pt>
                <c:pt idx="1781" formatCode="m/d/yyyy">
                  <c:v>42826</c:v>
                </c:pt>
                <c:pt idx="1782" formatCode="m/d/yyyy">
                  <c:v>42825</c:v>
                </c:pt>
                <c:pt idx="1783" formatCode="m/d/yyyy">
                  <c:v>42824</c:v>
                </c:pt>
                <c:pt idx="1784" formatCode="m/d/yyyy">
                  <c:v>42823</c:v>
                </c:pt>
                <c:pt idx="1785" formatCode="m/d/yyyy">
                  <c:v>42822</c:v>
                </c:pt>
                <c:pt idx="1786" formatCode="m/d/yyyy">
                  <c:v>42821</c:v>
                </c:pt>
                <c:pt idx="1787" formatCode="m/d/yyyy">
                  <c:v>42820</c:v>
                </c:pt>
                <c:pt idx="1788" formatCode="m/d/yyyy">
                  <c:v>42819</c:v>
                </c:pt>
                <c:pt idx="1789" formatCode="m/d/yyyy">
                  <c:v>42818</c:v>
                </c:pt>
                <c:pt idx="1790" formatCode="m/d/yyyy">
                  <c:v>42817</c:v>
                </c:pt>
                <c:pt idx="1791" formatCode="m/d/yyyy">
                  <c:v>42816</c:v>
                </c:pt>
                <c:pt idx="1792" formatCode="m/d/yyyy">
                  <c:v>42815</c:v>
                </c:pt>
                <c:pt idx="1793" formatCode="m/d/yyyy">
                  <c:v>42814</c:v>
                </c:pt>
                <c:pt idx="1794" formatCode="m/d/yyyy">
                  <c:v>42813</c:v>
                </c:pt>
                <c:pt idx="1795" formatCode="m/d/yyyy">
                  <c:v>42812</c:v>
                </c:pt>
                <c:pt idx="1796" formatCode="m/d/yyyy">
                  <c:v>42811</c:v>
                </c:pt>
                <c:pt idx="1797" formatCode="m/d/yyyy">
                  <c:v>42810</c:v>
                </c:pt>
                <c:pt idx="1798" formatCode="m/d/yyyy">
                  <c:v>42809</c:v>
                </c:pt>
                <c:pt idx="1799" formatCode="m/d/yyyy">
                  <c:v>42808</c:v>
                </c:pt>
                <c:pt idx="1800" formatCode="m/d/yyyy">
                  <c:v>42807</c:v>
                </c:pt>
                <c:pt idx="1801" formatCode="m/d/yyyy">
                  <c:v>42806</c:v>
                </c:pt>
                <c:pt idx="1802" formatCode="m/d/yyyy">
                  <c:v>42805</c:v>
                </c:pt>
                <c:pt idx="1803" formatCode="m/d/yyyy">
                  <c:v>42804</c:v>
                </c:pt>
                <c:pt idx="1804" formatCode="m/d/yyyy">
                  <c:v>42803</c:v>
                </c:pt>
                <c:pt idx="1805" formatCode="m/d/yyyy">
                  <c:v>42802</c:v>
                </c:pt>
                <c:pt idx="1806" formatCode="m/d/yyyy">
                  <c:v>42801</c:v>
                </c:pt>
                <c:pt idx="1807" formatCode="m/d/yyyy">
                  <c:v>42800</c:v>
                </c:pt>
                <c:pt idx="1808" formatCode="m/d/yyyy">
                  <c:v>42799</c:v>
                </c:pt>
                <c:pt idx="1809" formatCode="m/d/yyyy">
                  <c:v>42798</c:v>
                </c:pt>
                <c:pt idx="1810" formatCode="m/d/yyyy">
                  <c:v>42797</c:v>
                </c:pt>
                <c:pt idx="1811" formatCode="m/d/yyyy">
                  <c:v>42796</c:v>
                </c:pt>
                <c:pt idx="1812" formatCode="m/d/yyyy">
                  <c:v>42795</c:v>
                </c:pt>
                <c:pt idx="1813" formatCode="m/d/yyyy">
                  <c:v>42794</c:v>
                </c:pt>
                <c:pt idx="1814" formatCode="m/d/yyyy">
                  <c:v>42793</c:v>
                </c:pt>
                <c:pt idx="1815" formatCode="m/d/yyyy">
                  <c:v>42792</c:v>
                </c:pt>
                <c:pt idx="1816" formatCode="m/d/yyyy">
                  <c:v>42791</c:v>
                </c:pt>
                <c:pt idx="1817" formatCode="m/d/yyyy">
                  <c:v>42790</c:v>
                </c:pt>
                <c:pt idx="1818" formatCode="m/d/yyyy">
                  <c:v>42789</c:v>
                </c:pt>
                <c:pt idx="1819" formatCode="m/d/yyyy">
                  <c:v>42788</c:v>
                </c:pt>
                <c:pt idx="1820" formatCode="m/d/yyyy">
                  <c:v>42787</c:v>
                </c:pt>
                <c:pt idx="1821" formatCode="m/d/yyyy">
                  <c:v>42786</c:v>
                </c:pt>
                <c:pt idx="1822" formatCode="m/d/yyyy">
                  <c:v>42785</c:v>
                </c:pt>
                <c:pt idx="1823" formatCode="m/d/yyyy">
                  <c:v>42784</c:v>
                </c:pt>
                <c:pt idx="1824" formatCode="m/d/yyyy">
                  <c:v>42783</c:v>
                </c:pt>
                <c:pt idx="1825" formatCode="m/d/yyyy">
                  <c:v>42782</c:v>
                </c:pt>
                <c:pt idx="1826" formatCode="m/d/yyyy">
                  <c:v>42781</c:v>
                </c:pt>
              </c:numCache>
            </c:numRef>
          </c:cat>
          <c:val>
            <c:numRef>
              <c:f>Indexed!$J$4:$J$3657</c:f>
              <c:numCache>
                <c:formatCode>0</c:formatCode>
                <c:ptCount val="3654"/>
                <c:pt idx="0">
                  <c:v>0</c:v>
                </c:pt>
                <c:pt idx="1">
                  <c:v>236.98017335001308</c:v>
                </c:pt>
                <c:pt idx="2">
                  <c:v>236.98421153925463</c:v>
                </c:pt>
                <c:pt idx="3">
                  <c:v>236.98421153925463</c:v>
                </c:pt>
                <c:pt idx="4">
                  <c:v>236.98421153925463</c:v>
                </c:pt>
                <c:pt idx="5">
                  <c:v>243.76299094070907</c:v>
                </c:pt>
                <c:pt idx="6">
                  <c:v>248.9994398086414</c:v>
                </c:pt>
                <c:pt idx="7">
                  <c:v>243.91444881294419</c:v>
                </c:pt>
                <c:pt idx="8">
                  <c:v>240.84221162173679</c:v>
                </c:pt>
                <c:pt idx="9">
                  <c:v>242.25710721306518</c:v>
                </c:pt>
                <c:pt idx="10">
                  <c:v>242.25710721306518</c:v>
                </c:pt>
                <c:pt idx="11">
                  <c:v>242.25710721306518</c:v>
                </c:pt>
                <c:pt idx="12">
                  <c:v>238.49061078041873</c:v>
                </c:pt>
                <c:pt idx="13">
                  <c:v>247.74801355456884</c:v>
                </c:pt>
                <c:pt idx="14">
                  <c:v>246.51861691159289</c:v>
                </c:pt>
                <c:pt idx="15">
                  <c:v>244.69507375280097</c:v>
                </c:pt>
                <c:pt idx="16">
                  <c:v>236.63055208061257</c:v>
                </c:pt>
                <c:pt idx="17">
                  <c:v>236.63055208061257</c:v>
                </c:pt>
                <c:pt idx="18">
                  <c:v>236.63055208061257</c:v>
                </c:pt>
                <c:pt idx="19">
                  <c:v>229.45133896044982</c:v>
                </c:pt>
                <c:pt idx="20">
                  <c:v>232.70484788914399</c:v>
                </c:pt>
                <c:pt idx="21">
                  <c:v>232.65632088310903</c:v>
                </c:pt>
                <c:pt idx="22">
                  <c:v>238.08354412108383</c:v>
                </c:pt>
                <c:pt idx="23">
                  <c:v>236.60218165321751</c:v>
                </c:pt>
                <c:pt idx="24">
                  <c:v>236.60218165321751</c:v>
                </c:pt>
                <c:pt idx="25">
                  <c:v>236.60218165321751</c:v>
                </c:pt>
                <c:pt idx="26">
                  <c:v>243.21962250663299</c:v>
                </c:pt>
                <c:pt idx="27">
                  <c:v>246.41984452112231</c:v>
                </c:pt>
                <c:pt idx="28">
                  <c:v>249.28338465556826</c:v>
                </c:pt>
                <c:pt idx="29">
                  <c:v>255.9310346012675</c:v>
                </c:pt>
                <c:pt idx="30">
                  <c:v>255.9310346012675</c:v>
                </c:pt>
                <c:pt idx="31">
                  <c:v>255.9310346012675</c:v>
                </c:pt>
                <c:pt idx="32">
                  <c:v>255.9310346012675</c:v>
                </c:pt>
                <c:pt idx="33">
                  <c:v>254.43705923594021</c:v>
                </c:pt>
                <c:pt idx="34">
                  <c:v>260.99404753722013</c:v>
                </c:pt>
                <c:pt idx="35">
                  <c:v>260.39359457267369</c:v>
                </c:pt>
                <c:pt idx="36">
                  <c:v>256.77432880139668</c:v>
                </c:pt>
                <c:pt idx="37">
                  <c:v>256.65531391336629</c:v>
                </c:pt>
                <c:pt idx="38">
                  <c:v>256.65531391336629</c:v>
                </c:pt>
                <c:pt idx="39">
                  <c:v>256.65531391336629</c:v>
                </c:pt>
                <c:pt idx="40">
                  <c:v>259.14632679433078</c:v>
                </c:pt>
                <c:pt idx="41">
                  <c:v>259.4781284797163</c:v>
                </c:pt>
                <c:pt idx="42">
                  <c:v>268.4574117097178</c:v>
                </c:pt>
                <c:pt idx="43">
                  <c:v>272.06739823763115</c:v>
                </c:pt>
                <c:pt idx="44">
                  <c:v>268.83980245521906</c:v>
                </c:pt>
                <c:pt idx="45">
                  <c:v>268.83980245521906</c:v>
                </c:pt>
                <c:pt idx="46">
                  <c:v>268.83980245521906</c:v>
                </c:pt>
                <c:pt idx="47">
                  <c:v>270.49963570377906</c:v>
                </c:pt>
                <c:pt idx="48">
                  <c:v>270.92325034711246</c:v>
                </c:pt>
                <c:pt idx="49">
                  <c:v>271.18971928570448</c:v>
                </c:pt>
                <c:pt idx="50">
                  <c:v>272.72833812188117</c:v>
                </c:pt>
                <c:pt idx="51">
                  <c:v>268.98419779222746</c:v>
                </c:pt>
                <c:pt idx="52">
                  <c:v>268.98419779222746</c:v>
                </c:pt>
                <c:pt idx="53">
                  <c:v>268.98419779222746</c:v>
                </c:pt>
                <c:pt idx="54">
                  <c:v>268.98419779222746</c:v>
                </c:pt>
                <c:pt idx="55">
                  <c:v>266.72483950345736</c:v>
                </c:pt>
                <c:pt idx="56">
                  <c:v>263.61792543612444</c:v>
                </c:pt>
                <c:pt idx="57">
                  <c:v>257.42930591259642</c:v>
                </c:pt>
                <c:pt idx="58">
                  <c:v>260.67253893845458</c:v>
                </c:pt>
                <c:pt idx="59">
                  <c:v>260.67253893845458</c:v>
                </c:pt>
                <c:pt idx="60">
                  <c:v>260.67253893845458</c:v>
                </c:pt>
                <c:pt idx="61">
                  <c:v>260.85731616787871</c:v>
                </c:pt>
                <c:pt idx="62">
                  <c:v>267.47561621049448</c:v>
                </c:pt>
                <c:pt idx="63">
                  <c:v>261.84031453198247</c:v>
                </c:pt>
                <c:pt idx="64">
                  <c:v>264.85850872248875</c:v>
                </c:pt>
                <c:pt idx="65">
                  <c:v>268.59287147904269</c:v>
                </c:pt>
                <c:pt idx="66">
                  <c:v>268.59287147904269</c:v>
                </c:pt>
                <c:pt idx="67">
                  <c:v>268.59287147904269</c:v>
                </c:pt>
                <c:pt idx="68">
                  <c:v>266.64713443217909</c:v>
                </c:pt>
                <c:pt idx="69">
                  <c:v>271.28019190849983</c:v>
                </c:pt>
                <c:pt idx="70">
                  <c:v>269.56057627538047</c:v>
                </c:pt>
                <c:pt idx="71">
                  <c:v>261.6257234373067</c:v>
                </c:pt>
                <c:pt idx="72">
                  <c:v>259.22549248724965</c:v>
                </c:pt>
                <c:pt idx="73">
                  <c:v>259.22549248724965</c:v>
                </c:pt>
                <c:pt idx="74">
                  <c:v>259.22549248724965</c:v>
                </c:pt>
                <c:pt idx="75">
                  <c:v>264.3092806180664</c:v>
                </c:pt>
                <c:pt idx="76">
                  <c:v>262.12233479510058</c:v>
                </c:pt>
                <c:pt idx="77">
                  <c:v>266.99632610697938</c:v>
                </c:pt>
                <c:pt idx="78">
                  <c:v>271.20881046973597</c:v>
                </c:pt>
                <c:pt idx="79">
                  <c:v>266.20528779401457</c:v>
                </c:pt>
                <c:pt idx="80">
                  <c:v>266.20528779401457</c:v>
                </c:pt>
                <c:pt idx="81">
                  <c:v>266.20528779401457</c:v>
                </c:pt>
                <c:pt idx="82">
                  <c:v>272.2809411214825</c:v>
                </c:pt>
                <c:pt idx="83">
                  <c:v>272.2809411214825</c:v>
                </c:pt>
                <c:pt idx="84">
                  <c:v>271.07656406802033</c:v>
                </c:pt>
                <c:pt idx="85">
                  <c:v>272.44471976685043</c:v>
                </c:pt>
                <c:pt idx="86">
                  <c:v>275.92752910933012</c:v>
                </c:pt>
                <c:pt idx="87">
                  <c:v>275.92752910933012</c:v>
                </c:pt>
                <c:pt idx="88">
                  <c:v>275.92752910933012</c:v>
                </c:pt>
                <c:pt idx="89">
                  <c:v>274.83245810593456</c:v>
                </c:pt>
                <c:pt idx="90">
                  <c:v>273.59283711147464</c:v>
                </c:pt>
                <c:pt idx="91">
                  <c:v>274.4912740744814</c:v>
                </c:pt>
                <c:pt idx="92">
                  <c:v>272.42906533962031</c:v>
                </c:pt>
                <c:pt idx="93">
                  <c:v>272.55127641147607</c:v>
                </c:pt>
                <c:pt idx="94">
                  <c:v>272.55127641147607</c:v>
                </c:pt>
                <c:pt idx="95">
                  <c:v>272.55127641147607</c:v>
                </c:pt>
                <c:pt idx="96">
                  <c:v>269.85897268465698</c:v>
                </c:pt>
                <c:pt idx="97">
                  <c:v>268.45718832052569</c:v>
                </c:pt>
                <c:pt idx="98">
                  <c:v>272.99092352528771</c:v>
                </c:pt>
                <c:pt idx="99">
                  <c:v>274.63737060610646</c:v>
                </c:pt>
                <c:pt idx="100">
                  <c:v>274.45231843613823</c:v>
                </c:pt>
                <c:pt idx="101">
                  <c:v>274.45231843613823</c:v>
                </c:pt>
                <c:pt idx="102">
                  <c:v>274.45231843613823</c:v>
                </c:pt>
                <c:pt idx="103">
                  <c:v>273.91480967240835</c:v>
                </c:pt>
                <c:pt idx="104">
                  <c:v>271.70284425992884</c:v>
                </c:pt>
                <c:pt idx="105">
                  <c:v>268.91939774273811</c:v>
                </c:pt>
                <c:pt idx="106">
                  <c:v>267.996834746986</c:v>
                </c:pt>
                <c:pt idx="107">
                  <c:v>266.32095184416374</c:v>
                </c:pt>
                <c:pt idx="108">
                  <c:v>266.32095184416374</c:v>
                </c:pt>
                <c:pt idx="109">
                  <c:v>266.32095184416374</c:v>
                </c:pt>
                <c:pt idx="110">
                  <c:v>265.4571230221465</c:v>
                </c:pt>
                <c:pt idx="111">
                  <c:v>261.80934935320238</c:v>
                </c:pt>
                <c:pt idx="112">
                  <c:v>261.80723574776954</c:v>
                </c:pt>
                <c:pt idx="113">
                  <c:v>261.65242703765313</c:v>
                </c:pt>
                <c:pt idx="114">
                  <c:v>259.30673741803338</c:v>
                </c:pt>
                <c:pt idx="115">
                  <c:v>259.30673741803338</c:v>
                </c:pt>
                <c:pt idx="116">
                  <c:v>259.30673741803338</c:v>
                </c:pt>
                <c:pt idx="117">
                  <c:v>261.46330231087529</c:v>
                </c:pt>
                <c:pt idx="118">
                  <c:v>259.84764857099651</c:v>
                </c:pt>
                <c:pt idx="119">
                  <c:v>259.97501477805429</c:v>
                </c:pt>
                <c:pt idx="120">
                  <c:v>258.13152124603056</c:v>
                </c:pt>
                <c:pt idx="121">
                  <c:v>255.99267283449959</c:v>
                </c:pt>
                <c:pt idx="122">
                  <c:v>255.99267283449959</c:v>
                </c:pt>
                <c:pt idx="123">
                  <c:v>255.99267283449959</c:v>
                </c:pt>
                <c:pt idx="124">
                  <c:v>254.72260217477972</c:v>
                </c:pt>
                <c:pt idx="125">
                  <c:v>250.39582846459453</c:v>
                </c:pt>
                <c:pt idx="126">
                  <c:v>248.57933065724538</c:v>
                </c:pt>
                <c:pt idx="127">
                  <c:v>248.92773187798142</c:v>
                </c:pt>
                <c:pt idx="128">
                  <c:v>250.53161472581556</c:v>
                </c:pt>
                <c:pt idx="129">
                  <c:v>250.53161472581556</c:v>
                </c:pt>
                <c:pt idx="130">
                  <c:v>250.53161472581556</c:v>
                </c:pt>
                <c:pt idx="131">
                  <c:v>251.81144577485122</c:v>
                </c:pt>
                <c:pt idx="132">
                  <c:v>249.19770630851082</c:v>
                </c:pt>
                <c:pt idx="133">
                  <c:v>248.02781710955006</c:v>
                </c:pt>
                <c:pt idx="134">
                  <c:v>244.96317515087367</c:v>
                </c:pt>
                <c:pt idx="135">
                  <c:v>250.31097493916943</c:v>
                </c:pt>
                <c:pt idx="136">
                  <c:v>250.31097493916943</c:v>
                </c:pt>
                <c:pt idx="137">
                  <c:v>250.31097493916943</c:v>
                </c:pt>
                <c:pt idx="138">
                  <c:v>248.28129510743304</c:v>
                </c:pt>
                <c:pt idx="139">
                  <c:v>249.37865155410145</c:v>
                </c:pt>
                <c:pt idx="140">
                  <c:v>249.96705868605918</c:v>
                </c:pt>
                <c:pt idx="141">
                  <c:v>257.24073106690679</c:v>
                </c:pt>
                <c:pt idx="142">
                  <c:v>258.57640941396426</c:v>
                </c:pt>
                <c:pt idx="143">
                  <c:v>258.57640941396426</c:v>
                </c:pt>
                <c:pt idx="144">
                  <c:v>258.57640941396426</c:v>
                </c:pt>
                <c:pt idx="145">
                  <c:v>258.65450971227472</c:v>
                </c:pt>
                <c:pt idx="146">
                  <c:v>255.98420122898426</c:v>
                </c:pt>
                <c:pt idx="147">
                  <c:v>253.39891810895895</c:v>
                </c:pt>
                <c:pt idx="148">
                  <c:v>252.84053104766096</c:v>
                </c:pt>
                <c:pt idx="149">
                  <c:v>258.51229671583525</c:v>
                </c:pt>
                <c:pt idx="150">
                  <c:v>258.51229671583525</c:v>
                </c:pt>
                <c:pt idx="151">
                  <c:v>258.51229671583525</c:v>
                </c:pt>
                <c:pt idx="152">
                  <c:v>260.88290282226473</c:v>
                </c:pt>
                <c:pt idx="153">
                  <c:v>260.53243954744789</c:v>
                </c:pt>
                <c:pt idx="154">
                  <c:v>258.40560260093753</c:v>
                </c:pt>
                <c:pt idx="155">
                  <c:v>259.57105838362457</c:v>
                </c:pt>
                <c:pt idx="156">
                  <c:v>259.74138405069908</c:v>
                </c:pt>
                <c:pt idx="157">
                  <c:v>259.74138405069908</c:v>
                </c:pt>
                <c:pt idx="158">
                  <c:v>259.74138405069908</c:v>
                </c:pt>
                <c:pt idx="159">
                  <c:v>262.02270321542971</c:v>
                </c:pt>
                <c:pt idx="160">
                  <c:v>262.68226839695916</c:v>
                </c:pt>
                <c:pt idx="161">
                  <c:v>264.18911441650744</c:v>
                </c:pt>
                <c:pt idx="162">
                  <c:v>264.00334052761087</c:v>
                </c:pt>
                <c:pt idx="163">
                  <c:v>264.00334052761087</c:v>
                </c:pt>
                <c:pt idx="164">
                  <c:v>264.00334052761087</c:v>
                </c:pt>
                <c:pt idx="165">
                  <c:v>264.00334052761087</c:v>
                </c:pt>
                <c:pt idx="166">
                  <c:v>263.44763413661798</c:v>
                </c:pt>
                <c:pt idx="167">
                  <c:v>263.07309638040772</c:v>
                </c:pt>
                <c:pt idx="168">
                  <c:v>262.21139834760737</c:v>
                </c:pt>
                <c:pt idx="169">
                  <c:v>262.32575643017196</c:v>
                </c:pt>
                <c:pt idx="170">
                  <c:v>259.98207731328102</c:v>
                </c:pt>
                <c:pt idx="171">
                  <c:v>259.98207731328102</c:v>
                </c:pt>
                <c:pt idx="172">
                  <c:v>259.98207731328102</c:v>
                </c:pt>
                <c:pt idx="173">
                  <c:v>256.82551929395271</c:v>
                </c:pt>
                <c:pt idx="174">
                  <c:v>258.47605611536505</c:v>
                </c:pt>
                <c:pt idx="175">
                  <c:v>258.09699902396108</c:v>
                </c:pt>
                <c:pt idx="176">
                  <c:v>256.77130445541155</c:v>
                </c:pt>
                <c:pt idx="177">
                  <c:v>252.85359072350607</c:v>
                </c:pt>
                <c:pt idx="178">
                  <c:v>252.85359072350607</c:v>
                </c:pt>
                <c:pt idx="179">
                  <c:v>252.85359072350607</c:v>
                </c:pt>
                <c:pt idx="180">
                  <c:v>249.88294406334632</c:v>
                </c:pt>
                <c:pt idx="181">
                  <c:v>249.61016867602385</c:v>
                </c:pt>
                <c:pt idx="182">
                  <c:v>251.84864866722575</c:v>
                </c:pt>
                <c:pt idx="183">
                  <c:v>254.21281085465273</c:v>
                </c:pt>
                <c:pt idx="184">
                  <c:v>254.71347758547216</c:v>
                </c:pt>
                <c:pt idx="185">
                  <c:v>254.71347758547216</c:v>
                </c:pt>
                <c:pt idx="186">
                  <c:v>254.71347758547216</c:v>
                </c:pt>
                <c:pt idx="187">
                  <c:v>254.59944599480363</c:v>
                </c:pt>
                <c:pt idx="188">
                  <c:v>253.72089066989267</c:v>
                </c:pt>
                <c:pt idx="189">
                  <c:v>254.11529288041464</c:v>
                </c:pt>
                <c:pt idx="190">
                  <c:v>255.35407186945824</c:v>
                </c:pt>
                <c:pt idx="191">
                  <c:v>254.93452978293445</c:v>
                </c:pt>
                <c:pt idx="192">
                  <c:v>254.93452978293445</c:v>
                </c:pt>
                <c:pt idx="193">
                  <c:v>254.93452978293445</c:v>
                </c:pt>
                <c:pt idx="194">
                  <c:v>255.95447328265263</c:v>
                </c:pt>
                <c:pt idx="195">
                  <c:v>253.98548657602794</c:v>
                </c:pt>
                <c:pt idx="196">
                  <c:v>253.6549049393069</c:v>
                </c:pt>
                <c:pt idx="197">
                  <c:v>252.27631868358466</c:v>
                </c:pt>
                <c:pt idx="198">
                  <c:v>252.13212955198441</c:v>
                </c:pt>
                <c:pt idx="199">
                  <c:v>252.13212955198441</c:v>
                </c:pt>
                <c:pt idx="200">
                  <c:v>252.13212955198441</c:v>
                </c:pt>
                <c:pt idx="201">
                  <c:v>253.94649657011672</c:v>
                </c:pt>
                <c:pt idx="202">
                  <c:v>253.67705483689153</c:v>
                </c:pt>
                <c:pt idx="203">
                  <c:v>251.92417139793523</c:v>
                </c:pt>
                <c:pt idx="204">
                  <c:v>255.01960669755169</c:v>
                </c:pt>
                <c:pt idx="205">
                  <c:v>254.9556486534787</c:v>
                </c:pt>
                <c:pt idx="206">
                  <c:v>254.9556486534787</c:v>
                </c:pt>
                <c:pt idx="207">
                  <c:v>254.9556486534787</c:v>
                </c:pt>
                <c:pt idx="208">
                  <c:v>252.33694307356035</c:v>
                </c:pt>
                <c:pt idx="209">
                  <c:v>251.4323371320952</c:v>
                </c:pt>
                <c:pt idx="210">
                  <c:v>249.14558789161845</c:v>
                </c:pt>
                <c:pt idx="211">
                  <c:v>245.29824175522043</c:v>
                </c:pt>
                <c:pt idx="212">
                  <c:v>247.91452442159385</c:v>
                </c:pt>
                <c:pt idx="213">
                  <c:v>247.91452442159385</c:v>
                </c:pt>
                <c:pt idx="214">
                  <c:v>247.91452442159385</c:v>
                </c:pt>
                <c:pt idx="215">
                  <c:v>249.90605625283533</c:v>
                </c:pt>
                <c:pt idx="216">
                  <c:v>251.65569195661436</c:v>
                </c:pt>
                <c:pt idx="217">
                  <c:v>252.2176360612018</c:v>
                </c:pt>
                <c:pt idx="218">
                  <c:v>253.17281387899868</c:v>
                </c:pt>
                <c:pt idx="219">
                  <c:v>252.63460058012456</c:v>
                </c:pt>
                <c:pt idx="220">
                  <c:v>252.63460058012456</c:v>
                </c:pt>
                <c:pt idx="221">
                  <c:v>252.63460058012456</c:v>
                </c:pt>
                <c:pt idx="222">
                  <c:v>250.19220062411506</c:v>
                </c:pt>
                <c:pt idx="223">
                  <c:v>252.00127503677331</c:v>
                </c:pt>
                <c:pt idx="224">
                  <c:v>251.97682251213175</c:v>
                </c:pt>
                <c:pt idx="225">
                  <c:v>251.55899880400864</c:v>
                </c:pt>
                <c:pt idx="226">
                  <c:v>251.55899880400864</c:v>
                </c:pt>
                <c:pt idx="227">
                  <c:v>251.55899880400864</c:v>
                </c:pt>
                <c:pt idx="228">
                  <c:v>251.55899880400864</c:v>
                </c:pt>
                <c:pt idx="229">
                  <c:v>249.54937244820812</c:v>
                </c:pt>
                <c:pt idx="230">
                  <c:v>249.23279559545247</c:v>
                </c:pt>
                <c:pt idx="231">
                  <c:v>249.65177061710406</c:v>
                </c:pt>
                <c:pt idx="232">
                  <c:v>249.1735974595494</c:v>
                </c:pt>
                <c:pt idx="233">
                  <c:v>246.76580564452939</c:v>
                </c:pt>
                <c:pt idx="234">
                  <c:v>246.76580564452939</c:v>
                </c:pt>
                <c:pt idx="235">
                  <c:v>246.76580564452939</c:v>
                </c:pt>
                <c:pt idx="236">
                  <c:v>246.92597569525594</c:v>
                </c:pt>
                <c:pt idx="237">
                  <c:v>245.24237727341466</c:v>
                </c:pt>
                <c:pt idx="238">
                  <c:v>244.92507870173074</c:v>
                </c:pt>
                <c:pt idx="239">
                  <c:v>243.00413785518882</c:v>
                </c:pt>
                <c:pt idx="240">
                  <c:v>241.09495071690748</c:v>
                </c:pt>
                <c:pt idx="241">
                  <c:v>241.09495071690748</c:v>
                </c:pt>
                <c:pt idx="242">
                  <c:v>241.09495071690748</c:v>
                </c:pt>
                <c:pt idx="243">
                  <c:v>243.34557964340212</c:v>
                </c:pt>
                <c:pt idx="244">
                  <c:v>241.25489737844191</c:v>
                </c:pt>
                <c:pt idx="245">
                  <c:v>241.82491786151249</c:v>
                </c:pt>
                <c:pt idx="246">
                  <c:v>243.56541179219997</c:v>
                </c:pt>
                <c:pt idx="247">
                  <c:v>241.76592593101748</c:v>
                </c:pt>
                <c:pt idx="248">
                  <c:v>241.76592593101748</c:v>
                </c:pt>
                <c:pt idx="249">
                  <c:v>241.76592593101748</c:v>
                </c:pt>
                <c:pt idx="250">
                  <c:v>240.92237397412811</c:v>
                </c:pt>
                <c:pt idx="251">
                  <c:v>239.05650715532767</c:v>
                </c:pt>
                <c:pt idx="252">
                  <c:v>239.28266293663998</c:v>
                </c:pt>
                <c:pt idx="253">
                  <c:v>238.54049530539024</c:v>
                </c:pt>
                <c:pt idx="254">
                  <c:v>237.38519513905118</c:v>
                </c:pt>
                <c:pt idx="255">
                  <c:v>237.38519513905118</c:v>
                </c:pt>
                <c:pt idx="256">
                  <c:v>237.38519513905118</c:v>
                </c:pt>
                <c:pt idx="257">
                  <c:v>233.94874764582161</c:v>
                </c:pt>
                <c:pt idx="258">
                  <c:v>236.38575189365301</c:v>
                </c:pt>
                <c:pt idx="259">
                  <c:v>236.04467096490382</c:v>
                </c:pt>
                <c:pt idx="260">
                  <c:v>236.25536134061011</c:v>
                </c:pt>
                <c:pt idx="261">
                  <c:v>236.25536134061011</c:v>
                </c:pt>
                <c:pt idx="262">
                  <c:v>236.25536134061011</c:v>
                </c:pt>
                <c:pt idx="263">
                  <c:v>236.25536134061011</c:v>
                </c:pt>
                <c:pt idx="264">
                  <c:v>236.04119984053452</c:v>
                </c:pt>
                <c:pt idx="265">
                  <c:v>236.07075594902605</c:v>
                </c:pt>
                <c:pt idx="266">
                  <c:v>234.68192815803584</c:v>
                </c:pt>
                <c:pt idx="267">
                  <c:v>234.75059455892665</c:v>
                </c:pt>
                <c:pt idx="268">
                  <c:v>231.48258251653081</c:v>
                </c:pt>
                <c:pt idx="269">
                  <c:v>231.48258251653081</c:v>
                </c:pt>
                <c:pt idx="270">
                  <c:v>231.48258251653081</c:v>
                </c:pt>
                <c:pt idx="271">
                  <c:v>232.59523253096521</c:v>
                </c:pt>
                <c:pt idx="272">
                  <c:v>228.53985950538197</c:v>
                </c:pt>
                <c:pt idx="273">
                  <c:v>228.60687626300816</c:v>
                </c:pt>
                <c:pt idx="274">
                  <c:v>229.902705414954</c:v>
                </c:pt>
                <c:pt idx="275">
                  <c:v>230.7778755344157</c:v>
                </c:pt>
                <c:pt idx="276">
                  <c:v>230.7778755344157</c:v>
                </c:pt>
                <c:pt idx="277">
                  <c:v>230.7778755344157</c:v>
                </c:pt>
                <c:pt idx="278">
                  <c:v>225.53699325020963</c:v>
                </c:pt>
                <c:pt idx="279">
                  <c:v>223.93357436454369</c:v>
                </c:pt>
                <c:pt idx="280">
                  <c:v>230.08107309294368</c:v>
                </c:pt>
                <c:pt idx="281">
                  <c:v>230.29466752814707</c:v>
                </c:pt>
                <c:pt idx="282">
                  <c:v>236.3155217684176</c:v>
                </c:pt>
                <c:pt idx="283">
                  <c:v>236.3155217684176</c:v>
                </c:pt>
                <c:pt idx="284">
                  <c:v>236.3155217684176</c:v>
                </c:pt>
                <c:pt idx="285">
                  <c:v>234.26377795801662</c:v>
                </c:pt>
                <c:pt idx="286">
                  <c:v>233.39737156839834</c:v>
                </c:pt>
                <c:pt idx="287">
                  <c:v>234.27511925546102</c:v>
                </c:pt>
                <c:pt idx="288">
                  <c:v>238.77074082729615</c:v>
                </c:pt>
                <c:pt idx="289">
                  <c:v>239.93167727478934</c:v>
                </c:pt>
                <c:pt idx="290">
                  <c:v>239.93167727478934</c:v>
                </c:pt>
                <c:pt idx="291">
                  <c:v>239.93167727478934</c:v>
                </c:pt>
                <c:pt idx="292">
                  <c:v>241.99149746367348</c:v>
                </c:pt>
                <c:pt idx="293">
                  <c:v>241.44986459178205</c:v>
                </c:pt>
                <c:pt idx="294">
                  <c:v>242.12329708700494</c:v>
                </c:pt>
                <c:pt idx="295">
                  <c:v>242.95774163837072</c:v>
                </c:pt>
                <c:pt idx="296">
                  <c:v>240.86183550307246</c:v>
                </c:pt>
                <c:pt idx="297">
                  <c:v>240.86183550307246</c:v>
                </c:pt>
                <c:pt idx="298">
                  <c:v>240.86183550307246</c:v>
                </c:pt>
                <c:pt idx="299">
                  <c:v>237.45257275614148</c:v>
                </c:pt>
                <c:pt idx="300">
                  <c:v>239.71756732606573</c:v>
                </c:pt>
                <c:pt idx="301">
                  <c:v>236.90028593816587</c:v>
                </c:pt>
                <c:pt idx="302">
                  <c:v>239.10840218302795</c:v>
                </c:pt>
                <c:pt idx="303">
                  <c:v>241.47237534883081</c:v>
                </c:pt>
                <c:pt idx="304">
                  <c:v>241.47237534883081</c:v>
                </c:pt>
                <c:pt idx="305">
                  <c:v>241.47237534883081</c:v>
                </c:pt>
                <c:pt idx="306">
                  <c:v>241.23901956201971</c:v>
                </c:pt>
                <c:pt idx="307">
                  <c:v>238.13012935952602</c:v>
                </c:pt>
                <c:pt idx="308">
                  <c:v>240.50595933629353</c:v>
                </c:pt>
                <c:pt idx="309">
                  <c:v>237.99540849291341</c:v>
                </c:pt>
                <c:pt idx="310">
                  <c:v>238.85786261221011</c:v>
                </c:pt>
                <c:pt idx="311">
                  <c:v>238.85786261221011</c:v>
                </c:pt>
                <c:pt idx="312">
                  <c:v>238.85786261221011</c:v>
                </c:pt>
                <c:pt idx="313">
                  <c:v>237.63987600181463</c:v>
                </c:pt>
                <c:pt idx="314">
                  <c:v>235.22606986239231</c:v>
                </c:pt>
                <c:pt idx="315">
                  <c:v>235.39000316181625</c:v>
                </c:pt>
                <c:pt idx="316">
                  <c:v>235.51389824450465</c:v>
                </c:pt>
                <c:pt idx="317">
                  <c:v>231.63929862667203</c:v>
                </c:pt>
                <c:pt idx="318">
                  <c:v>231.63929862667203</c:v>
                </c:pt>
                <c:pt idx="319">
                  <c:v>231.63929862667203</c:v>
                </c:pt>
                <c:pt idx="320">
                  <c:v>231.63929862667203</c:v>
                </c:pt>
                <c:pt idx="321">
                  <c:v>227.63135284494732</c:v>
                </c:pt>
                <c:pt idx="322">
                  <c:v>224.16916404327566</c:v>
                </c:pt>
                <c:pt idx="323">
                  <c:v>224.41420480321131</c:v>
                </c:pt>
                <c:pt idx="324">
                  <c:v>225.77292660462174</c:v>
                </c:pt>
                <c:pt idx="325">
                  <c:v>225.77292660462174</c:v>
                </c:pt>
                <c:pt idx="326">
                  <c:v>225.77292660462174</c:v>
                </c:pt>
                <c:pt idx="327">
                  <c:v>223.00565002818144</c:v>
                </c:pt>
                <c:pt idx="328">
                  <c:v>222.73431807871549</c:v>
                </c:pt>
                <c:pt idx="329">
                  <c:v>227.3019397055387</c:v>
                </c:pt>
                <c:pt idx="330">
                  <c:v>229.87675790110393</c:v>
                </c:pt>
                <c:pt idx="331">
                  <c:v>227.08782975681513</c:v>
                </c:pt>
                <c:pt idx="332">
                  <c:v>227.08782975681513</c:v>
                </c:pt>
                <c:pt idx="333">
                  <c:v>227.08782975681513</c:v>
                </c:pt>
                <c:pt idx="334">
                  <c:v>225.38543227527049</c:v>
                </c:pt>
                <c:pt idx="335">
                  <c:v>232.4141154475345</c:v>
                </c:pt>
                <c:pt idx="336">
                  <c:v>231.49254911125473</c:v>
                </c:pt>
                <c:pt idx="337">
                  <c:v>231.28874943293511</c:v>
                </c:pt>
                <c:pt idx="338">
                  <c:v>228.88559723959699</c:v>
                </c:pt>
                <c:pt idx="339">
                  <c:v>228.88559723959699</c:v>
                </c:pt>
                <c:pt idx="340">
                  <c:v>228.88559723959699</c:v>
                </c:pt>
                <c:pt idx="341">
                  <c:v>230.23985125716564</c:v>
                </c:pt>
                <c:pt idx="342">
                  <c:v>224.57195194039289</c:v>
                </c:pt>
                <c:pt idx="343">
                  <c:v>224.65769902258637</c:v>
                </c:pt>
                <c:pt idx="344">
                  <c:v>216.67308194602919</c:v>
                </c:pt>
                <c:pt idx="345">
                  <c:v>222.01706693427545</c:v>
                </c:pt>
                <c:pt idx="346">
                  <c:v>222.01706693427545</c:v>
                </c:pt>
                <c:pt idx="347">
                  <c:v>222.01706693427545</c:v>
                </c:pt>
                <c:pt idx="348">
                  <c:v>218.63736029583603</c:v>
                </c:pt>
                <c:pt idx="349">
                  <c:v>223.35052857319607</c:v>
                </c:pt>
                <c:pt idx="350">
                  <c:v>229.55456195097815</c:v>
                </c:pt>
                <c:pt idx="351">
                  <c:v>233.50751962388134</c:v>
                </c:pt>
                <c:pt idx="352">
                  <c:v>226.69449294090157</c:v>
                </c:pt>
                <c:pt idx="353">
                  <c:v>226.69449294090157</c:v>
                </c:pt>
                <c:pt idx="354">
                  <c:v>226.69449294090157</c:v>
                </c:pt>
                <c:pt idx="355">
                  <c:v>225.44145141113233</c:v>
                </c:pt>
                <c:pt idx="356">
                  <c:v>233.66457940970267</c:v>
                </c:pt>
                <c:pt idx="357">
                  <c:v>231.38308840713199</c:v>
                </c:pt>
                <c:pt idx="358">
                  <c:v>232.54900815198715</c:v>
                </c:pt>
                <c:pt idx="359">
                  <c:v>238.41589568755759</c:v>
                </c:pt>
                <c:pt idx="360">
                  <c:v>238.41589568755759</c:v>
                </c:pt>
                <c:pt idx="361">
                  <c:v>238.41589568755759</c:v>
                </c:pt>
                <c:pt idx="362">
                  <c:v>238.25928268012041</c:v>
                </c:pt>
                <c:pt idx="363">
                  <c:v>239.98013554568826</c:v>
                </c:pt>
                <c:pt idx="364">
                  <c:v>241.38920583423834</c:v>
                </c:pt>
                <c:pt idx="365">
                  <c:v>242.21351195304015</c:v>
                </c:pt>
                <c:pt idx="366">
                  <c:v>242.21351195304015</c:v>
                </c:pt>
                <c:pt idx="367">
                  <c:v>242.21351195304015</c:v>
                </c:pt>
                <c:pt idx="368">
                  <c:v>242.21351195304015</c:v>
                </c:pt>
                <c:pt idx="369">
                  <c:v>241.01580220777259</c:v>
                </c:pt>
                <c:pt idx="370">
                  <c:v>240.10093754725546</c:v>
                </c:pt>
                <c:pt idx="371">
                  <c:v>240.70523967941932</c:v>
                </c:pt>
                <c:pt idx="372">
                  <c:v>240.36061889116479</c:v>
                </c:pt>
                <c:pt idx="373">
                  <c:v>238.10359759701964</c:v>
                </c:pt>
                <c:pt idx="374">
                  <c:v>238.10359759701964</c:v>
                </c:pt>
                <c:pt idx="375">
                  <c:v>238.10359759701964</c:v>
                </c:pt>
                <c:pt idx="376">
                  <c:v>236.75375981194068</c:v>
                </c:pt>
                <c:pt idx="377">
                  <c:v>233.88063112601901</c:v>
                </c:pt>
                <c:pt idx="378">
                  <c:v>233.91901969948998</c:v>
                </c:pt>
                <c:pt idx="379">
                  <c:v>230.32102745281335</c:v>
                </c:pt>
                <c:pt idx="380">
                  <c:v>224.60399969756543</c:v>
                </c:pt>
                <c:pt idx="381">
                  <c:v>224.60399969756543</c:v>
                </c:pt>
                <c:pt idx="382">
                  <c:v>224.60399969756543</c:v>
                </c:pt>
                <c:pt idx="383">
                  <c:v>229.18284233534499</c:v>
                </c:pt>
                <c:pt idx="384">
                  <c:v>228.03908967185848</c:v>
                </c:pt>
                <c:pt idx="385">
                  <c:v>234.14735782137117</c:v>
                </c:pt>
                <c:pt idx="386">
                  <c:v>234.31794124520576</c:v>
                </c:pt>
                <c:pt idx="387">
                  <c:v>232.72105219746231</c:v>
                </c:pt>
                <c:pt idx="388">
                  <c:v>232.72105219746231</c:v>
                </c:pt>
                <c:pt idx="389">
                  <c:v>232.72105219746231</c:v>
                </c:pt>
                <c:pt idx="390">
                  <c:v>232.51232077313281</c:v>
                </c:pt>
                <c:pt idx="391">
                  <c:v>231.24644295671061</c:v>
                </c:pt>
                <c:pt idx="392">
                  <c:v>226.77747343386994</c:v>
                </c:pt>
                <c:pt idx="393">
                  <c:v>223.36345077876913</c:v>
                </c:pt>
                <c:pt idx="394">
                  <c:v>223.36345077876913</c:v>
                </c:pt>
                <c:pt idx="395">
                  <c:v>223.36345077876913</c:v>
                </c:pt>
                <c:pt idx="396">
                  <c:v>223.36345077876913</c:v>
                </c:pt>
                <c:pt idx="397">
                  <c:v>225.3247219663748</c:v>
                </c:pt>
                <c:pt idx="398">
                  <c:v>225.60505821866022</c:v>
                </c:pt>
                <c:pt idx="399">
                  <c:v>224.63388229795308</c:v>
                </c:pt>
                <c:pt idx="400">
                  <c:v>224.01521452235954</c:v>
                </c:pt>
                <c:pt idx="401">
                  <c:v>226.85988686196615</c:v>
                </c:pt>
                <c:pt idx="402">
                  <c:v>226.85988686196615</c:v>
                </c:pt>
                <c:pt idx="403">
                  <c:v>226.85988686196615</c:v>
                </c:pt>
                <c:pt idx="404">
                  <c:v>224.54875383198382</c:v>
                </c:pt>
                <c:pt idx="405">
                  <c:v>218.93505216996826</c:v>
                </c:pt>
                <c:pt idx="406">
                  <c:v>220.27823983063661</c:v>
                </c:pt>
                <c:pt idx="407">
                  <c:v>218.20737046863616</c:v>
                </c:pt>
                <c:pt idx="408">
                  <c:v>221.46945410554966</c:v>
                </c:pt>
                <c:pt idx="409">
                  <c:v>221.46945410554966</c:v>
                </c:pt>
                <c:pt idx="410">
                  <c:v>221.46945410554966</c:v>
                </c:pt>
                <c:pt idx="411">
                  <c:v>221.46945410554966</c:v>
                </c:pt>
                <c:pt idx="412">
                  <c:v>221.15533453390705</c:v>
                </c:pt>
                <c:pt idx="413">
                  <c:v>220.81542210247034</c:v>
                </c:pt>
                <c:pt idx="414">
                  <c:v>221.66089864316842</c:v>
                </c:pt>
                <c:pt idx="415">
                  <c:v>220.03378331935721</c:v>
                </c:pt>
                <c:pt idx="416">
                  <c:v>220.03378331935721</c:v>
                </c:pt>
                <c:pt idx="417">
                  <c:v>220.03378331935721</c:v>
                </c:pt>
                <c:pt idx="418">
                  <c:v>220.03378331935721</c:v>
                </c:pt>
                <c:pt idx="419">
                  <c:v>219.45606450105166</c:v>
                </c:pt>
                <c:pt idx="420">
                  <c:v>220.08849648763459</c:v>
                </c:pt>
                <c:pt idx="421">
                  <c:v>218.96464264602778</c:v>
                </c:pt>
                <c:pt idx="422">
                  <c:v>219.19012825976387</c:v>
                </c:pt>
                <c:pt idx="423">
                  <c:v>219.19012825976387</c:v>
                </c:pt>
                <c:pt idx="424">
                  <c:v>219.19012825976387</c:v>
                </c:pt>
                <c:pt idx="425">
                  <c:v>219.34662098071294</c:v>
                </c:pt>
                <c:pt idx="426">
                  <c:v>217.51556850831011</c:v>
                </c:pt>
                <c:pt idx="427">
                  <c:v>216.43079059153459</c:v>
                </c:pt>
                <c:pt idx="428">
                  <c:v>213.76696039481465</c:v>
                </c:pt>
                <c:pt idx="429">
                  <c:v>212.6986789106856</c:v>
                </c:pt>
                <c:pt idx="430">
                  <c:v>212.6986789106856</c:v>
                </c:pt>
                <c:pt idx="431">
                  <c:v>212.6986789106856</c:v>
                </c:pt>
                <c:pt idx="432">
                  <c:v>213.17872510069699</c:v>
                </c:pt>
                <c:pt idx="433">
                  <c:v>212.02990322092847</c:v>
                </c:pt>
                <c:pt idx="434">
                  <c:v>216.21967062122818</c:v>
                </c:pt>
                <c:pt idx="435">
                  <c:v>215.1400478396547</c:v>
                </c:pt>
                <c:pt idx="436">
                  <c:v>214.18267049750494</c:v>
                </c:pt>
                <c:pt idx="437">
                  <c:v>214.18267049750494</c:v>
                </c:pt>
                <c:pt idx="438">
                  <c:v>214.18267049750494</c:v>
                </c:pt>
                <c:pt idx="439">
                  <c:v>212.68682209972093</c:v>
                </c:pt>
                <c:pt idx="440">
                  <c:v>212.20883796379036</c:v>
                </c:pt>
                <c:pt idx="441">
                  <c:v>212.30747288398882</c:v>
                </c:pt>
                <c:pt idx="442">
                  <c:v>209.62046176264383</c:v>
                </c:pt>
                <c:pt idx="443">
                  <c:v>209.74262128314751</c:v>
                </c:pt>
                <c:pt idx="444">
                  <c:v>209.74262128314751</c:v>
                </c:pt>
                <c:pt idx="445">
                  <c:v>209.74262128314751</c:v>
                </c:pt>
                <c:pt idx="446">
                  <c:v>207.8275916583039</c:v>
                </c:pt>
                <c:pt idx="447">
                  <c:v>207.8275916583039</c:v>
                </c:pt>
                <c:pt idx="448">
                  <c:v>206.84681000233698</c:v>
                </c:pt>
                <c:pt idx="449">
                  <c:v>204.15424851875784</c:v>
                </c:pt>
                <c:pt idx="450">
                  <c:v>203.71324388600965</c:v>
                </c:pt>
                <c:pt idx="451">
                  <c:v>203.71324388600965</c:v>
                </c:pt>
                <c:pt idx="452">
                  <c:v>203.71324388600965</c:v>
                </c:pt>
                <c:pt idx="453">
                  <c:v>204.56803403763936</c:v>
                </c:pt>
                <c:pt idx="454">
                  <c:v>202.79619688492363</c:v>
                </c:pt>
                <c:pt idx="455">
                  <c:v>204.47573993373936</c:v>
                </c:pt>
                <c:pt idx="456">
                  <c:v>204.90165720412966</c:v>
                </c:pt>
                <c:pt idx="457">
                  <c:v>203.27189557758138</c:v>
                </c:pt>
                <c:pt idx="458">
                  <c:v>203.27189557758138</c:v>
                </c:pt>
                <c:pt idx="459">
                  <c:v>203.27189557758138</c:v>
                </c:pt>
                <c:pt idx="460">
                  <c:v>201.21504818333037</c:v>
                </c:pt>
                <c:pt idx="461">
                  <c:v>202.53548451397387</c:v>
                </c:pt>
                <c:pt idx="462">
                  <c:v>198.53896594861362</c:v>
                </c:pt>
                <c:pt idx="463">
                  <c:v>201.28711697345452</c:v>
                </c:pt>
                <c:pt idx="464">
                  <c:v>204.40506303011975</c:v>
                </c:pt>
                <c:pt idx="465">
                  <c:v>204.40506303011975</c:v>
                </c:pt>
                <c:pt idx="466">
                  <c:v>204.40506303011975</c:v>
                </c:pt>
                <c:pt idx="467">
                  <c:v>204.3311212075389</c:v>
                </c:pt>
                <c:pt idx="468">
                  <c:v>199.17347717306134</c:v>
                </c:pt>
                <c:pt idx="469">
                  <c:v>191.78085863931926</c:v>
                </c:pt>
                <c:pt idx="470">
                  <c:v>188.29322065353372</c:v>
                </c:pt>
                <c:pt idx="471">
                  <c:v>187.50242291354496</c:v>
                </c:pt>
                <c:pt idx="472">
                  <c:v>187.50242291354496</c:v>
                </c:pt>
                <c:pt idx="473">
                  <c:v>187.50242291354496</c:v>
                </c:pt>
                <c:pt idx="474">
                  <c:v>192.21081409895112</c:v>
                </c:pt>
                <c:pt idx="475">
                  <c:v>189.10527473433871</c:v>
                </c:pt>
                <c:pt idx="476">
                  <c:v>196.43386648887179</c:v>
                </c:pt>
                <c:pt idx="477">
                  <c:v>195.18951995380999</c:v>
                </c:pt>
                <c:pt idx="478">
                  <c:v>198.44318353656024</c:v>
                </c:pt>
                <c:pt idx="479">
                  <c:v>198.44318353656024</c:v>
                </c:pt>
                <c:pt idx="480">
                  <c:v>198.44318353656024</c:v>
                </c:pt>
                <c:pt idx="481">
                  <c:v>197.71672188389263</c:v>
                </c:pt>
                <c:pt idx="482">
                  <c:v>197.35050107914165</c:v>
                </c:pt>
                <c:pt idx="483">
                  <c:v>197.89694541055499</c:v>
                </c:pt>
                <c:pt idx="484">
                  <c:v>197.25236448867932</c:v>
                </c:pt>
                <c:pt idx="485">
                  <c:v>200.56325007217191</c:v>
                </c:pt>
                <c:pt idx="486">
                  <c:v>200.56325007217191</c:v>
                </c:pt>
                <c:pt idx="487">
                  <c:v>200.56325007217191</c:v>
                </c:pt>
                <c:pt idx="488">
                  <c:v>201.29038189241578</c:v>
                </c:pt>
                <c:pt idx="489">
                  <c:v>202.23306709923983</c:v>
                </c:pt>
                <c:pt idx="490">
                  <c:v>203.86839627180623</c:v>
                </c:pt>
                <c:pt idx="491">
                  <c:v>204.08085657726517</c:v>
                </c:pt>
                <c:pt idx="492">
                  <c:v>198.98899206796531</c:v>
                </c:pt>
                <c:pt idx="493">
                  <c:v>198.98899206796531</c:v>
                </c:pt>
                <c:pt idx="494">
                  <c:v>198.98899206796531</c:v>
                </c:pt>
                <c:pt idx="495">
                  <c:v>196.25737184333889</c:v>
                </c:pt>
                <c:pt idx="496">
                  <c:v>195.28853291725667</c:v>
                </c:pt>
                <c:pt idx="497">
                  <c:v>191.67997264341585</c:v>
                </c:pt>
                <c:pt idx="498">
                  <c:v>194.73667569388121</c:v>
                </c:pt>
                <c:pt idx="499">
                  <c:v>190.31234964188994</c:v>
                </c:pt>
                <c:pt idx="500">
                  <c:v>190.31234964188994</c:v>
                </c:pt>
                <c:pt idx="501">
                  <c:v>190.31234964188994</c:v>
                </c:pt>
                <c:pt idx="502">
                  <c:v>194.63395103308912</c:v>
                </c:pt>
                <c:pt idx="503">
                  <c:v>191.90300097603895</c:v>
                </c:pt>
                <c:pt idx="504">
                  <c:v>190.48946290364711</c:v>
                </c:pt>
                <c:pt idx="505">
                  <c:v>191.04410390003164</c:v>
                </c:pt>
                <c:pt idx="506">
                  <c:v>187.53919621131931</c:v>
                </c:pt>
                <c:pt idx="507">
                  <c:v>187.53919621131931</c:v>
                </c:pt>
                <c:pt idx="508">
                  <c:v>187.53919621131931</c:v>
                </c:pt>
                <c:pt idx="509">
                  <c:v>183.39274913050053</c:v>
                </c:pt>
                <c:pt idx="510">
                  <c:v>182.71775291093303</c:v>
                </c:pt>
                <c:pt idx="511">
                  <c:v>188.39908994679902</c:v>
                </c:pt>
                <c:pt idx="512">
                  <c:v>185.22292522991904</c:v>
                </c:pt>
                <c:pt idx="513">
                  <c:v>185.46942661149527</c:v>
                </c:pt>
                <c:pt idx="514">
                  <c:v>185.46942661149527</c:v>
                </c:pt>
                <c:pt idx="515">
                  <c:v>185.46942661149527</c:v>
                </c:pt>
                <c:pt idx="516">
                  <c:v>187.47984342136016</c:v>
                </c:pt>
                <c:pt idx="517">
                  <c:v>189.88887246882862</c:v>
                </c:pt>
                <c:pt idx="518">
                  <c:v>192.29211058108686</c:v>
                </c:pt>
                <c:pt idx="519">
                  <c:v>189.99510262155809</c:v>
                </c:pt>
                <c:pt idx="520">
                  <c:v>186.50497298709158</c:v>
                </c:pt>
                <c:pt idx="521">
                  <c:v>186.50497298709158</c:v>
                </c:pt>
                <c:pt idx="522">
                  <c:v>186.50497298709158</c:v>
                </c:pt>
                <c:pt idx="523">
                  <c:v>187.63992755316664</c:v>
                </c:pt>
                <c:pt idx="524">
                  <c:v>191.45422927291975</c:v>
                </c:pt>
                <c:pt idx="525">
                  <c:v>186.4043619317323</c:v>
                </c:pt>
                <c:pt idx="526">
                  <c:v>194.40245109495072</c:v>
                </c:pt>
                <c:pt idx="527">
                  <c:v>194.40245109495072</c:v>
                </c:pt>
                <c:pt idx="528">
                  <c:v>194.40245109495072</c:v>
                </c:pt>
                <c:pt idx="529">
                  <c:v>194.40245109495072</c:v>
                </c:pt>
                <c:pt idx="530">
                  <c:v>196.89353271105125</c:v>
                </c:pt>
                <c:pt idx="531">
                  <c:v>207.17531240119325</c:v>
                </c:pt>
                <c:pt idx="532">
                  <c:v>205.16865884002584</c:v>
                </c:pt>
                <c:pt idx="533">
                  <c:v>202.34689248450027</c:v>
                </c:pt>
                <c:pt idx="534">
                  <c:v>200.97523129373275</c:v>
                </c:pt>
                <c:pt idx="535">
                  <c:v>200.97523129373275</c:v>
                </c:pt>
                <c:pt idx="536">
                  <c:v>200.97523129373275</c:v>
                </c:pt>
                <c:pt idx="537">
                  <c:v>199.76728001319714</c:v>
                </c:pt>
                <c:pt idx="538">
                  <c:v>200.44987146529562</c:v>
                </c:pt>
                <c:pt idx="539">
                  <c:v>197.03737816697139</c:v>
                </c:pt>
                <c:pt idx="540">
                  <c:v>195.54661616925341</c:v>
                </c:pt>
                <c:pt idx="541">
                  <c:v>194.3795451108698</c:v>
                </c:pt>
                <c:pt idx="542">
                  <c:v>194.3795451108698</c:v>
                </c:pt>
                <c:pt idx="543">
                  <c:v>194.3795451108698</c:v>
                </c:pt>
                <c:pt idx="544">
                  <c:v>193.5745363815075</c:v>
                </c:pt>
                <c:pt idx="545">
                  <c:v>191.5383782632006</c:v>
                </c:pt>
                <c:pt idx="546">
                  <c:v>192.6447046451205</c:v>
                </c:pt>
                <c:pt idx="547">
                  <c:v>191.25079045406432</c:v>
                </c:pt>
                <c:pt idx="548">
                  <c:v>189.35328828890752</c:v>
                </c:pt>
                <c:pt idx="549">
                  <c:v>189.35328828890752</c:v>
                </c:pt>
                <c:pt idx="550">
                  <c:v>189.35328828890752</c:v>
                </c:pt>
                <c:pt idx="551">
                  <c:v>189.75200362921521</c:v>
                </c:pt>
                <c:pt idx="552">
                  <c:v>189.23193640625215</c:v>
                </c:pt>
                <c:pt idx="553">
                  <c:v>185.28970141456909</c:v>
                </c:pt>
                <c:pt idx="554">
                  <c:v>188.47787759646977</c:v>
                </c:pt>
                <c:pt idx="555">
                  <c:v>189.21035357353975</c:v>
                </c:pt>
                <c:pt idx="556">
                  <c:v>189.21035357353975</c:v>
                </c:pt>
                <c:pt idx="557">
                  <c:v>189.21035357353975</c:v>
                </c:pt>
                <c:pt idx="558">
                  <c:v>190.87869279518307</c:v>
                </c:pt>
                <c:pt idx="559">
                  <c:v>188.99409565181529</c:v>
                </c:pt>
                <c:pt idx="560">
                  <c:v>188.01063332554335</c:v>
                </c:pt>
                <c:pt idx="561">
                  <c:v>187.35130871698996</c:v>
                </c:pt>
                <c:pt idx="562">
                  <c:v>184.64448469268521</c:v>
                </c:pt>
                <c:pt idx="563">
                  <c:v>184.64448469268521</c:v>
                </c:pt>
                <c:pt idx="564">
                  <c:v>184.64448469268521</c:v>
                </c:pt>
                <c:pt idx="565">
                  <c:v>181.93869169542089</c:v>
                </c:pt>
                <c:pt idx="566">
                  <c:v>181.16765530703984</c:v>
                </c:pt>
                <c:pt idx="567">
                  <c:v>178.74730214591096</c:v>
                </c:pt>
                <c:pt idx="568">
                  <c:v>181.05293636501108</c:v>
                </c:pt>
                <c:pt idx="569">
                  <c:v>178.07859519128991</c:v>
                </c:pt>
                <c:pt idx="570">
                  <c:v>178.07859519128991</c:v>
                </c:pt>
                <c:pt idx="571">
                  <c:v>178.07859519128991</c:v>
                </c:pt>
                <c:pt idx="572">
                  <c:v>179.76673013210893</c:v>
                </c:pt>
                <c:pt idx="573">
                  <c:v>183.97177391639059</c:v>
                </c:pt>
                <c:pt idx="574">
                  <c:v>183.52906808902577</c:v>
                </c:pt>
                <c:pt idx="575">
                  <c:v>185.01938330835958</c:v>
                </c:pt>
                <c:pt idx="576">
                  <c:v>180.48454834142117</c:v>
                </c:pt>
                <c:pt idx="577">
                  <c:v>180.48454834142117</c:v>
                </c:pt>
                <c:pt idx="578">
                  <c:v>180.48454834142117</c:v>
                </c:pt>
                <c:pt idx="579">
                  <c:v>179.9800152592002</c:v>
                </c:pt>
                <c:pt idx="580">
                  <c:v>181.29737569250651</c:v>
                </c:pt>
                <c:pt idx="581">
                  <c:v>180.23344170573114</c:v>
                </c:pt>
                <c:pt idx="582">
                  <c:v>178.5540017596195</c:v>
                </c:pt>
                <c:pt idx="583">
                  <c:v>182.44784721553964</c:v>
                </c:pt>
                <c:pt idx="584">
                  <c:v>182.44784721553964</c:v>
                </c:pt>
                <c:pt idx="585">
                  <c:v>182.44784721553964</c:v>
                </c:pt>
                <c:pt idx="586">
                  <c:v>181.25025775676011</c:v>
                </c:pt>
                <c:pt idx="587">
                  <c:v>180.30085369038946</c:v>
                </c:pt>
                <c:pt idx="588">
                  <c:v>177.74715436536849</c:v>
                </c:pt>
                <c:pt idx="589">
                  <c:v>179.28958800159467</c:v>
                </c:pt>
                <c:pt idx="590">
                  <c:v>175.40569195661442</c:v>
                </c:pt>
                <c:pt idx="591">
                  <c:v>175.40569195661442</c:v>
                </c:pt>
                <c:pt idx="592">
                  <c:v>175.40569195661442</c:v>
                </c:pt>
                <c:pt idx="593">
                  <c:v>175.40569195661442</c:v>
                </c:pt>
                <c:pt idx="594">
                  <c:v>174.49495140425887</c:v>
                </c:pt>
                <c:pt idx="595">
                  <c:v>172.84764513423971</c:v>
                </c:pt>
                <c:pt idx="596">
                  <c:v>169.67531240119328</c:v>
                </c:pt>
                <c:pt idx="597">
                  <c:v>167.66594380215278</c:v>
                </c:pt>
                <c:pt idx="598">
                  <c:v>167.66594380215278</c:v>
                </c:pt>
                <c:pt idx="599">
                  <c:v>167.66594380215278</c:v>
                </c:pt>
                <c:pt idx="600">
                  <c:v>172.13001594655157</c:v>
                </c:pt>
                <c:pt idx="601">
                  <c:v>170.27696823062013</c:v>
                </c:pt>
                <c:pt idx="602">
                  <c:v>174.09525658826283</c:v>
                </c:pt>
                <c:pt idx="603">
                  <c:v>172.80829426886436</c:v>
                </c:pt>
                <c:pt idx="604">
                  <c:v>170.91202933615605</c:v>
                </c:pt>
                <c:pt idx="605">
                  <c:v>170.91202933615605</c:v>
                </c:pt>
                <c:pt idx="606">
                  <c:v>170.91202933615605</c:v>
                </c:pt>
                <c:pt idx="607">
                  <c:v>170.85924075168745</c:v>
                </c:pt>
                <c:pt idx="608">
                  <c:v>170.30044127957328</c:v>
                </c:pt>
                <c:pt idx="609">
                  <c:v>170.04844108711492</c:v>
                </c:pt>
                <c:pt idx="610">
                  <c:v>167.12987847627949</c:v>
                </c:pt>
                <c:pt idx="611">
                  <c:v>164.77200555379903</c:v>
                </c:pt>
                <c:pt idx="612">
                  <c:v>164.77200555379903</c:v>
                </c:pt>
                <c:pt idx="613">
                  <c:v>164.77200555379903</c:v>
                </c:pt>
                <c:pt idx="614">
                  <c:v>163.12097040265044</c:v>
                </c:pt>
                <c:pt idx="615">
                  <c:v>172.187461336486</c:v>
                </c:pt>
                <c:pt idx="616">
                  <c:v>171.04314160812726</c:v>
                </c:pt>
                <c:pt idx="617">
                  <c:v>170.54467440166064</c:v>
                </c:pt>
                <c:pt idx="618">
                  <c:v>168.64304812834226</c:v>
                </c:pt>
                <c:pt idx="619">
                  <c:v>168.64304812834226</c:v>
                </c:pt>
                <c:pt idx="620">
                  <c:v>168.64304812834226</c:v>
                </c:pt>
                <c:pt idx="621">
                  <c:v>165.23605364090017</c:v>
                </c:pt>
                <c:pt idx="622">
                  <c:v>166.38905118018229</c:v>
                </c:pt>
                <c:pt idx="623">
                  <c:v>165.10824065545825</c:v>
                </c:pt>
                <c:pt idx="624">
                  <c:v>164.14034683749639</c:v>
                </c:pt>
                <c:pt idx="625">
                  <c:v>163.07191069931127</c:v>
                </c:pt>
                <c:pt idx="626">
                  <c:v>163.07191069931127</c:v>
                </c:pt>
                <c:pt idx="627">
                  <c:v>163.07191069931127</c:v>
                </c:pt>
                <c:pt idx="628">
                  <c:v>160.99468333722834</c:v>
                </c:pt>
                <c:pt idx="629">
                  <c:v>161.73992686581528</c:v>
                </c:pt>
                <c:pt idx="630">
                  <c:v>160.50032305513932</c:v>
                </c:pt>
                <c:pt idx="631">
                  <c:v>160.23168895976247</c:v>
                </c:pt>
                <c:pt idx="632">
                  <c:v>160.23168895976247</c:v>
                </c:pt>
                <c:pt idx="633">
                  <c:v>160.23168895976247</c:v>
                </c:pt>
                <c:pt idx="634">
                  <c:v>160.23168895976247</c:v>
                </c:pt>
                <c:pt idx="635">
                  <c:v>159.54938963199209</c:v>
                </c:pt>
                <c:pt idx="636">
                  <c:v>161.11130967928187</c:v>
                </c:pt>
                <c:pt idx="637">
                  <c:v>157.83484321515473</c:v>
                </c:pt>
                <c:pt idx="638">
                  <c:v>158.68928969110431</c:v>
                </c:pt>
                <c:pt idx="639">
                  <c:v>154.90425195551464</c:v>
                </c:pt>
                <c:pt idx="640">
                  <c:v>154.90425195551464</c:v>
                </c:pt>
                <c:pt idx="641">
                  <c:v>154.90425195551464</c:v>
                </c:pt>
                <c:pt idx="642">
                  <c:v>153.6869698802634</c:v>
                </c:pt>
                <c:pt idx="643">
                  <c:v>152.30274734338701</c:v>
                </c:pt>
                <c:pt idx="644">
                  <c:v>154.69789189337806</c:v>
                </c:pt>
                <c:pt idx="645">
                  <c:v>157.95925381136328</c:v>
                </c:pt>
                <c:pt idx="646">
                  <c:v>156.73880991985484</c:v>
                </c:pt>
                <c:pt idx="647">
                  <c:v>156.73880991985484</c:v>
                </c:pt>
                <c:pt idx="648">
                  <c:v>156.73880991985484</c:v>
                </c:pt>
                <c:pt idx="649">
                  <c:v>154.3045550774645</c:v>
                </c:pt>
                <c:pt idx="650">
                  <c:v>152.15189090359212</c:v>
                </c:pt>
                <c:pt idx="651">
                  <c:v>151.37403255296041</c:v>
                </c:pt>
                <c:pt idx="652">
                  <c:v>149.68304510399628</c:v>
                </c:pt>
                <c:pt idx="653">
                  <c:v>147.86556782095874</c:v>
                </c:pt>
                <c:pt idx="654">
                  <c:v>147.86556782095874</c:v>
                </c:pt>
                <c:pt idx="655">
                  <c:v>147.86556782095874</c:v>
                </c:pt>
                <c:pt idx="656">
                  <c:v>152.75612430062</c:v>
                </c:pt>
                <c:pt idx="657">
                  <c:v>153.18845112244477</c:v>
                </c:pt>
                <c:pt idx="658">
                  <c:v>147.9133902918494</c:v>
                </c:pt>
                <c:pt idx="659">
                  <c:v>150.01725251914274</c:v>
                </c:pt>
                <c:pt idx="660">
                  <c:v>148.37372668160512</c:v>
                </c:pt>
                <c:pt idx="661">
                  <c:v>148.37372668160512</c:v>
                </c:pt>
                <c:pt idx="662">
                  <c:v>148.37372668160512</c:v>
                </c:pt>
                <c:pt idx="663">
                  <c:v>145.9720007423395</c:v>
                </c:pt>
                <c:pt idx="664">
                  <c:v>145.98275779112768</c:v>
                </c:pt>
                <c:pt idx="665">
                  <c:v>141.99354233397028</c:v>
                </c:pt>
                <c:pt idx="666">
                  <c:v>147.10570089218206</c:v>
                </c:pt>
                <c:pt idx="667">
                  <c:v>148.64215457157391</c:v>
                </c:pt>
                <c:pt idx="668">
                  <c:v>148.64215457157391</c:v>
                </c:pt>
                <c:pt idx="669">
                  <c:v>148.64215457157391</c:v>
                </c:pt>
                <c:pt idx="670">
                  <c:v>146.61828285883178</c:v>
                </c:pt>
                <c:pt idx="671">
                  <c:v>144.22652351429005</c:v>
                </c:pt>
                <c:pt idx="672">
                  <c:v>146.33263681728829</c:v>
                </c:pt>
                <c:pt idx="673">
                  <c:v>140.7768616911593</c:v>
                </c:pt>
                <c:pt idx="674">
                  <c:v>140.10927168249867</c:v>
                </c:pt>
                <c:pt idx="675">
                  <c:v>140.10927168249867</c:v>
                </c:pt>
                <c:pt idx="676">
                  <c:v>140.10927168249867</c:v>
                </c:pt>
                <c:pt idx="677">
                  <c:v>140.10927168249867</c:v>
                </c:pt>
                <c:pt idx="678">
                  <c:v>139.03232957123024</c:v>
                </c:pt>
                <c:pt idx="679">
                  <c:v>135.5329722447521</c:v>
                </c:pt>
                <c:pt idx="680">
                  <c:v>135.97937258567836</c:v>
                </c:pt>
                <c:pt idx="681">
                  <c:v>126.69746573553469</c:v>
                </c:pt>
                <c:pt idx="682">
                  <c:v>126.69746573553469</c:v>
                </c:pt>
                <c:pt idx="683">
                  <c:v>126.69746573553469</c:v>
                </c:pt>
                <c:pt idx="684">
                  <c:v>128.66033501505299</c:v>
                </c:pt>
                <c:pt idx="685">
                  <c:v>126.48265125166685</c:v>
                </c:pt>
                <c:pt idx="686">
                  <c:v>132.3168208624885</c:v>
                </c:pt>
                <c:pt idx="687">
                  <c:v>133.58933161953729</c:v>
                </c:pt>
                <c:pt idx="688">
                  <c:v>128.91924308868207</c:v>
                </c:pt>
                <c:pt idx="689">
                  <c:v>128.91924308868207</c:v>
                </c:pt>
                <c:pt idx="690">
                  <c:v>128.91924308868207</c:v>
                </c:pt>
                <c:pt idx="691">
                  <c:v>133.99119159231819</c:v>
                </c:pt>
                <c:pt idx="692">
                  <c:v>126.89013032181791</c:v>
                </c:pt>
                <c:pt idx="693">
                  <c:v>127.46685248065106</c:v>
                </c:pt>
                <c:pt idx="694">
                  <c:v>117.89234015644116</c:v>
                </c:pt>
                <c:pt idx="695">
                  <c:v>118.21613419847958</c:v>
                </c:pt>
                <c:pt idx="696">
                  <c:v>118.21613419847958</c:v>
                </c:pt>
                <c:pt idx="697">
                  <c:v>118.21613419847958</c:v>
                </c:pt>
                <c:pt idx="698">
                  <c:v>122.87398787512203</c:v>
                </c:pt>
                <c:pt idx="699">
                  <c:v>120.11196953658771</c:v>
                </c:pt>
                <c:pt idx="700">
                  <c:v>126.03930962429375</c:v>
                </c:pt>
                <c:pt idx="701">
                  <c:v>118.6470175824478</c:v>
                </c:pt>
                <c:pt idx="702">
                  <c:v>135.320151079829</c:v>
                </c:pt>
                <c:pt idx="703">
                  <c:v>135.320151079829</c:v>
                </c:pt>
                <c:pt idx="704">
                  <c:v>135.320151079829</c:v>
                </c:pt>
                <c:pt idx="705">
                  <c:v>123.75421002708164</c:v>
                </c:pt>
                <c:pt idx="706">
                  <c:v>136.64632679433075</c:v>
                </c:pt>
                <c:pt idx="707">
                  <c:v>143.38584124932984</c:v>
                </c:pt>
                <c:pt idx="708">
                  <c:v>136.62269909132152</c:v>
                </c:pt>
                <c:pt idx="709">
                  <c:v>147.36156743604195</c:v>
                </c:pt>
                <c:pt idx="710">
                  <c:v>147.36156743604195</c:v>
                </c:pt>
                <c:pt idx="711">
                  <c:v>147.36156743604195</c:v>
                </c:pt>
                <c:pt idx="712">
                  <c:v>150.16212900210328</c:v>
                </c:pt>
                <c:pt idx="713">
                  <c:v>154.9648763454903</c:v>
                </c:pt>
                <c:pt idx="714">
                  <c:v>149.22552685481767</c:v>
                </c:pt>
                <c:pt idx="715">
                  <c:v>153.83206975241606</c:v>
                </c:pt>
                <c:pt idx="716">
                  <c:v>147.21980121798663</c:v>
                </c:pt>
                <c:pt idx="717">
                  <c:v>147.21980121798663</c:v>
                </c:pt>
                <c:pt idx="718">
                  <c:v>147.21980121798663</c:v>
                </c:pt>
                <c:pt idx="719">
                  <c:v>147.20454201778864</c:v>
                </c:pt>
                <c:pt idx="720">
                  <c:v>154.32369781284797</c:v>
                </c:pt>
                <c:pt idx="721">
                  <c:v>154.06315727973825</c:v>
                </c:pt>
                <c:pt idx="722">
                  <c:v>158.45648378538144</c:v>
                </c:pt>
                <c:pt idx="723">
                  <c:v>164.56205408080504</c:v>
                </c:pt>
                <c:pt idx="724">
                  <c:v>164.56205408080504</c:v>
                </c:pt>
                <c:pt idx="725">
                  <c:v>164.56205408080504</c:v>
                </c:pt>
                <c:pt idx="726">
                  <c:v>167.55847641697483</c:v>
                </c:pt>
                <c:pt idx="727">
                  <c:v>168.69630067497906</c:v>
                </c:pt>
                <c:pt idx="728">
                  <c:v>167.2453535048046</c:v>
                </c:pt>
                <c:pt idx="729">
                  <c:v>167.21842651526609</c:v>
                </c:pt>
                <c:pt idx="730">
                  <c:v>167.21842651526609</c:v>
                </c:pt>
                <c:pt idx="731">
                  <c:v>167.21842651526609</c:v>
                </c:pt>
                <c:pt idx="732">
                  <c:v>167.21842651526609</c:v>
                </c:pt>
                <c:pt idx="733">
                  <c:v>166.88836039206524</c:v>
                </c:pt>
                <c:pt idx="734">
                  <c:v>167.12883026545512</c:v>
                </c:pt>
                <c:pt idx="735">
                  <c:v>165.63349738119132</c:v>
                </c:pt>
                <c:pt idx="736">
                  <c:v>165.45215690856853</c:v>
                </c:pt>
                <c:pt idx="737">
                  <c:v>163.59842184127683</c:v>
                </c:pt>
                <c:pt idx="738">
                  <c:v>163.59842184127683</c:v>
                </c:pt>
                <c:pt idx="739">
                  <c:v>163.59842184127683</c:v>
                </c:pt>
                <c:pt idx="740">
                  <c:v>164.48582681495128</c:v>
                </c:pt>
                <c:pt idx="741">
                  <c:v>163.3951548602615</c:v>
                </c:pt>
                <c:pt idx="742">
                  <c:v>162.69562019713237</c:v>
                </c:pt>
                <c:pt idx="743">
                  <c:v>159.3521369753791</c:v>
                </c:pt>
                <c:pt idx="744">
                  <c:v>157.24770768321349</c:v>
                </c:pt>
                <c:pt idx="745">
                  <c:v>157.24770768321349</c:v>
                </c:pt>
                <c:pt idx="746">
                  <c:v>157.24770768321349</c:v>
                </c:pt>
                <c:pt idx="747">
                  <c:v>159.79087334863834</c:v>
                </c:pt>
                <c:pt idx="748">
                  <c:v>159.38241480279891</c:v>
                </c:pt>
                <c:pt idx="749">
                  <c:v>159.28819611509013</c:v>
                </c:pt>
                <c:pt idx="750">
                  <c:v>157.04792901035151</c:v>
                </c:pt>
                <c:pt idx="751">
                  <c:v>160.06541866571357</c:v>
                </c:pt>
                <c:pt idx="752">
                  <c:v>160.06541866571357</c:v>
                </c:pt>
                <c:pt idx="753">
                  <c:v>160.06541866571357</c:v>
                </c:pt>
                <c:pt idx="754">
                  <c:v>161.570151079829</c:v>
                </c:pt>
                <c:pt idx="755">
                  <c:v>161.24864248106348</c:v>
                </c:pt>
                <c:pt idx="756">
                  <c:v>161.02592345655253</c:v>
                </c:pt>
                <c:pt idx="757">
                  <c:v>161.33758574708219</c:v>
                </c:pt>
                <c:pt idx="758">
                  <c:v>161.33758574708219</c:v>
                </c:pt>
                <c:pt idx="759">
                  <c:v>161.33758574708219</c:v>
                </c:pt>
                <c:pt idx="760">
                  <c:v>161.33758574708219</c:v>
                </c:pt>
                <c:pt idx="761">
                  <c:v>160.79091802647679</c:v>
                </c:pt>
                <c:pt idx="762">
                  <c:v>159.09941506399241</c:v>
                </c:pt>
                <c:pt idx="763">
                  <c:v>158.97283931099901</c:v>
                </c:pt>
                <c:pt idx="764">
                  <c:v>159.36124438090263</c:v>
                </c:pt>
                <c:pt idx="765">
                  <c:v>157.72756485160087</c:v>
                </c:pt>
                <c:pt idx="766">
                  <c:v>157.72756485160087</c:v>
                </c:pt>
                <c:pt idx="767">
                  <c:v>157.72756485160087</c:v>
                </c:pt>
                <c:pt idx="768">
                  <c:v>158.14968450572565</c:v>
                </c:pt>
                <c:pt idx="769">
                  <c:v>156.87492267297199</c:v>
                </c:pt>
                <c:pt idx="770">
                  <c:v>155.83253715134106</c:v>
                </c:pt>
                <c:pt idx="771">
                  <c:v>155.88209518441639</c:v>
                </c:pt>
                <c:pt idx="772">
                  <c:v>155.0109632541963</c:v>
                </c:pt>
                <c:pt idx="773">
                  <c:v>155.0109632541963</c:v>
                </c:pt>
                <c:pt idx="774">
                  <c:v>155.0109632541963</c:v>
                </c:pt>
                <c:pt idx="775">
                  <c:v>156.23821192417142</c:v>
                </c:pt>
                <c:pt idx="776">
                  <c:v>154.18328911372916</c:v>
                </c:pt>
                <c:pt idx="777">
                  <c:v>154.18328911372916</c:v>
                </c:pt>
                <c:pt idx="778">
                  <c:v>153.72602862131066</c:v>
                </c:pt>
                <c:pt idx="779">
                  <c:v>154.76776115914933</c:v>
                </c:pt>
                <c:pt idx="780">
                  <c:v>154.76776115914933</c:v>
                </c:pt>
                <c:pt idx="781">
                  <c:v>154.76776115914933</c:v>
                </c:pt>
                <c:pt idx="782">
                  <c:v>155.03881816807117</c:v>
                </c:pt>
                <c:pt idx="783">
                  <c:v>153.84442489311687</c:v>
                </c:pt>
                <c:pt idx="784">
                  <c:v>153.84442489311687</c:v>
                </c:pt>
                <c:pt idx="785">
                  <c:v>153.72010021582832</c:v>
                </c:pt>
                <c:pt idx="786">
                  <c:v>153.3644989895935</c:v>
                </c:pt>
                <c:pt idx="787">
                  <c:v>153.3644989895935</c:v>
                </c:pt>
                <c:pt idx="788">
                  <c:v>153.3644989895935</c:v>
                </c:pt>
                <c:pt idx="789">
                  <c:v>152.71603453253238</c:v>
                </c:pt>
                <c:pt idx="790">
                  <c:v>151.69389150846132</c:v>
                </c:pt>
                <c:pt idx="791">
                  <c:v>151.61866090207994</c:v>
                </c:pt>
                <c:pt idx="792">
                  <c:v>151.46177295409871</c:v>
                </c:pt>
                <c:pt idx="793">
                  <c:v>150.09827406073438</c:v>
                </c:pt>
                <c:pt idx="794">
                  <c:v>150.09827406073438</c:v>
                </c:pt>
                <c:pt idx="795">
                  <c:v>150.09827406073438</c:v>
                </c:pt>
                <c:pt idx="796">
                  <c:v>149.79650962979255</c:v>
                </c:pt>
                <c:pt idx="797">
                  <c:v>148.70934316704012</c:v>
                </c:pt>
                <c:pt idx="798">
                  <c:v>148.0586276342741</c:v>
                </c:pt>
                <c:pt idx="799">
                  <c:v>148.15561291120795</c:v>
                </c:pt>
                <c:pt idx="800">
                  <c:v>148.75192458380877</c:v>
                </c:pt>
                <c:pt idx="801">
                  <c:v>148.75192458380877</c:v>
                </c:pt>
                <c:pt idx="802">
                  <c:v>148.75192458380877</c:v>
                </c:pt>
                <c:pt idx="803">
                  <c:v>147.27707477008096</c:v>
                </c:pt>
                <c:pt idx="804">
                  <c:v>147.20784130431795</c:v>
                </c:pt>
                <c:pt idx="805">
                  <c:v>146.41688891027314</c:v>
                </c:pt>
                <c:pt idx="806">
                  <c:v>147.23043798028675</c:v>
                </c:pt>
                <c:pt idx="807">
                  <c:v>148.90558198039673</c:v>
                </c:pt>
                <c:pt idx="808">
                  <c:v>148.90558198039673</c:v>
                </c:pt>
                <c:pt idx="809">
                  <c:v>148.90558198039673</c:v>
                </c:pt>
                <c:pt idx="810">
                  <c:v>149.58784694059909</c:v>
                </c:pt>
                <c:pt idx="811">
                  <c:v>149.58784694059909</c:v>
                </c:pt>
                <c:pt idx="812">
                  <c:v>148.60422996027108</c:v>
                </c:pt>
                <c:pt idx="813">
                  <c:v>148.33882641628747</c:v>
                </c:pt>
                <c:pt idx="814">
                  <c:v>146.40386360199608</c:v>
                </c:pt>
                <c:pt idx="815">
                  <c:v>146.40386360199608</c:v>
                </c:pt>
                <c:pt idx="816">
                  <c:v>146.40386360199608</c:v>
                </c:pt>
                <c:pt idx="817">
                  <c:v>146.16889253948833</c:v>
                </c:pt>
                <c:pt idx="818">
                  <c:v>146.52152097109001</c:v>
                </c:pt>
                <c:pt idx="819">
                  <c:v>147.27633586736869</c:v>
                </c:pt>
                <c:pt idx="820">
                  <c:v>146.92028786274969</c:v>
                </c:pt>
                <c:pt idx="821">
                  <c:v>146.76376077423259</c:v>
                </c:pt>
                <c:pt idx="822">
                  <c:v>146.76376077423259</c:v>
                </c:pt>
                <c:pt idx="823">
                  <c:v>146.76376077423259</c:v>
                </c:pt>
                <c:pt idx="824">
                  <c:v>145.7015967172099</c:v>
                </c:pt>
                <c:pt idx="825">
                  <c:v>145.75459150708662</c:v>
                </c:pt>
                <c:pt idx="826">
                  <c:v>145.82315480527336</c:v>
                </c:pt>
                <c:pt idx="827">
                  <c:v>145.44830774095104</c:v>
                </c:pt>
                <c:pt idx="828">
                  <c:v>145.63793079746506</c:v>
                </c:pt>
                <c:pt idx="829">
                  <c:v>145.63793079746506</c:v>
                </c:pt>
                <c:pt idx="830">
                  <c:v>145.63793079746506</c:v>
                </c:pt>
                <c:pt idx="831">
                  <c:v>144.93690114512736</c:v>
                </c:pt>
                <c:pt idx="832">
                  <c:v>144.52641491277512</c:v>
                </c:pt>
                <c:pt idx="833">
                  <c:v>144.93971928570448</c:v>
                </c:pt>
                <c:pt idx="834">
                  <c:v>144.91428728537457</c:v>
                </c:pt>
                <c:pt idx="835">
                  <c:v>144.11005182629256</c:v>
                </c:pt>
                <c:pt idx="836">
                  <c:v>144.11005182629256</c:v>
                </c:pt>
                <c:pt idx="837">
                  <c:v>144.11005182629256</c:v>
                </c:pt>
                <c:pt idx="838">
                  <c:v>142.49412314586974</c:v>
                </c:pt>
                <c:pt idx="839">
                  <c:v>142.69371279710765</c:v>
                </c:pt>
                <c:pt idx="840">
                  <c:v>142.22761983970969</c:v>
                </c:pt>
                <c:pt idx="841">
                  <c:v>143.07194506687929</c:v>
                </c:pt>
                <c:pt idx="842">
                  <c:v>141.64797643759539</c:v>
                </c:pt>
                <c:pt idx="843">
                  <c:v>141.64797643759539</c:v>
                </c:pt>
                <c:pt idx="844">
                  <c:v>141.64797643759539</c:v>
                </c:pt>
                <c:pt idx="845">
                  <c:v>140.66295038697882</c:v>
                </c:pt>
                <c:pt idx="846">
                  <c:v>139.52876909118405</c:v>
                </c:pt>
                <c:pt idx="847">
                  <c:v>139.26245480664807</c:v>
                </c:pt>
                <c:pt idx="848">
                  <c:v>140.2710054575698</c:v>
                </c:pt>
                <c:pt idx="849">
                  <c:v>139.00895962498109</c:v>
                </c:pt>
                <c:pt idx="850">
                  <c:v>139.00895962498109</c:v>
                </c:pt>
                <c:pt idx="851">
                  <c:v>139.00895962498109</c:v>
                </c:pt>
                <c:pt idx="852">
                  <c:v>140.16560012647267</c:v>
                </c:pt>
                <c:pt idx="853">
                  <c:v>139.60422308675751</c:v>
                </c:pt>
                <c:pt idx="854">
                  <c:v>140.02560383816999</c:v>
                </c:pt>
                <c:pt idx="855">
                  <c:v>138.30624596181079</c:v>
                </c:pt>
                <c:pt idx="856">
                  <c:v>138.45041790962705</c:v>
                </c:pt>
                <c:pt idx="857">
                  <c:v>138.45041790962705</c:v>
                </c:pt>
                <c:pt idx="858">
                  <c:v>138.45041790962705</c:v>
                </c:pt>
                <c:pt idx="859">
                  <c:v>136.62427999945012</c:v>
                </c:pt>
                <c:pt idx="860">
                  <c:v>135.81597198355857</c:v>
                </c:pt>
                <c:pt idx="861">
                  <c:v>134.4418191441101</c:v>
                </c:pt>
                <c:pt idx="862">
                  <c:v>136.71901420067911</c:v>
                </c:pt>
                <c:pt idx="863">
                  <c:v>137.16888566597473</c:v>
                </c:pt>
                <c:pt idx="864">
                  <c:v>137.16888566597473</c:v>
                </c:pt>
                <c:pt idx="865">
                  <c:v>137.16888566597473</c:v>
                </c:pt>
                <c:pt idx="866">
                  <c:v>135.2750951981634</c:v>
                </c:pt>
                <c:pt idx="867">
                  <c:v>133.77977949768365</c:v>
                </c:pt>
                <c:pt idx="868">
                  <c:v>135.90094579547173</c:v>
                </c:pt>
                <c:pt idx="869">
                  <c:v>137.45879328595191</c:v>
                </c:pt>
                <c:pt idx="870">
                  <c:v>136.43283546183142</c:v>
                </c:pt>
                <c:pt idx="871">
                  <c:v>136.43283546183142</c:v>
                </c:pt>
                <c:pt idx="872">
                  <c:v>136.43283546183142</c:v>
                </c:pt>
                <c:pt idx="873">
                  <c:v>137.99714405509809</c:v>
                </c:pt>
                <c:pt idx="874">
                  <c:v>138.80002199524353</c:v>
                </c:pt>
                <c:pt idx="875">
                  <c:v>137.36075979819367</c:v>
                </c:pt>
                <c:pt idx="876">
                  <c:v>139.40279477063086</c:v>
                </c:pt>
                <c:pt idx="877">
                  <c:v>139.49235665287384</c:v>
                </c:pt>
                <c:pt idx="878">
                  <c:v>139.49235665287384</c:v>
                </c:pt>
                <c:pt idx="879">
                  <c:v>139.49235665287384</c:v>
                </c:pt>
                <c:pt idx="880">
                  <c:v>140.61282528903126</c:v>
                </c:pt>
                <c:pt idx="881">
                  <c:v>140.51853786618645</c:v>
                </c:pt>
                <c:pt idx="882">
                  <c:v>140.66673081946027</c:v>
                </c:pt>
                <c:pt idx="883">
                  <c:v>140.10872180141044</c:v>
                </c:pt>
                <c:pt idx="884">
                  <c:v>140.50687007684587</c:v>
                </c:pt>
                <c:pt idx="885">
                  <c:v>140.50687007684587</c:v>
                </c:pt>
                <c:pt idx="886">
                  <c:v>140.50687007684587</c:v>
                </c:pt>
                <c:pt idx="887">
                  <c:v>140.81195097810101</c:v>
                </c:pt>
                <c:pt idx="888">
                  <c:v>140.38598215635869</c:v>
                </c:pt>
                <c:pt idx="889">
                  <c:v>138.91637339675296</c:v>
                </c:pt>
                <c:pt idx="890">
                  <c:v>138.97277057586297</c:v>
                </c:pt>
                <c:pt idx="891">
                  <c:v>139.24147340637586</c:v>
                </c:pt>
                <c:pt idx="892">
                  <c:v>139.24147340637586</c:v>
                </c:pt>
                <c:pt idx="893">
                  <c:v>139.24147340637586</c:v>
                </c:pt>
                <c:pt idx="894">
                  <c:v>139.47781917160415</c:v>
                </c:pt>
                <c:pt idx="895">
                  <c:v>137.07298296743332</c:v>
                </c:pt>
                <c:pt idx="896">
                  <c:v>135.30783030669619</c:v>
                </c:pt>
                <c:pt idx="897">
                  <c:v>136.83244435890737</c:v>
                </c:pt>
                <c:pt idx="898">
                  <c:v>136.83244435890737</c:v>
                </c:pt>
                <c:pt idx="899">
                  <c:v>136.83244435890737</c:v>
                </c:pt>
                <c:pt idx="900">
                  <c:v>136.83244435890737</c:v>
                </c:pt>
                <c:pt idx="901">
                  <c:v>137.01308029638594</c:v>
                </c:pt>
                <c:pt idx="902">
                  <c:v>135.01096325419627</c:v>
                </c:pt>
                <c:pt idx="903">
                  <c:v>134.49654949617147</c:v>
                </c:pt>
                <c:pt idx="904">
                  <c:v>134.95688588592719</c:v>
                </c:pt>
                <c:pt idx="905">
                  <c:v>133.20467261454712</c:v>
                </c:pt>
                <c:pt idx="906">
                  <c:v>133.20467261454712</c:v>
                </c:pt>
                <c:pt idx="907">
                  <c:v>133.20467261454712</c:v>
                </c:pt>
                <c:pt idx="908">
                  <c:v>137.32228530580264</c:v>
                </c:pt>
                <c:pt idx="909">
                  <c:v>137.81752196087595</c:v>
                </c:pt>
                <c:pt idx="910">
                  <c:v>136.58633820436333</c:v>
                </c:pt>
                <c:pt idx="911">
                  <c:v>137.51859285429526</c:v>
                </c:pt>
                <c:pt idx="912">
                  <c:v>135.68305541426668</c:v>
                </c:pt>
                <c:pt idx="913">
                  <c:v>135.68305541426668</c:v>
                </c:pt>
                <c:pt idx="914">
                  <c:v>135.68305541426668</c:v>
                </c:pt>
                <c:pt idx="915">
                  <c:v>133.45986899083076</c:v>
                </c:pt>
                <c:pt idx="916">
                  <c:v>133.58568865732786</c:v>
                </c:pt>
                <c:pt idx="917">
                  <c:v>137.75138157623414</c:v>
                </c:pt>
                <c:pt idx="918">
                  <c:v>135.12315617997609</c:v>
                </c:pt>
                <c:pt idx="919">
                  <c:v>136.76814263915429</c:v>
                </c:pt>
                <c:pt idx="920">
                  <c:v>136.76814263915429</c:v>
                </c:pt>
                <c:pt idx="921">
                  <c:v>136.76814263915429</c:v>
                </c:pt>
                <c:pt idx="922">
                  <c:v>138.14312030023507</c:v>
                </c:pt>
                <c:pt idx="923">
                  <c:v>135.11310366633217</c:v>
                </c:pt>
                <c:pt idx="924">
                  <c:v>134.60513382730986</c:v>
                </c:pt>
                <c:pt idx="925">
                  <c:v>132.76260258719051</c:v>
                </c:pt>
                <c:pt idx="926">
                  <c:v>137.54026160592772</c:v>
                </c:pt>
                <c:pt idx="927">
                  <c:v>137.54026160592772</c:v>
                </c:pt>
                <c:pt idx="928">
                  <c:v>137.54026160592772</c:v>
                </c:pt>
                <c:pt idx="929">
                  <c:v>139.37975131627786</c:v>
                </c:pt>
                <c:pt idx="930">
                  <c:v>140.48463426034121</c:v>
                </c:pt>
                <c:pt idx="931">
                  <c:v>142.17199593087994</c:v>
                </c:pt>
                <c:pt idx="932">
                  <c:v>142.5107742325722</c:v>
                </c:pt>
                <c:pt idx="933">
                  <c:v>143.14454655430765</c:v>
                </c:pt>
                <c:pt idx="934">
                  <c:v>143.14454655430765</c:v>
                </c:pt>
                <c:pt idx="935">
                  <c:v>143.14454655430765</c:v>
                </c:pt>
                <c:pt idx="936">
                  <c:v>141.56930907441264</c:v>
                </c:pt>
                <c:pt idx="937">
                  <c:v>142.99485861182518</c:v>
                </c:pt>
                <c:pt idx="938">
                  <c:v>141.79032690430694</c:v>
                </c:pt>
                <c:pt idx="939">
                  <c:v>140.97811816944588</c:v>
                </c:pt>
                <c:pt idx="940">
                  <c:v>139.98750738902712</c:v>
                </c:pt>
                <c:pt idx="941">
                  <c:v>139.98750738902712</c:v>
                </c:pt>
                <c:pt idx="942">
                  <c:v>139.98750738902712</c:v>
                </c:pt>
                <c:pt idx="943">
                  <c:v>141.0314910025707</c:v>
                </c:pt>
                <c:pt idx="944">
                  <c:v>140.65281195441489</c:v>
                </c:pt>
                <c:pt idx="945">
                  <c:v>141.29876757901104</c:v>
                </c:pt>
                <c:pt idx="946">
                  <c:v>141.90686732744044</c:v>
                </c:pt>
                <c:pt idx="947">
                  <c:v>141.66558981620224</c:v>
                </c:pt>
                <c:pt idx="948">
                  <c:v>141.66558981620224</c:v>
                </c:pt>
                <c:pt idx="949">
                  <c:v>141.66558981620224</c:v>
                </c:pt>
                <c:pt idx="950">
                  <c:v>140.83903262169557</c:v>
                </c:pt>
                <c:pt idx="951">
                  <c:v>140.95052101233111</c:v>
                </c:pt>
                <c:pt idx="952">
                  <c:v>139.90569539337119</c:v>
                </c:pt>
                <c:pt idx="953">
                  <c:v>139.16084709181641</c:v>
                </c:pt>
                <c:pt idx="954">
                  <c:v>140.2504536518978</c:v>
                </c:pt>
                <c:pt idx="955">
                  <c:v>140.2504536518978</c:v>
                </c:pt>
                <c:pt idx="956">
                  <c:v>140.2504536518978</c:v>
                </c:pt>
                <c:pt idx="957">
                  <c:v>140.39548478891439</c:v>
                </c:pt>
                <c:pt idx="958">
                  <c:v>140.39548478891439</c:v>
                </c:pt>
                <c:pt idx="959">
                  <c:v>139.34488541852826</c:v>
                </c:pt>
                <c:pt idx="960">
                  <c:v>139.03678017128797</c:v>
                </c:pt>
                <c:pt idx="961">
                  <c:v>137.57756760100628</c:v>
                </c:pt>
                <c:pt idx="962">
                  <c:v>137.57756760100628</c:v>
                </c:pt>
                <c:pt idx="963">
                  <c:v>137.57756760100628</c:v>
                </c:pt>
                <c:pt idx="964">
                  <c:v>136.91623248972411</c:v>
                </c:pt>
                <c:pt idx="965">
                  <c:v>135.92323316332843</c:v>
                </c:pt>
                <c:pt idx="966">
                  <c:v>135.48927388202301</c:v>
                </c:pt>
                <c:pt idx="967">
                  <c:v>137.56815088737062</c:v>
                </c:pt>
                <c:pt idx="968">
                  <c:v>138.01511829316914</c:v>
                </c:pt>
                <c:pt idx="969">
                  <c:v>138.01511829316914</c:v>
                </c:pt>
                <c:pt idx="970">
                  <c:v>138.01511829316914</c:v>
                </c:pt>
                <c:pt idx="971">
                  <c:v>138.35248752457284</c:v>
                </c:pt>
                <c:pt idx="972">
                  <c:v>137.25243322381539</c:v>
                </c:pt>
                <c:pt idx="973">
                  <c:v>136.67780748663102</c:v>
                </c:pt>
                <c:pt idx="974">
                  <c:v>134.80719794344475</c:v>
                </c:pt>
                <c:pt idx="975">
                  <c:v>133.97610422996027</c:v>
                </c:pt>
                <c:pt idx="976">
                  <c:v>133.97610422996027</c:v>
                </c:pt>
                <c:pt idx="977">
                  <c:v>133.97610422996027</c:v>
                </c:pt>
                <c:pt idx="978">
                  <c:v>134.67154915249577</c:v>
                </c:pt>
                <c:pt idx="979">
                  <c:v>133.90840012097385</c:v>
                </c:pt>
                <c:pt idx="980">
                  <c:v>134.42128452222209</c:v>
                </c:pt>
                <c:pt idx="981">
                  <c:v>134.43164634397812</c:v>
                </c:pt>
                <c:pt idx="982">
                  <c:v>133.03859134212226</c:v>
                </c:pt>
                <c:pt idx="983">
                  <c:v>133.03859134212226</c:v>
                </c:pt>
                <c:pt idx="984">
                  <c:v>133.03859134212226</c:v>
                </c:pt>
                <c:pt idx="985">
                  <c:v>130.86401784364134</c:v>
                </c:pt>
                <c:pt idx="986">
                  <c:v>130.17532614822048</c:v>
                </c:pt>
                <c:pt idx="987">
                  <c:v>129.34435272122406</c:v>
                </c:pt>
                <c:pt idx="988">
                  <c:v>126.00901461308993</c:v>
                </c:pt>
                <c:pt idx="989">
                  <c:v>128.07328540203181</c:v>
                </c:pt>
                <c:pt idx="990">
                  <c:v>128.07328540203181</c:v>
                </c:pt>
                <c:pt idx="991">
                  <c:v>128.07328540203181</c:v>
                </c:pt>
                <c:pt idx="992">
                  <c:v>130.0419971681124</c:v>
                </c:pt>
                <c:pt idx="993">
                  <c:v>129.69132768788751</c:v>
                </c:pt>
                <c:pt idx="994">
                  <c:v>130.72307644721829</c:v>
                </c:pt>
                <c:pt idx="995">
                  <c:v>131.23271311328926</c:v>
                </c:pt>
                <c:pt idx="996">
                  <c:v>131.23271311328926</c:v>
                </c:pt>
                <c:pt idx="997">
                  <c:v>131.23271311328926</c:v>
                </c:pt>
                <c:pt idx="998">
                  <c:v>131.23271311328926</c:v>
                </c:pt>
                <c:pt idx="999">
                  <c:v>131.08278459783071</c:v>
                </c:pt>
                <c:pt idx="1000">
                  <c:v>133.18881198190894</c:v>
                </c:pt>
                <c:pt idx="1001">
                  <c:v>133.78819955184693</c:v>
                </c:pt>
                <c:pt idx="1002">
                  <c:v>132.35594833867177</c:v>
                </c:pt>
                <c:pt idx="1003">
                  <c:v>134.31335317487594</c:v>
                </c:pt>
                <c:pt idx="1004">
                  <c:v>134.31335317487594</c:v>
                </c:pt>
                <c:pt idx="1005">
                  <c:v>134.31335317487594</c:v>
                </c:pt>
                <c:pt idx="1006">
                  <c:v>135.71831653904843</c:v>
                </c:pt>
                <c:pt idx="1007">
                  <c:v>134.41408451672328</c:v>
                </c:pt>
                <c:pt idx="1008">
                  <c:v>132.90787429718324</c:v>
                </c:pt>
                <c:pt idx="1009">
                  <c:v>131.40480871011647</c:v>
                </c:pt>
                <c:pt idx="1010">
                  <c:v>136.04298695407118</c:v>
                </c:pt>
                <c:pt idx="1011">
                  <c:v>136.04298695407118</c:v>
                </c:pt>
                <c:pt idx="1012">
                  <c:v>136.04298695407118</c:v>
                </c:pt>
                <c:pt idx="1013">
                  <c:v>135.93381837427657</c:v>
                </c:pt>
                <c:pt idx="1014">
                  <c:v>136.49627799238417</c:v>
                </c:pt>
                <c:pt idx="1015">
                  <c:v>136.84746298612927</c:v>
                </c:pt>
                <c:pt idx="1016">
                  <c:v>139.5888436000715</c:v>
                </c:pt>
                <c:pt idx="1017">
                  <c:v>140.28834389563258</c:v>
                </c:pt>
                <c:pt idx="1018">
                  <c:v>140.28834389563258</c:v>
                </c:pt>
                <c:pt idx="1019">
                  <c:v>140.28834389563258</c:v>
                </c:pt>
                <c:pt idx="1020">
                  <c:v>138.10215415916309</c:v>
                </c:pt>
                <c:pt idx="1021">
                  <c:v>138.32327509176142</c:v>
                </c:pt>
                <c:pt idx="1022">
                  <c:v>139.1093988425003</c:v>
                </c:pt>
                <c:pt idx="1023">
                  <c:v>140.25151904650622</c:v>
                </c:pt>
                <c:pt idx="1024">
                  <c:v>139.98594366468254</c:v>
                </c:pt>
                <c:pt idx="1025">
                  <c:v>139.98594366468254</c:v>
                </c:pt>
                <c:pt idx="1026">
                  <c:v>139.98594366468254</c:v>
                </c:pt>
                <c:pt idx="1027">
                  <c:v>139.50967790715259</c:v>
                </c:pt>
                <c:pt idx="1028">
                  <c:v>139.22327577911278</c:v>
                </c:pt>
                <c:pt idx="1029">
                  <c:v>139.54645120492694</c:v>
                </c:pt>
                <c:pt idx="1030">
                  <c:v>137.73259970031481</c:v>
                </c:pt>
                <c:pt idx="1031">
                  <c:v>137.43695269647941</c:v>
                </c:pt>
                <c:pt idx="1032">
                  <c:v>137.43695269647941</c:v>
                </c:pt>
                <c:pt idx="1033">
                  <c:v>137.43695269647941</c:v>
                </c:pt>
                <c:pt idx="1034">
                  <c:v>137.43695269647941</c:v>
                </c:pt>
                <c:pt idx="1035">
                  <c:v>137.40291162036212</c:v>
                </c:pt>
                <c:pt idx="1036">
                  <c:v>137.47413840506994</c:v>
                </c:pt>
                <c:pt idx="1037">
                  <c:v>137.05806744291547</c:v>
                </c:pt>
                <c:pt idx="1038">
                  <c:v>137.19814965013816</c:v>
                </c:pt>
                <c:pt idx="1039">
                  <c:v>137.19814965013816</c:v>
                </c:pt>
                <c:pt idx="1040">
                  <c:v>137.19814965013816</c:v>
                </c:pt>
                <c:pt idx="1041">
                  <c:v>136.56570047977127</c:v>
                </c:pt>
                <c:pt idx="1042">
                  <c:v>136.85584867272453</c:v>
                </c:pt>
                <c:pt idx="1043">
                  <c:v>135.9113248010118</c:v>
                </c:pt>
                <c:pt idx="1044">
                  <c:v>136.67782467041502</c:v>
                </c:pt>
                <c:pt idx="1045">
                  <c:v>136.41676862378512</c:v>
                </c:pt>
                <c:pt idx="1046">
                  <c:v>136.41676862378512</c:v>
                </c:pt>
                <c:pt idx="1047">
                  <c:v>136.41676862378512</c:v>
                </c:pt>
                <c:pt idx="1048">
                  <c:v>135.61071168359842</c:v>
                </c:pt>
                <c:pt idx="1049">
                  <c:v>135.6754773655197</c:v>
                </c:pt>
                <c:pt idx="1050">
                  <c:v>134.87017651182933</c:v>
                </c:pt>
                <c:pt idx="1051">
                  <c:v>134.53029844796063</c:v>
                </c:pt>
                <c:pt idx="1052">
                  <c:v>132.81898258251655</c:v>
                </c:pt>
                <c:pt idx="1053">
                  <c:v>132.81898258251655</c:v>
                </c:pt>
                <c:pt idx="1054">
                  <c:v>132.81898258251655</c:v>
                </c:pt>
                <c:pt idx="1055">
                  <c:v>131.785292055593</c:v>
                </c:pt>
                <c:pt idx="1056">
                  <c:v>131.34213944984398</c:v>
                </c:pt>
                <c:pt idx="1057">
                  <c:v>132.16945273084696</c:v>
                </c:pt>
                <c:pt idx="1058">
                  <c:v>131.24185488638082</c:v>
                </c:pt>
                <c:pt idx="1059">
                  <c:v>131.32993896319923</c:v>
                </c:pt>
                <c:pt idx="1060">
                  <c:v>131.32993896319923</c:v>
                </c:pt>
                <c:pt idx="1061">
                  <c:v>131.32993896319923</c:v>
                </c:pt>
                <c:pt idx="1062">
                  <c:v>134.70297829344403</c:v>
                </c:pt>
                <c:pt idx="1063">
                  <c:v>132.81291670676217</c:v>
                </c:pt>
                <c:pt idx="1064">
                  <c:v>132.72661974348048</c:v>
                </c:pt>
                <c:pt idx="1065">
                  <c:v>132.56392367650497</c:v>
                </c:pt>
                <c:pt idx="1066">
                  <c:v>132.11798729774685</c:v>
                </c:pt>
                <c:pt idx="1067">
                  <c:v>132.11798729774685</c:v>
                </c:pt>
                <c:pt idx="1068">
                  <c:v>132.11798729774685</c:v>
                </c:pt>
                <c:pt idx="1069">
                  <c:v>131.12790921463233</c:v>
                </c:pt>
                <c:pt idx="1070">
                  <c:v>131.34262059579615</c:v>
                </c:pt>
                <c:pt idx="1071">
                  <c:v>130.44263709222881</c:v>
                </c:pt>
                <c:pt idx="1072">
                  <c:v>129.87613928487966</c:v>
                </c:pt>
                <c:pt idx="1073">
                  <c:v>127.29991201902588</c:v>
                </c:pt>
                <c:pt idx="1074">
                  <c:v>127.29991201902588</c:v>
                </c:pt>
                <c:pt idx="1075">
                  <c:v>127.29991201902588</c:v>
                </c:pt>
                <c:pt idx="1076">
                  <c:v>127.52883438956326</c:v>
                </c:pt>
                <c:pt idx="1077">
                  <c:v>128.98010805163383</c:v>
                </c:pt>
                <c:pt idx="1078">
                  <c:v>130.19055098085039</c:v>
                </c:pt>
                <c:pt idx="1079">
                  <c:v>130.21127462436249</c:v>
                </c:pt>
                <c:pt idx="1080">
                  <c:v>130.51690540670583</c:v>
                </c:pt>
                <c:pt idx="1081">
                  <c:v>130.51690540670583</c:v>
                </c:pt>
                <c:pt idx="1082">
                  <c:v>130.51690540670583</c:v>
                </c:pt>
                <c:pt idx="1083">
                  <c:v>129.43740291162038</c:v>
                </c:pt>
                <c:pt idx="1084">
                  <c:v>129.8150509327358</c:v>
                </c:pt>
                <c:pt idx="1085">
                  <c:v>129.72550623427682</c:v>
                </c:pt>
                <c:pt idx="1086">
                  <c:v>129.81420892731947</c:v>
                </c:pt>
                <c:pt idx="1087">
                  <c:v>129.35170738077892</c:v>
                </c:pt>
                <c:pt idx="1088">
                  <c:v>129.35170738077892</c:v>
                </c:pt>
                <c:pt idx="1089">
                  <c:v>129.35170738077892</c:v>
                </c:pt>
                <c:pt idx="1090">
                  <c:v>128.18601102511582</c:v>
                </c:pt>
                <c:pt idx="1091">
                  <c:v>128.69054410733679</c:v>
                </c:pt>
                <c:pt idx="1092">
                  <c:v>128.65096985276935</c:v>
                </c:pt>
                <c:pt idx="1093">
                  <c:v>128.40427944956906</c:v>
                </c:pt>
                <c:pt idx="1094">
                  <c:v>128.40427944956906</c:v>
                </c:pt>
                <c:pt idx="1095">
                  <c:v>128.40427944956906</c:v>
                </c:pt>
                <c:pt idx="1096">
                  <c:v>128.40427944956906</c:v>
                </c:pt>
                <c:pt idx="1097">
                  <c:v>127.6231905475441</c:v>
                </c:pt>
                <c:pt idx="1098">
                  <c:v>127.51017280013197</c:v>
                </c:pt>
                <c:pt idx="1099">
                  <c:v>127.41121138803734</c:v>
                </c:pt>
                <c:pt idx="1100">
                  <c:v>125.57746106154543</c:v>
                </c:pt>
                <c:pt idx="1101">
                  <c:v>125.41065807019234</c:v>
                </c:pt>
                <c:pt idx="1102">
                  <c:v>125.41065807019234</c:v>
                </c:pt>
                <c:pt idx="1103">
                  <c:v>125.41065807019234</c:v>
                </c:pt>
                <c:pt idx="1104">
                  <c:v>125.24146653286228</c:v>
                </c:pt>
                <c:pt idx="1105">
                  <c:v>126.73523569278144</c:v>
                </c:pt>
                <c:pt idx="1106">
                  <c:v>127.19581265551325</c:v>
                </c:pt>
                <c:pt idx="1107">
                  <c:v>126.25847160551531</c:v>
                </c:pt>
                <c:pt idx="1108">
                  <c:v>124.82073876524203</c:v>
                </c:pt>
                <c:pt idx="1109">
                  <c:v>124.82073876524203</c:v>
                </c:pt>
                <c:pt idx="1110">
                  <c:v>124.82073876524203</c:v>
                </c:pt>
                <c:pt idx="1111">
                  <c:v>125.1277958016579</c:v>
                </c:pt>
                <c:pt idx="1112">
                  <c:v>123.43247803912405</c:v>
                </c:pt>
                <c:pt idx="1113">
                  <c:v>120.77261729650964</c:v>
                </c:pt>
                <c:pt idx="1114">
                  <c:v>121.75888057957469</c:v>
                </c:pt>
                <c:pt idx="1115">
                  <c:v>123.11947541344183</c:v>
                </c:pt>
                <c:pt idx="1116">
                  <c:v>123.11947541344183</c:v>
                </c:pt>
                <c:pt idx="1117">
                  <c:v>123.11947541344183</c:v>
                </c:pt>
                <c:pt idx="1118">
                  <c:v>121.54884318766068</c:v>
                </c:pt>
                <c:pt idx="1119">
                  <c:v>120.7292626094607</c:v>
                </c:pt>
                <c:pt idx="1120">
                  <c:v>120.6362811542004</c:v>
                </c:pt>
                <c:pt idx="1121">
                  <c:v>122.98826003876661</c:v>
                </c:pt>
                <c:pt idx="1122">
                  <c:v>122.98826003876661</c:v>
                </c:pt>
                <c:pt idx="1123">
                  <c:v>122.98826003876661</c:v>
                </c:pt>
                <c:pt idx="1124">
                  <c:v>122.98826003876661</c:v>
                </c:pt>
                <c:pt idx="1125">
                  <c:v>121.73788199551848</c:v>
                </c:pt>
                <c:pt idx="1126">
                  <c:v>120.88264506550459</c:v>
                </c:pt>
                <c:pt idx="1127">
                  <c:v>120.69604635497575</c:v>
                </c:pt>
                <c:pt idx="1128">
                  <c:v>118.66975172868868</c:v>
                </c:pt>
                <c:pt idx="1129">
                  <c:v>119.7963377919525</c:v>
                </c:pt>
                <c:pt idx="1130">
                  <c:v>119.7963377919525</c:v>
                </c:pt>
                <c:pt idx="1131">
                  <c:v>119.7963377919525</c:v>
                </c:pt>
                <c:pt idx="1132">
                  <c:v>120.04708356817839</c:v>
                </c:pt>
                <c:pt idx="1133">
                  <c:v>119.5488913022559</c:v>
                </c:pt>
                <c:pt idx="1134">
                  <c:v>118.51652392670084</c:v>
                </c:pt>
                <c:pt idx="1135">
                  <c:v>117.2530518400396</c:v>
                </c:pt>
                <c:pt idx="1136">
                  <c:v>115.79906314009595</c:v>
                </c:pt>
                <c:pt idx="1137">
                  <c:v>115.79906314009595</c:v>
                </c:pt>
                <c:pt idx="1138">
                  <c:v>115.79906314009595</c:v>
                </c:pt>
                <c:pt idx="1139">
                  <c:v>111.06745666249674</c:v>
                </c:pt>
                <c:pt idx="1140">
                  <c:v>114.54603879411079</c:v>
                </c:pt>
                <c:pt idx="1141">
                  <c:v>114.01916679268109</c:v>
                </c:pt>
                <c:pt idx="1142">
                  <c:v>114.01916679268109</c:v>
                </c:pt>
                <c:pt idx="1143">
                  <c:v>113.14700383542061</c:v>
                </c:pt>
                <c:pt idx="1144">
                  <c:v>113.14700383542061</c:v>
                </c:pt>
                <c:pt idx="1145">
                  <c:v>113.14700383542061</c:v>
                </c:pt>
                <c:pt idx="1146">
                  <c:v>113.06056940186686</c:v>
                </c:pt>
                <c:pt idx="1147">
                  <c:v>112.62862062329022</c:v>
                </c:pt>
                <c:pt idx="1148">
                  <c:v>106.4177824670415</c:v>
                </c:pt>
                <c:pt idx="1149">
                  <c:v>106.4177824670415</c:v>
                </c:pt>
                <c:pt idx="1150">
                  <c:v>108.82481819556521</c:v>
                </c:pt>
                <c:pt idx="1151">
                  <c:v>108.82481819556521</c:v>
                </c:pt>
                <c:pt idx="1152">
                  <c:v>108.82481819556521</c:v>
                </c:pt>
                <c:pt idx="1153">
                  <c:v>112.18273579588416</c:v>
                </c:pt>
                <c:pt idx="1154">
                  <c:v>114.04580165789149</c:v>
                </c:pt>
                <c:pt idx="1155">
                  <c:v>116.57326134473421</c:v>
                </c:pt>
                <c:pt idx="1156">
                  <c:v>116.05468911097975</c:v>
                </c:pt>
                <c:pt idx="1157">
                  <c:v>118.75137470272054</c:v>
                </c:pt>
                <c:pt idx="1158">
                  <c:v>118.75137470272054</c:v>
                </c:pt>
                <c:pt idx="1159">
                  <c:v>118.75137470272054</c:v>
                </c:pt>
                <c:pt idx="1160">
                  <c:v>121.49509231128771</c:v>
                </c:pt>
                <c:pt idx="1161">
                  <c:v>121.97586022022737</c:v>
                </c:pt>
                <c:pt idx="1162">
                  <c:v>120.83346507567741</c:v>
                </c:pt>
                <c:pt idx="1163">
                  <c:v>120.63909929477752</c:v>
                </c:pt>
                <c:pt idx="1164">
                  <c:v>119.75812105632157</c:v>
                </c:pt>
                <c:pt idx="1165">
                  <c:v>119.75812105632157</c:v>
                </c:pt>
                <c:pt idx="1166">
                  <c:v>119.75812105632157</c:v>
                </c:pt>
                <c:pt idx="1167">
                  <c:v>123.52149004027879</c:v>
                </c:pt>
                <c:pt idx="1168">
                  <c:v>123.00884621200667</c:v>
                </c:pt>
                <c:pt idx="1169">
                  <c:v>123.00884621200667</c:v>
                </c:pt>
                <c:pt idx="1170">
                  <c:v>127.87333489132975</c:v>
                </c:pt>
                <c:pt idx="1171">
                  <c:v>125.96634727740128</c:v>
                </c:pt>
                <c:pt idx="1172">
                  <c:v>125.96634727740128</c:v>
                </c:pt>
                <c:pt idx="1173">
                  <c:v>125.96634727740128</c:v>
                </c:pt>
                <c:pt idx="1174">
                  <c:v>124.97907015107985</c:v>
                </c:pt>
                <c:pt idx="1175">
                  <c:v>125.29714199304401</c:v>
                </c:pt>
                <c:pt idx="1176">
                  <c:v>121.70758698431466</c:v>
                </c:pt>
                <c:pt idx="1177">
                  <c:v>121.69303231926096</c:v>
                </c:pt>
                <c:pt idx="1178">
                  <c:v>119.23800228200653</c:v>
                </c:pt>
                <c:pt idx="1179">
                  <c:v>119.23800228200653</c:v>
                </c:pt>
                <c:pt idx="1180">
                  <c:v>119.23800228200653</c:v>
                </c:pt>
                <c:pt idx="1181">
                  <c:v>119.80965522455772</c:v>
                </c:pt>
                <c:pt idx="1182">
                  <c:v>119.80965522455772</c:v>
                </c:pt>
                <c:pt idx="1183">
                  <c:v>118.71972217258021</c:v>
                </c:pt>
                <c:pt idx="1184">
                  <c:v>120.7758306641189</c:v>
                </c:pt>
                <c:pt idx="1185">
                  <c:v>124.54588414005472</c:v>
                </c:pt>
                <c:pt idx="1186">
                  <c:v>124.54588414005472</c:v>
                </c:pt>
                <c:pt idx="1187">
                  <c:v>124.54588414005472</c:v>
                </c:pt>
                <c:pt idx="1188">
                  <c:v>124.73763798578558</c:v>
                </c:pt>
                <c:pt idx="1189">
                  <c:v>122.63023589898685</c:v>
                </c:pt>
                <c:pt idx="1190">
                  <c:v>123.73828065930743</c:v>
                </c:pt>
                <c:pt idx="1191">
                  <c:v>123.73817755660339</c:v>
                </c:pt>
                <c:pt idx="1192">
                  <c:v>127.27860412685759</c:v>
                </c:pt>
                <c:pt idx="1193">
                  <c:v>127.27860412685759</c:v>
                </c:pt>
                <c:pt idx="1194">
                  <c:v>127.27860412685759</c:v>
                </c:pt>
                <c:pt idx="1195">
                  <c:v>129.40910121936133</c:v>
                </c:pt>
                <c:pt idx="1196">
                  <c:v>130.09420150392478</c:v>
                </c:pt>
                <c:pt idx="1197">
                  <c:v>126.74697221725803</c:v>
                </c:pt>
                <c:pt idx="1198">
                  <c:v>125.93739260134996</c:v>
                </c:pt>
                <c:pt idx="1199">
                  <c:v>126.42099583465077</c:v>
                </c:pt>
                <c:pt idx="1200">
                  <c:v>126.42099583465077</c:v>
                </c:pt>
                <c:pt idx="1201">
                  <c:v>126.42099583465077</c:v>
                </c:pt>
                <c:pt idx="1202">
                  <c:v>127.74522978155973</c:v>
                </c:pt>
                <c:pt idx="1203">
                  <c:v>125.542990390828</c:v>
                </c:pt>
                <c:pt idx="1204">
                  <c:v>123.06424673164429</c:v>
                </c:pt>
                <c:pt idx="1205">
                  <c:v>121.15069491222525</c:v>
                </c:pt>
                <c:pt idx="1206">
                  <c:v>123.15982293828962</c:v>
                </c:pt>
                <c:pt idx="1207">
                  <c:v>123.15982293828962</c:v>
                </c:pt>
                <c:pt idx="1208">
                  <c:v>123.15982293828962</c:v>
                </c:pt>
                <c:pt idx="1209">
                  <c:v>125.75670511251944</c:v>
                </c:pt>
                <c:pt idx="1210">
                  <c:v>122.14922741707106</c:v>
                </c:pt>
                <c:pt idx="1211">
                  <c:v>127.80506371747111</c:v>
                </c:pt>
                <c:pt idx="1212">
                  <c:v>128.33930756223967</c:v>
                </c:pt>
                <c:pt idx="1213">
                  <c:v>128.00245384435615</c:v>
                </c:pt>
                <c:pt idx="1214">
                  <c:v>128.00245384435615</c:v>
                </c:pt>
                <c:pt idx="1215">
                  <c:v>128.00245384435615</c:v>
                </c:pt>
                <c:pt idx="1216">
                  <c:v>128.62301183619041</c:v>
                </c:pt>
                <c:pt idx="1217">
                  <c:v>131.33055757942347</c:v>
                </c:pt>
                <c:pt idx="1218">
                  <c:v>131.37843160166614</c:v>
                </c:pt>
                <c:pt idx="1219">
                  <c:v>127.68829990514551</c:v>
                </c:pt>
                <c:pt idx="1220">
                  <c:v>128.8250072171893</c:v>
                </c:pt>
                <c:pt idx="1221">
                  <c:v>128.8250072171893</c:v>
                </c:pt>
                <c:pt idx="1222">
                  <c:v>128.8250072171893</c:v>
                </c:pt>
                <c:pt idx="1223">
                  <c:v>125.94100119599136</c:v>
                </c:pt>
                <c:pt idx="1224">
                  <c:v>127.5389040869912</c:v>
                </c:pt>
                <c:pt idx="1225">
                  <c:v>132.96839558445487</c:v>
                </c:pt>
                <c:pt idx="1226">
                  <c:v>132.93287670291301</c:v>
                </c:pt>
                <c:pt idx="1227">
                  <c:v>133.83499099569721</c:v>
                </c:pt>
                <c:pt idx="1228">
                  <c:v>133.83499099569721</c:v>
                </c:pt>
                <c:pt idx="1229">
                  <c:v>133.83499099569721</c:v>
                </c:pt>
                <c:pt idx="1230">
                  <c:v>135.3997979187001</c:v>
                </c:pt>
                <c:pt idx="1231">
                  <c:v>137.90132727547669</c:v>
                </c:pt>
                <c:pt idx="1232">
                  <c:v>137.46248779951335</c:v>
                </c:pt>
                <c:pt idx="1233">
                  <c:v>138.11126156468666</c:v>
                </c:pt>
                <c:pt idx="1234">
                  <c:v>138.26679199373137</c:v>
                </c:pt>
                <c:pt idx="1235">
                  <c:v>138.26679199373137</c:v>
                </c:pt>
                <c:pt idx="1236">
                  <c:v>138.26679199373137</c:v>
                </c:pt>
                <c:pt idx="1237">
                  <c:v>138.19144110086194</c:v>
                </c:pt>
                <c:pt idx="1238">
                  <c:v>137.30472347854777</c:v>
                </c:pt>
                <c:pt idx="1239">
                  <c:v>137.59865210398252</c:v>
                </c:pt>
                <c:pt idx="1240">
                  <c:v>137.35424714405511</c:v>
                </c:pt>
                <c:pt idx="1241">
                  <c:v>137.24610959130089</c:v>
                </c:pt>
                <c:pt idx="1242">
                  <c:v>137.24610959130089</c:v>
                </c:pt>
                <c:pt idx="1243">
                  <c:v>137.24610959130089</c:v>
                </c:pt>
                <c:pt idx="1244">
                  <c:v>137.95540464374579</c:v>
                </c:pt>
                <c:pt idx="1245">
                  <c:v>136.61173583712522</c:v>
                </c:pt>
                <c:pt idx="1246">
                  <c:v>136.71602422226195</c:v>
                </c:pt>
                <c:pt idx="1247">
                  <c:v>135.67958428989732</c:v>
                </c:pt>
                <c:pt idx="1248">
                  <c:v>137.64286598023179</c:v>
                </c:pt>
                <c:pt idx="1249">
                  <c:v>137.64286598023179</c:v>
                </c:pt>
                <c:pt idx="1250">
                  <c:v>137.64286598023179</c:v>
                </c:pt>
                <c:pt idx="1251">
                  <c:v>137.70586173240039</c:v>
                </c:pt>
                <c:pt idx="1252">
                  <c:v>136.68375307589736</c:v>
                </c:pt>
                <c:pt idx="1253">
                  <c:v>136.99727121509974</c:v>
                </c:pt>
                <c:pt idx="1254">
                  <c:v>136.16705387459962</c:v>
                </c:pt>
                <c:pt idx="1255">
                  <c:v>135.79555764815859</c:v>
                </c:pt>
                <c:pt idx="1256">
                  <c:v>135.79555764815859</c:v>
                </c:pt>
                <c:pt idx="1257">
                  <c:v>135.79555764815859</c:v>
                </c:pt>
                <c:pt idx="1258">
                  <c:v>136.14241232833399</c:v>
                </c:pt>
                <c:pt idx="1259">
                  <c:v>137.38732592826801</c:v>
                </c:pt>
                <c:pt idx="1260">
                  <c:v>139.03822360914452</c:v>
                </c:pt>
                <c:pt idx="1261">
                  <c:v>139.35253220241123</c:v>
                </c:pt>
                <c:pt idx="1262">
                  <c:v>139.35253220241123</c:v>
                </c:pt>
                <c:pt idx="1263">
                  <c:v>139.35253220241123</c:v>
                </c:pt>
                <c:pt idx="1264">
                  <c:v>139.35253220241123</c:v>
                </c:pt>
                <c:pt idx="1265">
                  <c:v>138.98868275985319</c:v>
                </c:pt>
                <c:pt idx="1266">
                  <c:v>139.35510977001223</c:v>
                </c:pt>
                <c:pt idx="1267">
                  <c:v>137.9864385576619</c:v>
                </c:pt>
                <c:pt idx="1268">
                  <c:v>137.77777586846847</c:v>
                </c:pt>
                <c:pt idx="1269">
                  <c:v>136.54191812270597</c:v>
                </c:pt>
                <c:pt idx="1270">
                  <c:v>136.54191812270597</c:v>
                </c:pt>
                <c:pt idx="1271">
                  <c:v>136.54191812270597</c:v>
                </c:pt>
                <c:pt idx="1272">
                  <c:v>135.38172057792502</c:v>
                </c:pt>
                <c:pt idx="1273">
                  <c:v>135.56453885597239</c:v>
                </c:pt>
                <c:pt idx="1274">
                  <c:v>135.05033130335568</c:v>
                </c:pt>
                <c:pt idx="1275">
                  <c:v>134.39447781917161</c:v>
                </c:pt>
                <c:pt idx="1276">
                  <c:v>134.31412644515623</c:v>
                </c:pt>
                <c:pt idx="1277">
                  <c:v>134.31412644515623</c:v>
                </c:pt>
                <c:pt idx="1278">
                  <c:v>134.31412644515623</c:v>
                </c:pt>
                <c:pt idx="1279">
                  <c:v>134.14562225918647</c:v>
                </c:pt>
                <c:pt idx="1280">
                  <c:v>133.58876455466506</c:v>
                </c:pt>
                <c:pt idx="1281">
                  <c:v>135.25174243569828</c:v>
                </c:pt>
                <c:pt idx="1282">
                  <c:v>134.37213889996289</c:v>
                </c:pt>
                <c:pt idx="1283">
                  <c:v>134.70557304482907</c:v>
                </c:pt>
                <c:pt idx="1284">
                  <c:v>134.70557304482907</c:v>
                </c:pt>
                <c:pt idx="1285">
                  <c:v>134.70557304482907</c:v>
                </c:pt>
                <c:pt idx="1286">
                  <c:v>135.61067731603043</c:v>
                </c:pt>
                <c:pt idx="1287">
                  <c:v>135.55129015850324</c:v>
                </c:pt>
                <c:pt idx="1288">
                  <c:v>135.47117935746397</c:v>
                </c:pt>
                <c:pt idx="1289">
                  <c:v>135.05900911427904</c:v>
                </c:pt>
                <c:pt idx="1290">
                  <c:v>134.23997841716729</c:v>
                </c:pt>
                <c:pt idx="1291">
                  <c:v>134.23997841716729</c:v>
                </c:pt>
                <c:pt idx="1292">
                  <c:v>134.23997841716729</c:v>
                </c:pt>
                <c:pt idx="1293">
                  <c:v>134.0796537123847</c:v>
                </c:pt>
                <c:pt idx="1294">
                  <c:v>132.44033790192873</c:v>
                </c:pt>
                <c:pt idx="1295">
                  <c:v>131.83036512104258</c:v>
                </c:pt>
                <c:pt idx="1296">
                  <c:v>131.11234070632227</c:v>
                </c:pt>
                <c:pt idx="1297">
                  <c:v>132.95813686540285</c:v>
                </c:pt>
                <c:pt idx="1298">
                  <c:v>132.95813686540285</c:v>
                </c:pt>
                <c:pt idx="1299">
                  <c:v>132.95813686540285</c:v>
                </c:pt>
                <c:pt idx="1300">
                  <c:v>134.93025102071678</c:v>
                </c:pt>
                <c:pt idx="1301">
                  <c:v>136.30588166558982</c:v>
                </c:pt>
                <c:pt idx="1302">
                  <c:v>134.73406375871221</c:v>
                </c:pt>
                <c:pt idx="1303">
                  <c:v>134.75305184003957</c:v>
                </c:pt>
                <c:pt idx="1304">
                  <c:v>134.38059332169422</c:v>
                </c:pt>
                <c:pt idx="1305">
                  <c:v>134.38059332169422</c:v>
                </c:pt>
                <c:pt idx="1306">
                  <c:v>134.38059332169422</c:v>
                </c:pt>
                <c:pt idx="1307">
                  <c:v>134.4681962525604</c:v>
                </c:pt>
                <c:pt idx="1308">
                  <c:v>134.96906918878796</c:v>
                </c:pt>
                <c:pt idx="1309">
                  <c:v>134.98065105920847</c:v>
                </c:pt>
                <c:pt idx="1310">
                  <c:v>134.13178931306106</c:v>
                </c:pt>
                <c:pt idx="1311">
                  <c:v>134.47988122568495</c:v>
                </c:pt>
                <c:pt idx="1312">
                  <c:v>134.47988122568495</c:v>
                </c:pt>
                <c:pt idx="1313">
                  <c:v>134.47988122568495</c:v>
                </c:pt>
                <c:pt idx="1314">
                  <c:v>134.44448263063114</c:v>
                </c:pt>
                <c:pt idx="1315">
                  <c:v>132.60057668779129</c:v>
                </c:pt>
                <c:pt idx="1316">
                  <c:v>133.33238249728498</c:v>
                </c:pt>
                <c:pt idx="1317">
                  <c:v>133.28088269661686</c:v>
                </c:pt>
                <c:pt idx="1318">
                  <c:v>132.11558156798594</c:v>
                </c:pt>
                <c:pt idx="1319">
                  <c:v>132.11558156798594</c:v>
                </c:pt>
                <c:pt idx="1320">
                  <c:v>132.11558156798594</c:v>
                </c:pt>
                <c:pt idx="1321">
                  <c:v>130.36352295066192</c:v>
                </c:pt>
                <c:pt idx="1322">
                  <c:v>128.92432948874807</c:v>
                </c:pt>
                <c:pt idx="1323">
                  <c:v>128.92432948874807</c:v>
                </c:pt>
                <c:pt idx="1324">
                  <c:v>130.04149883837621</c:v>
                </c:pt>
                <c:pt idx="1325">
                  <c:v>129.05544176071925</c:v>
                </c:pt>
                <c:pt idx="1326">
                  <c:v>129.05544176071925</c:v>
                </c:pt>
                <c:pt idx="1327">
                  <c:v>129.05544176071925</c:v>
                </c:pt>
                <c:pt idx="1328">
                  <c:v>128.94166792681082</c:v>
                </c:pt>
                <c:pt idx="1329">
                  <c:v>127.93473255158574</c:v>
                </c:pt>
                <c:pt idx="1330">
                  <c:v>129.93736510729556</c:v>
                </c:pt>
                <c:pt idx="1331">
                  <c:v>129.42836424123286</c:v>
                </c:pt>
                <c:pt idx="1332">
                  <c:v>132.19170573113564</c:v>
                </c:pt>
                <c:pt idx="1333">
                  <c:v>132.19170573113564</c:v>
                </c:pt>
                <c:pt idx="1334">
                  <c:v>132.19170573113564</c:v>
                </c:pt>
                <c:pt idx="1335">
                  <c:v>132.53770122211074</c:v>
                </c:pt>
                <c:pt idx="1336">
                  <c:v>133.71587300496267</c:v>
                </c:pt>
                <c:pt idx="1337">
                  <c:v>132.75478396546748</c:v>
                </c:pt>
                <c:pt idx="1338">
                  <c:v>133.12320429457131</c:v>
                </c:pt>
                <c:pt idx="1339">
                  <c:v>133.11208638631896</c:v>
                </c:pt>
                <c:pt idx="1340">
                  <c:v>133.11208638631896</c:v>
                </c:pt>
                <c:pt idx="1341">
                  <c:v>133.11208638631896</c:v>
                </c:pt>
                <c:pt idx="1342">
                  <c:v>133.36406939499335</c:v>
                </c:pt>
                <c:pt idx="1343">
                  <c:v>132.24122939664298</c:v>
                </c:pt>
                <c:pt idx="1344">
                  <c:v>132.38033212817729</c:v>
                </c:pt>
                <c:pt idx="1345">
                  <c:v>131.62649670758699</c:v>
                </c:pt>
                <c:pt idx="1346">
                  <c:v>131.3788096449143</c:v>
                </c:pt>
                <c:pt idx="1347">
                  <c:v>131.3788096449143</c:v>
                </c:pt>
                <c:pt idx="1348">
                  <c:v>131.3788096449143</c:v>
                </c:pt>
                <c:pt idx="1349">
                  <c:v>131.19939375610025</c:v>
                </c:pt>
                <c:pt idx="1350">
                  <c:v>132.1302908870957</c:v>
                </c:pt>
                <c:pt idx="1351">
                  <c:v>131.24738806483097</c:v>
                </c:pt>
                <c:pt idx="1352">
                  <c:v>130.70776569566834</c:v>
                </c:pt>
                <c:pt idx="1353">
                  <c:v>129.81200940296662</c:v>
                </c:pt>
                <c:pt idx="1354">
                  <c:v>129.81200940296662</c:v>
                </c:pt>
                <c:pt idx="1355">
                  <c:v>129.81200940296662</c:v>
                </c:pt>
                <c:pt idx="1356">
                  <c:v>127.88373108065383</c:v>
                </c:pt>
                <c:pt idx="1357">
                  <c:v>128.23318051221423</c:v>
                </c:pt>
                <c:pt idx="1358">
                  <c:v>127.10147368131643</c:v>
                </c:pt>
                <c:pt idx="1359">
                  <c:v>127.74174147340638</c:v>
                </c:pt>
                <c:pt idx="1360">
                  <c:v>127.74174147340638</c:v>
                </c:pt>
                <c:pt idx="1361">
                  <c:v>127.74174147340638</c:v>
                </c:pt>
                <c:pt idx="1362">
                  <c:v>127.74174147340638</c:v>
                </c:pt>
                <c:pt idx="1363">
                  <c:v>127.57978430914316</c:v>
                </c:pt>
                <c:pt idx="1364">
                  <c:v>127.60600676353739</c:v>
                </c:pt>
                <c:pt idx="1365">
                  <c:v>126.78977702321875</c:v>
                </c:pt>
                <c:pt idx="1366">
                  <c:v>127.05751756182725</c:v>
                </c:pt>
                <c:pt idx="1367">
                  <c:v>126.37537288811296</c:v>
                </c:pt>
                <c:pt idx="1368">
                  <c:v>126.37537288811296</c:v>
                </c:pt>
                <c:pt idx="1369">
                  <c:v>126.37537288811296</c:v>
                </c:pt>
                <c:pt idx="1370">
                  <c:v>126.8588214673577</c:v>
                </c:pt>
                <c:pt idx="1371">
                  <c:v>127.13070329791182</c:v>
                </c:pt>
                <c:pt idx="1372">
                  <c:v>126.32877046588678</c:v>
                </c:pt>
                <c:pt idx="1373">
                  <c:v>127.35443616567916</c:v>
                </c:pt>
                <c:pt idx="1374">
                  <c:v>127.20954249893461</c:v>
                </c:pt>
                <c:pt idx="1375">
                  <c:v>127.20954249893461</c:v>
                </c:pt>
                <c:pt idx="1376">
                  <c:v>127.20954249893461</c:v>
                </c:pt>
                <c:pt idx="1377">
                  <c:v>127.24549097507665</c:v>
                </c:pt>
                <c:pt idx="1378">
                  <c:v>126.12734214976011</c:v>
                </c:pt>
                <c:pt idx="1379">
                  <c:v>124.87287436591839</c:v>
                </c:pt>
                <c:pt idx="1380">
                  <c:v>124.84385095473105</c:v>
                </c:pt>
                <c:pt idx="1381">
                  <c:v>123.88850129909407</c:v>
                </c:pt>
                <c:pt idx="1382">
                  <c:v>123.88850129909407</c:v>
                </c:pt>
                <c:pt idx="1383">
                  <c:v>123.88850129909407</c:v>
                </c:pt>
                <c:pt idx="1384">
                  <c:v>121.80125579093522</c:v>
                </c:pt>
                <c:pt idx="1385">
                  <c:v>122.02028030188472</c:v>
                </c:pt>
                <c:pt idx="1386">
                  <c:v>122.53247735177268</c:v>
                </c:pt>
                <c:pt idx="1387">
                  <c:v>121.4251886779484</c:v>
                </c:pt>
                <c:pt idx="1388">
                  <c:v>122.34508818717953</c:v>
                </c:pt>
                <c:pt idx="1389">
                  <c:v>122.34508818717953</c:v>
                </c:pt>
                <c:pt idx="1390">
                  <c:v>122.34508818717953</c:v>
                </c:pt>
                <c:pt idx="1391">
                  <c:v>122.32580798152399</c:v>
                </c:pt>
                <c:pt idx="1392">
                  <c:v>120.35070384779291</c:v>
                </c:pt>
                <c:pt idx="1393">
                  <c:v>120.41282322697717</c:v>
                </c:pt>
                <c:pt idx="1394">
                  <c:v>122.49633985400656</c:v>
                </c:pt>
                <c:pt idx="1395">
                  <c:v>122.79748566872415</c:v>
                </c:pt>
                <c:pt idx="1396">
                  <c:v>122.79748566872415</c:v>
                </c:pt>
                <c:pt idx="1397">
                  <c:v>122.79748566872415</c:v>
                </c:pt>
                <c:pt idx="1398">
                  <c:v>124.37719093246085</c:v>
                </c:pt>
                <c:pt idx="1399">
                  <c:v>125.35975970196445</c:v>
                </c:pt>
                <c:pt idx="1400">
                  <c:v>125.11683254746163</c:v>
                </c:pt>
                <c:pt idx="1401">
                  <c:v>122.97205573044829</c:v>
                </c:pt>
                <c:pt idx="1402">
                  <c:v>122.11913861127532</c:v>
                </c:pt>
                <c:pt idx="1403">
                  <c:v>122.11913861127532</c:v>
                </c:pt>
                <c:pt idx="1404">
                  <c:v>122.11913861127532</c:v>
                </c:pt>
                <c:pt idx="1405">
                  <c:v>122.6964793863327</c:v>
                </c:pt>
                <c:pt idx="1406">
                  <c:v>121.47261592180692</c:v>
                </c:pt>
                <c:pt idx="1407">
                  <c:v>121.90693606257648</c:v>
                </c:pt>
                <c:pt idx="1408">
                  <c:v>119.43321006832272</c:v>
                </c:pt>
                <c:pt idx="1409">
                  <c:v>118.82777380641436</c:v>
                </c:pt>
                <c:pt idx="1410">
                  <c:v>118.82777380641436</c:v>
                </c:pt>
                <c:pt idx="1411">
                  <c:v>118.82777380641436</c:v>
                </c:pt>
                <c:pt idx="1412">
                  <c:v>121.6019410802414</c:v>
                </c:pt>
                <c:pt idx="1413">
                  <c:v>121.01004564013034</c:v>
                </c:pt>
                <c:pt idx="1414">
                  <c:v>119.27749061765394</c:v>
                </c:pt>
                <c:pt idx="1415">
                  <c:v>118.05464099638453</c:v>
                </c:pt>
                <c:pt idx="1416">
                  <c:v>121.37671322326547</c:v>
                </c:pt>
                <c:pt idx="1417">
                  <c:v>121.37671322326547</c:v>
                </c:pt>
                <c:pt idx="1418">
                  <c:v>121.37671322326547</c:v>
                </c:pt>
                <c:pt idx="1419">
                  <c:v>121.37671322326547</c:v>
                </c:pt>
                <c:pt idx="1420">
                  <c:v>119.41399859780321</c:v>
                </c:pt>
                <c:pt idx="1421">
                  <c:v>120.43780844892291</c:v>
                </c:pt>
                <c:pt idx="1422">
                  <c:v>124.07625132315137</c:v>
                </c:pt>
                <c:pt idx="1423">
                  <c:v>120.16046217505465</c:v>
                </c:pt>
                <c:pt idx="1424">
                  <c:v>120.16046217505465</c:v>
                </c:pt>
                <c:pt idx="1425">
                  <c:v>120.16046217505465</c:v>
                </c:pt>
                <c:pt idx="1426">
                  <c:v>123.15062961384602</c:v>
                </c:pt>
                <c:pt idx="1427">
                  <c:v>126.21979090771622</c:v>
                </c:pt>
                <c:pt idx="1428">
                  <c:v>126.54657492817178</c:v>
                </c:pt>
                <c:pt idx="1429">
                  <c:v>126.20190258856523</c:v>
                </c:pt>
                <c:pt idx="1430">
                  <c:v>128.5688657327853</c:v>
                </c:pt>
                <c:pt idx="1431">
                  <c:v>128.5688657327853</c:v>
                </c:pt>
                <c:pt idx="1432">
                  <c:v>128.5688657327853</c:v>
                </c:pt>
                <c:pt idx="1433">
                  <c:v>128.56462133813565</c:v>
                </c:pt>
                <c:pt idx="1434">
                  <c:v>128.82358096311671</c:v>
                </c:pt>
                <c:pt idx="1435">
                  <c:v>129.06760787979601</c:v>
                </c:pt>
                <c:pt idx="1436">
                  <c:v>130.39613777270665</c:v>
                </c:pt>
                <c:pt idx="1437">
                  <c:v>129.9233259557621</c:v>
                </c:pt>
                <c:pt idx="1438">
                  <c:v>129.9233259557621</c:v>
                </c:pt>
                <c:pt idx="1439">
                  <c:v>129.9233259557621</c:v>
                </c:pt>
                <c:pt idx="1440">
                  <c:v>127.64021967749474</c:v>
                </c:pt>
                <c:pt idx="1441">
                  <c:v>127.1024187894368</c:v>
                </c:pt>
                <c:pt idx="1442">
                  <c:v>126.67897598394346</c:v>
                </c:pt>
                <c:pt idx="1443">
                  <c:v>125.9692513368984</c:v>
                </c:pt>
                <c:pt idx="1444">
                  <c:v>124.71760169363375</c:v>
                </c:pt>
                <c:pt idx="1445">
                  <c:v>124.71760169363375</c:v>
                </c:pt>
                <c:pt idx="1446">
                  <c:v>124.71760169363375</c:v>
                </c:pt>
                <c:pt idx="1447">
                  <c:v>123.38920927099515</c:v>
                </c:pt>
                <c:pt idx="1448">
                  <c:v>124.97781573484734</c:v>
                </c:pt>
                <c:pt idx="1449">
                  <c:v>125.96321982871206</c:v>
                </c:pt>
                <c:pt idx="1450">
                  <c:v>127.52883438956326</c:v>
                </c:pt>
                <c:pt idx="1451">
                  <c:v>126.08412493298327</c:v>
                </c:pt>
                <c:pt idx="1452">
                  <c:v>126.08412493298327</c:v>
                </c:pt>
                <c:pt idx="1453">
                  <c:v>126.08412493298327</c:v>
                </c:pt>
                <c:pt idx="1454">
                  <c:v>123.89656049379323</c:v>
                </c:pt>
                <c:pt idx="1455">
                  <c:v>124.03647086317584</c:v>
                </c:pt>
                <c:pt idx="1456">
                  <c:v>124.31278611000371</c:v>
                </c:pt>
                <c:pt idx="1457">
                  <c:v>124.40140288412631</c:v>
                </c:pt>
                <c:pt idx="1458">
                  <c:v>124.40140288412631</c:v>
                </c:pt>
                <c:pt idx="1459">
                  <c:v>124.40140288412631</c:v>
                </c:pt>
                <c:pt idx="1460">
                  <c:v>124.40140288412631</c:v>
                </c:pt>
                <c:pt idx="1461">
                  <c:v>124.69292577980013</c:v>
                </c:pt>
                <c:pt idx="1462">
                  <c:v>122.75433718708331</c:v>
                </c:pt>
                <c:pt idx="1463">
                  <c:v>120.51864096889049</c:v>
                </c:pt>
                <c:pt idx="1464">
                  <c:v>119.97656131861486</c:v>
                </c:pt>
                <c:pt idx="1465">
                  <c:v>118.12976850006187</c:v>
                </c:pt>
                <c:pt idx="1466">
                  <c:v>118.12976850006187</c:v>
                </c:pt>
                <c:pt idx="1467">
                  <c:v>118.12976850006187</c:v>
                </c:pt>
                <c:pt idx="1468">
                  <c:v>116.45723643512092</c:v>
                </c:pt>
                <c:pt idx="1469">
                  <c:v>121.1797698747646</c:v>
                </c:pt>
                <c:pt idx="1470">
                  <c:v>122.27777930522525</c:v>
                </c:pt>
                <c:pt idx="1471">
                  <c:v>119.72846184512601</c:v>
                </c:pt>
                <c:pt idx="1472">
                  <c:v>124.42685206824025</c:v>
                </c:pt>
                <c:pt idx="1473">
                  <c:v>124.42685206824025</c:v>
                </c:pt>
                <c:pt idx="1474">
                  <c:v>124.42685206824025</c:v>
                </c:pt>
                <c:pt idx="1475">
                  <c:v>126.91707449514044</c:v>
                </c:pt>
                <c:pt idx="1476">
                  <c:v>127.3573058576083</c:v>
                </c:pt>
                <c:pt idx="1477">
                  <c:v>127.20265180154793</c:v>
                </c:pt>
                <c:pt idx="1478">
                  <c:v>128.30280920500942</c:v>
                </c:pt>
                <c:pt idx="1479">
                  <c:v>128.97756485160085</c:v>
                </c:pt>
                <c:pt idx="1480">
                  <c:v>128.97756485160085</c:v>
                </c:pt>
                <c:pt idx="1481">
                  <c:v>128.97756485160085</c:v>
                </c:pt>
                <c:pt idx="1482">
                  <c:v>127.35184141429417</c:v>
                </c:pt>
                <c:pt idx="1483">
                  <c:v>127.41877225300028</c:v>
                </c:pt>
                <c:pt idx="1484">
                  <c:v>128.19599480362371</c:v>
                </c:pt>
                <c:pt idx="1485">
                  <c:v>127.29802180278516</c:v>
                </c:pt>
                <c:pt idx="1486">
                  <c:v>126.06676931113647</c:v>
                </c:pt>
                <c:pt idx="1487">
                  <c:v>126.06676931113647</c:v>
                </c:pt>
                <c:pt idx="1488">
                  <c:v>126.06676931113647</c:v>
                </c:pt>
                <c:pt idx="1489">
                  <c:v>125.37369575079389</c:v>
                </c:pt>
                <c:pt idx="1490">
                  <c:v>125.41204995669688</c:v>
                </c:pt>
                <c:pt idx="1491">
                  <c:v>124.13024277250047</c:v>
                </c:pt>
                <c:pt idx="1492">
                  <c:v>124.7725210673192</c:v>
                </c:pt>
                <c:pt idx="1493">
                  <c:v>124.7725210673192</c:v>
                </c:pt>
                <c:pt idx="1494">
                  <c:v>124.7725210673192</c:v>
                </c:pt>
                <c:pt idx="1495">
                  <c:v>124.7725210673192</c:v>
                </c:pt>
                <c:pt idx="1496">
                  <c:v>123.92561827254858</c:v>
                </c:pt>
                <c:pt idx="1497">
                  <c:v>122.92543612443809</c:v>
                </c:pt>
                <c:pt idx="1498">
                  <c:v>123.09737706720922</c:v>
                </c:pt>
                <c:pt idx="1499">
                  <c:v>122.9909750766397</c:v>
                </c:pt>
                <c:pt idx="1500">
                  <c:v>122.63307122334797</c:v>
                </c:pt>
                <c:pt idx="1501">
                  <c:v>122.63307122334797</c:v>
                </c:pt>
                <c:pt idx="1502">
                  <c:v>122.63307122334797</c:v>
                </c:pt>
                <c:pt idx="1503">
                  <c:v>121.62536257784255</c:v>
                </c:pt>
                <c:pt idx="1504">
                  <c:v>121.41255859670348</c:v>
                </c:pt>
                <c:pt idx="1505">
                  <c:v>120.40502178903813</c:v>
                </c:pt>
                <c:pt idx="1506">
                  <c:v>118.62634549028775</c:v>
                </c:pt>
                <c:pt idx="1507">
                  <c:v>118.62634549028775</c:v>
                </c:pt>
                <c:pt idx="1508">
                  <c:v>118.62634549028775</c:v>
                </c:pt>
                <c:pt idx="1509">
                  <c:v>118.62634549028775</c:v>
                </c:pt>
                <c:pt idx="1510">
                  <c:v>119.43004825206549</c:v>
                </c:pt>
                <c:pt idx="1511">
                  <c:v>119.2440509739769</c:v>
                </c:pt>
                <c:pt idx="1512">
                  <c:v>119.19100463274816</c:v>
                </c:pt>
                <c:pt idx="1513">
                  <c:v>119.59844933533124</c:v>
                </c:pt>
                <c:pt idx="1514">
                  <c:v>119.59844933533124</c:v>
                </c:pt>
                <c:pt idx="1515">
                  <c:v>119.59844933533124</c:v>
                </c:pt>
                <c:pt idx="1516">
                  <c:v>119.59844933533124</c:v>
                </c:pt>
                <c:pt idx="1517">
                  <c:v>119.69125895275148</c:v>
                </c:pt>
                <c:pt idx="1518">
                  <c:v>119.61561593555395</c:v>
                </c:pt>
                <c:pt idx="1519">
                  <c:v>119.66531143890134</c:v>
                </c:pt>
                <c:pt idx="1520">
                  <c:v>120.1964278349807</c:v>
                </c:pt>
                <c:pt idx="1521">
                  <c:v>119.1967440166064</c:v>
                </c:pt>
                <c:pt idx="1522">
                  <c:v>119.1967440166064</c:v>
                </c:pt>
                <c:pt idx="1523">
                  <c:v>119.1967440166064</c:v>
                </c:pt>
                <c:pt idx="1524">
                  <c:v>117.82106182038135</c:v>
                </c:pt>
                <c:pt idx="1525">
                  <c:v>118.15224488954263</c:v>
                </c:pt>
                <c:pt idx="1526">
                  <c:v>117.9205731135642</c:v>
                </c:pt>
                <c:pt idx="1527">
                  <c:v>118.1398553812738</c:v>
                </c:pt>
                <c:pt idx="1528">
                  <c:v>117.53847449239103</c:v>
                </c:pt>
                <c:pt idx="1529">
                  <c:v>117.53847449239103</c:v>
                </c:pt>
                <c:pt idx="1530">
                  <c:v>117.53847449239103</c:v>
                </c:pt>
                <c:pt idx="1531">
                  <c:v>117.07038821604829</c:v>
                </c:pt>
                <c:pt idx="1532">
                  <c:v>116.44376434845964</c:v>
                </c:pt>
                <c:pt idx="1533">
                  <c:v>116.20040759935664</c:v>
                </c:pt>
                <c:pt idx="1534">
                  <c:v>116.42642591039689</c:v>
                </c:pt>
                <c:pt idx="1535">
                  <c:v>117.66743879136139</c:v>
                </c:pt>
                <c:pt idx="1536">
                  <c:v>117.66743879136139</c:v>
                </c:pt>
                <c:pt idx="1537">
                  <c:v>117.66743879136139</c:v>
                </c:pt>
                <c:pt idx="1538">
                  <c:v>118.1208672999464</c:v>
                </c:pt>
                <c:pt idx="1539">
                  <c:v>117.26882655375776</c:v>
                </c:pt>
                <c:pt idx="1540">
                  <c:v>118.7804668490439</c:v>
                </c:pt>
                <c:pt idx="1541">
                  <c:v>118.19901914960892</c:v>
                </c:pt>
                <c:pt idx="1542">
                  <c:v>118.38183742765627</c:v>
                </c:pt>
                <c:pt idx="1543">
                  <c:v>118.38183742765627</c:v>
                </c:pt>
                <c:pt idx="1544">
                  <c:v>118.38183742765627</c:v>
                </c:pt>
                <c:pt idx="1545">
                  <c:v>118.00724812009405</c:v>
                </c:pt>
                <c:pt idx="1546">
                  <c:v>118.00724812009405</c:v>
                </c:pt>
                <c:pt idx="1547">
                  <c:v>117.92332251900528</c:v>
                </c:pt>
                <c:pt idx="1548">
                  <c:v>116.69016262733184</c:v>
                </c:pt>
                <c:pt idx="1549">
                  <c:v>116.55401550664671</c:v>
                </c:pt>
                <c:pt idx="1550">
                  <c:v>116.55401550664671</c:v>
                </c:pt>
                <c:pt idx="1551">
                  <c:v>116.55401550664671</c:v>
                </c:pt>
                <c:pt idx="1552">
                  <c:v>116.73444523871714</c:v>
                </c:pt>
                <c:pt idx="1553">
                  <c:v>115.23802977606093</c:v>
                </c:pt>
                <c:pt idx="1554">
                  <c:v>115.78213711284937</c:v>
                </c:pt>
                <c:pt idx="1555">
                  <c:v>116.12105288481366</c:v>
                </c:pt>
                <c:pt idx="1556">
                  <c:v>116.00667761846502</c:v>
                </c:pt>
                <c:pt idx="1557">
                  <c:v>116.00667761846502</c:v>
                </c:pt>
                <c:pt idx="1558">
                  <c:v>116.00667761846502</c:v>
                </c:pt>
                <c:pt idx="1559">
                  <c:v>115.99145278583507</c:v>
                </c:pt>
                <c:pt idx="1560">
                  <c:v>116.66273730805715</c:v>
                </c:pt>
                <c:pt idx="1561">
                  <c:v>116.29612127627402</c:v>
                </c:pt>
                <c:pt idx="1562">
                  <c:v>116.61665039935114</c:v>
                </c:pt>
                <c:pt idx="1563">
                  <c:v>116.23858996741956</c:v>
                </c:pt>
                <c:pt idx="1564">
                  <c:v>116.23858996741956</c:v>
                </c:pt>
                <c:pt idx="1565">
                  <c:v>116.23858996741956</c:v>
                </c:pt>
                <c:pt idx="1566">
                  <c:v>115.38813012935954</c:v>
                </c:pt>
                <c:pt idx="1567">
                  <c:v>115.41545234593021</c:v>
                </c:pt>
                <c:pt idx="1568">
                  <c:v>115.60681096462891</c:v>
                </c:pt>
                <c:pt idx="1569">
                  <c:v>115.11353326093231</c:v>
                </c:pt>
                <c:pt idx="1570">
                  <c:v>115.15305596414775</c:v>
                </c:pt>
                <c:pt idx="1571">
                  <c:v>115.15305596414775</c:v>
                </c:pt>
                <c:pt idx="1572">
                  <c:v>115.15305596414775</c:v>
                </c:pt>
                <c:pt idx="1573">
                  <c:v>112.67018819680246</c:v>
                </c:pt>
                <c:pt idx="1574">
                  <c:v>112.79248518757818</c:v>
                </c:pt>
                <c:pt idx="1575">
                  <c:v>113.38599590338592</c:v>
                </c:pt>
                <c:pt idx="1576">
                  <c:v>113.18659527377206</c:v>
                </c:pt>
                <c:pt idx="1577">
                  <c:v>113.91221492102332</c:v>
                </c:pt>
                <c:pt idx="1578">
                  <c:v>113.91221492102332</c:v>
                </c:pt>
                <c:pt idx="1579">
                  <c:v>113.91221492102332</c:v>
                </c:pt>
                <c:pt idx="1580">
                  <c:v>113.50004467783843</c:v>
                </c:pt>
                <c:pt idx="1581">
                  <c:v>113.82916569291892</c:v>
                </c:pt>
                <c:pt idx="1582">
                  <c:v>113.81949122252315</c:v>
                </c:pt>
                <c:pt idx="1583">
                  <c:v>113.82547117935748</c:v>
                </c:pt>
                <c:pt idx="1584">
                  <c:v>113.51265757529936</c:v>
                </c:pt>
                <c:pt idx="1585">
                  <c:v>113.51265757529936</c:v>
                </c:pt>
                <c:pt idx="1586">
                  <c:v>113.51265757529936</c:v>
                </c:pt>
                <c:pt idx="1587">
                  <c:v>113.26708411805949</c:v>
                </c:pt>
                <c:pt idx="1588">
                  <c:v>113.47394250993223</c:v>
                </c:pt>
                <c:pt idx="1589">
                  <c:v>113.19391556575893</c:v>
                </c:pt>
                <c:pt idx="1590">
                  <c:v>113.06467632624447</c:v>
                </c:pt>
                <c:pt idx="1591">
                  <c:v>113.24422968533057</c:v>
                </c:pt>
                <c:pt idx="1592">
                  <c:v>113.24422968533057</c:v>
                </c:pt>
                <c:pt idx="1593">
                  <c:v>113.24422968533057</c:v>
                </c:pt>
                <c:pt idx="1594">
                  <c:v>113.16133511128218</c:v>
                </c:pt>
                <c:pt idx="1595">
                  <c:v>112.28961893240587</c:v>
                </c:pt>
                <c:pt idx="1596">
                  <c:v>112.23956256959433</c:v>
                </c:pt>
                <c:pt idx="1597">
                  <c:v>111.98187454462973</c:v>
                </c:pt>
                <c:pt idx="1598">
                  <c:v>111.62515637243446</c:v>
                </c:pt>
                <c:pt idx="1599">
                  <c:v>111.62515637243446</c:v>
                </c:pt>
                <c:pt idx="1600">
                  <c:v>111.62515637243446</c:v>
                </c:pt>
                <c:pt idx="1601">
                  <c:v>110.8947080818773</c:v>
                </c:pt>
                <c:pt idx="1602">
                  <c:v>110.89147753048402</c:v>
                </c:pt>
                <c:pt idx="1603">
                  <c:v>109.63536010337765</c:v>
                </c:pt>
                <c:pt idx="1604">
                  <c:v>109.47089410664945</c:v>
                </c:pt>
                <c:pt idx="1605">
                  <c:v>110.43883947596331</c:v>
                </c:pt>
                <c:pt idx="1606">
                  <c:v>110.43883947596331</c:v>
                </c:pt>
                <c:pt idx="1607">
                  <c:v>110.43883947596331</c:v>
                </c:pt>
                <c:pt idx="1608">
                  <c:v>110.36616925339897</c:v>
                </c:pt>
                <c:pt idx="1609">
                  <c:v>110.9392656338067</c:v>
                </c:pt>
                <c:pt idx="1610">
                  <c:v>111.02997882957813</c:v>
                </c:pt>
                <c:pt idx="1611">
                  <c:v>110.91512241727727</c:v>
                </c:pt>
                <c:pt idx="1612">
                  <c:v>110.80906410238786</c:v>
                </c:pt>
                <c:pt idx="1613">
                  <c:v>110.80906410238786</c:v>
                </c:pt>
                <c:pt idx="1614">
                  <c:v>110.80906410238786</c:v>
                </c:pt>
                <c:pt idx="1615">
                  <c:v>110.47599081698583</c:v>
                </c:pt>
                <c:pt idx="1616">
                  <c:v>111.01047523473049</c:v>
                </c:pt>
                <c:pt idx="1617">
                  <c:v>110.90898780638688</c:v>
                </c:pt>
                <c:pt idx="1618">
                  <c:v>110.53063525012716</c:v>
                </c:pt>
                <c:pt idx="1619">
                  <c:v>109.29216556919567</c:v>
                </c:pt>
                <c:pt idx="1620">
                  <c:v>109.29216556919567</c:v>
                </c:pt>
                <c:pt idx="1621">
                  <c:v>109.29216556919567</c:v>
                </c:pt>
                <c:pt idx="1622">
                  <c:v>109.93959899921641</c:v>
                </c:pt>
                <c:pt idx="1623">
                  <c:v>109.86132686306587</c:v>
                </c:pt>
                <c:pt idx="1624">
                  <c:v>109.55648653478684</c:v>
                </c:pt>
                <c:pt idx="1625">
                  <c:v>110.58333791567574</c:v>
                </c:pt>
                <c:pt idx="1626">
                  <c:v>110.58333791567574</c:v>
                </c:pt>
                <c:pt idx="1627">
                  <c:v>110.58333791567574</c:v>
                </c:pt>
                <c:pt idx="1628">
                  <c:v>110.58333791567574</c:v>
                </c:pt>
                <c:pt idx="1629">
                  <c:v>110.46873926013501</c:v>
                </c:pt>
                <c:pt idx="1630">
                  <c:v>109.43164634397813</c:v>
                </c:pt>
                <c:pt idx="1631">
                  <c:v>108.29024785890053</c:v>
                </c:pt>
                <c:pt idx="1632">
                  <c:v>107.96597267090992</c:v>
                </c:pt>
                <c:pt idx="1633">
                  <c:v>107.66745597514537</c:v>
                </c:pt>
                <c:pt idx="1634">
                  <c:v>107.66745597514537</c:v>
                </c:pt>
                <c:pt idx="1635">
                  <c:v>107.66745597514537</c:v>
                </c:pt>
                <c:pt idx="1636">
                  <c:v>107.7651114196555</c:v>
                </c:pt>
                <c:pt idx="1637">
                  <c:v>107.88677261042301</c:v>
                </c:pt>
                <c:pt idx="1638">
                  <c:v>108.21450173899896</c:v>
                </c:pt>
                <c:pt idx="1639">
                  <c:v>106.76503237424907</c:v>
                </c:pt>
                <c:pt idx="1640">
                  <c:v>106.82345723987187</c:v>
                </c:pt>
                <c:pt idx="1641">
                  <c:v>106.82345723987187</c:v>
                </c:pt>
                <c:pt idx="1642">
                  <c:v>106.82345723987187</c:v>
                </c:pt>
                <c:pt idx="1643">
                  <c:v>106.91602628431602</c:v>
                </c:pt>
                <c:pt idx="1644">
                  <c:v>109.0329825550225</c:v>
                </c:pt>
                <c:pt idx="1645">
                  <c:v>108.82512750367735</c:v>
                </c:pt>
                <c:pt idx="1646">
                  <c:v>108.94917724042176</c:v>
                </c:pt>
                <c:pt idx="1647">
                  <c:v>107.51128974609242</c:v>
                </c:pt>
                <c:pt idx="1648">
                  <c:v>107.51128974609242</c:v>
                </c:pt>
                <c:pt idx="1649">
                  <c:v>107.51128974609242</c:v>
                </c:pt>
                <c:pt idx="1650">
                  <c:v>106.82938564535421</c:v>
                </c:pt>
                <c:pt idx="1651">
                  <c:v>109.15710102690295</c:v>
                </c:pt>
                <c:pt idx="1652">
                  <c:v>109.46860866337656</c:v>
                </c:pt>
                <c:pt idx="1653">
                  <c:v>109.69735919607386</c:v>
                </c:pt>
                <c:pt idx="1654">
                  <c:v>109.14390388078579</c:v>
                </c:pt>
                <c:pt idx="1655">
                  <c:v>109.14390388078579</c:v>
                </c:pt>
                <c:pt idx="1656">
                  <c:v>109.14390388078579</c:v>
                </c:pt>
                <c:pt idx="1657">
                  <c:v>108.9510502728785</c:v>
                </c:pt>
                <c:pt idx="1658">
                  <c:v>109.33431739136412</c:v>
                </c:pt>
                <c:pt idx="1659">
                  <c:v>109.33935224007809</c:v>
                </c:pt>
                <c:pt idx="1660">
                  <c:v>109.08477448001869</c:v>
                </c:pt>
                <c:pt idx="1661">
                  <c:v>109.54107268053284</c:v>
                </c:pt>
                <c:pt idx="1662">
                  <c:v>109.54107268053284</c:v>
                </c:pt>
                <c:pt idx="1663">
                  <c:v>109.54107268053284</c:v>
                </c:pt>
                <c:pt idx="1664">
                  <c:v>109.67010571463922</c:v>
                </c:pt>
                <c:pt idx="1665">
                  <c:v>110.36709717773532</c:v>
                </c:pt>
                <c:pt idx="1666">
                  <c:v>110.18541302943238</c:v>
                </c:pt>
                <c:pt idx="1667">
                  <c:v>110.16193998047923</c:v>
                </c:pt>
                <c:pt idx="1668">
                  <c:v>109.76578502398857</c:v>
                </c:pt>
                <c:pt idx="1669">
                  <c:v>109.76578502398857</c:v>
                </c:pt>
                <c:pt idx="1670">
                  <c:v>109.76578502398857</c:v>
                </c:pt>
                <c:pt idx="1671">
                  <c:v>109.80441417043565</c:v>
                </c:pt>
                <c:pt idx="1672">
                  <c:v>109.71918260176238</c:v>
                </c:pt>
                <c:pt idx="1673">
                  <c:v>109.01916679268109</c:v>
                </c:pt>
                <c:pt idx="1674">
                  <c:v>108.50581842926468</c:v>
                </c:pt>
                <c:pt idx="1675">
                  <c:v>108.47203510990748</c:v>
                </c:pt>
                <c:pt idx="1676">
                  <c:v>108.47203510990748</c:v>
                </c:pt>
                <c:pt idx="1677">
                  <c:v>108.47203510990748</c:v>
                </c:pt>
                <c:pt idx="1678">
                  <c:v>107.81857017170037</c:v>
                </c:pt>
                <c:pt idx="1679">
                  <c:v>107.59061009306738</c:v>
                </c:pt>
                <c:pt idx="1680">
                  <c:v>106.42441540766809</c:v>
                </c:pt>
                <c:pt idx="1681">
                  <c:v>106.13380325254664</c:v>
                </c:pt>
                <c:pt idx="1682">
                  <c:v>105.73318051221423</c:v>
                </c:pt>
                <c:pt idx="1683">
                  <c:v>105.73318051221423</c:v>
                </c:pt>
                <c:pt idx="1684">
                  <c:v>105.73318051221423</c:v>
                </c:pt>
                <c:pt idx="1685">
                  <c:v>104.64003409262747</c:v>
                </c:pt>
                <c:pt idx="1686">
                  <c:v>105.69496377658332</c:v>
                </c:pt>
                <c:pt idx="1687">
                  <c:v>104.99395130802964</c:v>
                </c:pt>
                <c:pt idx="1688">
                  <c:v>104.99395130802964</c:v>
                </c:pt>
                <c:pt idx="1689">
                  <c:v>105.5156509904733</c:v>
                </c:pt>
                <c:pt idx="1690">
                  <c:v>105.5156509904733</c:v>
                </c:pt>
                <c:pt idx="1691">
                  <c:v>105.5156509904733</c:v>
                </c:pt>
                <c:pt idx="1692">
                  <c:v>105.58320044540368</c:v>
                </c:pt>
                <c:pt idx="1693">
                  <c:v>107.13082358439988</c:v>
                </c:pt>
                <c:pt idx="1694">
                  <c:v>105.62224200266692</c:v>
                </c:pt>
                <c:pt idx="1695">
                  <c:v>107.34965907372531</c:v>
                </c:pt>
                <c:pt idx="1696">
                  <c:v>107.66070274803074</c:v>
                </c:pt>
                <c:pt idx="1697">
                  <c:v>107.66070274803074</c:v>
                </c:pt>
                <c:pt idx="1698">
                  <c:v>107.66070274803074</c:v>
                </c:pt>
                <c:pt idx="1699">
                  <c:v>107.16984795787911</c:v>
                </c:pt>
                <c:pt idx="1700">
                  <c:v>107.1229018599728</c:v>
                </c:pt>
                <c:pt idx="1701">
                  <c:v>106.33378813081671</c:v>
                </c:pt>
                <c:pt idx="1702">
                  <c:v>107.20985180704675</c:v>
                </c:pt>
                <c:pt idx="1703">
                  <c:v>105.71048073354137</c:v>
                </c:pt>
                <c:pt idx="1704">
                  <c:v>105.71048073354137</c:v>
                </c:pt>
                <c:pt idx="1705">
                  <c:v>105.71048073354137</c:v>
                </c:pt>
                <c:pt idx="1706">
                  <c:v>105.94663747714559</c:v>
                </c:pt>
                <c:pt idx="1707">
                  <c:v>106.45168607288676</c:v>
                </c:pt>
                <c:pt idx="1708">
                  <c:v>106.88947733802566</c:v>
                </c:pt>
                <c:pt idx="1709">
                  <c:v>106.11785670098841</c:v>
                </c:pt>
                <c:pt idx="1710">
                  <c:v>106.67552204335813</c:v>
                </c:pt>
                <c:pt idx="1711">
                  <c:v>106.67552204335813</c:v>
                </c:pt>
                <c:pt idx="1712">
                  <c:v>106.67552204335813</c:v>
                </c:pt>
                <c:pt idx="1713">
                  <c:v>108.63182711738588</c:v>
                </c:pt>
                <c:pt idx="1714">
                  <c:v>108.21281772816629</c:v>
                </c:pt>
                <c:pt idx="1715">
                  <c:v>107.82924130156854</c:v>
                </c:pt>
                <c:pt idx="1716">
                  <c:v>108.18367403049092</c:v>
                </c:pt>
                <c:pt idx="1717">
                  <c:v>108.35743645436675</c:v>
                </c:pt>
                <c:pt idx="1718">
                  <c:v>108.35743645436675</c:v>
                </c:pt>
                <c:pt idx="1719">
                  <c:v>108.35743645436675</c:v>
                </c:pt>
                <c:pt idx="1720">
                  <c:v>107.34417744662717</c:v>
                </c:pt>
                <c:pt idx="1721">
                  <c:v>106.51397728991105</c:v>
                </c:pt>
                <c:pt idx="1722">
                  <c:v>106.59425992879041</c:v>
                </c:pt>
                <c:pt idx="1723">
                  <c:v>106.7146323357574</c:v>
                </c:pt>
                <c:pt idx="1724">
                  <c:v>106.7146323357574</c:v>
                </c:pt>
                <c:pt idx="1725">
                  <c:v>106.7146323357574</c:v>
                </c:pt>
                <c:pt idx="1726">
                  <c:v>106.7146323357574</c:v>
                </c:pt>
                <c:pt idx="1727">
                  <c:v>106.62979599411628</c:v>
                </c:pt>
                <c:pt idx="1728">
                  <c:v>105.90407324416095</c:v>
                </c:pt>
                <c:pt idx="1729">
                  <c:v>105.48630108738988</c:v>
                </c:pt>
                <c:pt idx="1730">
                  <c:v>105.3987668916597</c:v>
                </c:pt>
                <c:pt idx="1731">
                  <c:v>104.54103831296484</c:v>
                </c:pt>
                <c:pt idx="1732">
                  <c:v>104.54103831296484</c:v>
                </c:pt>
                <c:pt idx="1733">
                  <c:v>104.54103831296484</c:v>
                </c:pt>
                <c:pt idx="1734">
                  <c:v>104.05004605254116</c:v>
                </c:pt>
                <c:pt idx="1735">
                  <c:v>103.29578103735069</c:v>
                </c:pt>
                <c:pt idx="1736">
                  <c:v>106.02171342947089</c:v>
                </c:pt>
                <c:pt idx="1737">
                  <c:v>105.67466972767139</c:v>
                </c:pt>
                <c:pt idx="1738">
                  <c:v>105.1859285429526</c:v>
                </c:pt>
                <c:pt idx="1739">
                  <c:v>105.1859285429526</c:v>
                </c:pt>
                <c:pt idx="1740">
                  <c:v>105.1859285429526</c:v>
                </c:pt>
                <c:pt idx="1741">
                  <c:v>105.09540436880525</c:v>
                </c:pt>
                <c:pt idx="1742">
                  <c:v>105.32186945822966</c:v>
                </c:pt>
                <c:pt idx="1743">
                  <c:v>105.17484500226828</c:v>
                </c:pt>
                <c:pt idx="1744">
                  <c:v>104.86679130637999</c:v>
                </c:pt>
                <c:pt idx="1745">
                  <c:v>104.83410774919923</c:v>
                </c:pt>
                <c:pt idx="1746">
                  <c:v>104.83410774919923</c:v>
                </c:pt>
                <c:pt idx="1747">
                  <c:v>104.83410774919923</c:v>
                </c:pt>
                <c:pt idx="1748">
                  <c:v>104.39727877596472</c:v>
                </c:pt>
                <c:pt idx="1749">
                  <c:v>104.34938756993802</c:v>
                </c:pt>
                <c:pt idx="1750">
                  <c:v>104.74145278583507</c:v>
                </c:pt>
                <c:pt idx="1751">
                  <c:v>104.67677302283383</c:v>
                </c:pt>
                <c:pt idx="1752">
                  <c:v>103.92075526167466</c:v>
                </c:pt>
                <c:pt idx="1753">
                  <c:v>103.92075526167466</c:v>
                </c:pt>
                <c:pt idx="1754">
                  <c:v>103.92075526167466</c:v>
                </c:pt>
                <c:pt idx="1755">
                  <c:v>103.94362687818759</c:v>
                </c:pt>
                <c:pt idx="1756">
                  <c:v>103.53616499182053</c:v>
                </c:pt>
                <c:pt idx="1757">
                  <c:v>103.54075306215032</c:v>
                </c:pt>
                <c:pt idx="1758">
                  <c:v>102.82465323123876</c:v>
                </c:pt>
                <c:pt idx="1759">
                  <c:v>101.56513341489904</c:v>
                </c:pt>
                <c:pt idx="1760">
                  <c:v>101.56513341489904</c:v>
                </c:pt>
                <c:pt idx="1761">
                  <c:v>101.56513341489904</c:v>
                </c:pt>
                <c:pt idx="1762">
                  <c:v>101.672617983861</c:v>
                </c:pt>
                <c:pt idx="1763">
                  <c:v>100.74910987998847</c:v>
                </c:pt>
                <c:pt idx="1764">
                  <c:v>100.51604621750548</c:v>
                </c:pt>
                <c:pt idx="1765">
                  <c:v>100.64177996508255</c:v>
                </c:pt>
                <c:pt idx="1766">
                  <c:v>99.754443726544139</c:v>
                </c:pt>
                <c:pt idx="1767">
                  <c:v>99.754443726544139</c:v>
                </c:pt>
                <c:pt idx="1768">
                  <c:v>99.754443726544139</c:v>
                </c:pt>
                <c:pt idx="1769">
                  <c:v>99.754443726544139</c:v>
                </c:pt>
                <c:pt idx="1770">
                  <c:v>100.28731286859218</c:v>
                </c:pt>
                <c:pt idx="1771">
                  <c:v>100.81334286460553</c:v>
                </c:pt>
                <c:pt idx="1772">
                  <c:v>101.05656214343651</c:v>
                </c:pt>
                <c:pt idx="1773">
                  <c:v>101.00305184003959</c:v>
                </c:pt>
                <c:pt idx="1774">
                  <c:v>101.00305184003959</c:v>
                </c:pt>
                <c:pt idx="1775">
                  <c:v>101.00305184003959</c:v>
                </c:pt>
                <c:pt idx="1776">
                  <c:v>101.02260698623924</c:v>
                </c:pt>
                <c:pt idx="1777">
                  <c:v>100.77390608031014</c:v>
                </c:pt>
                <c:pt idx="1778">
                  <c:v>101.3604058122431</c:v>
                </c:pt>
                <c:pt idx="1779">
                  <c:v>101.29294227623278</c:v>
                </c:pt>
                <c:pt idx="1780">
                  <c:v>101.58602889625119</c:v>
                </c:pt>
                <c:pt idx="1781">
                  <c:v>101.58602889625119</c:v>
                </c:pt>
                <c:pt idx="1782">
                  <c:v>101.58602889625119</c:v>
                </c:pt>
                <c:pt idx="1783">
                  <c:v>101.63080983737267</c:v>
                </c:pt>
                <c:pt idx="1784">
                  <c:v>101.34217381741198</c:v>
                </c:pt>
                <c:pt idx="1785">
                  <c:v>100.95713676917369</c:v>
                </c:pt>
                <c:pt idx="1786">
                  <c:v>100.35972533439643</c:v>
                </c:pt>
                <c:pt idx="1787">
                  <c:v>100.15977482369438</c:v>
                </c:pt>
                <c:pt idx="1788">
                  <c:v>100.15977482369438</c:v>
                </c:pt>
                <c:pt idx="1789">
                  <c:v>100.15977482369438</c:v>
                </c:pt>
                <c:pt idx="1790">
                  <c:v>99.969979929340298</c:v>
                </c:pt>
                <c:pt idx="1791">
                  <c:v>100.03782150859877</c:v>
                </c:pt>
                <c:pt idx="1792">
                  <c:v>99.55983737266817</c:v>
                </c:pt>
                <c:pt idx="1793">
                  <c:v>101.4105996453267</c:v>
                </c:pt>
                <c:pt idx="1794">
                  <c:v>101.40144068845115</c:v>
                </c:pt>
                <c:pt idx="1795">
                  <c:v>101.40144068845115</c:v>
                </c:pt>
                <c:pt idx="1796">
                  <c:v>101.40144068845115</c:v>
                </c:pt>
                <c:pt idx="1797">
                  <c:v>101.39738531542555</c:v>
                </c:pt>
                <c:pt idx="1798">
                  <c:v>101.38513327742875</c:v>
                </c:pt>
                <c:pt idx="1799">
                  <c:v>100.64226111103474</c:v>
                </c:pt>
                <c:pt idx="1800">
                  <c:v>100.968203126074</c:v>
                </c:pt>
                <c:pt idx="1801">
                  <c:v>100.72661630672368</c:v>
                </c:pt>
                <c:pt idx="1802">
                  <c:v>100.72661630672368</c:v>
                </c:pt>
                <c:pt idx="1803">
                  <c:v>100.72661630672368</c:v>
                </c:pt>
                <c:pt idx="1804">
                  <c:v>100.33279834485793</c:v>
                </c:pt>
                <c:pt idx="1805">
                  <c:v>100.3112326959295</c:v>
                </c:pt>
                <c:pt idx="1806">
                  <c:v>100.24897584647321</c:v>
                </c:pt>
                <c:pt idx="1807">
                  <c:v>100.5109598174395</c:v>
                </c:pt>
                <c:pt idx="1808">
                  <c:v>100.88175150873624</c:v>
                </c:pt>
                <c:pt idx="1809">
                  <c:v>100.88175150873624</c:v>
                </c:pt>
                <c:pt idx="1810">
                  <c:v>100.88175150873624</c:v>
                </c:pt>
                <c:pt idx="1811">
                  <c:v>100.7179728633683</c:v>
                </c:pt>
                <c:pt idx="1812">
                  <c:v>101.45355910534349</c:v>
                </c:pt>
                <c:pt idx="1813">
                  <c:v>100.10306833647225</c:v>
                </c:pt>
                <c:pt idx="1814">
                  <c:v>100.72960628514085</c:v>
                </c:pt>
                <c:pt idx="1815">
                  <c:v>100.44447575711753</c:v>
                </c:pt>
                <c:pt idx="1816">
                  <c:v>100.44447575711753</c:v>
                </c:pt>
                <c:pt idx="1817">
                  <c:v>100.44447575711753</c:v>
                </c:pt>
                <c:pt idx="1818">
                  <c:v>100.27609185763579</c:v>
                </c:pt>
                <c:pt idx="1819">
                  <c:v>100.70773132810031</c:v>
                </c:pt>
                <c:pt idx="1820">
                  <c:v>100.799200610368</c:v>
                </c:pt>
                <c:pt idx="1821">
                  <c:v>100.3288632583204</c:v>
                </c:pt>
                <c:pt idx="1822">
                  <c:v>100.3288632583204</c:v>
                </c:pt>
                <c:pt idx="1823">
                  <c:v>100.3288632583204</c:v>
                </c:pt>
                <c:pt idx="1824">
                  <c:v>100.3288632583204</c:v>
                </c:pt>
                <c:pt idx="1825">
                  <c:v>99.921985620609547</c:v>
                </c:pt>
                <c:pt idx="1826">
                  <c:v>100</c:v>
                </c:pt>
              </c:numCache>
            </c:numRef>
          </c:val>
          <c:smooth val="0"/>
          <c:extLst>
            <c:ext xmlns:c16="http://schemas.microsoft.com/office/drawing/2014/chart" uri="{C3380CC4-5D6E-409C-BE32-E72D297353CC}">
              <c16:uniqueId val="{00000007-9E9F-443E-87D8-A4B4D8C106CA}"/>
            </c:ext>
          </c:extLst>
        </c:ser>
        <c:dLbls>
          <c:showLegendKey val="0"/>
          <c:showVal val="0"/>
          <c:showCatName val="0"/>
          <c:showSerName val="0"/>
          <c:showPercent val="0"/>
          <c:showBubbleSize val="0"/>
        </c:dLbls>
        <c:smooth val="0"/>
        <c:axId val="859299184"/>
        <c:axId val="859306864"/>
      </c:lineChart>
      <c:dateAx>
        <c:axId val="859299184"/>
        <c:scaling>
          <c:orientation val="minMax"/>
        </c:scaling>
        <c:delete val="0"/>
        <c:axPos val="b"/>
        <c:numFmt formatCode="mmm\ yyyy" sourceLinked="0"/>
        <c:majorTickMark val="out"/>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9306864"/>
        <c:crossesAt val="100"/>
        <c:auto val="1"/>
        <c:lblOffset val="100"/>
        <c:baseTimeUnit val="days"/>
        <c:majorUnit val="12"/>
        <c:majorTimeUnit val="months"/>
      </c:dateAx>
      <c:valAx>
        <c:axId val="859306864"/>
        <c:scaling>
          <c:orientation val="minMax"/>
          <c:min val="0"/>
        </c:scaling>
        <c:delete val="0"/>
        <c:axPos val="l"/>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9299184"/>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'Forward PE'!$E$11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PE'!$E$11</c:f>
              <c:strCache>
                <c:ptCount val="1"/>
                <c:pt idx="0">
                  <c:v>#NAME?</c:v>
                </c:pt>
              </c:strCache>
            </c:strRef>
          </c:tx>
          <c:spPr>
            <a:ln w="28575" cap="rnd">
              <a:solidFill>
                <a:srgbClr val="0070C0"/>
              </a:solidFill>
              <a:round/>
            </a:ln>
            <a:effectLst/>
          </c:spPr>
          <c:marker>
            <c:symbol val="none"/>
          </c:marker>
          <c:cat>
            <c:numRef>
              <c:f>'Forward PE'!$C$20:$D$60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PE'!$E$20:$E$60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29F4-4CFC-91B3-6397254EFCEC}"/>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8575" cap="rnd">
              <a:solidFill>
                <a:srgbClr val="1F4E78"/>
              </a:solidFill>
              <a:round/>
            </a:ln>
            <a:effectLst/>
          </c:spPr>
          <c:marker>
            <c:symbol val="none"/>
          </c:marker>
          <c:dPt>
            <c:idx val="0"/>
            <c:marker>
              <c:symbol val="none"/>
            </c:marker>
            <c:bubble3D val="0"/>
            <c:spPr>
              <a:ln w="22225" cap="rnd">
                <a:solidFill>
                  <a:srgbClr val="1F4E78"/>
                </a:solidFill>
                <a:round/>
              </a:ln>
              <a:effectLst/>
            </c:spPr>
            <c:extLst>
              <c:ext xmlns:c16="http://schemas.microsoft.com/office/drawing/2014/chart" uri="{C3380CC4-5D6E-409C-BE32-E72D297353CC}">
                <c16:uniqueId val="{00000002-29F4-4CFC-91B3-6397254EFCEC}"/>
              </c:ext>
            </c:extLst>
          </c:dPt>
          <c:dLbls>
            <c:dLbl>
              <c:idx val="0"/>
              <c:delete val="1"/>
              <c:extLst>
                <c:ext xmlns:c15="http://schemas.microsoft.com/office/drawing/2012/chart" uri="{CE6537A1-D6FC-4f65-9D91-7224C49458BB}"/>
                <c:ext xmlns:c16="http://schemas.microsoft.com/office/drawing/2014/chart" uri="{C3380CC4-5D6E-409C-BE32-E72D297353CC}">
                  <c16:uniqueId val="{00000002-29F4-4CFC-91B3-6397254EFCE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PE'!$E$16,'Forward PE'!$E$16)</c:f>
              <c:numCache>
                <c:formatCode>0.0\x_);\(0.0\x\);\-\ </c:formatCode>
                <c:ptCount val="2"/>
                <c:pt idx="0">
                  <c:v>0</c:v>
                </c:pt>
                <c:pt idx="1">
                  <c:v>0</c:v>
                </c:pt>
              </c:numCache>
            </c:numRef>
          </c:yVal>
          <c:smooth val="1"/>
          <c:extLst>
            <c:ext xmlns:c16="http://schemas.microsoft.com/office/drawing/2014/chart" uri="{C3380CC4-5D6E-409C-BE32-E72D297353CC}">
              <c16:uniqueId val="{00000003-29F4-4CFC-91B3-6397254EFCEC}"/>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29F4-4CFC-91B3-6397254EFCE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PE'!$E$17,'Forward PE'!$E$17)</c:f>
              <c:numCache>
                <c:formatCode>0.0\x_);\(0.0\x\);\-\ </c:formatCode>
                <c:ptCount val="2"/>
                <c:pt idx="0">
                  <c:v>0</c:v>
                </c:pt>
                <c:pt idx="1">
                  <c:v>0</c:v>
                </c:pt>
              </c:numCache>
            </c:numRef>
          </c:yVal>
          <c:smooth val="1"/>
          <c:extLst>
            <c:ext xmlns:c16="http://schemas.microsoft.com/office/drawing/2014/chart" uri="{C3380CC4-5D6E-409C-BE32-E72D297353CC}">
              <c16:uniqueId val="{00000005-29F4-4CFC-91B3-6397254EFCEC}"/>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29F4-4CFC-91B3-6397254EFCE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PE'!$E$18,'Forward PE'!$E$18)</c:f>
              <c:numCache>
                <c:formatCode>0.0\x_);\(0.0\x\);\-\ </c:formatCode>
                <c:ptCount val="2"/>
                <c:pt idx="0">
                  <c:v>0</c:v>
                </c:pt>
                <c:pt idx="1">
                  <c:v>0</c:v>
                </c:pt>
              </c:numCache>
            </c:numRef>
          </c:yVal>
          <c:smooth val="1"/>
          <c:extLst>
            <c:ext xmlns:c16="http://schemas.microsoft.com/office/drawing/2014/chart" uri="{C3380CC4-5D6E-409C-BE32-E72D297353CC}">
              <c16:uniqueId val="{00000007-29F4-4CFC-91B3-6397254EFCEC}"/>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ax val="80"/>
          <c:min val="20"/>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PE'!$F$11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PE'!$F$11</c:f>
              <c:strCache>
                <c:ptCount val="1"/>
                <c:pt idx="0">
                  <c:v>#NAME?</c:v>
                </c:pt>
              </c:strCache>
            </c:strRef>
          </c:tx>
          <c:spPr>
            <a:ln w="28575" cap="rnd">
              <a:solidFill>
                <a:srgbClr val="0070C0"/>
              </a:solidFill>
              <a:round/>
            </a:ln>
            <a:effectLst/>
          </c:spPr>
          <c:marker>
            <c:symbol val="none"/>
          </c:marker>
          <c:cat>
            <c:numRef>
              <c:f>'Forward PE'!$C$20:$D$60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PE'!$F$20:$F$60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1798-4FFA-B075-61F0EDCBA513}"/>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1798-4FFA-B075-61F0EDCBA51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PE'!$F$16,'Forward PE'!$F$16)</c:f>
              <c:numCache>
                <c:formatCode>0.0\x_);\(0.0\x\);\-\ </c:formatCode>
                <c:ptCount val="2"/>
                <c:pt idx="0">
                  <c:v>0</c:v>
                </c:pt>
                <c:pt idx="1">
                  <c:v>0</c:v>
                </c:pt>
              </c:numCache>
            </c:numRef>
          </c:yVal>
          <c:smooth val="1"/>
          <c:extLst>
            <c:ext xmlns:c16="http://schemas.microsoft.com/office/drawing/2014/chart" uri="{C3380CC4-5D6E-409C-BE32-E72D297353CC}">
              <c16:uniqueId val="{00000002-1798-4FFA-B075-61F0EDCBA513}"/>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1798-4FFA-B075-61F0EDCBA51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PE'!$F$17,'Forward PE'!$F$17)</c:f>
              <c:numCache>
                <c:formatCode>0.0\x_);\(0.0\x\);\-\ </c:formatCode>
                <c:ptCount val="2"/>
                <c:pt idx="0">
                  <c:v>0</c:v>
                </c:pt>
                <c:pt idx="1">
                  <c:v>0</c:v>
                </c:pt>
              </c:numCache>
            </c:numRef>
          </c:yVal>
          <c:smooth val="1"/>
          <c:extLst>
            <c:ext xmlns:c16="http://schemas.microsoft.com/office/drawing/2014/chart" uri="{C3380CC4-5D6E-409C-BE32-E72D297353CC}">
              <c16:uniqueId val="{00000004-1798-4FFA-B075-61F0EDCBA513}"/>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1798-4FFA-B075-61F0EDCBA51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PE'!$F$18,'Forward PE'!$F$18)</c:f>
              <c:numCache>
                <c:formatCode>0.0\x_);\(0.0\x\);\-\ </c:formatCode>
                <c:ptCount val="2"/>
                <c:pt idx="0">
                  <c:v>0</c:v>
                </c:pt>
                <c:pt idx="1">
                  <c:v>0</c:v>
                </c:pt>
              </c:numCache>
            </c:numRef>
          </c:yVal>
          <c:smooth val="1"/>
          <c:extLst>
            <c:ext xmlns:c16="http://schemas.microsoft.com/office/drawing/2014/chart" uri="{C3380CC4-5D6E-409C-BE32-E72D297353CC}">
              <c16:uniqueId val="{00000006-1798-4FFA-B075-61F0EDCBA513}"/>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Financials!#REF!</c:f>
          <c:strCache>
            <c:ptCount val="1"/>
            <c:pt idx="0">
              <c:v>#REF!</c:v>
            </c:pt>
          </c:strCache>
        </c:strRef>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rgbClr val="A9D18E"/>
            </a:solidFill>
            <a:ln>
              <a:solidFill>
                <a:schemeClr val="tx1"/>
              </a:solidFill>
            </a:ln>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Financials!#REF!</c:f>
              <c:numCache>
                <c:formatCode>#,##0.0_);\(#,##0.0\);\-\ </c:formatCode>
                <c:ptCount val="1"/>
                <c:pt idx="0">
                  <c:v>1</c:v>
                </c:pt>
              </c:numCache>
            </c:numRef>
          </c:val>
          <c:extLst>
            <c:ext xmlns:c14="http://schemas.microsoft.com/office/drawing/2007/8/2/chart" uri="{6F2FDCE9-48DA-4B69-8628-5D25D57E5C99}">
              <c14:invertSolidFillFmt>
                <c14:spPr xmlns:c14="http://schemas.microsoft.com/office/drawing/2007/8/2/chart">
                  <a:solidFill>
                    <a:srgbClr val="FF0000"/>
                  </a:solidFill>
                  <a:ln>
                    <a:solidFill>
                      <a:schemeClr val="tx1"/>
                    </a:solidFill>
                  </a:ln>
                  <a:effectLst/>
                </c14:spPr>
              </c14:invertSolidFillFmt>
            </c:ext>
            <c:ext xmlns:c15="http://schemas.microsoft.com/office/drawing/2012/chart" uri="{02D57815-91ED-43cb-92C2-25804820EDAC}">
              <c15:filteredSeriesTitle>
                <c15:tx>
                  <c:strRef>
                    <c:extLst>
                      <c:ext uri="{02D57815-91ED-43cb-92C2-25804820EDAC}">
                        <c15:formulaRef>
                          <c15:sqref>Financials!#REF!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Charts!#REF!</c15:sqref>
                        </c15:formulaRef>
                      </c:ext>
                    </c:extLst>
                    <c:strCache>
                      <c:ptCount val="1"/>
                      <c:pt idx="0">
                        <c:v>#REF!</c:v>
                      </c:pt>
                    </c:strCache>
                  </c:strRef>
                </c15:cat>
              </c15:filteredCategoryTitle>
            </c:ext>
            <c:ext xmlns:c16="http://schemas.microsoft.com/office/drawing/2014/chart" uri="{C3380CC4-5D6E-409C-BE32-E72D297353CC}">
              <c16:uniqueId val="{00000000-85CB-4C30-81E2-17CB57C3A7CB}"/>
            </c:ext>
          </c:extLst>
        </c:ser>
        <c:dLbls>
          <c:showLegendKey val="0"/>
          <c:showVal val="0"/>
          <c:showCatName val="0"/>
          <c:showSerName val="0"/>
          <c:showPercent val="0"/>
          <c:showBubbleSize val="0"/>
        </c:dLbls>
        <c:gapWidth val="50"/>
        <c:axId val="679394336"/>
        <c:axId val="679394752"/>
      </c:barChart>
      <c:catAx>
        <c:axId val="67939433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t" anchorCtr="0"/>
          <a:lstStyle/>
          <a:p>
            <a:pPr>
              <a:defRPr sz="800" b="0" i="0" u="none" strike="noStrike" kern="1200" baseline="0">
                <a:solidFill>
                  <a:sysClr val="windowText" lastClr="000000"/>
                </a:solidFill>
                <a:latin typeface="+mn-lt"/>
                <a:ea typeface="+mn-ea"/>
                <a:cs typeface="+mn-cs"/>
              </a:defRPr>
            </a:pPr>
            <a:endParaRPr lang="en-US"/>
          </a:p>
        </c:txPr>
        <c:crossAx val="679394752"/>
        <c:crosses val="autoZero"/>
        <c:auto val="1"/>
        <c:lblAlgn val="ctr"/>
        <c:lblOffset val="200"/>
        <c:noMultiLvlLbl val="0"/>
      </c:catAx>
      <c:valAx>
        <c:axId val="679394752"/>
        <c:scaling>
          <c:orientation val="minMax"/>
        </c:scaling>
        <c:delete val="1"/>
        <c:axPos val="l"/>
        <c:numFmt formatCode="#,##0.0_);\(#,##0.0\);\-\ " sourceLinked="1"/>
        <c:majorTickMark val="none"/>
        <c:minorTickMark val="none"/>
        <c:tickLblPos val="nextTo"/>
        <c:crossAx val="679394336"/>
        <c:crosses val="autoZero"/>
        <c:crossBetween val="between"/>
      </c:valAx>
      <c:spPr>
        <a:noFill/>
        <a:ln>
          <a:noFill/>
        </a:ln>
        <a:effectLst/>
      </c:spPr>
    </c:plotArea>
    <c:plotVisOnly val="1"/>
    <c:dispBlanksAs val="gap"/>
    <c:showDLblsOverMax val="0"/>
  </c:chart>
  <c:spPr>
    <a:noFill/>
    <a:ln w="9525" cap="flat" cmpd="sng" algn="ctr">
      <a:solidFill>
        <a:schemeClr val="tx1"/>
      </a:solidFill>
      <a:round/>
    </a:ln>
    <a:effectLst/>
  </c:spPr>
  <c:txPr>
    <a:bodyPr/>
    <a:lstStyle/>
    <a:p>
      <a:pPr>
        <a:defRPr sz="800">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PE'!$G$11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PE'!$G$11</c:f>
              <c:strCache>
                <c:ptCount val="1"/>
                <c:pt idx="0">
                  <c:v>#NAME?</c:v>
                </c:pt>
              </c:strCache>
            </c:strRef>
          </c:tx>
          <c:spPr>
            <a:ln w="28575" cap="rnd">
              <a:solidFill>
                <a:srgbClr val="0070C0"/>
              </a:solidFill>
              <a:round/>
            </a:ln>
            <a:effectLst/>
          </c:spPr>
          <c:marker>
            <c:symbol val="none"/>
          </c:marker>
          <c:cat>
            <c:numRef>
              <c:f>'Forward PE'!$C$20:$D$60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PE'!$G$20:$G$60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8C23-40C2-A31E-FB88486BB652}"/>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C23-40C2-A31E-FB88486BB65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PE'!$G$16,'Forward PE'!$G$16)</c:f>
              <c:numCache>
                <c:formatCode>0.0\x_);\(0.0\x\);\-\ </c:formatCode>
                <c:ptCount val="2"/>
                <c:pt idx="0">
                  <c:v>0</c:v>
                </c:pt>
                <c:pt idx="1">
                  <c:v>0</c:v>
                </c:pt>
              </c:numCache>
            </c:numRef>
          </c:yVal>
          <c:smooth val="1"/>
          <c:extLst>
            <c:ext xmlns:c16="http://schemas.microsoft.com/office/drawing/2014/chart" uri="{C3380CC4-5D6E-409C-BE32-E72D297353CC}">
              <c16:uniqueId val="{00000002-8C23-40C2-A31E-FB88486BB652}"/>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C23-40C2-A31E-FB88486BB65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PE'!$G$17,'Forward PE'!$G$17)</c:f>
              <c:numCache>
                <c:formatCode>0.0\x_);\(0.0\x\);\-\ </c:formatCode>
                <c:ptCount val="2"/>
                <c:pt idx="0">
                  <c:v>0</c:v>
                </c:pt>
                <c:pt idx="1">
                  <c:v>0</c:v>
                </c:pt>
              </c:numCache>
            </c:numRef>
          </c:yVal>
          <c:smooth val="1"/>
          <c:extLst>
            <c:ext xmlns:c16="http://schemas.microsoft.com/office/drawing/2014/chart" uri="{C3380CC4-5D6E-409C-BE32-E72D297353CC}">
              <c16:uniqueId val="{00000004-8C23-40C2-A31E-FB88486BB652}"/>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C23-40C2-A31E-FB88486BB65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PE'!$G$18,'Forward PE'!$G$18)</c:f>
              <c:numCache>
                <c:formatCode>0.0\x_);\(0.0\x\);\-\ </c:formatCode>
                <c:ptCount val="2"/>
                <c:pt idx="0">
                  <c:v>0</c:v>
                </c:pt>
                <c:pt idx="1">
                  <c:v>0</c:v>
                </c:pt>
              </c:numCache>
            </c:numRef>
          </c:yVal>
          <c:smooth val="1"/>
          <c:extLst>
            <c:ext xmlns:c16="http://schemas.microsoft.com/office/drawing/2014/chart" uri="{C3380CC4-5D6E-409C-BE32-E72D297353CC}">
              <c16:uniqueId val="{00000006-8C23-40C2-A31E-FB88486BB652}"/>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PE'!$H$11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PE'!$H$11</c:f>
              <c:strCache>
                <c:ptCount val="1"/>
                <c:pt idx="0">
                  <c:v>#NAME?</c:v>
                </c:pt>
              </c:strCache>
            </c:strRef>
          </c:tx>
          <c:spPr>
            <a:ln w="28575" cap="rnd">
              <a:solidFill>
                <a:srgbClr val="0070C0"/>
              </a:solidFill>
              <a:round/>
            </a:ln>
            <a:effectLst/>
          </c:spPr>
          <c:marker>
            <c:symbol val="none"/>
          </c:marker>
          <c:cat>
            <c:numRef>
              <c:f>'Forward PE'!$C$20:$D$60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PE'!$H$20:$H$60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8FC8-492A-8EEF-7A07CD1689CD}"/>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FC8-492A-8EEF-7A07CD1689CD}"/>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PE'!$H$16,'Forward PE'!$H$16)</c:f>
              <c:numCache>
                <c:formatCode>0.0\x_);\(0.0\x\);\-\ </c:formatCode>
                <c:ptCount val="2"/>
                <c:pt idx="0">
                  <c:v>0</c:v>
                </c:pt>
                <c:pt idx="1">
                  <c:v>0</c:v>
                </c:pt>
              </c:numCache>
            </c:numRef>
          </c:yVal>
          <c:smooth val="1"/>
          <c:extLst>
            <c:ext xmlns:c16="http://schemas.microsoft.com/office/drawing/2014/chart" uri="{C3380CC4-5D6E-409C-BE32-E72D297353CC}">
              <c16:uniqueId val="{00000002-8FC8-492A-8EEF-7A07CD1689CD}"/>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FC8-492A-8EEF-7A07CD1689CD}"/>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PE'!$H$17,'Forward PE'!$H$17)</c:f>
              <c:numCache>
                <c:formatCode>0.0\x_);\(0.0\x\);\-\ </c:formatCode>
                <c:ptCount val="2"/>
                <c:pt idx="0">
                  <c:v>0</c:v>
                </c:pt>
                <c:pt idx="1">
                  <c:v>0</c:v>
                </c:pt>
              </c:numCache>
            </c:numRef>
          </c:yVal>
          <c:smooth val="1"/>
          <c:extLst>
            <c:ext xmlns:c16="http://schemas.microsoft.com/office/drawing/2014/chart" uri="{C3380CC4-5D6E-409C-BE32-E72D297353CC}">
              <c16:uniqueId val="{00000004-8FC8-492A-8EEF-7A07CD1689CD}"/>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FC8-492A-8EEF-7A07CD1689CD}"/>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PE'!$H$18,'Forward PE'!$H$18)</c:f>
              <c:numCache>
                <c:formatCode>0.0\x_);\(0.0\x\);\-\ </c:formatCode>
                <c:ptCount val="2"/>
                <c:pt idx="0">
                  <c:v>0</c:v>
                </c:pt>
                <c:pt idx="1">
                  <c:v>0</c:v>
                </c:pt>
              </c:numCache>
            </c:numRef>
          </c:yVal>
          <c:smooth val="1"/>
          <c:extLst>
            <c:ext xmlns:c16="http://schemas.microsoft.com/office/drawing/2014/chart" uri="{C3380CC4-5D6E-409C-BE32-E72D297353CC}">
              <c16:uniqueId val="{00000006-8FC8-492A-8EEF-7A07CD1689CD}"/>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PE'!$L$11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PE'!$L$11</c:f>
              <c:strCache>
                <c:ptCount val="1"/>
                <c:pt idx="0">
                  <c:v>#NAME?</c:v>
                </c:pt>
              </c:strCache>
            </c:strRef>
          </c:tx>
          <c:spPr>
            <a:ln w="28575" cap="rnd">
              <a:solidFill>
                <a:srgbClr val="0070C0"/>
              </a:solidFill>
              <a:round/>
            </a:ln>
            <a:effectLst/>
          </c:spPr>
          <c:marker>
            <c:symbol val="none"/>
          </c:marker>
          <c:cat>
            <c:numRef>
              <c:f>'Forward PE'!$C$20:$D$60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PE'!$L$20:$L$60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7EF6-415C-9CCF-D7EAD0D6DE9F}"/>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7EF6-415C-9CCF-D7EAD0D6DE9F}"/>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PE'!$L$16,'Forward PE'!$L$16)</c:f>
              <c:numCache>
                <c:formatCode>0.0\x_);\(0.0\x\);\-\ </c:formatCode>
                <c:ptCount val="2"/>
                <c:pt idx="0">
                  <c:v>0</c:v>
                </c:pt>
                <c:pt idx="1">
                  <c:v>0</c:v>
                </c:pt>
              </c:numCache>
            </c:numRef>
          </c:yVal>
          <c:smooth val="1"/>
          <c:extLst>
            <c:ext xmlns:c16="http://schemas.microsoft.com/office/drawing/2014/chart" uri="{C3380CC4-5D6E-409C-BE32-E72D297353CC}">
              <c16:uniqueId val="{00000002-7EF6-415C-9CCF-D7EAD0D6DE9F}"/>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7EF6-415C-9CCF-D7EAD0D6DE9F}"/>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PE'!$L$17,'Forward PE'!$L$17)</c:f>
              <c:numCache>
                <c:formatCode>0.0\x_);\(0.0\x\);\-\ </c:formatCode>
                <c:ptCount val="2"/>
                <c:pt idx="0">
                  <c:v>0</c:v>
                </c:pt>
                <c:pt idx="1">
                  <c:v>0</c:v>
                </c:pt>
              </c:numCache>
            </c:numRef>
          </c:yVal>
          <c:smooth val="1"/>
          <c:extLst>
            <c:ext xmlns:c16="http://schemas.microsoft.com/office/drawing/2014/chart" uri="{C3380CC4-5D6E-409C-BE32-E72D297353CC}">
              <c16:uniqueId val="{00000004-7EF6-415C-9CCF-D7EAD0D6DE9F}"/>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7EF6-415C-9CCF-D7EAD0D6DE9F}"/>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PE'!$L$18,'Forward PE'!$L$18)</c:f>
              <c:numCache>
                <c:formatCode>0.0\x_);\(0.0\x\);\-\ </c:formatCode>
                <c:ptCount val="2"/>
                <c:pt idx="0">
                  <c:v>0</c:v>
                </c:pt>
                <c:pt idx="1">
                  <c:v>0</c:v>
                </c:pt>
              </c:numCache>
            </c:numRef>
          </c:yVal>
          <c:smooth val="1"/>
          <c:extLst>
            <c:ext xmlns:c16="http://schemas.microsoft.com/office/drawing/2014/chart" uri="{C3380CC4-5D6E-409C-BE32-E72D297353CC}">
              <c16:uniqueId val="{00000006-7EF6-415C-9CCF-D7EAD0D6DE9F}"/>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PE'!$I$11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PE'!$I$11</c:f>
              <c:strCache>
                <c:ptCount val="1"/>
                <c:pt idx="0">
                  <c:v>#NAME?</c:v>
                </c:pt>
              </c:strCache>
            </c:strRef>
          </c:tx>
          <c:spPr>
            <a:ln w="28575" cap="rnd">
              <a:solidFill>
                <a:srgbClr val="0070C0"/>
              </a:solidFill>
              <a:round/>
            </a:ln>
            <a:effectLst/>
          </c:spPr>
          <c:marker>
            <c:symbol val="none"/>
          </c:marker>
          <c:cat>
            <c:numRef>
              <c:f>'Forward PE'!$C$20:$D$60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PE'!$I$20:$I$60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1E25-4E55-8C69-00DE8549D719}"/>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1E25-4E55-8C69-00DE8549D71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PE'!$I$16,'Forward PE'!$I$16)</c:f>
              <c:numCache>
                <c:formatCode>0.0\x_);\(0.0\x\);\-\ </c:formatCode>
                <c:ptCount val="2"/>
                <c:pt idx="0">
                  <c:v>0</c:v>
                </c:pt>
                <c:pt idx="1">
                  <c:v>0</c:v>
                </c:pt>
              </c:numCache>
            </c:numRef>
          </c:yVal>
          <c:smooth val="1"/>
          <c:extLst>
            <c:ext xmlns:c16="http://schemas.microsoft.com/office/drawing/2014/chart" uri="{C3380CC4-5D6E-409C-BE32-E72D297353CC}">
              <c16:uniqueId val="{00000002-1E25-4E55-8C69-00DE8549D719}"/>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1E25-4E55-8C69-00DE8549D71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PE'!$I$17,'Forward PE'!$I$17)</c:f>
              <c:numCache>
                <c:formatCode>0.0\x_);\(0.0\x\);\-\ </c:formatCode>
                <c:ptCount val="2"/>
                <c:pt idx="0">
                  <c:v>0</c:v>
                </c:pt>
                <c:pt idx="1">
                  <c:v>0</c:v>
                </c:pt>
              </c:numCache>
            </c:numRef>
          </c:yVal>
          <c:smooth val="1"/>
          <c:extLst>
            <c:ext xmlns:c16="http://schemas.microsoft.com/office/drawing/2014/chart" uri="{C3380CC4-5D6E-409C-BE32-E72D297353CC}">
              <c16:uniqueId val="{00000004-1E25-4E55-8C69-00DE8549D719}"/>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1E25-4E55-8C69-00DE8549D71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PE'!$I$18,'Forward PE'!$I$18)</c:f>
              <c:numCache>
                <c:formatCode>0.0\x_);\(0.0\x\);\-\ </c:formatCode>
                <c:ptCount val="2"/>
                <c:pt idx="0">
                  <c:v>0</c:v>
                </c:pt>
                <c:pt idx="1">
                  <c:v>0</c:v>
                </c:pt>
              </c:numCache>
            </c:numRef>
          </c:yVal>
          <c:smooth val="1"/>
          <c:extLst>
            <c:ext xmlns:c16="http://schemas.microsoft.com/office/drawing/2014/chart" uri="{C3380CC4-5D6E-409C-BE32-E72D297353CC}">
              <c16:uniqueId val="{00000006-1E25-4E55-8C69-00DE8549D719}"/>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PE'!$J$11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PE'!$J$11</c:f>
              <c:strCache>
                <c:ptCount val="1"/>
                <c:pt idx="0">
                  <c:v>#NAME?</c:v>
                </c:pt>
              </c:strCache>
            </c:strRef>
          </c:tx>
          <c:spPr>
            <a:ln w="28575" cap="rnd">
              <a:solidFill>
                <a:srgbClr val="0070C0"/>
              </a:solidFill>
              <a:round/>
            </a:ln>
            <a:effectLst/>
          </c:spPr>
          <c:marker>
            <c:symbol val="none"/>
          </c:marker>
          <c:cat>
            <c:numRef>
              <c:f>'Forward PE'!$C$20:$D$60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PE'!$J$20:$J$60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D1F8-48F3-8800-DD20F5D54460}"/>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D1F8-48F3-8800-DD20F5D5446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PE'!$J$16,'Forward PE'!$J$16)</c:f>
              <c:numCache>
                <c:formatCode>0.0\x_);\(0.0\x\);\-\ </c:formatCode>
                <c:ptCount val="2"/>
                <c:pt idx="0">
                  <c:v>0</c:v>
                </c:pt>
                <c:pt idx="1">
                  <c:v>0</c:v>
                </c:pt>
              </c:numCache>
            </c:numRef>
          </c:yVal>
          <c:smooth val="1"/>
          <c:extLst>
            <c:ext xmlns:c16="http://schemas.microsoft.com/office/drawing/2014/chart" uri="{C3380CC4-5D6E-409C-BE32-E72D297353CC}">
              <c16:uniqueId val="{00000002-D1F8-48F3-8800-DD20F5D54460}"/>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D1F8-48F3-8800-DD20F5D5446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PE'!$J$17,'Forward PE'!$J$17)</c:f>
              <c:numCache>
                <c:formatCode>0.0\x_);\(0.0\x\);\-\ </c:formatCode>
                <c:ptCount val="2"/>
                <c:pt idx="0">
                  <c:v>0</c:v>
                </c:pt>
                <c:pt idx="1">
                  <c:v>0</c:v>
                </c:pt>
              </c:numCache>
            </c:numRef>
          </c:yVal>
          <c:smooth val="1"/>
          <c:extLst>
            <c:ext xmlns:c16="http://schemas.microsoft.com/office/drawing/2014/chart" uri="{C3380CC4-5D6E-409C-BE32-E72D297353CC}">
              <c16:uniqueId val="{00000004-D1F8-48F3-8800-DD20F5D54460}"/>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D1F8-48F3-8800-DD20F5D54460}"/>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PE'!$J$18,'Forward PE'!$J$18)</c:f>
              <c:numCache>
                <c:formatCode>0.0\x_);\(0.0\x\);\-\ </c:formatCode>
                <c:ptCount val="2"/>
                <c:pt idx="0">
                  <c:v>0</c:v>
                </c:pt>
                <c:pt idx="1">
                  <c:v>0</c:v>
                </c:pt>
              </c:numCache>
            </c:numRef>
          </c:yVal>
          <c:smooth val="1"/>
          <c:extLst>
            <c:ext xmlns:c16="http://schemas.microsoft.com/office/drawing/2014/chart" uri="{C3380CC4-5D6E-409C-BE32-E72D297353CC}">
              <c16:uniqueId val="{00000006-D1F8-48F3-8800-DD20F5D54460}"/>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PE'!$K$11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PE'!$K$11</c:f>
              <c:strCache>
                <c:ptCount val="1"/>
                <c:pt idx="0">
                  <c:v>#NAME?</c:v>
                </c:pt>
              </c:strCache>
            </c:strRef>
          </c:tx>
          <c:spPr>
            <a:ln w="28575" cap="rnd">
              <a:solidFill>
                <a:srgbClr val="0070C0"/>
              </a:solidFill>
              <a:round/>
            </a:ln>
            <a:effectLst/>
          </c:spPr>
          <c:marker>
            <c:symbol val="none"/>
          </c:marker>
          <c:cat>
            <c:numRef>
              <c:f>'Forward PE'!$C$20:$D$60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PE'!$K$20:$K$60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7483-42E9-BFDF-56CE0E17EB18}"/>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PE'!$C$16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7483-42E9-BFDF-56CE0E17EB1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PE'!$K$16,'Forward PE'!$K$16)</c:f>
              <c:numCache>
                <c:formatCode>0.0\x_);\(0.0\x\);\-\ </c:formatCode>
                <c:ptCount val="2"/>
                <c:pt idx="0">
                  <c:v>0</c:v>
                </c:pt>
                <c:pt idx="1">
                  <c:v>0</c:v>
                </c:pt>
              </c:numCache>
            </c:numRef>
          </c:yVal>
          <c:smooth val="1"/>
          <c:extLst>
            <c:ext xmlns:c16="http://schemas.microsoft.com/office/drawing/2014/chart" uri="{C3380CC4-5D6E-409C-BE32-E72D297353CC}">
              <c16:uniqueId val="{00000002-7483-42E9-BFDF-56CE0E17EB18}"/>
            </c:ext>
          </c:extLst>
        </c:ser>
        <c:ser>
          <c:idx val="2"/>
          <c:order val="2"/>
          <c:tx>
            <c:strRef>
              <c:f>'Forward PE'!$C$17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7483-42E9-BFDF-56CE0E17EB1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PE'!$K$17,'Forward PE'!$K$17)</c:f>
              <c:numCache>
                <c:formatCode>0.0\x_);\(0.0\x\);\-\ </c:formatCode>
                <c:ptCount val="2"/>
                <c:pt idx="0">
                  <c:v>0</c:v>
                </c:pt>
                <c:pt idx="1">
                  <c:v>0</c:v>
                </c:pt>
              </c:numCache>
            </c:numRef>
          </c:yVal>
          <c:smooth val="1"/>
          <c:extLst>
            <c:ext xmlns:c16="http://schemas.microsoft.com/office/drawing/2014/chart" uri="{C3380CC4-5D6E-409C-BE32-E72D297353CC}">
              <c16:uniqueId val="{00000004-7483-42E9-BFDF-56CE0E17EB18}"/>
            </c:ext>
          </c:extLst>
        </c:ser>
        <c:ser>
          <c:idx val="3"/>
          <c:order val="3"/>
          <c:tx>
            <c:strRef>
              <c:f>'Forward PE'!$C$18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7483-42E9-BFDF-56CE0E17EB1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PE'!$K$18,'Forward PE'!$K$18)</c:f>
              <c:numCache>
                <c:formatCode>0.0\x_);\(0.0\x\);\-\ </c:formatCode>
                <c:ptCount val="2"/>
                <c:pt idx="0">
                  <c:v>0</c:v>
                </c:pt>
                <c:pt idx="1">
                  <c:v>0</c:v>
                </c:pt>
              </c:numCache>
            </c:numRef>
          </c:yVal>
          <c:smooth val="1"/>
          <c:extLst>
            <c:ext xmlns:c16="http://schemas.microsoft.com/office/drawing/2014/chart" uri="{C3380CC4-5D6E-409C-BE32-E72D297353CC}">
              <c16:uniqueId val="{00000006-7483-42E9-BFDF-56CE0E17EB18}"/>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4"/>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'Forward EV Revenue'!$E$11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Revenue'!$E$11</c:f>
              <c:strCache>
                <c:ptCount val="1"/>
                <c:pt idx="0">
                  <c:v>#NAME?</c:v>
                </c:pt>
              </c:strCache>
            </c:strRef>
          </c:tx>
          <c:spPr>
            <a:ln w="28575" cap="rnd">
              <a:solidFill>
                <a:srgbClr val="0070C0"/>
              </a:solidFill>
              <a:round/>
            </a:ln>
            <a:effectLst/>
          </c:spPr>
          <c:marker>
            <c:symbol val="none"/>
          </c:marker>
          <c:cat>
            <c:numRef>
              <c:f>'Forward EV Revenue'!$C$20:$D$60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 Revenue'!$E$20:$E$60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EA8D-4CC8-858E-F2A79C5B160F}"/>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8575" cap="rnd">
              <a:solidFill>
                <a:srgbClr val="1F4E78"/>
              </a:solidFill>
              <a:round/>
            </a:ln>
            <a:effectLst/>
          </c:spPr>
          <c:marker>
            <c:symbol val="none"/>
          </c:marker>
          <c:dPt>
            <c:idx val="0"/>
            <c:marker>
              <c:symbol val="none"/>
            </c:marker>
            <c:bubble3D val="0"/>
            <c:spPr>
              <a:ln w="22225" cap="rnd">
                <a:solidFill>
                  <a:srgbClr val="1F4E78"/>
                </a:solidFill>
                <a:round/>
              </a:ln>
              <a:effectLst/>
            </c:spPr>
            <c:extLst>
              <c:ext xmlns:c16="http://schemas.microsoft.com/office/drawing/2014/chart" uri="{C3380CC4-5D6E-409C-BE32-E72D297353CC}">
                <c16:uniqueId val="{00000002-EA8D-4CC8-858E-F2A79C5B160F}"/>
              </c:ext>
            </c:extLst>
          </c:dPt>
          <c:dLbls>
            <c:dLbl>
              <c:idx val="0"/>
              <c:delete val="1"/>
              <c:extLst>
                <c:ext xmlns:c15="http://schemas.microsoft.com/office/drawing/2012/chart" uri="{CE6537A1-D6FC-4f65-9D91-7224C49458BB}"/>
                <c:ext xmlns:c16="http://schemas.microsoft.com/office/drawing/2014/chart" uri="{C3380CC4-5D6E-409C-BE32-E72D297353CC}">
                  <c16:uniqueId val="{00000002-EA8D-4CC8-858E-F2A79C5B160F}"/>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Revenue'!$E$16,'Forward EV Revenue'!$E$16)</c:f>
              <c:numCache>
                <c:formatCode>0.0\x_);\(0.0\x\);\-\ </c:formatCode>
                <c:ptCount val="2"/>
                <c:pt idx="0">
                  <c:v>0</c:v>
                </c:pt>
                <c:pt idx="1">
                  <c:v>0</c:v>
                </c:pt>
              </c:numCache>
            </c:numRef>
          </c:yVal>
          <c:smooth val="1"/>
          <c:extLst>
            <c:ext xmlns:c16="http://schemas.microsoft.com/office/drawing/2014/chart" uri="{C3380CC4-5D6E-409C-BE32-E72D297353CC}">
              <c16:uniqueId val="{00000003-EA8D-4CC8-858E-F2A79C5B160F}"/>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EA8D-4CC8-858E-F2A79C5B160F}"/>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Revenue'!$E$17,'Forward EV Revenue'!$E$17)</c:f>
              <c:numCache>
                <c:formatCode>0.0\x_);\(0.0\x\);\-\ </c:formatCode>
                <c:ptCount val="2"/>
                <c:pt idx="0">
                  <c:v>0</c:v>
                </c:pt>
                <c:pt idx="1">
                  <c:v>0</c:v>
                </c:pt>
              </c:numCache>
            </c:numRef>
          </c:yVal>
          <c:smooth val="1"/>
          <c:extLst>
            <c:ext xmlns:c16="http://schemas.microsoft.com/office/drawing/2014/chart" uri="{C3380CC4-5D6E-409C-BE32-E72D297353CC}">
              <c16:uniqueId val="{00000005-EA8D-4CC8-858E-F2A79C5B160F}"/>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EA8D-4CC8-858E-F2A79C5B160F}"/>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Revenue'!$E$18,'Forward EV Revenue'!$E$18)</c:f>
              <c:numCache>
                <c:formatCode>0.0\x_);\(0.0\x\);\-\ </c:formatCode>
                <c:ptCount val="2"/>
                <c:pt idx="0">
                  <c:v>0</c:v>
                </c:pt>
                <c:pt idx="1">
                  <c:v>0</c:v>
                </c:pt>
              </c:numCache>
            </c:numRef>
          </c:yVal>
          <c:smooth val="1"/>
          <c:extLst>
            <c:ext xmlns:c16="http://schemas.microsoft.com/office/drawing/2014/chart" uri="{C3380CC4-5D6E-409C-BE32-E72D297353CC}">
              <c16:uniqueId val="{00000007-EA8D-4CC8-858E-F2A79C5B160F}"/>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Revenue'!$F$11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Revenue'!$F$11</c:f>
              <c:strCache>
                <c:ptCount val="1"/>
                <c:pt idx="0">
                  <c:v>#NAME?</c:v>
                </c:pt>
              </c:strCache>
            </c:strRef>
          </c:tx>
          <c:spPr>
            <a:ln w="28575" cap="rnd">
              <a:solidFill>
                <a:srgbClr val="0070C0"/>
              </a:solidFill>
              <a:round/>
            </a:ln>
            <a:effectLst/>
          </c:spPr>
          <c:marker>
            <c:symbol val="none"/>
          </c:marker>
          <c:cat>
            <c:numRef>
              <c:f>'Forward EV Revenue'!$C$20:$D$60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 Revenue'!$F$20:$F$60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A544-4AA0-9166-DF9EFD48F60C}"/>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A544-4AA0-9166-DF9EFD48F60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Revenue'!$F$16,'Forward EV Revenue'!$F$16)</c:f>
              <c:numCache>
                <c:formatCode>0.0\x_);\(0.0\x\);\-\ </c:formatCode>
                <c:ptCount val="2"/>
                <c:pt idx="0">
                  <c:v>0</c:v>
                </c:pt>
                <c:pt idx="1">
                  <c:v>0</c:v>
                </c:pt>
              </c:numCache>
            </c:numRef>
          </c:yVal>
          <c:smooth val="1"/>
          <c:extLst>
            <c:ext xmlns:c16="http://schemas.microsoft.com/office/drawing/2014/chart" uri="{C3380CC4-5D6E-409C-BE32-E72D297353CC}">
              <c16:uniqueId val="{00000002-A544-4AA0-9166-DF9EFD48F60C}"/>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A544-4AA0-9166-DF9EFD48F60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Revenue'!$F$17,'Forward EV Revenue'!$F$17)</c:f>
              <c:numCache>
                <c:formatCode>0.0\x_);\(0.0\x\);\-\ </c:formatCode>
                <c:ptCount val="2"/>
                <c:pt idx="0">
                  <c:v>0</c:v>
                </c:pt>
                <c:pt idx="1">
                  <c:v>0</c:v>
                </c:pt>
              </c:numCache>
            </c:numRef>
          </c:yVal>
          <c:smooth val="1"/>
          <c:extLst>
            <c:ext xmlns:c16="http://schemas.microsoft.com/office/drawing/2014/chart" uri="{C3380CC4-5D6E-409C-BE32-E72D297353CC}">
              <c16:uniqueId val="{00000004-A544-4AA0-9166-DF9EFD48F60C}"/>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A544-4AA0-9166-DF9EFD48F60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Revenue'!$F$18,'Forward EV Revenue'!$F$18)</c:f>
              <c:numCache>
                <c:formatCode>0.0\x_);\(0.0\x\);\-\ </c:formatCode>
                <c:ptCount val="2"/>
                <c:pt idx="0">
                  <c:v>0</c:v>
                </c:pt>
                <c:pt idx="1">
                  <c:v>0</c:v>
                </c:pt>
              </c:numCache>
            </c:numRef>
          </c:yVal>
          <c:smooth val="1"/>
          <c:extLst>
            <c:ext xmlns:c16="http://schemas.microsoft.com/office/drawing/2014/chart" uri="{C3380CC4-5D6E-409C-BE32-E72D297353CC}">
              <c16:uniqueId val="{00000006-A544-4AA0-9166-DF9EFD48F60C}"/>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Revenue'!$G$11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Revenue'!$G$11</c:f>
              <c:strCache>
                <c:ptCount val="1"/>
                <c:pt idx="0">
                  <c:v>#NAME?</c:v>
                </c:pt>
              </c:strCache>
            </c:strRef>
          </c:tx>
          <c:spPr>
            <a:ln w="28575" cap="rnd">
              <a:solidFill>
                <a:srgbClr val="0070C0"/>
              </a:solidFill>
              <a:round/>
            </a:ln>
            <a:effectLst/>
          </c:spPr>
          <c:marker>
            <c:symbol val="none"/>
          </c:marker>
          <c:cat>
            <c:numRef>
              <c:f>'Forward EV Revenue'!$C$20:$D$60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 Revenue'!$G$20:$G$60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2FAE-4D86-89F5-B032EF0BB5B2}"/>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2FAE-4D86-89F5-B032EF0BB5B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Revenue'!$G$16,'Forward EV Revenue'!$G$16)</c:f>
              <c:numCache>
                <c:formatCode>0.0\x_);\(0.0\x\);\-\ </c:formatCode>
                <c:ptCount val="2"/>
                <c:pt idx="0">
                  <c:v>0</c:v>
                </c:pt>
                <c:pt idx="1">
                  <c:v>0</c:v>
                </c:pt>
              </c:numCache>
            </c:numRef>
          </c:yVal>
          <c:smooth val="1"/>
          <c:extLst>
            <c:ext xmlns:c16="http://schemas.microsoft.com/office/drawing/2014/chart" uri="{C3380CC4-5D6E-409C-BE32-E72D297353CC}">
              <c16:uniqueId val="{00000002-2FAE-4D86-89F5-B032EF0BB5B2}"/>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2FAE-4D86-89F5-B032EF0BB5B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Revenue'!$G$17,'Forward EV Revenue'!$G$17)</c:f>
              <c:numCache>
                <c:formatCode>0.0\x_);\(0.0\x\);\-\ </c:formatCode>
                <c:ptCount val="2"/>
                <c:pt idx="0">
                  <c:v>0</c:v>
                </c:pt>
                <c:pt idx="1">
                  <c:v>0</c:v>
                </c:pt>
              </c:numCache>
            </c:numRef>
          </c:yVal>
          <c:smooth val="1"/>
          <c:extLst>
            <c:ext xmlns:c16="http://schemas.microsoft.com/office/drawing/2014/chart" uri="{C3380CC4-5D6E-409C-BE32-E72D297353CC}">
              <c16:uniqueId val="{00000004-2FAE-4D86-89F5-B032EF0BB5B2}"/>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2FAE-4D86-89F5-B032EF0BB5B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Revenue'!$G$18,'Forward EV Revenue'!$G$18)</c:f>
              <c:numCache>
                <c:formatCode>0.0\x_);\(0.0\x\);\-\ </c:formatCode>
                <c:ptCount val="2"/>
                <c:pt idx="0">
                  <c:v>0</c:v>
                </c:pt>
                <c:pt idx="1">
                  <c:v>0</c:v>
                </c:pt>
              </c:numCache>
            </c:numRef>
          </c:yVal>
          <c:smooth val="1"/>
          <c:extLst>
            <c:ext xmlns:c16="http://schemas.microsoft.com/office/drawing/2014/chart" uri="{C3380CC4-5D6E-409C-BE32-E72D297353CC}">
              <c16:uniqueId val="{00000006-2FAE-4D86-89F5-B032EF0BB5B2}"/>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Revenue'!$H$11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Revenue'!$H$11</c:f>
              <c:strCache>
                <c:ptCount val="1"/>
                <c:pt idx="0">
                  <c:v>#NAME?</c:v>
                </c:pt>
              </c:strCache>
            </c:strRef>
          </c:tx>
          <c:spPr>
            <a:ln w="28575" cap="rnd">
              <a:solidFill>
                <a:srgbClr val="0070C0"/>
              </a:solidFill>
              <a:round/>
            </a:ln>
            <a:effectLst/>
          </c:spPr>
          <c:marker>
            <c:symbol val="none"/>
          </c:marker>
          <c:cat>
            <c:numRef>
              <c:f>'Forward EV Revenue'!$C$20:$D$60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 Revenue'!$H$20:$H$60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881E-4920-B611-696CC6A26CE2}"/>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81E-4920-B611-696CC6A26CE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Revenue'!$H$16,'Forward EV Revenue'!$H$16)</c:f>
              <c:numCache>
                <c:formatCode>0.0\x_);\(0.0\x\);\-\ </c:formatCode>
                <c:ptCount val="2"/>
                <c:pt idx="0">
                  <c:v>0</c:v>
                </c:pt>
                <c:pt idx="1">
                  <c:v>0</c:v>
                </c:pt>
              </c:numCache>
            </c:numRef>
          </c:yVal>
          <c:smooth val="1"/>
          <c:extLst>
            <c:ext xmlns:c16="http://schemas.microsoft.com/office/drawing/2014/chart" uri="{C3380CC4-5D6E-409C-BE32-E72D297353CC}">
              <c16:uniqueId val="{00000002-881E-4920-B611-696CC6A26CE2}"/>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81E-4920-B611-696CC6A26CE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Revenue'!$H$17,'Forward EV Revenue'!$H$17)</c:f>
              <c:numCache>
                <c:formatCode>0.0\x_);\(0.0\x\);\-\ </c:formatCode>
                <c:ptCount val="2"/>
                <c:pt idx="0">
                  <c:v>0</c:v>
                </c:pt>
                <c:pt idx="1">
                  <c:v>0</c:v>
                </c:pt>
              </c:numCache>
            </c:numRef>
          </c:yVal>
          <c:smooth val="1"/>
          <c:extLst>
            <c:ext xmlns:c16="http://schemas.microsoft.com/office/drawing/2014/chart" uri="{C3380CC4-5D6E-409C-BE32-E72D297353CC}">
              <c16:uniqueId val="{00000004-881E-4920-B611-696CC6A26CE2}"/>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81E-4920-B611-696CC6A26CE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Revenue'!$H$18,'Forward EV Revenue'!$H$18)</c:f>
              <c:numCache>
                <c:formatCode>0.0\x_);\(0.0\x\);\-\ </c:formatCode>
                <c:ptCount val="2"/>
                <c:pt idx="0">
                  <c:v>0</c:v>
                </c:pt>
                <c:pt idx="1">
                  <c:v>0</c:v>
                </c:pt>
              </c:numCache>
            </c:numRef>
          </c:yVal>
          <c:smooth val="1"/>
          <c:extLst>
            <c:ext xmlns:c16="http://schemas.microsoft.com/office/drawing/2014/chart" uri="{C3380CC4-5D6E-409C-BE32-E72D297353CC}">
              <c16:uniqueId val="{00000006-881E-4920-B611-696CC6A26CE2}"/>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rgbClr val="A9D18E"/>
            </a:solidFill>
            <a:ln>
              <a:solidFill>
                <a:schemeClr val="tx1"/>
              </a:solidFill>
            </a:ln>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Financials!#REF!</c:f>
              <c:numCache>
                <c:formatCode>#,##0.0_);\(#,##0.0\);\-\ </c:formatCode>
                <c:ptCount val="1"/>
                <c:pt idx="0">
                  <c:v>1</c:v>
                </c:pt>
              </c:numCache>
            </c:numRef>
          </c:val>
          <c:extLst>
            <c:ext xmlns:c14="http://schemas.microsoft.com/office/drawing/2007/8/2/chart" uri="{6F2FDCE9-48DA-4B69-8628-5D25D57E5C99}">
              <c14:invertSolidFillFmt>
                <c14:spPr xmlns:c14="http://schemas.microsoft.com/office/drawing/2007/8/2/chart">
                  <a:solidFill>
                    <a:srgbClr val="FF0000"/>
                  </a:solidFill>
                  <a:ln>
                    <a:solidFill>
                      <a:schemeClr val="tx1"/>
                    </a:solidFill>
                  </a:ln>
                  <a:effectLst/>
                </c14:spPr>
              </c14:invertSolidFillFmt>
            </c:ext>
            <c:ext xmlns:c15="http://schemas.microsoft.com/office/drawing/2012/chart" uri="{02D57815-91ED-43cb-92C2-25804820EDAC}">
              <c15:filteredSeriesTitle>
                <c15:tx>
                  <c:strRef>
                    <c:extLst>
                      <c:ext uri="{02D57815-91ED-43cb-92C2-25804820EDAC}">
                        <c15:formulaRef>
                          <c15:sqref>Financials!#REF!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Charts!#REF!</c15:sqref>
                        </c15:formulaRef>
                      </c:ext>
                    </c:extLst>
                    <c:strCache>
                      <c:ptCount val="1"/>
                      <c:pt idx="0">
                        <c:v>#REF!</c:v>
                      </c:pt>
                    </c:strCache>
                  </c:strRef>
                </c15:cat>
              </c15:filteredCategoryTitle>
            </c:ext>
            <c:ext xmlns:c16="http://schemas.microsoft.com/office/drawing/2014/chart" uri="{C3380CC4-5D6E-409C-BE32-E72D297353CC}">
              <c16:uniqueId val="{00000000-85CB-4C30-81E2-17CB57C3A7CB}"/>
            </c:ext>
          </c:extLst>
        </c:ser>
        <c:dLbls>
          <c:showLegendKey val="0"/>
          <c:showVal val="0"/>
          <c:showCatName val="0"/>
          <c:showSerName val="0"/>
          <c:showPercent val="0"/>
          <c:showBubbleSize val="0"/>
        </c:dLbls>
        <c:gapWidth val="50"/>
        <c:axId val="679394336"/>
        <c:axId val="679394752"/>
      </c:barChart>
      <c:catAx>
        <c:axId val="67939433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t" anchorCtr="0"/>
          <a:lstStyle/>
          <a:p>
            <a:pPr>
              <a:defRPr sz="800" b="0" i="0" u="none" strike="noStrike" kern="1200" baseline="0">
                <a:solidFill>
                  <a:sysClr val="windowText" lastClr="000000"/>
                </a:solidFill>
                <a:latin typeface="+mn-lt"/>
                <a:ea typeface="+mn-ea"/>
                <a:cs typeface="+mn-cs"/>
              </a:defRPr>
            </a:pPr>
            <a:endParaRPr lang="en-US"/>
          </a:p>
        </c:txPr>
        <c:crossAx val="679394752"/>
        <c:crosses val="autoZero"/>
        <c:auto val="1"/>
        <c:lblAlgn val="ctr"/>
        <c:lblOffset val="200"/>
        <c:noMultiLvlLbl val="0"/>
      </c:catAx>
      <c:valAx>
        <c:axId val="679394752"/>
        <c:scaling>
          <c:orientation val="minMax"/>
        </c:scaling>
        <c:delete val="1"/>
        <c:axPos val="l"/>
        <c:numFmt formatCode="#,##0.0_);\(#,##0.0\);\-\ " sourceLinked="1"/>
        <c:majorTickMark val="none"/>
        <c:minorTickMark val="none"/>
        <c:tickLblPos val="nextTo"/>
        <c:crossAx val="679394336"/>
        <c:crosses val="autoZero"/>
        <c:crossBetween val="between"/>
      </c:valAx>
      <c:spPr>
        <a:noFill/>
        <a:ln>
          <a:noFill/>
        </a:ln>
        <a:effectLst/>
      </c:spPr>
    </c:plotArea>
    <c:plotVisOnly val="1"/>
    <c:dispBlanksAs val="gap"/>
    <c:showDLblsOverMax val="0"/>
  </c:chart>
  <c:spPr>
    <a:noFill/>
    <a:ln w="9525" cap="flat" cmpd="sng" algn="ctr">
      <a:solidFill>
        <a:schemeClr val="tx1"/>
      </a:solidFill>
      <a:round/>
    </a:ln>
    <a:effectLst/>
  </c:spPr>
  <c:txPr>
    <a:bodyPr/>
    <a:lstStyle/>
    <a:p>
      <a:pPr>
        <a:defRPr sz="800">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Revenue'!$L$11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Revenue'!$L$11</c:f>
              <c:strCache>
                <c:ptCount val="1"/>
                <c:pt idx="0">
                  <c:v>#NAME?</c:v>
                </c:pt>
              </c:strCache>
            </c:strRef>
          </c:tx>
          <c:spPr>
            <a:ln w="28575" cap="rnd">
              <a:solidFill>
                <a:srgbClr val="0070C0"/>
              </a:solidFill>
              <a:round/>
            </a:ln>
            <a:effectLst/>
          </c:spPr>
          <c:marker>
            <c:symbol val="none"/>
          </c:marker>
          <c:cat>
            <c:numRef>
              <c:f>'Forward EV Revenue'!$C$20:$D$60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 Revenue'!$L$20:$L$60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9F33-445E-A3AD-007B457B1E77}"/>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9F33-445E-A3AD-007B457B1E7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Revenue'!$L$16,'Forward EV Revenue'!$L$16)</c:f>
              <c:numCache>
                <c:formatCode>0.0\x_);\(0.0\x\);\-\ </c:formatCode>
                <c:ptCount val="2"/>
                <c:pt idx="0">
                  <c:v>0</c:v>
                </c:pt>
                <c:pt idx="1">
                  <c:v>0</c:v>
                </c:pt>
              </c:numCache>
            </c:numRef>
          </c:yVal>
          <c:smooth val="1"/>
          <c:extLst>
            <c:ext xmlns:c16="http://schemas.microsoft.com/office/drawing/2014/chart" uri="{C3380CC4-5D6E-409C-BE32-E72D297353CC}">
              <c16:uniqueId val="{00000002-9F33-445E-A3AD-007B457B1E77}"/>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9F33-445E-A3AD-007B457B1E7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Revenue'!$L$17,'Forward EV Revenue'!$L$17)</c:f>
              <c:numCache>
                <c:formatCode>0.0\x_);\(0.0\x\);\-\ </c:formatCode>
                <c:ptCount val="2"/>
                <c:pt idx="0">
                  <c:v>0</c:v>
                </c:pt>
                <c:pt idx="1">
                  <c:v>0</c:v>
                </c:pt>
              </c:numCache>
            </c:numRef>
          </c:yVal>
          <c:smooth val="1"/>
          <c:extLst>
            <c:ext xmlns:c16="http://schemas.microsoft.com/office/drawing/2014/chart" uri="{C3380CC4-5D6E-409C-BE32-E72D297353CC}">
              <c16:uniqueId val="{00000004-9F33-445E-A3AD-007B457B1E77}"/>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9F33-445E-A3AD-007B457B1E7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Revenue'!$L$18,'Forward EV Revenue'!$L$18)</c:f>
              <c:numCache>
                <c:formatCode>0.0\x_);\(0.0\x\);\-\ </c:formatCode>
                <c:ptCount val="2"/>
                <c:pt idx="0">
                  <c:v>0</c:v>
                </c:pt>
                <c:pt idx="1">
                  <c:v>0</c:v>
                </c:pt>
              </c:numCache>
            </c:numRef>
          </c:yVal>
          <c:smooth val="1"/>
          <c:extLst>
            <c:ext xmlns:c16="http://schemas.microsoft.com/office/drawing/2014/chart" uri="{C3380CC4-5D6E-409C-BE32-E72D297353CC}">
              <c16:uniqueId val="{00000006-9F33-445E-A3AD-007B457B1E77}"/>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Revenue'!$I$11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Revenue'!$I$11</c:f>
              <c:strCache>
                <c:ptCount val="1"/>
                <c:pt idx="0">
                  <c:v>#NAME?</c:v>
                </c:pt>
              </c:strCache>
            </c:strRef>
          </c:tx>
          <c:spPr>
            <a:ln w="28575" cap="rnd">
              <a:solidFill>
                <a:srgbClr val="0070C0"/>
              </a:solidFill>
              <a:round/>
            </a:ln>
            <a:effectLst/>
          </c:spPr>
          <c:marker>
            <c:symbol val="none"/>
          </c:marker>
          <c:cat>
            <c:numRef>
              <c:f>'Forward EV Revenue'!$C$20:$D$60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 Revenue'!$I$20:$I$60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79EA-4C79-90A3-06659CE8D25E}"/>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79EA-4C79-90A3-06659CE8D25E}"/>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Revenue'!$I$16,'Forward EV Revenue'!$I$16)</c:f>
              <c:numCache>
                <c:formatCode>0.0\x_);\(0.0\x\);\-\ </c:formatCode>
                <c:ptCount val="2"/>
                <c:pt idx="0">
                  <c:v>0</c:v>
                </c:pt>
                <c:pt idx="1">
                  <c:v>0</c:v>
                </c:pt>
              </c:numCache>
            </c:numRef>
          </c:yVal>
          <c:smooth val="1"/>
          <c:extLst>
            <c:ext xmlns:c16="http://schemas.microsoft.com/office/drawing/2014/chart" uri="{C3380CC4-5D6E-409C-BE32-E72D297353CC}">
              <c16:uniqueId val="{00000002-79EA-4C79-90A3-06659CE8D25E}"/>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79EA-4C79-90A3-06659CE8D25E}"/>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Revenue'!$I$17,'Forward EV Revenue'!$I$17)</c:f>
              <c:numCache>
                <c:formatCode>0.0\x_);\(0.0\x\);\-\ </c:formatCode>
                <c:ptCount val="2"/>
                <c:pt idx="0">
                  <c:v>0</c:v>
                </c:pt>
                <c:pt idx="1">
                  <c:v>0</c:v>
                </c:pt>
              </c:numCache>
            </c:numRef>
          </c:yVal>
          <c:smooth val="1"/>
          <c:extLst>
            <c:ext xmlns:c16="http://schemas.microsoft.com/office/drawing/2014/chart" uri="{C3380CC4-5D6E-409C-BE32-E72D297353CC}">
              <c16:uniqueId val="{00000004-79EA-4C79-90A3-06659CE8D25E}"/>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79EA-4C79-90A3-06659CE8D25E}"/>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Revenue'!$I$18,'Forward EV Revenue'!$I$18)</c:f>
              <c:numCache>
                <c:formatCode>0.0\x_);\(0.0\x\);\-\ </c:formatCode>
                <c:ptCount val="2"/>
                <c:pt idx="0">
                  <c:v>0</c:v>
                </c:pt>
                <c:pt idx="1">
                  <c:v>0</c:v>
                </c:pt>
              </c:numCache>
            </c:numRef>
          </c:yVal>
          <c:smooth val="1"/>
          <c:extLst>
            <c:ext xmlns:c16="http://schemas.microsoft.com/office/drawing/2014/chart" uri="{C3380CC4-5D6E-409C-BE32-E72D297353CC}">
              <c16:uniqueId val="{00000006-79EA-4C79-90A3-06659CE8D25E}"/>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Revenue'!$J$11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Revenue'!$J$11</c:f>
              <c:strCache>
                <c:ptCount val="1"/>
                <c:pt idx="0">
                  <c:v>#NAME?</c:v>
                </c:pt>
              </c:strCache>
            </c:strRef>
          </c:tx>
          <c:spPr>
            <a:ln w="28575" cap="rnd">
              <a:solidFill>
                <a:srgbClr val="0070C0"/>
              </a:solidFill>
              <a:round/>
            </a:ln>
            <a:effectLst/>
          </c:spPr>
          <c:marker>
            <c:symbol val="none"/>
          </c:marker>
          <c:cat>
            <c:numRef>
              <c:f>'Forward EV Revenue'!$C$20:$D$60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 Revenue'!$J$20:$J$60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33C4-4E74-9052-F937F2B9B7A4}"/>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33C4-4E74-9052-F937F2B9B7A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Revenue'!$J$16,'Forward EV Revenue'!$J$16)</c:f>
              <c:numCache>
                <c:formatCode>0.0\x_);\(0.0\x\);\-\ </c:formatCode>
                <c:ptCount val="2"/>
                <c:pt idx="0">
                  <c:v>0</c:v>
                </c:pt>
                <c:pt idx="1">
                  <c:v>0</c:v>
                </c:pt>
              </c:numCache>
            </c:numRef>
          </c:yVal>
          <c:smooth val="1"/>
          <c:extLst>
            <c:ext xmlns:c16="http://schemas.microsoft.com/office/drawing/2014/chart" uri="{C3380CC4-5D6E-409C-BE32-E72D297353CC}">
              <c16:uniqueId val="{00000002-33C4-4E74-9052-F937F2B9B7A4}"/>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33C4-4E74-9052-F937F2B9B7A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Revenue'!$J$17,'Forward EV Revenue'!$J$17)</c:f>
              <c:numCache>
                <c:formatCode>0.0\x_);\(0.0\x\);\-\ </c:formatCode>
                <c:ptCount val="2"/>
                <c:pt idx="0">
                  <c:v>0</c:v>
                </c:pt>
                <c:pt idx="1">
                  <c:v>0</c:v>
                </c:pt>
              </c:numCache>
            </c:numRef>
          </c:yVal>
          <c:smooth val="1"/>
          <c:extLst>
            <c:ext xmlns:c16="http://schemas.microsoft.com/office/drawing/2014/chart" uri="{C3380CC4-5D6E-409C-BE32-E72D297353CC}">
              <c16:uniqueId val="{00000004-33C4-4E74-9052-F937F2B9B7A4}"/>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33C4-4E74-9052-F937F2B9B7A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Revenue'!$J$18,'Forward EV Revenue'!$J$18)</c:f>
              <c:numCache>
                <c:formatCode>0.0\x_);\(0.0\x\);\-\ </c:formatCode>
                <c:ptCount val="2"/>
                <c:pt idx="0">
                  <c:v>0</c:v>
                </c:pt>
                <c:pt idx="1">
                  <c:v>0</c:v>
                </c:pt>
              </c:numCache>
            </c:numRef>
          </c:yVal>
          <c:smooth val="1"/>
          <c:extLst>
            <c:ext xmlns:c16="http://schemas.microsoft.com/office/drawing/2014/chart" uri="{C3380CC4-5D6E-409C-BE32-E72D297353CC}">
              <c16:uniqueId val="{00000006-33C4-4E74-9052-F937F2B9B7A4}"/>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 Revenue'!$K$11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 Revenue'!$K$11</c:f>
              <c:strCache>
                <c:ptCount val="1"/>
                <c:pt idx="0">
                  <c:v>#NAME?</c:v>
                </c:pt>
              </c:strCache>
            </c:strRef>
          </c:tx>
          <c:spPr>
            <a:ln w="28575" cap="rnd">
              <a:solidFill>
                <a:srgbClr val="0070C0"/>
              </a:solidFill>
              <a:round/>
            </a:ln>
            <a:effectLst/>
          </c:spPr>
          <c:marker>
            <c:symbol val="none"/>
          </c:marker>
          <c:cat>
            <c:numRef>
              <c:f>'Forward EV Revenue'!$C$20:$D$60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 Revenue'!$K$20:$K$60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826E-4C62-8979-44560B48CA43}"/>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 Revenue'!$C$16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26E-4C62-8979-44560B48CA4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Revenue'!$K$16,'Forward EV Revenue'!$K$16)</c:f>
              <c:numCache>
                <c:formatCode>0.0\x_);\(0.0\x\);\-\ </c:formatCode>
                <c:ptCount val="2"/>
                <c:pt idx="0">
                  <c:v>0</c:v>
                </c:pt>
                <c:pt idx="1">
                  <c:v>0</c:v>
                </c:pt>
              </c:numCache>
            </c:numRef>
          </c:yVal>
          <c:smooth val="1"/>
          <c:extLst>
            <c:ext xmlns:c16="http://schemas.microsoft.com/office/drawing/2014/chart" uri="{C3380CC4-5D6E-409C-BE32-E72D297353CC}">
              <c16:uniqueId val="{00000002-826E-4C62-8979-44560B48CA43}"/>
            </c:ext>
          </c:extLst>
        </c:ser>
        <c:ser>
          <c:idx val="2"/>
          <c:order val="2"/>
          <c:tx>
            <c:strRef>
              <c:f>'Forward EV Revenue'!$C$17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826E-4C62-8979-44560B48CA4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Revenue'!$K$17,'Forward EV Revenue'!$K$17)</c:f>
              <c:numCache>
                <c:formatCode>0.0\x_);\(0.0\x\);\-\ </c:formatCode>
                <c:ptCount val="2"/>
                <c:pt idx="0">
                  <c:v>0</c:v>
                </c:pt>
                <c:pt idx="1">
                  <c:v>0</c:v>
                </c:pt>
              </c:numCache>
            </c:numRef>
          </c:yVal>
          <c:smooth val="1"/>
          <c:extLst>
            <c:ext xmlns:c16="http://schemas.microsoft.com/office/drawing/2014/chart" uri="{C3380CC4-5D6E-409C-BE32-E72D297353CC}">
              <c16:uniqueId val="{00000004-826E-4C62-8979-44560B48CA43}"/>
            </c:ext>
          </c:extLst>
        </c:ser>
        <c:ser>
          <c:idx val="3"/>
          <c:order val="3"/>
          <c:tx>
            <c:strRef>
              <c:f>'Forward EV Revenue'!$C$18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26E-4C62-8979-44560B48CA4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 Revenue'!$K$18,'Forward EV Revenue'!$K$18)</c:f>
              <c:numCache>
                <c:formatCode>0.0\x_);\(0.0\x\);\-\ </c:formatCode>
                <c:ptCount val="2"/>
                <c:pt idx="0">
                  <c:v>0</c:v>
                </c:pt>
                <c:pt idx="1">
                  <c:v>0</c:v>
                </c:pt>
              </c:numCache>
            </c:numRef>
          </c:yVal>
          <c:smooth val="1"/>
          <c:extLst>
            <c:ext xmlns:c16="http://schemas.microsoft.com/office/drawing/2014/chart" uri="{C3380CC4-5D6E-409C-BE32-E72D297353CC}">
              <c16:uniqueId val="{00000006-826E-4C62-8979-44560B48CA43}"/>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1" i="0" u="none" strike="noStrike" kern="1200" spc="0" baseline="0">
                <a:solidFill>
                  <a:sysClr val="windowText" lastClr="000000"/>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rgbClr val="A9D18E"/>
            </a:solidFill>
            <a:ln>
              <a:solidFill>
                <a:schemeClr val="tx1"/>
              </a:solidFill>
            </a:ln>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Financials!#REF!</c:f>
              <c:numCache>
                <c:formatCode>General</c:formatCode>
                <c:ptCount val="1"/>
                <c:pt idx="0">
                  <c:v>1</c:v>
                </c:pt>
              </c:numCache>
            </c:numRef>
          </c:val>
          <c:extLst>
            <c:ext xmlns:c14="http://schemas.microsoft.com/office/drawing/2007/8/2/chart" uri="{6F2FDCE9-48DA-4B69-8628-5D25D57E5C99}">
              <c14:invertSolidFillFmt>
                <c14:spPr xmlns:c14="http://schemas.microsoft.com/office/drawing/2007/8/2/chart">
                  <a:solidFill>
                    <a:srgbClr val="FF0000"/>
                  </a:solidFill>
                  <a:ln>
                    <a:solidFill>
                      <a:schemeClr val="tx1"/>
                    </a:solidFill>
                  </a:ln>
                  <a:effectLst/>
                </c14:spPr>
              </c14:invertSolidFillFmt>
            </c:ext>
            <c:ext xmlns:c15="http://schemas.microsoft.com/office/drawing/2012/chart" uri="{02D57815-91ED-43cb-92C2-25804820EDAC}">
              <c15:filteredSeriesTitle>
                <c15:tx>
                  <c:strRef>
                    <c:extLst>
                      <c:ext uri="{02D57815-91ED-43cb-92C2-25804820EDAC}">
                        <c15:formulaRef>
                          <c15:sqref>Financials!#REF!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Charts!#REF!</c15:sqref>
                        </c15:formulaRef>
                      </c:ext>
                    </c:extLst>
                    <c:strCache>
                      <c:ptCount val="1"/>
                      <c:pt idx="0">
                        <c:v>#REF!</c:v>
                      </c:pt>
                    </c:strCache>
                  </c:strRef>
                </c15:cat>
              </c15:filteredCategoryTitle>
            </c:ext>
            <c:ext xmlns:c16="http://schemas.microsoft.com/office/drawing/2014/chart" uri="{C3380CC4-5D6E-409C-BE32-E72D297353CC}">
              <c16:uniqueId val="{00000000-85CB-4C30-81E2-17CB57C3A7CB}"/>
            </c:ext>
          </c:extLst>
        </c:ser>
        <c:dLbls>
          <c:showLegendKey val="0"/>
          <c:showVal val="0"/>
          <c:showCatName val="0"/>
          <c:showSerName val="0"/>
          <c:showPercent val="0"/>
          <c:showBubbleSize val="0"/>
        </c:dLbls>
        <c:gapWidth val="50"/>
        <c:axId val="679394336"/>
        <c:axId val="679394752"/>
      </c:barChart>
      <c:catAx>
        <c:axId val="67939433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t" anchorCtr="0"/>
          <a:lstStyle/>
          <a:p>
            <a:pPr>
              <a:defRPr sz="800" b="0" i="0" u="none" strike="noStrike" kern="1200" baseline="0">
                <a:solidFill>
                  <a:sysClr val="windowText" lastClr="000000"/>
                </a:solidFill>
                <a:latin typeface="+mn-lt"/>
                <a:ea typeface="+mn-ea"/>
                <a:cs typeface="+mn-cs"/>
              </a:defRPr>
            </a:pPr>
            <a:endParaRPr lang="en-US"/>
          </a:p>
        </c:txPr>
        <c:crossAx val="679394752"/>
        <c:crosses val="autoZero"/>
        <c:auto val="1"/>
        <c:lblAlgn val="ctr"/>
        <c:lblOffset val="200"/>
        <c:noMultiLvlLbl val="0"/>
      </c:catAx>
      <c:valAx>
        <c:axId val="679394752"/>
        <c:scaling>
          <c:orientation val="minMax"/>
        </c:scaling>
        <c:delete val="1"/>
        <c:axPos val="l"/>
        <c:numFmt formatCode="General" sourceLinked="1"/>
        <c:majorTickMark val="none"/>
        <c:minorTickMark val="none"/>
        <c:tickLblPos val="nextTo"/>
        <c:crossAx val="679394336"/>
        <c:crosses val="autoZero"/>
        <c:crossBetween val="between"/>
      </c:valAx>
      <c:spPr>
        <a:noFill/>
        <a:ln>
          <a:noFill/>
        </a:ln>
        <a:effectLst/>
      </c:spPr>
    </c:plotArea>
    <c:plotVisOnly val="1"/>
    <c:dispBlanksAs val="gap"/>
    <c:showDLblsOverMax val="0"/>
  </c:chart>
  <c:spPr>
    <a:noFill/>
    <a:ln w="9525" cap="flat" cmpd="sng" algn="ctr">
      <a:solidFill>
        <a:schemeClr val="tx1"/>
      </a:solidFill>
      <a:round/>
    </a:ln>
    <a:effectLst/>
  </c:spPr>
  <c:txPr>
    <a:bodyPr/>
    <a:lstStyle/>
    <a:p>
      <a:pPr>
        <a:defRPr sz="800">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'Forward EV-EBITDA'!$E$11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EV-EBITDA'!$E$11</c:f>
              <c:strCache>
                <c:ptCount val="1"/>
                <c:pt idx="0">
                  <c:v>#NAME?</c:v>
                </c:pt>
              </c:strCache>
            </c:strRef>
          </c:tx>
          <c:spPr>
            <a:ln w="28575" cap="rnd">
              <a:solidFill>
                <a:srgbClr val="0070C0"/>
              </a:solidFill>
              <a:round/>
            </a:ln>
            <a:effectLst/>
          </c:spPr>
          <c:marker>
            <c:symbol val="none"/>
          </c:marker>
          <c:cat>
            <c:numRef>
              <c:f>'Forward EV-EBITDA'!$C$20:$D$60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EV-EBITDA'!$E$20:$E$60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76C6-4EE6-A6C9-A67EC3506121}"/>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8575" cap="rnd">
              <a:solidFill>
                <a:srgbClr val="1F4E78"/>
              </a:solidFill>
              <a:round/>
            </a:ln>
            <a:effectLst/>
          </c:spPr>
          <c:marker>
            <c:symbol val="none"/>
          </c:marker>
          <c:dPt>
            <c:idx val="0"/>
            <c:marker>
              <c:symbol val="none"/>
            </c:marker>
            <c:bubble3D val="0"/>
            <c:spPr>
              <a:ln w="22225" cap="rnd">
                <a:solidFill>
                  <a:srgbClr val="1F4E78"/>
                </a:solidFill>
                <a:round/>
              </a:ln>
              <a:effectLst/>
            </c:spPr>
            <c:extLst>
              <c:ext xmlns:c16="http://schemas.microsoft.com/office/drawing/2014/chart" uri="{C3380CC4-5D6E-409C-BE32-E72D297353CC}">
                <c16:uniqueId val="{00000002-76C6-4EE6-A6C9-A67EC3506121}"/>
              </c:ext>
            </c:extLst>
          </c:dPt>
          <c:dLbls>
            <c:dLbl>
              <c:idx val="0"/>
              <c:delete val="1"/>
              <c:extLst>
                <c:ext xmlns:c15="http://schemas.microsoft.com/office/drawing/2012/chart" uri="{CE6537A1-D6FC-4f65-9D91-7224C49458BB}"/>
                <c:ext xmlns:c16="http://schemas.microsoft.com/office/drawing/2014/chart" uri="{C3380CC4-5D6E-409C-BE32-E72D297353CC}">
                  <c16:uniqueId val="{00000002-76C6-4EE6-A6C9-A67EC3506121}"/>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EV-EBITDA'!$E$16,'Forward EV-EBITDA'!$E$16)</c:f>
              <c:numCache>
                <c:formatCode>0.0\x_);\(0.0\x\);\-\ </c:formatCode>
                <c:ptCount val="2"/>
                <c:pt idx="0">
                  <c:v>0</c:v>
                </c:pt>
                <c:pt idx="1">
                  <c:v>0</c:v>
                </c:pt>
              </c:numCache>
            </c:numRef>
          </c:yVal>
          <c:smooth val="1"/>
          <c:extLst>
            <c:ext xmlns:c16="http://schemas.microsoft.com/office/drawing/2014/chart" uri="{C3380CC4-5D6E-409C-BE32-E72D297353CC}">
              <c16:uniqueId val="{00000003-76C6-4EE6-A6C9-A67EC3506121}"/>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76C6-4EE6-A6C9-A67EC3506121}"/>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EV-EBITDA'!$E$17,'Forward EV-EBITDA'!$E$17)</c:f>
              <c:numCache>
                <c:formatCode>0.0\x_);\(0.0\x\);\-\ </c:formatCode>
                <c:ptCount val="2"/>
                <c:pt idx="0">
                  <c:v>0</c:v>
                </c:pt>
                <c:pt idx="1">
                  <c:v>0</c:v>
                </c:pt>
              </c:numCache>
            </c:numRef>
          </c:yVal>
          <c:smooth val="1"/>
          <c:extLst>
            <c:ext xmlns:c16="http://schemas.microsoft.com/office/drawing/2014/chart" uri="{C3380CC4-5D6E-409C-BE32-E72D297353CC}">
              <c16:uniqueId val="{00000005-76C6-4EE6-A6C9-A67EC3506121}"/>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76C6-4EE6-A6C9-A67EC3506121}"/>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EV-EBITDA'!$E$18,'Forward EV-EBITDA'!$E$18)</c:f>
              <c:numCache>
                <c:formatCode>0.0\x_);\(0.0\x\);\-\ </c:formatCode>
                <c:ptCount val="2"/>
                <c:pt idx="0">
                  <c:v>0</c:v>
                </c:pt>
                <c:pt idx="1">
                  <c:v>0</c:v>
                </c:pt>
              </c:numCache>
            </c:numRef>
          </c:yVal>
          <c:smooth val="1"/>
          <c:extLst>
            <c:ext xmlns:c16="http://schemas.microsoft.com/office/drawing/2014/chart" uri="{C3380CC4-5D6E-409C-BE32-E72D297353CC}">
              <c16:uniqueId val="{00000007-76C6-4EE6-A6C9-A67EC3506121}"/>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in val="3"/>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EV-EBITDA'!$F$11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EV-EBITDA'!$F$11</c:f>
              <c:strCache>
                <c:ptCount val="1"/>
                <c:pt idx="0">
                  <c:v>#NAME?</c:v>
                </c:pt>
              </c:strCache>
            </c:strRef>
          </c:tx>
          <c:spPr>
            <a:ln w="28575" cap="rnd">
              <a:solidFill>
                <a:srgbClr val="0070C0"/>
              </a:solidFill>
              <a:round/>
            </a:ln>
            <a:effectLst/>
          </c:spPr>
          <c:marker>
            <c:symbol val="none"/>
          </c:marker>
          <c:cat>
            <c:numRef>
              <c:f>'Forward EV-EBITDA'!$C$20:$D$60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EV-EBITDA'!$F$20:$F$60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C921-4672-A659-D6C774924087}"/>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C921-4672-A659-D6C77492408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EV-EBITDA'!$F$16,'Forward EV-EBITDA'!$F$16)</c:f>
              <c:numCache>
                <c:formatCode>0.0\x_);\(0.0\x\);\-\ </c:formatCode>
                <c:ptCount val="2"/>
                <c:pt idx="0">
                  <c:v>0</c:v>
                </c:pt>
                <c:pt idx="1">
                  <c:v>0</c:v>
                </c:pt>
              </c:numCache>
            </c:numRef>
          </c:yVal>
          <c:smooth val="1"/>
          <c:extLst>
            <c:ext xmlns:c16="http://schemas.microsoft.com/office/drawing/2014/chart" uri="{C3380CC4-5D6E-409C-BE32-E72D297353CC}">
              <c16:uniqueId val="{00000002-C921-4672-A659-D6C774924087}"/>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C921-4672-A659-D6C77492408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EV-EBITDA'!$F$17,'Forward EV-EBITDA'!$F$17)</c:f>
              <c:numCache>
                <c:formatCode>0.0\x_);\(0.0\x\);\-\ </c:formatCode>
                <c:ptCount val="2"/>
                <c:pt idx="0">
                  <c:v>0</c:v>
                </c:pt>
                <c:pt idx="1">
                  <c:v>0</c:v>
                </c:pt>
              </c:numCache>
            </c:numRef>
          </c:yVal>
          <c:smooth val="1"/>
          <c:extLst>
            <c:ext xmlns:c16="http://schemas.microsoft.com/office/drawing/2014/chart" uri="{C3380CC4-5D6E-409C-BE32-E72D297353CC}">
              <c16:uniqueId val="{00000004-C921-4672-A659-D6C774924087}"/>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C921-4672-A659-D6C77492408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EV-EBITDA'!$F$18,'Forward EV-EBITDA'!$F$18)</c:f>
              <c:numCache>
                <c:formatCode>0.0\x_);\(0.0\x\);\-\ </c:formatCode>
                <c:ptCount val="2"/>
                <c:pt idx="0">
                  <c:v>0</c:v>
                </c:pt>
                <c:pt idx="1">
                  <c:v>0</c:v>
                </c:pt>
              </c:numCache>
            </c:numRef>
          </c:yVal>
          <c:smooth val="1"/>
          <c:extLst>
            <c:ext xmlns:c16="http://schemas.microsoft.com/office/drawing/2014/chart" uri="{C3380CC4-5D6E-409C-BE32-E72D297353CC}">
              <c16:uniqueId val="{00000006-C921-4672-A659-D6C774924087}"/>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EV-EBITDA'!$G$11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EV-EBITDA'!$G$11</c:f>
              <c:strCache>
                <c:ptCount val="1"/>
                <c:pt idx="0">
                  <c:v>#NAME?</c:v>
                </c:pt>
              </c:strCache>
            </c:strRef>
          </c:tx>
          <c:spPr>
            <a:ln w="28575" cap="rnd">
              <a:solidFill>
                <a:srgbClr val="0070C0"/>
              </a:solidFill>
              <a:round/>
            </a:ln>
            <a:effectLst/>
          </c:spPr>
          <c:marker>
            <c:symbol val="none"/>
          </c:marker>
          <c:cat>
            <c:numRef>
              <c:f>'Forward EV-EBITDA'!$C$20:$D$60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EV-EBITDA'!$G$20:$G$60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1457-4299-96F8-777517D03888}"/>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1457-4299-96F8-777517D0388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EV-EBITDA'!$G$16,'Forward EV-EBITDA'!$G$16)</c:f>
              <c:numCache>
                <c:formatCode>0.0\x_);\(0.0\x\);\-\ </c:formatCode>
                <c:ptCount val="2"/>
                <c:pt idx="0">
                  <c:v>0</c:v>
                </c:pt>
                <c:pt idx="1">
                  <c:v>0</c:v>
                </c:pt>
              </c:numCache>
            </c:numRef>
          </c:yVal>
          <c:smooth val="1"/>
          <c:extLst>
            <c:ext xmlns:c16="http://schemas.microsoft.com/office/drawing/2014/chart" uri="{C3380CC4-5D6E-409C-BE32-E72D297353CC}">
              <c16:uniqueId val="{00000002-1457-4299-96F8-777517D03888}"/>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1457-4299-96F8-777517D0388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EV-EBITDA'!$G$17,'Forward EV-EBITDA'!$G$17)</c:f>
              <c:numCache>
                <c:formatCode>0.0\x_);\(0.0\x\);\-\ </c:formatCode>
                <c:ptCount val="2"/>
                <c:pt idx="0">
                  <c:v>0</c:v>
                </c:pt>
                <c:pt idx="1">
                  <c:v>0</c:v>
                </c:pt>
              </c:numCache>
            </c:numRef>
          </c:yVal>
          <c:smooth val="1"/>
          <c:extLst>
            <c:ext xmlns:c16="http://schemas.microsoft.com/office/drawing/2014/chart" uri="{C3380CC4-5D6E-409C-BE32-E72D297353CC}">
              <c16:uniqueId val="{00000004-1457-4299-96F8-777517D03888}"/>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1457-4299-96F8-777517D0388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EV-EBITDA'!$G$18,'Forward EV-EBITDA'!$G$18)</c:f>
              <c:numCache>
                <c:formatCode>0.0\x_);\(0.0\x\);\-\ </c:formatCode>
                <c:ptCount val="2"/>
                <c:pt idx="0">
                  <c:v>0</c:v>
                </c:pt>
                <c:pt idx="1">
                  <c:v>0</c:v>
                </c:pt>
              </c:numCache>
            </c:numRef>
          </c:yVal>
          <c:smooth val="1"/>
          <c:extLst>
            <c:ext xmlns:c16="http://schemas.microsoft.com/office/drawing/2014/chart" uri="{C3380CC4-5D6E-409C-BE32-E72D297353CC}">
              <c16:uniqueId val="{00000006-1457-4299-96F8-777517D03888}"/>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max val="40"/>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EV-EBITDA'!$H$11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EV-EBITDA'!$H$11</c:f>
              <c:strCache>
                <c:ptCount val="1"/>
                <c:pt idx="0">
                  <c:v>#NAME?</c:v>
                </c:pt>
              </c:strCache>
            </c:strRef>
          </c:tx>
          <c:spPr>
            <a:ln w="28575" cap="rnd">
              <a:solidFill>
                <a:srgbClr val="0070C0"/>
              </a:solidFill>
              <a:round/>
            </a:ln>
            <a:effectLst/>
          </c:spPr>
          <c:marker>
            <c:symbol val="none"/>
          </c:marker>
          <c:cat>
            <c:numRef>
              <c:f>'Forward EV-EBITDA'!$C$20:$D$60</c:f>
              <c:numCache>
                <c:formatCode>"Q1"\ yyyy</c:formatCode>
                <c:ptCount val="41"/>
                <c:pt idx="0" formatCode="&quot;Q4&quot;\ yyyy">
                  <c:v>40908</c:v>
                </c:pt>
                <c:pt idx="1">
                  <c:v>40999</c:v>
                </c:pt>
                <c:pt idx="2" formatCode="&quot;Q2&quot;\ yyyy">
                  <c:v>41090</c:v>
                </c:pt>
                <c:pt idx="3" formatCode="&quot;Q3&quot;\ yyyy">
                  <c:v>41182</c:v>
                </c:pt>
                <c:pt idx="4" formatCode="&quot;Q4&quot;\ yyyy">
                  <c:v>41274</c:v>
                </c:pt>
                <c:pt idx="5">
                  <c:v>41364</c:v>
                </c:pt>
                <c:pt idx="6" formatCode="&quot;Q2&quot;\ yyyy">
                  <c:v>41455</c:v>
                </c:pt>
                <c:pt idx="7" formatCode="&quot;Q3&quot;\ yyyy">
                  <c:v>41547</c:v>
                </c:pt>
                <c:pt idx="8" formatCode="&quot;Q4&quot;\ yyyy">
                  <c:v>41639</c:v>
                </c:pt>
                <c:pt idx="9">
                  <c:v>41729</c:v>
                </c:pt>
                <c:pt idx="10" formatCode="&quot;Q2&quot;\ yyyy">
                  <c:v>41820</c:v>
                </c:pt>
                <c:pt idx="11" formatCode="&quot;Q3&quot;\ yyyy">
                  <c:v>41912</c:v>
                </c:pt>
                <c:pt idx="12" formatCode="&quot;Q4&quot;\ yyyy">
                  <c:v>42004</c:v>
                </c:pt>
                <c:pt idx="13">
                  <c:v>42094</c:v>
                </c:pt>
                <c:pt idx="14" formatCode="&quot;Q2&quot;\ yyyy">
                  <c:v>42185</c:v>
                </c:pt>
                <c:pt idx="15" formatCode="&quot;Q3&quot;\ yyyy">
                  <c:v>42277</c:v>
                </c:pt>
                <c:pt idx="16" formatCode="&quot;Q4&quot;\ yyyy">
                  <c:v>42369</c:v>
                </c:pt>
                <c:pt idx="17">
                  <c:v>42460</c:v>
                </c:pt>
                <c:pt idx="18" formatCode="&quot;Q2&quot;\ yyyy">
                  <c:v>42551</c:v>
                </c:pt>
                <c:pt idx="19" formatCode="&quot;Q3&quot;\ yyyy">
                  <c:v>42643</c:v>
                </c:pt>
                <c:pt idx="20" formatCode="&quot;Q4&quot;\ yyyy">
                  <c:v>42735</c:v>
                </c:pt>
                <c:pt idx="21">
                  <c:v>42825</c:v>
                </c:pt>
                <c:pt idx="22" formatCode="&quot;Q2&quot;\ yyyy">
                  <c:v>42916</c:v>
                </c:pt>
                <c:pt idx="23" formatCode="&quot;Q3&quot;\ yyyy">
                  <c:v>43008</c:v>
                </c:pt>
                <c:pt idx="24" formatCode="&quot;Q4&quot;\ yyyy">
                  <c:v>43100</c:v>
                </c:pt>
                <c:pt idx="25">
                  <c:v>43190</c:v>
                </c:pt>
                <c:pt idx="26" formatCode="&quot;Q2&quot;\ yyyy">
                  <c:v>43281</c:v>
                </c:pt>
                <c:pt idx="27" formatCode="&quot;Q3&quot;\ yyyy">
                  <c:v>43373</c:v>
                </c:pt>
                <c:pt idx="28" formatCode="&quot;Q4&quot;\ yyyy">
                  <c:v>43465</c:v>
                </c:pt>
                <c:pt idx="29">
                  <c:v>43555</c:v>
                </c:pt>
                <c:pt idx="30" formatCode="&quot;Q2&quot;\ yyyy">
                  <c:v>43646</c:v>
                </c:pt>
                <c:pt idx="31" formatCode="&quot;Q3&quot;\ yyyy">
                  <c:v>43738</c:v>
                </c:pt>
                <c:pt idx="32" formatCode="&quot;Q4&quot;\ yyyy">
                  <c:v>43830</c:v>
                </c:pt>
                <c:pt idx="33">
                  <c:v>43921</c:v>
                </c:pt>
                <c:pt idx="34" formatCode="&quot;Q2&quot;\ yyyy">
                  <c:v>44012</c:v>
                </c:pt>
                <c:pt idx="35" formatCode="&quot;Q3&quot;\ yyyy">
                  <c:v>44104</c:v>
                </c:pt>
                <c:pt idx="36" formatCode="&quot;Q4&quot;\ yyyy">
                  <c:v>44196</c:v>
                </c:pt>
                <c:pt idx="37">
                  <c:v>44286</c:v>
                </c:pt>
                <c:pt idx="38" formatCode="&quot;Q2&quot;\ yyyy">
                  <c:v>44377</c:v>
                </c:pt>
                <c:pt idx="39" formatCode="&quot;Q3&quot;\ yyyy">
                  <c:v>44469</c:v>
                </c:pt>
                <c:pt idx="40" formatCode="&quot;Q4&quot;\ yyyy">
                  <c:v>44561</c:v>
                </c:pt>
              </c:numCache>
            </c:numRef>
          </c:cat>
          <c:val>
            <c:numRef>
              <c:f>'Forward EV-EBITDA'!$H$20:$H$60</c:f>
              <c:numCache>
                <c:formatCode>0.0\x_);\(0.0\x\);\-\ </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0-1457-4299-96F8-777517D03888}"/>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1457-4299-96F8-777517D0388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EV-EBITDA'!$H$16,'Forward EV-EBITDA'!$H$16)</c:f>
              <c:numCache>
                <c:formatCode>0.0\x_);\(0.0\x\);\-\ </c:formatCode>
                <c:ptCount val="2"/>
                <c:pt idx="0">
                  <c:v>0</c:v>
                </c:pt>
                <c:pt idx="1">
                  <c:v>0</c:v>
                </c:pt>
              </c:numCache>
            </c:numRef>
          </c:yVal>
          <c:smooth val="1"/>
          <c:extLst>
            <c:ext xmlns:c16="http://schemas.microsoft.com/office/drawing/2014/chart" uri="{C3380CC4-5D6E-409C-BE32-E72D297353CC}">
              <c16:uniqueId val="{00000002-1457-4299-96F8-777517D03888}"/>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1457-4299-96F8-777517D0388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EV-EBITDA'!$H$17,'Forward EV-EBITDA'!$H$17)</c:f>
              <c:numCache>
                <c:formatCode>0.0\x_);\(0.0\x\);\-\ </c:formatCode>
                <c:ptCount val="2"/>
                <c:pt idx="0">
                  <c:v>0</c:v>
                </c:pt>
                <c:pt idx="1">
                  <c:v>0</c:v>
                </c:pt>
              </c:numCache>
            </c:numRef>
          </c:yVal>
          <c:smooth val="1"/>
          <c:extLst>
            <c:ext xmlns:c16="http://schemas.microsoft.com/office/drawing/2014/chart" uri="{C3380CC4-5D6E-409C-BE32-E72D297353CC}">
              <c16:uniqueId val="{00000004-1457-4299-96F8-777517D03888}"/>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1457-4299-96F8-777517D03888}"/>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42.5</c:v>
              </c:pt>
            </c:numLit>
          </c:xVal>
          <c:yVal>
            <c:numRef>
              <c:f>('Forward EV-EBITDA'!$H$18,'Forward EV-EBITDA'!$H$18)</c:f>
              <c:numCache>
                <c:formatCode>0.0\x_);\(0.0\x\);\-\ </c:formatCode>
                <c:ptCount val="2"/>
                <c:pt idx="0">
                  <c:v>0</c:v>
                </c:pt>
                <c:pt idx="1">
                  <c:v>0</c:v>
                </c:pt>
              </c:numCache>
            </c:numRef>
          </c:yVal>
          <c:smooth val="1"/>
          <c:extLst>
            <c:ext xmlns:c16="http://schemas.microsoft.com/office/drawing/2014/chart" uri="{C3380CC4-5D6E-409C-BE32-E72D297353CC}">
              <c16:uniqueId val="{00000006-1457-4299-96F8-777517D03888}"/>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4"/>
        <c:tickMarkSkip val="4"/>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1F4E78"/>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'Forward EV-EBITDA'!$L$11</c:f>
          <c:strCache>
            <c:ptCount val="1"/>
            <c:pt idx="0">
              <c:v>#NAME?</c:v>
            </c:pt>
          </c:strCache>
        </c:strRef>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5437201060527329E-2"/>
          <c:y val="9.5038109423477152E-2"/>
          <c:w val="0.88375034973420186"/>
          <c:h val="0.78711775804912198"/>
        </c:manualLayout>
      </c:layout>
      <c:lineChart>
        <c:grouping val="standard"/>
        <c:varyColors val="0"/>
        <c:ser>
          <c:idx val="0"/>
          <c:order val="0"/>
          <c:tx>
            <c:strRef>
              <c:f>'Forward EV-EBITDA'!$L$11</c:f>
              <c:strCache>
                <c:ptCount val="1"/>
                <c:pt idx="0">
                  <c:v>#NAME?</c:v>
                </c:pt>
              </c:strCache>
            </c:strRef>
          </c:tx>
          <c:spPr>
            <a:ln w="28575" cap="rnd">
              <a:solidFill>
                <a:srgbClr val="0070C0"/>
              </a:solidFill>
              <a:round/>
            </a:ln>
            <a:effectLst/>
          </c:spPr>
          <c:marker>
            <c:symbol val="none"/>
          </c:marker>
          <c:cat>
            <c:numRef>
              <c:f>'Forward EV-EBITDA'!$C$44:$C$60</c:f>
              <c:numCache>
                <c:formatCode>"Q1"\ yyyy</c:formatCode>
                <c:ptCount val="17"/>
                <c:pt idx="0" formatCode="&quot;Q4&quot;\ yyyy">
                  <c:v>43100</c:v>
                </c:pt>
                <c:pt idx="1">
                  <c:v>43190</c:v>
                </c:pt>
                <c:pt idx="2" formatCode="&quot;Q2&quot;\ yyyy">
                  <c:v>43281</c:v>
                </c:pt>
                <c:pt idx="3" formatCode="&quot;Q3&quot;\ yyyy">
                  <c:v>43373</c:v>
                </c:pt>
                <c:pt idx="4" formatCode="&quot;Q4&quot;\ yyyy">
                  <c:v>43465</c:v>
                </c:pt>
                <c:pt idx="5">
                  <c:v>43555</c:v>
                </c:pt>
                <c:pt idx="6" formatCode="&quot;Q2&quot;\ yyyy">
                  <c:v>43646</c:v>
                </c:pt>
                <c:pt idx="7" formatCode="&quot;Q3&quot;\ yyyy">
                  <c:v>43738</c:v>
                </c:pt>
                <c:pt idx="8" formatCode="&quot;Q4&quot;\ yyyy">
                  <c:v>43830</c:v>
                </c:pt>
                <c:pt idx="9">
                  <c:v>43921</c:v>
                </c:pt>
                <c:pt idx="10" formatCode="&quot;Q2&quot;\ yyyy">
                  <c:v>44012</c:v>
                </c:pt>
                <c:pt idx="11" formatCode="&quot;Q3&quot;\ yyyy">
                  <c:v>44104</c:v>
                </c:pt>
                <c:pt idx="12" formatCode="&quot;Q4&quot;\ yyyy">
                  <c:v>44196</c:v>
                </c:pt>
                <c:pt idx="13">
                  <c:v>44286</c:v>
                </c:pt>
                <c:pt idx="14" formatCode="&quot;Q2&quot;\ yyyy">
                  <c:v>44377</c:v>
                </c:pt>
                <c:pt idx="15" formatCode="&quot;Q3&quot;\ yyyy">
                  <c:v>44469</c:v>
                </c:pt>
                <c:pt idx="16" formatCode="&quot;Q4&quot;\ yyyy">
                  <c:v>44561</c:v>
                </c:pt>
              </c:numCache>
            </c:numRef>
          </c:cat>
          <c:val>
            <c:numRef>
              <c:f>'Forward EV-EBITDA'!$L$44:$L$60</c:f>
              <c:numCache>
                <c:formatCode>0.0\x_);\(0.0\x\);\-\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B939-4AD9-9FED-F8F2B0C0782C}"/>
            </c:ext>
          </c:extLst>
        </c:ser>
        <c:dLbls>
          <c:showLegendKey val="0"/>
          <c:showVal val="0"/>
          <c:showCatName val="0"/>
          <c:showSerName val="0"/>
          <c:showPercent val="0"/>
          <c:showBubbleSize val="0"/>
        </c:dLbls>
        <c:marker val="1"/>
        <c:smooth val="0"/>
        <c:axId val="1797476624"/>
        <c:axId val="1797475792"/>
      </c:lineChart>
      <c:scatterChart>
        <c:scatterStyle val="smoothMarker"/>
        <c:varyColors val="0"/>
        <c:ser>
          <c:idx val="1"/>
          <c:order val="1"/>
          <c:tx>
            <c:strRef>
              <c:f>'Forward EV-EBITDA'!$C$16</c:f>
              <c:strCache>
                <c:ptCount val="1"/>
                <c:pt idx="0">
                  <c:v>Mean</c:v>
                </c:pt>
              </c:strCache>
            </c:strRef>
          </c:tx>
          <c:spPr>
            <a:ln w="22225" cap="rnd">
              <a:solidFill>
                <a:srgbClr val="1F4E78"/>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B939-4AD9-9FED-F8F2B0C0782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16.5</c:v>
              </c:pt>
            </c:numLit>
          </c:xVal>
          <c:yVal>
            <c:numRef>
              <c:f>('Forward EV-EBITDA'!$L$16,'Forward EV-EBITDA'!$L$16)</c:f>
              <c:numCache>
                <c:formatCode>0.0\x_);\(0.0\x\);\-\ </c:formatCode>
                <c:ptCount val="2"/>
                <c:pt idx="0">
                  <c:v>0</c:v>
                </c:pt>
                <c:pt idx="1">
                  <c:v>0</c:v>
                </c:pt>
              </c:numCache>
            </c:numRef>
          </c:yVal>
          <c:smooth val="1"/>
          <c:extLst>
            <c:ext xmlns:c16="http://schemas.microsoft.com/office/drawing/2014/chart" uri="{C3380CC4-5D6E-409C-BE32-E72D297353CC}">
              <c16:uniqueId val="{00000002-B939-4AD9-9FED-F8F2B0C0782C}"/>
            </c:ext>
          </c:extLst>
        </c:ser>
        <c:ser>
          <c:idx val="2"/>
          <c:order val="2"/>
          <c:tx>
            <c:strRef>
              <c:f>'Forward EV-EBITDA'!$C$17</c:f>
              <c:strCache>
                <c:ptCount val="1"/>
                <c:pt idx="0">
                  <c:v>-1 S.Dev</c:v>
                </c:pt>
              </c:strCache>
            </c:strRef>
          </c:tx>
          <c:spPr>
            <a:ln w="2222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B939-4AD9-9FED-F8F2B0C0782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16.5</c:v>
              </c:pt>
            </c:numLit>
          </c:xVal>
          <c:yVal>
            <c:numRef>
              <c:f>('Forward EV-EBITDA'!$L$17,'Forward EV-EBITDA'!$L$17)</c:f>
              <c:numCache>
                <c:formatCode>0.0\x_);\(0.0\x\);\-\ </c:formatCode>
                <c:ptCount val="2"/>
                <c:pt idx="0">
                  <c:v>0</c:v>
                </c:pt>
                <c:pt idx="1">
                  <c:v>0</c:v>
                </c:pt>
              </c:numCache>
            </c:numRef>
          </c:yVal>
          <c:smooth val="1"/>
          <c:extLst>
            <c:ext xmlns:c16="http://schemas.microsoft.com/office/drawing/2014/chart" uri="{C3380CC4-5D6E-409C-BE32-E72D297353CC}">
              <c16:uniqueId val="{00000004-B939-4AD9-9FED-F8F2B0C0782C}"/>
            </c:ext>
          </c:extLst>
        </c:ser>
        <c:ser>
          <c:idx val="3"/>
          <c:order val="3"/>
          <c:tx>
            <c:strRef>
              <c:f>'Forward EV-EBITDA'!$C$18</c:f>
              <c:strCache>
                <c:ptCount val="1"/>
                <c:pt idx="0">
                  <c:v>+1 S.Dev</c:v>
                </c:pt>
              </c:strCache>
            </c:strRef>
          </c:tx>
          <c:spPr>
            <a:ln w="22225" cap="rnd">
              <a:solidFill>
                <a:srgbClr val="D919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B939-4AD9-9FED-F8F2B0C0782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2"/>
              <c:pt idx="0">
                <c:v>0.5</c:v>
              </c:pt>
              <c:pt idx="1">
                <c:v>16.5</c:v>
              </c:pt>
            </c:numLit>
          </c:xVal>
          <c:yVal>
            <c:numRef>
              <c:f>('Forward EV-EBITDA'!$L$18,'Forward EV-EBITDA'!$L$18)</c:f>
              <c:numCache>
                <c:formatCode>0.0\x_);\(0.0\x\);\-\ </c:formatCode>
                <c:ptCount val="2"/>
                <c:pt idx="0">
                  <c:v>0</c:v>
                </c:pt>
                <c:pt idx="1">
                  <c:v>0</c:v>
                </c:pt>
              </c:numCache>
            </c:numRef>
          </c:yVal>
          <c:smooth val="1"/>
          <c:extLst>
            <c:ext xmlns:c16="http://schemas.microsoft.com/office/drawing/2014/chart" uri="{C3380CC4-5D6E-409C-BE32-E72D297353CC}">
              <c16:uniqueId val="{00000006-B939-4AD9-9FED-F8F2B0C0782C}"/>
            </c:ext>
          </c:extLst>
        </c:ser>
        <c:dLbls>
          <c:showLegendKey val="0"/>
          <c:showVal val="0"/>
          <c:showCatName val="0"/>
          <c:showSerName val="0"/>
          <c:showPercent val="0"/>
          <c:showBubbleSize val="0"/>
        </c:dLbls>
        <c:axId val="1797476624"/>
        <c:axId val="1797475792"/>
      </c:scatterChart>
      <c:catAx>
        <c:axId val="1797476624"/>
        <c:scaling>
          <c:orientation val="minMax"/>
        </c:scaling>
        <c:delete val="0"/>
        <c:axPos val="b"/>
        <c:numFmt formatCode="&quot;Q4&quot;\ yy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5792"/>
        <c:crosses val="autoZero"/>
        <c:auto val="0"/>
        <c:lblAlgn val="ctr"/>
        <c:lblOffset val="100"/>
        <c:tickLblSkip val="2"/>
        <c:tickMarkSkip val="2"/>
        <c:noMultiLvlLbl val="0"/>
      </c:catAx>
      <c:valAx>
        <c:axId val="1797475792"/>
        <c:scaling>
          <c:orientation val="minMax"/>
        </c:scaling>
        <c:delete val="0"/>
        <c:axPos val="l"/>
        <c:numFmt formatCode="0.0\x_);\(0.0\x\);\-\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97476624"/>
        <c:crosses val="autoZero"/>
        <c:crossBetween val="between"/>
      </c:valAx>
      <c:spPr>
        <a:noFill/>
        <a:ln>
          <a:noFill/>
        </a:ln>
        <a:effectLst/>
      </c:spPr>
    </c:plotArea>
    <c:plotVisOnly val="1"/>
    <c:dispBlanksAs val="gap"/>
    <c:showDLblsOverMax val="0"/>
  </c:chart>
  <c:spPr>
    <a:solidFill>
      <a:schemeClr val="bg1"/>
    </a:solidFill>
    <a:ln w="12700" cap="flat" cmpd="sng" algn="ctr">
      <a:solidFill>
        <a:srgbClr val="4472C4"/>
      </a:solid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jpeg"/><Relationship Id="rId4" Type="http://schemas.openxmlformats.org/officeDocument/2006/relationships/image" Target="../media/image28.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3.png"/><Relationship Id="rId7" Type="http://schemas.openxmlformats.org/officeDocument/2006/relationships/image" Target="../media/image37.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 Id="rId9"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63</xdr:col>
      <xdr:colOff>430803</xdr:colOff>
      <xdr:row>14</xdr:row>
      <xdr:rowOff>106681</xdr:rowOff>
    </xdr:from>
    <xdr:to>
      <xdr:col>69</xdr:col>
      <xdr:colOff>16679</xdr:colOff>
      <xdr:row>29</xdr:row>
      <xdr:rowOff>12065</xdr:rowOff>
    </xdr:to>
    <xdr:pic>
      <xdr:nvPicPr>
        <xdr:cNvPr id="4" name="Picture 3">
          <a:extLst>
            <a:ext uri="{FF2B5EF4-FFF2-40B4-BE49-F238E27FC236}">
              <a16:creationId xmlns:a16="http://schemas.microsoft.com/office/drawing/2014/main" id="{84B9C9D8-991A-42A9-A700-E1D220717853}"/>
            </a:ext>
          </a:extLst>
        </xdr:cNvPr>
        <xdr:cNvPicPr>
          <a:picLocks noChangeAspect="1"/>
        </xdr:cNvPicPr>
      </xdr:nvPicPr>
      <xdr:blipFill>
        <a:blip xmlns:r="http://schemas.openxmlformats.org/officeDocument/2006/relationships" r:embed="rId1"/>
        <a:stretch>
          <a:fillRect/>
        </a:stretch>
      </xdr:blipFill>
      <xdr:spPr>
        <a:xfrm>
          <a:off x="39978603" y="1897381"/>
          <a:ext cx="3350156" cy="1684019"/>
        </a:xfrm>
        <a:prstGeom prst="rect">
          <a:avLst/>
        </a:prstGeom>
      </xdr:spPr>
    </xdr:pic>
    <xdr:clientData/>
  </xdr:twoCellAnchor>
  <xdr:twoCellAnchor editAs="oneCell">
    <xdr:from>
      <xdr:col>53</xdr:col>
      <xdr:colOff>267942</xdr:colOff>
      <xdr:row>9</xdr:row>
      <xdr:rowOff>2901</xdr:rowOff>
    </xdr:from>
    <xdr:to>
      <xdr:col>57</xdr:col>
      <xdr:colOff>533400</xdr:colOff>
      <xdr:row>29</xdr:row>
      <xdr:rowOff>56878</xdr:rowOff>
    </xdr:to>
    <xdr:pic>
      <xdr:nvPicPr>
        <xdr:cNvPr id="5" name="Picture 4">
          <a:extLst>
            <a:ext uri="{FF2B5EF4-FFF2-40B4-BE49-F238E27FC236}">
              <a16:creationId xmlns:a16="http://schemas.microsoft.com/office/drawing/2014/main" id="{854249D8-A53D-4285-B528-F201CB260D9B}"/>
            </a:ext>
          </a:extLst>
        </xdr:cNvPr>
        <xdr:cNvPicPr>
          <a:picLocks noChangeAspect="1"/>
        </xdr:cNvPicPr>
      </xdr:nvPicPr>
      <xdr:blipFill>
        <a:blip xmlns:r="http://schemas.openxmlformats.org/officeDocument/2006/relationships" r:embed="rId2"/>
        <a:stretch>
          <a:fillRect/>
        </a:stretch>
      </xdr:blipFill>
      <xdr:spPr>
        <a:xfrm>
          <a:off x="33529242" y="1203051"/>
          <a:ext cx="2780058" cy="2425702"/>
        </a:xfrm>
        <a:prstGeom prst="rect">
          <a:avLst/>
        </a:prstGeom>
      </xdr:spPr>
    </xdr:pic>
    <xdr:clientData/>
  </xdr:twoCellAnchor>
  <xdr:twoCellAnchor editAs="oneCell">
    <xdr:from>
      <xdr:col>58</xdr:col>
      <xdr:colOff>7620</xdr:colOff>
      <xdr:row>6</xdr:row>
      <xdr:rowOff>91440</xdr:rowOff>
    </xdr:from>
    <xdr:to>
      <xdr:col>63</xdr:col>
      <xdr:colOff>288119</xdr:colOff>
      <xdr:row>29</xdr:row>
      <xdr:rowOff>17145</xdr:rowOff>
    </xdr:to>
    <xdr:pic>
      <xdr:nvPicPr>
        <xdr:cNvPr id="6" name="Picture 5">
          <a:extLst>
            <a:ext uri="{FF2B5EF4-FFF2-40B4-BE49-F238E27FC236}">
              <a16:creationId xmlns:a16="http://schemas.microsoft.com/office/drawing/2014/main" id="{1CBB1CF2-6C35-4C94-B263-957E581D7E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412170" y="891540"/>
          <a:ext cx="3427559" cy="2691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69</xdr:col>
      <xdr:colOff>268151</xdr:colOff>
      <xdr:row>32</xdr:row>
      <xdr:rowOff>83213</xdr:rowOff>
    </xdr:from>
    <xdr:to>
      <xdr:col>78</xdr:col>
      <xdr:colOff>248652</xdr:colOff>
      <xdr:row>53</xdr:row>
      <xdr:rowOff>56426</xdr:rowOff>
    </xdr:to>
    <xdr:pic>
      <xdr:nvPicPr>
        <xdr:cNvPr id="2" name="Picture 1">
          <a:extLst>
            <a:ext uri="{FF2B5EF4-FFF2-40B4-BE49-F238E27FC236}">
              <a16:creationId xmlns:a16="http://schemas.microsoft.com/office/drawing/2014/main" id="{F3AF4BFF-E934-4720-8380-C3086B33DC74}"/>
            </a:ext>
          </a:extLst>
        </xdr:cNvPr>
        <xdr:cNvPicPr>
          <a:picLocks noChangeAspect="1"/>
        </xdr:cNvPicPr>
      </xdr:nvPicPr>
      <xdr:blipFill>
        <a:blip xmlns:r="http://schemas.openxmlformats.org/officeDocument/2006/relationships" r:embed="rId4"/>
        <a:stretch>
          <a:fillRect/>
        </a:stretch>
      </xdr:blipFill>
      <xdr:spPr>
        <a:xfrm>
          <a:off x="43587851" y="4045613"/>
          <a:ext cx="4891591" cy="2405898"/>
        </a:xfrm>
        <a:prstGeom prst="rect">
          <a:avLst/>
        </a:prstGeom>
      </xdr:spPr>
    </xdr:pic>
    <xdr:clientData/>
  </xdr:twoCellAnchor>
  <xdr:twoCellAnchor editAs="oneCell">
    <xdr:from>
      <xdr:col>55</xdr:col>
      <xdr:colOff>45721</xdr:colOff>
      <xdr:row>31</xdr:row>
      <xdr:rowOff>123825</xdr:rowOff>
    </xdr:from>
    <xdr:to>
      <xdr:col>62</xdr:col>
      <xdr:colOff>183516</xdr:colOff>
      <xdr:row>54</xdr:row>
      <xdr:rowOff>18287</xdr:rowOff>
    </xdr:to>
    <xdr:pic>
      <xdr:nvPicPr>
        <xdr:cNvPr id="9" name="Picture 8">
          <a:extLst>
            <a:ext uri="{FF2B5EF4-FFF2-40B4-BE49-F238E27FC236}">
              <a16:creationId xmlns:a16="http://schemas.microsoft.com/office/drawing/2014/main" id="{D1C1D3F0-AD2A-40F8-B316-357077D7F0D4}"/>
            </a:ext>
          </a:extLst>
        </xdr:cNvPr>
        <xdr:cNvPicPr>
          <a:picLocks noChangeAspect="1"/>
        </xdr:cNvPicPr>
      </xdr:nvPicPr>
      <xdr:blipFill>
        <a:blip xmlns:r="http://schemas.openxmlformats.org/officeDocument/2006/relationships" r:embed="rId5"/>
        <a:stretch>
          <a:fillRect/>
        </a:stretch>
      </xdr:blipFill>
      <xdr:spPr>
        <a:xfrm>
          <a:off x="34564321" y="3952875"/>
          <a:ext cx="4541520" cy="2584322"/>
        </a:xfrm>
        <a:prstGeom prst="rect">
          <a:avLst/>
        </a:prstGeom>
      </xdr:spPr>
    </xdr:pic>
    <xdr:clientData/>
  </xdr:twoCellAnchor>
  <xdr:twoCellAnchor editAs="oneCell">
    <xdr:from>
      <xdr:col>47</xdr:col>
      <xdr:colOff>19050</xdr:colOff>
      <xdr:row>158</xdr:row>
      <xdr:rowOff>0</xdr:rowOff>
    </xdr:from>
    <xdr:to>
      <xdr:col>56</xdr:col>
      <xdr:colOff>473351</xdr:colOff>
      <xdr:row>192</xdr:row>
      <xdr:rowOff>38640</xdr:rowOff>
    </xdr:to>
    <xdr:pic>
      <xdr:nvPicPr>
        <xdr:cNvPr id="7" name="Picture 6">
          <a:extLst>
            <a:ext uri="{FF2B5EF4-FFF2-40B4-BE49-F238E27FC236}">
              <a16:creationId xmlns:a16="http://schemas.microsoft.com/office/drawing/2014/main" id="{F07ED80F-37E4-488C-8CC4-CE6AC8B4851A}"/>
            </a:ext>
          </a:extLst>
        </xdr:cNvPr>
        <xdr:cNvPicPr>
          <a:picLocks noChangeAspect="1"/>
        </xdr:cNvPicPr>
      </xdr:nvPicPr>
      <xdr:blipFill>
        <a:blip xmlns:r="http://schemas.openxmlformats.org/officeDocument/2006/relationships" r:embed="rId6"/>
        <a:stretch>
          <a:fillRect/>
        </a:stretch>
      </xdr:blipFill>
      <xdr:spPr>
        <a:xfrm>
          <a:off x="26708100" y="17440275"/>
          <a:ext cx="6525536" cy="3867690"/>
        </a:xfrm>
        <a:prstGeom prst="rect">
          <a:avLst/>
        </a:prstGeom>
      </xdr:spPr>
    </xdr:pic>
    <xdr:clientData/>
  </xdr:twoCellAnchor>
  <xdr:twoCellAnchor editAs="oneCell">
    <xdr:from>
      <xdr:col>58</xdr:col>
      <xdr:colOff>495300</xdr:colOff>
      <xdr:row>157</xdr:row>
      <xdr:rowOff>93550</xdr:rowOff>
    </xdr:from>
    <xdr:to>
      <xdr:col>69</xdr:col>
      <xdr:colOff>151537</xdr:colOff>
      <xdr:row>204</xdr:row>
      <xdr:rowOff>99486</xdr:rowOff>
    </xdr:to>
    <xdr:pic>
      <xdr:nvPicPr>
        <xdr:cNvPr id="11" name="Picture 10">
          <a:extLst>
            <a:ext uri="{FF2B5EF4-FFF2-40B4-BE49-F238E27FC236}">
              <a16:creationId xmlns:a16="http://schemas.microsoft.com/office/drawing/2014/main" id="{3EDE31BB-644E-4CC8-9046-1FB0396976EB}"/>
            </a:ext>
          </a:extLst>
        </xdr:cNvPr>
        <xdr:cNvPicPr>
          <a:picLocks noChangeAspect="1"/>
        </xdr:cNvPicPr>
      </xdr:nvPicPr>
      <xdr:blipFill>
        <a:blip xmlns:r="http://schemas.openxmlformats.org/officeDocument/2006/relationships" r:embed="rId7"/>
        <a:stretch>
          <a:fillRect/>
        </a:stretch>
      </xdr:blipFill>
      <xdr:spPr>
        <a:xfrm>
          <a:off x="33366075" y="17390950"/>
          <a:ext cx="7068592" cy="5662086"/>
        </a:xfrm>
        <a:prstGeom prst="rect">
          <a:avLst/>
        </a:prstGeom>
      </xdr:spPr>
    </xdr:pic>
    <xdr:clientData/>
  </xdr:twoCellAnchor>
  <xdr:twoCellAnchor>
    <xdr:from>
      <xdr:col>47</xdr:col>
      <xdr:colOff>25416</xdr:colOff>
      <xdr:row>9</xdr:row>
      <xdr:rowOff>76202</xdr:rowOff>
    </xdr:from>
    <xdr:to>
      <xdr:col>53</xdr:col>
      <xdr:colOff>200025</xdr:colOff>
      <xdr:row>28</xdr:row>
      <xdr:rowOff>123826</xdr:rowOff>
    </xdr:to>
    <xdr:grpSp>
      <xdr:nvGrpSpPr>
        <xdr:cNvPr id="14" name="Group 13">
          <a:extLst>
            <a:ext uri="{FF2B5EF4-FFF2-40B4-BE49-F238E27FC236}">
              <a16:creationId xmlns:a16="http://schemas.microsoft.com/office/drawing/2014/main" id="{8886DFC7-220A-4AFD-A674-055B23053C0B}"/>
            </a:ext>
          </a:extLst>
        </xdr:cNvPr>
        <xdr:cNvGrpSpPr/>
      </xdr:nvGrpSpPr>
      <xdr:grpSpPr>
        <a:xfrm>
          <a:off x="28643279" y="1314452"/>
          <a:ext cx="3832209" cy="2314574"/>
          <a:chOff x="29516721" y="1276351"/>
          <a:chExt cx="4897422" cy="2735579"/>
        </a:xfrm>
      </xdr:grpSpPr>
      <xdr:pic>
        <xdr:nvPicPr>
          <xdr:cNvPr id="3" name="Picture 2">
            <a:extLst>
              <a:ext uri="{FF2B5EF4-FFF2-40B4-BE49-F238E27FC236}">
                <a16:creationId xmlns:a16="http://schemas.microsoft.com/office/drawing/2014/main" id="{C1555482-3585-415C-B2E8-F64D414BAACD}"/>
              </a:ext>
            </a:extLst>
          </xdr:cNvPr>
          <xdr:cNvPicPr>
            <a:picLocks noChangeAspect="1"/>
          </xdr:cNvPicPr>
        </xdr:nvPicPr>
        <xdr:blipFill>
          <a:blip xmlns:r="http://schemas.openxmlformats.org/officeDocument/2006/relationships" r:embed="rId8"/>
          <a:stretch>
            <a:fillRect/>
          </a:stretch>
        </xdr:blipFill>
        <xdr:spPr>
          <a:xfrm>
            <a:off x="29516721" y="1276351"/>
            <a:ext cx="4897422" cy="2735579"/>
          </a:xfrm>
          <a:prstGeom prst="rect">
            <a:avLst/>
          </a:prstGeom>
        </xdr:spPr>
      </xdr:pic>
      <xdr:sp macro="" textlink="">
        <xdr:nvSpPr>
          <xdr:cNvPr id="12" name="TextBox 11">
            <a:extLst>
              <a:ext uri="{FF2B5EF4-FFF2-40B4-BE49-F238E27FC236}">
                <a16:creationId xmlns:a16="http://schemas.microsoft.com/office/drawing/2014/main" id="{10385807-DDE9-4155-921F-E0932EAAB5E5}"/>
              </a:ext>
            </a:extLst>
          </xdr:cNvPr>
          <xdr:cNvSpPr txBox="1"/>
        </xdr:nvSpPr>
        <xdr:spPr>
          <a:xfrm>
            <a:off x="29729430" y="1468755"/>
            <a:ext cx="7715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N" sz="2000" b="1"/>
              <a:t>CCG</a:t>
            </a:r>
          </a:p>
        </xdr:txBody>
      </xdr:sp>
    </xdr:grpSp>
    <xdr:clientData/>
  </xdr:twoCellAnchor>
  <xdr:twoCellAnchor>
    <xdr:from>
      <xdr:col>47</xdr:col>
      <xdr:colOff>19050</xdr:colOff>
      <xdr:row>30</xdr:row>
      <xdr:rowOff>11430</xdr:rowOff>
    </xdr:from>
    <xdr:to>
      <xdr:col>54</xdr:col>
      <xdr:colOff>570865</xdr:colOff>
      <xdr:row>53</xdr:row>
      <xdr:rowOff>0</xdr:rowOff>
    </xdr:to>
    <xdr:grpSp>
      <xdr:nvGrpSpPr>
        <xdr:cNvPr id="16" name="Group 15">
          <a:extLst>
            <a:ext uri="{FF2B5EF4-FFF2-40B4-BE49-F238E27FC236}">
              <a16:creationId xmlns:a16="http://schemas.microsoft.com/office/drawing/2014/main" id="{9B9BDC2F-CCCC-4237-80C9-BFBF6F05AE4E}"/>
            </a:ext>
          </a:extLst>
        </xdr:cNvPr>
        <xdr:cNvGrpSpPr/>
      </xdr:nvGrpSpPr>
      <xdr:grpSpPr>
        <a:xfrm>
          <a:off x="28636913" y="3783330"/>
          <a:ext cx="4819015" cy="2722245"/>
          <a:chOff x="29070935" y="11802938"/>
          <a:chExt cx="5393889" cy="2942239"/>
        </a:xfrm>
      </xdr:grpSpPr>
      <xdr:pic>
        <xdr:nvPicPr>
          <xdr:cNvPr id="17" name="Picture 16">
            <a:extLst>
              <a:ext uri="{FF2B5EF4-FFF2-40B4-BE49-F238E27FC236}">
                <a16:creationId xmlns:a16="http://schemas.microsoft.com/office/drawing/2014/main" id="{64CBAD35-9E6F-43FD-9E8D-BE89062DA3D2}"/>
              </a:ext>
            </a:extLst>
          </xdr:cNvPr>
          <xdr:cNvPicPr>
            <a:picLocks noChangeAspect="1"/>
          </xdr:cNvPicPr>
        </xdr:nvPicPr>
        <xdr:blipFill>
          <a:blip xmlns:r="http://schemas.openxmlformats.org/officeDocument/2006/relationships" r:embed="rId9"/>
          <a:stretch>
            <a:fillRect/>
          </a:stretch>
        </xdr:blipFill>
        <xdr:spPr>
          <a:xfrm>
            <a:off x="29070935" y="11802938"/>
            <a:ext cx="5393889" cy="2942239"/>
          </a:xfrm>
          <a:prstGeom prst="rect">
            <a:avLst/>
          </a:prstGeom>
        </xdr:spPr>
      </xdr:pic>
      <xdr:sp macro="" textlink="">
        <xdr:nvSpPr>
          <xdr:cNvPr id="18" name="TextBox 17">
            <a:extLst>
              <a:ext uri="{FF2B5EF4-FFF2-40B4-BE49-F238E27FC236}">
                <a16:creationId xmlns:a16="http://schemas.microsoft.com/office/drawing/2014/main" id="{256C9834-72F6-42F0-A7B8-9B04EB9541B2}"/>
              </a:ext>
            </a:extLst>
          </xdr:cNvPr>
          <xdr:cNvSpPr txBox="1"/>
        </xdr:nvSpPr>
        <xdr:spPr>
          <a:xfrm>
            <a:off x="29110940" y="11879138"/>
            <a:ext cx="7715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N" sz="2000" b="1"/>
              <a:t>DCAI</a:t>
            </a:r>
          </a:p>
        </xdr:txBody>
      </xdr:sp>
    </xdr:grpSp>
    <xdr:clientData/>
  </xdr:twoCellAnchor>
  <xdr:twoCellAnchor editAs="oneCell">
    <xdr:from>
      <xdr:col>62</xdr:col>
      <xdr:colOff>171450</xdr:colOff>
      <xdr:row>31</xdr:row>
      <xdr:rowOff>104776</xdr:rowOff>
    </xdr:from>
    <xdr:to>
      <xdr:col>69</xdr:col>
      <xdr:colOff>152400</xdr:colOff>
      <xdr:row>53</xdr:row>
      <xdr:rowOff>102119</xdr:rowOff>
    </xdr:to>
    <xdr:pic>
      <xdr:nvPicPr>
        <xdr:cNvPr id="19" name="Picture 18">
          <a:extLst>
            <a:ext uri="{FF2B5EF4-FFF2-40B4-BE49-F238E27FC236}">
              <a16:creationId xmlns:a16="http://schemas.microsoft.com/office/drawing/2014/main" id="{60E151FA-41CD-4900-B20E-ED5771830362}"/>
            </a:ext>
          </a:extLst>
        </xdr:cNvPr>
        <xdr:cNvPicPr>
          <a:picLocks noChangeAspect="1"/>
        </xdr:cNvPicPr>
      </xdr:nvPicPr>
      <xdr:blipFill>
        <a:blip xmlns:r="http://schemas.openxmlformats.org/officeDocument/2006/relationships" r:embed="rId10"/>
        <a:stretch>
          <a:fillRect/>
        </a:stretch>
      </xdr:blipFill>
      <xdr:spPr>
        <a:xfrm>
          <a:off x="39090600" y="3933826"/>
          <a:ext cx="4381500" cy="25544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142874</xdr:colOff>
      <xdr:row>4</xdr:row>
      <xdr:rowOff>76200</xdr:rowOff>
    </xdr:from>
    <xdr:to>
      <xdr:col>27</xdr:col>
      <xdr:colOff>390525</xdr:colOff>
      <xdr:row>29</xdr:row>
      <xdr:rowOff>28575</xdr:rowOff>
    </xdr:to>
    <xdr:graphicFrame macro="">
      <xdr:nvGraphicFramePr>
        <xdr:cNvPr id="2" name="Chart 1">
          <a:extLst>
            <a:ext uri="{FF2B5EF4-FFF2-40B4-BE49-F238E27FC236}">
              <a16:creationId xmlns:a16="http://schemas.microsoft.com/office/drawing/2014/main" id="{3E1F73B1-2283-45CF-A496-B26E690626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152405</xdr:colOff>
      <xdr:row>35</xdr:row>
      <xdr:rowOff>114306</xdr:rowOff>
    </xdr:from>
    <xdr:to>
      <xdr:col>30</xdr:col>
      <xdr:colOff>419100</xdr:colOff>
      <xdr:row>64</xdr:row>
      <xdr:rowOff>66675</xdr:rowOff>
    </xdr:to>
    <xdr:graphicFrame macro="">
      <xdr:nvGraphicFramePr>
        <xdr:cNvPr id="3" name="Chart 2">
          <a:extLst>
            <a:ext uri="{FF2B5EF4-FFF2-40B4-BE49-F238E27FC236}">
              <a16:creationId xmlns:a16="http://schemas.microsoft.com/office/drawing/2014/main" id="{00E8F3A4-FE86-4455-9719-0D0FBC9862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303212</xdr:colOff>
      <xdr:row>33</xdr:row>
      <xdr:rowOff>58737</xdr:rowOff>
    </xdr:from>
    <xdr:to>
      <xdr:col>26</xdr:col>
      <xdr:colOff>17462</xdr:colOff>
      <xdr:row>52</xdr:row>
      <xdr:rowOff>106362</xdr:rowOff>
    </xdr:to>
    <xdr:graphicFrame macro="">
      <xdr:nvGraphicFramePr>
        <xdr:cNvPr id="2" name="Chart 1">
          <a:extLst>
            <a:ext uri="{FF2B5EF4-FFF2-40B4-BE49-F238E27FC236}">
              <a16:creationId xmlns:a16="http://schemas.microsoft.com/office/drawing/2014/main" id="{CC283458-DCC6-2CEE-266D-F3F98A5F6C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865186</xdr:colOff>
      <xdr:row>1832</xdr:row>
      <xdr:rowOff>38100</xdr:rowOff>
    </xdr:from>
    <xdr:to>
      <xdr:col>22</xdr:col>
      <xdr:colOff>295275</xdr:colOff>
      <xdr:row>1877</xdr:row>
      <xdr:rowOff>76200</xdr:rowOff>
    </xdr:to>
    <xdr:graphicFrame macro="">
      <xdr:nvGraphicFramePr>
        <xdr:cNvPr id="2" name="Chart 1">
          <a:extLst>
            <a:ext uri="{FF2B5EF4-FFF2-40B4-BE49-F238E27FC236}">
              <a16:creationId xmlns:a16="http://schemas.microsoft.com/office/drawing/2014/main" id="{AF76BC22-389E-4267-87F1-371C20B9E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23</xdr:col>
      <xdr:colOff>323845</xdr:colOff>
      <xdr:row>42</xdr:row>
      <xdr:rowOff>69850</xdr:rowOff>
    </xdr:to>
    <xdr:graphicFrame macro="">
      <xdr:nvGraphicFramePr>
        <xdr:cNvPr id="3" name="Chart 2">
          <a:extLst>
            <a:ext uri="{FF2B5EF4-FFF2-40B4-BE49-F238E27FC236}">
              <a16:creationId xmlns:a16="http://schemas.microsoft.com/office/drawing/2014/main" id="{C2096394-79ED-4F76-A14F-796B79A74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0</xdr:colOff>
      <xdr:row>15</xdr:row>
      <xdr:rowOff>0</xdr:rowOff>
    </xdr:from>
    <xdr:to>
      <xdr:col>14</xdr:col>
      <xdr:colOff>304800</xdr:colOff>
      <xdr:row>16</xdr:row>
      <xdr:rowOff>142679</xdr:rowOff>
    </xdr:to>
    <xdr:sp macro="" textlink="">
      <xdr:nvSpPr>
        <xdr:cNvPr id="2" name="AutoShape 12" descr="Differences">
          <a:extLst>
            <a:ext uri="{FF2B5EF4-FFF2-40B4-BE49-F238E27FC236}">
              <a16:creationId xmlns:a16="http://schemas.microsoft.com/office/drawing/2014/main" id="{56EF6E56-2D52-43AB-B4F8-F5DCC49665BF}"/>
            </a:ext>
          </a:extLst>
        </xdr:cNvPr>
        <xdr:cNvSpPr>
          <a:spLocks noChangeAspect="1" noChangeArrowheads="1"/>
        </xdr:cNvSpPr>
      </xdr:nvSpPr>
      <xdr:spPr bwMode="auto">
        <a:xfrm>
          <a:off x="11182350" y="2105025"/>
          <a:ext cx="304800" cy="3046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24</xdr:col>
      <xdr:colOff>235323</xdr:colOff>
      <xdr:row>48</xdr:row>
      <xdr:rowOff>123265</xdr:rowOff>
    </xdr:from>
    <xdr:to>
      <xdr:col>33</xdr:col>
      <xdr:colOff>179295</xdr:colOff>
      <xdr:row>51</xdr:row>
      <xdr:rowOff>56030</xdr:rowOff>
    </xdr:to>
    <xdr:sp macro="" textlink="">
      <xdr:nvSpPr>
        <xdr:cNvPr id="2" name="TextBox 1">
          <a:extLst>
            <a:ext uri="{FF2B5EF4-FFF2-40B4-BE49-F238E27FC236}">
              <a16:creationId xmlns:a16="http://schemas.microsoft.com/office/drawing/2014/main" id="{F46E0ED2-B6ED-426A-B27C-397D102ACD67}"/>
            </a:ext>
          </a:extLst>
        </xdr:cNvPr>
        <xdr:cNvSpPr txBox="1"/>
      </xdr:nvSpPr>
      <xdr:spPr>
        <a:xfrm>
          <a:off x="26460823" y="8336990"/>
          <a:ext cx="7697322" cy="472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For more details about how the Total Return can be manually calculated in Excel and how to replicate the value retrieved by the TR formula please open the template "Total Return - Reinvestment Dividend" from the Templates menu or by following the quick link below.</a:t>
          </a:r>
        </a:p>
        <a:p>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xdr:row>
      <xdr:rowOff>55245</xdr:rowOff>
    </xdr:from>
    <xdr:to>
      <xdr:col>14</xdr:col>
      <xdr:colOff>381000</xdr:colOff>
      <xdr:row>29</xdr:row>
      <xdr:rowOff>1905</xdr:rowOff>
    </xdr:to>
    <xdr:graphicFrame macro="">
      <xdr:nvGraphicFramePr>
        <xdr:cNvPr id="2" name="Chart 1">
          <a:extLst>
            <a:ext uri="{FF2B5EF4-FFF2-40B4-BE49-F238E27FC236}">
              <a16:creationId xmlns:a16="http://schemas.microsoft.com/office/drawing/2014/main" id="{295D1F6E-87B0-48CD-A7BC-27CF330EE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504825</xdr:colOff>
      <xdr:row>3</xdr:row>
      <xdr:rowOff>57150</xdr:rowOff>
    </xdr:from>
    <xdr:to>
      <xdr:col>29</xdr:col>
      <xdr:colOff>352425</xdr:colOff>
      <xdr:row>29</xdr:row>
      <xdr:rowOff>0</xdr:rowOff>
    </xdr:to>
    <xdr:graphicFrame macro="">
      <xdr:nvGraphicFramePr>
        <xdr:cNvPr id="3" name="Chart 2">
          <a:extLst>
            <a:ext uri="{FF2B5EF4-FFF2-40B4-BE49-F238E27FC236}">
              <a16:creationId xmlns:a16="http://schemas.microsoft.com/office/drawing/2014/main" id="{105D6FFF-794C-4D7C-B066-5F1ADEB30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125185</xdr:rowOff>
    </xdr:from>
    <xdr:to>
      <xdr:col>14</xdr:col>
      <xdr:colOff>381000</xdr:colOff>
      <xdr:row>56</xdr:row>
      <xdr:rowOff>68036</xdr:rowOff>
    </xdr:to>
    <xdr:graphicFrame macro="">
      <xdr:nvGraphicFramePr>
        <xdr:cNvPr id="4" name="Chart 3">
          <a:extLst>
            <a:ext uri="{FF2B5EF4-FFF2-40B4-BE49-F238E27FC236}">
              <a16:creationId xmlns:a16="http://schemas.microsoft.com/office/drawing/2014/main" id="{5BE1E9CE-5BB0-47D3-9872-F7B493625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4083</xdr:colOff>
      <xdr:row>30</xdr:row>
      <xdr:rowOff>125185</xdr:rowOff>
    </xdr:from>
    <xdr:to>
      <xdr:col>29</xdr:col>
      <xdr:colOff>352425</xdr:colOff>
      <xdr:row>56</xdr:row>
      <xdr:rowOff>68036</xdr:rowOff>
    </xdr:to>
    <xdr:graphicFrame macro="">
      <xdr:nvGraphicFramePr>
        <xdr:cNvPr id="5" name="Chart 4">
          <a:extLst>
            <a:ext uri="{FF2B5EF4-FFF2-40B4-BE49-F238E27FC236}">
              <a16:creationId xmlns:a16="http://schemas.microsoft.com/office/drawing/2014/main" id="{21AF91AE-6E11-47A2-9AED-401F11969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243568</xdr:colOff>
      <xdr:row>85</xdr:row>
      <xdr:rowOff>119742</xdr:rowOff>
    </xdr:from>
    <xdr:to>
      <xdr:col>29</xdr:col>
      <xdr:colOff>352425</xdr:colOff>
      <xdr:row>111</xdr:row>
      <xdr:rowOff>62594</xdr:rowOff>
    </xdr:to>
    <xdr:graphicFrame macro="">
      <xdr:nvGraphicFramePr>
        <xdr:cNvPr id="6" name="Chart 5">
          <a:extLst>
            <a:ext uri="{FF2B5EF4-FFF2-40B4-BE49-F238E27FC236}">
              <a16:creationId xmlns:a16="http://schemas.microsoft.com/office/drawing/2014/main" id="{C9D3D05B-6569-4749-8B23-534817AED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57</xdr:row>
      <xdr:rowOff>146956</xdr:rowOff>
    </xdr:from>
    <xdr:to>
      <xdr:col>14</xdr:col>
      <xdr:colOff>372996</xdr:colOff>
      <xdr:row>83</xdr:row>
      <xdr:rowOff>89808</xdr:rowOff>
    </xdr:to>
    <xdr:graphicFrame macro="">
      <xdr:nvGraphicFramePr>
        <xdr:cNvPr id="7" name="Chart 6">
          <a:extLst>
            <a:ext uri="{FF2B5EF4-FFF2-40B4-BE49-F238E27FC236}">
              <a16:creationId xmlns:a16="http://schemas.microsoft.com/office/drawing/2014/main" id="{9A4136BF-B4AE-4EA5-B334-A401F019B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243568</xdr:colOff>
      <xdr:row>57</xdr:row>
      <xdr:rowOff>146956</xdr:rowOff>
    </xdr:from>
    <xdr:to>
      <xdr:col>29</xdr:col>
      <xdr:colOff>352425</xdr:colOff>
      <xdr:row>83</xdr:row>
      <xdr:rowOff>89808</xdr:rowOff>
    </xdr:to>
    <xdr:graphicFrame macro="">
      <xdr:nvGraphicFramePr>
        <xdr:cNvPr id="8" name="Chart 7">
          <a:extLst>
            <a:ext uri="{FF2B5EF4-FFF2-40B4-BE49-F238E27FC236}">
              <a16:creationId xmlns:a16="http://schemas.microsoft.com/office/drawing/2014/main" id="{0056380F-FD50-48CC-AA48-F9F73EFFE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85</xdr:row>
      <xdr:rowOff>119742</xdr:rowOff>
    </xdr:from>
    <xdr:to>
      <xdr:col>14</xdr:col>
      <xdr:colOff>372996</xdr:colOff>
      <xdr:row>111</xdr:row>
      <xdr:rowOff>62594</xdr:rowOff>
    </xdr:to>
    <xdr:graphicFrame macro="">
      <xdr:nvGraphicFramePr>
        <xdr:cNvPr id="9" name="Chart 8">
          <a:extLst>
            <a:ext uri="{FF2B5EF4-FFF2-40B4-BE49-F238E27FC236}">
              <a16:creationId xmlns:a16="http://schemas.microsoft.com/office/drawing/2014/main" id="{FA556D9B-16CC-4F73-92D6-040617944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3</xdr:row>
      <xdr:rowOff>55245</xdr:rowOff>
    </xdr:from>
    <xdr:to>
      <xdr:col>14</xdr:col>
      <xdr:colOff>381000</xdr:colOff>
      <xdr:row>29</xdr:row>
      <xdr:rowOff>1905</xdr:rowOff>
    </xdr:to>
    <xdr:graphicFrame macro="">
      <xdr:nvGraphicFramePr>
        <xdr:cNvPr id="2" name="Chart 1">
          <a:extLst>
            <a:ext uri="{FF2B5EF4-FFF2-40B4-BE49-F238E27FC236}">
              <a16:creationId xmlns:a16="http://schemas.microsoft.com/office/drawing/2014/main" id="{E607339B-9154-4C96-9A4A-6BAC546EA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504825</xdr:colOff>
      <xdr:row>3</xdr:row>
      <xdr:rowOff>57150</xdr:rowOff>
    </xdr:from>
    <xdr:to>
      <xdr:col>29</xdr:col>
      <xdr:colOff>352425</xdr:colOff>
      <xdr:row>29</xdr:row>
      <xdr:rowOff>0</xdr:rowOff>
    </xdr:to>
    <xdr:graphicFrame macro="">
      <xdr:nvGraphicFramePr>
        <xdr:cNvPr id="3" name="Chart 2">
          <a:extLst>
            <a:ext uri="{FF2B5EF4-FFF2-40B4-BE49-F238E27FC236}">
              <a16:creationId xmlns:a16="http://schemas.microsoft.com/office/drawing/2014/main" id="{41DE45A4-DF4C-44A9-9A47-4CEA8CD36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125185</xdr:rowOff>
    </xdr:from>
    <xdr:to>
      <xdr:col>14</xdr:col>
      <xdr:colOff>381000</xdr:colOff>
      <xdr:row>56</xdr:row>
      <xdr:rowOff>68036</xdr:rowOff>
    </xdr:to>
    <xdr:graphicFrame macro="">
      <xdr:nvGraphicFramePr>
        <xdr:cNvPr id="4" name="Chart 3">
          <a:extLst>
            <a:ext uri="{FF2B5EF4-FFF2-40B4-BE49-F238E27FC236}">
              <a16:creationId xmlns:a16="http://schemas.microsoft.com/office/drawing/2014/main" id="{9B0B1424-194B-4714-8709-84CFCF2F6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4083</xdr:colOff>
      <xdr:row>30</xdr:row>
      <xdr:rowOff>125185</xdr:rowOff>
    </xdr:from>
    <xdr:to>
      <xdr:col>29</xdr:col>
      <xdr:colOff>352425</xdr:colOff>
      <xdr:row>56</xdr:row>
      <xdr:rowOff>68036</xdr:rowOff>
    </xdr:to>
    <xdr:graphicFrame macro="">
      <xdr:nvGraphicFramePr>
        <xdr:cNvPr id="5" name="Chart 4">
          <a:extLst>
            <a:ext uri="{FF2B5EF4-FFF2-40B4-BE49-F238E27FC236}">
              <a16:creationId xmlns:a16="http://schemas.microsoft.com/office/drawing/2014/main" id="{5938A133-6AA4-4728-89F1-E06315A4D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243568</xdr:colOff>
      <xdr:row>85</xdr:row>
      <xdr:rowOff>119742</xdr:rowOff>
    </xdr:from>
    <xdr:to>
      <xdr:col>29</xdr:col>
      <xdr:colOff>352425</xdr:colOff>
      <xdr:row>111</xdr:row>
      <xdr:rowOff>62594</xdr:rowOff>
    </xdr:to>
    <xdr:graphicFrame macro="">
      <xdr:nvGraphicFramePr>
        <xdr:cNvPr id="6" name="Chart 5">
          <a:extLst>
            <a:ext uri="{FF2B5EF4-FFF2-40B4-BE49-F238E27FC236}">
              <a16:creationId xmlns:a16="http://schemas.microsoft.com/office/drawing/2014/main" id="{B28B21DE-4C76-44CB-8681-2EF49A9E1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57</xdr:row>
      <xdr:rowOff>146956</xdr:rowOff>
    </xdr:from>
    <xdr:to>
      <xdr:col>14</xdr:col>
      <xdr:colOff>372996</xdr:colOff>
      <xdr:row>83</xdr:row>
      <xdr:rowOff>89808</xdr:rowOff>
    </xdr:to>
    <xdr:graphicFrame macro="">
      <xdr:nvGraphicFramePr>
        <xdr:cNvPr id="7" name="Chart 6">
          <a:extLst>
            <a:ext uri="{FF2B5EF4-FFF2-40B4-BE49-F238E27FC236}">
              <a16:creationId xmlns:a16="http://schemas.microsoft.com/office/drawing/2014/main" id="{E5E37A47-F77B-4A95-9C93-904EAE4AE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243568</xdr:colOff>
      <xdr:row>57</xdr:row>
      <xdr:rowOff>146956</xdr:rowOff>
    </xdr:from>
    <xdr:to>
      <xdr:col>29</xdr:col>
      <xdr:colOff>352425</xdr:colOff>
      <xdr:row>83</xdr:row>
      <xdr:rowOff>89808</xdr:rowOff>
    </xdr:to>
    <xdr:graphicFrame macro="">
      <xdr:nvGraphicFramePr>
        <xdr:cNvPr id="8" name="Chart 7">
          <a:extLst>
            <a:ext uri="{FF2B5EF4-FFF2-40B4-BE49-F238E27FC236}">
              <a16:creationId xmlns:a16="http://schemas.microsoft.com/office/drawing/2014/main" id="{5952F771-561F-4018-AA5D-2FCD35E3C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85</xdr:row>
      <xdr:rowOff>119742</xdr:rowOff>
    </xdr:from>
    <xdr:to>
      <xdr:col>14</xdr:col>
      <xdr:colOff>372996</xdr:colOff>
      <xdr:row>111</xdr:row>
      <xdr:rowOff>62594</xdr:rowOff>
    </xdr:to>
    <xdr:graphicFrame macro="">
      <xdr:nvGraphicFramePr>
        <xdr:cNvPr id="9" name="Chart 8">
          <a:extLst>
            <a:ext uri="{FF2B5EF4-FFF2-40B4-BE49-F238E27FC236}">
              <a16:creationId xmlns:a16="http://schemas.microsoft.com/office/drawing/2014/main" id="{E2EADCE1-DF77-4D3E-BDB0-B70A7ABBA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23424</xdr:colOff>
      <xdr:row>57</xdr:row>
      <xdr:rowOff>56517</xdr:rowOff>
    </xdr:from>
    <xdr:to>
      <xdr:col>6</xdr:col>
      <xdr:colOff>156771</xdr:colOff>
      <xdr:row>63</xdr:row>
      <xdr:rowOff>3</xdr:rowOff>
    </xdr:to>
    <xdr:sp macro="" textlink="">
      <xdr:nvSpPr>
        <xdr:cNvPr id="4" name="TextBox 3">
          <a:extLst>
            <a:ext uri="{FF2B5EF4-FFF2-40B4-BE49-F238E27FC236}">
              <a16:creationId xmlns:a16="http://schemas.microsoft.com/office/drawing/2014/main" id="{E600B465-6B08-448D-8790-26F6B3B605E3}"/>
            </a:ext>
          </a:extLst>
        </xdr:cNvPr>
        <xdr:cNvSpPr txBox="1"/>
      </xdr:nvSpPr>
      <xdr:spPr>
        <a:xfrm rot="16200000">
          <a:off x="4172433" y="8105461"/>
          <a:ext cx="800736" cy="133347"/>
        </a:xfrm>
        <a:prstGeom prst="rect">
          <a:avLst/>
        </a:prstGeom>
        <a:solidFill>
          <a:srgbClr val="20376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solidFill>
                <a:schemeClr val="bg1"/>
              </a:solidFill>
            </a:rPr>
            <a:t>Discount Rate</a:t>
          </a:r>
        </a:p>
      </xdr:txBody>
    </xdr:sp>
    <xdr:clientData/>
  </xdr:twoCellAnchor>
  <xdr:twoCellAnchor editAs="oneCell">
    <xdr:from>
      <xdr:col>16</xdr:col>
      <xdr:colOff>542925</xdr:colOff>
      <xdr:row>24</xdr:row>
      <xdr:rowOff>9525</xdr:rowOff>
    </xdr:from>
    <xdr:to>
      <xdr:col>23</xdr:col>
      <xdr:colOff>618060</xdr:colOff>
      <xdr:row>37</xdr:row>
      <xdr:rowOff>69180</xdr:rowOff>
    </xdr:to>
    <xdr:pic>
      <xdr:nvPicPr>
        <xdr:cNvPr id="3" name="Picture 2">
          <a:extLst>
            <a:ext uri="{FF2B5EF4-FFF2-40B4-BE49-F238E27FC236}">
              <a16:creationId xmlns:a16="http://schemas.microsoft.com/office/drawing/2014/main" id="{DFD45B12-B0F9-4B61-9CCC-1308E83588FD}"/>
            </a:ext>
          </a:extLst>
        </xdr:cNvPr>
        <xdr:cNvPicPr>
          <a:picLocks noChangeAspect="1"/>
        </xdr:cNvPicPr>
      </xdr:nvPicPr>
      <xdr:blipFill>
        <a:blip xmlns:r="http://schemas.openxmlformats.org/officeDocument/2006/relationships" r:embed="rId1"/>
        <a:stretch>
          <a:fillRect/>
        </a:stretch>
      </xdr:blipFill>
      <xdr:spPr>
        <a:xfrm>
          <a:off x="11420475" y="3438525"/>
          <a:ext cx="4675710" cy="1917030"/>
        </a:xfrm>
        <a:prstGeom prst="rect">
          <a:avLst/>
        </a:prstGeom>
        <a:ln>
          <a:solidFill>
            <a:schemeClr val="tx1">
              <a:lumMod val="50000"/>
              <a:lumOff val="50000"/>
            </a:schemeClr>
          </a:solidFill>
        </a:ln>
      </xdr:spPr>
    </xdr:pic>
    <xdr:clientData/>
  </xdr:twoCellAnchor>
  <xdr:twoCellAnchor editAs="oneCell">
    <xdr:from>
      <xdr:col>16</xdr:col>
      <xdr:colOff>507999</xdr:colOff>
      <xdr:row>38</xdr:row>
      <xdr:rowOff>56515</xdr:rowOff>
    </xdr:from>
    <xdr:to>
      <xdr:col>22</xdr:col>
      <xdr:colOff>260348</xdr:colOff>
      <xdr:row>60</xdr:row>
      <xdr:rowOff>116840</xdr:rowOff>
    </xdr:to>
    <xdr:pic>
      <xdr:nvPicPr>
        <xdr:cNvPr id="5" name="Picture 4" descr="image">
          <a:extLst>
            <a:ext uri="{FF2B5EF4-FFF2-40B4-BE49-F238E27FC236}">
              <a16:creationId xmlns:a16="http://schemas.microsoft.com/office/drawing/2014/main" id="{701D83A6-87F6-4BED-A76B-627D74E639E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221" t="2791" r="5806" b="4392"/>
        <a:stretch/>
      </xdr:blipFill>
      <xdr:spPr bwMode="auto">
        <a:xfrm>
          <a:off x="11385549" y="5485765"/>
          <a:ext cx="3695700" cy="3203575"/>
        </a:xfrm>
        <a:prstGeom prst="rect">
          <a:avLst/>
        </a:prstGeom>
        <a:noFill/>
        <a:ln>
          <a:solidFill>
            <a:schemeClr val="tx1">
              <a:lumMod val="50000"/>
              <a:lumOff val="5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46</xdr:col>
      <xdr:colOff>19050</xdr:colOff>
      <xdr:row>113</xdr:row>
      <xdr:rowOff>85725</xdr:rowOff>
    </xdr:from>
    <xdr:to>
      <xdr:col>56</xdr:col>
      <xdr:colOff>164778</xdr:colOff>
      <xdr:row>140</xdr:row>
      <xdr:rowOff>96017</xdr:rowOff>
    </xdr:to>
    <xdr:pic>
      <xdr:nvPicPr>
        <xdr:cNvPr id="2" name="Picture 1">
          <a:extLst>
            <a:ext uri="{FF2B5EF4-FFF2-40B4-BE49-F238E27FC236}">
              <a16:creationId xmlns:a16="http://schemas.microsoft.com/office/drawing/2014/main" id="{824334AA-9784-4AD9-B8E5-C0737CFA6800}"/>
            </a:ext>
          </a:extLst>
        </xdr:cNvPr>
        <xdr:cNvPicPr>
          <a:picLocks noChangeAspect="1"/>
        </xdr:cNvPicPr>
      </xdr:nvPicPr>
      <xdr:blipFill>
        <a:blip xmlns:r="http://schemas.openxmlformats.org/officeDocument/2006/relationships" r:embed="rId1"/>
        <a:stretch>
          <a:fillRect/>
        </a:stretch>
      </xdr:blipFill>
      <xdr:spPr>
        <a:xfrm>
          <a:off x="29413200" y="6829425"/>
          <a:ext cx="6429688" cy="3599312"/>
        </a:xfrm>
        <a:prstGeom prst="rect">
          <a:avLst/>
        </a:prstGeom>
      </xdr:spPr>
    </xdr:pic>
    <xdr:clientData/>
  </xdr:twoCellAnchor>
  <xdr:twoCellAnchor editAs="oneCell">
    <xdr:from>
      <xdr:col>46</xdr:col>
      <xdr:colOff>0</xdr:colOff>
      <xdr:row>147</xdr:row>
      <xdr:rowOff>0</xdr:rowOff>
    </xdr:from>
    <xdr:to>
      <xdr:col>52</xdr:col>
      <xdr:colOff>550545</xdr:colOff>
      <xdr:row>174</xdr:row>
      <xdr:rowOff>18334</xdr:rowOff>
    </xdr:to>
    <xdr:pic>
      <xdr:nvPicPr>
        <xdr:cNvPr id="3" name="Picture 2">
          <a:extLst>
            <a:ext uri="{FF2B5EF4-FFF2-40B4-BE49-F238E27FC236}">
              <a16:creationId xmlns:a16="http://schemas.microsoft.com/office/drawing/2014/main" id="{3CE73313-BBEB-4A60-85FA-05E7411976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94150" y="10877550"/>
          <a:ext cx="4333875" cy="3626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581025</xdr:colOff>
      <xdr:row>175</xdr:row>
      <xdr:rowOff>19050</xdr:rowOff>
    </xdr:from>
    <xdr:to>
      <xdr:col>53</xdr:col>
      <xdr:colOff>88265</xdr:colOff>
      <xdr:row>185</xdr:row>
      <xdr:rowOff>93632</xdr:rowOff>
    </xdr:to>
    <xdr:pic>
      <xdr:nvPicPr>
        <xdr:cNvPr id="4" name="Picture 3" descr="image">
          <a:extLst>
            <a:ext uri="{FF2B5EF4-FFF2-40B4-BE49-F238E27FC236}">
              <a16:creationId xmlns:a16="http://schemas.microsoft.com/office/drawing/2014/main" id="{D9C074CC-4CE9-4137-9505-7EC88A7AEB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46525" y="14630400"/>
          <a:ext cx="4530090" cy="1415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586740</xdr:colOff>
      <xdr:row>189</xdr:row>
      <xdr:rowOff>102870</xdr:rowOff>
    </xdr:from>
    <xdr:to>
      <xdr:col>54</xdr:col>
      <xdr:colOff>75597</xdr:colOff>
      <xdr:row>209</xdr:row>
      <xdr:rowOff>19049</xdr:rowOff>
    </xdr:to>
    <xdr:pic>
      <xdr:nvPicPr>
        <xdr:cNvPr id="5" name="Picture 4" descr="image">
          <a:extLst>
            <a:ext uri="{FF2B5EF4-FFF2-40B4-BE49-F238E27FC236}">
              <a16:creationId xmlns:a16="http://schemas.microsoft.com/office/drawing/2014/main" id="{095D1991-51A8-4D14-AC89-856B97A727D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352240" y="16447770"/>
          <a:ext cx="5146707" cy="258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46</xdr:col>
      <xdr:colOff>0</xdr:colOff>
      <xdr:row>383</xdr:row>
      <xdr:rowOff>0</xdr:rowOff>
    </xdr:from>
    <xdr:to>
      <xdr:col>56</xdr:col>
      <xdr:colOff>95250</xdr:colOff>
      <xdr:row>401</xdr:row>
      <xdr:rowOff>85725</xdr:rowOff>
    </xdr:to>
    <xdr:grpSp>
      <xdr:nvGrpSpPr>
        <xdr:cNvPr id="9" name="Group 8">
          <a:extLst>
            <a:ext uri="{FF2B5EF4-FFF2-40B4-BE49-F238E27FC236}">
              <a16:creationId xmlns:a16="http://schemas.microsoft.com/office/drawing/2014/main" id="{DCF137A6-8E67-43C4-83C6-F3FE5A6C8C8B}"/>
            </a:ext>
          </a:extLst>
        </xdr:cNvPr>
        <xdr:cNvGrpSpPr/>
      </xdr:nvGrpSpPr>
      <xdr:grpSpPr>
        <a:xfrm>
          <a:off x="28532138" y="49853850"/>
          <a:ext cx="6191250" cy="2495550"/>
          <a:chOff x="29394150" y="35413950"/>
          <a:chExt cx="6381750" cy="2486025"/>
        </a:xfrm>
      </xdr:grpSpPr>
      <xdr:pic>
        <xdr:nvPicPr>
          <xdr:cNvPr id="6" name="Picture 5" descr="image">
            <a:extLst>
              <a:ext uri="{FF2B5EF4-FFF2-40B4-BE49-F238E27FC236}">
                <a16:creationId xmlns:a16="http://schemas.microsoft.com/office/drawing/2014/main" id="{8FDC5C90-49FC-446F-BF1E-B27D3EA417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94150" y="35413950"/>
            <a:ext cx="6381750" cy="24860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Rectangle 6">
            <a:extLst>
              <a:ext uri="{FF2B5EF4-FFF2-40B4-BE49-F238E27FC236}">
                <a16:creationId xmlns:a16="http://schemas.microsoft.com/office/drawing/2014/main" id="{A964522B-0940-4428-A926-8B3EC6F74FA4}"/>
              </a:ext>
            </a:extLst>
          </xdr:cNvPr>
          <xdr:cNvSpPr/>
        </xdr:nvSpPr>
        <xdr:spPr>
          <a:xfrm>
            <a:off x="29409390" y="36141659"/>
            <a:ext cx="5372100" cy="264795"/>
          </a:xfrm>
          <a:prstGeom prst="rect">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8" name="Rectangle 7">
            <a:extLst>
              <a:ext uri="{FF2B5EF4-FFF2-40B4-BE49-F238E27FC236}">
                <a16:creationId xmlns:a16="http://schemas.microsoft.com/office/drawing/2014/main" id="{A1E071A1-184A-4040-8A35-C4967842ACEC}"/>
              </a:ext>
            </a:extLst>
          </xdr:cNvPr>
          <xdr:cNvSpPr/>
        </xdr:nvSpPr>
        <xdr:spPr>
          <a:xfrm>
            <a:off x="29413200" y="37418009"/>
            <a:ext cx="5372100" cy="222885"/>
          </a:xfrm>
          <a:prstGeom prst="rect">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45</xdr:col>
      <xdr:colOff>592456</xdr:colOff>
      <xdr:row>402</xdr:row>
      <xdr:rowOff>123825</xdr:rowOff>
    </xdr:from>
    <xdr:to>
      <xdr:col>56</xdr:col>
      <xdr:colOff>94507</xdr:colOff>
      <xdr:row>423</xdr:row>
      <xdr:rowOff>12065</xdr:rowOff>
    </xdr:to>
    <xdr:pic>
      <xdr:nvPicPr>
        <xdr:cNvPr id="10" name="Picture 9">
          <a:extLst>
            <a:ext uri="{FF2B5EF4-FFF2-40B4-BE49-F238E27FC236}">
              <a16:creationId xmlns:a16="http://schemas.microsoft.com/office/drawing/2014/main" id="{195C47AC-4D76-4C6C-9642-F1C5F5247B7B}"/>
            </a:ext>
          </a:extLst>
        </xdr:cNvPr>
        <xdr:cNvPicPr>
          <a:picLocks noChangeAspect="1"/>
        </xdr:cNvPicPr>
      </xdr:nvPicPr>
      <xdr:blipFill>
        <a:blip xmlns:r="http://schemas.openxmlformats.org/officeDocument/2006/relationships" r:embed="rId6"/>
        <a:stretch>
          <a:fillRect/>
        </a:stretch>
      </xdr:blipFill>
      <xdr:spPr>
        <a:xfrm>
          <a:off x="29357956" y="38071425"/>
          <a:ext cx="6428631" cy="2682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36</xdr:row>
      <xdr:rowOff>65932</xdr:rowOff>
    </xdr:from>
    <xdr:to>
      <xdr:col>25</xdr:col>
      <xdr:colOff>402585</xdr:colOff>
      <xdr:row>59</xdr:row>
      <xdr:rowOff>58583</xdr:rowOff>
    </xdr:to>
    <xdr:pic>
      <xdr:nvPicPr>
        <xdr:cNvPr id="3" name="Picture 2">
          <a:extLst>
            <a:ext uri="{FF2B5EF4-FFF2-40B4-BE49-F238E27FC236}">
              <a16:creationId xmlns:a16="http://schemas.microsoft.com/office/drawing/2014/main" id="{4053F0AE-A10A-4673-A406-2C313405030A}"/>
            </a:ext>
          </a:extLst>
        </xdr:cNvPr>
        <xdr:cNvPicPr>
          <a:picLocks noChangeAspect="1"/>
        </xdr:cNvPicPr>
      </xdr:nvPicPr>
      <xdr:blipFill>
        <a:blip xmlns:r="http://schemas.openxmlformats.org/officeDocument/2006/relationships" r:embed="rId1"/>
        <a:stretch>
          <a:fillRect/>
        </a:stretch>
      </xdr:blipFill>
      <xdr:spPr>
        <a:xfrm>
          <a:off x="190500" y="3780682"/>
          <a:ext cx="12070710" cy="3278776"/>
        </a:xfrm>
        <a:prstGeom prst="rect">
          <a:avLst/>
        </a:prstGeom>
      </xdr:spPr>
    </xdr:pic>
    <xdr:clientData/>
  </xdr:twoCellAnchor>
  <xdr:twoCellAnchor editAs="oneCell">
    <xdr:from>
      <xdr:col>3</xdr:col>
      <xdr:colOff>59054</xdr:colOff>
      <xdr:row>64</xdr:row>
      <xdr:rowOff>97156</xdr:rowOff>
    </xdr:from>
    <xdr:to>
      <xdr:col>10</xdr:col>
      <xdr:colOff>101726</xdr:colOff>
      <xdr:row>72</xdr:row>
      <xdr:rowOff>93929</xdr:rowOff>
    </xdr:to>
    <xdr:pic>
      <xdr:nvPicPr>
        <xdr:cNvPr id="2" name="Picture 1">
          <a:extLst>
            <a:ext uri="{FF2B5EF4-FFF2-40B4-BE49-F238E27FC236}">
              <a16:creationId xmlns:a16="http://schemas.microsoft.com/office/drawing/2014/main" id="{EB3CA00E-DE20-471D-8EED-AA6051FA2976}"/>
            </a:ext>
          </a:extLst>
        </xdr:cNvPr>
        <xdr:cNvPicPr>
          <a:picLocks noChangeAspect="1"/>
        </xdr:cNvPicPr>
      </xdr:nvPicPr>
      <xdr:blipFill rotWithShape="1">
        <a:blip xmlns:r="http://schemas.openxmlformats.org/officeDocument/2006/relationships" r:embed="rId2"/>
        <a:srcRect l="1543" t="5984" r="2921" b="13442"/>
        <a:stretch/>
      </xdr:blipFill>
      <xdr:spPr>
        <a:xfrm>
          <a:off x="268604" y="7298056"/>
          <a:ext cx="6336792" cy="1071193"/>
        </a:xfrm>
        <a:prstGeom prst="rect">
          <a:avLst/>
        </a:prstGeom>
        <a:ln>
          <a:solidFill>
            <a:schemeClr val="tx1">
              <a:lumMod val="50000"/>
              <a:lumOff val="50000"/>
            </a:schemeClr>
          </a:solidFill>
        </a:ln>
      </xdr:spPr>
    </xdr:pic>
    <xdr:clientData/>
  </xdr:twoCellAnchor>
  <xdr:twoCellAnchor editAs="oneCell">
    <xdr:from>
      <xdr:col>3</xdr:col>
      <xdr:colOff>57150</xdr:colOff>
      <xdr:row>73</xdr:row>
      <xdr:rowOff>57149</xdr:rowOff>
    </xdr:from>
    <xdr:to>
      <xdr:col>10</xdr:col>
      <xdr:colOff>97155</xdr:colOff>
      <xdr:row>91</xdr:row>
      <xdr:rowOff>59055</xdr:rowOff>
    </xdr:to>
    <xdr:pic>
      <xdr:nvPicPr>
        <xdr:cNvPr id="4" name="Picture 3">
          <a:extLst>
            <a:ext uri="{FF2B5EF4-FFF2-40B4-BE49-F238E27FC236}">
              <a16:creationId xmlns:a16="http://schemas.microsoft.com/office/drawing/2014/main" id="{7F364A3F-232E-4F44-9BCC-6EDD61DB5537}"/>
            </a:ext>
          </a:extLst>
        </xdr:cNvPr>
        <xdr:cNvPicPr>
          <a:picLocks noChangeAspect="1"/>
        </xdr:cNvPicPr>
      </xdr:nvPicPr>
      <xdr:blipFill rotWithShape="1">
        <a:blip xmlns:r="http://schemas.openxmlformats.org/officeDocument/2006/relationships" r:embed="rId3"/>
        <a:srcRect l="1221" t="5611" r="2226" b="2928"/>
        <a:stretch/>
      </xdr:blipFill>
      <xdr:spPr>
        <a:xfrm>
          <a:off x="266700" y="8458199"/>
          <a:ext cx="6336030" cy="2402206"/>
        </a:xfrm>
        <a:prstGeom prst="rect">
          <a:avLst/>
        </a:prstGeom>
        <a:ln>
          <a:solidFill>
            <a:schemeClr val="tx1">
              <a:lumMod val="50000"/>
              <a:lumOff val="50000"/>
            </a:schemeClr>
          </a:solidFill>
        </a:ln>
      </xdr:spPr>
    </xdr:pic>
    <xdr:clientData/>
  </xdr:twoCellAnchor>
  <xdr:twoCellAnchor editAs="oneCell">
    <xdr:from>
      <xdr:col>3</xdr:col>
      <xdr:colOff>55245</xdr:colOff>
      <xdr:row>92</xdr:row>
      <xdr:rowOff>18699</xdr:rowOff>
    </xdr:from>
    <xdr:to>
      <xdr:col>8</xdr:col>
      <xdr:colOff>321945</xdr:colOff>
      <xdr:row>117</xdr:row>
      <xdr:rowOff>95867</xdr:rowOff>
    </xdr:to>
    <xdr:pic>
      <xdr:nvPicPr>
        <xdr:cNvPr id="5" name="Picture 4">
          <a:extLst>
            <a:ext uri="{FF2B5EF4-FFF2-40B4-BE49-F238E27FC236}">
              <a16:creationId xmlns:a16="http://schemas.microsoft.com/office/drawing/2014/main" id="{7A5EC821-C65A-43A5-B9F9-8C9780EF43CD}"/>
            </a:ext>
          </a:extLst>
        </xdr:cNvPr>
        <xdr:cNvPicPr>
          <a:picLocks noChangeAspect="1"/>
        </xdr:cNvPicPr>
      </xdr:nvPicPr>
      <xdr:blipFill rotWithShape="1">
        <a:blip xmlns:r="http://schemas.openxmlformats.org/officeDocument/2006/relationships" r:embed="rId4"/>
        <a:srcRect l="2042" r="4720"/>
        <a:stretch/>
      </xdr:blipFill>
      <xdr:spPr>
        <a:xfrm>
          <a:off x="264795" y="10953399"/>
          <a:ext cx="5208270" cy="3410918"/>
        </a:xfrm>
        <a:prstGeom prst="rect">
          <a:avLst/>
        </a:prstGeom>
        <a:ln>
          <a:solidFill>
            <a:schemeClr val="tx1">
              <a:lumMod val="50000"/>
              <a:lumOff val="50000"/>
            </a:schemeClr>
          </a:solidFill>
        </a:ln>
      </xdr:spPr>
    </xdr:pic>
    <xdr:clientData/>
  </xdr:twoCellAnchor>
  <xdr:twoCellAnchor editAs="oneCell">
    <xdr:from>
      <xdr:col>10</xdr:col>
      <xdr:colOff>283845</xdr:colOff>
      <xdr:row>92</xdr:row>
      <xdr:rowOff>39196</xdr:rowOff>
    </xdr:from>
    <xdr:to>
      <xdr:col>28</xdr:col>
      <xdr:colOff>437771</xdr:colOff>
      <xdr:row>118</xdr:row>
      <xdr:rowOff>72691</xdr:rowOff>
    </xdr:to>
    <xdr:pic>
      <xdr:nvPicPr>
        <xdr:cNvPr id="6" name="Picture 5">
          <a:extLst>
            <a:ext uri="{FF2B5EF4-FFF2-40B4-BE49-F238E27FC236}">
              <a16:creationId xmlns:a16="http://schemas.microsoft.com/office/drawing/2014/main" id="{24CDCD73-FC91-4245-918A-E587A876063E}"/>
            </a:ext>
          </a:extLst>
        </xdr:cNvPr>
        <xdr:cNvPicPr>
          <a:picLocks noChangeAspect="1"/>
        </xdr:cNvPicPr>
      </xdr:nvPicPr>
      <xdr:blipFill>
        <a:blip xmlns:r="http://schemas.openxmlformats.org/officeDocument/2006/relationships" r:embed="rId5"/>
        <a:stretch>
          <a:fillRect/>
        </a:stretch>
      </xdr:blipFill>
      <xdr:spPr>
        <a:xfrm>
          <a:off x="6779895" y="10973896"/>
          <a:ext cx="6307076" cy="3500595"/>
        </a:xfrm>
        <a:prstGeom prst="rect">
          <a:avLst/>
        </a:prstGeom>
      </xdr:spPr>
    </xdr:pic>
    <xdr:clientData/>
  </xdr:twoCellAnchor>
  <xdr:twoCellAnchor editAs="oneCell">
    <xdr:from>
      <xdr:col>10</xdr:col>
      <xdr:colOff>311914</xdr:colOff>
      <xdr:row>119</xdr:row>
      <xdr:rowOff>46801</xdr:rowOff>
    </xdr:from>
    <xdr:to>
      <xdr:col>28</xdr:col>
      <xdr:colOff>473712</xdr:colOff>
      <xdr:row>145</xdr:row>
      <xdr:rowOff>116205</xdr:rowOff>
    </xdr:to>
    <xdr:pic>
      <xdr:nvPicPr>
        <xdr:cNvPr id="8" name="Picture 7">
          <a:extLst>
            <a:ext uri="{FF2B5EF4-FFF2-40B4-BE49-F238E27FC236}">
              <a16:creationId xmlns:a16="http://schemas.microsoft.com/office/drawing/2014/main" id="{0BC6C228-E4F3-4D08-BAB6-279A9AFA24CF}"/>
            </a:ext>
          </a:extLst>
        </xdr:cNvPr>
        <xdr:cNvPicPr>
          <a:picLocks noChangeAspect="1"/>
        </xdr:cNvPicPr>
      </xdr:nvPicPr>
      <xdr:blipFill>
        <a:blip xmlns:r="http://schemas.openxmlformats.org/officeDocument/2006/relationships" r:embed="rId6"/>
        <a:stretch>
          <a:fillRect/>
        </a:stretch>
      </xdr:blipFill>
      <xdr:spPr>
        <a:xfrm>
          <a:off x="6807964" y="14581951"/>
          <a:ext cx="6305423" cy="35365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333375</xdr:colOff>
      <xdr:row>4</xdr:row>
      <xdr:rowOff>32385</xdr:rowOff>
    </xdr:from>
    <xdr:to>
      <xdr:col>11</xdr:col>
      <xdr:colOff>371475</xdr:colOff>
      <xdr:row>26</xdr:row>
      <xdr:rowOff>34291</xdr:rowOff>
    </xdr:to>
    <xdr:pic>
      <xdr:nvPicPr>
        <xdr:cNvPr id="2" name="Picture 1">
          <a:extLst>
            <a:ext uri="{FF2B5EF4-FFF2-40B4-BE49-F238E27FC236}">
              <a16:creationId xmlns:a16="http://schemas.microsoft.com/office/drawing/2014/main" id="{09AAA40D-ADF5-47F4-B988-4566ACC2D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603885"/>
          <a:ext cx="4838700" cy="3145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32</xdr:row>
      <xdr:rowOff>85725</xdr:rowOff>
    </xdr:from>
    <xdr:to>
      <xdr:col>15</xdr:col>
      <xdr:colOff>115277</xdr:colOff>
      <xdr:row>43</xdr:row>
      <xdr:rowOff>206</xdr:rowOff>
    </xdr:to>
    <xdr:pic>
      <xdr:nvPicPr>
        <xdr:cNvPr id="3" name="Picture 2">
          <a:extLst>
            <a:ext uri="{FF2B5EF4-FFF2-40B4-BE49-F238E27FC236}">
              <a16:creationId xmlns:a16="http://schemas.microsoft.com/office/drawing/2014/main" id="{0325CB88-731A-476C-AA94-80C896C481CD}"/>
            </a:ext>
          </a:extLst>
        </xdr:cNvPr>
        <xdr:cNvPicPr>
          <a:picLocks noChangeAspect="1"/>
        </xdr:cNvPicPr>
      </xdr:nvPicPr>
      <xdr:blipFill>
        <a:blip xmlns:r="http://schemas.openxmlformats.org/officeDocument/2006/relationships" r:embed="rId2"/>
        <a:stretch>
          <a:fillRect/>
        </a:stretch>
      </xdr:blipFill>
      <xdr:spPr>
        <a:xfrm>
          <a:off x="257175" y="4657725"/>
          <a:ext cx="7001852" cy="1476581"/>
        </a:xfrm>
        <a:prstGeom prst="rect">
          <a:avLst/>
        </a:prstGeom>
      </xdr:spPr>
    </xdr:pic>
    <xdr:clientData/>
  </xdr:twoCellAnchor>
  <xdr:twoCellAnchor editAs="oneCell">
    <xdr:from>
      <xdr:col>2</xdr:col>
      <xdr:colOff>219075</xdr:colOff>
      <xdr:row>52</xdr:row>
      <xdr:rowOff>57150</xdr:rowOff>
    </xdr:from>
    <xdr:to>
      <xdr:col>14</xdr:col>
      <xdr:colOff>276225</xdr:colOff>
      <xdr:row>77</xdr:row>
      <xdr:rowOff>114300</xdr:rowOff>
    </xdr:to>
    <xdr:pic>
      <xdr:nvPicPr>
        <xdr:cNvPr id="4" name="Picture 3">
          <a:extLst>
            <a:ext uri="{FF2B5EF4-FFF2-40B4-BE49-F238E27FC236}">
              <a16:creationId xmlns:a16="http://schemas.microsoft.com/office/drawing/2014/main" id="{A4DC87E6-F561-4FE1-B133-160997A65E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625" y="7486650"/>
          <a:ext cx="6457950"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110</xdr:row>
      <xdr:rowOff>38100</xdr:rowOff>
    </xdr:from>
    <xdr:to>
      <xdr:col>16</xdr:col>
      <xdr:colOff>142875</xdr:colOff>
      <xdr:row>140</xdr:row>
      <xdr:rowOff>28575</xdr:rowOff>
    </xdr:to>
    <xdr:pic>
      <xdr:nvPicPr>
        <xdr:cNvPr id="6" name="Picture 5" descr="Intel Arc Progression">
          <a:extLst>
            <a:ext uri="{FF2B5EF4-FFF2-40B4-BE49-F238E27FC236}">
              <a16:creationId xmlns:a16="http://schemas.microsoft.com/office/drawing/2014/main" id="{E8AEB812-A77B-4A4E-BE5A-590CA72CBB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0025" y="15754350"/>
          <a:ext cx="7620000"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84</xdr:row>
      <xdr:rowOff>40195</xdr:rowOff>
    </xdr:from>
    <xdr:to>
      <xdr:col>11</xdr:col>
      <xdr:colOff>180975</xdr:colOff>
      <xdr:row>102</xdr:row>
      <xdr:rowOff>112205</xdr:rowOff>
    </xdr:to>
    <xdr:pic>
      <xdr:nvPicPr>
        <xdr:cNvPr id="7" name="Picture 6" descr="Intel Arc A Series SoCs Alchemist Arc 3 Arc 5 Arc 7">
          <a:extLst>
            <a:ext uri="{FF2B5EF4-FFF2-40B4-BE49-F238E27FC236}">
              <a16:creationId xmlns:a16="http://schemas.microsoft.com/office/drawing/2014/main" id="{FF9F8433-7F31-46FB-A92C-5B09496DF6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5275" y="12041695"/>
          <a:ext cx="4895850" cy="264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142</xdr:row>
      <xdr:rowOff>114300</xdr:rowOff>
    </xdr:from>
    <xdr:to>
      <xdr:col>15</xdr:col>
      <xdr:colOff>77190</xdr:colOff>
      <xdr:row>191</xdr:row>
      <xdr:rowOff>77172</xdr:rowOff>
    </xdr:to>
    <xdr:pic>
      <xdr:nvPicPr>
        <xdr:cNvPr id="8" name="Picture 7">
          <a:extLst>
            <a:ext uri="{FF2B5EF4-FFF2-40B4-BE49-F238E27FC236}">
              <a16:creationId xmlns:a16="http://schemas.microsoft.com/office/drawing/2014/main" id="{3F8DEC82-A5C5-4137-9B44-C2FA5849E00B}"/>
            </a:ext>
          </a:extLst>
        </xdr:cNvPr>
        <xdr:cNvPicPr>
          <a:picLocks noChangeAspect="1"/>
        </xdr:cNvPicPr>
      </xdr:nvPicPr>
      <xdr:blipFill>
        <a:blip xmlns:r="http://schemas.openxmlformats.org/officeDocument/2006/relationships" r:embed="rId6"/>
        <a:stretch>
          <a:fillRect/>
        </a:stretch>
      </xdr:blipFill>
      <xdr:spPr>
        <a:xfrm>
          <a:off x="123825" y="20402550"/>
          <a:ext cx="7097115" cy="69637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198</xdr:row>
      <xdr:rowOff>0</xdr:rowOff>
    </xdr:from>
    <xdr:to>
      <xdr:col>3</xdr:col>
      <xdr:colOff>0</xdr:colOff>
      <xdr:row>198</xdr:row>
      <xdr:rowOff>0</xdr:rowOff>
    </xdr:to>
    <xdr:pic>
      <xdr:nvPicPr>
        <xdr:cNvPr id="4" name="Picture 3" descr="AMD vs Intel server market share">
          <a:extLst>
            <a:ext uri="{FF2B5EF4-FFF2-40B4-BE49-F238E27FC236}">
              <a16:creationId xmlns:a16="http://schemas.microsoft.com/office/drawing/2014/main" id="{8848036C-BE9E-433D-83FD-48F29E1B85AD}"/>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55733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198</xdr:row>
      <xdr:rowOff>0</xdr:rowOff>
    </xdr:from>
    <xdr:to>
      <xdr:col>4</xdr:col>
      <xdr:colOff>0</xdr:colOff>
      <xdr:row>198</xdr:row>
      <xdr:rowOff>0</xdr:rowOff>
    </xdr:to>
    <xdr:pic>
      <xdr:nvPicPr>
        <xdr:cNvPr id="5" name="Picture 4" descr="AMD vs Intel server market share">
          <a:extLst>
            <a:ext uri="{FF2B5EF4-FFF2-40B4-BE49-F238E27FC236}">
              <a16:creationId xmlns:a16="http://schemas.microsoft.com/office/drawing/2014/main" id="{08F92C62-4B02-4F42-8F46-86477CAA0A62}"/>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76350" y="161448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198</xdr:row>
      <xdr:rowOff>0</xdr:rowOff>
    </xdr:from>
    <xdr:to>
      <xdr:col>8</xdr:col>
      <xdr:colOff>0</xdr:colOff>
      <xdr:row>198</xdr:row>
      <xdr:rowOff>0</xdr:rowOff>
    </xdr:to>
    <xdr:pic>
      <xdr:nvPicPr>
        <xdr:cNvPr id="6" name="Picture 5" descr="AMD vs Intel server market share">
          <a:extLst>
            <a:ext uri="{FF2B5EF4-FFF2-40B4-BE49-F238E27FC236}">
              <a16:creationId xmlns:a16="http://schemas.microsoft.com/office/drawing/2014/main" id="{F6548B21-1F65-4946-846C-F3C2BD4440D5}"/>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409950" y="1628775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198</xdr:row>
      <xdr:rowOff>0</xdr:rowOff>
    </xdr:from>
    <xdr:to>
      <xdr:col>4</xdr:col>
      <xdr:colOff>0</xdr:colOff>
      <xdr:row>198</xdr:row>
      <xdr:rowOff>0</xdr:rowOff>
    </xdr:to>
    <xdr:pic>
      <xdr:nvPicPr>
        <xdr:cNvPr id="7" name="Picture 6" descr="AMD vs Intel server market share">
          <a:extLst>
            <a:ext uri="{FF2B5EF4-FFF2-40B4-BE49-F238E27FC236}">
              <a16:creationId xmlns:a16="http://schemas.microsoft.com/office/drawing/2014/main" id="{AFAD14DA-CF02-4CFA-8D62-2BB926F2EFA8}"/>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76350" y="1585912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239246</xdr:colOff>
      <xdr:row>50</xdr:row>
      <xdr:rowOff>6724</xdr:rowOff>
    </xdr:from>
    <xdr:to>
      <xdr:col>11</xdr:col>
      <xdr:colOff>200993</xdr:colOff>
      <xdr:row>72</xdr:row>
      <xdr:rowOff>10798</xdr:rowOff>
    </xdr:to>
    <xdr:pic>
      <xdr:nvPicPr>
        <xdr:cNvPr id="21" name="Picture 20">
          <a:extLst>
            <a:ext uri="{FF2B5EF4-FFF2-40B4-BE49-F238E27FC236}">
              <a16:creationId xmlns:a16="http://schemas.microsoft.com/office/drawing/2014/main" id="{E972F93A-F44D-4A5F-857D-6907EA92558A}"/>
            </a:ext>
          </a:extLst>
        </xdr:cNvPr>
        <xdr:cNvPicPr>
          <a:picLocks noChangeAspect="1"/>
        </xdr:cNvPicPr>
      </xdr:nvPicPr>
      <xdr:blipFill>
        <a:blip xmlns:r="http://schemas.openxmlformats.org/officeDocument/2006/relationships" r:embed="rId1"/>
        <a:stretch>
          <a:fillRect/>
        </a:stretch>
      </xdr:blipFill>
      <xdr:spPr>
        <a:xfrm>
          <a:off x="448796" y="7150474"/>
          <a:ext cx="5016347" cy="3150499"/>
        </a:xfrm>
        <a:prstGeom prst="rect">
          <a:avLst/>
        </a:prstGeom>
      </xdr:spPr>
    </xdr:pic>
    <xdr:clientData/>
  </xdr:twoCellAnchor>
  <xdr:twoCellAnchor editAs="oneCell">
    <xdr:from>
      <xdr:col>2</xdr:col>
      <xdr:colOff>462643</xdr:colOff>
      <xdr:row>107</xdr:row>
      <xdr:rowOff>0</xdr:rowOff>
    </xdr:from>
    <xdr:to>
      <xdr:col>12</xdr:col>
      <xdr:colOff>265123</xdr:colOff>
      <xdr:row>122</xdr:row>
      <xdr:rowOff>64061</xdr:rowOff>
    </xdr:to>
    <xdr:pic>
      <xdr:nvPicPr>
        <xdr:cNvPr id="23" name="Picture 22">
          <a:extLst>
            <a:ext uri="{FF2B5EF4-FFF2-40B4-BE49-F238E27FC236}">
              <a16:creationId xmlns:a16="http://schemas.microsoft.com/office/drawing/2014/main" id="{122348C9-1E5D-4391-8E53-B76D3B4C219E}"/>
            </a:ext>
          </a:extLst>
        </xdr:cNvPr>
        <xdr:cNvPicPr>
          <a:picLocks noChangeAspect="1"/>
        </xdr:cNvPicPr>
      </xdr:nvPicPr>
      <xdr:blipFill>
        <a:blip xmlns:r="http://schemas.openxmlformats.org/officeDocument/2006/relationships" r:embed="rId2"/>
        <a:stretch>
          <a:fillRect/>
        </a:stretch>
      </xdr:blipFill>
      <xdr:spPr>
        <a:xfrm>
          <a:off x="662214" y="11566071"/>
          <a:ext cx="4623038" cy="2108308"/>
        </a:xfrm>
        <a:prstGeom prst="rect">
          <a:avLst/>
        </a:prstGeom>
      </xdr:spPr>
    </xdr:pic>
    <xdr:clientData/>
  </xdr:twoCellAnchor>
  <xdr:twoCellAnchor editAs="oneCell">
    <xdr:from>
      <xdr:col>2</xdr:col>
      <xdr:colOff>27214</xdr:colOff>
      <xdr:row>156</xdr:row>
      <xdr:rowOff>63500</xdr:rowOff>
    </xdr:from>
    <xdr:to>
      <xdr:col>14</xdr:col>
      <xdr:colOff>164043</xdr:colOff>
      <xdr:row>183</xdr:row>
      <xdr:rowOff>98162</xdr:rowOff>
    </xdr:to>
    <xdr:pic>
      <xdr:nvPicPr>
        <xdr:cNvPr id="24" name="Picture 23">
          <a:extLst>
            <a:ext uri="{FF2B5EF4-FFF2-40B4-BE49-F238E27FC236}">
              <a16:creationId xmlns:a16="http://schemas.microsoft.com/office/drawing/2014/main" id="{9B8419B3-FD01-47D6-9F4B-468AD488F903}"/>
            </a:ext>
          </a:extLst>
        </xdr:cNvPr>
        <xdr:cNvPicPr>
          <a:picLocks noChangeAspect="1"/>
        </xdr:cNvPicPr>
      </xdr:nvPicPr>
      <xdr:blipFill>
        <a:blip xmlns:r="http://schemas.openxmlformats.org/officeDocument/2006/relationships" r:embed="rId3"/>
        <a:stretch>
          <a:fillRect/>
        </a:stretch>
      </xdr:blipFill>
      <xdr:spPr>
        <a:xfrm>
          <a:off x="226785" y="18297071"/>
          <a:ext cx="5924854" cy="3708591"/>
        </a:xfrm>
        <a:prstGeom prst="rect">
          <a:avLst/>
        </a:prstGeom>
      </xdr:spPr>
    </xdr:pic>
    <xdr:clientData/>
  </xdr:twoCellAnchor>
  <xdr:twoCellAnchor editAs="oneCell">
    <xdr:from>
      <xdr:col>2</xdr:col>
      <xdr:colOff>172357</xdr:colOff>
      <xdr:row>127</xdr:row>
      <xdr:rowOff>63500</xdr:rowOff>
    </xdr:from>
    <xdr:to>
      <xdr:col>14</xdr:col>
      <xdr:colOff>67874</xdr:colOff>
      <xdr:row>154</xdr:row>
      <xdr:rowOff>50534</xdr:rowOff>
    </xdr:to>
    <xdr:pic>
      <xdr:nvPicPr>
        <xdr:cNvPr id="25" name="Picture 24">
          <a:extLst>
            <a:ext uri="{FF2B5EF4-FFF2-40B4-BE49-F238E27FC236}">
              <a16:creationId xmlns:a16="http://schemas.microsoft.com/office/drawing/2014/main" id="{939F8FB1-1BBF-4F39-B31D-9E02EB5871C3}"/>
            </a:ext>
          </a:extLst>
        </xdr:cNvPr>
        <xdr:cNvPicPr>
          <a:picLocks noChangeAspect="1"/>
        </xdr:cNvPicPr>
      </xdr:nvPicPr>
      <xdr:blipFill>
        <a:blip xmlns:r="http://schemas.openxmlformats.org/officeDocument/2006/relationships" r:embed="rId4"/>
        <a:stretch>
          <a:fillRect/>
        </a:stretch>
      </xdr:blipFill>
      <xdr:spPr>
        <a:xfrm>
          <a:off x="371928" y="14351000"/>
          <a:ext cx="5683542" cy="3657788"/>
        </a:xfrm>
        <a:prstGeom prst="rect">
          <a:avLst/>
        </a:prstGeom>
      </xdr:spPr>
    </xdr:pic>
    <xdr:clientData/>
  </xdr:twoCellAnchor>
  <xdr:twoCellAnchor editAs="oneCell">
    <xdr:from>
      <xdr:col>2</xdr:col>
      <xdr:colOff>335643</xdr:colOff>
      <xdr:row>185</xdr:row>
      <xdr:rowOff>0</xdr:rowOff>
    </xdr:from>
    <xdr:to>
      <xdr:col>14</xdr:col>
      <xdr:colOff>189883</xdr:colOff>
      <xdr:row>211</xdr:row>
      <xdr:rowOff>85004</xdr:rowOff>
    </xdr:to>
    <xdr:pic>
      <xdr:nvPicPr>
        <xdr:cNvPr id="26" name="Picture 25">
          <a:extLst>
            <a:ext uri="{FF2B5EF4-FFF2-40B4-BE49-F238E27FC236}">
              <a16:creationId xmlns:a16="http://schemas.microsoft.com/office/drawing/2014/main" id="{2C022AC7-417D-4560-9D6D-77F3266F6B81}"/>
            </a:ext>
          </a:extLst>
        </xdr:cNvPr>
        <xdr:cNvPicPr>
          <a:picLocks noChangeAspect="1"/>
        </xdr:cNvPicPr>
      </xdr:nvPicPr>
      <xdr:blipFill>
        <a:blip xmlns:r="http://schemas.openxmlformats.org/officeDocument/2006/relationships" r:embed="rId5"/>
        <a:stretch>
          <a:fillRect/>
        </a:stretch>
      </xdr:blipFill>
      <xdr:spPr>
        <a:xfrm>
          <a:off x="535214" y="22179643"/>
          <a:ext cx="5639090" cy="3626036"/>
        </a:xfrm>
        <a:prstGeom prst="rect">
          <a:avLst/>
        </a:prstGeom>
      </xdr:spPr>
    </xdr:pic>
    <xdr:clientData/>
  </xdr:twoCellAnchor>
  <xdr:twoCellAnchor editAs="oneCell">
    <xdr:from>
      <xdr:col>2</xdr:col>
      <xdr:colOff>335643</xdr:colOff>
      <xdr:row>215</xdr:row>
      <xdr:rowOff>0</xdr:rowOff>
    </xdr:from>
    <xdr:to>
      <xdr:col>14</xdr:col>
      <xdr:colOff>256561</xdr:colOff>
      <xdr:row>241</xdr:row>
      <xdr:rowOff>94530</xdr:rowOff>
    </xdr:to>
    <xdr:pic>
      <xdr:nvPicPr>
        <xdr:cNvPr id="27" name="Picture 26">
          <a:extLst>
            <a:ext uri="{FF2B5EF4-FFF2-40B4-BE49-F238E27FC236}">
              <a16:creationId xmlns:a16="http://schemas.microsoft.com/office/drawing/2014/main" id="{DB2AC972-23D3-4350-9349-6659D078A320}"/>
            </a:ext>
          </a:extLst>
        </xdr:cNvPr>
        <xdr:cNvPicPr>
          <a:picLocks noChangeAspect="1"/>
        </xdr:cNvPicPr>
      </xdr:nvPicPr>
      <xdr:blipFill>
        <a:blip xmlns:r="http://schemas.openxmlformats.org/officeDocument/2006/relationships" r:embed="rId6"/>
        <a:stretch>
          <a:fillRect/>
        </a:stretch>
      </xdr:blipFill>
      <xdr:spPr>
        <a:xfrm>
          <a:off x="535214" y="26261786"/>
          <a:ext cx="5702593" cy="3632387"/>
        </a:xfrm>
        <a:prstGeom prst="rect">
          <a:avLst/>
        </a:prstGeom>
      </xdr:spPr>
    </xdr:pic>
    <xdr:clientData/>
  </xdr:twoCellAnchor>
  <xdr:twoCellAnchor editAs="oneCell">
    <xdr:from>
      <xdr:col>3</xdr:col>
      <xdr:colOff>0</xdr:colOff>
      <xdr:row>14</xdr:row>
      <xdr:rowOff>0</xdr:rowOff>
    </xdr:from>
    <xdr:to>
      <xdr:col>3</xdr:col>
      <xdr:colOff>304800</xdr:colOff>
      <xdr:row>16</xdr:row>
      <xdr:rowOff>19050</xdr:rowOff>
    </xdr:to>
    <xdr:sp macro="" textlink="">
      <xdr:nvSpPr>
        <xdr:cNvPr id="139265" name="AutoShape 1">
          <a:extLst>
            <a:ext uri="{FF2B5EF4-FFF2-40B4-BE49-F238E27FC236}">
              <a16:creationId xmlns:a16="http://schemas.microsoft.com/office/drawing/2014/main" id="{8AAD271E-9DA1-43F6-BEF5-A2AEB7485D17}"/>
            </a:ext>
          </a:extLst>
        </xdr:cNvPr>
        <xdr:cNvSpPr>
          <a:spLocks noChangeAspect="1" noChangeArrowheads="1"/>
        </xdr:cNvSpPr>
      </xdr:nvSpPr>
      <xdr:spPr bwMode="auto">
        <a:xfrm>
          <a:off x="1676400" y="214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10</xdr:row>
      <xdr:rowOff>0</xdr:rowOff>
    </xdr:from>
    <xdr:to>
      <xdr:col>2</xdr:col>
      <xdr:colOff>304800</xdr:colOff>
      <xdr:row>12</xdr:row>
      <xdr:rowOff>19050</xdr:rowOff>
    </xdr:to>
    <xdr:sp macro="" textlink="">
      <xdr:nvSpPr>
        <xdr:cNvPr id="139266" name="AutoShape 2">
          <a:extLst>
            <a:ext uri="{FF2B5EF4-FFF2-40B4-BE49-F238E27FC236}">
              <a16:creationId xmlns:a16="http://schemas.microsoft.com/office/drawing/2014/main" id="{F7D8F196-FD10-4BC2-94E4-47AAE89859E7}"/>
            </a:ext>
          </a:extLst>
        </xdr:cNvPr>
        <xdr:cNvSpPr>
          <a:spLocks noChangeAspect="1" noChangeArrowheads="1"/>
        </xdr:cNvSpPr>
      </xdr:nvSpPr>
      <xdr:spPr bwMode="auto">
        <a:xfrm>
          <a:off x="2095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15</xdr:row>
      <xdr:rowOff>0</xdr:rowOff>
    </xdr:from>
    <xdr:to>
      <xdr:col>8</xdr:col>
      <xdr:colOff>304800</xdr:colOff>
      <xdr:row>17</xdr:row>
      <xdr:rowOff>19050</xdr:rowOff>
    </xdr:to>
    <xdr:sp macro="" textlink="">
      <xdr:nvSpPr>
        <xdr:cNvPr id="139267" name="AutoShape 3">
          <a:extLst>
            <a:ext uri="{FF2B5EF4-FFF2-40B4-BE49-F238E27FC236}">
              <a16:creationId xmlns:a16="http://schemas.microsoft.com/office/drawing/2014/main" id="{B712971D-538D-4CB1-92C7-929ACB675895}"/>
            </a:ext>
          </a:extLst>
        </xdr:cNvPr>
        <xdr:cNvSpPr>
          <a:spLocks noChangeAspect="1" noChangeArrowheads="1"/>
        </xdr:cNvSpPr>
      </xdr:nvSpPr>
      <xdr:spPr bwMode="auto">
        <a:xfrm>
          <a:off x="4343400" y="228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552450</xdr:colOff>
      <xdr:row>17</xdr:row>
      <xdr:rowOff>104776</xdr:rowOff>
    </xdr:from>
    <xdr:to>
      <xdr:col>18</xdr:col>
      <xdr:colOff>190500</xdr:colOff>
      <xdr:row>37</xdr:row>
      <xdr:rowOff>37072</xdr:rowOff>
    </xdr:to>
    <xdr:pic>
      <xdr:nvPicPr>
        <xdr:cNvPr id="2" name="Picture 1">
          <a:extLst>
            <a:ext uri="{FF2B5EF4-FFF2-40B4-BE49-F238E27FC236}">
              <a16:creationId xmlns:a16="http://schemas.microsoft.com/office/drawing/2014/main" id="{F84673F6-5E44-4D91-82D7-E65E6CEA8514}"/>
            </a:ext>
          </a:extLst>
        </xdr:cNvPr>
        <xdr:cNvPicPr>
          <a:picLocks noChangeAspect="1"/>
        </xdr:cNvPicPr>
      </xdr:nvPicPr>
      <xdr:blipFill>
        <a:blip xmlns:r="http://schemas.openxmlformats.org/officeDocument/2006/relationships" r:embed="rId7"/>
        <a:stretch>
          <a:fillRect/>
        </a:stretch>
      </xdr:blipFill>
      <xdr:spPr>
        <a:xfrm>
          <a:off x="5257800" y="2533651"/>
          <a:ext cx="4133850" cy="2789796"/>
        </a:xfrm>
        <a:prstGeom prst="rect">
          <a:avLst/>
        </a:prstGeom>
      </xdr:spPr>
    </xdr:pic>
    <xdr:clientData/>
  </xdr:twoCellAnchor>
  <xdr:twoCellAnchor editAs="oneCell">
    <xdr:from>
      <xdr:col>2</xdr:col>
      <xdr:colOff>378379</xdr:colOff>
      <xdr:row>17</xdr:row>
      <xdr:rowOff>76200</xdr:rowOff>
    </xdr:from>
    <xdr:to>
      <xdr:col>10</xdr:col>
      <xdr:colOff>197775</xdr:colOff>
      <xdr:row>38</xdr:row>
      <xdr:rowOff>0</xdr:rowOff>
    </xdr:to>
    <xdr:pic>
      <xdr:nvPicPr>
        <xdr:cNvPr id="3" name="Picture 2">
          <a:extLst>
            <a:ext uri="{FF2B5EF4-FFF2-40B4-BE49-F238E27FC236}">
              <a16:creationId xmlns:a16="http://schemas.microsoft.com/office/drawing/2014/main" id="{BFD9A597-09E9-4D53-B1E7-4EA4BEBD2A52}"/>
            </a:ext>
          </a:extLst>
        </xdr:cNvPr>
        <xdr:cNvPicPr>
          <a:picLocks noChangeAspect="1"/>
        </xdr:cNvPicPr>
      </xdr:nvPicPr>
      <xdr:blipFill>
        <a:blip xmlns:r="http://schemas.openxmlformats.org/officeDocument/2006/relationships" r:embed="rId8"/>
        <a:stretch>
          <a:fillRect/>
        </a:stretch>
      </xdr:blipFill>
      <xdr:spPr>
        <a:xfrm>
          <a:off x="587929" y="2505075"/>
          <a:ext cx="4312021" cy="2914650"/>
        </a:xfrm>
        <a:prstGeom prst="rect">
          <a:avLst/>
        </a:prstGeom>
      </xdr:spPr>
    </xdr:pic>
    <xdr:clientData/>
  </xdr:twoCellAnchor>
  <xdr:twoCellAnchor>
    <xdr:from>
      <xdr:col>15</xdr:col>
      <xdr:colOff>447674</xdr:colOff>
      <xdr:row>58</xdr:row>
      <xdr:rowOff>114299</xdr:rowOff>
    </xdr:from>
    <xdr:to>
      <xdr:col>27</xdr:col>
      <xdr:colOff>209549</xdr:colOff>
      <xdr:row>83</xdr:row>
      <xdr:rowOff>28574</xdr:rowOff>
    </xdr:to>
    <xdr:graphicFrame macro="">
      <xdr:nvGraphicFramePr>
        <xdr:cNvPr id="9" name="Chart 8">
          <a:extLst>
            <a:ext uri="{FF2B5EF4-FFF2-40B4-BE49-F238E27FC236}">
              <a16:creationId xmlns:a16="http://schemas.microsoft.com/office/drawing/2014/main" id="{ABD69EE9-210E-171A-F44C-FF76317530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5</xdr:row>
      <xdr:rowOff>117613</xdr:rowOff>
    </xdr:from>
    <xdr:to>
      <xdr:col>15</xdr:col>
      <xdr:colOff>0</xdr:colOff>
      <xdr:row>27</xdr:row>
      <xdr:rowOff>0</xdr:rowOff>
    </xdr:to>
    <xdr:graphicFrame macro="">
      <xdr:nvGraphicFramePr>
        <xdr:cNvPr id="3" name="Chart 2">
          <a:extLst>
            <a:ext uri="{FF2B5EF4-FFF2-40B4-BE49-F238E27FC236}">
              <a16:creationId xmlns:a16="http://schemas.microsoft.com/office/drawing/2014/main" id="{636DAA27-9AD7-4217-BB14-D3BD4FA0B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27</xdr:row>
      <xdr:rowOff>117612</xdr:rowOff>
    </xdr:from>
    <xdr:to>
      <xdr:col>15</xdr:col>
      <xdr:colOff>0</xdr:colOff>
      <xdr:row>49</xdr:row>
      <xdr:rowOff>0</xdr:rowOff>
    </xdr:to>
    <xdr:graphicFrame macro="">
      <xdr:nvGraphicFramePr>
        <xdr:cNvPr id="4" name="Chart 3">
          <a:extLst>
            <a:ext uri="{FF2B5EF4-FFF2-40B4-BE49-F238E27FC236}">
              <a16:creationId xmlns:a16="http://schemas.microsoft.com/office/drawing/2014/main" id="{82016073-8BAF-4C7C-A153-B80CE53D4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173935</xdr:colOff>
      <xdr:row>5</xdr:row>
      <xdr:rowOff>117613</xdr:rowOff>
    </xdr:from>
    <xdr:to>
      <xdr:col>28</xdr:col>
      <xdr:colOff>173934</xdr:colOff>
      <xdr:row>27</xdr:row>
      <xdr:rowOff>0</xdr:rowOff>
    </xdr:to>
    <xdr:graphicFrame macro="">
      <xdr:nvGraphicFramePr>
        <xdr:cNvPr id="5" name="Chart 4">
          <a:extLst>
            <a:ext uri="{FF2B5EF4-FFF2-40B4-BE49-F238E27FC236}">
              <a16:creationId xmlns:a16="http://schemas.microsoft.com/office/drawing/2014/main" id="{1CA24ADF-B666-4028-908F-EBB0F2F0D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55245</xdr:rowOff>
    </xdr:from>
    <xdr:to>
      <xdr:col>14</xdr:col>
      <xdr:colOff>381000</xdr:colOff>
      <xdr:row>29</xdr:row>
      <xdr:rowOff>1905</xdr:rowOff>
    </xdr:to>
    <xdr:graphicFrame macro="">
      <xdr:nvGraphicFramePr>
        <xdr:cNvPr id="2" name="Chart 1">
          <a:extLst>
            <a:ext uri="{FF2B5EF4-FFF2-40B4-BE49-F238E27FC236}">
              <a16:creationId xmlns:a16="http://schemas.microsoft.com/office/drawing/2014/main" id="{E36AE1CD-3092-49A0-A18F-8538AEC2E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504825</xdr:colOff>
      <xdr:row>3</xdr:row>
      <xdr:rowOff>57150</xdr:rowOff>
    </xdr:from>
    <xdr:to>
      <xdr:col>29</xdr:col>
      <xdr:colOff>352425</xdr:colOff>
      <xdr:row>29</xdr:row>
      <xdr:rowOff>0</xdr:rowOff>
    </xdr:to>
    <xdr:graphicFrame macro="">
      <xdr:nvGraphicFramePr>
        <xdr:cNvPr id="3" name="Chart 2">
          <a:extLst>
            <a:ext uri="{FF2B5EF4-FFF2-40B4-BE49-F238E27FC236}">
              <a16:creationId xmlns:a16="http://schemas.microsoft.com/office/drawing/2014/main" id="{8CD7EE36-AD56-40D4-A0AE-E270DD4E3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125185</xdr:rowOff>
    </xdr:from>
    <xdr:to>
      <xdr:col>14</xdr:col>
      <xdr:colOff>381000</xdr:colOff>
      <xdr:row>56</xdr:row>
      <xdr:rowOff>68036</xdr:rowOff>
    </xdr:to>
    <xdr:graphicFrame macro="">
      <xdr:nvGraphicFramePr>
        <xdr:cNvPr id="4" name="Chart 3">
          <a:extLst>
            <a:ext uri="{FF2B5EF4-FFF2-40B4-BE49-F238E27FC236}">
              <a16:creationId xmlns:a16="http://schemas.microsoft.com/office/drawing/2014/main" id="{338794A8-33F4-45A3-AE3D-19F43B72B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4083</xdr:colOff>
      <xdr:row>30</xdr:row>
      <xdr:rowOff>125185</xdr:rowOff>
    </xdr:from>
    <xdr:to>
      <xdr:col>29</xdr:col>
      <xdr:colOff>352425</xdr:colOff>
      <xdr:row>56</xdr:row>
      <xdr:rowOff>68036</xdr:rowOff>
    </xdr:to>
    <xdr:graphicFrame macro="">
      <xdr:nvGraphicFramePr>
        <xdr:cNvPr id="5" name="Chart 4">
          <a:extLst>
            <a:ext uri="{FF2B5EF4-FFF2-40B4-BE49-F238E27FC236}">
              <a16:creationId xmlns:a16="http://schemas.microsoft.com/office/drawing/2014/main" id="{51A59CAF-7912-4726-BEE4-98AC95514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243568</xdr:colOff>
      <xdr:row>85</xdr:row>
      <xdr:rowOff>119742</xdr:rowOff>
    </xdr:from>
    <xdr:to>
      <xdr:col>29</xdr:col>
      <xdr:colOff>352425</xdr:colOff>
      <xdr:row>111</xdr:row>
      <xdr:rowOff>62594</xdr:rowOff>
    </xdr:to>
    <xdr:graphicFrame macro="">
      <xdr:nvGraphicFramePr>
        <xdr:cNvPr id="6" name="Chart 5">
          <a:extLst>
            <a:ext uri="{FF2B5EF4-FFF2-40B4-BE49-F238E27FC236}">
              <a16:creationId xmlns:a16="http://schemas.microsoft.com/office/drawing/2014/main" id="{B2AC4949-7639-402D-B672-01AD9CD81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57</xdr:row>
      <xdr:rowOff>146956</xdr:rowOff>
    </xdr:from>
    <xdr:to>
      <xdr:col>14</xdr:col>
      <xdr:colOff>372996</xdr:colOff>
      <xdr:row>83</xdr:row>
      <xdr:rowOff>89808</xdr:rowOff>
    </xdr:to>
    <xdr:graphicFrame macro="">
      <xdr:nvGraphicFramePr>
        <xdr:cNvPr id="7" name="Chart 6">
          <a:extLst>
            <a:ext uri="{FF2B5EF4-FFF2-40B4-BE49-F238E27FC236}">
              <a16:creationId xmlns:a16="http://schemas.microsoft.com/office/drawing/2014/main" id="{8E8BC372-5FEA-4E7B-8158-F4E2E8B3E6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243568</xdr:colOff>
      <xdr:row>57</xdr:row>
      <xdr:rowOff>146956</xdr:rowOff>
    </xdr:from>
    <xdr:to>
      <xdr:col>29</xdr:col>
      <xdr:colOff>352425</xdr:colOff>
      <xdr:row>83</xdr:row>
      <xdr:rowOff>89808</xdr:rowOff>
    </xdr:to>
    <xdr:graphicFrame macro="">
      <xdr:nvGraphicFramePr>
        <xdr:cNvPr id="8" name="Chart 7">
          <a:extLst>
            <a:ext uri="{FF2B5EF4-FFF2-40B4-BE49-F238E27FC236}">
              <a16:creationId xmlns:a16="http://schemas.microsoft.com/office/drawing/2014/main" id="{6318622A-E176-4DDE-88F0-BFAA61445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85</xdr:row>
      <xdr:rowOff>119742</xdr:rowOff>
    </xdr:from>
    <xdr:to>
      <xdr:col>14</xdr:col>
      <xdr:colOff>372996</xdr:colOff>
      <xdr:row>111</xdr:row>
      <xdr:rowOff>62594</xdr:rowOff>
    </xdr:to>
    <xdr:graphicFrame macro="">
      <xdr:nvGraphicFramePr>
        <xdr:cNvPr id="9" name="Chart 8">
          <a:extLst>
            <a:ext uri="{FF2B5EF4-FFF2-40B4-BE49-F238E27FC236}">
              <a16:creationId xmlns:a16="http://schemas.microsoft.com/office/drawing/2014/main" id="{1F48D5BA-4AFC-42CF-921E-780301994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136629</xdr:colOff>
      <xdr:row>13</xdr:row>
      <xdr:rowOff>20368</xdr:rowOff>
    </xdr:from>
    <xdr:to>
      <xdr:col>16</xdr:col>
      <xdr:colOff>276503</xdr:colOff>
      <xdr:row>26</xdr:row>
      <xdr:rowOff>63858</xdr:rowOff>
    </xdr:to>
    <xdr:pic>
      <xdr:nvPicPr>
        <xdr:cNvPr id="2" name="Picture 1">
          <a:extLst>
            <a:ext uri="{FF2B5EF4-FFF2-40B4-BE49-F238E27FC236}">
              <a16:creationId xmlns:a16="http://schemas.microsoft.com/office/drawing/2014/main" id="{2AB8A9C3-6F00-4AAC-AE56-615925986741}"/>
            </a:ext>
          </a:extLst>
        </xdr:cNvPr>
        <xdr:cNvPicPr>
          <a:picLocks noChangeAspect="1"/>
        </xdr:cNvPicPr>
      </xdr:nvPicPr>
      <xdr:blipFill>
        <a:blip xmlns:r="http://schemas.openxmlformats.org/officeDocument/2006/relationships" r:embed="rId1"/>
        <a:stretch>
          <a:fillRect/>
        </a:stretch>
      </xdr:blipFill>
      <xdr:spPr>
        <a:xfrm>
          <a:off x="346179" y="1877743"/>
          <a:ext cx="7340774" cy="1900865"/>
        </a:xfrm>
        <a:prstGeom prst="rect">
          <a:avLst/>
        </a:prstGeom>
      </xdr:spPr>
    </xdr:pic>
    <xdr:clientData/>
  </xdr:twoCellAnchor>
  <xdr:twoCellAnchor editAs="oneCell">
    <xdr:from>
      <xdr:col>2</xdr:col>
      <xdr:colOff>29306</xdr:colOff>
      <xdr:row>158</xdr:row>
      <xdr:rowOff>63170</xdr:rowOff>
    </xdr:from>
    <xdr:to>
      <xdr:col>12</xdr:col>
      <xdr:colOff>448748</xdr:colOff>
      <xdr:row>192</xdr:row>
      <xdr:rowOff>44758</xdr:rowOff>
    </xdr:to>
    <xdr:pic>
      <xdr:nvPicPr>
        <xdr:cNvPr id="3" name="Picture 2">
          <a:extLst>
            <a:ext uri="{FF2B5EF4-FFF2-40B4-BE49-F238E27FC236}">
              <a16:creationId xmlns:a16="http://schemas.microsoft.com/office/drawing/2014/main" id="{62E77B5C-73FC-4F7A-83FA-FF3E99D38A61}"/>
            </a:ext>
          </a:extLst>
        </xdr:cNvPr>
        <xdr:cNvPicPr>
          <a:picLocks noChangeAspect="1"/>
        </xdr:cNvPicPr>
      </xdr:nvPicPr>
      <xdr:blipFill>
        <a:blip xmlns:r="http://schemas.openxmlformats.org/officeDocument/2006/relationships" r:embed="rId2"/>
        <a:stretch>
          <a:fillRect/>
        </a:stretch>
      </xdr:blipFill>
      <xdr:spPr>
        <a:xfrm>
          <a:off x="238856" y="22637420"/>
          <a:ext cx="5562942" cy="4839338"/>
        </a:xfrm>
        <a:prstGeom prst="rect">
          <a:avLst/>
        </a:prstGeom>
      </xdr:spPr>
    </xdr:pic>
    <xdr:clientData/>
  </xdr:twoCellAnchor>
  <xdr:twoCellAnchor editAs="oneCell">
    <xdr:from>
      <xdr:col>1</xdr:col>
      <xdr:colOff>36635</xdr:colOff>
      <xdr:row>197</xdr:row>
      <xdr:rowOff>25521</xdr:rowOff>
    </xdr:from>
    <xdr:to>
      <xdr:col>13</xdr:col>
      <xdr:colOff>384263</xdr:colOff>
      <xdr:row>218</xdr:row>
      <xdr:rowOff>51221</xdr:rowOff>
    </xdr:to>
    <xdr:pic>
      <xdr:nvPicPr>
        <xdr:cNvPr id="4" name="Picture 3">
          <a:extLst>
            <a:ext uri="{FF2B5EF4-FFF2-40B4-BE49-F238E27FC236}">
              <a16:creationId xmlns:a16="http://schemas.microsoft.com/office/drawing/2014/main" id="{A05481EA-0685-4806-B5C6-69ABEB1B0268}"/>
            </a:ext>
          </a:extLst>
        </xdr:cNvPr>
        <xdr:cNvPicPr>
          <a:picLocks noChangeAspect="1"/>
        </xdr:cNvPicPr>
      </xdr:nvPicPr>
      <xdr:blipFill>
        <a:blip xmlns:r="http://schemas.openxmlformats.org/officeDocument/2006/relationships" r:embed="rId3"/>
        <a:stretch>
          <a:fillRect/>
        </a:stretch>
      </xdr:blipFill>
      <xdr:spPr>
        <a:xfrm>
          <a:off x="141410" y="28171896"/>
          <a:ext cx="6110253" cy="3026075"/>
        </a:xfrm>
        <a:prstGeom prst="rect">
          <a:avLst/>
        </a:prstGeom>
      </xdr:spPr>
    </xdr:pic>
    <xdr:clientData/>
  </xdr:twoCellAnchor>
  <xdr:twoCellAnchor editAs="oneCell">
    <xdr:from>
      <xdr:col>2</xdr:col>
      <xdr:colOff>29308</xdr:colOff>
      <xdr:row>232</xdr:row>
      <xdr:rowOff>127369</xdr:rowOff>
    </xdr:from>
    <xdr:to>
      <xdr:col>11</xdr:col>
      <xdr:colOff>212482</xdr:colOff>
      <xdr:row>266</xdr:row>
      <xdr:rowOff>90511</xdr:rowOff>
    </xdr:to>
    <xdr:pic>
      <xdr:nvPicPr>
        <xdr:cNvPr id="5" name="Picture 4">
          <a:extLst>
            <a:ext uri="{FF2B5EF4-FFF2-40B4-BE49-F238E27FC236}">
              <a16:creationId xmlns:a16="http://schemas.microsoft.com/office/drawing/2014/main" id="{1B0F1B57-7BE1-4D50-B2C0-0C222EE1D71A}"/>
            </a:ext>
          </a:extLst>
        </xdr:cNvPr>
        <xdr:cNvPicPr>
          <a:picLocks noChangeAspect="1"/>
        </xdr:cNvPicPr>
      </xdr:nvPicPr>
      <xdr:blipFill>
        <a:blip xmlns:r="http://schemas.openxmlformats.org/officeDocument/2006/relationships" r:embed="rId4"/>
        <a:stretch>
          <a:fillRect/>
        </a:stretch>
      </xdr:blipFill>
      <xdr:spPr>
        <a:xfrm>
          <a:off x="238858" y="33274369"/>
          <a:ext cx="4812324" cy="48208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TEMP/TEMP/P.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Startup" Target="chwang/EM/KS086790.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HEALTH/Pharma/Risinger/models/WYE/WYE_Charts.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Small%20Caps/Healthcare/DROG/Reports/1Q11/DROG%20Support_1Q1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HEALTH/Pharma/Risinger/models/PFE/PFE_Charts.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Startup" Target="na/ny/users/johndasc/Docs/ID/Charts/Sandbox/BtoB.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Small%20Caps/Healthcare/Reports%20&amp;%20Presentations/Labs%20Support%20Oct%2010.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Small%20Caps/Agri/Reports/Farmers-update-oct10/SLC%20Performance.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HEALTH/Pharma/Risinger/models/PFE/PFEwk.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HEALTH/Pharma/Risinger/models/LLY/LLY_Charts.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chwang/EM/OLD/OLD_2007/Copy%20of%20KS00527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bg.ads.db.com\nyc-ge-g\Inch%20-%20CapGoods\Joe\Quarterly%20Preview\PriceInventoryWeekly.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chwang/EM/OLD/OLD_2008/BF%202Q08/Copy%20of%20KS004940.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Startup" Target="chwang/EM/Open%20Platform/OPCh%20WFH.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HEALTH/Pharma/Risinger/models/BMY/BMY_Char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OMER\Rdrive\FERGUS\Bp10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vapfsdfs1\FiST2\V\Autoparts\TRW\TRW_12_06_2000"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vapfsdfs1\FiST2\Users\Public\Morgan%20Stanley\ModelWare\MWAnalytics\GEG\rr%20sheet.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GMG%20Research\Credit%20OAS%20(HG%20data)\DailyData\Prototype%20(11-14-02%20253%20HG%20+%2012%20H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Team4\SoftBank\Contapqi%20-%20Research%20Deep%20Dive\To%20Client\2020.01.21\TOTVS_Excel%20Backup_2020.01.2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vapfsdfs1\FiST2\Users\Kanishk.Agarwal\AppData\Local\Capital%20IQ\Office%20Plug-in\Templates\Company%20Tearsheets\+Financial%20Snapshot%20Tearshee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resvista-my.sharepoint.com/Users/bipu.shrivastava.TRESVISTADOM/Documents/DHER%20-%20Valuation%20and%20Financial%20Analysis_2022.04.1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GVAT/Modelware/Tier%201%20-%20Energy/XOMModelwar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vapfsdfs1\FiST2\Users\Kanishk.Agarwal\AppData\Local\Capital%20IQ\Office%20Plug-in\Templates\Charts\Annotated%20Stock%20Price%20Volume%20Cha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ony\c\business\&#38750;&#37444;\&#38750;&#37444;&#20250;~1\&#21516;&#21644;&#37489;&#26989;\5714work.wk4"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C:\Users\vedang.poddar\AppData\Roaming\Microsoft\Excel\Price%20Hist-v1%20(version%202).xlsb" TargetMode="External"/><Relationship Id="rId1" Type="http://schemas.openxmlformats.org/officeDocument/2006/relationships/externalLinkPath" Target="/Users/vedang.poddar/AppData/Roaming/Microsoft/Excel/Price%20Hist-v1%20(version%202).xlsb"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TEMP/data/excel/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ADIND\ADREVTRD\advolK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MER\Rdrive\Research\RESEARCH%20DATA\E&amp;P%20Group\Users\Victor\Files\Links%20Fix.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Startup" Target="na/ny/users/johndasc/Docs/ID/Charts/Chart_Gallery/From%20Vlad/B11_BarSingle_AverageLine.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HEALTH/Pharma/Risinger/models/LLY/LLYwk.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Startup" Target="chwang/EM/OLD/OLD_2008/BF%202Q08/Copy%20of%20KS0555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Capex"/>
      <sheetName val="Disclaimer"/>
      <sheetName val="Quarterly"/>
      <sheetName val="E&amp;P"/>
      <sheetName val="Hamaca"/>
      <sheetName val="Bohai"/>
      <sheetName val="Bayu Undan"/>
      <sheetName val="Normalized"/>
      <sheetName val="R&amp;M"/>
      <sheetName val="DDM"/>
      <sheetName val="Segment ROCE"/>
      <sheetName val="ARCO - Alaska"/>
      <sheetName val="GE Data"/>
      <sheetName val="B Sheet"/>
      <sheetName val="Reserves"/>
      <sheetName val="WACC"/>
      <sheetName val="Valuation"/>
      <sheetName val="NAV"/>
      <sheetName val="Chemical JV"/>
      <sheetName val="Chems"/>
      <sheetName val="GPM"/>
      <sheetName val="PUDS"/>
      <sheetName val="EKOFISK"/>
      <sheetName val="IndexInformation"/>
      <sheetName val="MainCode"/>
      <sheetName val="NY UPLOAD.bak"/>
      <sheetName val="NY UPLOAD Shadow.bak"/>
      <sheetName val="NY UPLOAD"/>
      <sheetName val="NY UPLOAD Shadow"/>
      <sheetName val="Ratios"/>
      <sheetName val="BS"/>
      <sheetName val="TOSCO"/>
      <sheetName val="ROGIC"/>
      <sheetName val="NEPS"/>
      <sheetName val="RefineryMaint"/>
      <sheetName val="Variance"/>
      <sheetName val="Distribution"/>
      <sheetName val="A-Link Source"/>
      <sheetName val="Q-Link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Results"/>
      <sheetName val="Cover"/>
      <sheetName val="AFFILIATES (2)"/>
      <sheetName val="Charts"/>
      <sheetName val="For report"/>
      <sheetName val="valuationExhibits"/>
      <sheetName val="Exhibits"/>
      <sheetName val="目標株価"/>
      <sheetName val="Annual"/>
      <sheetName val="CREDIT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pipeline-handout"/>
      <sheetName val="summary"/>
    </sheetNames>
    <sheetDataSet>
      <sheetData sheetId="0"/>
      <sheetData sheetId="1"/>
      <sheetData sheetId="2"/>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Performance"/>
      <sheetName val="PE FY1"/>
      <sheetName val="EVEBITDA FY1"/>
      <sheetName val="Results"/>
    </sheetNames>
    <sheetDataSet>
      <sheetData sheetId="0"/>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Product Mix 100%"/>
      <sheetName val="Traditional &amp; Other"/>
      <sheetName val="Per Pharma Traditional &amp; Biolog"/>
      <sheetName val="MW-Cache"/>
      <sheetName val="__FDSCACHE__"/>
      <sheetName val="2010PE"/>
      <sheetName val="2010PE_Ex BMY"/>
      <sheetName val="2012PE"/>
      <sheetName val="2012PE_Ex BMY"/>
      <sheetName val="short IS"/>
      <sheetName val="cost savings"/>
      <sheetName val="2015 top 10"/>
      <sheetName val="2010 top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d 2-32"/>
      <sheetName val="Good 12-00 (3)"/>
      <sheetName val="Good 12-43"/>
      <sheetName val="Good 12-07"/>
      <sheetName val="Good 12-00 (2)"/>
      <sheetName val="Good 12-00"/>
      <sheetName val="Good 11-50"/>
      <sheetName val="Good 11-40"/>
      <sheetName val="Good 11-36"/>
      <sheetName val="Good 11-18"/>
      <sheetName val="Good 10-48 pm (2)"/>
      <sheetName val="Samples"/>
      <sheetName val="Good 10-48 pm"/>
      <sheetName val="Good 11-04 pm"/>
      <sheetName val="Sheet3 (6)"/>
      <sheetName val="Sheet3 (5)"/>
      <sheetName val="Sheet3 (3)"/>
      <sheetName val="Sheet3 (2)"/>
      <sheetName val="Sheet1"/>
      <sheetName val="Sheet2"/>
      <sheetName val="Sheet3"/>
      <sheetName val="Sheet3 (4)"/>
      <sheetName val="Good 12-22_tbnt"/>
      <sheetName val="DCF Model"/>
      <sheetName val="SoP Model"/>
      <sheetName val="LBO Summary"/>
      <sheetName val="Sheet4"/>
      <sheetName val="ForeignStake"/>
      <sheetName val="PE_1yr_Forward"/>
      <sheetName val="Summary"/>
      <sheetName val="Quarterly"/>
      <sheetName val="Cust-Supplier"/>
      <sheetName val="Pork Poultry Egg"/>
      <sheetName val="Tourists"/>
      <sheetName val="CHINA CPI"/>
      <sheetName val="Fish"/>
      <sheetName val="Risk-Reward_View_Chart"/>
      <sheetName val="c1"/>
      <sheetName val="NOPAT"/>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Performance"/>
      <sheetName val="Vs Global"/>
      <sheetName val="PE FY1"/>
      <sheetName val="MW-Cache"/>
      <sheetName val="EVEBITDA FY1"/>
      <sheetName val="Sheet3"/>
      <sheetName val="Peers"/>
      <sheetName val="Risk Reward"/>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LC BRL"/>
      <sheetName val="SLC USD"/>
      <sheetName val="AGRO BRL"/>
      <sheetName val="AGRO USD"/>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Disclosures"/>
      <sheetName val="summary"/>
      <sheetName val="COVER SHEET"/>
      <sheetName val="__FDSCACHE__"/>
      <sheetName val="IS-ANNUAL"/>
      <sheetName val="IS-QTRLY"/>
      <sheetName val="REV-ANNUAL"/>
      <sheetName val="REV-QTRLY"/>
      <sheetName val="FOOTNOTES"/>
      <sheetName val="PIPELINE"/>
      <sheetName val="PIPELINE_UNADJ"/>
      <sheetName val="MGMT PROJECTIONS"/>
      <sheetName val="AF_MKT_MODEL"/>
      <sheetName val="APIXABAN"/>
      <sheetName val="PREVNAR 13 ADULT"/>
      <sheetName val="CFBS"/>
      <sheetName val="DCF"/>
      <sheetName val="DEBT"/>
      <sheetName val="AGREEMENTS"/>
      <sheetName val="PREVNAR 13 ADULT (2)"/>
      <sheetName val="Var-YOY"/>
      <sheetName val="Var-Seq"/>
      <sheetName val="calendar"/>
      <sheetName val="launches"/>
      <sheetName val="patents"/>
      <sheetName val="patent expirations"/>
      <sheetName val="pipeline-handout"/>
      <sheetName val="sotp1"/>
      <sheetName val="sotp2"/>
      <sheetName val="sotp3"/>
      <sheetName val="Product Mix"/>
      <sheetName val="REV-ANNUAL_old"/>
      <sheetName val="REV-ANNUAL New"/>
      <sheetName val="ebitda"/>
      <sheetName val="cost saving"/>
      <sheetName val="consensus"/>
      <sheetName val="2010-15 Growth"/>
      <sheetName val="revenue snapshot"/>
      <sheetName val="Vaccination rates"/>
      <sheetName val="Vaccination rates (2)"/>
      <sheetName val="cost savings"/>
      <sheetName val="rev contribution analysis"/>
      <sheetName val="rev change analysis"/>
      <sheetName val="2015 rev change"/>
      <sheetName val="MW-Cache"/>
      <sheetName val="mwareDates"/>
      <sheetName val="MWA RR"/>
      <sheetName val="MW Valuation"/>
      <sheetName val="mwareSettings"/>
      <sheetName val="king synergy"/>
      <sheetName val="2010 guidance"/>
      <sheetName val="breakup value"/>
      <sheetName val="#REF"/>
      <sheetName val="Variation"/>
      <sheetName val="Seq Variation"/>
      <sheetName val="REV-ANNUAL (2)"/>
      <sheetName val="FCF vs Guidance"/>
      <sheetName val="Gaap Adj"/>
      <sheetName val="ANOMALIES"/>
      <sheetName val="ASSUMPTIONS"/>
      <sheetName val="WYE_MERGER"/>
      <sheetName val="mgmt guidance"/>
      <sheetName val="CDK4_6_MKT_MODEL"/>
      <sheetName val="ELIQUIS_ALLIANCE"/>
      <sheetName val="REV-SEGMENT"/>
      <sheetName val="UPD from master_PALBO MKT MODEL"/>
      <sheetName val="modified revs"/>
      <sheetName val="SEGMENTS"/>
      <sheetName val="Other biopharma+animal"/>
      <sheetName val="sotp"/>
      <sheetName val="Var-YOYold"/>
      <sheetName val="Var-Seqold"/>
      <sheetName val="Var-YOY (2)"/>
      <sheetName val="Var-Seq (2)"/>
      <sheetName val="Actemra sales"/>
      <sheetName val="Var-YOY_old"/>
      <sheetName val="Var-Seq_old"/>
      <sheetName val="TR Convert"/>
      <sheetName val="Var-YOY ex-animal health"/>
      <sheetName val="Var-Seq ex-animal health"/>
      <sheetName val="PALBO MKT MODEL"/>
      <sheetName val="REV-ANNUAL_new"/>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sheetData sheetId="54"/>
      <sheetData sheetId="55"/>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short IS"/>
      <sheetName val="Product Mix 100%"/>
      <sheetName val="cost savings"/>
      <sheetName val="Per Pharma Traditional &amp; Biolog"/>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Cover"/>
      <sheetName val="Results"/>
      <sheetName val="Intrinsic Value"/>
      <sheetName val="Charts"/>
      <sheetName val="Changes to the Model"/>
      <sheetName val="Acq"/>
      <sheetName val="MWA RR"/>
      <sheetName val="Financial Tables"/>
      <sheetName val="Valuation Summary"/>
      <sheetName val="Cash Flow Statement"/>
      <sheetName val="Segment Reporting"/>
      <sheetName val="Balance Sheet"/>
      <sheetName val="Annual"/>
    </sheetNames>
    <sheetDataSet>
      <sheetData sheetId="0"/>
      <sheetData sheetId="1"/>
      <sheetData sheetId="2"/>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rpage"/>
      <sheetName val="Aluminum"/>
      <sheetName val="Copper"/>
      <sheetName val="NF_INV_W"/>
      <sheetName val="PRICE_W"/>
      <sheetName val="Financials"/>
    </sheetNames>
    <sheetDataSet>
      <sheetData sheetId="0"/>
      <sheetData sheetId="1"/>
      <sheetData sheetId="2"/>
      <sheetData sheetId="3"/>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sheetName val="Ratio"/>
      <sheetName val="Ace-In"/>
      <sheetName val="Ace-Out"/>
      <sheetName val="Cover"/>
      <sheetName val="PS 1yr forward"/>
      <sheetName val="FIM"/>
      <sheetName val="Ann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Reward_View_Chart"/>
      <sheetName val="Bear_to_Bull_Chart"/>
      <sheetName val="Bear_to_Bull_Data"/>
      <sheetName val="Comparative_Risk-Reward_Chart"/>
      <sheetName val="Comparative_Risk-Reward_Data"/>
      <sheetName val="Value_of_Growth_Chart"/>
      <sheetName val="Value_of_Growth_Data"/>
      <sheetName val="Ace-Out"/>
      <sheetName val="Sheet1"/>
      <sheetName val="RI Valuation"/>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ibution analysis"/>
      <sheetName val="rev change analysis"/>
      <sheetName val="2015 rev change"/>
      <sheetName val="2015 biopharma rev change"/>
      <sheetName val="margins"/>
    </sheetNames>
    <sheetDataSet>
      <sheetData sheetId="0"/>
      <sheetData sheetId="1"/>
      <sheetData sheetId="2" refreshError="1"/>
      <sheetData sheetId="3" refreshError="1"/>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amp;EuroEarnings"/>
      <sheetName val="Upstream"/>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WC"/>
      <sheetName val="UPDATE"/>
      <sheetName val="cnsns"/>
      <sheetName val="trsht"/>
      <sheetName val="1997 Yr var "/>
      <sheetName val="q4 1997 var"/>
      <sheetName val="q1 1998"/>
      <sheetName val="q2 1998 "/>
      <sheetName val="q3 1998"/>
      <sheetName val="q4 1998 "/>
      <sheetName val="q1 1999  revised"/>
      <sheetName val="q1 1999 "/>
      <sheetName val="Q2 1999 VAR"/>
      <sheetName val="3Q 99 VAR"/>
      <sheetName val="4Q 99 VAR"/>
      <sheetName val="1Q 00 VAR"/>
      <sheetName val="2Q 00 VAR"/>
      <sheetName val="3Q 00 VAR"/>
      <sheetName val="Accounts"/>
      <sheetName val="Technology bank"/>
      <sheetName val="Qtrly bal sht"/>
      <sheetName val="qtrly cash flow"/>
      <sheetName val="Regression Auto"/>
      <sheetName val="Regression ALL"/>
      <sheetName val="ODS new"/>
      <sheetName val="old ODS"/>
      <sheetName val="ROA by segment"/>
      <sheetName val="GE Appliance Data"/>
      <sheetName val="sale of occupant safety systems"/>
      <sheetName val="trwlva"/>
      <sheetName val="astrolink"/>
      <sheetName val="Sales_Product"/>
      <sheetName val="breakup"/>
      <sheetName val="Sale-Tear"/>
      <sheetName val="SOTP EBITDA"/>
      <sheetName val="SOTP NI"/>
      <sheetName val="segrevs"/>
      <sheetName val="Sheet1"/>
      <sheetName val="S&amp;Drevca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WA RR"/>
      <sheetName val="rr sheet"/>
    </sheetNames>
    <definedNames>
      <definedName name="PRT6BD5BK32"/>
    </defined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rTS"/>
      <sheetName val="IssuerComp"/>
      <sheetName val="SectorTS"/>
      <sheetName val="SectorComp"/>
      <sheetName val="Seperator"/>
      <sheetName val="Data (from 01-01-02)"/>
      <sheetName val="Sector Level Data"/>
      <sheetName val="Daily Update"/>
      <sheetName val="BalanceSheet &amp; Rates"/>
      <sheetName val="IED Worksheet"/>
      <sheetName val="SectorDesignation"/>
      <sheetName val="10-15&amp;16-02Data"/>
      <sheetName val="Prototype (11-14-02 253 HG +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Financials"/>
      <sheetName val="KPIs"/>
      <sheetName val="Offerings"/>
      <sheetName val="Shares Outstanding"/>
      <sheetName val="Research Views"/>
      <sheetName val="Trading Comps"/>
      <sheetName val="Transaction Comps"/>
      <sheetName val="Annotated Stock Price Chart"/>
      <sheetName val="M&amp;A"/>
      <sheetName val="TOTVS_Excel Backup_2020.01.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napshot"/>
      <sheetName val="Data"/>
      <sheetName val="Lanugage Index"/>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napshot 2Q21"/>
      <sheetName val="Val"/>
      <sheetName val="Cap"/>
      <sheetName val="IS"/>
      <sheetName val="BS"/>
      <sheetName val="CFS"/>
      <sheetName val="Seg"/>
      <sheetName val="KPIS"/>
      <sheetName val="Hist Val"/>
      <sheetName val="Holders"/>
      <sheetName val="_CIQHiddenCacheSheet"/>
      <sheetName val="Comps"/>
      <sheetName val="Don't Print --&gt;"/>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brlPreview"/>
      <sheetName val="MODELWARE"/>
      <sheetName val="XOM"/>
      <sheetName val="IS"/>
      <sheetName val="Share Repurchase"/>
      <sheetName val="MainCode"/>
      <sheetName val="WorkingCapital"/>
      <sheetName val="Pension Adjustments"/>
      <sheetName val="BS"/>
      <sheetName val="US Pension"/>
      <sheetName val="Intl Pension"/>
      <sheetName val="OPEBs"/>
      <sheetName val="DRC"/>
      <sheetName val="ReservesRegion"/>
      <sheetName val="ROCE"/>
      <sheetName val="E&amp;PIS"/>
      <sheetName val="R&amp;MIS"/>
      <sheetName val="ChemsIS"/>
      <sheetName val="Corporate"/>
      <sheetName val="Capex"/>
      <sheetName val="E&amp;P"/>
      <sheetName val="NSOURCE"/>
      <sheetName val="GE Data"/>
      <sheetName val="NY UPLOAD"/>
      <sheetName val="MobilPurchase"/>
      <sheetName val="WACC"/>
      <sheetName val="Global E&amp;P Field Percentages"/>
      <sheetName val="NEPS"/>
      <sheetName val="DIVIS"/>
      <sheetName val="Variance"/>
      <sheetName val="xbrldates"/>
      <sheetName val="xbrlSettings"/>
      <sheetName val="NY UPLOAD shadow"/>
      <sheetName val="Scenario"/>
      <sheetName val="Hungary"/>
      <sheetName val="CzechRep"/>
      <sheetName val="Romania"/>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Chart"/>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独"/>
      <sheetName val="連結"/>
      <sheetName val="期中"/>
      <sheetName val="valu"/>
      <sheetName val="増減分析"/>
      <sheetName val="新素材"/>
      <sheetName val="子会社"/>
      <sheetName val="環境"/>
      <sheetName val="製錬拠点"/>
      <sheetName val="ﾃｨｻﾊﾟ"/>
      <sheetName val="ﾚｲﾃﾞﾌﾟﾗﾀ"/>
      <sheetName val="小坂"/>
      <sheetName val="中計"/>
      <sheetName val="cash"/>
      <sheetName val="ｾｸﾞﾒﾝﾄ"/>
      <sheetName val="含み益"/>
      <sheetName val="capx"/>
      <sheetName val="dep"/>
      <sheetName val="人"/>
      <sheetName val="exp"/>
      <sheetName val="Valuation Matrix"/>
      <sheetName val="HANDOUT"/>
      <sheetName val="Interm-Euro"/>
      <sheetName val="SCATTER DATA"/>
      <sheetName val="10 Yr DCF"/>
      <sheetName val="Annual-Euro"/>
      <sheetName val="Residual Income Model"/>
      <sheetName val="P"/>
      <sheetName val="EARNMOD"/>
      <sheetName val="WACC"/>
      <sheetName val="Sheet1"/>
      <sheetName val="Fixed Line Mkt"/>
      <sheetName val="Cash Flow"/>
      <sheetName val="upside_downside"/>
      <sheetName val="Income Statement"/>
      <sheetName val="Balance Sheet"/>
      <sheetName val="Valsum"/>
      <sheetName val="Operating Leases tagged"/>
      <sheetName val="Risk-Reward_View_Chart"/>
      <sheetName val="variables"/>
      <sheetName val="Good 12-00 (2)"/>
      <sheetName val="Good 11-36"/>
      <sheetName val="Good 11-50"/>
      <sheetName val="Sheet3 (5)"/>
      <sheetName val="exh 11"/>
      <sheetName val="exh 14"/>
      <sheetName val="exh 12"/>
      <sheetName val="exh 10"/>
      <sheetName val="exh 1 and 5"/>
      <sheetName val="exh 15"/>
      <sheetName val="exh 3"/>
      <sheetName val="exh 9"/>
      <sheetName val="DCF"/>
      <sheetName val="OP"/>
      <sheetName val="Inputs"/>
      <sheetName val="MWA RR"/>
      <sheetName val="Summary"/>
      <sheetName val="IS"/>
      <sheetName val="Total_Production"/>
      <sheetName val="RFS"/>
      <sheetName val="Corn_Uses"/>
      <sheetName val="US_Production"/>
      <sheetName val="IS Quarterly"/>
      <sheetName val="Sheet1 (2)"/>
      <sheetName val="1Q11 Preview"/>
      <sheetName val="2Q11 Preview"/>
      <sheetName val="Model"/>
      <sheetName val="Intrinsic Value"/>
      <sheetName val="Rev by Geo"/>
      <sheetName val="Report template"/>
      <sheetName val="Model (WIP)"/>
      <sheetName val="Exclusion List"/>
      <sheetName val="fin"/>
      <sheetName val="sales bkd"/>
      <sheetName val="Presentation"/>
      <sheetName val="Valuation"/>
      <sheetName val="Relative Valuation table_OLD"/>
      <sheetName val="Report (2)"/>
      <sheetName val="Margin Chart"/>
      <sheetName val="Buyback Chart"/>
      <sheetName val="CFS"/>
      <sheetName val="DCF_Residual Inc 09"/>
      <sheetName val="DCF_Residual Inc"/>
      <sheetName val="BS"/>
      <sheetName val="KPN"/>
      <sheetName val="REIT metrics"/>
      <sheetName val="Real"/>
      <sheetName val="PB"/>
      <sheetName val="EVEBITDA"/>
      <sheetName val="EVEBITDA (2)"/>
      <sheetName val="PE"/>
      <sheetName val="ChatData(C)"/>
      <sheetName val="Market shr summary"/>
      <sheetName val="Customer breakdown"/>
      <sheetName val="Sales Breakdown"/>
      <sheetName val="Sheet3"/>
      <sheetName val="Projections"/>
      <sheetName val="PXP"/>
      <sheetName val="EARNINGS"/>
      <sheetName val="New Source Charts"/>
      <sheetName val="Modelware"/>
      <sheetName val="Segment ROCE"/>
      <sheetName val="COP"/>
      <sheetName val="R&amp;MIS"/>
      <sheetName val="E&amp;P Growth &amp; Returns"/>
      <sheetName val="BUSINESS"/>
      <sheetName val="Ace-Out"/>
      <sheetName val="AFFILIATES (2)"/>
      <sheetName val="Scenario"/>
      <sheetName val="Trading Stats"/>
      <sheetName val="Liens data"/>
      <sheetName val="Grille"/>
      <sheetName val="Financials - Presentation"/>
      <sheetName val="Geographic Breakout"/>
      <sheetName val="Portfolio Manager's Snapshot"/>
      <sheetName val="GAP"/>
      <sheetName val="Quarterly Financial Model"/>
      <sheetName val="Inc Stmt"/>
      <sheetName val="IS_parent_ra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eers Stock History"/>
      <sheetName val="Indexed"/>
      <sheetName val="TSR List"/>
      <sheetName val="TSR decomposition"/>
    </sheetNames>
    <sheetDataSet>
      <sheetData sheetId="0">
        <row r="29">
          <cell r="N29">
            <v>-0.21630804077010202</v>
          </cell>
        </row>
      </sheetData>
      <sheetData sheetId="1">
        <row r="3">
          <cell r="C3" t="str">
            <v>Intel</v>
          </cell>
          <cell r="F3" t="str">
            <v>Taiwan Semiconductor Manufacturing Co Ltd</v>
          </cell>
          <cell r="G3" t="str">
            <v>Broadcom Inc</v>
          </cell>
          <cell r="H3" t="str">
            <v>Micron Technology Inc</v>
          </cell>
        </row>
        <row r="4">
          <cell r="B4">
            <v>44607</v>
          </cell>
          <cell r="F4">
            <v>369.81521766394684</v>
          </cell>
          <cell r="G4">
            <v>292.62100101946692</v>
          </cell>
          <cell r="H4">
            <v>417.02867072111206</v>
          </cell>
        </row>
        <row r="5">
          <cell r="B5">
            <v>44606</v>
          </cell>
          <cell r="F5">
            <v>371.85831133652937</v>
          </cell>
          <cell r="G5">
            <v>280.87771251031603</v>
          </cell>
          <cell r="H5">
            <v>390.35621198957432</v>
          </cell>
        </row>
        <row r="6">
          <cell r="B6">
            <v>44605</v>
          </cell>
          <cell r="F6">
            <v>379.0799572895441</v>
          </cell>
          <cell r="G6">
            <v>278.37273654060874</v>
          </cell>
          <cell r="H6">
            <v>389.92180712423982</v>
          </cell>
        </row>
        <row r="7">
          <cell r="B7">
            <v>44604</v>
          </cell>
          <cell r="F7">
            <v>379.0799572895441</v>
          </cell>
          <cell r="G7">
            <v>278.37273654060874</v>
          </cell>
          <cell r="H7">
            <v>389.92180712423982</v>
          </cell>
        </row>
        <row r="8">
          <cell r="B8">
            <v>44603</v>
          </cell>
          <cell r="F8">
            <v>379.0799572895441</v>
          </cell>
          <cell r="G8">
            <v>278.37273654060874</v>
          </cell>
          <cell r="H8">
            <v>389.92180712423982</v>
          </cell>
        </row>
        <row r="9">
          <cell r="B9">
            <v>44602</v>
          </cell>
          <cell r="F9">
            <v>379.09476293260343</v>
          </cell>
          <cell r="G9">
            <v>287.08189717947471</v>
          </cell>
          <cell r="H9">
            <v>395.39530842745438</v>
          </cell>
        </row>
        <row r="10">
          <cell r="B10">
            <v>44601</v>
          </cell>
          <cell r="F10">
            <v>370.64051978384947</v>
          </cell>
          <cell r="G10">
            <v>296.78139715520172</v>
          </cell>
          <cell r="H10">
            <v>382.79756733275417</v>
          </cell>
        </row>
        <row r="11">
          <cell r="B11">
            <v>44600</v>
          </cell>
          <cell r="F11">
            <v>367.3426444372156</v>
          </cell>
          <cell r="G11">
            <v>291.38307684839071</v>
          </cell>
          <cell r="H11">
            <v>365.42137271937446</v>
          </cell>
        </row>
        <row r="12">
          <cell r="B12">
            <v>44599</v>
          </cell>
          <cell r="F12">
            <v>370.98367016841422</v>
          </cell>
          <cell r="G12">
            <v>285.27112966648866</v>
          </cell>
          <cell r="H12">
            <v>351.3032145960035</v>
          </cell>
        </row>
        <row r="13">
          <cell r="B13">
            <v>44598</v>
          </cell>
          <cell r="F13">
            <v>372.94749677143983</v>
          </cell>
          <cell r="G13">
            <v>286.49934462837996</v>
          </cell>
          <cell r="H13">
            <v>352.606429192007</v>
          </cell>
        </row>
        <row r="14">
          <cell r="B14">
            <v>44597</v>
          </cell>
          <cell r="F14">
            <v>372.94749677143983</v>
          </cell>
          <cell r="G14">
            <v>286.49934462837996</v>
          </cell>
          <cell r="H14">
            <v>352.606429192007</v>
          </cell>
        </row>
        <row r="15">
          <cell r="B15">
            <v>44596</v>
          </cell>
          <cell r="F15">
            <v>372.94749677143983</v>
          </cell>
          <cell r="G15">
            <v>286.49934462837996</v>
          </cell>
          <cell r="H15">
            <v>352.606429192007</v>
          </cell>
        </row>
        <row r="16">
          <cell r="B16">
            <v>44595</v>
          </cell>
          <cell r="F16">
            <v>372.94749677143983</v>
          </cell>
          <cell r="G16">
            <v>281.97970775280356</v>
          </cell>
          <cell r="H16">
            <v>356.08166811468288</v>
          </cell>
        </row>
        <row r="17">
          <cell r="B17">
            <v>44594</v>
          </cell>
          <cell r="F17">
            <v>372.94749677143983</v>
          </cell>
          <cell r="G17">
            <v>292.94140492256901</v>
          </cell>
          <cell r="H17">
            <v>367.11555169417898</v>
          </cell>
        </row>
        <row r="18">
          <cell r="B18">
            <v>44593</v>
          </cell>
          <cell r="F18">
            <v>372.94749677143983</v>
          </cell>
          <cell r="G18">
            <v>287.74212340404875</v>
          </cell>
          <cell r="H18">
            <v>353.82276281494353</v>
          </cell>
        </row>
        <row r="19">
          <cell r="B19">
            <v>44592</v>
          </cell>
          <cell r="F19">
            <v>372.94749677143983</v>
          </cell>
          <cell r="G19">
            <v>284.42157386280888</v>
          </cell>
          <cell r="H19">
            <v>357.38488271068633</v>
          </cell>
        </row>
        <row r="20">
          <cell r="B20">
            <v>44591</v>
          </cell>
          <cell r="F20">
            <v>372.94749677143983</v>
          </cell>
          <cell r="G20">
            <v>271.90640322345746</v>
          </cell>
          <cell r="H20">
            <v>344.35273675065162</v>
          </cell>
        </row>
        <row r="21">
          <cell r="B21">
            <v>44590</v>
          </cell>
          <cell r="F21">
            <v>372.94749677143983</v>
          </cell>
          <cell r="G21">
            <v>271.90640322345746</v>
          </cell>
          <cell r="H21">
            <v>344.35273675065162</v>
          </cell>
        </row>
        <row r="22">
          <cell r="B22">
            <v>44589</v>
          </cell>
          <cell r="F22">
            <v>372.94749677143983</v>
          </cell>
          <cell r="G22">
            <v>271.90640322345746</v>
          </cell>
          <cell r="H22">
            <v>344.35273675065162</v>
          </cell>
        </row>
        <row r="23">
          <cell r="B23">
            <v>44588</v>
          </cell>
          <cell r="F23">
            <v>372.94749677143983</v>
          </cell>
          <cell r="G23">
            <v>263.27006165347831</v>
          </cell>
          <cell r="H23">
            <v>341.96350999131192</v>
          </cell>
        </row>
        <row r="24">
          <cell r="B24">
            <v>44587</v>
          </cell>
          <cell r="F24">
            <v>372.94749677143983</v>
          </cell>
          <cell r="G24">
            <v>270.45973105490555</v>
          </cell>
          <cell r="H24">
            <v>356.08166811468288</v>
          </cell>
        </row>
        <row r="25">
          <cell r="B25">
            <v>44586</v>
          </cell>
          <cell r="F25">
            <v>376.25924608568164</v>
          </cell>
          <cell r="G25">
            <v>259.30384970144178</v>
          </cell>
          <cell r="H25">
            <v>350.65160729800175</v>
          </cell>
        </row>
        <row r="26">
          <cell r="B26">
            <v>44585</v>
          </cell>
          <cell r="F26">
            <v>383.74620989049748</v>
          </cell>
          <cell r="G26">
            <v>262.91567551822908</v>
          </cell>
          <cell r="H26">
            <v>360.33883579496091</v>
          </cell>
        </row>
        <row r="27">
          <cell r="B27">
            <v>44584</v>
          </cell>
          <cell r="F27">
            <v>376.54457918433144</v>
          </cell>
          <cell r="G27">
            <v>258.86208068352829</v>
          </cell>
          <cell r="H27">
            <v>355.90790616854912</v>
          </cell>
        </row>
        <row r="28">
          <cell r="B28">
            <v>44583</v>
          </cell>
          <cell r="F28">
            <v>376.54457918433144</v>
          </cell>
          <cell r="G28">
            <v>258.86208068352829</v>
          </cell>
          <cell r="H28">
            <v>355.90790616854912</v>
          </cell>
        </row>
        <row r="29">
          <cell r="B29">
            <v>44582</v>
          </cell>
          <cell r="F29">
            <v>376.54457918433144</v>
          </cell>
          <cell r="G29">
            <v>258.86208068352829</v>
          </cell>
          <cell r="H29">
            <v>355.90790616854912</v>
          </cell>
        </row>
        <row r="30">
          <cell r="B30">
            <v>44581</v>
          </cell>
          <cell r="F30">
            <v>383.37416082411198</v>
          </cell>
          <cell r="G30">
            <v>265.89640273799699</v>
          </cell>
          <cell r="H30">
            <v>369.5482189400521</v>
          </cell>
        </row>
        <row r="31">
          <cell r="B31">
            <v>44580</v>
          </cell>
          <cell r="F31">
            <v>385.1408620260662</v>
          </cell>
          <cell r="G31">
            <v>273.7851352007379</v>
          </cell>
          <cell r="H31">
            <v>390.96437880104259</v>
          </cell>
        </row>
        <row r="32">
          <cell r="B32">
            <v>44579</v>
          </cell>
          <cell r="F32">
            <v>391.02700064936778</v>
          </cell>
          <cell r="G32">
            <v>280.49419874751197</v>
          </cell>
          <cell r="H32">
            <v>403.43179843614251</v>
          </cell>
        </row>
        <row r="33">
          <cell r="B33">
            <v>44578</v>
          </cell>
          <cell r="F33">
            <v>403.9004910933084</v>
          </cell>
          <cell r="G33">
            <v>289.51405408029513</v>
          </cell>
          <cell r="H33">
            <v>422.93657688966118</v>
          </cell>
        </row>
        <row r="34">
          <cell r="B34">
            <v>44577</v>
          </cell>
          <cell r="F34">
            <v>396.93375292503862</v>
          </cell>
          <cell r="G34">
            <v>289.51405408029513</v>
          </cell>
          <cell r="H34">
            <v>422.93657688966118</v>
          </cell>
        </row>
        <row r="35">
          <cell r="B35">
            <v>44576</v>
          </cell>
          <cell r="F35">
            <v>396.93375292503862</v>
          </cell>
          <cell r="G35">
            <v>289.51405408029513</v>
          </cell>
          <cell r="H35">
            <v>422.93657688966118</v>
          </cell>
        </row>
        <row r="36">
          <cell r="B36">
            <v>44575</v>
          </cell>
          <cell r="F36">
            <v>396.93375292503862</v>
          </cell>
          <cell r="G36">
            <v>289.51405408029513</v>
          </cell>
          <cell r="H36">
            <v>422.93657688966118</v>
          </cell>
        </row>
        <row r="37">
          <cell r="B37">
            <v>44574</v>
          </cell>
          <cell r="F37">
            <v>389.09413432662893</v>
          </cell>
          <cell r="G37">
            <v>289.91213165687657</v>
          </cell>
          <cell r="H37">
            <v>415.37793223284103</v>
          </cell>
        </row>
        <row r="38">
          <cell r="B38">
            <v>44573</v>
          </cell>
          <cell r="F38">
            <v>388.3368613719112</v>
          </cell>
          <cell r="G38">
            <v>301.95640565075973</v>
          </cell>
          <cell r="H38">
            <v>413.16246741963505</v>
          </cell>
        </row>
        <row r="39">
          <cell r="B39">
            <v>44572</v>
          </cell>
          <cell r="F39">
            <v>382.79213607245407</v>
          </cell>
          <cell r="G39">
            <v>301.98067867372197</v>
          </cell>
          <cell r="H39">
            <v>409.20938314509129</v>
          </cell>
        </row>
        <row r="40">
          <cell r="B40">
            <v>44571</v>
          </cell>
          <cell r="F40">
            <v>378.21112519188887</v>
          </cell>
          <cell r="G40">
            <v>301.54861886499339</v>
          </cell>
          <cell r="H40">
            <v>407.86272806255431</v>
          </cell>
        </row>
        <row r="41">
          <cell r="B41">
            <v>44570</v>
          </cell>
          <cell r="F41">
            <v>373.60630742264431</v>
          </cell>
          <cell r="G41">
            <v>300.57284334190979</v>
          </cell>
          <cell r="H41">
            <v>410.29539530842749</v>
          </cell>
        </row>
        <row r="42">
          <cell r="B42">
            <v>44569</v>
          </cell>
          <cell r="F42">
            <v>373.60630742264431</v>
          </cell>
          <cell r="G42">
            <v>300.57284334190979</v>
          </cell>
          <cell r="H42">
            <v>410.29539530842749</v>
          </cell>
        </row>
        <row r="43">
          <cell r="B43">
            <v>44568</v>
          </cell>
          <cell r="F43">
            <v>373.60630742264431</v>
          </cell>
          <cell r="G43">
            <v>300.57284334190979</v>
          </cell>
          <cell r="H43">
            <v>410.29539530842749</v>
          </cell>
        </row>
        <row r="44">
          <cell r="B44">
            <v>44567</v>
          </cell>
          <cell r="F44">
            <v>378.70346940223715</v>
          </cell>
          <cell r="G44">
            <v>309.25287635322098</v>
          </cell>
          <cell r="H44">
            <v>415.50825369244137</v>
          </cell>
        </row>
        <row r="45">
          <cell r="B45">
            <v>44566</v>
          </cell>
          <cell r="F45">
            <v>382.99323560841987</v>
          </cell>
          <cell r="G45">
            <v>312.15107529491723</v>
          </cell>
          <cell r="H45">
            <v>410.07819287576029</v>
          </cell>
        </row>
        <row r="46">
          <cell r="B46">
            <v>44565</v>
          </cell>
          <cell r="F46">
            <v>387.62369862987401</v>
          </cell>
          <cell r="G46">
            <v>325.70513131705422</v>
          </cell>
          <cell r="H46">
            <v>418.50564726324933</v>
          </cell>
        </row>
        <row r="47">
          <cell r="B47">
            <v>44564</v>
          </cell>
          <cell r="F47">
            <v>371.40791435758359</v>
          </cell>
          <cell r="G47">
            <v>322.01563182678774</v>
          </cell>
          <cell r="H47">
            <v>415.94265855777587</v>
          </cell>
        </row>
        <row r="48">
          <cell r="B48">
            <v>44563</v>
          </cell>
          <cell r="F48">
            <v>360.88036205271658</v>
          </cell>
          <cell r="G48">
            <v>323.03024418661096</v>
          </cell>
          <cell r="H48">
            <v>404.6481320590791</v>
          </cell>
        </row>
        <row r="49">
          <cell r="B49">
            <v>44562</v>
          </cell>
          <cell r="F49">
            <v>360.88036205271658</v>
          </cell>
          <cell r="G49">
            <v>323.03024418661096</v>
          </cell>
          <cell r="H49">
            <v>404.6481320590791</v>
          </cell>
        </row>
        <row r="50">
          <cell r="B50">
            <v>44561</v>
          </cell>
          <cell r="F50">
            <v>360.88036205271658</v>
          </cell>
          <cell r="G50">
            <v>323.03024418661096</v>
          </cell>
          <cell r="H50">
            <v>404.6481320590791</v>
          </cell>
        </row>
        <row r="51">
          <cell r="B51">
            <v>44560</v>
          </cell>
          <cell r="F51">
            <v>360.88036205271658</v>
          </cell>
          <cell r="G51">
            <v>322.87004223506</v>
          </cell>
          <cell r="H51">
            <v>407.86272806255431</v>
          </cell>
        </row>
        <row r="52">
          <cell r="B52">
            <v>44559</v>
          </cell>
          <cell r="F52">
            <v>362.59200291621727</v>
          </cell>
          <cell r="G52">
            <v>326.52555949317923</v>
          </cell>
          <cell r="H52">
            <v>417.76715899218073</v>
          </cell>
        </row>
        <row r="53">
          <cell r="B53">
            <v>44558</v>
          </cell>
          <cell r="F53">
            <v>362.08199047504178</v>
          </cell>
          <cell r="G53">
            <v>324.77304723530267</v>
          </cell>
          <cell r="H53">
            <v>403.73588184187656</v>
          </cell>
        </row>
        <row r="54">
          <cell r="B54">
            <v>44557</v>
          </cell>
          <cell r="F54">
            <v>356.04871004155927</v>
          </cell>
          <cell r="G54">
            <v>327.33627846011939</v>
          </cell>
          <cell r="H54">
            <v>410.20851433536063</v>
          </cell>
        </row>
        <row r="55">
          <cell r="B55">
            <v>44556</v>
          </cell>
          <cell r="F55">
            <v>354.98902534092952</v>
          </cell>
          <cell r="G55">
            <v>322.73411330647116</v>
          </cell>
          <cell r="H55">
            <v>410.16507384882709</v>
          </cell>
        </row>
        <row r="56">
          <cell r="B56">
            <v>44555</v>
          </cell>
          <cell r="F56">
            <v>354.98902534092952</v>
          </cell>
          <cell r="G56">
            <v>322.73411330647116</v>
          </cell>
          <cell r="H56">
            <v>410.16507384882709</v>
          </cell>
        </row>
        <row r="57">
          <cell r="B57">
            <v>44554</v>
          </cell>
          <cell r="F57">
            <v>354.98902534092952</v>
          </cell>
          <cell r="G57">
            <v>322.73411330647116</v>
          </cell>
          <cell r="H57">
            <v>410.16507384882709</v>
          </cell>
        </row>
        <row r="58">
          <cell r="B58">
            <v>44553</v>
          </cell>
          <cell r="F58">
            <v>355.97156808293136</v>
          </cell>
          <cell r="G58">
            <v>322.73411330647116</v>
          </cell>
          <cell r="H58">
            <v>410.16507384882709</v>
          </cell>
        </row>
        <row r="59">
          <cell r="B59">
            <v>44552</v>
          </cell>
          <cell r="F59">
            <v>351.57112096813921</v>
          </cell>
          <cell r="G59">
            <v>318.0736928977135</v>
          </cell>
          <cell r="H59">
            <v>392.44135534317985</v>
          </cell>
        </row>
        <row r="60">
          <cell r="B60">
            <v>44551</v>
          </cell>
          <cell r="F60">
            <v>349.37280544720164</v>
          </cell>
          <cell r="G60">
            <v>313.72396718287297</v>
          </cell>
          <cell r="H60">
            <v>393.91833188531717</v>
          </cell>
        </row>
        <row r="61">
          <cell r="B61">
            <v>44550</v>
          </cell>
          <cell r="F61">
            <v>349.21679597871531</v>
          </cell>
          <cell r="G61">
            <v>313.13656002718579</v>
          </cell>
          <cell r="H61">
            <v>356.34231103388362</v>
          </cell>
        </row>
        <row r="62">
          <cell r="B62">
            <v>44549</v>
          </cell>
          <cell r="F62">
            <v>354.82923065573692</v>
          </cell>
          <cell r="G62">
            <v>308.24797320258261</v>
          </cell>
          <cell r="H62">
            <v>360.55603822762816</v>
          </cell>
        </row>
        <row r="63">
          <cell r="B63">
            <v>44548</v>
          </cell>
          <cell r="F63">
            <v>354.82923065573692</v>
          </cell>
          <cell r="G63">
            <v>308.24797320258261</v>
          </cell>
          <cell r="H63">
            <v>360.55603822762816</v>
          </cell>
        </row>
        <row r="64">
          <cell r="B64">
            <v>44547</v>
          </cell>
          <cell r="F64">
            <v>354.82923065573692</v>
          </cell>
          <cell r="G64">
            <v>308.24797320258261</v>
          </cell>
          <cell r="H64">
            <v>360.55603822762816</v>
          </cell>
        </row>
        <row r="65">
          <cell r="B65">
            <v>44546</v>
          </cell>
          <cell r="F65">
            <v>353.91446487174261</v>
          </cell>
          <cell r="G65">
            <v>301.3155978445555</v>
          </cell>
          <cell r="H65">
            <v>359.20938314509124</v>
          </cell>
        </row>
        <row r="66">
          <cell r="B66">
            <v>44545</v>
          </cell>
          <cell r="F66">
            <v>351.33067421322011</v>
          </cell>
          <cell r="G66">
            <v>310.62672945288608</v>
          </cell>
          <cell r="H66">
            <v>372.11120764552561</v>
          </cell>
        </row>
        <row r="67">
          <cell r="B67">
            <v>44544</v>
          </cell>
          <cell r="F67">
            <v>350.10240962023136</v>
          </cell>
          <cell r="G67">
            <v>298.51449099470841</v>
          </cell>
          <cell r="H67">
            <v>361.81581233709824</v>
          </cell>
        </row>
        <row r="68">
          <cell r="B68">
            <v>44543</v>
          </cell>
          <cell r="F68">
            <v>351.61246740099466</v>
          </cell>
          <cell r="G68">
            <v>301.79134909461618</v>
          </cell>
          <cell r="H68">
            <v>366.42050390964374</v>
          </cell>
        </row>
        <row r="69">
          <cell r="B69">
            <v>44542</v>
          </cell>
          <cell r="F69">
            <v>356.16869713207257</v>
          </cell>
          <cell r="G69">
            <v>306.65566289625707</v>
          </cell>
          <cell r="H69">
            <v>371.58992180712426</v>
          </cell>
        </row>
        <row r="70">
          <cell r="B70">
            <v>44541</v>
          </cell>
          <cell r="F70">
            <v>356.16869713207257</v>
          </cell>
          <cell r="G70">
            <v>306.65566289625707</v>
          </cell>
          <cell r="H70">
            <v>371.58992180712426</v>
          </cell>
        </row>
        <row r="71">
          <cell r="B71">
            <v>44540</v>
          </cell>
          <cell r="F71">
            <v>356.16869713207257</v>
          </cell>
          <cell r="G71">
            <v>306.65566289625707</v>
          </cell>
          <cell r="H71">
            <v>371.58992180712426</v>
          </cell>
        </row>
        <row r="72">
          <cell r="B72">
            <v>44539</v>
          </cell>
          <cell r="F72">
            <v>356.60555350477915</v>
          </cell>
          <cell r="G72">
            <v>283.22734113306467</v>
          </cell>
          <cell r="H72">
            <v>368.94005212858389</v>
          </cell>
        </row>
        <row r="73">
          <cell r="B73">
            <v>44538</v>
          </cell>
          <cell r="F73">
            <v>353.29022879078826</v>
          </cell>
          <cell r="G73">
            <v>285.722607893587</v>
          </cell>
          <cell r="H73">
            <v>373.67506516072979</v>
          </cell>
        </row>
        <row r="74">
          <cell r="B74">
            <v>44537</v>
          </cell>
          <cell r="F74">
            <v>355.96769280391567</v>
          </cell>
          <cell r="G74">
            <v>286.61585513859893</v>
          </cell>
          <cell r="H74">
            <v>372.84969591659427</v>
          </cell>
        </row>
        <row r="75">
          <cell r="B75">
            <v>44536</v>
          </cell>
          <cell r="F75">
            <v>352.19274204588021</v>
          </cell>
          <cell r="G75">
            <v>274.27545026457597</v>
          </cell>
          <cell r="H75">
            <v>358.16681146828847</v>
          </cell>
        </row>
        <row r="76">
          <cell r="B76">
            <v>44535</v>
          </cell>
          <cell r="F76">
            <v>357.62420546915837</v>
          </cell>
          <cell r="G76">
            <v>270.94519151415113</v>
          </cell>
          <cell r="H76">
            <v>354.56125108601219</v>
          </cell>
        </row>
        <row r="77">
          <cell r="B77">
            <v>44534</v>
          </cell>
          <cell r="F77">
            <v>357.62420546915837</v>
          </cell>
          <cell r="G77">
            <v>270.94519151415113</v>
          </cell>
          <cell r="H77">
            <v>354.56125108601219</v>
          </cell>
        </row>
        <row r="78">
          <cell r="B78">
            <v>44533</v>
          </cell>
          <cell r="F78">
            <v>357.62420546915837</v>
          </cell>
          <cell r="G78">
            <v>270.94519151415113</v>
          </cell>
          <cell r="H78">
            <v>354.56125108601219</v>
          </cell>
        </row>
        <row r="79">
          <cell r="B79">
            <v>44532</v>
          </cell>
          <cell r="F79">
            <v>360.47726000163641</v>
          </cell>
          <cell r="G79">
            <v>268.19263071022863</v>
          </cell>
          <cell r="H79">
            <v>360.03475238922675</v>
          </cell>
        </row>
        <row r="80">
          <cell r="B80">
            <v>44531</v>
          </cell>
          <cell r="F80">
            <v>352.52347528867193</v>
          </cell>
          <cell r="G80">
            <v>269.31404437108597</v>
          </cell>
          <cell r="H80">
            <v>369.89574283231974</v>
          </cell>
        </row>
        <row r="81">
          <cell r="B81">
            <v>44530</v>
          </cell>
          <cell r="F81">
            <v>350.92111905489583</v>
          </cell>
          <cell r="G81">
            <v>268.78974707510071</v>
          </cell>
          <cell r="H81">
            <v>364.90008688097311</v>
          </cell>
        </row>
        <row r="82">
          <cell r="B82">
            <v>44529</v>
          </cell>
          <cell r="F82">
            <v>347.49449171279093</v>
          </cell>
          <cell r="G82">
            <v>273.96475557065878</v>
          </cell>
          <cell r="H82">
            <v>374.1963509991312</v>
          </cell>
        </row>
        <row r="83">
          <cell r="B83">
            <v>44528</v>
          </cell>
          <cell r="F83">
            <v>348.0863345868915</v>
          </cell>
          <cell r="G83">
            <v>265.3478324190495</v>
          </cell>
          <cell r="H83">
            <v>362.38053866203302</v>
          </cell>
        </row>
        <row r="84">
          <cell r="B84">
            <v>44527</v>
          </cell>
          <cell r="F84">
            <v>348.0863345868915</v>
          </cell>
          <cell r="G84">
            <v>265.3478324190495</v>
          </cell>
          <cell r="H84">
            <v>362.38053866203302</v>
          </cell>
        </row>
        <row r="85">
          <cell r="B85">
            <v>44526</v>
          </cell>
          <cell r="F85">
            <v>348.0863345868915</v>
          </cell>
          <cell r="G85">
            <v>265.3478324190495</v>
          </cell>
          <cell r="H85">
            <v>362.38053866203302</v>
          </cell>
        </row>
        <row r="86">
          <cell r="B86">
            <v>44525</v>
          </cell>
          <cell r="F86">
            <v>352.94757655508886</v>
          </cell>
          <cell r="G86">
            <v>271.24132239429099</v>
          </cell>
          <cell r="H86">
            <v>374.50043440486536</v>
          </cell>
        </row>
        <row r="87">
          <cell r="B87">
            <v>44524</v>
          </cell>
          <cell r="F87">
            <v>352.89678542304779</v>
          </cell>
          <cell r="G87">
            <v>271.24132239429099</v>
          </cell>
          <cell r="H87">
            <v>374.50043440486536</v>
          </cell>
        </row>
        <row r="88">
          <cell r="B88">
            <v>44523</v>
          </cell>
          <cell r="F88">
            <v>358.34438879576078</v>
          </cell>
          <cell r="G88">
            <v>269.48881013641437</v>
          </cell>
          <cell r="H88">
            <v>371.02519548218942</v>
          </cell>
        </row>
        <row r="89">
          <cell r="B89">
            <v>44522</v>
          </cell>
          <cell r="F89">
            <v>359.8678200296909</v>
          </cell>
          <cell r="G89">
            <v>268.59556289140249</v>
          </cell>
          <cell r="H89">
            <v>364.29192006950478</v>
          </cell>
        </row>
        <row r="90">
          <cell r="B90">
            <v>44521</v>
          </cell>
          <cell r="F90">
            <v>361.80547700737816</v>
          </cell>
          <cell r="G90">
            <v>276.09107238215449</v>
          </cell>
          <cell r="H90">
            <v>360.6863596872285</v>
          </cell>
        </row>
        <row r="91">
          <cell r="B91">
            <v>44520</v>
          </cell>
          <cell r="F91">
            <v>361.80547700737816</v>
          </cell>
          <cell r="G91">
            <v>276.09107238215449</v>
          </cell>
          <cell r="H91">
            <v>360.6863596872285</v>
          </cell>
        </row>
        <row r="92">
          <cell r="B92">
            <v>44519</v>
          </cell>
          <cell r="F92">
            <v>361.80547700737816</v>
          </cell>
          <cell r="G92">
            <v>276.09107238215449</v>
          </cell>
          <cell r="H92">
            <v>360.6863596872285</v>
          </cell>
        </row>
        <row r="93">
          <cell r="B93">
            <v>44518</v>
          </cell>
          <cell r="F93">
            <v>358.87824822899989</v>
          </cell>
          <cell r="G93">
            <v>279.04752657896012</v>
          </cell>
          <cell r="H93">
            <v>334.57862728062554</v>
          </cell>
        </row>
        <row r="94">
          <cell r="B94">
            <v>44517</v>
          </cell>
          <cell r="F94">
            <v>357.34053865783477</v>
          </cell>
          <cell r="G94">
            <v>276.5376960046604</v>
          </cell>
          <cell r="H94">
            <v>327.80191138140748</v>
          </cell>
        </row>
        <row r="95">
          <cell r="B95">
            <v>44516</v>
          </cell>
          <cell r="F95">
            <v>356.57010377625608</v>
          </cell>
          <cell r="G95">
            <v>276.11534540511673</v>
          </cell>
          <cell r="H95">
            <v>333.66637706342311</v>
          </cell>
        </row>
        <row r="96">
          <cell r="B96">
            <v>44515</v>
          </cell>
          <cell r="F96">
            <v>356.41279374612702</v>
          </cell>
          <cell r="G96">
            <v>274.65896402737997</v>
          </cell>
          <cell r="H96">
            <v>333.53605560382277</v>
          </cell>
        </row>
        <row r="97">
          <cell r="B97">
            <v>44514</v>
          </cell>
          <cell r="F97">
            <v>353.67287870797423</v>
          </cell>
          <cell r="G97">
            <v>273.42103985630371</v>
          </cell>
          <cell r="H97">
            <v>335.79496090356213</v>
          </cell>
        </row>
        <row r="98">
          <cell r="B98">
            <v>44513</v>
          </cell>
          <cell r="F98">
            <v>353.67287870797423</v>
          </cell>
          <cell r="G98">
            <v>273.42103985630371</v>
          </cell>
          <cell r="H98">
            <v>335.79496090356213</v>
          </cell>
        </row>
        <row r="99">
          <cell r="B99">
            <v>44512</v>
          </cell>
          <cell r="F99">
            <v>353.67287870797423</v>
          </cell>
          <cell r="G99">
            <v>273.42103985630371</v>
          </cell>
          <cell r="H99">
            <v>335.79496090356213</v>
          </cell>
        </row>
        <row r="100">
          <cell r="B100">
            <v>44511</v>
          </cell>
          <cell r="F100">
            <v>354.24466849650054</v>
          </cell>
          <cell r="G100">
            <v>269.62473906500315</v>
          </cell>
          <cell r="H100">
            <v>323.84882710686355</v>
          </cell>
        </row>
        <row r="101">
          <cell r="B101">
            <v>44510</v>
          </cell>
          <cell r="F101">
            <v>358.33149082258188</v>
          </cell>
          <cell r="G101">
            <v>266.40613622020487</v>
          </cell>
          <cell r="H101">
            <v>318.89661164205035</v>
          </cell>
        </row>
        <row r="102">
          <cell r="B102">
            <v>44509</v>
          </cell>
          <cell r="F102">
            <v>358.00369606154328</v>
          </cell>
          <cell r="G102">
            <v>270.78984416719254</v>
          </cell>
          <cell r="H102">
            <v>328.36663770634232</v>
          </cell>
        </row>
        <row r="103">
          <cell r="B103">
            <v>44508</v>
          </cell>
          <cell r="F103">
            <v>351.90641985955989</v>
          </cell>
          <cell r="G103">
            <v>271.348123695325</v>
          </cell>
          <cell r="H103">
            <v>323.89226759339704</v>
          </cell>
        </row>
        <row r="104">
          <cell r="B104">
            <v>44507</v>
          </cell>
          <cell r="F104">
            <v>350.71208984252462</v>
          </cell>
          <cell r="G104">
            <v>271.33355988154761</v>
          </cell>
          <cell r="H104">
            <v>316.76802780191139</v>
          </cell>
        </row>
        <row r="105">
          <cell r="B105">
            <v>44506</v>
          </cell>
          <cell r="F105">
            <v>350.71208984252462</v>
          </cell>
          <cell r="G105">
            <v>271.33355988154761</v>
          </cell>
          <cell r="H105">
            <v>316.76802780191139</v>
          </cell>
        </row>
        <row r="106">
          <cell r="B106">
            <v>44505</v>
          </cell>
          <cell r="F106">
            <v>350.71208984252462</v>
          </cell>
          <cell r="G106">
            <v>271.33355988154761</v>
          </cell>
          <cell r="H106">
            <v>316.76802780191139</v>
          </cell>
        </row>
        <row r="107">
          <cell r="B107">
            <v>44504</v>
          </cell>
          <cell r="F107">
            <v>342.54713428554794</v>
          </cell>
          <cell r="G107">
            <v>266.33331715131806</v>
          </cell>
          <cell r="H107">
            <v>313.8140747176368</v>
          </cell>
        </row>
        <row r="108">
          <cell r="B108">
            <v>44503</v>
          </cell>
          <cell r="F108">
            <v>346.47166375894568</v>
          </cell>
          <cell r="G108">
            <v>263.29918928103308</v>
          </cell>
          <cell r="H108">
            <v>309.51346655082534</v>
          </cell>
        </row>
        <row r="109">
          <cell r="B109">
            <v>44502</v>
          </cell>
          <cell r="F109">
            <v>345.37818363088314</v>
          </cell>
          <cell r="G109">
            <v>260.72624884703146</v>
          </cell>
          <cell r="H109">
            <v>307.38488271068638</v>
          </cell>
        </row>
        <row r="110">
          <cell r="B110">
            <v>44501</v>
          </cell>
          <cell r="F110">
            <v>344.65635445992473</v>
          </cell>
          <cell r="G110">
            <v>256.3473955046361</v>
          </cell>
          <cell r="H110">
            <v>307.12423979148571</v>
          </cell>
        </row>
        <row r="111">
          <cell r="B111">
            <v>44500</v>
          </cell>
          <cell r="F111">
            <v>344.96605214023077</v>
          </cell>
          <cell r="G111">
            <v>258.10476236710514</v>
          </cell>
          <cell r="H111">
            <v>300.17376194613377</v>
          </cell>
        </row>
        <row r="112">
          <cell r="B112">
            <v>44499</v>
          </cell>
          <cell r="F112">
            <v>344.96605214023077</v>
          </cell>
          <cell r="G112">
            <v>258.10476236710514</v>
          </cell>
          <cell r="H112">
            <v>300.17376194613377</v>
          </cell>
        </row>
        <row r="113">
          <cell r="B113">
            <v>44498</v>
          </cell>
          <cell r="F113">
            <v>344.96605214023077</v>
          </cell>
          <cell r="G113">
            <v>258.10476236710514</v>
          </cell>
          <cell r="H113">
            <v>300.17376194613377</v>
          </cell>
        </row>
        <row r="114">
          <cell r="B114">
            <v>44497</v>
          </cell>
          <cell r="F114">
            <v>348.30261907522748</v>
          </cell>
          <cell r="G114">
            <v>257.0852954026895</v>
          </cell>
          <cell r="H114">
            <v>302.25890529973935</v>
          </cell>
        </row>
        <row r="115">
          <cell r="B115">
            <v>44496</v>
          </cell>
          <cell r="F115">
            <v>350.51801376129674</v>
          </cell>
          <cell r="G115">
            <v>253.94922083596293</v>
          </cell>
          <cell r="H115">
            <v>296.43788010425715</v>
          </cell>
        </row>
        <row r="116">
          <cell r="B116">
            <v>44495</v>
          </cell>
          <cell r="F116">
            <v>350.6567678332475</v>
          </cell>
          <cell r="G116">
            <v>259.17277537744548</v>
          </cell>
          <cell r="H116">
            <v>299.47871416159859</v>
          </cell>
        </row>
        <row r="117">
          <cell r="B117">
            <v>44494</v>
          </cell>
          <cell r="F117">
            <v>346.09813037984611</v>
          </cell>
          <cell r="G117">
            <v>253.44434195834751</v>
          </cell>
          <cell r="H117">
            <v>298.69678540399656</v>
          </cell>
        </row>
        <row r="118">
          <cell r="B118">
            <v>44493</v>
          </cell>
          <cell r="F118">
            <v>350.24643701573399</v>
          </cell>
          <cell r="G118">
            <v>250.21117529977181</v>
          </cell>
          <cell r="H118">
            <v>293.26672458731542</v>
          </cell>
        </row>
        <row r="119">
          <cell r="B119">
            <v>44492</v>
          </cell>
          <cell r="F119">
            <v>350.24643701573399</v>
          </cell>
          <cell r="G119">
            <v>250.21117529977181</v>
          </cell>
          <cell r="H119">
            <v>293.26672458731542</v>
          </cell>
        </row>
        <row r="120">
          <cell r="B120">
            <v>44491</v>
          </cell>
          <cell r="F120">
            <v>350.24643701573399</v>
          </cell>
          <cell r="G120">
            <v>250.21117529977181</v>
          </cell>
          <cell r="H120">
            <v>293.26672458731542</v>
          </cell>
        </row>
        <row r="121">
          <cell r="B121">
            <v>44490</v>
          </cell>
          <cell r="F121">
            <v>347.8864931374888</v>
          </cell>
          <cell r="G121">
            <v>249.59949512112237</v>
          </cell>
          <cell r="H121">
            <v>298.17549956559515</v>
          </cell>
        </row>
        <row r="122">
          <cell r="B122">
            <v>44489</v>
          </cell>
          <cell r="F122">
            <v>349.04137311744068</v>
          </cell>
          <cell r="G122">
            <v>247.28870333511335</v>
          </cell>
          <cell r="H122">
            <v>296.56820156385749</v>
          </cell>
        </row>
        <row r="123">
          <cell r="B123">
            <v>44488</v>
          </cell>
          <cell r="F123">
            <v>350.35959007529181</v>
          </cell>
          <cell r="G123">
            <v>247.77416379435894</v>
          </cell>
          <cell r="H123">
            <v>293.52736750651604</v>
          </cell>
        </row>
        <row r="124">
          <cell r="B124">
            <v>44487</v>
          </cell>
          <cell r="F124">
            <v>342.88326614431406</v>
          </cell>
          <cell r="G124">
            <v>244.36137676586242</v>
          </cell>
          <cell r="H124">
            <v>292.18071242397917</v>
          </cell>
        </row>
        <row r="125">
          <cell r="B125">
            <v>44486</v>
          </cell>
          <cell r="F125">
            <v>349.18136306230167</v>
          </cell>
          <cell r="G125">
            <v>244.30797611534541</v>
          </cell>
          <cell r="H125">
            <v>294.00521285838408</v>
          </cell>
        </row>
        <row r="126">
          <cell r="B126">
            <v>44485</v>
          </cell>
          <cell r="F126">
            <v>349.18136306230167</v>
          </cell>
          <cell r="G126">
            <v>244.30797611534541</v>
          </cell>
          <cell r="H126">
            <v>294.00521285838408</v>
          </cell>
        </row>
        <row r="127">
          <cell r="B127">
            <v>44484</v>
          </cell>
          <cell r="F127">
            <v>349.18136306230167</v>
          </cell>
          <cell r="G127">
            <v>244.30797611534541</v>
          </cell>
          <cell r="H127">
            <v>294.00521285838408</v>
          </cell>
        </row>
        <row r="128">
          <cell r="B128">
            <v>44483</v>
          </cell>
          <cell r="F128">
            <v>332.54024882637026</v>
          </cell>
          <cell r="G128">
            <v>241.56512452060781</v>
          </cell>
          <cell r="H128">
            <v>294.52649869678538</v>
          </cell>
        </row>
        <row r="129">
          <cell r="B129">
            <v>44482</v>
          </cell>
          <cell r="F129">
            <v>331.23774278114166</v>
          </cell>
          <cell r="G129">
            <v>235.45317733870576</v>
          </cell>
          <cell r="H129">
            <v>288.35794960903559</v>
          </cell>
        </row>
        <row r="130">
          <cell r="B130">
            <v>44481</v>
          </cell>
          <cell r="F130">
            <v>332.46739056435479</v>
          </cell>
          <cell r="G130">
            <v>235.58425166270206</v>
          </cell>
          <cell r="H130">
            <v>289.83492615117285</v>
          </cell>
        </row>
        <row r="131">
          <cell r="B131">
            <v>44480</v>
          </cell>
          <cell r="F131">
            <v>333.21355014561482</v>
          </cell>
          <cell r="G131">
            <v>239.01160250497594</v>
          </cell>
          <cell r="H131">
            <v>300.69504778453518</v>
          </cell>
        </row>
        <row r="132">
          <cell r="B132">
            <v>44479</v>
          </cell>
          <cell r="F132">
            <v>333.21355014561482</v>
          </cell>
          <cell r="G132">
            <v>239.25918733919121</v>
          </cell>
          <cell r="H132">
            <v>304.60469157254562</v>
          </cell>
        </row>
        <row r="133">
          <cell r="B133">
            <v>44478</v>
          </cell>
          <cell r="F133">
            <v>333.21355014561482</v>
          </cell>
          <cell r="G133">
            <v>239.25918733919121</v>
          </cell>
          <cell r="H133">
            <v>304.60469157254562</v>
          </cell>
        </row>
        <row r="134">
          <cell r="B134">
            <v>44477</v>
          </cell>
          <cell r="F134">
            <v>333.21355014561482</v>
          </cell>
          <cell r="G134">
            <v>239.25918733919121</v>
          </cell>
          <cell r="H134">
            <v>304.60469157254562</v>
          </cell>
        </row>
        <row r="135">
          <cell r="B135">
            <v>44476</v>
          </cell>
          <cell r="F135">
            <v>337.0596436472398</v>
          </cell>
          <cell r="G135">
            <v>239.77863003058403</v>
          </cell>
          <cell r="H135">
            <v>306.42919200695047</v>
          </cell>
        </row>
        <row r="136">
          <cell r="B136">
            <v>44475</v>
          </cell>
          <cell r="F136">
            <v>332.04292496849871</v>
          </cell>
          <cell r="G136">
            <v>237.28336327006164</v>
          </cell>
          <cell r="H136">
            <v>303.82276281494353</v>
          </cell>
        </row>
        <row r="137">
          <cell r="B137">
            <v>44474</v>
          </cell>
          <cell r="F137">
            <v>333.43495946520397</v>
          </cell>
          <cell r="G137">
            <v>235.65221612699645</v>
          </cell>
          <cell r="H137">
            <v>306.25543006081671</v>
          </cell>
        </row>
        <row r="138">
          <cell r="B138">
            <v>44473</v>
          </cell>
          <cell r="F138">
            <v>333.17229944270952</v>
          </cell>
          <cell r="G138">
            <v>231.05490557794064</v>
          </cell>
          <cell r="H138">
            <v>306.77671589921812</v>
          </cell>
        </row>
        <row r="139">
          <cell r="B139">
            <v>44472</v>
          </cell>
          <cell r="F139">
            <v>336.4333202554717</v>
          </cell>
          <cell r="G139">
            <v>236.58915481334043</v>
          </cell>
          <cell r="H139">
            <v>308.38401390095567</v>
          </cell>
        </row>
        <row r="140">
          <cell r="B140">
            <v>44471</v>
          </cell>
          <cell r="F140">
            <v>336.4333202554717</v>
          </cell>
          <cell r="G140">
            <v>236.58915481334043</v>
          </cell>
          <cell r="H140">
            <v>308.38401390095567</v>
          </cell>
        </row>
        <row r="141">
          <cell r="B141">
            <v>44470</v>
          </cell>
          <cell r="F141">
            <v>336.4333202554717</v>
          </cell>
          <cell r="G141">
            <v>236.58915481334043</v>
          </cell>
          <cell r="H141">
            <v>308.38401390095567</v>
          </cell>
        </row>
        <row r="142">
          <cell r="B142">
            <v>44469</v>
          </cell>
          <cell r="F142">
            <v>339.26549963946661</v>
          </cell>
          <cell r="G142">
            <v>235.41434050196611</v>
          </cell>
          <cell r="H142">
            <v>308.34057341442229</v>
          </cell>
        </row>
        <row r="143">
          <cell r="B143">
            <v>44468</v>
          </cell>
          <cell r="F143">
            <v>338.65662401197227</v>
          </cell>
          <cell r="G143">
            <v>237.62318559153357</v>
          </cell>
          <cell r="H143">
            <v>311.20764552562991</v>
          </cell>
        </row>
        <row r="144">
          <cell r="B144">
            <v>44467</v>
          </cell>
          <cell r="F144">
            <v>347.81736747108721</v>
          </cell>
          <cell r="G144">
            <v>238.37079469877179</v>
          </cell>
          <cell r="H144">
            <v>317.54995655951348</v>
          </cell>
        </row>
        <row r="145">
          <cell r="B145">
            <v>44466</v>
          </cell>
          <cell r="F145">
            <v>353.32846918212852</v>
          </cell>
          <cell r="G145">
            <v>245.08471285013837</v>
          </cell>
          <cell r="H145">
            <v>326.58557775847095</v>
          </cell>
        </row>
        <row r="146">
          <cell r="B146">
            <v>44465</v>
          </cell>
          <cell r="F146">
            <v>350.7403305852917</v>
          </cell>
          <cell r="G146">
            <v>245.11869508228554</v>
          </cell>
          <cell r="H146">
            <v>321.67680278019117</v>
          </cell>
        </row>
        <row r="147">
          <cell r="B147">
            <v>44464</v>
          </cell>
          <cell r="F147">
            <v>350.7403305852917</v>
          </cell>
          <cell r="G147">
            <v>245.11869508228554</v>
          </cell>
          <cell r="H147">
            <v>321.67680278019117</v>
          </cell>
        </row>
        <row r="148">
          <cell r="B148">
            <v>44463</v>
          </cell>
          <cell r="F148">
            <v>350.7403305852917</v>
          </cell>
          <cell r="G148">
            <v>245.11869508228554</v>
          </cell>
          <cell r="H148">
            <v>321.67680278019117</v>
          </cell>
        </row>
        <row r="149">
          <cell r="B149">
            <v>44462</v>
          </cell>
          <cell r="F149">
            <v>344.68868868868896</v>
          </cell>
          <cell r="G149">
            <v>244.81770959755326</v>
          </cell>
          <cell r="H149">
            <v>321.63336229365768</v>
          </cell>
        </row>
        <row r="150">
          <cell r="B150">
            <v>44461</v>
          </cell>
          <cell r="F150">
            <v>343.36779481221612</v>
          </cell>
          <cell r="G150">
            <v>243.01665129375212</v>
          </cell>
          <cell r="H150">
            <v>321.32927888792352</v>
          </cell>
        </row>
        <row r="151">
          <cell r="B151">
            <v>44460</v>
          </cell>
          <cell r="F151">
            <v>351.31802823113821</v>
          </cell>
          <cell r="G151">
            <v>238.35623088499443</v>
          </cell>
          <cell r="H151">
            <v>313.37966985230236</v>
          </cell>
        </row>
        <row r="152">
          <cell r="B152">
            <v>44459</v>
          </cell>
          <cell r="F152">
            <v>351.31802823113821</v>
          </cell>
          <cell r="G152">
            <v>240.21554444390506</v>
          </cell>
          <cell r="H152">
            <v>314.37880104257169</v>
          </cell>
        </row>
        <row r="153">
          <cell r="B153">
            <v>44458</v>
          </cell>
          <cell r="F153">
            <v>351.31802823113821</v>
          </cell>
          <cell r="G153">
            <v>245.64299237827078</v>
          </cell>
          <cell r="H153">
            <v>322.76281494352736</v>
          </cell>
        </row>
        <row r="154">
          <cell r="B154">
            <v>44457</v>
          </cell>
          <cell r="F154">
            <v>351.31802823113821</v>
          </cell>
          <cell r="G154">
            <v>245.64299237827078</v>
          </cell>
          <cell r="H154">
            <v>322.76281494352736</v>
          </cell>
        </row>
        <row r="155">
          <cell r="B155">
            <v>44456</v>
          </cell>
          <cell r="F155">
            <v>351.31802823113821</v>
          </cell>
          <cell r="G155">
            <v>245.64299237827078</v>
          </cell>
          <cell r="H155">
            <v>322.76281494352736</v>
          </cell>
        </row>
        <row r="156">
          <cell r="B156">
            <v>44455</v>
          </cell>
          <cell r="F156">
            <v>351.71047747171065</v>
          </cell>
          <cell r="G156">
            <v>246.29836399825234</v>
          </cell>
          <cell r="H156">
            <v>324.19635099913114</v>
          </cell>
        </row>
        <row r="157">
          <cell r="B157">
            <v>44454</v>
          </cell>
          <cell r="F157">
            <v>356.93275848351004</v>
          </cell>
          <cell r="G157">
            <v>247.4586144958493</v>
          </cell>
          <cell r="H157">
            <v>320.67767158992177</v>
          </cell>
        </row>
        <row r="158">
          <cell r="B158">
            <v>44453</v>
          </cell>
          <cell r="F158">
            <v>360.070448663646</v>
          </cell>
          <cell r="G158">
            <v>243.63804068158649</v>
          </cell>
          <cell r="H158">
            <v>319.24413553431799</v>
          </cell>
        </row>
        <row r="159">
          <cell r="B159">
            <v>44452</v>
          </cell>
          <cell r="F159">
            <v>361.3757187120857</v>
          </cell>
          <cell r="G159">
            <v>242.2253507451818</v>
          </cell>
          <cell r="H159">
            <v>322.98001737619455</v>
          </cell>
        </row>
        <row r="160">
          <cell r="B160">
            <v>44451</v>
          </cell>
          <cell r="F160">
            <v>365.79284072143997</v>
          </cell>
          <cell r="G160">
            <v>241.83212777319287</v>
          </cell>
          <cell r="H160">
            <v>319.28757602085142</v>
          </cell>
        </row>
        <row r="161">
          <cell r="B161">
            <v>44450</v>
          </cell>
          <cell r="F161">
            <v>365.79284072143997</v>
          </cell>
          <cell r="G161">
            <v>241.83212777319287</v>
          </cell>
          <cell r="H161">
            <v>319.28757602085142</v>
          </cell>
        </row>
        <row r="162">
          <cell r="B162">
            <v>44449</v>
          </cell>
          <cell r="F162">
            <v>365.79284072143997</v>
          </cell>
          <cell r="G162">
            <v>241.83212777319287</v>
          </cell>
          <cell r="H162">
            <v>319.28757602085142</v>
          </cell>
        </row>
        <row r="163">
          <cell r="B163">
            <v>44448</v>
          </cell>
          <cell r="F163">
            <v>363.91016190437904</v>
          </cell>
          <cell r="G163">
            <v>239.56988203310837</v>
          </cell>
          <cell r="H163">
            <v>316.55082536924419</v>
          </cell>
        </row>
        <row r="164">
          <cell r="B164">
            <v>44447</v>
          </cell>
          <cell r="F164">
            <v>363.43731249166831</v>
          </cell>
          <cell r="G164">
            <v>240.00194184183695</v>
          </cell>
          <cell r="H164">
            <v>313.94439617723719</v>
          </cell>
        </row>
        <row r="165">
          <cell r="B165">
            <v>44446</v>
          </cell>
          <cell r="F165">
            <v>366.85838779956396</v>
          </cell>
          <cell r="G165">
            <v>241.07480945676971</v>
          </cell>
          <cell r="H165">
            <v>319.89574283231974</v>
          </cell>
        </row>
        <row r="166">
          <cell r="B166">
            <v>44445</v>
          </cell>
          <cell r="F166">
            <v>372.66194195107926</v>
          </cell>
          <cell r="G166">
            <v>241.60396135734743</v>
          </cell>
          <cell r="H166">
            <v>320.6342311033884</v>
          </cell>
        </row>
        <row r="167">
          <cell r="B167">
            <v>44444</v>
          </cell>
          <cell r="F167">
            <v>365.32985748764361</v>
          </cell>
          <cell r="G167">
            <v>241.60396135734743</v>
          </cell>
          <cell r="H167">
            <v>320.6342311033884</v>
          </cell>
        </row>
        <row r="168">
          <cell r="B168">
            <v>44443</v>
          </cell>
          <cell r="F168">
            <v>365.32985748764361</v>
          </cell>
          <cell r="G168">
            <v>241.60396135734743</v>
          </cell>
          <cell r="H168">
            <v>320.6342311033884</v>
          </cell>
        </row>
        <row r="169">
          <cell r="B169">
            <v>44442</v>
          </cell>
          <cell r="F169">
            <v>365.32985748764361</v>
          </cell>
          <cell r="G169">
            <v>241.60396135734743</v>
          </cell>
          <cell r="H169">
            <v>320.6342311033884</v>
          </cell>
        </row>
        <row r="170">
          <cell r="B170">
            <v>44441</v>
          </cell>
          <cell r="F170">
            <v>356.86825800310288</v>
          </cell>
          <cell r="G170">
            <v>238.79799990290786</v>
          </cell>
          <cell r="H170">
            <v>321.41615986099043</v>
          </cell>
        </row>
        <row r="171">
          <cell r="B171">
            <v>44440</v>
          </cell>
          <cell r="F171">
            <v>359.81060133113283</v>
          </cell>
          <cell r="G171">
            <v>239.40968008155735</v>
          </cell>
          <cell r="H171">
            <v>320.24326672458733</v>
          </cell>
        </row>
        <row r="172">
          <cell r="B172">
            <v>44439</v>
          </cell>
          <cell r="F172">
            <v>361.21869737290467</v>
          </cell>
          <cell r="G172">
            <v>241.37579494150199</v>
          </cell>
          <cell r="H172">
            <v>320.15638575152042</v>
          </cell>
        </row>
        <row r="173">
          <cell r="B173">
            <v>44438</v>
          </cell>
          <cell r="F173">
            <v>354.50088030953998</v>
          </cell>
          <cell r="G173">
            <v>242.19136851303458</v>
          </cell>
          <cell r="H173">
            <v>317.81059947871415</v>
          </cell>
        </row>
        <row r="174">
          <cell r="B174">
            <v>44437</v>
          </cell>
          <cell r="F174">
            <v>349.61250994044912</v>
          </cell>
          <cell r="G174">
            <v>240.75926015826008</v>
          </cell>
          <cell r="H174">
            <v>321.45960034752392</v>
          </cell>
        </row>
        <row r="175">
          <cell r="B175">
            <v>44436</v>
          </cell>
          <cell r="F175">
            <v>349.61250994044912</v>
          </cell>
          <cell r="G175">
            <v>240.75926015826008</v>
          </cell>
          <cell r="H175">
            <v>321.45960034752392</v>
          </cell>
        </row>
        <row r="176">
          <cell r="B176">
            <v>44435</v>
          </cell>
          <cell r="F176">
            <v>349.61250994044912</v>
          </cell>
          <cell r="G176">
            <v>240.75926015826008</v>
          </cell>
          <cell r="H176">
            <v>321.45960034752392</v>
          </cell>
        </row>
        <row r="177">
          <cell r="B177">
            <v>44434</v>
          </cell>
          <cell r="F177">
            <v>345.92468713400984</v>
          </cell>
          <cell r="G177">
            <v>235.80756347395507</v>
          </cell>
          <cell r="H177">
            <v>316.11642050390964</v>
          </cell>
        </row>
        <row r="178">
          <cell r="B178">
            <v>44433</v>
          </cell>
          <cell r="F178">
            <v>341.13527114315764</v>
          </cell>
          <cell r="G178">
            <v>234.67644060391279</v>
          </cell>
          <cell r="H178">
            <v>321.63336229365768</v>
          </cell>
        </row>
        <row r="179">
          <cell r="B179">
            <v>44432</v>
          </cell>
          <cell r="F179">
            <v>333.33939882625106</v>
          </cell>
          <cell r="G179">
            <v>233.71522889460655</v>
          </cell>
          <cell r="H179">
            <v>312.68462206776718</v>
          </cell>
        </row>
        <row r="180">
          <cell r="B180">
            <v>44431</v>
          </cell>
          <cell r="F180">
            <v>329.66568098509873</v>
          </cell>
          <cell r="G180">
            <v>234.21039856303702</v>
          </cell>
          <cell r="H180">
            <v>311.64205039096436</v>
          </cell>
        </row>
        <row r="181">
          <cell r="B181">
            <v>44430</v>
          </cell>
          <cell r="F181">
            <v>321.07455442099848</v>
          </cell>
          <cell r="G181">
            <v>230.67624641972913</v>
          </cell>
          <cell r="H181">
            <v>305.0825369244136</v>
          </cell>
        </row>
        <row r="182">
          <cell r="B182">
            <v>44429</v>
          </cell>
          <cell r="F182">
            <v>321.07455442099848</v>
          </cell>
          <cell r="G182">
            <v>230.67624641972913</v>
          </cell>
          <cell r="H182">
            <v>305.0825369244136</v>
          </cell>
        </row>
        <row r="183">
          <cell r="B183">
            <v>44428</v>
          </cell>
          <cell r="F183">
            <v>321.07455442099848</v>
          </cell>
          <cell r="G183">
            <v>230.67624641972913</v>
          </cell>
          <cell r="H183">
            <v>305.0825369244136</v>
          </cell>
        </row>
        <row r="184">
          <cell r="B184">
            <v>44427</v>
          </cell>
          <cell r="F184">
            <v>324.45008148793835</v>
          </cell>
          <cell r="G184">
            <v>229.8800912665663</v>
          </cell>
          <cell r="H184">
            <v>305.2997393570808</v>
          </cell>
        </row>
        <row r="185">
          <cell r="B185">
            <v>44426</v>
          </cell>
          <cell r="F185">
            <v>335.51456594934785</v>
          </cell>
          <cell r="G185">
            <v>227.66639157240641</v>
          </cell>
          <cell r="H185">
            <v>306.77671589921812</v>
          </cell>
        </row>
        <row r="186">
          <cell r="B186">
            <v>44425</v>
          </cell>
          <cell r="F186">
            <v>338.04992995247318</v>
          </cell>
          <cell r="G186">
            <v>232.38506723627358</v>
          </cell>
          <cell r="H186">
            <v>307.47176368375324</v>
          </cell>
        </row>
        <row r="187">
          <cell r="B187">
            <v>44424</v>
          </cell>
          <cell r="F187">
            <v>341.34750199569987</v>
          </cell>
          <cell r="G187">
            <v>236.97266857614446</v>
          </cell>
          <cell r="H187">
            <v>308.12337098175504</v>
          </cell>
        </row>
        <row r="188">
          <cell r="B188">
            <v>44423</v>
          </cell>
          <cell r="F188">
            <v>339.87488279418699</v>
          </cell>
          <cell r="G188">
            <v>236.01145686683819</v>
          </cell>
          <cell r="H188">
            <v>308.07993049522156</v>
          </cell>
        </row>
        <row r="189">
          <cell r="B189">
            <v>44422</v>
          </cell>
          <cell r="F189">
            <v>339.87488279418699</v>
          </cell>
          <cell r="G189">
            <v>236.01145686683819</v>
          </cell>
          <cell r="H189">
            <v>308.07993049522156</v>
          </cell>
        </row>
        <row r="190">
          <cell r="B190">
            <v>44421</v>
          </cell>
          <cell r="F190">
            <v>339.87488279418699</v>
          </cell>
          <cell r="G190">
            <v>236.01145686683819</v>
          </cell>
          <cell r="H190">
            <v>308.07993049522156</v>
          </cell>
        </row>
        <row r="191">
          <cell r="B191">
            <v>44420</v>
          </cell>
          <cell r="F191">
            <v>343.12060757241085</v>
          </cell>
          <cell r="G191">
            <v>235.08908199427157</v>
          </cell>
          <cell r="H191">
            <v>305.16941789748046</v>
          </cell>
        </row>
        <row r="192">
          <cell r="B192">
            <v>44419</v>
          </cell>
          <cell r="F192">
            <v>345.22662863370101</v>
          </cell>
          <cell r="G192">
            <v>234.74440506820719</v>
          </cell>
          <cell r="H192">
            <v>325.93397046046914</v>
          </cell>
        </row>
        <row r="193">
          <cell r="B193">
            <v>44418</v>
          </cell>
          <cell r="F193">
            <v>345.21572402645353</v>
          </cell>
          <cell r="G193">
            <v>234.11816107578036</v>
          </cell>
          <cell r="H193">
            <v>329.75673327541267</v>
          </cell>
        </row>
        <row r="194">
          <cell r="B194">
            <v>44417</v>
          </cell>
          <cell r="F194">
            <v>347.96453413436467</v>
          </cell>
          <cell r="G194">
            <v>235.29297538715471</v>
          </cell>
          <cell r="H194">
            <v>348.43614248479582</v>
          </cell>
        </row>
        <row r="195">
          <cell r="B195">
            <v>44416</v>
          </cell>
          <cell r="F195">
            <v>345.77444606577188</v>
          </cell>
          <cell r="G195">
            <v>235.6570707315889</v>
          </cell>
          <cell r="H195">
            <v>356.21198957428322</v>
          </cell>
        </row>
        <row r="196">
          <cell r="B196">
            <v>44415</v>
          </cell>
          <cell r="F196">
            <v>345.77444606577188</v>
          </cell>
          <cell r="G196">
            <v>235.6570707315889</v>
          </cell>
          <cell r="H196">
            <v>356.21198957428322</v>
          </cell>
        </row>
        <row r="197">
          <cell r="B197">
            <v>44414</v>
          </cell>
          <cell r="F197">
            <v>345.77444606577188</v>
          </cell>
          <cell r="G197">
            <v>235.6570707315889</v>
          </cell>
          <cell r="H197">
            <v>356.21198957428322</v>
          </cell>
        </row>
        <row r="198">
          <cell r="B198">
            <v>44413</v>
          </cell>
          <cell r="F198">
            <v>349.2650555585094</v>
          </cell>
          <cell r="G198">
            <v>236.74450216029905</v>
          </cell>
          <cell r="H198">
            <v>353.99652476107735</v>
          </cell>
        </row>
        <row r="199">
          <cell r="B199">
            <v>44412</v>
          </cell>
          <cell r="F199">
            <v>349.08899568821079</v>
          </cell>
          <cell r="G199">
            <v>236.80761202000099</v>
          </cell>
          <cell r="H199">
            <v>356.12510860121637</v>
          </cell>
        </row>
        <row r="200">
          <cell r="B200">
            <v>44411</v>
          </cell>
          <cell r="F200">
            <v>346.56986068341433</v>
          </cell>
          <cell r="G200">
            <v>236.31729695616292</v>
          </cell>
          <cell r="H200">
            <v>351.25977410947002</v>
          </cell>
        </row>
        <row r="201">
          <cell r="B201">
            <v>44410</v>
          </cell>
          <cell r="F201">
            <v>343.65674243216506</v>
          </cell>
          <cell r="G201">
            <v>235.29297538715471</v>
          </cell>
          <cell r="H201">
            <v>337.27193744569939</v>
          </cell>
        </row>
        <row r="202">
          <cell r="B202">
            <v>44409</v>
          </cell>
          <cell r="F202">
            <v>337.80786054327001</v>
          </cell>
          <cell r="G202">
            <v>235.64250691781155</v>
          </cell>
          <cell r="H202">
            <v>337.01129452649872</v>
          </cell>
        </row>
        <row r="203">
          <cell r="B203">
            <v>44408</v>
          </cell>
          <cell r="F203">
            <v>337.80786054327001</v>
          </cell>
          <cell r="G203">
            <v>235.64250691781155</v>
          </cell>
          <cell r="H203">
            <v>337.01129452649872</v>
          </cell>
        </row>
        <row r="204">
          <cell r="B204">
            <v>44407</v>
          </cell>
          <cell r="F204">
            <v>337.80786054327001</v>
          </cell>
          <cell r="G204">
            <v>235.64250691781155</v>
          </cell>
          <cell r="H204">
            <v>337.01129452649872</v>
          </cell>
        </row>
        <row r="205">
          <cell r="B205">
            <v>44406</v>
          </cell>
          <cell r="F205">
            <v>340.01775176664057</v>
          </cell>
          <cell r="G205">
            <v>235.01626292538472</v>
          </cell>
          <cell r="H205">
            <v>334.83927019982622</v>
          </cell>
        </row>
        <row r="206">
          <cell r="B206">
            <v>44405</v>
          </cell>
          <cell r="F206">
            <v>337.14093672213755</v>
          </cell>
          <cell r="G206">
            <v>231.88018835865819</v>
          </cell>
          <cell r="H206">
            <v>328.19287576020855</v>
          </cell>
        </row>
        <row r="207">
          <cell r="B207">
            <v>44404</v>
          </cell>
          <cell r="F207">
            <v>336.66274915159829</v>
          </cell>
          <cell r="G207">
            <v>230.76848390698578</v>
          </cell>
          <cell r="H207">
            <v>322.41529105125977</v>
          </cell>
        </row>
        <row r="208">
          <cell r="B208">
            <v>44403</v>
          </cell>
          <cell r="F208">
            <v>336.48265138992605</v>
          </cell>
          <cell r="G208">
            <v>234.10845186659546</v>
          </cell>
          <cell r="H208">
            <v>331.45091225021719</v>
          </cell>
        </row>
        <row r="209">
          <cell r="B209">
            <v>44402</v>
          </cell>
          <cell r="F209">
            <v>339.44389241339422</v>
          </cell>
          <cell r="G209">
            <v>234.55022088450895</v>
          </cell>
          <cell r="H209">
            <v>329.88705473501301</v>
          </cell>
        </row>
        <row r="210">
          <cell r="B210">
            <v>44401</v>
          </cell>
          <cell r="F210">
            <v>339.44389241339422</v>
          </cell>
          <cell r="G210">
            <v>234.55022088450895</v>
          </cell>
          <cell r="H210">
            <v>329.88705473501301</v>
          </cell>
        </row>
        <row r="211">
          <cell r="B211">
            <v>44400</v>
          </cell>
          <cell r="F211">
            <v>339.44389241339422</v>
          </cell>
          <cell r="G211">
            <v>234.55022088450895</v>
          </cell>
          <cell r="H211">
            <v>329.88705473501301</v>
          </cell>
        </row>
        <row r="212">
          <cell r="B212">
            <v>44399</v>
          </cell>
          <cell r="F212">
            <v>343.03549198646624</v>
          </cell>
          <cell r="G212">
            <v>231.23938055245395</v>
          </cell>
          <cell r="H212">
            <v>328.10599478714164</v>
          </cell>
        </row>
        <row r="213">
          <cell r="B213">
            <v>44398</v>
          </cell>
          <cell r="F213">
            <v>339.91675681560037</v>
          </cell>
          <cell r="G213">
            <v>232.54526918782466</v>
          </cell>
          <cell r="H213">
            <v>335.31711555169414</v>
          </cell>
        </row>
        <row r="214">
          <cell r="B214">
            <v>44397</v>
          </cell>
          <cell r="F214">
            <v>337.21913657333027</v>
          </cell>
          <cell r="G214">
            <v>227.4819165978931</v>
          </cell>
          <cell r="H214">
            <v>327.49782797567332</v>
          </cell>
        </row>
        <row r="215">
          <cell r="B215">
            <v>44396</v>
          </cell>
          <cell r="F215">
            <v>337.08993578679565</v>
          </cell>
          <cell r="G215">
            <v>226.06437205689596</v>
          </cell>
          <cell r="H215">
            <v>323.97914856646395</v>
          </cell>
        </row>
        <row r="216">
          <cell r="B216">
            <v>44395</v>
          </cell>
          <cell r="F216">
            <v>342.5346170055173</v>
          </cell>
          <cell r="G216">
            <v>227.22947715908538</v>
          </cell>
          <cell r="H216">
            <v>325.84708948740229</v>
          </cell>
        </row>
        <row r="217">
          <cell r="B217">
            <v>44394</v>
          </cell>
          <cell r="F217">
            <v>342.5346170055173</v>
          </cell>
          <cell r="G217">
            <v>227.22947715908538</v>
          </cell>
          <cell r="H217">
            <v>325.84708948740229</v>
          </cell>
        </row>
        <row r="218">
          <cell r="B218">
            <v>44393</v>
          </cell>
          <cell r="F218">
            <v>342.5346170055173</v>
          </cell>
          <cell r="G218">
            <v>227.22947715908538</v>
          </cell>
          <cell r="H218">
            <v>325.84708948740229</v>
          </cell>
        </row>
        <row r="219">
          <cell r="B219">
            <v>44392</v>
          </cell>
          <cell r="F219">
            <v>358.02058215851361</v>
          </cell>
          <cell r="G219">
            <v>231.72969561629202</v>
          </cell>
          <cell r="H219">
            <v>334.1442224152911</v>
          </cell>
        </row>
        <row r="220">
          <cell r="B220">
            <v>44391</v>
          </cell>
          <cell r="F220">
            <v>356.55561931172417</v>
          </cell>
          <cell r="G220">
            <v>233.79290256808582</v>
          </cell>
          <cell r="H220">
            <v>340.96437880104253</v>
          </cell>
        </row>
        <row r="221">
          <cell r="B221">
            <v>44390</v>
          </cell>
          <cell r="F221">
            <v>352.03350674490468</v>
          </cell>
          <cell r="G221">
            <v>234.96771687946017</v>
          </cell>
          <cell r="H221">
            <v>340.79061685490882</v>
          </cell>
        </row>
        <row r="222">
          <cell r="B222">
            <v>44389</v>
          </cell>
          <cell r="F222">
            <v>344.68831165393709</v>
          </cell>
          <cell r="G222">
            <v>235.81241807854747</v>
          </cell>
          <cell r="H222">
            <v>345.61251086012163</v>
          </cell>
        </row>
        <row r="223">
          <cell r="B223">
            <v>44388</v>
          </cell>
          <cell r="F223">
            <v>339.88201953569978</v>
          </cell>
          <cell r="G223">
            <v>233.10840332054954</v>
          </cell>
          <cell r="H223">
            <v>342.05039096437878</v>
          </cell>
        </row>
        <row r="224">
          <cell r="B224">
            <v>44387</v>
          </cell>
          <cell r="F224">
            <v>339.88201953569978</v>
          </cell>
          <cell r="G224">
            <v>233.10840332054954</v>
          </cell>
          <cell r="H224">
            <v>342.05039096437878</v>
          </cell>
        </row>
        <row r="225">
          <cell r="B225">
            <v>44386</v>
          </cell>
          <cell r="F225">
            <v>339.88201953569978</v>
          </cell>
          <cell r="G225">
            <v>233.10840332054954</v>
          </cell>
          <cell r="H225">
            <v>342.05039096437878</v>
          </cell>
        </row>
        <row r="226">
          <cell r="B226">
            <v>44385</v>
          </cell>
          <cell r="F226">
            <v>341.39164505357627</v>
          </cell>
          <cell r="G226">
            <v>228.40914607505218</v>
          </cell>
          <cell r="H226">
            <v>334.96959165942661</v>
          </cell>
        </row>
        <row r="227">
          <cell r="B227">
            <v>44384</v>
          </cell>
          <cell r="F227">
            <v>345.05996806464634</v>
          </cell>
          <cell r="G227">
            <v>227.94310403417643</v>
          </cell>
          <cell r="H227">
            <v>339.79148566463942</v>
          </cell>
        </row>
        <row r="228">
          <cell r="B228">
            <v>44383</v>
          </cell>
          <cell r="F228">
            <v>344.0578740328653</v>
          </cell>
          <cell r="G228">
            <v>229.7587261517549</v>
          </cell>
          <cell r="H228">
            <v>352.21546481320593</v>
          </cell>
        </row>
        <row r="229">
          <cell r="B229">
            <v>44382</v>
          </cell>
          <cell r="F229">
            <v>344.74531855031711</v>
          </cell>
          <cell r="G229">
            <v>227.27802320500996</v>
          </cell>
          <cell r="H229">
            <v>348.95742832319723</v>
          </cell>
        </row>
        <row r="230">
          <cell r="B230">
            <v>44381</v>
          </cell>
          <cell r="F230">
            <v>342.89697476648485</v>
          </cell>
          <cell r="G230">
            <v>227.27802320500996</v>
          </cell>
          <cell r="H230">
            <v>348.95742832319723</v>
          </cell>
        </row>
        <row r="231">
          <cell r="B231">
            <v>44380</v>
          </cell>
          <cell r="F231">
            <v>342.89697476648485</v>
          </cell>
          <cell r="G231">
            <v>227.27802320500996</v>
          </cell>
          <cell r="H231">
            <v>348.95742832319723</v>
          </cell>
        </row>
        <row r="232">
          <cell r="B232">
            <v>44379</v>
          </cell>
          <cell r="F232">
            <v>342.89697476648485</v>
          </cell>
          <cell r="G232">
            <v>227.27802320500996</v>
          </cell>
          <cell r="H232">
            <v>348.95742832319723</v>
          </cell>
        </row>
        <row r="233">
          <cell r="B233">
            <v>44378</v>
          </cell>
          <cell r="F233">
            <v>345.49074495709613</v>
          </cell>
          <cell r="G233">
            <v>227.99165008010095</v>
          </cell>
          <cell r="H233">
            <v>348.00173761946132</v>
          </cell>
        </row>
        <row r="234">
          <cell r="B234">
            <v>44377</v>
          </cell>
          <cell r="F234">
            <v>346.75532839470753</v>
          </cell>
          <cell r="G234">
            <v>231.48696538666923</v>
          </cell>
          <cell r="H234">
            <v>369.15725456125108</v>
          </cell>
        </row>
        <row r="235">
          <cell r="B235">
            <v>44376</v>
          </cell>
          <cell r="F235">
            <v>346.48224383323662</v>
          </cell>
          <cell r="G235">
            <v>231.63745812903537</v>
          </cell>
          <cell r="H235">
            <v>360.25195482189406</v>
          </cell>
        </row>
        <row r="236">
          <cell r="B236">
            <v>44375</v>
          </cell>
          <cell r="F236">
            <v>344.18667752001022</v>
          </cell>
          <cell r="G236">
            <v>229.52570513131704</v>
          </cell>
          <cell r="H236">
            <v>362.20677671589925</v>
          </cell>
        </row>
        <row r="237">
          <cell r="B237">
            <v>44374</v>
          </cell>
          <cell r="F237">
            <v>344.65880470397553</v>
          </cell>
          <cell r="G237">
            <v>224.37982426331376</v>
          </cell>
          <cell r="H237">
            <v>356.34231103388362</v>
          </cell>
        </row>
        <row r="238">
          <cell r="B238">
            <v>44373</v>
          </cell>
          <cell r="F238">
            <v>344.65880470397553</v>
          </cell>
          <cell r="G238">
            <v>224.37982426331376</v>
          </cell>
          <cell r="H238">
            <v>356.34231103388362</v>
          </cell>
        </row>
        <row r="239">
          <cell r="B239">
            <v>44372</v>
          </cell>
          <cell r="F239">
            <v>344.65880470397553</v>
          </cell>
          <cell r="G239">
            <v>224.37982426331376</v>
          </cell>
          <cell r="H239">
            <v>356.34231103388362</v>
          </cell>
        </row>
        <row r="240">
          <cell r="B240">
            <v>44371</v>
          </cell>
          <cell r="F240">
            <v>343.9030207340374</v>
          </cell>
          <cell r="G240">
            <v>228.1955434729841</v>
          </cell>
          <cell r="H240">
            <v>350.04344048653343</v>
          </cell>
        </row>
        <row r="241">
          <cell r="B241">
            <v>44370</v>
          </cell>
          <cell r="F241">
            <v>346.09817211905482</v>
          </cell>
          <cell r="G241">
            <v>226.5449779115491</v>
          </cell>
          <cell r="H241">
            <v>343.26672458731537</v>
          </cell>
        </row>
        <row r="242">
          <cell r="B242">
            <v>44369</v>
          </cell>
          <cell r="F242">
            <v>335.86137358239563</v>
          </cell>
          <cell r="G242">
            <v>225.47211029661631</v>
          </cell>
          <cell r="H242">
            <v>337.35881841876625</v>
          </cell>
        </row>
        <row r="243">
          <cell r="B243">
            <v>44368</v>
          </cell>
          <cell r="F243">
            <v>339.95681013281438</v>
          </cell>
          <cell r="G243">
            <v>225.54978397009563</v>
          </cell>
          <cell r="H243">
            <v>334.79582971329279</v>
          </cell>
        </row>
        <row r="244">
          <cell r="B244">
            <v>44367</v>
          </cell>
          <cell r="F244">
            <v>352.96027662261326</v>
          </cell>
          <cell r="G244">
            <v>225.01092286033301</v>
          </cell>
          <cell r="H244">
            <v>334.27454387489144</v>
          </cell>
        </row>
        <row r="245">
          <cell r="B245">
            <v>44366</v>
          </cell>
          <cell r="F245">
            <v>352.96027662261326</v>
          </cell>
          <cell r="G245">
            <v>225.01092286033301</v>
          </cell>
          <cell r="H245">
            <v>334.27454387489144</v>
          </cell>
        </row>
        <row r="246">
          <cell r="B246">
            <v>44365</v>
          </cell>
          <cell r="F246">
            <v>352.96027662261326</v>
          </cell>
          <cell r="G246">
            <v>225.01092286033301</v>
          </cell>
          <cell r="H246">
            <v>334.27454387489144</v>
          </cell>
        </row>
        <row r="247">
          <cell r="B247">
            <v>44364</v>
          </cell>
          <cell r="F247">
            <v>354.98453852793011</v>
          </cell>
          <cell r="G247">
            <v>228.73440458274672</v>
          </cell>
          <cell r="H247">
            <v>350.30408340573416</v>
          </cell>
        </row>
        <row r="248">
          <cell r="B248">
            <v>44363</v>
          </cell>
          <cell r="F248">
            <v>354.39875546105219</v>
          </cell>
          <cell r="G248">
            <v>226.10320889363561</v>
          </cell>
          <cell r="H248">
            <v>349.65247610773235</v>
          </cell>
        </row>
        <row r="249">
          <cell r="B249">
            <v>44362</v>
          </cell>
          <cell r="F249">
            <v>358.16060094801958</v>
          </cell>
          <cell r="G249">
            <v>228.52565658527112</v>
          </cell>
          <cell r="H249">
            <v>356.99391833188537</v>
          </cell>
        </row>
        <row r="250">
          <cell r="B250">
            <v>44361</v>
          </cell>
          <cell r="F250">
            <v>354.28717672485971</v>
          </cell>
          <cell r="G250">
            <v>230.99665032283121</v>
          </cell>
          <cell r="H250">
            <v>349.65247610773235</v>
          </cell>
        </row>
        <row r="251">
          <cell r="B251">
            <v>44360</v>
          </cell>
          <cell r="F251">
            <v>354.28717672485971</v>
          </cell>
          <cell r="G251">
            <v>228.50623816690128</v>
          </cell>
          <cell r="H251">
            <v>344.65682015638578</v>
          </cell>
        </row>
        <row r="252">
          <cell r="B252">
            <v>44359</v>
          </cell>
          <cell r="F252">
            <v>354.28717672485971</v>
          </cell>
          <cell r="G252">
            <v>228.50623816690128</v>
          </cell>
          <cell r="H252">
            <v>344.65682015638578</v>
          </cell>
        </row>
        <row r="253">
          <cell r="B253">
            <v>44358</v>
          </cell>
          <cell r="F253">
            <v>354.28717672485971</v>
          </cell>
          <cell r="G253">
            <v>228.50623816690128</v>
          </cell>
          <cell r="H253">
            <v>344.65682015638578</v>
          </cell>
        </row>
        <row r="254">
          <cell r="B254">
            <v>44357</v>
          </cell>
          <cell r="F254">
            <v>352.19034461814755</v>
          </cell>
          <cell r="G254">
            <v>227.52075343463275</v>
          </cell>
          <cell r="H254">
            <v>344.3961772371851</v>
          </cell>
        </row>
        <row r="255">
          <cell r="B255">
            <v>44356</v>
          </cell>
          <cell r="F255">
            <v>344.03698280557029</v>
          </cell>
          <cell r="G255">
            <v>225.21967085780861</v>
          </cell>
          <cell r="H255">
            <v>341.70286707211119</v>
          </cell>
        </row>
        <row r="256">
          <cell r="B256">
            <v>44355</v>
          </cell>
          <cell r="F256">
            <v>345.94809022524277</v>
          </cell>
          <cell r="G256">
            <v>225.02548667411037</v>
          </cell>
          <cell r="H256">
            <v>349.82623805386623</v>
          </cell>
        </row>
        <row r="257">
          <cell r="B257">
            <v>44354</v>
          </cell>
          <cell r="F257">
            <v>347.54700256883734</v>
          </cell>
          <cell r="G257">
            <v>225.14685178892177</v>
          </cell>
          <cell r="H257">
            <v>365.07384882710687</v>
          </cell>
        </row>
        <row r="258">
          <cell r="B258">
            <v>44353</v>
          </cell>
          <cell r="F258">
            <v>351.50281382486571</v>
          </cell>
          <cell r="G258">
            <v>230.59371814165735</v>
          </cell>
          <cell r="H258">
            <v>363.85751520417034</v>
          </cell>
        </row>
        <row r="259">
          <cell r="B259">
            <v>44352</v>
          </cell>
          <cell r="F259">
            <v>351.50281382486571</v>
          </cell>
          <cell r="G259">
            <v>230.59371814165735</v>
          </cell>
          <cell r="H259">
            <v>363.85751520417034</v>
          </cell>
        </row>
        <row r="260">
          <cell r="B260">
            <v>44351</v>
          </cell>
          <cell r="F260">
            <v>351.50281382486571</v>
          </cell>
          <cell r="G260">
            <v>230.59371814165735</v>
          </cell>
          <cell r="H260">
            <v>363.85751520417034</v>
          </cell>
        </row>
        <row r="261">
          <cell r="B261">
            <v>44350</v>
          </cell>
          <cell r="F261">
            <v>349.94581040421167</v>
          </cell>
          <cell r="G261">
            <v>225.64202145735229</v>
          </cell>
          <cell r="H261">
            <v>356.34231103388362</v>
          </cell>
        </row>
        <row r="262">
          <cell r="B262">
            <v>44349</v>
          </cell>
          <cell r="F262">
            <v>349.82584507306223</v>
          </cell>
          <cell r="G262">
            <v>229.97718335841543</v>
          </cell>
          <cell r="H262">
            <v>366.37706342311037</v>
          </cell>
        </row>
        <row r="263">
          <cell r="B263">
            <v>44348</v>
          </cell>
          <cell r="F263">
            <v>352.80103974116253</v>
          </cell>
          <cell r="G263">
            <v>227.34598766930435</v>
          </cell>
          <cell r="H263">
            <v>365.55169417897486</v>
          </cell>
        </row>
        <row r="264">
          <cell r="B264">
            <v>44347</v>
          </cell>
          <cell r="F264">
            <v>352.83810031303074</v>
          </cell>
          <cell r="G264">
            <v>229.2975387154716</v>
          </cell>
          <cell r="H264">
            <v>365.50825369244137</v>
          </cell>
        </row>
        <row r="265">
          <cell r="B265">
            <v>44346</v>
          </cell>
          <cell r="F265">
            <v>346.52292676627485</v>
          </cell>
          <cell r="G265">
            <v>229.2975387154716</v>
          </cell>
          <cell r="H265">
            <v>365.50825369244137</v>
          </cell>
        </row>
        <row r="266">
          <cell r="B266">
            <v>44345</v>
          </cell>
          <cell r="F266">
            <v>346.52292676627485</v>
          </cell>
          <cell r="G266">
            <v>229.2975387154716</v>
          </cell>
          <cell r="H266">
            <v>365.50825369244137</v>
          </cell>
        </row>
        <row r="267">
          <cell r="B267">
            <v>44344</v>
          </cell>
          <cell r="F267">
            <v>346.52292676627485</v>
          </cell>
          <cell r="G267">
            <v>229.2975387154716</v>
          </cell>
          <cell r="H267">
            <v>365.50825369244137</v>
          </cell>
        </row>
        <row r="268">
          <cell r="B268">
            <v>44343</v>
          </cell>
          <cell r="F268">
            <v>340.45986538075232</v>
          </cell>
          <cell r="G268">
            <v>227.04014757997962</v>
          </cell>
          <cell r="H268">
            <v>364.59600347523894</v>
          </cell>
        </row>
        <row r="269">
          <cell r="B269">
            <v>44342</v>
          </cell>
          <cell r="F269">
            <v>342.70777599429329</v>
          </cell>
          <cell r="G269">
            <v>223.54968687800377</v>
          </cell>
          <cell r="H269">
            <v>357.25456125108599</v>
          </cell>
        </row>
        <row r="270">
          <cell r="B270">
            <v>44341</v>
          </cell>
          <cell r="F270">
            <v>340.0665208073421</v>
          </cell>
          <cell r="G270">
            <v>223.08849944172047</v>
          </cell>
          <cell r="H270">
            <v>352.86707211120768</v>
          </cell>
        </row>
        <row r="271">
          <cell r="B271">
            <v>44340</v>
          </cell>
          <cell r="F271">
            <v>330.81873239409879</v>
          </cell>
          <cell r="G271">
            <v>222.91858828098449</v>
          </cell>
          <cell r="H271">
            <v>360.12163336229366</v>
          </cell>
        </row>
        <row r="272">
          <cell r="B272">
            <v>44339</v>
          </cell>
          <cell r="F272">
            <v>333.36086601348904</v>
          </cell>
          <cell r="G272">
            <v>219.05917762998203</v>
          </cell>
          <cell r="H272">
            <v>350.65160729800175</v>
          </cell>
        </row>
        <row r="273">
          <cell r="B273">
            <v>44338</v>
          </cell>
          <cell r="F273">
            <v>333.36086601348904</v>
          </cell>
          <cell r="G273">
            <v>219.05917762998203</v>
          </cell>
          <cell r="H273">
            <v>350.65160729800175</v>
          </cell>
        </row>
        <row r="274">
          <cell r="B274">
            <v>44337</v>
          </cell>
          <cell r="F274">
            <v>333.36086601348904</v>
          </cell>
          <cell r="G274">
            <v>219.05917762998203</v>
          </cell>
          <cell r="H274">
            <v>350.65160729800175</v>
          </cell>
        </row>
        <row r="275">
          <cell r="B275">
            <v>44336</v>
          </cell>
          <cell r="F275">
            <v>330.08266828901719</v>
          </cell>
          <cell r="G275">
            <v>220.88450895674546</v>
          </cell>
          <cell r="H275">
            <v>352.43266724587312</v>
          </cell>
        </row>
        <row r="276">
          <cell r="B276">
            <v>44335</v>
          </cell>
          <cell r="F276">
            <v>329.55195083607214</v>
          </cell>
          <cell r="G276">
            <v>214.43759405796396</v>
          </cell>
          <cell r="H276">
            <v>347.21980886185929</v>
          </cell>
        </row>
        <row r="277">
          <cell r="B277">
            <v>44334</v>
          </cell>
          <cell r="F277">
            <v>332.91005291005348</v>
          </cell>
          <cell r="G277">
            <v>210.56361959318414</v>
          </cell>
          <cell r="H277">
            <v>342.65855777584704</v>
          </cell>
        </row>
        <row r="278">
          <cell r="B278">
            <v>44333</v>
          </cell>
          <cell r="F278">
            <v>317.79554751229313</v>
          </cell>
          <cell r="G278">
            <v>213.5734744405068</v>
          </cell>
          <cell r="H278">
            <v>349.21807124239791</v>
          </cell>
        </row>
        <row r="279">
          <cell r="B279">
            <v>44332</v>
          </cell>
          <cell r="F279">
            <v>324.08713221003171</v>
          </cell>
          <cell r="G279">
            <v>214.38904801203938</v>
          </cell>
          <cell r="H279">
            <v>346.22067767158995</v>
          </cell>
        </row>
        <row r="280">
          <cell r="B280">
            <v>44331</v>
          </cell>
          <cell r="F280">
            <v>324.08713221003171</v>
          </cell>
          <cell r="G280">
            <v>214.38904801203938</v>
          </cell>
          <cell r="H280">
            <v>346.22067767158995</v>
          </cell>
        </row>
        <row r="281">
          <cell r="B281">
            <v>44330</v>
          </cell>
          <cell r="F281">
            <v>324.08713221003171</v>
          </cell>
          <cell r="G281">
            <v>214.38904801203938</v>
          </cell>
          <cell r="H281">
            <v>346.22067767158995</v>
          </cell>
        </row>
        <row r="282">
          <cell r="B282">
            <v>44329</v>
          </cell>
          <cell r="F282">
            <v>318.46233437085658</v>
          </cell>
          <cell r="G282">
            <v>209.03927375115296</v>
          </cell>
          <cell r="H282">
            <v>335.31711555169414</v>
          </cell>
        </row>
        <row r="283">
          <cell r="B283">
            <v>44328</v>
          </cell>
          <cell r="F283">
            <v>325.08848867424211</v>
          </cell>
          <cell r="G283">
            <v>205.04878877615417</v>
          </cell>
          <cell r="H283">
            <v>333.62293657688963</v>
          </cell>
        </row>
        <row r="284">
          <cell r="B284">
            <v>44327</v>
          </cell>
          <cell r="F284">
            <v>332.51839274965175</v>
          </cell>
          <cell r="G284">
            <v>213.63658430020874</v>
          </cell>
          <cell r="H284">
            <v>350.47784535186798</v>
          </cell>
        </row>
        <row r="285">
          <cell r="B285">
            <v>44326</v>
          </cell>
          <cell r="F285">
            <v>345.21269345625319</v>
          </cell>
          <cell r="G285">
            <v>211.70930627700372</v>
          </cell>
          <cell r="H285">
            <v>351.21633362293653</v>
          </cell>
        </row>
        <row r="286">
          <cell r="B286">
            <v>44325</v>
          </cell>
          <cell r="F286">
            <v>350.46758495666825</v>
          </cell>
          <cell r="G286">
            <v>219.70969464537112</v>
          </cell>
          <cell r="H286">
            <v>373.50130321459602</v>
          </cell>
        </row>
        <row r="287">
          <cell r="B287">
            <v>44324</v>
          </cell>
          <cell r="F287">
            <v>350.46758495666825</v>
          </cell>
          <cell r="G287">
            <v>219.70969464537112</v>
          </cell>
          <cell r="H287">
            <v>373.50130321459602</v>
          </cell>
        </row>
        <row r="288">
          <cell r="B288">
            <v>44323</v>
          </cell>
          <cell r="F288">
            <v>350.46758495666825</v>
          </cell>
          <cell r="G288">
            <v>219.70969464537112</v>
          </cell>
          <cell r="H288">
            <v>373.50130321459602</v>
          </cell>
        </row>
        <row r="289">
          <cell r="B289">
            <v>44322</v>
          </cell>
          <cell r="F289">
            <v>341.61576686261827</v>
          </cell>
          <cell r="G289">
            <v>217.76785280838874</v>
          </cell>
          <cell r="H289">
            <v>368.37532580364899</v>
          </cell>
        </row>
        <row r="290">
          <cell r="B290">
            <v>44321</v>
          </cell>
          <cell r="F290">
            <v>340.47619047618997</v>
          </cell>
          <cell r="G290">
            <v>215.46191562697214</v>
          </cell>
          <cell r="H290">
            <v>369.89574283231974</v>
          </cell>
        </row>
        <row r="291">
          <cell r="B291">
            <v>44320</v>
          </cell>
          <cell r="F291">
            <v>343.88212964240432</v>
          </cell>
          <cell r="G291">
            <v>215.80659255303652</v>
          </cell>
          <cell r="H291">
            <v>366.68114682884448</v>
          </cell>
        </row>
        <row r="292">
          <cell r="B292">
            <v>44319</v>
          </cell>
          <cell r="F292">
            <v>342.73724778239557</v>
          </cell>
          <cell r="G292">
            <v>218.52517112481186</v>
          </cell>
          <cell r="H292">
            <v>369.33101650738485</v>
          </cell>
        </row>
        <row r="293">
          <cell r="B293">
            <v>44318</v>
          </cell>
          <cell r="F293">
            <v>350.38474512914496</v>
          </cell>
          <cell r="G293">
            <v>221.46706150784019</v>
          </cell>
          <cell r="H293">
            <v>373.89226759339704</v>
          </cell>
        </row>
        <row r="294">
          <cell r="B294">
            <v>44317</v>
          </cell>
          <cell r="F294">
            <v>350.38474512914496</v>
          </cell>
          <cell r="G294">
            <v>221.46706150784019</v>
          </cell>
          <cell r="H294">
            <v>373.89226759339704</v>
          </cell>
        </row>
        <row r="295">
          <cell r="B295">
            <v>44316</v>
          </cell>
          <cell r="F295">
            <v>350.38474512914496</v>
          </cell>
          <cell r="G295">
            <v>221.46706150784019</v>
          </cell>
          <cell r="H295">
            <v>373.89226759339704</v>
          </cell>
        </row>
        <row r="296">
          <cell r="B296">
            <v>44315</v>
          </cell>
          <cell r="F296">
            <v>350.38474512914496</v>
          </cell>
          <cell r="G296">
            <v>226.36535754162824</v>
          </cell>
          <cell r="H296">
            <v>382.53692441355349</v>
          </cell>
        </row>
        <row r="297">
          <cell r="B297">
            <v>44314</v>
          </cell>
          <cell r="F297">
            <v>351.5526942795762</v>
          </cell>
          <cell r="G297">
            <v>222.92344288557695</v>
          </cell>
          <cell r="H297">
            <v>373.71850564726327</v>
          </cell>
        </row>
        <row r="298">
          <cell r="B298">
            <v>44313</v>
          </cell>
          <cell r="F298">
            <v>355.40793044374681</v>
          </cell>
          <cell r="G298">
            <v>226.39448516918299</v>
          </cell>
          <cell r="H298">
            <v>388.61859252823632</v>
          </cell>
        </row>
        <row r="299">
          <cell r="B299">
            <v>44312</v>
          </cell>
          <cell r="F299">
            <v>356.50605080079879</v>
          </cell>
          <cell r="G299">
            <v>229.06451769503374</v>
          </cell>
          <cell r="H299">
            <v>381.58123370981758</v>
          </cell>
        </row>
        <row r="300">
          <cell r="B300">
            <v>44311</v>
          </cell>
          <cell r="F300">
            <v>349.34545704380241</v>
          </cell>
          <cell r="G300">
            <v>226.28768386814895</v>
          </cell>
          <cell r="H300">
            <v>373.71850564726327</v>
          </cell>
        </row>
        <row r="301">
          <cell r="B301">
            <v>44310</v>
          </cell>
          <cell r="F301">
            <v>349.34545704380241</v>
          </cell>
          <cell r="G301">
            <v>226.28768386814895</v>
          </cell>
          <cell r="H301">
            <v>373.71850564726327</v>
          </cell>
        </row>
        <row r="302">
          <cell r="B302">
            <v>44309</v>
          </cell>
          <cell r="F302">
            <v>349.34545704380241</v>
          </cell>
          <cell r="G302">
            <v>226.28768386814895</v>
          </cell>
          <cell r="H302">
            <v>373.71850564726327</v>
          </cell>
        </row>
        <row r="303">
          <cell r="B303">
            <v>44308</v>
          </cell>
          <cell r="F303">
            <v>342.30266675257127</v>
          </cell>
          <cell r="G303">
            <v>220.93790960726247</v>
          </cell>
          <cell r="H303">
            <v>367.98436142484792</v>
          </cell>
        </row>
        <row r="304">
          <cell r="B304">
            <v>44307</v>
          </cell>
          <cell r="F304">
            <v>342.82082852799493</v>
          </cell>
          <cell r="G304">
            <v>223.20986455653187</v>
          </cell>
          <cell r="H304">
            <v>388.74891398783666</v>
          </cell>
        </row>
        <row r="305">
          <cell r="B305">
            <v>44306</v>
          </cell>
          <cell r="F305">
            <v>348.36369577218358</v>
          </cell>
          <cell r="G305">
            <v>221.98164959464052</v>
          </cell>
          <cell r="H305">
            <v>380.01737619461341</v>
          </cell>
        </row>
        <row r="306">
          <cell r="B306">
            <v>44305</v>
          </cell>
          <cell r="F306">
            <v>348.64471468345613</v>
          </cell>
          <cell r="G306">
            <v>224.2827321714646</v>
          </cell>
          <cell r="H306">
            <v>384.05734144222413</v>
          </cell>
        </row>
        <row r="307">
          <cell r="B307">
            <v>44304</v>
          </cell>
          <cell r="F307">
            <v>350.26436350121497</v>
          </cell>
          <cell r="G307">
            <v>232.43361328219817</v>
          </cell>
          <cell r="H307">
            <v>393.8314509122502</v>
          </cell>
        </row>
        <row r="308">
          <cell r="B308">
            <v>44303</v>
          </cell>
          <cell r="F308">
            <v>350.26436350121497</v>
          </cell>
          <cell r="G308">
            <v>232.43361328219817</v>
          </cell>
          <cell r="H308">
            <v>393.8314509122502</v>
          </cell>
        </row>
        <row r="309">
          <cell r="B309">
            <v>44302</v>
          </cell>
          <cell r="F309">
            <v>350.26436350121497</v>
          </cell>
          <cell r="G309">
            <v>232.43361328219817</v>
          </cell>
          <cell r="H309">
            <v>393.8314509122502</v>
          </cell>
        </row>
        <row r="310">
          <cell r="B310">
            <v>44301</v>
          </cell>
          <cell r="F310">
            <v>355.58281587309062</v>
          </cell>
          <cell r="G310">
            <v>233.02102043788531</v>
          </cell>
          <cell r="H310">
            <v>392.13727193744569</v>
          </cell>
        </row>
        <row r="311">
          <cell r="B311">
            <v>44300</v>
          </cell>
          <cell r="F311">
            <v>350.0412717388204</v>
          </cell>
          <cell r="G311">
            <v>231.71027719792221</v>
          </cell>
          <cell r="H311">
            <v>393.87489139878369</v>
          </cell>
        </row>
        <row r="312">
          <cell r="B312">
            <v>44299</v>
          </cell>
          <cell r="F312">
            <v>346.42730962559239</v>
          </cell>
          <cell r="G312">
            <v>235.42890431574347</v>
          </cell>
          <cell r="H312">
            <v>400.30408340573416</v>
          </cell>
        </row>
        <row r="313">
          <cell r="B313">
            <v>44298</v>
          </cell>
          <cell r="F313">
            <v>346.08620596945639</v>
          </cell>
          <cell r="G313">
            <v>234.80266032331664</v>
          </cell>
          <cell r="H313">
            <v>415.24761077324069</v>
          </cell>
        </row>
        <row r="314">
          <cell r="B314">
            <v>44297</v>
          </cell>
          <cell r="F314">
            <v>348.88507903767101</v>
          </cell>
          <cell r="G314">
            <v>235.49201417544538</v>
          </cell>
          <cell r="H314">
            <v>413.98783666377062</v>
          </cell>
        </row>
        <row r="315">
          <cell r="B315">
            <v>44296</v>
          </cell>
          <cell r="F315">
            <v>348.88507903767101</v>
          </cell>
          <cell r="G315">
            <v>235.49201417544538</v>
          </cell>
          <cell r="H315">
            <v>413.98783666377062</v>
          </cell>
        </row>
        <row r="316">
          <cell r="B316">
            <v>44295</v>
          </cell>
          <cell r="F316">
            <v>348.88507903767101</v>
          </cell>
          <cell r="G316">
            <v>235.49201417544538</v>
          </cell>
          <cell r="H316">
            <v>413.98783666377062</v>
          </cell>
        </row>
        <row r="317">
          <cell r="B317">
            <v>44294</v>
          </cell>
          <cell r="F317">
            <v>350.76122991631809</v>
          </cell>
          <cell r="G317">
            <v>235.68134375455122</v>
          </cell>
          <cell r="H317">
            <v>413.94439617723719</v>
          </cell>
        </row>
        <row r="318">
          <cell r="B318">
            <v>44293</v>
          </cell>
          <cell r="F318">
            <v>348.71343189448368</v>
          </cell>
          <cell r="G318">
            <v>234.21525316762944</v>
          </cell>
          <cell r="H318">
            <v>408.16681146828842</v>
          </cell>
        </row>
        <row r="319">
          <cell r="B319">
            <v>44292</v>
          </cell>
          <cell r="F319">
            <v>348.98323900926374</v>
          </cell>
          <cell r="G319">
            <v>234.89975241516578</v>
          </cell>
          <cell r="H319">
            <v>406.12510860121631</v>
          </cell>
        </row>
        <row r="320">
          <cell r="B320">
            <v>44291</v>
          </cell>
          <cell r="F320">
            <v>343.88635923207704</v>
          </cell>
          <cell r="G320">
            <v>237.13772513228798</v>
          </cell>
          <cell r="H320">
            <v>407.25456125108605</v>
          </cell>
        </row>
        <row r="321">
          <cell r="B321">
            <v>44290</v>
          </cell>
          <cell r="F321">
            <v>343.88635923207704</v>
          </cell>
          <cell r="G321">
            <v>231.05490557794064</v>
          </cell>
          <cell r="H321">
            <v>401.43353605560384</v>
          </cell>
        </row>
        <row r="322">
          <cell r="B322">
            <v>44289</v>
          </cell>
          <cell r="F322">
            <v>343.88635923207704</v>
          </cell>
          <cell r="G322">
            <v>231.05490557794064</v>
          </cell>
          <cell r="H322">
            <v>401.43353605560384</v>
          </cell>
        </row>
        <row r="323">
          <cell r="B323">
            <v>44288</v>
          </cell>
          <cell r="F323">
            <v>343.88635923207704</v>
          </cell>
          <cell r="G323">
            <v>231.05490557794064</v>
          </cell>
          <cell r="H323">
            <v>401.43353605560384</v>
          </cell>
        </row>
        <row r="324">
          <cell r="B324">
            <v>44287</v>
          </cell>
          <cell r="F324">
            <v>343.88635923207704</v>
          </cell>
          <cell r="G324">
            <v>231.05490557794064</v>
          </cell>
          <cell r="H324">
            <v>401.43353605560384</v>
          </cell>
        </row>
        <row r="325">
          <cell r="B325">
            <v>44286</v>
          </cell>
          <cell r="F325">
            <v>335.70678931739252</v>
          </cell>
          <cell r="G325">
            <v>225.08859653381231</v>
          </cell>
          <cell r="H325">
            <v>383.18853171155513</v>
          </cell>
        </row>
        <row r="326">
          <cell r="B326">
            <v>44285</v>
          </cell>
          <cell r="F326">
            <v>340.75494291283724</v>
          </cell>
          <cell r="G326">
            <v>221.44764308947038</v>
          </cell>
          <cell r="H326">
            <v>375.9339704604692</v>
          </cell>
        </row>
        <row r="327">
          <cell r="B327">
            <v>44284</v>
          </cell>
          <cell r="F327">
            <v>341.752604676987</v>
          </cell>
          <cell r="G327">
            <v>229.43832224865287</v>
          </cell>
          <cell r="H327">
            <v>376.15117289313645</v>
          </cell>
        </row>
        <row r="328">
          <cell r="B328">
            <v>44283</v>
          </cell>
          <cell r="F328">
            <v>335.55854494949671</v>
          </cell>
          <cell r="G328">
            <v>234.01135977474635</v>
          </cell>
          <cell r="H328">
            <v>382.23284100781927</v>
          </cell>
        </row>
        <row r="329">
          <cell r="B329">
            <v>44282</v>
          </cell>
          <cell r="F329">
            <v>335.55854494949671</v>
          </cell>
          <cell r="G329">
            <v>234.01135977474635</v>
          </cell>
          <cell r="H329">
            <v>382.23284100781927</v>
          </cell>
        </row>
        <row r="330">
          <cell r="B330">
            <v>44281</v>
          </cell>
          <cell r="F330">
            <v>335.55854494949671</v>
          </cell>
          <cell r="G330">
            <v>234.01135977474635</v>
          </cell>
          <cell r="H330">
            <v>382.23284100781927</v>
          </cell>
        </row>
        <row r="331">
          <cell r="B331">
            <v>44280</v>
          </cell>
          <cell r="F331">
            <v>326.92452434859291</v>
          </cell>
          <cell r="G331">
            <v>224.13709403369094</v>
          </cell>
          <cell r="H331">
            <v>365.29105125977412</v>
          </cell>
        </row>
        <row r="332">
          <cell r="B332">
            <v>44279</v>
          </cell>
          <cell r="F332">
            <v>328.89553027149952</v>
          </cell>
          <cell r="G332">
            <v>221.98650419923297</v>
          </cell>
          <cell r="H332">
            <v>360.55603822762816</v>
          </cell>
        </row>
        <row r="333">
          <cell r="B333">
            <v>44278</v>
          </cell>
          <cell r="F333">
            <v>339.29261159852143</v>
          </cell>
          <cell r="G333">
            <v>225.28278071751055</v>
          </cell>
          <cell r="H333">
            <v>370.98175499565599</v>
          </cell>
        </row>
        <row r="334">
          <cell r="B334">
            <v>44277</v>
          </cell>
          <cell r="F334">
            <v>339.91497550819525</v>
          </cell>
          <cell r="G334">
            <v>230.7296470702461</v>
          </cell>
          <cell r="H334">
            <v>396.52476107732406</v>
          </cell>
        </row>
        <row r="335">
          <cell r="B335">
            <v>44276</v>
          </cell>
          <cell r="F335">
            <v>338.68501016038476</v>
          </cell>
          <cell r="G335">
            <v>230.33156949366474</v>
          </cell>
          <cell r="H335">
            <v>393.17984361424851</v>
          </cell>
        </row>
        <row r="336">
          <cell r="B336">
            <v>44275</v>
          </cell>
          <cell r="F336">
            <v>338.68501016038476</v>
          </cell>
          <cell r="G336">
            <v>230.33156949366474</v>
          </cell>
          <cell r="H336">
            <v>393.17984361424851</v>
          </cell>
        </row>
        <row r="337">
          <cell r="B337">
            <v>44274</v>
          </cell>
          <cell r="F337">
            <v>338.68501016038476</v>
          </cell>
          <cell r="G337">
            <v>230.33156949366474</v>
          </cell>
          <cell r="H337">
            <v>393.17984361424851</v>
          </cell>
        </row>
        <row r="338">
          <cell r="B338">
            <v>44273</v>
          </cell>
          <cell r="F338">
            <v>344.52757711271727</v>
          </cell>
          <cell r="G338">
            <v>225.32647215884265</v>
          </cell>
          <cell r="H338">
            <v>390.18245004344044</v>
          </cell>
        </row>
        <row r="339">
          <cell r="B339">
            <v>44272</v>
          </cell>
          <cell r="F339">
            <v>347.76435222405547</v>
          </cell>
          <cell r="G339">
            <v>234.763823486577</v>
          </cell>
          <cell r="H339">
            <v>411.64205039096441</v>
          </cell>
        </row>
        <row r="340">
          <cell r="B340">
            <v>44271</v>
          </cell>
          <cell r="F340">
            <v>353.29640408471261</v>
          </cell>
          <cell r="G340">
            <v>232.13748240205834</v>
          </cell>
          <cell r="H340">
            <v>397.17636837532586</v>
          </cell>
        </row>
        <row r="341">
          <cell r="B341">
            <v>44270</v>
          </cell>
          <cell r="F341">
            <v>352.15620088423407</v>
          </cell>
          <cell r="G341">
            <v>228.54022039904848</v>
          </cell>
          <cell r="H341">
            <v>385.96872284969589</v>
          </cell>
        </row>
        <row r="342">
          <cell r="B342">
            <v>44269</v>
          </cell>
          <cell r="F342">
            <v>354.70216275642684</v>
          </cell>
          <cell r="G342">
            <v>219.02519539783484</v>
          </cell>
          <cell r="H342">
            <v>381.27715030408342</v>
          </cell>
        </row>
        <row r="343">
          <cell r="B343">
            <v>44268</v>
          </cell>
          <cell r="F343">
            <v>354.70216275642684</v>
          </cell>
          <cell r="G343">
            <v>219.02519539783484</v>
          </cell>
          <cell r="H343">
            <v>381.27715030408342</v>
          </cell>
        </row>
        <row r="344">
          <cell r="B344">
            <v>44267</v>
          </cell>
          <cell r="F344">
            <v>354.70216275642684</v>
          </cell>
          <cell r="G344">
            <v>219.02519539783484</v>
          </cell>
          <cell r="H344">
            <v>381.27715030408342</v>
          </cell>
        </row>
        <row r="345">
          <cell r="B345">
            <v>44266</v>
          </cell>
          <cell r="F345">
            <v>352.62768641781918</v>
          </cell>
          <cell r="G345">
            <v>220.24855575513374</v>
          </cell>
          <cell r="H345">
            <v>387.96698523023457</v>
          </cell>
        </row>
        <row r="346">
          <cell r="B346">
            <v>44265</v>
          </cell>
          <cell r="F346">
            <v>343.77047338109355</v>
          </cell>
          <cell r="G346">
            <v>212.43264236127965</v>
          </cell>
          <cell r="H346">
            <v>371.02519548218942</v>
          </cell>
        </row>
        <row r="347">
          <cell r="B347">
            <v>44264</v>
          </cell>
          <cell r="F347">
            <v>342.74013744622749</v>
          </cell>
          <cell r="G347">
            <v>215.35025972134571</v>
          </cell>
          <cell r="H347">
            <v>387.92354474370114</v>
          </cell>
        </row>
        <row r="348">
          <cell r="B348">
            <v>44263</v>
          </cell>
          <cell r="F348">
            <v>344.06617864333703</v>
          </cell>
          <cell r="G348">
            <v>204.50021845720667</v>
          </cell>
          <cell r="H348">
            <v>369.46133796698524</v>
          </cell>
        </row>
        <row r="349">
          <cell r="B349">
            <v>44262</v>
          </cell>
          <cell r="F349">
            <v>349.87598525872829</v>
          </cell>
          <cell r="G349">
            <v>218.52517112481186</v>
          </cell>
          <cell r="H349">
            <v>386.31624674196354</v>
          </cell>
        </row>
        <row r="350">
          <cell r="B350">
            <v>44261</v>
          </cell>
          <cell r="F350">
            <v>349.87598525872829</v>
          </cell>
          <cell r="G350">
            <v>218.52517112481186</v>
          </cell>
          <cell r="H350">
            <v>386.31624674196354</v>
          </cell>
        </row>
        <row r="351">
          <cell r="B351">
            <v>44260</v>
          </cell>
          <cell r="F351">
            <v>349.87598525872829</v>
          </cell>
          <cell r="G351">
            <v>218.52517112481186</v>
          </cell>
          <cell r="H351">
            <v>386.31624674196354</v>
          </cell>
        </row>
        <row r="352">
          <cell r="B352">
            <v>44259</v>
          </cell>
          <cell r="F352">
            <v>350.69175177863031</v>
          </cell>
          <cell r="G352">
            <v>215.3454051167532</v>
          </cell>
          <cell r="H352">
            <v>366.33362293657689</v>
          </cell>
        </row>
        <row r="353">
          <cell r="B353">
            <v>44258</v>
          </cell>
          <cell r="F353">
            <v>364.19968926627854</v>
          </cell>
          <cell r="G353">
            <v>224.79732025826499</v>
          </cell>
          <cell r="H353">
            <v>387.09817549956557</v>
          </cell>
        </row>
        <row r="354">
          <cell r="B354">
            <v>44257</v>
          </cell>
          <cell r="F354">
            <v>355.94719108300524</v>
          </cell>
          <cell r="G354">
            <v>233.26860527210056</v>
          </cell>
          <cell r="H354">
            <v>395.69939183318854</v>
          </cell>
        </row>
        <row r="355">
          <cell r="B355">
            <v>44256</v>
          </cell>
          <cell r="F355">
            <v>353.77429158157605</v>
          </cell>
          <cell r="G355">
            <v>237.67173163745809</v>
          </cell>
          <cell r="H355">
            <v>411.64205039096441</v>
          </cell>
        </row>
        <row r="356">
          <cell r="B356">
            <v>44255</v>
          </cell>
          <cell r="F356">
            <v>353.77429158157605</v>
          </cell>
          <cell r="G356">
            <v>228.10330598572745</v>
          </cell>
          <cell r="H356">
            <v>397.61077324066031</v>
          </cell>
        </row>
        <row r="357">
          <cell r="B357">
            <v>44254</v>
          </cell>
          <cell r="F357">
            <v>353.77429158157605</v>
          </cell>
          <cell r="G357">
            <v>228.10330598572745</v>
          </cell>
          <cell r="H357">
            <v>397.61077324066031</v>
          </cell>
        </row>
        <row r="358">
          <cell r="B358">
            <v>44253</v>
          </cell>
          <cell r="F358">
            <v>353.77429158157605</v>
          </cell>
          <cell r="G358">
            <v>228.10330598572745</v>
          </cell>
          <cell r="H358">
            <v>397.61077324066031</v>
          </cell>
        </row>
        <row r="359">
          <cell r="B359">
            <v>44252</v>
          </cell>
          <cell r="F359">
            <v>370.71738846430208</v>
          </cell>
          <cell r="G359">
            <v>221.93310354871593</v>
          </cell>
          <cell r="H359">
            <v>382.79756733275417</v>
          </cell>
        </row>
        <row r="360">
          <cell r="B360">
            <v>44251</v>
          </cell>
          <cell r="F360">
            <v>365.48268583281964</v>
          </cell>
          <cell r="G360">
            <v>233.44822564202144</v>
          </cell>
          <cell r="H360">
            <v>401.91138140747177</v>
          </cell>
        </row>
        <row r="361">
          <cell r="B361">
            <v>44250</v>
          </cell>
          <cell r="F361">
            <v>374.46213053122517</v>
          </cell>
          <cell r="G361">
            <v>229.08879071799601</v>
          </cell>
          <cell r="H361">
            <v>383.2754126846221</v>
          </cell>
        </row>
        <row r="362">
          <cell r="B362">
            <v>44249</v>
          </cell>
          <cell r="F362">
            <v>379.14792199789343</v>
          </cell>
          <cell r="G362">
            <v>231.25394436623137</v>
          </cell>
          <cell r="H362">
            <v>374.80451781059946</v>
          </cell>
        </row>
        <row r="363">
          <cell r="B363">
            <v>44248</v>
          </cell>
          <cell r="F363">
            <v>379.87864040872716</v>
          </cell>
          <cell r="G363">
            <v>237.85620661197143</v>
          </cell>
          <cell r="H363">
            <v>395.13466550825365</v>
          </cell>
        </row>
        <row r="364">
          <cell r="B364">
            <v>44247</v>
          </cell>
          <cell r="F364">
            <v>379.87864040872716</v>
          </cell>
          <cell r="G364">
            <v>237.85620661197143</v>
          </cell>
          <cell r="H364">
            <v>395.13466550825365</v>
          </cell>
        </row>
        <row r="365">
          <cell r="B365">
            <v>44246</v>
          </cell>
          <cell r="F365">
            <v>379.87864040872716</v>
          </cell>
          <cell r="G365">
            <v>237.85620661197143</v>
          </cell>
          <cell r="H365">
            <v>395.13466550825365</v>
          </cell>
        </row>
        <row r="366">
          <cell r="B366">
            <v>44245</v>
          </cell>
          <cell r="F366">
            <v>384.87056231535814</v>
          </cell>
          <cell r="G366">
            <v>234.60362153502595</v>
          </cell>
          <cell r="H366">
            <v>384.60034752389225</v>
          </cell>
        </row>
        <row r="367">
          <cell r="B367">
            <v>44244</v>
          </cell>
          <cell r="F367">
            <v>385.43173445968182</v>
          </cell>
          <cell r="G367">
            <v>234.2249623768144</v>
          </cell>
          <cell r="H367">
            <v>373.80538662033013</v>
          </cell>
        </row>
        <row r="368">
          <cell r="B368">
            <v>44243</v>
          </cell>
          <cell r="F368">
            <v>367.51511134867098</v>
          </cell>
          <cell r="G368">
            <v>237.45327443079759</v>
          </cell>
          <cell r="H368">
            <v>381.14682884448303</v>
          </cell>
        </row>
        <row r="369">
          <cell r="B369">
            <v>44242</v>
          </cell>
          <cell r="F369">
            <v>367.51511134867098</v>
          </cell>
          <cell r="G369">
            <v>236.08913054031748</v>
          </cell>
          <cell r="H369">
            <v>382.31972198088624</v>
          </cell>
        </row>
        <row r="370">
          <cell r="B370">
            <v>44241</v>
          </cell>
          <cell r="F370">
            <v>367.51511134867098</v>
          </cell>
          <cell r="G370">
            <v>236.08913054031748</v>
          </cell>
          <cell r="H370">
            <v>382.31972198088624</v>
          </cell>
        </row>
        <row r="371">
          <cell r="B371">
            <v>44240</v>
          </cell>
          <cell r="F371">
            <v>367.51511134867098</v>
          </cell>
          <cell r="G371">
            <v>236.08913054031748</v>
          </cell>
          <cell r="H371">
            <v>382.31972198088624</v>
          </cell>
        </row>
        <row r="372">
          <cell r="B372">
            <v>44239</v>
          </cell>
          <cell r="F372">
            <v>367.51511134867098</v>
          </cell>
          <cell r="G372">
            <v>236.08913054031748</v>
          </cell>
          <cell r="H372">
            <v>382.31972198088624</v>
          </cell>
        </row>
        <row r="373">
          <cell r="B373">
            <v>44238</v>
          </cell>
          <cell r="F373">
            <v>367.51511134867098</v>
          </cell>
          <cell r="G373">
            <v>232.23942909849993</v>
          </cell>
          <cell r="H373">
            <v>375.67332754126846</v>
          </cell>
        </row>
        <row r="374">
          <cell r="B374">
            <v>44237</v>
          </cell>
          <cell r="F374">
            <v>367.51511134867098</v>
          </cell>
          <cell r="G374">
            <v>228.19068886839165</v>
          </cell>
          <cell r="H374">
            <v>357.73240660295397</v>
          </cell>
        </row>
        <row r="375">
          <cell r="B375">
            <v>44236</v>
          </cell>
          <cell r="F375">
            <v>367.51511134867098</v>
          </cell>
          <cell r="G375">
            <v>230.41409777173646</v>
          </cell>
          <cell r="H375">
            <v>361.94613379669846</v>
          </cell>
        </row>
        <row r="376">
          <cell r="B376">
            <v>44235</v>
          </cell>
          <cell r="F376">
            <v>367.51511134867098</v>
          </cell>
          <cell r="G376">
            <v>229.47715908539249</v>
          </cell>
          <cell r="H376">
            <v>364.94352736750653</v>
          </cell>
        </row>
        <row r="377">
          <cell r="B377">
            <v>44234</v>
          </cell>
          <cell r="F377">
            <v>367.51511134867098</v>
          </cell>
          <cell r="G377">
            <v>226.22942861303949</v>
          </cell>
          <cell r="H377">
            <v>352.30234578627278</v>
          </cell>
        </row>
        <row r="378">
          <cell r="B378">
            <v>44233</v>
          </cell>
          <cell r="F378">
            <v>367.51511134867098</v>
          </cell>
          <cell r="G378">
            <v>226.22942861303949</v>
          </cell>
          <cell r="H378">
            <v>352.30234578627278</v>
          </cell>
        </row>
        <row r="379">
          <cell r="B379">
            <v>44232</v>
          </cell>
          <cell r="F379">
            <v>367.51511134867098</v>
          </cell>
          <cell r="G379">
            <v>226.22942861303949</v>
          </cell>
          <cell r="H379">
            <v>352.30234578627278</v>
          </cell>
        </row>
        <row r="380">
          <cell r="B380">
            <v>44231</v>
          </cell>
          <cell r="F380">
            <v>364.62058935515535</v>
          </cell>
          <cell r="G380">
            <v>228.47225593475412</v>
          </cell>
          <cell r="H380">
            <v>352.95395308427453</v>
          </cell>
        </row>
        <row r="381">
          <cell r="B381">
            <v>44230</v>
          </cell>
          <cell r="F381">
            <v>366.87668552063258</v>
          </cell>
          <cell r="G381">
            <v>225.83135103645807</v>
          </cell>
          <cell r="H381">
            <v>343.65768896611644</v>
          </cell>
        </row>
        <row r="382">
          <cell r="B382">
            <v>44229</v>
          </cell>
          <cell r="F382">
            <v>368.02819849177439</v>
          </cell>
          <cell r="G382">
            <v>231.50638380503906</v>
          </cell>
          <cell r="H382">
            <v>354.56125108601219</v>
          </cell>
        </row>
        <row r="383">
          <cell r="B383">
            <v>44228</v>
          </cell>
          <cell r="F383">
            <v>354.87205847460035</v>
          </cell>
          <cell r="G383">
            <v>226.58381474828872</v>
          </cell>
          <cell r="H383">
            <v>349.39183318853173</v>
          </cell>
        </row>
        <row r="384">
          <cell r="B384">
            <v>44227</v>
          </cell>
          <cell r="F384">
            <v>343.34176273749932</v>
          </cell>
          <cell r="G384">
            <v>218.69993689014029</v>
          </cell>
          <cell r="H384">
            <v>340.00868809730667</v>
          </cell>
        </row>
        <row r="385">
          <cell r="B385">
            <v>44226</v>
          </cell>
          <cell r="F385">
            <v>343.34176273749932</v>
          </cell>
          <cell r="G385">
            <v>218.69993689014029</v>
          </cell>
          <cell r="H385">
            <v>340.00868809730667</v>
          </cell>
        </row>
        <row r="386">
          <cell r="B386">
            <v>44225</v>
          </cell>
          <cell r="F386">
            <v>343.34176273749932</v>
          </cell>
          <cell r="G386">
            <v>218.69993689014029</v>
          </cell>
          <cell r="H386">
            <v>340.00868809730667</v>
          </cell>
        </row>
        <row r="387">
          <cell r="B387">
            <v>44224</v>
          </cell>
          <cell r="F387">
            <v>349.28848360431044</v>
          </cell>
          <cell r="G387">
            <v>219.30190785960485</v>
          </cell>
          <cell r="H387">
            <v>340.52997393570809</v>
          </cell>
        </row>
        <row r="388">
          <cell r="B388">
            <v>44223</v>
          </cell>
          <cell r="F388">
            <v>357.64220486988967</v>
          </cell>
          <cell r="G388">
            <v>215.88426622651582</v>
          </cell>
          <cell r="H388">
            <v>326.19461337966987</v>
          </cell>
        </row>
        <row r="389">
          <cell r="B389">
            <v>44222</v>
          </cell>
          <cell r="F389">
            <v>358.49768862234407</v>
          </cell>
          <cell r="G389">
            <v>225.19054323025389</v>
          </cell>
          <cell r="H389">
            <v>345.39530842745438</v>
          </cell>
        </row>
        <row r="390">
          <cell r="B390">
            <v>44221</v>
          </cell>
          <cell r="F390">
            <v>367.97823395043076</v>
          </cell>
          <cell r="G390">
            <v>225.63716685275983</v>
          </cell>
          <cell r="H390">
            <v>353.08427454387493</v>
          </cell>
        </row>
        <row r="391">
          <cell r="B391">
            <v>44220</v>
          </cell>
          <cell r="F391">
            <v>377.69784104572284</v>
          </cell>
          <cell r="G391">
            <v>225.74882275838632</v>
          </cell>
          <cell r="H391">
            <v>357.42832319721981</v>
          </cell>
        </row>
        <row r="392">
          <cell r="B392">
            <v>44219</v>
          </cell>
          <cell r="F392">
            <v>377.69784104572284</v>
          </cell>
          <cell r="G392">
            <v>225.74882275838632</v>
          </cell>
          <cell r="H392">
            <v>357.42832319721981</v>
          </cell>
        </row>
        <row r="393">
          <cell r="B393">
            <v>44218</v>
          </cell>
          <cell r="F393">
            <v>377.69784104572284</v>
          </cell>
          <cell r="G393">
            <v>225.74882275838632</v>
          </cell>
          <cell r="H393">
            <v>357.42832319721981</v>
          </cell>
        </row>
        <row r="394">
          <cell r="B394">
            <v>44217</v>
          </cell>
          <cell r="F394">
            <v>391.70713625971433</v>
          </cell>
          <cell r="G394">
            <v>226.62265158502839</v>
          </cell>
          <cell r="H394">
            <v>369.28757602085147</v>
          </cell>
        </row>
        <row r="395">
          <cell r="B395">
            <v>44216</v>
          </cell>
          <cell r="F395">
            <v>376.35886505902567</v>
          </cell>
          <cell r="G395">
            <v>224.22447691635514</v>
          </cell>
          <cell r="H395">
            <v>362.72806255430061</v>
          </cell>
        </row>
        <row r="396">
          <cell r="B396">
            <v>44215</v>
          </cell>
          <cell r="F396">
            <v>364.29501200199127</v>
          </cell>
          <cell r="G396">
            <v>222.95742511772417</v>
          </cell>
          <cell r="H396">
            <v>371.41615986099043</v>
          </cell>
        </row>
        <row r="397">
          <cell r="B397">
            <v>44214</v>
          </cell>
          <cell r="F397">
            <v>352.939479954528</v>
          </cell>
          <cell r="G397">
            <v>216.44254575464831</v>
          </cell>
          <cell r="H397">
            <v>350.65160729800175</v>
          </cell>
        </row>
        <row r="398">
          <cell r="B398">
            <v>44213</v>
          </cell>
          <cell r="F398">
            <v>349.41331865920853</v>
          </cell>
          <cell r="G398">
            <v>216.44254575464831</v>
          </cell>
          <cell r="H398">
            <v>350.65160729800175</v>
          </cell>
        </row>
        <row r="399">
          <cell r="B399">
            <v>44212</v>
          </cell>
          <cell r="F399">
            <v>349.41331865920853</v>
          </cell>
          <cell r="G399">
            <v>216.44254575464831</v>
          </cell>
          <cell r="H399">
            <v>350.65160729800175</v>
          </cell>
        </row>
        <row r="400">
          <cell r="B400">
            <v>44211</v>
          </cell>
          <cell r="F400">
            <v>349.41331865920853</v>
          </cell>
          <cell r="G400">
            <v>216.44254575464831</v>
          </cell>
          <cell r="H400">
            <v>350.65160729800175</v>
          </cell>
        </row>
        <row r="401">
          <cell r="B401">
            <v>44210</v>
          </cell>
          <cell r="F401">
            <v>344.1316428737818</v>
          </cell>
          <cell r="G401">
            <v>219.46210981115587</v>
          </cell>
          <cell r="H401">
            <v>353.17115551694178</v>
          </cell>
        </row>
        <row r="402">
          <cell r="B402">
            <v>44209</v>
          </cell>
          <cell r="F402">
            <v>351.6760206951385</v>
          </cell>
          <cell r="G402">
            <v>219.04461381620465</v>
          </cell>
          <cell r="H402">
            <v>347.13292788879232</v>
          </cell>
        </row>
        <row r="403">
          <cell r="B403">
            <v>44208</v>
          </cell>
          <cell r="F403">
            <v>343.59945312411293</v>
          </cell>
          <cell r="G403">
            <v>218.16107578037767</v>
          </cell>
          <cell r="H403">
            <v>345.17810599478713</v>
          </cell>
        </row>
        <row r="404">
          <cell r="B404">
            <v>44207</v>
          </cell>
          <cell r="F404">
            <v>339.06925291035492</v>
          </cell>
          <cell r="G404">
            <v>216.39885431331618</v>
          </cell>
          <cell r="H404">
            <v>341.74630755864467</v>
          </cell>
        </row>
        <row r="405">
          <cell r="B405">
            <v>44206</v>
          </cell>
          <cell r="F405">
            <v>336.9392738009272</v>
          </cell>
          <cell r="G405">
            <v>216.34059905820669</v>
          </cell>
          <cell r="H405">
            <v>336.31624674196354</v>
          </cell>
        </row>
        <row r="406">
          <cell r="B406">
            <v>44205</v>
          </cell>
          <cell r="F406">
            <v>336.9392738009272</v>
          </cell>
          <cell r="G406">
            <v>216.34059905820669</v>
          </cell>
          <cell r="H406">
            <v>336.31624674196354</v>
          </cell>
        </row>
        <row r="407">
          <cell r="B407">
            <v>44204</v>
          </cell>
          <cell r="F407">
            <v>336.9392738009272</v>
          </cell>
          <cell r="G407">
            <v>216.34059905820669</v>
          </cell>
          <cell r="H407">
            <v>336.31624674196354</v>
          </cell>
        </row>
        <row r="408">
          <cell r="B408">
            <v>44203</v>
          </cell>
          <cell r="F408">
            <v>327.88575535890976</v>
          </cell>
          <cell r="G408">
            <v>215.24831302490409</v>
          </cell>
          <cell r="H408">
            <v>343.65768896611644</v>
          </cell>
        </row>
        <row r="409">
          <cell r="B409">
            <v>44202</v>
          </cell>
          <cell r="F409">
            <v>318.98740851485803</v>
          </cell>
          <cell r="G409">
            <v>206.54400699063058</v>
          </cell>
          <cell r="H409">
            <v>334.96959165942661</v>
          </cell>
        </row>
        <row r="410">
          <cell r="B410">
            <v>44201</v>
          </cell>
          <cell r="F410">
            <v>315.32563591502856</v>
          </cell>
          <cell r="G410">
            <v>207.82562260303899</v>
          </cell>
          <cell r="H410">
            <v>335.62119895742836</v>
          </cell>
        </row>
        <row r="411">
          <cell r="B411">
            <v>44200</v>
          </cell>
          <cell r="F411">
            <v>310.51342347638672</v>
          </cell>
          <cell r="G411">
            <v>206.42749648041166</v>
          </cell>
          <cell r="H411">
            <v>321.67680278019117</v>
          </cell>
        </row>
        <row r="412">
          <cell r="B412">
            <v>44199</v>
          </cell>
          <cell r="F412">
            <v>307.09220860601096</v>
          </cell>
          <cell r="G412">
            <v>212.55886208068353</v>
          </cell>
          <cell r="H412">
            <v>326.58557775847095</v>
          </cell>
        </row>
        <row r="413">
          <cell r="B413">
            <v>44198</v>
          </cell>
          <cell r="F413">
            <v>307.09220860601096</v>
          </cell>
          <cell r="G413">
            <v>212.55886208068353</v>
          </cell>
          <cell r="H413">
            <v>326.58557775847095</v>
          </cell>
        </row>
        <row r="414">
          <cell r="B414">
            <v>44197</v>
          </cell>
          <cell r="F414">
            <v>307.09220860601096</v>
          </cell>
          <cell r="G414">
            <v>212.55886208068353</v>
          </cell>
          <cell r="H414">
            <v>326.58557775847095</v>
          </cell>
        </row>
        <row r="415">
          <cell r="B415">
            <v>44196</v>
          </cell>
          <cell r="F415">
            <v>307.09220860601096</v>
          </cell>
          <cell r="G415">
            <v>212.55886208068353</v>
          </cell>
          <cell r="H415">
            <v>326.58557775847095</v>
          </cell>
        </row>
        <row r="416">
          <cell r="B416">
            <v>44195</v>
          </cell>
          <cell r="F416">
            <v>303.82716488589995</v>
          </cell>
          <cell r="G416">
            <v>211.09277149376183</v>
          </cell>
          <cell r="H416">
            <v>312.4239791485665</v>
          </cell>
        </row>
        <row r="417">
          <cell r="B417">
            <v>44194</v>
          </cell>
          <cell r="F417">
            <v>298.19911084593991</v>
          </cell>
          <cell r="G417">
            <v>208.28195543472984</v>
          </cell>
          <cell r="H417">
            <v>304.99565595134663</v>
          </cell>
        </row>
        <row r="418">
          <cell r="B418">
            <v>44193</v>
          </cell>
          <cell r="F418">
            <v>297.94458425584446</v>
          </cell>
          <cell r="G418">
            <v>209.66066313898733</v>
          </cell>
          <cell r="H418">
            <v>306.95047784535188</v>
          </cell>
        </row>
        <row r="419">
          <cell r="B419">
            <v>44192</v>
          </cell>
          <cell r="F419">
            <v>295.57789130025338</v>
          </cell>
          <cell r="G419">
            <v>209.45676974610416</v>
          </cell>
          <cell r="H419">
            <v>306.60295395308424</v>
          </cell>
        </row>
        <row r="420">
          <cell r="B420">
            <v>44191</v>
          </cell>
          <cell r="F420">
            <v>295.57789130025338</v>
          </cell>
          <cell r="G420">
            <v>209.45676974610416</v>
          </cell>
          <cell r="H420">
            <v>306.60295395308424</v>
          </cell>
        </row>
        <row r="421">
          <cell r="B421">
            <v>44190</v>
          </cell>
          <cell r="F421">
            <v>295.57789130025338</v>
          </cell>
          <cell r="G421">
            <v>209.45676974610416</v>
          </cell>
          <cell r="H421">
            <v>306.60295395308424</v>
          </cell>
        </row>
        <row r="422">
          <cell r="B422">
            <v>44189</v>
          </cell>
          <cell r="F422">
            <v>295.17789231017707</v>
          </cell>
          <cell r="G422">
            <v>209.45676974610416</v>
          </cell>
          <cell r="H422">
            <v>306.60295395308424</v>
          </cell>
        </row>
        <row r="423">
          <cell r="B423">
            <v>44188</v>
          </cell>
          <cell r="F423">
            <v>294.30591616914234</v>
          </cell>
          <cell r="G423">
            <v>206.54400699063058</v>
          </cell>
          <cell r="H423">
            <v>303.86620330147701</v>
          </cell>
        </row>
        <row r="424">
          <cell r="B424">
            <v>44187</v>
          </cell>
          <cell r="F424">
            <v>294.27453692656161</v>
          </cell>
          <cell r="G424">
            <v>210.25292489926696</v>
          </cell>
          <cell r="H424">
            <v>305.99478714161597</v>
          </cell>
        </row>
        <row r="425">
          <cell r="B425">
            <v>44186</v>
          </cell>
          <cell r="F425">
            <v>298.32153448743748</v>
          </cell>
          <cell r="G425">
            <v>208.20428176125051</v>
          </cell>
          <cell r="H425">
            <v>310.46915725456125</v>
          </cell>
        </row>
        <row r="426">
          <cell r="B426">
            <v>44185</v>
          </cell>
          <cell r="F426">
            <v>294.67464094870581</v>
          </cell>
          <cell r="G426">
            <v>210.96169716976553</v>
          </cell>
          <cell r="H426">
            <v>310.42571676802777</v>
          </cell>
        </row>
        <row r="427">
          <cell r="B427">
            <v>44184</v>
          </cell>
          <cell r="F427">
            <v>294.67464094870581</v>
          </cell>
          <cell r="G427">
            <v>210.96169716976553</v>
          </cell>
          <cell r="H427">
            <v>310.42571676802777</v>
          </cell>
        </row>
        <row r="428">
          <cell r="B428">
            <v>44183</v>
          </cell>
          <cell r="F428">
            <v>294.67464094870581</v>
          </cell>
          <cell r="G428">
            <v>210.96169716976553</v>
          </cell>
          <cell r="H428">
            <v>310.42571676802777</v>
          </cell>
        </row>
        <row r="429">
          <cell r="B429">
            <v>44182</v>
          </cell>
          <cell r="F429">
            <v>293.60248169315179</v>
          </cell>
          <cell r="G429">
            <v>206.85470168454779</v>
          </cell>
          <cell r="H429">
            <v>313.90095569070377</v>
          </cell>
        </row>
        <row r="430">
          <cell r="B430">
            <v>44181</v>
          </cell>
          <cell r="F430">
            <v>296.05105153393703</v>
          </cell>
          <cell r="G430">
            <v>206.27214913345307</v>
          </cell>
          <cell r="H430">
            <v>317.07211120764549</v>
          </cell>
        </row>
        <row r="431">
          <cell r="B431">
            <v>44180</v>
          </cell>
          <cell r="F431">
            <v>291.50814814814822</v>
          </cell>
          <cell r="G431">
            <v>202.95159959221323</v>
          </cell>
          <cell r="H431">
            <v>317.76715899218073</v>
          </cell>
        </row>
        <row r="432">
          <cell r="B432">
            <v>44179</v>
          </cell>
          <cell r="F432">
            <v>293.93666677582246</v>
          </cell>
          <cell r="G432">
            <v>199.9126171173358</v>
          </cell>
          <cell r="H432">
            <v>310.77324066029541</v>
          </cell>
        </row>
        <row r="433">
          <cell r="B433">
            <v>44178</v>
          </cell>
          <cell r="F433">
            <v>297.89803796972757</v>
          </cell>
          <cell r="G433">
            <v>197.00956357104712</v>
          </cell>
          <cell r="H433">
            <v>306.38575152041705</v>
          </cell>
        </row>
        <row r="434">
          <cell r="B434">
            <v>44177</v>
          </cell>
          <cell r="F434">
            <v>297.89803796972757</v>
          </cell>
          <cell r="G434">
            <v>197.00956357104712</v>
          </cell>
          <cell r="H434">
            <v>306.38575152041705</v>
          </cell>
        </row>
        <row r="435">
          <cell r="B435">
            <v>44176</v>
          </cell>
          <cell r="F435">
            <v>297.89803796972757</v>
          </cell>
          <cell r="G435">
            <v>197.00956357104712</v>
          </cell>
          <cell r="H435">
            <v>306.38575152041705</v>
          </cell>
        </row>
        <row r="436">
          <cell r="B436">
            <v>44175</v>
          </cell>
          <cell r="F436">
            <v>295.60973319624571</v>
          </cell>
          <cell r="G436">
            <v>199.05820670906357</v>
          </cell>
          <cell r="H436">
            <v>309.64378801042574</v>
          </cell>
        </row>
        <row r="437">
          <cell r="B437">
            <v>44174</v>
          </cell>
          <cell r="F437">
            <v>299.43156810413456</v>
          </cell>
          <cell r="G437">
            <v>202.05835234720132</v>
          </cell>
          <cell r="H437">
            <v>310.20851433536058</v>
          </cell>
        </row>
        <row r="438">
          <cell r="B438">
            <v>44173</v>
          </cell>
          <cell r="F438">
            <v>301.83104642224441</v>
          </cell>
          <cell r="G438">
            <v>205.54881304917717</v>
          </cell>
          <cell r="H438">
            <v>317.94092093831455</v>
          </cell>
        </row>
        <row r="439">
          <cell r="B439">
            <v>44172</v>
          </cell>
          <cell r="F439">
            <v>296.24924264238274</v>
          </cell>
          <cell r="G439">
            <v>204.32545269187824</v>
          </cell>
          <cell r="H439">
            <v>315.42137271937446</v>
          </cell>
        </row>
        <row r="440">
          <cell r="B440">
            <v>44171</v>
          </cell>
          <cell r="F440">
            <v>290.14572075101825</v>
          </cell>
          <cell r="G440">
            <v>199.85436186222631</v>
          </cell>
          <cell r="H440">
            <v>318.5925282363163</v>
          </cell>
        </row>
        <row r="441">
          <cell r="B441">
            <v>44170</v>
          </cell>
          <cell r="F441">
            <v>290.14572075101825</v>
          </cell>
          <cell r="G441">
            <v>199.85436186222631</v>
          </cell>
          <cell r="H441">
            <v>318.5925282363163</v>
          </cell>
        </row>
        <row r="442">
          <cell r="B442">
            <v>44169</v>
          </cell>
          <cell r="F442">
            <v>290.14572075101825</v>
          </cell>
          <cell r="G442">
            <v>199.85436186222631</v>
          </cell>
          <cell r="H442">
            <v>318.5925282363163</v>
          </cell>
        </row>
        <row r="443">
          <cell r="B443">
            <v>44168</v>
          </cell>
          <cell r="F443">
            <v>284.55569112685833</v>
          </cell>
          <cell r="G443">
            <v>194.08709160638867</v>
          </cell>
          <cell r="H443">
            <v>303.64900086880976</v>
          </cell>
        </row>
        <row r="444">
          <cell r="B444">
            <v>44167</v>
          </cell>
          <cell r="F444">
            <v>285.00862637655587</v>
          </cell>
          <cell r="G444">
            <v>195.99495121122385</v>
          </cell>
          <cell r="H444">
            <v>300.21720243266725</v>
          </cell>
        </row>
        <row r="445">
          <cell r="B445">
            <v>44166</v>
          </cell>
          <cell r="F445">
            <v>279.55409553277127</v>
          </cell>
          <cell r="G445">
            <v>196.40273799699014</v>
          </cell>
          <cell r="H445">
            <v>291.39878366637708</v>
          </cell>
        </row>
        <row r="446">
          <cell r="B446">
            <v>44165</v>
          </cell>
          <cell r="F446">
            <v>273.52980004680694</v>
          </cell>
          <cell r="G446">
            <v>194.9512112238458</v>
          </cell>
          <cell r="H446">
            <v>278.4100781928758</v>
          </cell>
        </row>
        <row r="447">
          <cell r="B447">
            <v>44164</v>
          </cell>
          <cell r="F447">
            <v>279.07166468421013</v>
          </cell>
          <cell r="G447">
            <v>191.73260837904752</v>
          </cell>
          <cell r="H447">
            <v>279.01824500434407</v>
          </cell>
        </row>
        <row r="448">
          <cell r="B448">
            <v>44163</v>
          </cell>
          <cell r="F448">
            <v>279.07166468421013</v>
          </cell>
          <cell r="G448">
            <v>191.73260837904752</v>
          </cell>
          <cell r="H448">
            <v>279.01824500434407</v>
          </cell>
        </row>
        <row r="449">
          <cell r="B449">
            <v>44162</v>
          </cell>
          <cell r="F449">
            <v>279.07166468421013</v>
          </cell>
          <cell r="G449">
            <v>191.73260837904752</v>
          </cell>
          <cell r="H449">
            <v>279.01824500434407</v>
          </cell>
        </row>
        <row r="450">
          <cell r="B450">
            <v>44161</v>
          </cell>
          <cell r="F450">
            <v>279.12062634333546</v>
          </cell>
          <cell r="G450">
            <v>189.73251128695566</v>
          </cell>
          <cell r="H450">
            <v>275.54300608166812</v>
          </cell>
        </row>
        <row r="451">
          <cell r="B451">
            <v>44160</v>
          </cell>
          <cell r="F451">
            <v>278.16447818203449</v>
          </cell>
          <cell r="G451">
            <v>189.73251128695566</v>
          </cell>
          <cell r="H451">
            <v>275.54300608166812</v>
          </cell>
        </row>
        <row r="452">
          <cell r="B452">
            <v>44159</v>
          </cell>
          <cell r="F452">
            <v>280.96118505442354</v>
          </cell>
          <cell r="G452">
            <v>190.41215592989951</v>
          </cell>
          <cell r="H452">
            <v>277.80191138140754</v>
          </cell>
        </row>
        <row r="453">
          <cell r="B453">
            <v>44158</v>
          </cell>
          <cell r="F453">
            <v>283.14330231069891</v>
          </cell>
          <cell r="G453">
            <v>187.87319772804506</v>
          </cell>
          <cell r="H453">
            <v>278.80104257167682</v>
          </cell>
        </row>
        <row r="454">
          <cell r="B454">
            <v>44157</v>
          </cell>
          <cell r="F454">
            <v>278.29593459742398</v>
          </cell>
          <cell r="G454">
            <v>186.0915578426137</v>
          </cell>
          <cell r="H454">
            <v>266.72458731537796</v>
          </cell>
        </row>
        <row r="455">
          <cell r="B455">
            <v>44156</v>
          </cell>
          <cell r="F455">
            <v>278.29593459742398</v>
          </cell>
          <cell r="G455">
            <v>186.0915578426137</v>
          </cell>
          <cell r="H455">
            <v>266.72458731537796</v>
          </cell>
        </row>
        <row r="456">
          <cell r="B456">
            <v>44155</v>
          </cell>
          <cell r="F456">
            <v>278.29593459742398</v>
          </cell>
          <cell r="G456">
            <v>186.0915578426137</v>
          </cell>
          <cell r="H456">
            <v>266.72458731537796</v>
          </cell>
        </row>
        <row r="457">
          <cell r="B457">
            <v>44154</v>
          </cell>
          <cell r="F457">
            <v>279.57370579516459</v>
          </cell>
          <cell r="G457">
            <v>186.57701830185928</v>
          </cell>
          <cell r="H457">
            <v>268.59252823631624</v>
          </cell>
        </row>
        <row r="458">
          <cell r="B458">
            <v>44153</v>
          </cell>
          <cell r="F458">
            <v>283.71688294133634</v>
          </cell>
          <cell r="G458">
            <v>184.77595999805817</v>
          </cell>
          <cell r="H458">
            <v>263.85751520417034</v>
          </cell>
        </row>
        <row r="459">
          <cell r="B459">
            <v>44152</v>
          </cell>
          <cell r="F459">
            <v>277.00619217051485</v>
          </cell>
          <cell r="G459">
            <v>184.76625078887326</v>
          </cell>
          <cell r="H459">
            <v>269.28757602085142</v>
          </cell>
        </row>
        <row r="460">
          <cell r="B460">
            <v>44151</v>
          </cell>
          <cell r="F460">
            <v>276.46064648768476</v>
          </cell>
          <cell r="G460">
            <v>184.86819748531482</v>
          </cell>
          <cell r="H460">
            <v>268.72284969591658</v>
          </cell>
        </row>
        <row r="461">
          <cell r="B461">
            <v>44150</v>
          </cell>
          <cell r="F461">
            <v>264.07970921130237</v>
          </cell>
          <cell r="G461">
            <v>181.31948152822952</v>
          </cell>
          <cell r="H461">
            <v>251.65073848827109</v>
          </cell>
        </row>
        <row r="462">
          <cell r="B462">
            <v>44149</v>
          </cell>
          <cell r="F462">
            <v>264.07970921130237</v>
          </cell>
          <cell r="G462">
            <v>181.31948152822952</v>
          </cell>
          <cell r="H462">
            <v>251.65073848827109</v>
          </cell>
        </row>
        <row r="463">
          <cell r="B463">
            <v>44148</v>
          </cell>
          <cell r="F463">
            <v>264.07970921130237</v>
          </cell>
          <cell r="G463">
            <v>181.31948152822952</v>
          </cell>
          <cell r="H463">
            <v>251.65073848827109</v>
          </cell>
        </row>
        <row r="464">
          <cell r="B464">
            <v>44147</v>
          </cell>
          <cell r="F464">
            <v>261.32499689146471</v>
          </cell>
          <cell r="G464">
            <v>179.71746201271907</v>
          </cell>
          <cell r="H464">
            <v>244.35273675065164</v>
          </cell>
        </row>
        <row r="465">
          <cell r="B465">
            <v>44146</v>
          </cell>
          <cell r="F465">
            <v>260.73612744137426</v>
          </cell>
          <cell r="G465">
            <v>182.49429583960386</v>
          </cell>
          <cell r="H465">
            <v>244.83058210251954</v>
          </cell>
        </row>
        <row r="466">
          <cell r="B466">
            <v>44145</v>
          </cell>
          <cell r="F466">
            <v>256.63781757460765</v>
          </cell>
          <cell r="G466">
            <v>176.28525656585271</v>
          </cell>
          <cell r="H466">
            <v>240.70373588184188</v>
          </cell>
        </row>
        <row r="467">
          <cell r="B467">
            <v>44144</v>
          </cell>
          <cell r="F467">
            <v>260.54107168963844</v>
          </cell>
          <cell r="G467">
            <v>182.30982086509053</v>
          </cell>
          <cell r="H467">
            <v>243.0929626411816</v>
          </cell>
        </row>
        <row r="468">
          <cell r="B468">
            <v>44143</v>
          </cell>
          <cell r="F468">
            <v>257.67165206903331</v>
          </cell>
          <cell r="G468">
            <v>184.77595999805817</v>
          </cell>
          <cell r="H468">
            <v>239.61772371850563</v>
          </cell>
        </row>
        <row r="469">
          <cell r="B469">
            <v>44142</v>
          </cell>
          <cell r="F469">
            <v>257.67165206903331</v>
          </cell>
          <cell r="G469">
            <v>184.77595999805817</v>
          </cell>
          <cell r="H469">
            <v>239.61772371850563</v>
          </cell>
        </row>
        <row r="470">
          <cell r="B470">
            <v>44141</v>
          </cell>
          <cell r="F470">
            <v>257.67165206903331</v>
          </cell>
          <cell r="G470">
            <v>184.77595999805817</v>
          </cell>
          <cell r="H470">
            <v>239.61772371850563</v>
          </cell>
        </row>
        <row r="471">
          <cell r="B471">
            <v>44140</v>
          </cell>
          <cell r="F471">
            <v>257.33094672063521</v>
          </cell>
          <cell r="G471">
            <v>184.89732511286957</v>
          </cell>
          <cell r="H471">
            <v>237.09817549956557</v>
          </cell>
        </row>
        <row r="472">
          <cell r="B472">
            <v>44139</v>
          </cell>
          <cell r="F472">
            <v>256.38267355134872</v>
          </cell>
          <cell r="G472">
            <v>177.01344725472111</v>
          </cell>
          <cell r="H472">
            <v>225.71676802780192</v>
          </cell>
        </row>
        <row r="473">
          <cell r="B473">
            <v>44138</v>
          </cell>
          <cell r="F473">
            <v>250.78072199305507</v>
          </cell>
          <cell r="G473">
            <v>171.73649206272148</v>
          </cell>
          <cell r="H473">
            <v>221.89400521285842</v>
          </cell>
        </row>
        <row r="474">
          <cell r="B474">
            <v>44137</v>
          </cell>
          <cell r="F474">
            <v>248.04326727403603</v>
          </cell>
          <cell r="G474">
            <v>170.51798631001503</v>
          </cell>
          <cell r="H474">
            <v>215.94265855777587</v>
          </cell>
        </row>
        <row r="475">
          <cell r="B475">
            <v>44136</v>
          </cell>
          <cell r="F475">
            <v>245.85182519691364</v>
          </cell>
          <cell r="G475">
            <v>169.73154036603717</v>
          </cell>
          <cell r="H475">
            <v>218.67940920938315</v>
          </cell>
        </row>
        <row r="476">
          <cell r="B476">
            <v>44135</v>
          </cell>
          <cell r="F476">
            <v>245.85182519691364</v>
          </cell>
          <cell r="G476">
            <v>169.73154036603717</v>
          </cell>
          <cell r="H476">
            <v>218.67940920938315</v>
          </cell>
        </row>
        <row r="477">
          <cell r="B477">
            <v>44134</v>
          </cell>
          <cell r="F477">
            <v>245.85182519691364</v>
          </cell>
          <cell r="G477">
            <v>169.73154036603717</v>
          </cell>
          <cell r="H477">
            <v>218.67940920938315</v>
          </cell>
        </row>
        <row r="478">
          <cell r="B478">
            <v>44133</v>
          </cell>
          <cell r="F478">
            <v>248.58427633194174</v>
          </cell>
          <cell r="G478">
            <v>172.34331763677849</v>
          </cell>
          <cell r="H478">
            <v>219.28757602085142</v>
          </cell>
        </row>
        <row r="479">
          <cell r="B479">
            <v>44132</v>
          </cell>
          <cell r="F479">
            <v>252.56617549515465</v>
          </cell>
          <cell r="G479">
            <v>168.55672605466282</v>
          </cell>
          <cell r="H479">
            <v>217.20243266724589</v>
          </cell>
        </row>
        <row r="480">
          <cell r="B480">
            <v>44131</v>
          </cell>
          <cell r="F480">
            <v>254.34385630614949</v>
          </cell>
          <cell r="G480">
            <v>174.57158114471576</v>
          </cell>
          <cell r="H480">
            <v>225.71676802780192</v>
          </cell>
        </row>
        <row r="481">
          <cell r="B481">
            <v>44130</v>
          </cell>
          <cell r="F481">
            <v>255.96133064925621</v>
          </cell>
          <cell r="G481">
            <v>176.2415651245206</v>
          </cell>
          <cell r="H481">
            <v>226.49869678540401</v>
          </cell>
        </row>
        <row r="482">
          <cell r="B482">
            <v>44129</v>
          </cell>
          <cell r="F482">
            <v>256.92824399931862</v>
          </cell>
          <cell r="G482">
            <v>180.94082237001797</v>
          </cell>
          <cell r="H482">
            <v>229.58297132927891</v>
          </cell>
        </row>
        <row r="483">
          <cell r="B483">
            <v>44128</v>
          </cell>
          <cell r="F483">
            <v>256.92824399931862</v>
          </cell>
          <cell r="G483">
            <v>180.94082237001797</v>
          </cell>
          <cell r="H483">
            <v>229.58297132927891</v>
          </cell>
        </row>
        <row r="484">
          <cell r="B484">
            <v>44127</v>
          </cell>
          <cell r="F484">
            <v>256.92824399931862</v>
          </cell>
          <cell r="G484">
            <v>180.94082237001797</v>
          </cell>
          <cell r="H484">
            <v>229.58297132927891</v>
          </cell>
        </row>
        <row r="485">
          <cell r="B485">
            <v>44126</v>
          </cell>
          <cell r="F485">
            <v>257.77780357587392</v>
          </cell>
          <cell r="G485">
            <v>181.25637166852761</v>
          </cell>
          <cell r="H485">
            <v>236.22936576889663</v>
          </cell>
        </row>
        <row r="486">
          <cell r="B486">
            <v>44125</v>
          </cell>
          <cell r="F486">
            <v>256.95793578839744</v>
          </cell>
          <cell r="G486">
            <v>180.6155638623234</v>
          </cell>
          <cell r="H486">
            <v>231.58123370981758</v>
          </cell>
        </row>
        <row r="487">
          <cell r="B487">
            <v>44124</v>
          </cell>
          <cell r="F487">
            <v>255.62736205593328</v>
          </cell>
          <cell r="G487">
            <v>183.01373853099665</v>
          </cell>
          <cell r="H487">
            <v>232.53692441355344</v>
          </cell>
        </row>
        <row r="488">
          <cell r="B488">
            <v>44123</v>
          </cell>
          <cell r="F488">
            <v>259.0498125062503</v>
          </cell>
          <cell r="G488">
            <v>182.42147677071699</v>
          </cell>
          <cell r="H488">
            <v>228.62728062554302</v>
          </cell>
        </row>
        <row r="489">
          <cell r="B489">
            <v>44122</v>
          </cell>
          <cell r="F489">
            <v>253.76870611739557</v>
          </cell>
          <cell r="G489">
            <v>183.81960289334432</v>
          </cell>
          <cell r="H489">
            <v>224.1963509991312</v>
          </cell>
        </row>
        <row r="490">
          <cell r="B490">
            <v>44121</v>
          </cell>
          <cell r="F490">
            <v>253.76870611739557</v>
          </cell>
          <cell r="G490">
            <v>183.81960289334432</v>
          </cell>
          <cell r="H490">
            <v>224.1963509991312</v>
          </cell>
        </row>
        <row r="491">
          <cell r="B491">
            <v>44120</v>
          </cell>
          <cell r="F491">
            <v>253.76870611739557</v>
          </cell>
          <cell r="G491">
            <v>183.81960289334432</v>
          </cell>
          <cell r="H491">
            <v>224.1963509991312</v>
          </cell>
        </row>
        <row r="492">
          <cell r="B492">
            <v>44119</v>
          </cell>
          <cell r="F492">
            <v>256.35008983996721</v>
          </cell>
          <cell r="G492">
            <v>184.44099228117869</v>
          </cell>
          <cell r="H492">
            <v>225.62988705473498</v>
          </cell>
        </row>
        <row r="493">
          <cell r="B493">
            <v>44118</v>
          </cell>
          <cell r="F493">
            <v>259.68221949510871</v>
          </cell>
          <cell r="G493">
            <v>184.62061265109958</v>
          </cell>
          <cell r="H493">
            <v>224.28323197219808</v>
          </cell>
        </row>
        <row r="494">
          <cell r="B494">
            <v>44117</v>
          </cell>
          <cell r="F494">
            <v>261.47952280441308</v>
          </cell>
          <cell r="G494">
            <v>185.19831059760182</v>
          </cell>
          <cell r="H494">
            <v>225.23892267593396</v>
          </cell>
        </row>
        <row r="495">
          <cell r="B495">
            <v>44116</v>
          </cell>
          <cell r="F495">
            <v>261.6493602192408</v>
          </cell>
          <cell r="G495">
            <v>185.65464342929266</v>
          </cell>
          <cell r="H495">
            <v>220.15638575152045</v>
          </cell>
        </row>
        <row r="496">
          <cell r="B496">
            <v>44115</v>
          </cell>
          <cell r="F496">
            <v>257.31684065017453</v>
          </cell>
          <cell r="G496">
            <v>182.87295499781541</v>
          </cell>
          <cell r="H496">
            <v>216.72458731537793</v>
          </cell>
        </row>
        <row r="497">
          <cell r="B497">
            <v>44114</v>
          </cell>
          <cell r="F497">
            <v>257.31684065017453</v>
          </cell>
          <cell r="G497">
            <v>182.87295499781541</v>
          </cell>
          <cell r="H497">
            <v>216.72458731537793</v>
          </cell>
        </row>
        <row r="498">
          <cell r="B498">
            <v>44113</v>
          </cell>
          <cell r="F498">
            <v>257.31684065017453</v>
          </cell>
          <cell r="G498">
            <v>182.87295499781541</v>
          </cell>
          <cell r="H498">
            <v>216.72458731537793</v>
          </cell>
        </row>
        <row r="499">
          <cell r="B499">
            <v>44112</v>
          </cell>
          <cell r="F499">
            <v>257.31684065017453</v>
          </cell>
          <cell r="G499">
            <v>181.23695325015777</v>
          </cell>
          <cell r="H499">
            <v>216.76802780191139</v>
          </cell>
        </row>
        <row r="500">
          <cell r="B500">
            <v>44111</v>
          </cell>
          <cell r="F500">
            <v>251.41707863335103</v>
          </cell>
          <cell r="G500">
            <v>178.03776882372929</v>
          </cell>
          <cell r="H500">
            <v>210.29539530842746</v>
          </cell>
        </row>
        <row r="501">
          <cell r="B501">
            <v>44110</v>
          </cell>
          <cell r="F501">
            <v>248.09773882369922</v>
          </cell>
          <cell r="G501">
            <v>176.69789795621148</v>
          </cell>
          <cell r="H501">
            <v>205.56038227628147</v>
          </cell>
        </row>
        <row r="502">
          <cell r="B502">
            <v>44109</v>
          </cell>
          <cell r="F502">
            <v>244.86851487234301</v>
          </cell>
          <cell r="G502">
            <v>177.72707412981214</v>
          </cell>
          <cell r="H502">
            <v>206.77671589921806</v>
          </cell>
        </row>
        <row r="503">
          <cell r="B503">
            <v>44108</v>
          </cell>
          <cell r="F503">
            <v>243.5326821974131</v>
          </cell>
          <cell r="G503">
            <v>173.22685567260544</v>
          </cell>
          <cell r="H503">
            <v>202.21546481320593</v>
          </cell>
        </row>
        <row r="504">
          <cell r="B504">
            <v>44107</v>
          </cell>
          <cell r="F504">
            <v>243.5326821974131</v>
          </cell>
          <cell r="G504">
            <v>173.22685567260544</v>
          </cell>
          <cell r="H504">
            <v>202.21546481320593</v>
          </cell>
        </row>
        <row r="505">
          <cell r="B505">
            <v>44106</v>
          </cell>
          <cell r="F505">
            <v>243.5326821974131</v>
          </cell>
          <cell r="G505">
            <v>173.22685567260544</v>
          </cell>
          <cell r="H505">
            <v>202.21546481320593</v>
          </cell>
        </row>
        <row r="506">
          <cell r="B506">
            <v>44105</v>
          </cell>
          <cell r="F506">
            <v>243.5326821974131</v>
          </cell>
          <cell r="G506">
            <v>178.94072527792613</v>
          </cell>
          <cell r="H506">
            <v>208.16681146828847</v>
          </cell>
        </row>
        <row r="507">
          <cell r="B507">
            <v>44104</v>
          </cell>
          <cell r="F507">
            <v>243.5326821974131</v>
          </cell>
          <cell r="G507">
            <v>176.86295451235497</v>
          </cell>
          <cell r="H507">
            <v>203.99652476107732</v>
          </cell>
        </row>
        <row r="508">
          <cell r="B508">
            <v>44103</v>
          </cell>
          <cell r="F508">
            <v>241.77252235116313</v>
          </cell>
          <cell r="G508">
            <v>176.83382688480023</v>
          </cell>
          <cell r="H508">
            <v>220.28670721112076</v>
          </cell>
        </row>
        <row r="509">
          <cell r="B509">
            <v>44102</v>
          </cell>
          <cell r="F509">
            <v>241.26263056111088</v>
          </cell>
          <cell r="G509">
            <v>178.30962668090683</v>
          </cell>
          <cell r="H509">
            <v>215.9860990443093</v>
          </cell>
        </row>
        <row r="510">
          <cell r="B510">
            <v>44101</v>
          </cell>
          <cell r="F510">
            <v>235.78063806416486</v>
          </cell>
          <cell r="G510">
            <v>173.21229185882808</v>
          </cell>
          <cell r="H510">
            <v>213.46655082536924</v>
          </cell>
        </row>
        <row r="511">
          <cell r="B511">
            <v>44100</v>
          </cell>
          <cell r="F511">
            <v>235.78063806416486</v>
          </cell>
          <cell r="G511">
            <v>173.21229185882808</v>
          </cell>
          <cell r="H511">
            <v>213.46655082536924</v>
          </cell>
        </row>
        <row r="512">
          <cell r="B512">
            <v>44099</v>
          </cell>
          <cell r="F512">
            <v>235.78063806416486</v>
          </cell>
          <cell r="G512">
            <v>173.21229185882808</v>
          </cell>
          <cell r="H512">
            <v>213.46655082536924</v>
          </cell>
        </row>
        <row r="513">
          <cell r="B513">
            <v>44098</v>
          </cell>
          <cell r="F513">
            <v>235.15220454937534</v>
          </cell>
          <cell r="G513">
            <v>171.13452109325692</v>
          </cell>
          <cell r="H513">
            <v>214.90008688097308</v>
          </cell>
        </row>
        <row r="514">
          <cell r="B514">
            <v>44097</v>
          </cell>
          <cell r="F514">
            <v>241.90694539053163</v>
          </cell>
          <cell r="G514">
            <v>170.68304286615853</v>
          </cell>
          <cell r="H514">
            <v>216.55082536924414</v>
          </cell>
        </row>
        <row r="515">
          <cell r="B515">
            <v>44096</v>
          </cell>
          <cell r="F515">
            <v>244.85962215019796</v>
          </cell>
          <cell r="G515">
            <v>175.53764745861446</v>
          </cell>
          <cell r="H515">
            <v>215.89921807124242</v>
          </cell>
        </row>
        <row r="516">
          <cell r="B516">
            <v>44095</v>
          </cell>
          <cell r="F516">
            <v>247.12792658102134</v>
          </cell>
          <cell r="G516">
            <v>170.78013495800769</v>
          </cell>
          <cell r="H516">
            <v>213.5099913119027</v>
          </cell>
        </row>
        <row r="517">
          <cell r="B517">
            <v>44094</v>
          </cell>
          <cell r="F517">
            <v>249.18526550405082</v>
          </cell>
          <cell r="G517">
            <v>174.63469100441768</v>
          </cell>
          <cell r="H517">
            <v>220.41702867072112</v>
          </cell>
        </row>
        <row r="518">
          <cell r="B518">
            <v>44093</v>
          </cell>
          <cell r="F518">
            <v>249.18526550405082</v>
          </cell>
          <cell r="G518">
            <v>174.63469100441768</v>
          </cell>
          <cell r="H518">
            <v>220.41702867072112</v>
          </cell>
        </row>
        <row r="519">
          <cell r="B519">
            <v>44092</v>
          </cell>
          <cell r="F519">
            <v>249.18526550405082</v>
          </cell>
          <cell r="G519">
            <v>174.63469100441768</v>
          </cell>
          <cell r="H519">
            <v>220.41702867072112</v>
          </cell>
        </row>
        <row r="520">
          <cell r="B520">
            <v>44091</v>
          </cell>
          <cell r="F520">
            <v>250.49225096433722</v>
          </cell>
          <cell r="G520">
            <v>177.63969124714791</v>
          </cell>
          <cell r="H520">
            <v>221.45960034752389</v>
          </cell>
        </row>
        <row r="521">
          <cell r="B521">
            <v>44090</v>
          </cell>
          <cell r="F521">
            <v>254.8531046512847</v>
          </cell>
          <cell r="G521">
            <v>178.18340696150298</v>
          </cell>
          <cell r="H521">
            <v>218.11468288444834</v>
          </cell>
        </row>
        <row r="522">
          <cell r="B522">
            <v>44089</v>
          </cell>
          <cell r="F522">
            <v>247.76336093377517</v>
          </cell>
          <cell r="G522">
            <v>178.12029710180107</v>
          </cell>
          <cell r="H522">
            <v>213.0755864465682</v>
          </cell>
        </row>
        <row r="523">
          <cell r="B523">
            <v>44088</v>
          </cell>
          <cell r="F523">
            <v>245.30119108679577</v>
          </cell>
          <cell r="G523">
            <v>175.83377833875429</v>
          </cell>
          <cell r="H523">
            <v>212.98870547350131</v>
          </cell>
        </row>
        <row r="524">
          <cell r="B524">
            <v>44087</v>
          </cell>
          <cell r="F524">
            <v>242.41681582673689</v>
          </cell>
          <cell r="G524">
            <v>174.62012719064032</v>
          </cell>
          <cell r="H524">
            <v>200.21720243266725</v>
          </cell>
        </row>
        <row r="525">
          <cell r="B525">
            <v>44086</v>
          </cell>
          <cell r="F525">
            <v>242.41681582673689</v>
          </cell>
          <cell r="G525">
            <v>174.62012719064032</v>
          </cell>
          <cell r="H525">
            <v>200.21720243266725</v>
          </cell>
        </row>
        <row r="526">
          <cell r="B526">
            <v>44085</v>
          </cell>
          <cell r="F526">
            <v>242.41681582673689</v>
          </cell>
          <cell r="G526">
            <v>174.62012719064032</v>
          </cell>
          <cell r="H526">
            <v>200.21720243266725</v>
          </cell>
        </row>
        <row r="527">
          <cell r="B527">
            <v>44084</v>
          </cell>
          <cell r="F527">
            <v>241.68278147239258</v>
          </cell>
          <cell r="G527">
            <v>173.34822078741686</v>
          </cell>
          <cell r="H527">
            <v>194.91746307558643</v>
          </cell>
        </row>
        <row r="528">
          <cell r="B528">
            <v>44083</v>
          </cell>
          <cell r="F528">
            <v>237.25424710839826</v>
          </cell>
          <cell r="G528">
            <v>174.78032914219136</v>
          </cell>
          <cell r="H528">
            <v>196.13379669852301</v>
          </cell>
        </row>
        <row r="529">
          <cell r="B529">
            <v>44082</v>
          </cell>
          <cell r="F529">
            <v>239.63228435509461</v>
          </cell>
          <cell r="G529">
            <v>170.17330938395068</v>
          </cell>
          <cell r="H529">
            <v>195.61251086012163</v>
          </cell>
        </row>
        <row r="530">
          <cell r="B530">
            <v>44081</v>
          </cell>
          <cell r="F530">
            <v>236.44825292839519</v>
          </cell>
          <cell r="G530">
            <v>176.19787368318848</v>
          </cell>
          <cell r="H530">
            <v>201.91138140747174</v>
          </cell>
        </row>
        <row r="531">
          <cell r="B531">
            <v>44080</v>
          </cell>
          <cell r="F531">
            <v>237.98346010527109</v>
          </cell>
          <cell r="G531">
            <v>176.19787368318848</v>
          </cell>
          <cell r="H531">
            <v>201.91138140747174</v>
          </cell>
        </row>
        <row r="532">
          <cell r="B532">
            <v>44079</v>
          </cell>
          <cell r="F532">
            <v>237.98346010527109</v>
          </cell>
          <cell r="G532">
            <v>176.19787368318848</v>
          </cell>
          <cell r="H532">
            <v>201.91138140747174</v>
          </cell>
        </row>
        <row r="533">
          <cell r="B533">
            <v>44078</v>
          </cell>
          <cell r="F533">
            <v>237.98346010527109</v>
          </cell>
          <cell r="G533">
            <v>176.19787368318848</v>
          </cell>
          <cell r="H533">
            <v>201.91138140747174</v>
          </cell>
        </row>
        <row r="534">
          <cell r="B534">
            <v>44077</v>
          </cell>
          <cell r="F534">
            <v>241.71826577933885</v>
          </cell>
          <cell r="G534">
            <v>170.92577309578132</v>
          </cell>
          <cell r="H534">
            <v>201.25977410947002</v>
          </cell>
        </row>
        <row r="535">
          <cell r="B535">
            <v>44076</v>
          </cell>
          <cell r="F535">
            <v>239.93241023250849</v>
          </cell>
          <cell r="G535">
            <v>182.05252682169035</v>
          </cell>
          <cell r="H535">
            <v>207.7758470894874</v>
          </cell>
        </row>
        <row r="536">
          <cell r="B536">
            <v>44075</v>
          </cell>
          <cell r="F536">
            <v>241.07349023030525</v>
          </cell>
          <cell r="G536">
            <v>174.54245351716102</v>
          </cell>
          <cell r="H536">
            <v>198.78366637706341</v>
          </cell>
        </row>
        <row r="537">
          <cell r="B537">
            <v>44074</v>
          </cell>
          <cell r="F537">
            <v>236.26626918811507</v>
          </cell>
          <cell r="G537">
            <v>168.5275984271081</v>
          </cell>
          <cell r="H537">
            <v>197.69765421372719</v>
          </cell>
        </row>
        <row r="538">
          <cell r="B538">
            <v>44073</v>
          </cell>
          <cell r="F538">
            <v>241.19674683789563</v>
          </cell>
          <cell r="G538">
            <v>167.39647555706588</v>
          </cell>
          <cell r="H538">
            <v>198.47958297132928</v>
          </cell>
        </row>
        <row r="539">
          <cell r="B539">
            <v>44072</v>
          </cell>
          <cell r="F539">
            <v>241.19674683789563</v>
          </cell>
          <cell r="G539">
            <v>167.39647555706588</v>
          </cell>
          <cell r="H539">
            <v>198.47958297132928</v>
          </cell>
        </row>
        <row r="540">
          <cell r="B540">
            <v>44071</v>
          </cell>
          <cell r="F540">
            <v>241.19674683789563</v>
          </cell>
          <cell r="G540">
            <v>167.39647555706588</v>
          </cell>
          <cell r="H540">
            <v>198.47958297132928</v>
          </cell>
        </row>
        <row r="541">
          <cell r="B541">
            <v>44070</v>
          </cell>
          <cell r="F541">
            <v>245.85182519691364</v>
          </cell>
          <cell r="G541">
            <v>164.6390601485509</v>
          </cell>
          <cell r="H541">
            <v>193.8314509122502</v>
          </cell>
        </row>
        <row r="542">
          <cell r="B542">
            <v>44069</v>
          </cell>
          <cell r="F542">
            <v>244.99456620895907</v>
          </cell>
          <cell r="G542">
            <v>164.89635419195105</v>
          </cell>
          <cell r="H542">
            <v>195.3084274543875</v>
          </cell>
        </row>
        <row r="543">
          <cell r="B543">
            <v>44068</v>
          </cell>
          <cell r="F543">
            <v>240.7553839105714</v>
          </cell>
          <cell r="G543">
            <v>163.18267877081411</v>
          </cell>
          <cell r="H543">
            <v>195.91659426585579</v>
          </cell>
        </row>
        <row r="544">
          <cell r="B544">
            <v>44067</v>
          </cell>
          <cell r="F544">
            <v>237.09721737986644</v>
          </cell>
          <cell r="G544">
            <v>162.14379338802854</v>
          </cell>
          <cell r="H544">
            <v>190.09556907037359</v>
          </cell>
        </row>
        <row r="545">
          <cell r="B545">
            <v>44066</v>
          </cell>
          <cell r="F545">
            <v>234.94231774546117</v>
          </cell>
          <cell r="G545">
            <v>160.21166076023107</v>
          </cell>
          <cell r="H545">
            <v>185.31711555169417</v>
          </cell>
        </row>
        <row r="546">
          <cell r="B546">
            <v>44065</v>
          </cell>
          <cell r="F546">
            <v>234.94231774546117</v>
          </cell>
          <cell r="G546">
            <v>160.21166076023107</v>
          </cell>
          <cell r="H546">
            <v>185.31711555169417</v>
          </cell>
        </row>
        <row r="547">
          <cell r="B547">
            <v>44064</v>
          </cell>
          <cell r="F547">
            <v>234.94231774546117</v>
          </cell>
          <cell r="G547">
            <v>160.21166076023107</v>
          </cell>
          <cell r="H547">
            <v>185.31711555169417</v>
          </cell>
        </row>
        <row r="548">
          <cell r="B548">
            <v>44063</v>
          </cell>
          <cell r="F548">
            <v>229.67666598803328</v>
          </cell>
          <cell r="G548">
            <v>159.6339628137288</v>
          </cell>
          <cell r="H548">
            <v>186.72893136403127</v>
          </cell>
        </row>
        <row r="549">
          <cell r="B549">
            <v>44062</v>
          </cell>
          <cell r="F549">
            <v>236.69126954413383</v>
          </cell>
          <cell r="G549">
            <v>159.81843778824214</v>
          </cell>
          <cell r="H549">
            <v>191.3553431798436</v>
          </cell>
        </row>
        <row r="550">
          <cell r="B550">
            <v>44061</v>
          </cell>
          <cell r="F550">
            <v>239.73642038037372</v>
          </cell>
          <cell r="G550">
            <v>159.54172532647215</v>
          </cell>
          <cell r="H550">
            <v>192.87576020851432</v>
          </cell>
        </row>
        <row r="551">
          <cell r="B551">
            <v>44060</v>
          </cell>
          <cell r="F551">
            <v>240.80276862213825</v>
          </cell>
          <cell r="G551">
            <v>160.35729889800473</v>
          </cell>
          <cell r="H551">
            <v>196.43788010425715</v>
          </cell>
        </row>
        <row r="552">
          <cell r="B552">
            <v>44059</v>
          </cell>
          <cell r="F552">
            <v>236.32595919272617</v>
          </cell>
          <cell r="G552">
            <v>159.14364774989076</v>
          </cell>
          <cell r="H552">
            <v>198.08861859252823</v>
          </cell>
        </row>
        <row r="553">
          <cell r="B553">
            <v>44058</v>
          </cell>
          <cell r="F553">
            <v>236.32595919272617</v>
          </cell>
          <cell r="G553">
            <v>159.14364774989076</v>
          </cell>
          <cell r="H553">
            <v>198.08861859252823</v>
          </cell>
        </row>
        <row r="554">
          <cell r="B554">
            <v>44057</v>
          </cell>
          <cell r="F554">
            <v>236.32595919272617</v>
          </cell>
          <cell r="G554">
            <v>159.14364774989076</v>
          </cell>
          <cell r="H554">
            <v>198.08861859252823</v>
          </cell>
        </row>
        <row r="555">
          <cell r="B555">
            <v>44056</v>
          </cell>
          <cell r="F555">
            <v>237.12629915484146</v>
          </cell>
          <cell r="G555">
            <v>159.92038448468372</v>
          </cell>
          <cell r="H555">
            <v>200.4344048653345</v>
          </cell>
        </row>
        <row r="556">
          <cell r="B556">
            <v>44055</v>
          </cell>
          <cell r="F556">
            <v>232.19850877069601</v>
          </cell>
          <cell r="G556">
            <v>161.96902762270011</v>
          </cell>
          <cell r="H556">
            <v>210.59947871416159</v>
          </cell>
        </row>
        <row r="557">
          <cell r="B557">
            <v>44054</v>
          </cell>
          <cell r="F557">
            <v>237.43287235053651</v>
          </cell>
          <cell r="G557">
            <v>157.30375260934994</v>
          </cell>
          <cell r="H557">
            <v>207.47176368375327</v>
          </cell>
        </row>
        <row r="558">
          <cell r="B558">
            <v>44053</v>
          </cell>
          <cell r="F558">
            <v>241.07955341365746</v>
          </cell>
          <cell r="G558">
            <v>158.92033593863778</v>
          </cell>
          <cell r="H558">
            <v>213.5099913119027</v>
          </cell>
        </row>
        <row r="559">
          <cell r="B559">
            <v>44052</v>
          </cell>
          <cell r="F559">
            <v>239.41048119356179</v>
          </cell>
          <cell r="G559">
            <v>158.22612748191659</v>
          </cell>
          <cell r="H559">
            <v>211.77237185056472</v>
          </cell>
        </row>
        <row r="560">
          <cell r="B560">
            <v>44051</v>
          </cell>
          <cell r="F560">
            <v>239.41048119356179</v>
          </cell>
          <cell r="G560">
            <v>158.22612748191659</v>
          </cell>
          <cell r="H560">
            <v>211.77237185056472</v>
          </cell>
        </row>
        <row r="561">
          <cell r="B561">
            <v>44050</v>
          </cell>
          <cell r="F561">
            <v>239.41048119356179</v>
          </cell>
          <cell r="G561">
            <v>158.22612748191659</v>
          </cell>
          <cell r="H561">
            <v>211.77237185056472</v>
          </cell>
        </row>
        <row r="562">
          <cell r="B562">
            <v>44049</v>
          </cell>
          <cell r="F562">
            <v>240.8601435967928</v>
          </cell>
          <cell r="G562">
            <v>159.79416476527987</v>
          </cell>
          <cell r="H562">
            <v>211.5551694178975</v>
          </cell>
        </row>
        <row r="563">
          <cell r="B563">
            <v>44048</v>
          </cell>
          <cell r="F563">
            <v>237.71594454906713</v>
          </cell>
          <cell r="G563">
            <v>159.97863973979321</v>
          </cell>
          <cell r="H563">
            <v>221.76368375325802</v>
          </cell>
        </row>
        <row r="564">
          <cell r="B564">
            <v>44047</v>
          </cell>
          <cell r="F564">
            <v>235.63206124057152</v>
          </cell>
          <cell r="G564">
            <v>159.42036021166075</v>
          </cell>
          <cell r="H564">
            <v>222.84969591659424</v>
          </cell>
        </row>
        <row r="565">
          <cell r="B565">
            <v>44046</v>
          </cell>
          <cell r="F565">
            <v>230.63813227747696</v>
          </cell>
          <cell r="G565">
            <v>155.94446332346229</v>
          </cell>
          <cell r="H565">
            <v>218.8966116420504</v>
          </cell>
        </row>
        <row r="566">
          <cell r="B566">
            <v>44045</v>
          </cell>
          <cell r="F566">
            <v>235.93727371380174</v>
          </cell>
          <cell r="G566">
            <v>153.76960046604205</v>
          </cell>
          <cell r="H566">
            <v>217.44135534317985</v>
          </cell>
        </row>
        <row r="567">
          <cell r="B567">
            <v>44044</v>
          </cell>
          <cell r="F567">
            <v>235.93727371380174</v>
          </cell>
          <cell r="G567">
            <v>153.76960046604205</v>
          </cell>
          <cell r="H567">
            <v>217.44135534317985</v>
          </cell>
        </row>
        <row r="568">
          <cell r="B568">
            <v>44043</v>
          </cell>
          <cell r="F568">
            <v>235.93727371380174</v>
          </cell>
          <cell r="G568">
            <v>153.76960046604205</v>
          </cell>
          <cell r="H568">
            <v>217.44135534317985</v>
          </cell>
        </row>
        <row r="569">
          <cell r="B569">
            <v>44042</v>
          </cell>
          <cell r="F569">
            <v>241.06132287236593</v>
          </cell>
          <cell r="G569">
            <v>151.51220933055004</v>
          </cell>
          <cell r="H569">
            <v>220.41702867072112</v>
          </cell>
        </row>
        <row r="570">
          <cell r="B570">
            <v>44041</v>
          </cell>
          <cell r="F570">
            <v>234.6444016186974</v>
          </cell>
          <cell r="G570">
            <v>149.93446283800185</v>
          </cell>
          <cell r="H570">
            <v>218.8966116420504</v>
          </cell>
        </row>
        <row r="571">
          <cell r="B571">
            <v>44040</v>
          </cell>
          <cell r="F571">
            <v>241.31190010674359</v>
          </cell>
          <cell r="G571">
            <v>149.20627214913347</v>
          </cell>
          <cell r="H571">
            <v>217.59339704604693</v>
          </cell>
        </row>
        <row r="572">
          <cell r="B572">
            <v>44039</v>
          </cell>
          <cell r="F572">
            <v>235.67197717397431</v>
          </cell>
          <cell r="G572">
            <v>151.79377639691248</v>
          </cell>
          <cell r="H572">
            <v>224.10947002606432</v>
          </cell>
        </row>
        <row r="573">
          <cell r="B573">
            <v>44038</v>
          </cell>
          <cell r="F573">
            <v>213.20626009770658</v>
          </cell>
          <cell r="G573">
            <v>148.44895383271032</v>
          </cell>
          <cell r="H573">
            <v>217.2893136403128</v>
          </cell>
        </row>
        <row r="574">
          <cell r="B574">
            <v>44037</v>
          </cell>
          <cell r="F574">
            <v>213.20626009770658</v>
          </cell>
          <cell r="G574">
            <v>148.44895383271032</v>
          </cell>
          <cell r="H574">
            <v>217.2893136403128</v>
          </cell>
        </row>
        <row r="575">
          <cell r="B575">
            <v>44036</v>
          </cell>
          <cell r="F575">
            <v>213.20626009770658</v>
          </cell>
          <cell r="G575">
            <v>148.44895383271032</v>
          </cell>
          <cell r="H575">
            <v>217.2893136403128</v>
          </cell>
        </row>
        <row r="576">
          <cell r="B576">
            <v>44035</v>
          </cell>
          <cell r="F576">
            <v>210.88538756236179</v>
          </cell>
          <cell r="G576">
            <v>150.33254041458324</v>
          </cell>
          <cell r="H576">
            <v>228.67072111207648</v>
          </cell>
        </row>
        <row r="577">
          <cell r="B577">
            <v>44034</v>
          </cell>
          <cell r="F577">
            <v>212.23848785686309</v>
          </cell>
          <cell r="G577">
            <v>152.33749211126752</v>
          </cell>
          <cell r="H577">
            <v>224.37011294526496</v>
          </cell>
        </row>
        <row r="578">
          <cell r="B578">
            <v>44033</v>
          </cell>
          <cell r="F578">
            <v>211.81532531570008</v>
          </cell>
          <cell r="G578">
            <v>152.59964075926013</v>
          </cell>
          <cell r="H578">
            <v>223.80538662033018</v>
          </cell>
        </row>
        <row r="579">
          <cell r="B579">
            <v>44032</v>
          </cell>
          <cell r="F579">
            <v>202.19363074080152</v>
          </cell>
          <cell r="G579">
            <v>153.95407544055536</v>
          </cell>
          <cell r="H579">
            <v>222.45873153779323</v>
          </cell>
        </row>
        <row r="580">
          <cell r="B580">
            <v>44031</v>
          </cell>
          <cell r="F580">
            <v>202.69788634641165</v>
          </cell>
          <cell r="G580">
            <v>151.80834021068983</v>
          </cell>
          <cell r="H580">
            <v>214.90008688097308</v>
          </cell>
        </row>
        <row r="581">
          <cell r="B581">
            <v>44030</v>
          </cell>
          <cell r="F581">
            <v>202.69788634641165</v>
          </cell>
          <cell r="G581">
            <v>151.80834021068983</v>
          </cell>
          <cell r="H581">
            <v>214.90008688097308</v>
          </cell>
        </row>
        <row r="582">
          <cell r="B582">
            <v>44029</v>
          </cell>
          <cell r="F582">
            <v>202.69788634641165</v>
          </cell>
          <cell r="G582">
            <v>151.80834021068983</v>
          </cell>
          <cell r="H582">
            <v>214.90008688097308</v>
          </cell>
        </row>
        <row r="583">
          <cell r="B583">
            <v>44028</v>
          </cell>
          <cell r="F583">
            <v>197.45764249533067</v>
          </cell>
          <cell r="G583">
            <v>151.14325938152336</v>
          </cell>
          <cell r="H583">
            <v>217.63683753258039</v>
          </cell>
        </row>
        <row r="584">
          <cell r="B584">
            <v>44027</v>
          </cell>
          <cell r="F584">
            <v>200.17600811865012</v>
          </cell>
          <cell r="G584">
            <v>152.32778290208259</v>
          </cell>
          <cell r="H584">
            <v>219.41789748045178</v>
          </cell>
        </row>
        <row r="585">
          <cell r="B585">
            <v>44026</v>
          </cell>
          <cell r="F585">
            <v>200.73072378897643</v>
          </cell>
          <cell r="G585">
            <v>152.95888149910189</v>
          </cell>
          <cell r="H585">
            <v>215.94265855777587</v>
          </cell>
        </row>
        <row r="586">
          <cell r="B586">
            <v>44025</v>
          </cell>
          <cell r="F586">
            <v>195.92705125100784</v>
          </cell>
          <cell r="G586">
            <v>151.12869556774601</v>
          </cell>
          <cell r="H586">
            <v>214.85664639443965</v>
          </cell>
        </row>
        <row r="587">
          <cell r="B587">
            <v>44024</v>
          </cell>
          <cell r="F587">
            <v>192.41481603596881</v>
          </cell>
          <cell r="G587">
            <v>155.0754891014127</v>
          </cell>
          <cell r="H587">
            <v>220.24326672458733</v>
          </cell>
        </row>
        <row r="588">
          <cell r="B588">
            <v>44023</v>
          </cell>
          <cell r="F588">
            <v>192.41481603596881</v>
          </cell>
          <cell r="G588">
            <v>155.0754891014127</v>
          </cell>
          <cell r="H588">
            <v>220.24326672458733</v>
          </cell>
        </row>
        <row r="589">
          <cell r="B589">
            <v>44022</v>
          </cell>
          <cell r="F589">
            <v>192.41481603596881</v>
          </cell>
          <cell r="G589">
            <v>155.0754891014127</v>
          </cell>
          <cell r="H589">
            <v>220.24326672458733</v>
          </cell>
        </row>
        <row r="590">
          <cell r="B590">
            <v>44021</v>
          </cell>
          <cell r="F590">
            <v>190.81916764756542</v>
          </cell>
          <cell r="G590">
            <v>156.07553764745862</v>
          </cell>
          <cell r="H590">
            <v>217.11555169417895</v>
          </cell>
        </row>
        <row r="591">
          <cell r="B591">
            <v>44020</v>
          </cell>
          <cell r="F591">
            <v>188.4786027186901</v>
          </cell>
          <cell r="G591">
            <v>155.13859896111461</v>
          </cell>
          <cell r="H591">
            <v>215.94265855777587</v>
          </cell>
        </row>
        <row r="592">
          <cell r="B592">
            <v>44019</v>
          </cell>
          <cell r="F592">
            <v>186.86187617740481</v>
          </cell>
          <cell r="G592">
            <v>152.00737899898053</v>
          </cell>
          <cell r="H592">
            <v>213.24934839270199</v>
          </cell>
        </row>
        <row r="593">
          <cell r="B593">
            <v>44018</v>
          </cell>
          <cell r="F593">
            <v>187.16384141716952</v>
          </cell>
          <cell r="G593">
            <v>154.75993980290306</v>
          </cell>
          <cell r="H593">
            <v>221.19895742832321</v>
          </cell>
        </row>
        <row r="594">
          <cell r="B594">
            <v>44017</v>
          </cell>
          <cell r="F594">
            <v>182.01096829403355</v>
          </cell>
          <cell r="G594">
            <v>153.14821107820768</v>
          </cell>
          <cell r="H594">
            <v>216.46394439617725</v>
          </cell>
        </row>
        <row r="595">
          <cell r="B595">
            <v>44016</v>
          </cell>
          <cell r="F595">
            <v>182.01096829403355</v>
          </cell>
          <cell r="G595">
            <v>153.14821107820768</v>
          </cell>
          <cell r="H595">
            <v>216.46394439617725</v>
          </cell>
        </row>
        <row r="596">
          <cell r="B596">
            <v>44015</v>
          </cell>
          <cell r="F596">
            <v>182.01096829403355</v>
          </cell>
          <cell r="G596">
            <v>153.14821107820768</v>
          </cell>
          <cell r="H596">
            <v>216.46394439617725</v>
          </cell>
        </row>
        <row r="597">
          <cell r="B597">
            <v>44014</v>
          </cell>
          <cell r="F597">
            <v>177.95872246507608</v>
          </cell>
          <cell r="G597">
            <v>153.14821107820768</v>
          </cell>
          <cell r="H597">
            <v>216.46394439617725</v>
          </cell>
        </row>
        <row r="598">
          <cell r="B598">
            <v>44013</v>
          </cell>
          <cell r="F598">
            <v>175.47768341944902</v>
          </cell>
          <cell r="G598">
            <v>151.81804941987477</v>
          </cell>
          <cell r="H598">
            <v>215.89921807124242</v>
          </cell>
        </row>
        <row r="599">
          <cell r="B599">
            <v>44012</v>
          </cell>
          <cell r="F599">
            <v>173.11411244159814</v>
          </cell>
          <cell r="G599">
            <v>153.21617554250207</v>
          </cell>
          <cell r="H599">
            <v>223.80538662033018</v>
          </cell>
        </row>
        <row r="600">
          <cell r="B600">
            <v>44011</v>
          </cell>
          <cell r="F600">
            <v>172.35007740305261</v>
          </cell>
          <cell r="G600">
            <v>150.38594106510024</v>
          </cell>
          <cell r="H600">
            <v>213.48827106863598</v>
          </cell>
        </row>
        <row r="601">
          <cell r="B601">
            <v>44010</v>
          </cell>
          <cell r="F601">
            <v>174.97237807726381</v>
          </cell>
          <cell r="G601">
            <v>149.23539977668821</v>
          </cell>
          <cell r="H601">
            <v>210.64291920069508</v>
          </cell>
        </row>
        <row r="602">
          <cell r="B602">
            <v>44009</v>
          </cell>
          <cell r="F602">
            <v>174.97237807726381</v>
          </cell>
          <cell r="G602">
            <v>149.23539977668821</v>
          </cell>
          <cell r="H602">
            <v>210.64291920069508</v>
          </cell>
        </row>
        <row r="603">
          <cell r="B603">
            <v>44008</v>
          </cell>
          <cell r="F603">
            <v>174.97237807726381</v>
          </cell>
          <cell r="G603">
            <v>149.23539977668821</v>
          </cell>
          <cell r="H603">
            <v>210.64291920069508</v>
          </cell>
        </row>
        <row r="604">
          <cell r="B604">
            <v>44007</v>
          </cell>
          <cell r="F604">
            <v>174.97237807726381</v>
          </cell>
          <cell r="G604">
            <v>149.93446283800185</v>
          </cell>
          <cell r="H604">
            <v>213.68375325803649</v>
          </cell>
        </row>
        <row r="605">
          <cell r="B605">
            <v>44006</v>
          </cell>
          <cell r="F605">
            <v>174.97237807726381</v>
          </cell>
          <cell r="G605">
            <v>149.02179717462013</v>
          </cell>
          <cell r="H605">
            <v>209.77410947002605</v>
          </cell>
        </row>
        <row r="606">
          <cell r="B606">
            <v>44005</v>
          </cell>
          <cell r="F606">
            <v>173.43013154628972</v>
          </cell>
          <cell r="G606">
            <v>151.12384096315355</v>
          </cell>
          <cell r="H606">
            <v>216.50738488271068</v>
          </cell>
        </row>
        <row r="607">
          <cell r="B607">
            <v>44004</v>
          </cell>
          <cell r="F607">
            <v>171.50559522066371</v>
          </cell>
          <cell r="G607">
            <v>152.2112723918637</v>
          </cell>
          <cell r="H607">
            <v>222.19808861859255</v>
          </cell>
        </row>
        <row r="608">
          <cell r="B608">
            <v>44003</v>
          </cell>
          <cell r="F608">
            <v>172.90320959758984</v>
          </cell>
          <cell r="G608">
            <v>146.98286324578862</v>
          </cell>
          <cell r="H608">
            <v>220.80799304952214</v>
          </cell>
        </row>
        <row r="609">
          <cell r="B609">
            <v>44002</v>
          </cell>
          <cell r="F609">
            <v>172.90320959758984</v>
          </cell>
          <cell r="G609">
            <v>146.98286324578862</v>
          </cell>
          <cell r="H609">
            <v>220.80799304952214</v>
          </cell>
        </row>
        <row r="610">
          <cell r="B610">
            <v>44001</v>
          </cell>
          <cell r="F610">
            <v>172.90320959758984</v>
          </cell>
          <cell r="G610">
            <v>146.98286324578862</v>
          </cell>
          <cell r="H610">
            <v>220.80799304952214</v>
          </cell>
        </row>
        <row r="611">
          <cell r="B611">
            <v>44000</v>
          </cell>
          <cell r="F611">
            <v>172.85647426371159</v>
          </cell>
          <cell r="G611">
            <v>154.72110296616339</v>
          </cell>
          <cell r="H611">
            <v>219.28757602085142</v>
          </cell>
        </row>
        <row r="612">
          <cell r="B612">
            <v>43999</v>
          </cell>
          <cell r="F612">
            <v>173.04358593363</v>
          </cell>
          <cell r="G612">
            <v>152.16272634593912</v>
          </cell>
          <cell r="H612">
            <v>221.37271937445701</v>
          </cell>
        </row>
        <row r="613">
          <cell r="B613">
            <v>43998</v>
          </cell>
          <cell r="F613">
            <v>172.79849823520121</v>
          </cell>
          <cell r="G613">
            <v>150.84227389679111</v>
          </cell>
          <cell r="H613">
            <v>221.63336229365771</v>
          </cell>
        </row>
        <row r="614">
          <cell r="B614">
            <v>43997</v>
          </cell>
          <cell r="F614">
            <v>169.92463768426506</v>
          </cell>
          <cell r="G614">
            <v>147.6236710519928</v>
          </cell>
          <cell r="H614">
            <v>213.90095569070377</v>
          </cell>
        </row>
        <row r="615">
          <cell r="B615">
            <v>43996</v>
          </cell>
          <cell r="F615">
            <v>173.49332959039643</v>
          </cell>
          <cell r="G615">
            <v>145.75950288848972</v>
          </cell>
          <cell r="H615">
            <v>211.51172893136402</v>
          </cell>
        </row>
        <row r="616">
          <cell r="B616">
            <v>43995</v>
          </cell>
          <cell r="F616">
            <v>173.49332959039643</v>
          </cell>
          <cell r="G616">
            <v>145.75950288848972</v>
          </cell>
          <cell r="H616">
            <v>211.51172893136402</v>
          </cell>
        </row>
        <row r="617">
          <cell r="B617">
            <v>43994</v>
          </cell>
          <cell r="F617">
            <v>173.49332959039643</v>
          </cell>
          <cell r="G617">
            <v>145.75950288848972</v>
          </cell>
          <cell r="H617">
            <v>211.51172893136402</v>
          </cell>
        </row>
        <row r="618">
          <cell r="B618">
            <v>43993</v>
          </cell>
          <cell r="F618">
            <v>175.60834798700617</v>
          </cell>
          <cell r="G618">
            <v>142.60400990339338</v>
          </cell>
          <cell r="H618">
            <v>210.77324066029539</v>
          </cell>
        </row>
        <row r="619">
          <cell r="B619">
            <v>43992</v>
          </cell>
          <cell r="F619">
            <v>177.31336853755457</v>
          </cell>
          <cell r="G619">
            <v>152.93946308073208</v>
          </cell>
          <cell r="H619">
            <v>227.93223284100782</v>
          </cell>
        </row>
        <row r="620">
          <cell r="B620">
            <v>43991</v>
          </cell>
          <cell r="F620">
            <v>174.58065703591237</v>
          </cell>
          <cell r="G620">
            <v>153.07539200932084</v>
          </cell>
          <cell r="H620">
            <v>230.88618592528238</v>
          </cell>
        </row>
        <row r="621">
          <cell r="B621">
            <v>43990</v>
          </cell>
          <cell r="F621">
            <v>174.41478991092973</v>
          </cell>
          <cell r="G621">
            <v>154.14340501966112</v>
          </cell>
          <cell r="H621">
            <v>233.27541268462207</v>
          </cell>
        </row>
        <row r="622">
          <cell r="B622">
            <v>43989</v>
          </cell>
          <cell r="F622">
            <v>170.75758994040424</v>
          </cell>
          <cell r="G622">
            <v>153.92980241759307</v>
          </cell>
          <cell r="H622">
            <v>233.36229365768895</v>
          </cell>
        </row>
        <row r="623">
          <cell r="B623">
            <v>43988</v>
          </cell>
          <cell r="F623">
            <v>170.75758994040424</v>
          </cell>
          <cell r="G623">
            <v>153.92980241759307</v>
          </cell>
          <cell r="H623">
            <v>233.36229365768895</v>
          </cell>
        </row>
        <row r="624">
          <cell r="B624">
            <v>43987</v>
          </cell>
          <cell r="F624">
            <v>170.75758994040424</v>
          </cell>
          <cell r="G624">
            <v>153.92980241759307</v>
          </cell>
          <cell r="H624">
            <v>233.36229365768895</v>
          </cell>
        </row>
        <row r="625">
          <cell r="B625">
            <v>43986</v>
          </cell>
          <cell r="F625">
            <v>166.5360289314786</v>
          </cell>
          <cell r="G625">
            <v>149.95388125637166</v>
          </cell>
          <cell r="H625">
            <v>222.50217202432668</v>
          </cell>
        </row>
        <row r="626">
          <cell r="B626">
            <v>43985</v>
          </cell>
          <cell r="F626">
            <v>163.76006441223797</v>
          </cell>
          <cell r="G626">
            <v>150.26457595028884</v>
          </cell>
          <cell r="H626">
            <v>212.51086012163336</v>
          </cell>
        </row>
        <row r="627">
          <cell r="B627">
            <v>43984</v>
          </cell>
          <cell r="F627">
            <v>161.17167496402948</v>
          </cell>
          <cell r="G627">
            <v>144.69634448274186</v>
          </cell>
          <cell r="H627">
            <v>203.38835794960906</v>
          </cell>
        </row>
        <row r="628">
          <cell r="B628">
            <v>43983</v>
          </cell>
          <cell r="F628">
            <v>160.85922930115282</v>
          </cell>
          <cell r="G628">
            <v>140.77867857662994</v>
          </cell>
          <cell r="H628">
            <v>201.3032145960035</v>
          </cell>
        </row>
        <row r="629">
          <cell r="B629">
            <v>43982</v>
          </cell>
          <cell r="F629">
            <v>158.63014841107278</v>
          </cell>
          <cell r="G629">
            <v>141.40006796446428</v>
          </cell>
          <cell r="H629">
            <v>208.12337098175499</v>
          </cell>
        </row>
        <row r="630">
          <cell r="B630">
            <v>43981</v>
          </cell>
          <cell r="F630">
            <v>158.63014841107278</v>
          </cell>
          <cell r="G630">
            <v>141.40006796446428</v>
          </cell>
          <cell r="H630">
            <v>208.12337098175499</v>
          </cell>
        </row>
        <row r="631">
          <cell r="B631">
            <v>43980</v>
          </cell>
          <cell r="F631">
            <v>158.63014841107278</v>
          </cell>
          <cell r="G631">
            <v>141.40006796446428</v>
          </cell>
          <cell r="H631">
            <v>208.12337098175499</v>
          </cell>
        </row>
        <row r="632">
          <cell r="B632">
            <v>43979</v>
          </cell>
          <cell r="F632">
            <v>159.49826765234468</v>
          </cell>
          <cell r="G632">
            <v>137.45327443079759</v>
          </cell>
          <cell r="H632">
            <v>201.86794092093828</v>
          </cell>
        </row>
        <row r="633">
          <cell r="B633">
            <v>43978</v>
          </cell>
          <cell r="F633">
            <v>160.60815640416726</v>
          </cell>
          <cell r="G633">
            <v>139.61357347444047</v>
          </cell>
          <cell r="H633">
            <v>214.81320590790619</v>
          </cell>
        </row>
        <row r="634">
          <cell r="B634">
            <v>43977</v>
          </cell>
          <cell r="F634">
            <v>160.44580604827595</v>
          </cell>
          <cell r="G634">
            <v>136.90955871644252</v>
          </cell>
          <cell r="H634">
            <v>198.95742832319721</v>
          </cell>
        </row>
        <row r="635">
          <cell r="B635">
            <v>43976</v>
          </cell>
          <cell r="F635">
            <v>158.20220363101291</v>
          </cell>
          <cell r="G635">
            <v>134.3026360502937</v>
          </cell>
          <cell r="H635">
            <v>195.22154648132059</v>
          </cell>
        </row>
        <row r="636">
          <cell r="B636">
            <v>43975</v>
          </cell>
          <cell r="F636">
            <v>157.97070617649959</v>
          </cell>
          <cell r="G636">
            <v>134.3026360502937</v>
          </cell>
          <cell r="H636">
            <v>195.22154648132059</v>
          </cell>
        </row>
        <row r="637">
          <cell r="B637">
            <v>43974</v>
          </cell>
          <cell r="F637">
            <v>157.97070617649959</v>
          </cell>
          <cell r="G637">
            <v>134.3026360502937</v>
          </cell>
          <cell r="H637">
            <v>195.22154648132059</v>
          </cell>
        </row>
        <row r="638">
          <cell r="B638">
            <v>43973</v>
          </cell>
          <cell r="F638">
            <v>157.97070617649959</v>
          </cell>
          <cell r="G638">
            <v>134.3026360502937</v>
          </cell>
          <cell r="H638">
            <v>195.22154648132059</v>
          </cell>
        </row>
        <row r="639">
          <cell r="B639">
            <v>43972</v>
          </cell>
          <cell r="F639">
            <v>161.73687389682314</v>
          </cell>
          <cell r="G639">
            <v>133.40453420068937</v>
          </cell>
          <cell r="H639">
            <v>196.43788010425715</v>
          </cell>
        </row>
        <row r="640">
          <cell r="B640">
            <v>43971</v>
          </cell>
          <cell r="F640">
            <v>159.87148773376427</v>
          </cell>
          <cell r="G640">
            <v>135.28812078256226</v>
          </cell>
          <cell r="H640">
            <v>202.60642919200697</v>
          </cell>
        </row>
        <row r="641">
          <cell r="B641">
            <v>43970</v>
          </cell>
          <cell r="F641">
            <v>158.43259492607976</v>
          </cell>
          <cell r="G641">
            <v>132.02097189183939</v>
          </cell>
          <cell r="H641">
            <v>196.00347523892268</v>
          </cell>
        </row>
        <row r="642">
          <cell r="B642">
            <v>43969</v>
          </cell>
          <cell r="F642">
            <v>157.61206683661672</v>
          </cell>
          <cell r="G642">
            <v>132.78799941744742</v>
          </cell>
          <cell r="H642">
            <v>199.47871416159862</v>
          </cell>
        </row>
        <row r="643">
          <cell r="B643">
            <v>43968</v>
          </cell>
          <cell r="F643">
            <v>161.83562591387923</v>
          </cell>
          <cell r="G643">
            <v>126.41875819214525</v>
          </cell>
          <cell r="H643">
            <v>192.91920069504778</v>
          </cell>
        </row>
        <row r="644">
          <cell r="B644">
            <v>43967</v>
          </cell>
          <cell r="F644">
            <v>161.83562591387923</v>
          </cell>
          <cell r="G644">
            <v>126.41875819214525</v>
          </cell>
          <cell r="H644">
            <v>192.91920069504778</v>
          </cell>
        </row>
        <row r="645">
          <cell r="B645">
            <v>43966</v>
          </cell>
          <cell r="F645">
            <v>161.83562591387923</v>
          </cell>
          <cell r="G645">
            <v>126.41875819214525</v>
          </cell>
          <cell r="H645">
            <v>192.91920069504778</v>
          </cell>
        </row>
        <row r="646">
          <cell r="B646">
            <v>43965</v>
          </cell>
          <cell r="F646">
            <v>159.51967468082466</v>
          </cell>
          <cell r="G646">
            <v>129.42375843487548</v>
          </cell>
          <cell r="H646">
            <v>198.65334491746307</v>
          </cell>
        </row>
        <row r="647">
          <cell r="B647">
            <v>43964</v>
          </cell>
          <cell r="F647">
            <v>161.59465993903075</v>
          </cell>
          <cell r="G647">
            <v>127.74891985047816</v>
          </cell>
          <cell r="H647">
            <v>189.09643788010428</v>
          </cell>
        </row>
        <row r="648">
          <cell r="B648">
            <v>43963</v>
          </cell>
          <cell r="F648">
            <v>160.44208463131903</v>
          </cell>
          <cell r="G648">
            <v>130.32186028447981</v>
          </cell>
          <cell r="H648">
            <v>198.47958297132928</v>
          </cell>
        </row>
        <row r="649">
          <cell r="B649">
            <v>43962</v>
          </cell>
          <cell r="F649">
            <v>163.97394346893688</v>
          </cell>
          <cell r="G649">
            <v>133.69581047623669</v>
          </cell>
          <cell r="H649">
            <v>209.38314509122503</v>
          </cell>
        </row>
        <row r="650">
          <cell r="B650">
            <v>43961</v>
          </cell>
          <cell r="F650">
            <v>162.15415448955412</v>
          </cell>
          <cell r="G650">
            <v>133.5161901063158</v>
          </cell>
          <cell r="H650">
            <v>209.60034752389225</v>
          </cell>
        </row>
        <row r="651">
          <cell r="B651">
            <v>43960</v>
          </cell>
          <cell r="F651">
            <v>162.15415448955412</v>
          </cell>
          <cell r="G651">
            <v>133.5161901063158</v>
          </cell>
          <cell r="H651">
            <v>209.60034752389225</v>
          </cell>
        </row>
        <row r="652">
          <cell r="B652">
            <v>43959</v>
          </cell>
          <cell r="F652">
            <v>162.15415448955412</v>
          </cell>
          <cell r="G652">
            <v>133.5161901063158</v>
          </cell>
          <cell r="H652">
            <v>209.60034752389225</v>
          </cell>
        </row>
        <row r="653">
          <cell r="B653">
            <v>43958</v>
          </cell>
          <cell r="F653">
            <v>161.93711697308831</v>
          </cell>
          <cell r="G653">
            <v>129.98203796300791</v>
          </cell>
          <cell r="H653">
            <v>202.38922675933972</v>
          </cell>
        </row>
        <row r="654">
          <cell r="B654">
            <v>43957</v>
          </cell>
          <cell r="F654">
            <v>160.52440148986358</v>
          </cell>
          <cell r="G654">
            <v>128.24894412350113</v>
          </cell>
          <cell r="H654">
            <v>200.17376194613382</v>
          </cell>
        </row>
        <row r="655">
          <cell r="B655">
            <v>43956</v>
          </cell>
          <cell r="F655">
            <v>160.9615707609949</v>
          </cell>
          <cell r="G655">
            <v>128.58391184038061</v>
          </cell>
          <cell r="H655">
            <v>197.26324934839269</v>
          </cell>
        </row>
        <row r="656">
          <cell r="B656">
            <v>43955</v>
          </cell>
          <cell r="F656">
            <v>160.99110142655496</v>
          </cell>
          <cell r="G656">
            <v>127.31686004174958</v>
          </cell>
          <cell r="H656">
            <v>193.13640312771503</v>
          </cell>
        </row>
        <row r="657">
          <cell r="B657">
            <v>43954</v>
          </cell>
          <cell r="F657">
            <v>166.35414800883569</v>
          </cell>
          <cell r="G657">
            <v>126.07408126608087</v>
          </cell>
          <cell r="H657">
            <v>195.742832319722</v>
          </cell>
        </row>
        <row r="658">
          <cell r="B658">
            <v>43953</v>
          </cell>
          <cell r="F658">
            <v>166.35414800883569</v>
          </cell>
          <cell r="G658">
            <v>126.07408126608087</v>
          </cell>
          <cell r="H658">
            <v>195.742832319722</v>
          </cell>
        </row>
        <row r="659">
          <cell r="B659">
            <v>43952</v>
          </cell>
          <cell r="F659">
            <v>166.35414800883569</v>
          </cell>
          <cell r="G659">
            <v>126.07408126608087</v>
          </cell>
          <cell r="H659">
            <v>195.742832319722</v>
          </cell>
        </row>
        <row r="660">
          <cell r="B660">
            <v>43951</v>
          </cell>
          <cell r="F660">
            <v>166.35414800883569</v>
          </cell>
          <cell r="G660">
            <v>131.86076994028838</v>
          </cell>
          <cell r="H660">
            <v>208.03649000868808</v>
          </cell>
        </row>
        <row r="661">
          <cell r="B661">
            <v>43950</v>
          </cell>
          <cell r="F661">
            <v>163.05915499653153</v>
          </cell>
          <cell r="G661">
            <v>133.99679596096897</v>
          </cell>
          <cell r="H661">
            <v>216.46394439617725</v>
          </cell>
        </row>
        <row r="662">
          <cell r="B662">
            <v>43949</v>
          </cell>
          <cell r="F662">
            <v>160.98876985893008</v>
          </cell>
          <cell r="G662">
            <v>128.51594737608622</v>
          </cell>
          <cell r="H662">
            <v>196.82884448305822</v>
          </cell>
        </row>
        <row r="663">
          <cell r="B663">
            <v>43948</v>
          </cell>
          <cell r="F663">
            <v>161.42605190224236</v>
          </cell>
          <cell r="G663">
            <v>130.32186028447981</v>
          </cell>
          <cell r="H663">
            <v>196.69852302345788</v>
          </cell>
        </row>
        <row r="664">
          <cell r="B664">
            <v>43947</v>
          </cell>
          <cell r="F664">
            <v>158.9945330969268</v>
          </cell>
          <cell r="G664">
            <v>128.55478421282587</v>
          </cell>
          <cell r="H664">
            <v>191.83318853171153</v>
          </cell>
        </row>
        <row r="665">
          <cell r="B665">
            <v>43946</v>
          </cell>
          <cell r="F665">
            <v>158.9945330969268</v>
          </cell>
          <cell r="G665">
            <v>128.55478421282587</v>
          </cell>
          <cell r="H665">
            <v>191.83318853171153</v>
          </cell>
        </row>
        <row r="666">
          <cell r="B666">
            <v>43945</v>
          </cell>
          <cell r="F666">
            <v>158.9945330969268</v>
          </cell>
          <cell r="G666">
            <v>128.55478421282587</v>
          </cell>
          <cell r="H666">
            <v>191.83318853171153</v>
          </cell>
        </row>
        <row r="667">
          <cell r="B667">
            <v>43944</v>
          </cell>
          <cell r="F667">
            <v>159.90673461316484</v>
          </cell>
          <cell r="G667">
            <v>125.70027671246177</v>
          </cell>
          <cell r="H667">
            <v>190.13900955690707</v>
          </cell>
        </row>
        <row r="668">
          <cell r="B668">
            <v>43943</v>
          </cell>
          <cell r="F668">
            <v>158.98396235474891</v>
          </cell>
          <cell r="G668">
            <v>126.20515559007718</v>
          </cell>
          <cell r="H668">
            <v>190.74717636837531</v>
          </cell>
        </row>
        <row r="669">
          <cell r="B669">
            <v>43942</v>
          </cell>
          <cell r="F669">
            <v>159.54593893619102</v>
          </cell>
          <cell r="G669">
            <v>120.22428273217147</v>
          </cell>
          <cell r="H669">
            <v>179.88705473501304</v>
          </cell>
        </row>
        <row r="670">
          <cell r="B670">
            <v>43941</v>
          </cell>
          <cell r="F670">
            <v>164.68172477363674</v>
          </cell>
          <cell r="G670">
            <v>125.38472741395212</v>
          </cell>
          <cell r="H670">
            <v>188.53171155516941</v>
          </cell>
        </row>
        <row r="671">
          <cell r="B671">
            <v>43940</v>
          </cell>
          <cell r="F671">
            <v>166.00284676695603</v>
          </cell>
          <cell r="G671">
            <v>129.07422690421865</v>
          </cell>
          <cell r="H671">
            <v>198.52302345786273</v>
          </cell>
        </row>
        <row r="672">
          <cell r="B672">
            <v>43939</v>
          </cell>
          <cell r="F672">
            <v>166.00284676695603</v>
          </cell>
          <cell r="G672">
            <v>129.07422690421865</v>
          </cell>
          <cell r="H672">
            <v>198.52302345786273</v>
          </cell>
        </row>
        <row r="673">
          <cell r="B673">
            <v>43938</v>
          </cell>
          <cell r="F673">
            <v>166.00284676695603</v>
          </cell>
          <cell r="G673">
            <v>129.07422690421865</v>
          </cell>
          <cell r="H673">
            <v>198.52302345786273</v>
          </cell>
        </row>
        <row r="674">
          <cell r="B674">
            <v>43937</v>
          </cell>
          <cell r="F674">
            <v>154.80474281876005</v>
          </cell>
          <cell r="G674">
            <v>125.3895820185446</v>
          </cell>
          <cell r="H674">
            <v>197.7845351867941</v>
          </cell>
        </row>
        <row r="675">
          <cell r="B675">
            <v>43936</v>
          </cell>
          <cell r="F675">
            <v>155.44317423035821</v>
          </cell>
          <cell r="G675">
            <v>124.97694062818583</v>
          </cell>
          <cell r="H675">
            <v>201.69417897480452</v>
          </cell>
        </row>
        <row r="676">
          <cell r="B676">
            <v>43935</v>
          </cell>
          <cell r="F676">
            <v>154.33772075138305</v>
          </cell>
          <cell r="G676">
            <v>129.92378270789843</v>
          </cell>
          <cell r="H676">
            <v>206.86359687228494</v>
          </cell>
        </row>
        <row r="677">
          <cell r="B677">
            <v>43934</v>
          </cell>
          <cell r="F677">
            <v>150.66726599368189</v>
          </cell>
          <cell r="G677">
            <v>126.18088256711491</v>
          </cell>
          <cell r="H677">
            <v>200.56472632493487</v>
          </cell>
        </row>
        <row r="678">
          <cell r="B678">
            <v>43933</v>
          </cell>
          <cell r="F678">
            <v>151.3743912948201</v>
          </cell>
          <cell r="G678">
            <v>123.45259478615466</v>
          </cell>
          <cell r="H678">
            <v>200.39096437880107</v>
          </cell>
        </row>
        <row r="679">
          <cell r="B679">
            <v>43932</v>
          </cell>
          <cell r="F679">
            <v>151.3743912948201</v>
          </cell>
          <cell r="G679">
            <v>123.45259478615466</v>
          </cell>
          <cell r="H679">
            <v>200.39096437880107</v>
          </cell>
        </row>
        <row r="680">
          <cell r="B680">
            <v>43931</v>
          </cell>
          <cell r="F680">
            <v>151.3743912948201</v>
          </cell>
          <cell r="G680">
            <v>123.45259478615466</v>
          </cell>
          <cell r="H680">
            <v>200.39096437880107</v>
          </cell>
        </row>
        <row r="681">
          <cell r="B681">
            <v>43930</v>
          </cell>
          <cell r="F681">
            <v>153.10683790462957</v>
          </cell>
          <cell r="G681">
            <v>123.45259478615466</v>
          </cell>
          <cell r="H681">
            <v>200.39096437880107</v>
          </cell>
        </row>
        <row r="682">
          <cell r="B682">
            <v>43929</v>
          </cell>
          <cell r="F682">
            <v>153.98913188463789</v>
          </cell>
          <cell r="G682">
            <v>126.75372590902472</v>
          </cell>
          <cell r="H682">
            <v>209.77410947002605</v>
          </cell>
        </row>
        <row r="683">
          <cell r="B683">
            <v>43928</v>
          </cell>
          <cell r="F683">
            <v>152.99998012949595</v>
          </cell>
          <cell r="G683">
            <v>122.9525705131317</v>
          </cell>
          <cell r="H683">
            <v>202.17202432667247</v>
          </cell>
        </row>
        <row r="684">
          <cell r="B684">
            <v>43927</v>
          </cell>
          <cell r="F684">
            <v>148.40267670659412</v>
          </cell>
          <cell r="G684">
            <v>122.54963833195787</v>
          </cell>
          <cell r="H684">
            <v>201.43353605560384</v>
          </cell>
        </row>
        <row r="685">
          <cell r="B685">
            <v>43926</v>
          </cell>
          <cell r="F685">
            <v>145.79901131630962</v>
          </cell>
          <cell r="G685">
            <v>113.72396718287294</v>
          </cell>
          <cell r="H685">
            <v>179.06168549087749</v>
          </cell>
        </row>
        <row r="686">
          <cell r="B686">
            <v>43925</v>
          </cell>
          <cell r="F686">
            <v>145.79901131630962</v>
          </cell>
          <cell r="G686">
            <v>113.72396718287294</v>
          </cell>
          <cell r="H686">
            <v>179.06168549087749</v>
          </cell>
        </row>
        <row r="687">
          <cell r="B687">
            <v>43924</v>
          </cell>
          <cell r="F687">
            <v>145.79901131630962</v>
          </cell>
          <cell r="G687">
            <v>113.72396718287294</v>
          </cell>
          <cell r="H687">
            <v>179.06168549087749</v>
          </cell>
        </row>
        <row r="688">
          <cell r="B688">
            <v>43923</v>
          </cell>
          <cell r="F688">
            <v>145.79901131630962</v>
          </cell>
          <cell r="G688">
            <v>115.08325646876061</v>
          </cell>
          <cell r="H688">
            <v>178.49695916594268</v>
          </cell>
        </row>
        <row r="689">
          <cell r="B689">
            <v>43922</v>
          </cell>
          <cell r="F689">
            <v>145.79901131630962</v>
          </cell>
          <cell r="G689">
            <v>108.56352250109227</v>
          </cell>
          <cell r="H689">
            <v>173.28410078192877</v>
          </cell>
        </row>
        <row r="690">
          <cell r="B690">
            <v>43921</v>
          </cell>
          <cell r="F690">
            <v>147.25821462308846</v>
          </cell>
          <cell r="G690">
            <v>115.10267488713043</v>
          </cell>
          <cell r="H690">
            <v>182.71068635968723</v>
          </cell>
        </row>
        <row r="691">
          <cell r="B691">
            <v>43920</v>
          </cell>
          <cell r="F691">
            <v>143.72687500742737</v>
          </cell>
          <cell r="G691">
            <v>116.56391086945968</v>
          </cell>
          <cell r="H691">
            <v>193.39704604691573</v>
          </cell>
        </row>
        <row r="692">
          <cell r="B692">
            <v>43919</v>
          </cell>
          <cell r="F692">
            <v>147.14371440457393</v>
          </cell>
          <cell r="G692">
            <v>111.99087334336618</v>
          </cell>
          <cell r="H692">
            <v>188.879235447437</v>
          </cell>
        </row>
        <row r="693">
          <cell r="B693">
            <v>43918</v>
          </cell>
          <cell r="F693">
            <v>147.14371440457393</v>
          </cell>
          <cell r="G693">
            <v>111.99087334336618</v>
          </cell>
          <cell r="H693">
            <v>188.879235447437</v>
          </cell>
        </row>
        <row r="694">
          <cell r="B694">
            <v>43917</v>
          </cell>
          <cell r="F694">
            <v>147.14371440457393</v>
          </cell>
          <cell r="G694">
            <v>111.99087334336618</v>
          </cell>
          <cell r="H694">
            <v>188.879235447437</v>
          </cell>
        </row>
        <row r="695">
          <cell r="B695">
            <v>43916</v>
          </cell>
          <cell r="F695">
            <v>150.80170887348748</v>
          </cell>
          <cell r="G695">
            <v>118.04941987475119</v>
          </cell>
          <cell r="H695">
            <v>194.56993918331887</v>
          </cell>
        </row>
        <row r="696">
          <cell r="B696">
            <v>43915</v>
          </cell>
          <cell r="F696">
            <v>148.74767198736441</v>
          </cell>
          <cell r="G696">
            <v>105.61192290887907</v>
          </cell>
          <cell r="H696">
            <v>184.622067767159</v>
          </cell>
        </row>
        <row r="697">
          <cell r="B697">
            <v>43914</v>
          </cell>
          <cell r="F697">
            <v>144.27488703043221</v>
          </cell>
          <cell r="G697">
            <v>103.28656730909267</v>
          </cell>
          <cell r="H697">
            <v>187.9669852302346</v>
          </cell>
        </row>
        <row r="698">
          <cell r="B698">
            <v>43913</v>
          </cell>
          <cell r="F698">
            <v>137.13296044943374</v>
          </cell>
          <cell r="G698">
            <v>93.922035050245157</v>
          </cell>
          <cell r="H698">
            <v>166.15986099044309</v>
          </cell>
        </row>
        <row r="699">
          <cell r="B699">
            <v>43912</v>
          </cell>
          <cell r="F699">
            <v>145.12284345424942</v>
          </cell>
          <cell r="G699">
            <v>93.315209476188159</v>
          </cell>
          <cell r="H699">
            <v>156.86359687228497</v>
          </cell>
        </row>
        <row r="700">
          <cell r="B700">
            <v>43911</v>
          </cell>
          <cell r="F700">
            <v>145.12284345424942</v>
          </cell>
          <cell r="G700">
            <v>93.315209476188159</v>
          </cell>
          <cell r="H700">
            <v>156.86359687228497</v>
          </cell>
        </row>
        <row r="701">
          <cell r="B701">
            <v>43910</v>
          </cell>
          <cell r="F701">
            <v>145.12284345424942</v>
          </cell>
          <cell r="G701">
            <v>93.315209476188159</v>
          </cell>
          <cell r="H701">
            <v>156.86359687228497</v>
          </cell>
        </row>
        <row r="702">
          <cell r="B702">
            <v>43909</v>
          </cell>
          <cell r="F702">
            <v>132.42727646614208</v>
          </cell>
          <cell r="G702">
            <v>94.397786300305825</v>
          </cell>
          <cell r="H702">
            <v>157.64552562988706</v>
          </cell>
        </row>
        <row r="703">
          <cell r="B703">
            <v>43908</v>
          </cell>
          <cell r="F703">
            <v>139.35653705011205</v>
          </cell>
          <cell r="G703">
            <v>81.494247293557947</v>
          </cell>
          <cell r="H703">
            <v>150.69504778453518</v>
          </cell>
        </row>
        <row r="704">
          <cell r="B704">
            <v>43907</v>
          </cell>
          <cell r="F704">
            <v>144.3865822881522</v>
          </cell>
          <cell r="G704">
            <v>96.854216224088546</v>
          </cell>
          <cell r="H704">
            <v>162.38053866203305</v>
          </cell>
        </row>
        <row r="705">
          <cell r="B705">
            <v>43906</v>
          </cell>
          <cell r="F705">
            <v>148.75908286908427</v>
          </cell>
          <cell r="G705">
            <v>91.062672945288597</v>
          </cell>
          <cell r="H705">
            <v>149.73935708079929</v>
          </cell>
        </row>
        <row r="706">
          <cell r="B706">
            <v>43905</v>
          </cell>
          <cell r="F706">
            <v>156.54510610541811</v>
          </cell>
          <cell r="G706">
            <v>113.70454876450313</v>
          </cell>
          <cell r="H706">
            <v>186.75065160729801</v>
          </cell>
        </row>
        <row r="707">
          <cell r="B707">
            <v>43904</v>
          </cell>
          <cell r="F707">
            <v>156.54510610541811</v>
          </cell>
          <cell r="G707">
            <v>113.70454876450313</v>
          </cell>
          <cell r="H707">
            <v>186.75065160729801</v>
          </cell>
        </row>
        <row r="708">
          <cell r="B708">
            <v>43903</v>
          </cell>
          <cell r="F708">
            <v>156.54510610541811</v>
          </cell>
          <cell r="G708">
            <v>113.70454876450313</v>
          </cell>
          <cell r="H708">
            <v>186.75065160729801</v>
          </cell>
        </row>
        <row r="709">
          <cell r="B709">
            <v>43902</v>
          </cell>
          <cell r="F709">
            <v>158.53600144381465</v>
          </cell>
          <cell r="G709">
            <v>106.20903927375113</v>
          </cell>
          <cell r="H709">
            <v>168.59252823631624</v>
          </cell>
        </row>
        <row r="710">
          <cell r="B710">
            <v>43901</v>
          </cell>
          <cell r="F710">
            <v>162.97956811508831</v>
          </cell>
          <cell r="G710">
            <v>119.40870916063886</v>
          </cell>
          <cell r="H710">
            <v>189.92180712423979</v>
          </cell>
        </row>
        <row r="711">
          <cell r="B711">
            <v>43900</v>
          </cell>
          <cell r="F711">
            <v>166.9238953315436</v>
          </cell>
          <cell r="G711">
            <v>127.62755473566676</v>
          </cell>
          <cell r="H711">
            <v>207.90616854908777</v>
          </cell>
        </row>
        <row r="712">
          <cell r="B712">
            <v>43899</v>
          </cell>
          <cell r="F712">
            <v>165.73714546867814</v>
          </cell>
          <cell r="G712">
            <v>120.25826496431864</v>
          </cell>
          <cell r="H712">
            <v>199.69591659426587</v>
          </cell>
        </row>
        <row r="713">
          <cell r="B713">
            <v>43898</v>
          </cell>
          <cell r="F713">
            <v>171.37681159420313</v>
          </cell>
          <cell r="G713">
            <v>130.8073207437254</v>
          </cell>
          <cell r="H713">
            <v>223.58818418766288</v>
          </cell>
        </row>
        <row r="714">
          <cell r="B714">
            <v>43897</v>
          </cell>
          <cell r="F714">
            <v>171.37681159420313</v>
          </cell>
          <cell r="G714">
            <v>130.8073207437254</v>
          </cell>
          <cell r="H714">
            <v>223.58818418766288</v>
          </cell>
        </row>
        <row r="715">
          <cell r="B715">
            <v>43896</v>
          </cell>
          <cell r="F715">
            <v>171.37681159420313</v>
          </cell>
          <cell r="G715">
            <v>130.8073207437254</v>
          </cell>
          <cell r="H715">
            <v>223.58818418766288</v>
          </cell>
        </row>
        <row r="716">
          <cell r="B716">
            <v>43895</v>
          </cell>
          <cell r="F716">
            <v>175.45930116891194</v>
          </cell>
          <cell r="G716">
            <v>133.0355842516627</v>
          </cell>
          <cell r="H716">
            <v>233.36229365768895</v>
          </cell>
        </row>
        <row r="717">
          <cell r="B717">
            <v>43894</v>
          </cell>
          <cell r="F717">
            <v>174.29915229293391</v>
          </cell>
          <cell r="G717">
            <v>138.57468809165491</v>
          </cell>
          <cell r="H717">
            <v>240.1824500434405</v>
          </cell>
        </row>
        <row r="718">
          <cell r="B718">
            <v>43893</v>
          </cell>
          <cell r="F718">
            <v>172.78895507291955</v>
          </cell>
          <cell r="G718">
            <v>133.13753094810428</v>
          </cell>
          <cell r="H718">
            <v>225.02172024326671</v>
          </cell>
        </row>
        <row r="719">
          <cell r="B719">
            <v>43892</v>
          </cell>
          <cell r="F719">
            <v>169.48401620093375</v>
          </cell>
          <cell r="G719">
            <v>138.34166707121707</v>
          </cell>
          <cell r="H719">
            <v>237.14161598609905</v>
          </cell>
        </row>
        <row r="720">
          <cell r="B720">
            <v>43891</v>
          </cell>
          <cell r="F720">
            <v>169.86992704913507</v>
          </cell>
          <cell r="G720">
            <v>132.34623039953394</v>
          </cell>
          <cell r="H720">
            <v>228.32319721980889</v>
          </cell>
        </row>
        <row r="721">
          <cell r="B721">
            <v>43890</v>
          </cell>
          <cell r="F721">
            <v>169.86992704913507</v>
          </cell>
          <cell r="G721">
            <v>132.34623039953394</v>
          </cell>
          <cell r="H721">
            <v>228.32319721980889</v>
          </cell>
        </row>
        <row r="722">
          <cell r="B722">
            <v>43889</v>
          </cell>
          <cell r="F722">
            <v>169.86992704913507</v>
          </cell>
          <cell r="G722">
            <v>132.34623039953394</v>
          </cell>
          <cell r="H722">
            <v>228.32319721980889</v>
          </cell>
        </row>
        <row r="723">
          <cell r="B723">
            <v>43888</v>
          </cell>
          <cell r="F723">
            <v>169.86992704913507</v>
          </cell>
          <cell r="G723">
            <v>132.9918928103306</v>
          </cell>
          <cell r="H723">
            <v>219.72198088618592</v>
          </cell>
        </row>
        <row r="724">
          <cell r="B724">
            <v>43887</v>
          </cell>
          <cell r="F724">
            <v>171.17989400508398</v>
          </cell>
          <cell r="G724">
            <v>138.78343608913053</v>
          </cell>
          <cell r="H724">
            <v>227.49782797567332</v>
          </cell>
        </row>
        <row r="725">
          <cell r="B725">
            <v>43886</v>
          </cell>
          <cell r="F725">
            <v>172.32652444522444</v>
          </cell>
          <cell r="G725">
            <v>137.22996261954464</v>
          </cell>
          <cell r="H725">
            <v>226.32493483927024</v>
          </cell>
        </row>
        <row r="726">
          <cell r="B726">
            <v>43885</v>
          </cell>
          <cell r="F726">
            <v>171.06482568198044</v>
          </cell>
          <cell r="G726">
            <v>141.56026991601533</v>
          </cell>
          <cell r="H726">
            <v>238.96611642050391</v>
          </cell>
        </row>
        <row r="727">
          <cell r="B727">
            <v>43884</v>
          </cell>
          <cell r="F727">
            <v>173.99501807927095</v>
          </cell>
          <cell r="G727">
            <v>147.82270984028349</v>
          </cell>
          <cell r="H727">
            <v>247.56733275412688</v>
          </cell>
        </row>
        <row r="728">
          <cell r="B728">
            <v>43883</v>
          </cell>
          <cell r="F728">
            <v>173.99501807927095</v>
          </cell>
          <cell r="G728">
            <v>147.82270984028349</v>
          </cell>
          <cell r="H728">
            <v>247.56733275412688</v>
          </cell>
        </row>
        <row r="729">
          <cell r="B729">
            <v>43882</v>
          </cell>
          <cell r="F729">
            <v>173.99501807927095</v>
          </cell>
          <cell r="G729">
            <v>147.82270984028349</v>
          </cell>
          <cell r="H729">
            <v>247.56733275412688</v>
          </cell>
        </row>
        <row r="730">
          <cell r="B730">
            <v>43881</v>
          </cell>
          <cell r="F730">
            <v>174.38896756651971</v>
          </cell>
          <cell r="G730">
            <v>150.12379241710764</v>
          </cell>
          <cell r="H730">
            <v>256.29887054735013</v>
          </cell>
        </row>
        <row r="731">
          <cell r="B731">
            <v>43880</v>
          </cell>
          <cell r="F731">
            <v>176.1254615330088</v>
          </cell>
          <cell r="G731">
            <v>153.25501237924172</v>
          </cell>
          <cell r="H731">
            <v>260.59947871416165</v>
          </cell>
        </row>
        <row r="732">
          <cell r="B732">
            <v>43879</v>
          </cell>
          <cell r="F732">
            <v>174.03272765755347</v>
          </cell>
          <cell r="G732">
            <v>150.85683771056847</v>
          </cell>
          <cell r="H732">
            <v>250.868809730669</v>
          </cell>
        </row>
        <row r="733">
          <cell r="B733">
            <v>43878</v>
          </cell>
          <cell r="F733">
            <v>179.69860364641869</v>
          </cell>
          <cell r="G733">
            <v>154.26477013447254</v>
          </cell>
          <cell r="H733">
            <v>254.12684622067769</v>
          </cell>
        </row>
        <row r="734">
          <cell r="B734">
            <v>43877</v>
          </cell>
          <cell r="F734">
            <v>181.50514861479368</v>
          </cell>
          <cell r="G734">
            <v>154.26477013447254</v>
          </cell>
          <cell r="H734">
            <v>254.12684622067769</v>
          </cell>
        </row>
        <row r="735">
          <cell r="B735">
            <v>43876</v>
          </cell>
          <cell r="F735">
            <v>181.50514861479368</v>
          </cell>
          <cell r="G735">
            <v>154.26477013447254</v>
          </cell>
          <cell r="H735">
            <v>254.12684622067769</v>
          </cell>
        </row>
        <row r="736">
          <cell r="B736">
            <v>43875</v>
          </cell>
          <cell r="F736">
            <v>181.50514861479368</v>
          </cell>
          <cell r="G736">
            <v>154.26477013447254</v>
          </cell>
          <cell r="H736">
            <v>254.12684622067769</v>
          </cell>
        </row>
        <row r="737">
          <cell r="B737">
            <v>43874</v>
          </cell>
          <cell r="F737">
            <v>181.66246356459123</v>
          </cell>
          <cell r="G737">
            <v>157.27462498179523</v>
          </cell>
          <cell r="H737">
            <v>257.73240660295397</v>
          </cell>
        </row>
        <row r="738">
          <cell r="B738">
            <v>43873</v>
          </cell>
          <cell r="F738">
            <v>181.76547086523397</v>
          </cell>
          <cell r="G738">
            <v>157.62901111704451</v>
          </cell>
          <cell r="H738">
            <v>257.47176368375324</v>
          </cell>
        </row>
        <row r="739">
          <cell r="B739">
            <v>43872</v>
          </cell>
          <cell r="F739">
            <v>179.62079131388288</v>
          </cell>
          <cell r="G739">
            <v>155.42502063206953</v>
          </cell>
          <cell r="H739">
            <v>248.69678540399653</v>
          </cell>
        </row>
        <row r="740">
          <cell r="B740">
            <v>43871</v>
          </cell>
          <cell r="F740">
            <v>177.08182196299208</v>
          </cell>
          <cell r="G740">
            <v>152.53167629496576</v>
          </cell>
          <cell r="H740">
            <v>249.04430929626412</v>
          </cell>
        </row>
        <row r="741">
          <cell r="B741">
            <v>43870</v>
          </cell>
          <cell r="F741">
            <v>176.85837156154381</v>
          </cell>
          <cell r="G741">
            <v>153.03170056798874</v>
          </cell>
          <cell r="H741">
            <v>247.08948740225892</v>
          </cell>
        </row>
        <row r="742">
          <cell r="B742">
            <v>43869</v>
          </cell>
          <cell r="F742">
            <v>176.85837156154381</v>
          </cell>
          <cell r="G742">
            <v>153.03170056798874</v>
          </cell>
          <cell r="H742">
            <v>247.08948740225892</v>
          </cell>
        </row>
        <row r="743">
          <cell r="B743">
            <v>43868</v>
          </cell>
          <cell r="F743">
            <v>176.85837156154381</v>
          </cell>
          <cell r="G743">
            <v>153.03170056798874</v>
          </cell>
          <cell r="H743">
            <v>247.08948740225892</v>
          </cell>
        </row>
        <row r="744">
          <cell r="B744">
            <v>43867</v>
          </cell>
          <cell r="F744">
            <v>179.87504464890569</v>
          </cell>
          <cell r="G744">
            <v>155.1968542162241</v>
          </cell>
          <cell r="H744">
            <v>254.90877497827978</v>
          </cell>
        </row>
        <row r="745">
          <cell r="B745">
            <v>43866</v>
          </cell>
          <cell r="F745">
            <v>177.48889304892751</v>
          </cell>
          <cell r="G745">
            <v>154.07544055536675</v>
          </cell>
          <cell r="H745">
            <v>246.611642050391</v>
          </cell>
        </row>
        <row r="746">
          <cell r="B746">
            <v>43865</v>
          </cell>
          <cell r="F746">
            <v>175.73005232968694</v>
          </cell>
          <cell r="G746">
            <v>151.26947910092724</v>
          </cell>
          <cell r="H746">
            <v>241.0947002606429</v>
          </cell>
        </row>
        <row r="747">
          <cell r="B747">
            <v>43864</v>
          </cell>
          <cell r="F747">
            <v>169.46676808766262</v>
          </cell>
          <cell r="G747">
            <v>148.17709597553278</v>
          </cell>
          <cell r="H747">
            <v>233.62293657688969</v>
          </cell>
        </row>
        <row r="748">
          <cell r="B748">
            <v>43863</v>
          </cell>
          <cell r="F748">
            <v>171.53834592706227</v>
          </cell>
          <cell r="G748">
            <v>148.14311374338561</v>
          </cell>
          <cell r="H748">
            <v>230.6255430060817</v>
          </cell>
        </row>
        <row r="749">
          <cell r="B749">
            <v>43862</v>
          </cell>
          <cell r="F749">
            <v>171.53834592706227</v>
          </cell>
          <cell r="G749">
            <v>148.14311374338561</v>
          </cell>
          <cell r="H749">
            <v>230.6255430060817</v>
          </cell>
        </row>
        <row r="750">
          <cell r="B750">
            <v>43861</v>
          </cell>
          <cell r="F750">
            <v>171.53834592706227</v>
          </cell>
          <cell r="G750">
            <v>148.14311374338561</v>
          </cell>
          <cell r="H750">
            <v>230.6255430060817</v>
          </cell>
        </row>
        <row r="751">
          <cell r="B751">
            <v>43860</v>
          </cell>
          <cell r="F751">
            <v>170.2005772005777</v>
          </cell>
          <cell r="G751">
            <v>153.01713675421135</v>
          </cell>
          <cell r="H751">
            <v>239.05299739357079</v>
          </cell>
        </row>
        <row r="752">
          <cell r="B752">
            <v>43859</v>
          </cell>
          <cell r="F752">
            <v>180.84316587020743</v>
          </cell>
          <cell r="G752">
            <v>154.13855041506866</v>
          </cell>
          <cell r="H752">
            <v>240.22589052997395</v>
          </cell>
        </row>
        <row r="753">
          <cell r="B753">
            <v>43858</v>
          </cell>
          <cell r="F753">
            <v>180.84316587020743</v>
          </cell>
          <cell r="G753">
            <v>154.52691878246517</v>
          </cell>
          <cell r="H753">
            <v>245.30842745438747</v>
          </cell>
        </row>
        <row r="754">
          <cell r="B754">
            <v>43857</v>
          </cell>
          <cell r="F754">
            <v>180.84316587020743</v>
          </cell>
          <cell r="G754">
            <v>150.02184572066602</v>
          </cell>
          <cell r="H754">
            <v>240.70373588184188</v>
          </cell>
        </row>
        <row r="755">
          <cell r="B755">
            <v>43856</v>
          </cell>
          <cell r="F755">
            <v>180.84316587020743</v>
          </cell>
          <cell r="G755">
            <v>157.28918879557258</v>
          </cell>
          <cell r="H755">
            <v>250.91225021720246</v>
          </cell>
        </row>
        <row r="756">
          <cell r="B756">
            <v>43855</v>
          </cell>
          <cell r="F756">
            <v>180.84316587020743</v>
          </cell>
          <cell r="G756">
            <v>157.28918879557258</v>
          </cell>
          <cell r="H756">
            <v>250.91225021720246</v>
          </cell>
        </row>
        <row r="757">
          <cell r="B757">
            <v>43854</v>
          </cell>
          <cell r="F757">
            <v>180.84316587020743</v>
          </cell>
          <cell r="G757">
            <v>157.28918879557258</v>
          </cell>
          <cell r="H757">
            <v>250.91225021720246</v>
          </cell>
        </row>
        <row r="758">
          <cell r="B758">
            <v>43853</v>
          </cell>
          <cell r="F758">
            <v>180.84316587020743</v>
          </cell>
          <cell r="G758">
            <v>155.17743579785426</v>
          </cell>
          <cell r="H758">
            <v>257.16768027801913</v>
          </cell>
        </row>
        <row r="759">
          <cell r="B759">
            <v>43852</v>
          </cell>
          <cell r="F759">
            <v>180.84316587020743</v>
          </cell>
          <cell r="G759">
            <v>151.89086848876158</v>
          </cell>
          <cell r="H759">
            <v>257.03735881841874</v>
          </cell>
        </row>
        <row r="760">
          <cell r="B760">
            <v>43851</v>
          </cell>
          <cell r="F760">
            <v>180.84316587020743</v>
          </cell>
          <cell r="G760">
            <v>149.55580367979027</v>
          </cell>
          <cell r="H760">
            <v>256.1685490877498</v>
          </cell>
        </row>
        <row r="761">
          <cell r="B761">
            <v>43850</v>
          </cell>
          <cell r="F761">
            <v>180.84316587020743</v>
          </cell>
          <cell r="G761">
            <v>149.90533521044711</v>
          </cell>
          <cell r="H761">
            <v>250.47784535186796</v>
          </cell>
        </row>
        <row r="762">
          <cell r="B762">
            <v>43849</v>
          </cell>
          <cell r="F762">
            <v>180.87939730453402</v>
          </cell>
          <cell r="G762">
            <v>149.90533521044711</v>
          </cell>
          <cell r="H762">
            <v>250.47784535186796</v>
          </cell>
        </row>
        <row r="763">
          <cell r="B763">
            <v>43848</v>
          </cell>
          <cell r="F763">
            <v>180.87939730453402</v>
          </cell>
          <cell r="G763">
            <v>149.90533521044711</v>
          </cell>
          <cell r="H763">
            <v>250.47784535186796</v>
          </cell>
        </row>
        <row r="764">
          <cell r="B764">
            <v>43847</v>
          </cell>
          <cell r="F764">
            <v>180.87939730453402</v>
          </cell>
          <cell r="G764">
            <v>149.90533521044711</v>
          </cell>
          <cell r="H764">
            <v>250.47784535186796</v>
          </cell>
        </row>
        <row r="765">
          <cell r="B765">
            <v>43846</v>
          </cell>
          <cell r="F765">
            <v>181.89460083994643</v>
          </cell>
          <cell r="G765">
            <v>149.06063401135978</v>
          </cell>
          <cell r="H765">
            <v>250.56472632493484</v>
          </cell>
        </row>
        <row r="766">
          <cell r="B766">
            <v>43845</v>
          </cell>
          <cell r="F766">
            <v>184.88539397782185</v>
          </cell>
          <cell r="G766">
            <v>147.1624836157095</v>
          </cell>
          <cell r="H766">
            <v>244.00521285838403</v>
          </cell>
        </row>
        <row r="767">
          <cell r="B767">
            <v>43844</v>
          </cell>
          <cell r="F767">
            <v>188.23617054445421</v>
          </cell>
          <cell r="G767">
            <v>149.60920433030728</v>
          </cell>
          <cell r="H767">
            <v>249.86967854039966</v>
          </cell>
        </row>
        <row r="768">
          <cell r="B768">
            <v>43843</v>
          </cell>
          <cell r="F768">
            <v>185.96837689131411</v>
          </cell>
          <cell r="G768">
            <v>146.21098111558811</v>
          </cell>
          <cell r="H768">
            <v>249.56559513466553</v>
          </cell>
        </row>
        <row r="769">
          <cell r="B769">
            <v>43842</v>
          </cell>
          <cell r="F769">
            <v>184.33621371705519</v>
          </cell>
          <cell r="G769">
            <v>145.25947861546678</v>
          </cell>
          <cell r="H769">
            <v>246.1772371850565</v>
          </cell>
        </row>
        <row r="770">
          <cell r="B770">
            <v>43841</v>
          </cell>
          <cell r="F770">
            <v>184.33621371705519</v>
          </cell>
          <cell r="G770">
            <v>145.25947861546678</v>
          </cell>
          <cell r="H770">
            <v>246.1772371850565</v>
          </cell>
        </row>
        <row r="771">
          <cell r="B771">
            <v>43840</v>
          </cell>
          <cell r="F771">
            <v>184.33621371705519</v>
          </cell>
          <cell r="G771">
            <v>145.25947861546678</v>
          </cell>
          <cell r="H771">
            <v>246.1772371850565</v>
          </cell>
        </row>
        <row r="772">
          <cell r="B772">
            <v>43839</v>
          </cell>
          <cell r="F772">
            <v>183.20136717260297</v>
          </cell>
          <cell r="G772">
            <v>148.67712024855575</v>
          </cell>
          <cell r="H772">
            <v>248.95742832319723</v>
          </cell>
        </row>
        <row r="773">
          <cell r="B773">
            <v>43838</v>
          </cell>
          <cell r="F773">
            <v>178.56684563050979</v>
          </cell>
          <cell r="G773">
            <v>149.88106218748482</v>
          </cell>
          <cell r="H773">
            <v>249.86967854039966</v>
          </cell>
        </row>
        <row r="774">
          <cell r="B774">
            <v>43837</v>
          </cell>
          <cell r="F774">
            <v>178.43606662309054</v>
          </cell>
          <cell r="G774">
            <v>151.77435797854264</v>
          </cell>
          <cell r="H774">
            <v>253.12771503040835</v>
          </cell>
        </row>
        <row r="775">
          <cell r="B775">
            <v>43836</v>
          </cell>
          <cell r="F775">
            <v>179.68821515534307</v>
          </cell>
          <cell r="G775">
            <v>152.2986552745279</v>
          </cell>
          <cell r="H775">
            <v>232.68896611642052</v>
          </cell>
        </row>
        <row r="776">
          <cell r="B776">
            <v>43835</v>
          </cell>
          <cell r="F776">
            <v>183.82082821737964</v>
          </cell>
          <cell r="G776">
            <v>152.52682169037331</v>
          </cell>
          <cell r="H776">
            <v>236.88097306689838</v>
          </cell>
        </row>
        <row r="777">
          <cell r="B777">
            <v>43834</v>
          </cell>
          <cell r="F777">
            <v>183.82082821737964</v>
          </cell>
          <cell r="G777">
            <v>152.52682169037331</v>
          </cell>
          <cell r="H777">
            <v>236.88097306689838</v>
          </cell>
        </row>
        <row r="778">
          <cell r="B778">
            <v>43833</v>
          </cell>
          <cell r="F778">
            <v>183.82082821737964</v>
          </cell>
          <cell r="G778">
            <v>152.52682169037331</v>
          </cell>
          <cell r="H778">
            <v>236.88097306689838</v>
          </cell>
        </row>
        <row r="779">
          <cell r="B779">
            <v>43832</v>
          </cell>
          <cell r="F779">
            <v>183.89900173673081</v>
          </cell>
          <cell r="G779">
            <v>156.5075974561872</v>
          </cell>
          <cell r="H779">
            <v>240.616854908775</v>
          </cell>
        </row>
        <row r="780">
          <cell r="B780">
            <v>43831</v>
          </cell>
          <cell r="F780">
            <v>180.02747664387962</v>
          </cell>
          <cell r="G780">
            <v>153.41521433079274</v>
          </cell>
          <cell r="H780">
            <v>233.62293657688969</v>
          </cell>
        </row>
        <row r="781">
          <cell r="B781">
            <v>43830</v>
          </cell>
          <cell r="F781">
            <v>180.02747664387962</v>
          </cell>
          <cell r="G781">
            <v>153.41521433079274</v>
          </cell>
          <cell r="H781">
            <v>233.62293657688969</v>
          </cell>
        </row>
        <row r="782">
          <cell r="B782">
            <v>43829</v>
          </cell>
          <cell r="F782">
            <v>180.84874315763736</v>
          </cell>
          <cell r="G782">
            <v>152.172435555124</v>
          </cell>
          <cell r="H782">
            <v>231.14682884448308</v>
          </cell>
        </row>
        <row r="783">
          <cell r="B783">
            <v>43828</v>
          </cell>
          <cell r="F783">
            <v>182.77140475724414</v>
          </cell>
          <cell r="G783">
            <v>153.66279916500798</v>
          </cell>
          <cell r="H783">
            <v>234.70894874022591</v>
          </cell>
        </row>
        <row r="784">
          <cell r="B784">
            <v>43827</v>
          </cell>
          <cell r="F784">
            <v>182.77140475724414</v>
          </cell>
          <cell r="G784">
            <v>153.66279916500798</v>
          </cell>
          <cell r="H784">
            <v>234.70894874022591</v>
          </cell>
        </row>
        <row r="785">
          <cell r="B785">
            <v>43826</v>
          </cell>
          <cell r="F785">
            <v>182.77140475724414</v>
          </cell>
          <cell r="G785">
            <v>153.66279916500798</v>
          </cell>
          <cell r="H785">
            <v>234.70894874022591</v>
          </cell>
        </row>
        <row r="786">
          <cell r="B786">
            <v>43825</v>
          </cell>
          <cell r="F786">
            <v>180.03776224661593</v>
          </cell>
          <cell r="G786">
            <v>154.36671683091413</v>
          </cell>
          <cell r="H786">
            <v>239.37880104257167</v>
          </cell>
        </row>
        <row r="787">
          <cell r="B787">
            <v>43824</v>
          </cell>
          <cell r="F787">
            <v>180.17549278151253</v>
          </cell>
          <cell r="G787">
            <v>155.590077188213</v>
          </cell>
          <cell r="H787">
            <v>240.74717636837534</v>
          </cell>
        </row>
        <row r="788">
          <cell r="B788">
            <v>43823</v>
          </cell>
          <cell r="F788">
            <v>179.17553562169022</v>
          </cell>
          <cell r="G788">
            <v>155.590077188213</v>
          </cell>
          <cell r="H788">
            <v>240.74717636837534</v>
          </cell>
        </row>
        <row r="789">
          <cell r="B789">
            <v>43822</v>
          </cell>
          <cell r="F789">
            <v>180.26088670725497</v>
          </cell>
          <cell r="G789">
            <v>155.11918054274477</v>
          </cell>
          <cell r="H789">
            <v>240.66029539530845</v>
          </cell>
        </row>
        <row r="790">
          <cell r="B790">
            <v>43821</v>
          </cell>
          <cell r="F790">
            <v>177.73927825072005</v>
          </cell>
          <cell r="G790">
            <v>154.86188649934462</v>
          </cell>
          <cell r="H790">
            <v>239.18331885317116</v>
          </cell>
        </row>
        <row r="791">
          <cell r="B791">
            <v>43820</v>
          </cell>
          <cell r="F791">
            <v>177.73927825072005</v>
          </cell>
          <cell r="G791">
            <v>154.86188649934462</v>
          </cell>
          <cell r="H791">
            <v>239.18331885317116</v>
          </cell>
        </row>
        <row r="792">
          <cell r="B792">
            <v>43819</v>
          </cell>
          <cell r="F792">
            <v>177.73927825072005</v>
          </cell>
          <cell r="G792">
            <v>154.86188649934462</v>
          </cell>
          <cell r="H792">
            <v>239.18331885317116</v>
          </cell>
        </row>
        <row r="793">
          <cell r="B793">
            <v>43818</v>
          </cell>
          <cell r="F793">
            <v>180.72264316543698</v>
          </cell>
          <cell r="G793">
            <v>157.33773484149717</v>
          </cell>
          <cell r="H793">
            <v>236.88097306689838</v>
          </cell>
        </row>
        <row r="794">
          <cell r="B794">
            <v>43817</v>
          </cell>
          <cell r="F794">
            <v>185.8661053298043</v>
          </cell>
          <cell r="G794">
            <v>158.95917277537743</v>
          </cell>
          <cell r="H794">
            <v>230.40834057341445</v>
          </cell>
        </row>
        <row r="795">
          <cell r="B795">
            <v>43816</v>
          </cell>
          <cell r="F795">
            <v>186.17291556419181</v>
          </cell>
          <cell r="G795">
            <v>157.19209670372348</v>
          </cell>
          <cell r="H795">
            <v>230.23457862728063</v>
          </cell>
        </row>
        <row r="796">
          <cell r="B796">
            <v>43815</v>
          </cell>
          <cell r="F796">
            <v>181.56317359081137</v>
          </cell>
          <cell r="G796">
            <v>156.86683819602894</v>
          </cell>
          <cell r="H796">
            <v>229.97393570807992</v>
          </cell>
        </row>
        <row r="797">
          <cell r="B797">
            <v>43814</v>
          </cell>
          <cell r="F797">
            <v>182.49319495265576</v>
          </cell>
          <cell r="G797">
            <v>153.12393805524539</v>
          </cell>
          <cell r="H797">
            <v>222.4152910512598</v>
          </cell>
        </row>
        <row r="798">
          <cell r="B798">
            <v>43813</v>
          </cell>
          <cell r="F798">
            <v>182.49319495265576</v>
          </cell>
          <cell r="G798">
            <v>153.12393805524539</v>
          </cell>
          <cell r="H798">
            <v>222.4152910512598</v>
          </cell>
        </row>
        <row r="799">
          <cell r="B799">
            <v>43812</v>
          </cell>
          <cell r="F799">
            <v>182.49319495265576</v>
          </cell>
          <cell r="G799">
            <v>153.12393805524539</v>
          </cell>
          <cell r="H799">
            <v>222.4152910512598</v>
          </cell>
        </row>
        <row r="800">
          <cell r="B800">
            <v>43811</v>
          </cell>
          <cell r="F800">
            <v>178.43211557227895</v>
          </cell>
          <cell r="G800">
            <v>159.13393854070586</v>
          </cell>
          <cell r="H800">
            <v>221.41615986099046</v>
          </cell>
        </row>
        <row r="801">
          <cell r="B801">
            <v>43810</v>
          </cell>
          <cell r="F801">
            <v>170.63679095509698</v>
          </cell>
          <cell r="G801">
            <v>155.21141803000148</v>
          </cell>
          <cell r="H801">
            <v>213.98783666377062</v>
          </cell>
        </row>
        <row r="802">
          <cell r="B802">
            <v>43809</v>
          </cell>
          <cell r="F802">
            <v>167.5130033180879</v>
          </cell>
          <cell r="G802">
            <v>152.94917228991699</v>
          </cell>
          <cell r="H802">
            <v>206.1685490877498</v>
          </cell>
        </row>
        <row r="803">
          <cell r="B803">
            <v>43808</v>
          </cell>
          <cell r="F803">
            <v>168.73798130363315</v>
          </cell>
          <cell r="G803">
            <v>152.61905917762996</v>
          </cell>
          <cell r="H803">
            <v>201.7810599478714</v>
          </cell>
        </row>
        <row r="804">
          <cell r="B804">
            <v>43807</v>
          </cell>
          <cell r="F804">
            <v>167.36678308895824</v>
          </cell>
          <cell r="G804">
            <v>153.42977814457012</v>
          </cell>
          <cell r="H804">
            <v>208.2102519548219</v>
          </cell>
        </row>
        <row r="805">
          <cell r="B805">
            <v>43806</v>
          </cell>
          <cell r="F805">
            <v>167.36678308895824</v>
          </cell>
          <cell r="G805">
            <v>153.42977814457012</v>
          </cell>
          <cell r="H805">
            <v>208.2102519548219</v>
          </cell>
        </row>
        <row r="806">
          <cell r="B806">
            <v>43805</v>
          </cell>
          <cell r="F806">
            <v>167.36678308895824</v>
          </cell>
          <cell r="G806">
            <v>153.42977814457012</v>
          </cell>
          <cell r="H806">
            <v>208.2102519548219</v>
          </cell>
        </row>
        <row r="807">
          <cell r="B807">
            <v>43804</v>
          </cell>
          <cell r="F807">
            <v>166.60205748966317</v>
          </cell>
          <cell r="G807">
            <v>151.07044031263652</v>
          </cell>
          <cell r="H807">
            <v>202.51954821894006</v>
          </cell>
        </row>
        <row r="808">
          <cell r="B808">
            <v>43803</v>
          </cell>
          <cell r="F808">
            <v>163.39817176870821</v>
          </cell>
          <cell r="G808">
            <v>150.35681343754553</v>
          </cell>
          <cell r="H808">
            <v>201.12945264986965</v>
          </cell>
        </row>
        <row r="809">
          <cell r="B809">
            <v>43802</v>
          </cell>
          <cell r="F809">
            <v>163.76550583797652</v>
          </cell>
          <cell r="G809">
            <v>148.8033399679596</v>
          </cell>
          <cell r="H809">
            <v>196.4813205907906</v>
          </cell>
        </row>
        <row r="810">
          <cell r="B810">
            <v>43801</v>
          </cell>
          <cell r="F810">
            <v>164.06988646066287</v>
          </cell>
          <cell r="G810">
            <v>150.84227389679111</v>
          </cell>
          <cell r="H810">
            <v>201.52041702867072</v>
          </cell>
        </row>
        <row r="811">
          <cell r="B811">
            <v>43800</v>
          </cell>
          <cell r="F811">
            <v>162.59732283524642</v>
          </cell>
          <cell r="G811">
            <v>153.50745181804942</v>
          </cell>
          <cell r="H811">
            <v>206.38575152041702</v>
          </cell>
        </row>
        <row r="812">
          <cell r="B812">
            <v>43799</v>
          </cell>
          <cell r="F812">
            <v>162.59732283524642</v>
          </cell>
          <cell r="G812">
            <v>153.50745181804942</v>
          </cell>
          <cell r="H812">
            <v>206.38575152041702</v>
          </cell>
        </row>
        <row r="813">
          <cell r="B813">
            <v>43798</v>
          </cell>
          <cell r="F813">
            <v>162.59732283524642</v>
          </cell>
          <cell r="G813">
            <v>153.50745181804942</v>
          </cell>
          <cell r="H813">
            <v>206.38575152041702</v>
          </cell>
        </row>
        <row r="814">
          <cell r="B814">
            <v>43797</v>
          </cell>
          <cell r="F814">
            <v>165.20745167997072</v>
          </cell>
          <cell r="G814">
            <v>154.59002864216708</v>
          </cell>
          <cell r="H814">
            <v>209.20938314509124</v>
          </cell>
        </row>
        <row r="815">
          <cell r="B815">
            <v>43796</v>
          </cell>
          <cell r="F815">
            <v>165.89925835703824</v>
          </cell>
          <cell r="G815">
            <v>154.59002864216708</v>
          </cell>
          <cell r="H815">
            <v>209.20938314509124</v>
          </cell>
        </row>
        <row r="816">
          <cell r="B816">
            <v>43795</v>
          </cell>
          <cell r="F816">
            <v>163.76550583797652</v>
          </cell>
          <cell r="G816">
            <v>153.53657944560416</v>
          </cell>
          <cell r="H816">
            <v>202.93223284100782</v>
          </cell>
        </row>
        <row r="817">
          <cell r="B817">
            <v>43794</v>
          </cell>
          <cell r="F817">
            <v>163.78161814669821</v>
          </cell>
          <cell r="G817">
            <v>155.1628719840769</v>
          </cell>
          <cell r="H817">
            <v>206.4291920069505</v>
          </cell>
        </row>
        <row r="818">
          <cell r="B818">
            <v>43793</v>
          </cell>
          <cell r="F818">
            <v>164.49255488132331</v>
          </cell>
          <cell r="G818">
            <v>152.8812078256226</v>
          </cell>
          <cell r="H818">
            <v>199.26151172893137</v>
          </cell>
        </row>
        <row r="819">
          <cell r="B819">
            <v>43792</v>
          </cell>
          <cell r="F819">
            <v>164.49255488132331</v>
          </cell>
          <cell r="G819">
            <v>152.8812078256226</v>
          </cell>
          <cell r="H819">
            <v>199.26151172893137</v>
          </cell>
        </row>
        <row r="820">
          <cell r="B820">
            <v>43791</v>
          </cell>
          <cell r="F820">
            <v>164.49255488132331</v>
          </cell>
          <cell r="G820">
            <v>152.8812078256226</v>
          </cell>
          <cell r="H820">
            <v>199.26151172893137</v>
          </cell>
        </row>
        <row r="821">
          <cell r="B821">
            <v>43790</v>
          </cell>
          <cell r="F821">
            <v>165.82313034179631</v>
          </cell>
          <cell r="G821">
            <v>153.04140977717364</v>
          </cell>
          <cell r="H821">
            <v>197.87141615986098</v>
          </cell>
        </row>
        <row r="822">
          <cell r="B822">
            <v>43789</v>
          </cell>
          <cell r="F822">
            <v>167.15611370467386</v>
          </cell>
          <cell r="G822">
            <v>151.30346133307441</v>
          </cell>
          <cell r="H822">
            <v>197.9582971329279</v>
          </cell>
        </row>
        <row r="823">
          <cell r="B823">
            <v>43788</v>
          </cell>
          <cell r="F823">
            <v>167.89536915683721</v>
          </cell>
          <cell r="G823">
            <v>154.23078790232535</v>
          </cell>
          <cell r="H823">
            <v>202.34578627280624</v>
          </cell>
        </row>
        <row r="824">
          <cell r="B824">
            <v>43787</v>
          </cell>
          <cell r="F824">
            <v>165.8775003638776</v>
          </cell>
          <cell r="G824">
            <v>151.01218505752706</v>
          </cell>
          <cell r="H824">
            <v>207.73240660295394</v>
          </cell>
        </row>
        <row r="825">
          <cell r="B825">
            <v>43786</v>
          </cell>
          <cell r="F825">
            <v>163.78161814669821</v>
          </cell>
          <cell r="G825">
            <v>151.90543230253897</v>
          </cell>
          <cell r="H825">
            <v>207.25456125108602</v>
          </cell>
        </row>
        <row r="826">
          <cell r="B826">
            <v>43785</v>
          </cell>
          <cell r="F826">
            <v>163.78161814669821</v>
          </cell>
          <cell r="G826">
            <v>151.90543230253897</v>
          </cell>
          <cell r="H826">
            <v>207.25456125108602</v>
          </cell>
        </row>
        <row r="827">
          <cell r="B827">
            <v>43784</v>
          </cell>
          <cell r="F827">
            <v>163.78161814669821</v>
          </cell>
          <cell r="G827">
            <v>151.90543230253897</v>
          </cell>
          <cell r="H827">
            <v>207.25456125108602</v>
          </cell>
        </row>
        <row r="828">
          <cell r="B828">
            <v>43783</v>
          </cell>
          <cell r="F828">
            <v>161.87723910108252</v>
          </cell>
          <cell r="G828">
            <v>149.99271809311131</v>
          </cell>
          <cell r="H828">
            <v>203.30147697654212</v>
          </cell>
        </row>
        <row r="829">
          <cell r="B829">
            <v>43782</v>
          </cell>
          <cell r="F829">
            <v>162.11734569982673</v>
          </cell>
          <cell r="G829">
            <v>152.27438225156561</v>
          </cell>
          <cell r="H829">
            <v>201.12945264986965</v>
          </cell>
        </row>
        <row r="830">
          <cell r="B830">
            <v>43781</v>
          </cell>
          <cell r="F830">
            <v>162.86419081521572</v>
          </cell>
          <cell r="G830">
            <v>153.17733870576239</v>
          </cell>
          <cell r="H830">
            <v>203.73588184187662</v>
          </cell>
        </row>
        <row r="831">
          <cell r="B831">
            <v>43780</v>
          </cell>
          <cell r="F831">
            <v>161.05074913416192</v>
          </cell>
          <cell r="G831">
            <v>151.82775862905967</v>
          </cell>
          <cell r="H831">
            <v>200.95569070373588</v>
          </cell>
        </row>
        <row r="832">
          <cell r="B832">
            <v>43779</v>
          </cell>
          <cell r="F832">
            <v>163.57685088964519</v>
          </cell>
          <cell r="G832">
            <v>152.14816253216176</v>
          </cell>
          <cell r="H832">
            <v>204.99565595134666</v>
          </cell>
        </row>
        <row r="833">
          <cell r="B833">
            <v>43778</v>
          </cell>
          <cell r="F833">
            <v>163.57685088964519</v>
          </cell>
          <cell r="G833">
            <v>152.14816253216176</v>
          </cell>
          <cell r="H833">
            <v>204.99565595134666</v>
          </cell>
        </row>
        <row r="834">
          <cell r="B834">
            <v>43777</v>
          </cell>
          <cell r="F834">
            <v>163.57685088964519</v>
          </cell>
          <cell r="G834">
            <v>152.14816253216176</v>
          </cell>
          <cell r="H834">
            <v>204.99565595134666</v>
          </cell>
        </row>
        <row r="835">
          <cell r="B835">
            <v>43776</v>
          </cell>
          <cell r="F835">
            <v>165.7290963423502</v>
          </cell>
          <cell r="G835">
            <v>151.33744356522161</v>
          </cell>
          <cell r="H835">
            <v>210.251954821894</v>
          </cell>
        </row>
        <row r="836">
          <cell r="B836">
            <v>43775</v>
          </cell>
          <cell r="F836">
            <v>166.4450693731826</v>
          </cell>
          <cell r="G836">
            <v>152.02679741735037</v>
          </cell>
          <cell r="H836">
            <v>207.12423979148568</v>
          </cell>
        </row>
        <row r="837">
          <cell r="B837">
            <v>43774</v>
          </cell>
          <cell r="F837">
            <v>166.17747279862823</v>
          </cell>
          <cell r="G837">
            <v>152.45400262148647</v>
          </cell>
          <cell r="H837">
            <v>211.46828844483059</v>
          </cell>
        </row>
        <row r="838">
          <cell r="B838">
            <v>43773</v>
          </cell>
          <cell r="F838">
            <v>164.35837092411123</v>
          </cell>
          <cell r="G838">
            <v>148.06544006990629</v>
          </cell>
          <cell r="H838">
            <v>215.42137271937446</v>
          </cell>
        </row>
        <row r="839">
          <cell r="B839">
            <v>43772</v>
          </cell>
          <cell r="F839">
            <v>159.80718669968243</v>
          </cell>
          <cell r="G839">
            <v>143.98271760765084</v>
          </cell>
          <cell r="H839">
            <v>210.16507384882712</v>
          </cell>
        </row>
        <row r="840">
          <cell r="B840">
            <v>43771</v>
          </cell>
          <cell r="F840">
            <v>159.80718669968243</v>
          </cell>
          <cell r="G840">
            <v>143.98271760765084</v>
          </cell>
          <cell r="H840">
            <v>210.16507384882712</v>
          </cell>
        </row>
        <row r="841">
          <cell r="B841">
            <v>43770</v>
          </cell>
          <cell r="F841">
            <v>159.80718669968243</v>
          </cell>
          <cell r="G841">
            <v>143.98271760765084</v>
          </cell>
          <cell r="H841">
            <v>210.16507384882712</v>
          </cell>
        </row>
        <row r="842">
          <cell r="B842">
            <v>43769</v>
          </cell>
          <cell r="F842">
            <v>159.3200976608681</v>
          </cell>
          <cell r="G842">
            <v>142.16709549007234</v>
          </cell>
          <cell r="H842">
            <v>206.55951346655081</v>
          </cell>
        </row>
        <row r="843">
          <cell r="B843">
            <v>43768</v>
          </cell>
          <cell r="F843">
            <v>160.39060877913917</v>
          </cell>
          <cell r="G843">
            <v>140.90004369144134</v>
          </cell>
          <cell r="H843">
            <v>207.99304952215465</v>
          </cell>
        </row>
        <row r="844">
          <cell r="B844">
            <v>43767</v>
          </cell>
          <cell r="F844">
            <v>159.24694793742412</v>
          </cell>
          <cell r="G844">
            <v>139.89028593621052</v>
          </cell>
          <cell r="H844">
            <v>208.99218071242399</v>
          </cell>
        </row>
        <row r="845">
          <cell r="B845">
            <v>43766</v>
          </cell>
          <cell r="F845">
            <v>156.81470224023428</v>
          </cell>
          <cell r="G845">
            <v>141.53599689305304</v>
          </cell>
          <cell r="H845">
            <v>211.51172893136402</v>
          </cell>
        </row>
        <row r="846">
          <cell r="B846">
            <v>43765</v>
          </cell>
          <cell r="F846">
            <v>156.21574968661324</v>
          </cell>
          <cell r="G846">
            <v>140.69615029855817</v>
          </cell>
          <cell r="H846">
            <v>208.6446568201564</v>
          </cell>
        </row>
        <row r="847">
          <cell r="B847">
            <v>43764</v>
          </cell>
          <cell r="F847">
            <v>156.21574968661324</v>
          </cell>
          <cell r="G847">
            <v>140.69615029855817</v>
          </cell>
          <cell r="H847">
            <v>208.6446568201564</v>
          </cell>
        </row>
        <row r="848">
          <cell r="B848">
            <v>43763</v>
          </cell>
          <cell r="F848">
            <v>156.21574968661324</v>
          </cell>
          <cell r="G848">
            <v>140.69615029855817</v>
          </cell>
          <cell r="H848">
            <v>208.6446568201564</v>
          </cell>
        </row>
        <row r="849">
          <cell r="B849">
            <v>43762</v>
          </cell>
          <cell r="F849">
            <v>155.8068830632657</v>
          </cell>
          <cell r="G849">
            <v>137.05034224962375</v>
          </cell>
          <cell r="H849">
            <v>204.60469157254565</v>
          </cell>
        </row>
        <row r="850">
          <cell r="B850">
            <v>43761</v>
          </cell>
          <cell r="F850">
            <v>155.89351605247469</v>
          </cell>
          <cell r="G850">
            <v>136.08427593572503</v>
          </cell>
          <cell r="H850">
            <v>194.00521285838403</v>
          </cell>
        </row>
        <row r="851">
          <cell r="B851">
            <v>43760</v>
          </cell>
          <cell r="F851">
            <v>156.40511333493222</v>
          </cell>
          <cell r="G851">
            <v>139.55046361473856</v>
          </cell>
          <cell r="H851">
            <v>194.00521285838403</v>
          </cell>
        </row>
        <row r="852">
          <cell r="B852">
            <v>43759</v>
          </cell>
          <cell r="F852">
            <v>154.58046964043422</v>
          </cell>
          <cell r="G852">
            <v>140.57478518374677</v>
          </cell>
          <cell r="H852">
            <v>196.43788010425715</v>
          </cell>
        </row>
        <row r="853">
          <cell r="B853">
            <v>43758</v>
          </cell>
          <cell r="F853">
            <v>156.09262681474902</v>
          </cell>
          <cell r="G853">
            <v>139.1960774794893</v>
          </cell>
          <cell r="H853">
            <v>188.83579496090357</v>
          </cell>
        </row>
        <row r="854">
          <cell r="B854">
            <v>43757</v>
          </cell>
          <cell r="F854">
            <v>156.09262681474902</v>
          </cell>
          <cell r="G854">
            <v>139.1960774794893</v>
          </cell>
          <cell r="H854">
            <v>188.83579496090357</v>
          </cell>
        </row>
        <row r="855">
          <cell r="B855">
            <v>43756</v>
          </cell>
          <cell r="F855">
            <v>156.09262681474902</v>
          </cell>
          <cell r="G855">
            <v>139.1960774794893</v>
          </cell>
          <cell r="H855">
            <v>188.83579496090357</v>
          </cell>
        </row>
        <row r="856">
          <cell r="B856">
            <v>43755</v>
          </cell>
          <cell r="F856">
            <v>155.96060358906215</v>
          </cell>
          <cell r="G856">
            <v>140.50682071945241</v>
          </cell>
          <cell r="H856">
            <v>197.65421372719373</v>
          </cell>
        </row>
        <row r="857">
          <cell r="B857">
            <v>43754</v>
          </cell>
          <cell r="F857">
            <v>157.21580054674357</v>
          </cell>
          <cell r="G857">
            <v>140.04563328316908</v>
          </cell>
          <cell r="H857">
            <v>196.17723718505647</v>
          </cell>
        </row>
        <row r="858">
          <cell r="B858">
            <v>43753</v>
          </cell>
          <cell r="F858">
            <v>155.97588884913301</v>
          </cell>
          <cell r="G858">
            <v>140.93888052818099</v>
          </cell>
          <cell r="H858">
            <v>201.80278019113814</v>
          </cell>
        </row>
        <row r="859">
          <cell r="B859">
            <v>43752</v>
          </cell>
          <cell r="F859">
            <v>154.1561588290561</v>
          </cell>
          <cell r="G859">
            <v>136.73479295111414</v>
          </cell>
          <cell r="H859">
            <v>194.874022589053</v>
          </cell>
        </row>
        <row r="860">
          <cell r="B860">
            <v>43751</v>
          </cell>
          <cell r="F860">
            <v>149.17238574236492</v>
          </cell>
          <cell r="G860">
            <v>136.37069760667995</v>
          </cell>
          <cell r="H860">
            <v>195.91659426585579</v>
          </cell>
        </row>
        <row r="861">
          <cell r="B861">
            <v>43750</v>
          </cell>
          <cell r="F861">
            <v>149.17238574236492</v>
          </cell>
          <cell r="G861">
            <v>136.37069760667995</v>
          </cell>
          <cell r="H861">
            <v>195.91659426585579</v>
          </cell>
        </row>
        <row r="862">
          <cell r="B862">
            <v>43749</v>
          </cell>
          <cell r="F862">
            <v>149.17238574236492</v>
          </cell>
          <cell r="G862">
            <v>136.37069760667995</v>
          </cell>
          <cell r="H862">
            <v>195.91659426585579</v>
          </cell>
        </row>
        <row r="863">
          <cell r="B863">
            <v>43748</v>
          </cell>
          <cell r="F863">
            <v>149.17238574236492</v>
          </cell>
          <cell r="G863">
            <v>133.23462303995339</v>
          </cell>
          <cell r="H863">
            <v>188.01042571676803</v>
          </cell>
        </row>
        <row r="864">
          <cell r="B864">
            <v>43747</v>
          </cell>
          <cell r="F864">
            <v>149.17238574236492</v>
          </cell>
          <cell r="G864">
            <v>132.60352444293412</v>
          </cell>
          <cell r="H864">
            <v>186.25108601216334</v>
          </cell>
        </row>
        <row r="865">
          <cell r="B865">
            <v>43746</v>
          </cell>
          <cell r="F865">
            <v>151.21841620057072</v>
          </cell>
          <cell r="G865">
            <v>131.23452594786153</v>
          </cell>
          <cell r="H865">
            <v>185.20851433536055</v>
          </cell>
        </row>
        <row r="866">
          <cell r="B866">
            <v>43745</v>
          </cell>
          <cell r="F866">
            <v>146.41845571716709</v>
          </cell>
          <cell r="G866">
            <v>134.02592358852371</v>
          </cell>
          <cell r="H866">
            <v>191.83318853171153</v>
          </cell>
        </row>
        <row r="867">
          <cell r="B867">
            <v>43744</v>
          </cell>
          <cell r="F867">
            <v>145.67087572075116</v>
          </cell>
          <cell r="G867">
            <v>136.62313704548765</v>
          </cell>
          <cell r="H867">
            <v>193.52736750651607</v>
          </cell>
        </row>
        <row r="868">
          <cell r="B868">
            <v>43743</v>
          </cell>
          <cell r="F868">
            <v>145.67087572075116</v>
          </cell>
          <cell r="G868">
            <v>136.62313704548765</v>
          </cell>
          <cell r="H868">
            <v>193.52736750651607</v>
          </cell>
        </row>
        <row r="869">
          <cell r="B869">
            <v>43742</v>
          </cell>
          <cell r="F869">
            <v>145.67087572075116</v>
          </cell>
          <cell r="G869">
            <v>136.62313704548765</v>
          </cell>
          <cell r="H869">
            <v>193.52736750651607</v>
          </cell>
        </row>
        <row r="870">
          <cell r="B870">
            <v>43741</v>
          </cell>
          <cell r="F870">
            <v>145.21468423935019</v>
          </cell>
          <cell r="G870">
            <v>133.22491383076849</v>
          </cell>
          <cell r="H870">
            <v>188.79235447437011</v>
          </cell>
        </row>
        <row r="871">
          <cell r="B871">
            <v>43740</v>
          </cell>
          <cell r="F871">
            <v>146.53478203336411</v>
          </cell>
          <cell r="G871">
            <v>131.10830622845768</v>
          </cell>
          <cell r="H871">
            <v>182.36316246741961</v>
          </cell>
        </row>
        <row r="872">
          <cell r="B872">
            <v>43739</v>
          </cell>
          <cell r="F872">
            <v>146.54188323836354</v>
          </cell>
          <cell r="G872">
            <v>133.42880722365166</v>
          </cell>
          <cell r="H872">
            <v>183.75325803649</v>
          </cell>
        </row>
        <row r="873">
          <cell r="B873">
            <v>43738</v>
          </cell>
          <cell r="F873">
            <v>142.5843403157144</v>
          </cell>
          <cell r="G873">
            <v>134.02106898393126</v>
          </cell>
          <cell r="H873">
            <v>186.14248479582974</v>
          </cell>
        </row>
        <row r="874">
          <cell r="B874">
            <v>43737</v>
          </cell>
          <cell r="F874">
            <v>142.5843403157144</v>
          </cell>
          <cell r="G874">
            <v>133.08413029758725</v>
          </cell>
          <cell r="H874">
            <v>187.70634231103389</v>
          </cell>
        </row>
        <row r="875">
          <cell r="B875">
            <v>43736</v>
          </cell>
          <cell r="F875">
            <v>142.5843403157144</v>
          </cell>
          <cell r="G875">
            <v>133.08413029758725</v>
          </cell>
          <cell r="H875">
            <v>187.70634231103389</v>
          </cell>
        </row>
        <row r="876">
          <cell r="B876">
            <v>43735</v>
          </cell>
          <cell r="F876">
            <v>142.5843403157144</v>
          </cell>
          <cell r="G876">
            <v>133.08413029758725</v>
          </cell>
          <cell r="H876">
            <v>187.70634231103389</v>
          </cell>
        </row>
        <row r="877">
          <cell r="B877">
            <v>43734</v>
          </cell>
          <cell r="F877">
            <v>140.53732844229611</v>
          </cell>
          <cell r="G877">
            <v>134.42885576969758</v>
          </cell>
          <cell r="H877">
            <v>211.120764552563</v>
          </cell>
        </row>
        <row r="878">
          <cell r="B878">
            <v>43733</v>
          </cell>
          <cell r="F878">
            <v>139.49753615764769</v>
          </cell>
          <cell r="G878">
            <v>133.87543084615757</v>
          </cell>
          <cell r="H878">
            <v>214.90008688097308</v>
          </cell>
        </row>
        <row r="879">
          <cell r="B879">
            <v>43732</v>
          </cell>
          <cell r="F879">
            <v>138.89698667054006</v>
          </cell>
          <cell r="G879">
            <v>137.05034224962375</v>
          </cell>
          <cell r="H879">
            <v>210.72980017376196</v>
          </cell>
        </row>
        <row r="880">
          <cell r="B880">
            <v>43731</v>
          </cell>
          <cell r="F880">
            <v>138.66325538535028</v>
          </cell>
          <cell r="G880">
            <v>138.57954269624736</v>
          </cell>
          <cell r="H880">
            <v>215.46481320590792</v>
          </cell>
        </row>
        <row r="881">
          <cell r="B881">
            <v>43730</v>
          </cell>
          <cell r="F881">
            <v>138.61402370859477</v>
          </cell>
          <cell r="G881">
            <v>137.99699014515267</v>
          </cell>
          <cell r="H881">
            <v>213.55343179843612</v>
          </cell>
        </row>
        <row r="882">
          <cell r="B882">
            <v>43729</v>
          </cell>
          <cell r="F882">
            <v>138.61402370859477</v>
          </cell>
          <cell r="G882">
            <v>137.99699014515267</v>
          </cell>
          <cell r="H882">
            <v>213.55343179843612</v>
          </cell>
        </row>
        <row r="883">
          <cell r="B883">
            <v>43728</v>
          </cell>
          <cell r="F883">
            <v>138.61402370859477</v>
          </cell>
          <cell r="G883">
            <v>137.99699014515267</v>
          </cell>
          <cell r="H883">
            <v>213.55343179843612</v>
          </cell>
        </row>
        <row r="884">
          <cell r="B884">
            <v>43727</v>
          </cell>
          <cell r="F884">
            <v>139.09866988180056</v>
          </cell>
          <cell r="G884">
            <v>141.09422787513955</v>
          </cell>
          <cell r="H884">
            <v>216.4205039096438</v>
          </cell>
        </row>
        <row r="885">
          <cell r="B885">
            <v>43726</v>
          </cell>
          <cell r="F885">
            <v>140.3069282155727</v>
          </cell>
          <cell r="G885">
            <v>139.68639254332734</v>
          </cell>
          <cell r="H885">
            <v>219.28757602085142</v>
          </cell>
        </row>
        <row r="886">
          <cell r="B886">
            <v>43725</v>
          </cell>
          <cell r="F886">
            <v>139.39553365584086</v>
          </cell>
          <cell r="G886">
            <v>140.21554444390503</v>
          </cell>
          <cell r="H886">
            <v>220.85143353605562</v>
          </cell>
        </row>
        <row r="887">
          <cell r="B887">
            <v>43724</v>
          </cell>
          <cell r="F887">
            <v>139.79415686002511</v>
          </cell>
          <cell r="G887">
            <v>140.13301616583328</v>
          </cell>
          <cell r="H887">
            <v>217.85403996524758</v>
          </cell>
        </row>
        <row r="888">
          <cell r="B888">
            <v>43723</v>
          </cell>
          <cell r="F888">
            <v>138.16089846600747</v>
          </cell>
          <cell r="G888">
            <v>140.93888052818099</v>
          </cell>
          <cell r="H888">
            <v>219.37445699391836</v>
          </cell>
        </row>
        <row r="889">
          <cell r="B889">
            <v>43722</v>
          </cell>
          <cell r="F889">
            <v>138.16089846600747</v>
          </cell>
          <cell r="G889">
            <v>140.93888052818099</v>
          </cell>
          <cell r="H889">
            <v>219.37445699391836</v>
          </cell>
        </row>
        <row r="890">
          <cell r="B890">
            <v>43721</v>
          </cell>
          <cell r="F890">
            <v>138.16089846600747</v>
          </cell>
          <cell r="G890">
            <v>140.93888052818099</v>
          </cell>
          <cell r="H890">
            <v>219.37445699391836</v>
          </cell>
        </row>
        <row r="891">
          <cell r="B891">
            <v>43720</v>
          </cell>
          <cell r="F891">
            <v>138.16089846600747</v>
          </cell>
          <cell r="G891">
            <v>145.91970484004077</v>
          </cell>
          <cell r="H891">
            <v>219.11381407471762</v>
          </cell>
        </row>
        <row r="892">
          <cell r="B892">
            <v>43719</v>
          </cell>
          <cell r="F892">
            <v>137.45895407956846</v>
          </cell>
          <cell r="G892">
            <v>144.67207145977957</v>
          </cell>
          <cell r="H892">
            <v>219.28757602085142</v>
          </cell>
        </row>
        <row r="893">
          <cell r="B893">
            <v>43718</v>
          </cell>
          <cell r="F893">
            <v>136.40762203372432</v>
          </cell>
          <cell r="G893">
            <v>142.93897762027282</v>
          </cell>
          <cell r="H893">
            <v>214.55256298870546</v>
          </cell>
        </row>
        <row r="894">
          <cell r="B894">
            <v>43717</v>
          </cell>
          <cell r="F894">
            <v>138.18017368038196</v>
          </cell>
          <cell r="G894">
            <v>142.0505849798534</v>
          </cell>
          <cell r="H894">
            <v>213.42311033883581</v>
          </cell>
        </row>
        <row r="895">
          <cell r="B895">
            <v>43716</v>
          </cell>
          <cell r="F895">
            <v>137.46852521266436</v>
          </cell>
          <cell r="G895">
            <v>141.71076265838147</v>
          </cell>
          <cell r="H895">
            <v>212.72806255430061</v>
          </cell>
        </row>
        <row r="896">
          <cell r="B896">
            <v>43715</v>
          </cell>
          <cell r="F896">
            <v>137.46852521266436</v>
          </cell>
          <cell r="G896">
            <v>141.71076265838147</v>
          </cell>
          <cell r="H896">
            <v>212.72806255430061</v>
          </cell>
        </row>
        <row r="897">
          <cell r="B897">
            <v>43714</v>
          </cell>
          <cell r="F897">
            <v>137.46852521266436</v>
          </cell>
          <cell r="G897">
            <v>141.71076265838147</v>
          </cell>
          <cell r="H897">
            <v>212.72806255430061</v>
          </cell>
        </row>
        <row r="898">
          <cell r="B898">
            <v>43713</v>
          </cell>
          <cell r="F898">
            <v>136.86092408101362</v>
          </cell>
          <cell r="G898">
            <v>141.27870284965286</v>
          </cell>
          <cell r="H898">
            <v>212.98870547350131</v>
          </cell>
        </row>
        <row r="899">
          <cell r="B899">
            <v>43712</v>
          </cell>
          <cell r="F899">
            <v>134.02453798083155</v>
          </cell>
          <cell r="G899">
            <v>137.39501917568813</v>
          </cell>
          <cell r="H899">
            <v>203.3449174630756</v>
          </cell>
        </row>
        <row r="900">
          <cell r="B900">
            <v>43711</v>
          </cell>
          <cell r="F900">
            <v>131.76438946577355</v>
          </cell>
          <cell r="G900">
            <v>133.04043885625515</v>
          </cell>
          <cell r="H900">
            <v>195.43874891398784</v>
          </cell>
        </row>
        <row r="901">
          <cell r="B901">
            <v>43710</v>
          </cell>
          <cell r="F901">
            <v>133.50766247180599</v>
          </cell>
          <cell r="G901">
            <v>137.2105442011748</v>
          </cell>
          <cell r="H901">
            <v>196.65508253692443</v>
          </cell>
        </row>
        <row r="902">
          <cell r="B902">
            <v>43709</v>
          </cell>
          <cell r="F902">
            <v>134.52978171351</v>
          </cell>
          <cell r="G902">
            <v>137.2105442011748</v>
          </cell>
          <cell r="H902">
            <v>196.65508253692443</v>
          </cell>
        </row>
        <row r="903">
          <cell r="B903">
            <v>43708</v>
          </cell>
          <cell r="F903">
            <v>134.52978171351</v>
          </cell>
          <cell r="G903">
            <v>137.2105442011748</v>
          </cell>
          <cell r="H903">
            <v>196.65508253692443</v>
          </cell>
        </row>
        <row r="904">
          <cell r="B904">
            <v>43707</v>
          </cell>
          <cell r="F904">
            <v>134.52978171351</v>
          </cell>
          <cell r="G904">
            <v>137.2105442011748</v>
          </cell>
          <cell r="H904">
            <v>196.65508253692443</v>
          </cell>
        </row>
        <row r="905">
          <cell r="B905">
            <v>43706</v>
          </cell>
          <cell r="F905">
            <v>131.97903743149215</v>
          </cell>
          <cell r="G905">
            <v>137.56493033642408</v>
          </cell>
          <cell r="H905">
            <v>194.04865334491748</v>
          </cell>
        </row>
        <row r="906">
          <cell r="B906">
            <v>43705</v>
          </cell>
          <cell r="F906">
            <v>130.58112742755824</v>
          </cell>
          <cell r="G906">
            <v>134.01621437933881</v>
          </cell>
          <cell r="H906">
            <v>187.44569939183319</v>
          </cell>
        </row>
        <row r="907">
          <cell r="B907">
            <v>43704</v>
          </cell>
          <cell r="F907">
            <v>129.503516918732</v>
          </cell>
          <cell r="G907">
            <v>133.77833875430844</v>
          </cell>
          <cell r="H907">
            <v>184.36142484795829</v>
          </cell>
        </row>
        <row r="908">
          <cell r="B908">
            <v>43703</v>
          </cell>
          <cell r="F908">
            <v>128.83316276725475</v>
          </cell>
          <cell r="G908">
            <v>134.57934851206369</v>
          </cell>
          <cell r="H908">
            <v>188.66203301476975</v>
          </cell>
        </row>
        <row r="909">
          <cell r="B909">
            <v>43702</v>
          </cell>
          <cell r="F909">
            <v>131.50856885539716</v>
          </cell>
          <cell r="G909">
            <v>132.1083547745036</v>
          </cell>
          <cell r="H909">
            <v>186.62033014769764</v>
          </cell>
        </row>
        <row r="910">
          <cell r="B910">
            <v>43701</v>
          </cell>
          <cell r="F910">
            <v>131.50856885539716</v>
          </cell>
          <cell r="G910">
            <v>132.1083547745036</v>
          </cell>
          <cell r="H910">
            <v>186.62033014769764</v>
          </cell>
        </row>
        <row r="911">
          <cell r="B911">
            <v>43700</v>
          </cell>
          <cell r="F911">
            <v>131.50856885539716</v>
          </cell>
          <cell r="G911">
            <v>132.1083547745036</v>
          </cell>
          <cell r="H911">
            <v>186.62033014769764</v>
          </cell>
        </row>
        <row r="912">
          <cell r="B912">
            <v>43699</v>
          </cell>
          <cell r="F912">
            <v>131.74338312239669</v>
          </cell>
          <cell r="G912">
            <v>139.62813728821789</v>
          </cell>
          <cell r="H912">
            <v>194.52649869678541</v>
          </cell>
        </row>
        <row r="913">
          <cell r="B913">
            <v>43698</v>
          </cell>
          <cell r="F913">
            <v>132.14597729743446</v>
          </cell>
          <cell r="G913">
            <v>139.5698820331084</v>
          </cell>
          <cell r="H913">
            <v>191.87662901824501</v>
          </cell>
        </row>
        <row r="914">
          <cell r="B914">
            <v>43697</v>
          </cell>
          <cell r="F914">
            <v>132.15441385231028</v>
          </cell>
          <cell r="G914">
            <v>136.10854895868732</v>
          </cell>
          <cell r="H914">
            <v>192.13727193744569</v>
          </cell>
        </row>
        <row r="915">
          <cell r="B915">
            <v>43696</v>
          </cell>
          <cell r="F915">
            <v>130.7018662585555</v>
          </cell>
          <cell r="G915">
            <v>135.33666682848678</v>
          </cell>
          <cell r="H915">
            <v>195.52562988705472</v>
          </cell>
        </row>
        <row r="916">
          <cell r="B916">
            <v>43695</v>
          </cell>
          <cell r="F916">
            <v>129.92552767639819</v>
          </cell>
          <cell r="G916">
            <v>132.90936453225882</v>
          </cell>
          <cell r="H916">
            <v>189.18331885317116</v>
          </cell>
        </row>
        <row r="917">
          <cell r="B917">
            <v>43694</v>
          </cell>
          <cell r="F917">
            <v>129.92552767639819</v>
          </cell>
          <cell r="G917">
            <v>132.90936453225882</v>
          </cell>
          <cell r="H917">
            <v>189.18331885317116</v>
          </cell>
        </row>
        <row r="918">
          <cell r="B918">
            <v>43693</v>
          </cell>
          <cell r="F918">
            <v>129.92552767639819</v>
          </cell>
          <cell r="G918">
            <v>132.90936453225882</v>
          </cell>
          <cell r="H918">
            <v>189.18331885317116</v>
          </cell>
        </row>
        <row r="919">
          <cell r="B919">
            <v>43692</v>
          </cell>
          <cell r="F919">
            <v>128.93967496370985</v>
          </cell>
          <cell r="G919">
            <v>130.41409777173646</v>
          </cell>
          <cell r="H919">
            <v>183.49261511728932</v>
          </cell>
        </row>
        <row r="920">
          <cell r="B920">
            <v>43691</v>
          </cell>
          <cell r="F920">
            <v>129.26097467802612</v>
          </cell>
          <cell r="G920">
            <v>131.83164231273363</v>
          </cell>
          <cell r="H920">
            <v>182.62380538662032</v>
          </cell>
        </row>
        <row r="921">
          <cell r="B921">
            <v>43690</v>
          </cell>
          <cell r="F921">
            <v>128.75236824472631</v>
          </cell>
          <cell r="G921">
            <v>137.72513228797513</v>
          </cell>
          <cell r="H921">
            <v>191.87662901824501</v>
          </cell>
        </row>
        <row r="922">
          <cell r="B922">
            <v>43689</v>
          </cell>
          <cell r="F922">
            <v>129.79008034477064</v>
          </cell>
          <cell r="G922">
            <v>133.81232098645563</v>
          </cell>
          <cell r="H922">
            <v>183.01476976542139</v>
          </cell>
        </row>
        <row r="923">
          <cell r="B923">
            <v>43688</v>
          </cell>
          <cell r="F923">
            <v>131.80343679432764</v>
          </cell>
          <cell r="G923">
            <v>133.85601242778776</v>
          </cell>
          <cell r="H923">
            <v>180.36490008688099</v>
          </cell>
        </row>
        <row r="924">
          <cell r="B924">
            <v>43687</v>
          </cell>
          <cell r="F924">
            <v>131.80343679432764</v>
          </cell>
          <cell r="G924">
            <v>133.85601242778776</v>
          </cell>
          <cell r="H924">
            <v>180.36490008688099</v>
          </cell>
        </row>
        <row r="925">
          <cell r="B925">
            <v>43686</v>
          </cell>
          <cell r="F925">
            <v>131.80343679432764</v>
          </cell>
          <cell r="G925">
            <v>133.85601242778776</v>
          </cell>
          <cell r="H925">
            <v>180.36490008688099</v>
          </cell>
        </row>
        <row r="926">
          <cell r="B926">
            <v>43685</v>
          </cell>
          <cell r="F926">
            <v>131.80343679432764</v>
          </cell>
          <cell r="G926">
            <v>131.55007524637119</v>
          </cell>
          <cell r="H926">
            <v>185.18679409209383</v>
          </cell>
        </row>
        <row r="927">
          <cell r="B927">
            <v>43684</v>
          </cell>
          <cell r="F927">
            <v>128.37346624656504</v>
          </cell>
          <cell r="G927">
            <v>131.09859701927277</v>
          </cell>
          <cell r="H927">
            <v>181.3640312771503</v>
          </cell>
        </row>
        <row r="928">
          <cell r="B928">
            <v>43683</v>
          </cell>
          <cell r="F928">
            <v>128.50960542180022</v>
          </cell>
          <cell r="G928">
            <v>129.34608476139618</v>
          </cell>
          <cell r="H928">
            <v>185.14335360556038</v>
          </cell>
        </row>
        <row r="929">
          <cell r="B929">
            <v>43682</v>
          </cell>
          <cell r="F929">
            <v>126.55800267055162</v>
          </cell>
          <cell r="G929">
            <v>129.93834652167581</v>
          </cell>
          <cell r="H929">
            <v>182.18940052128582</v>
          </cell>
        </row>
        <row r="930">
          <cell r="B930">
            <v>43681</v>
          </cell>
          <cell r="F930">
            <v>130.08170600139056</v>
          </cell>
          <cell r="G930">
            <v>135.21530171367539</v>
          </cell>
          <cell r="H930">
            <v>191.48566463944397</v>
          </cell>
        </row>
        <row r="931">
          <cell r="B931">
            <v>43680</v>
          </cell>
          <cell r="F931">
            <v>130.08170600139056</v>
          </cell>
          <cell r="G931">
            <v>135.21530171367539</v>
          </cell>
          <cell r="H931">
            <v>191.48566463944397</v>
          </cell>
        </row>
        <row r="932">
          <cell r="B932">
            <v>43679</v>
          </cell>
          <cell r="F932">
            <v>130.08170600139056</v>
          </cell>
          <cell r="G932">
            <v>135.21530171367539</v>
          </cell>
          <cell r="H932">
            <v>191.48566463944397</v>
          </cell>
        </row>
        <row r="933">
          <cell r="B933">
            <v>43678</v>
          </cell>
          <cell r="F933">
            <v>133.20145935469165</v>
          </cell>
          <cell r="G933">
            <v>138.5212874411379</v>
          </cell>
          <cell r="H933">
            <v>189.40052128583841</v>
          </cell>
        </row>
        <row r="934">
          <cell r="B934">
            <v>43677</v>
          </cell>
          <cell r="F934">
            <v>135.49904672232466</v>
          </cell>
          <cell r="G934">
            <v>140.77867857662994</v>
          </cell>
          <cell r="H934">
            <v>195.00434404865334</v>
          </cell>
        </row>
        <row r="935">
          <cell r="B935">
            <v>43676</v>
          </cell>
          <cell r="F935">
            <v>136.09211981050589</v>
          </cell>
          <cell r="G935">
            <v>145.42453517161027</v>
          </cell>
          <cell r="H935">
            <v>206.1685490877498</v>
          </cell>
        </row>
        <row r="936">
          <cell r="B936">
            <v>43675</v>
          </cell>
          <cell r="F936">
            <v>136.60236463556825</v>
          </cell>
          <cell r="G936">
            <v>146.48283897276565</v>
          </cell>
          <cell r="H936">
            <v>203.38835794960906</v>
          </cell>
        </row>
        <row r="937">
          <cell r="B937">
            <v>43674</v>
          </cell>
          <cell r="F937">
            <v>136.59796973290327</v>
          </cell>
          <cell r="G937">
            <v>146.08476139618429</v>
          </cell>
          <cell r="H937">
            <v>206.29887054735013</v>
          </cell>
        </row>
        <row r="938">
          <cell r="B938">
            <v>43673</v>
          </cell>
          <cell r="F938">
            <v>136.59796973290327</v>
          </cell>
          <cell r="G938">
            <v>146.08476139618429</v>
          </cell>
          <cell r="H938">
            <v>206.29887054735013</v>
          </cell>
        </row>
        <row r="939">
          <cell r="B939">
            <v>43672</v>
          </cell>
          <cell r="F939">
            <v>136.59796973290327</v>
          </cell>
          <cell r="G939">
            <v>146.08476139618429</v>
          </cell>
          <cell r="H939">
            <v>206.29887054735013</v>
          </cell>
        </row>
        <row r="940">
          <cell r="B940">
            <v>43671</v>
          </cell>
          <cell r="F940">
            <v>138.72713130935446</v>
          </cell>
          <cell r="G940">
            <v>145.82746735278411</v>
          </cell>
          <cell r="H940">
            <v>207.51520417028669</v>
          </cell>
        </row>
        <row r="941">
          <cell r="B941">
            <v>43670</v>
          </cell>
          <cell r="F941">
            <v>138.70481284168989</v>
          </cell>
          <cell r="G941">
            <v>147.46832370503421</v>
          </cell>
          <cell r="H941">
            <v>208.4708948740226</v>
          </cell>
        </row>
        <row r="942">
          <cell r="B942">
            <v>43669</v>
          </cell>
          <cell r="F942">
            <v>138.15472679876737</v>
          </cell>
          <cell r="G942">
            <v>146.01679693188987</v>
          </cell>
          <cell r="H942">
            <v>203.95308427454387</v>
          </cell>
        </row>
        <row r="943">
          <cell r="B943">
            <v>43668</v>
          </cell>
          <cell r="F943">
            <v>138.27483039924283</v>
          </cell>
          <cell r="G943">
            <v>143.76911500558279</v>
          </cell>
          <cell r="H943">
            <v>204.99565595134666</v>
          </cell>
        </row>
        <row r="944">
          <cell r="B944">
            <v>43667</v>
          </cell>
          <cell r="F944">
            <v>135.77402287079713</v>
          </cell>
          <cell r="G944">
            <v>140.7835331812224</v>
          </cell>
          <cell r="H944">
            <v>197.74109470026067</v>
          </cell>
        </row>
        <row r="945">
          <cell r="B945">
            <v>43666</v>
          </cell>
          <cell r="F945">
            <v>135.77402287079713</v>
          </cell>
          <cell r="G945">
            <v>140.7835331812224</v>
          </cell>
          <cell r="H945">
            <v>197.74109470026067</v>
          </cell>
        </row>
        <row r="946">
          <cell r="B946">
            <v>43665</v>
          </cell>
          <cell r="F946">
            <v>135.77402287079713</v>
          </cell>
          <cell r="G946">
            <v>140.7835331812224</v>
          </cell>
          <cell r="H946">
            <v>197.74109470026067</v>
          </cell>
        </row>
        <row r="947">
          <cell r="B947">
            <v>43664</v>
          </cell>
          <cell r="F947">
            <v>133.4194751160104</v>
          </cell>
          <cell r="G947">
            <v>140.67673188018836</v>
          </cell>
          <cell r="H947">
            <v>194.04865334491748</v>
          </cell>
        </row>
        <row r="948">
          <cell r="B948">
            <v>43663</v>
          </cell>
          <cell r="F948">
            <v>132.0448810865947</v>
          </cell>
          <cell r="G948">
            <v>138.39506772173405</v>
          </cell>
          <cell r="H948">
            <v>188.40139009556907</v>
          </cell>
        </row>
        <row r="949">
          <cell r="B949">
            <v>43662</v>
          </cell>
          <cell r="F949">
            <v>134.09331904952722</v>
          </cell>
          <cell r="G949">
            <v>137.93388028545075</v>
          </cell>
          <cell r="H949">
            <v>187.05473501303217</v>
          </cell>
        </row>
        <row r="950">
          <cell r="B950">
            <v>43661</v>
          </cell>
          <cell r="F950">
            <v>133.39352116095264</v>
          </cell>
          <cell r="G950">
            <v>139.97766881887469</v>
          </cell>
          <cell r="H950">
            <v>192.87576020851432</v>
          </cell>
        </row>
        <row r="951">
          <cell r="B951">
            <v>43660</v>
          </cell>
          <cell r="F951">
            <v>131.28850247060183</v>
          </cell>
          <cell r="G951">
            <v>138.54556046410019</v>
          </cell>
          <cell r="H951">
            <v>193.35360556038228</v>
          </cell>
        </row>
        <row r="952">
          <cell r="B952">
            <v>43659</v>
          </cell>
          <cell r="F952">
            <v>131.28850247060183</v>
          </cell>
          <cell r="G952">
            <v>138.54556046410019</v>
          </cell>
          <cell r="H952">
            <v>193.35360556038228</v>
          </cell>
        </row>
        <row r="953">
          <cell r="B953">
            <v>43658</v>
          </cell>
          <cell r="F953">
            <v>131.28850247060183</v>
          </cell>
          <cell r="G953">
            <v>138.54556046410019</v>
          </cell>
          <cell r="H953">
            <v>193.35360556038228</v>
          </cell>
        </row>
        <row r="954">
          <cell r="B954">
            <v>43657</v>
          </cell>
          <cell r="F954">
            <v>131.13207176986893</v>
          </cell>
          <cell r="G954">
            <v>134.01621437933881</v>
          </cell>
          <cell r="H954">
            <v>188.879235447437</v>
          </cell>
        </row>
        <row r="955">
          <cell r="B955">
            <v>43656</v>
          </cell>
          <cell r="F955">
            <v>129.45830313810464</v>
          </cell>
          <cell r="G955">
            <v>133.25889606291568</v>
          </cell>
          <cell r="H955">
            <v>186.35968722849697</v>
          </cell>
        </row>
        <row r="956">
          <cell r="B956">
            <v>43655</v>
          </cell>
          <cell r="F956">
            <v>126.33296029207581</v>
          </cell>
          <cell r="G956">
            <v>133.75892033593863</v>
          </cell>
          <cell r="H956">
            <v>179.62641181581233</v>
          </cell>
        </row>
        <row r="957">
          <cell r="B957">
            <v>43654</v>
          </cell>
          <cell r="F957">
            <v>126.54930622176866</v>
          </cell>
          <cell r="G957">
            <v>133.48220787416864</v>
          </cell>
          <cell r="H957">
            <v>175.5430060816681</v>
          </cell>
        </row>
        <row r="958">
          <cell r="B958">
            <v>43653</v>
          </cell>
          <cell r="F958">
            <v>126.82650704018781</v>
          </cell>
          <cell r="G958">
            <v>137.22025341035973</v>
          </cell>
          <cell r="H958">
            <v>171.24239791485664</v>
          </cell>
        </row>
        <row r="959">
          <cell r="B959">
            <v>43652</v>
          </cell>
          <cell r="F959">
            <v>126.82650704018781</v>
          </cell>
          <cell r="G959">
            <v>137.22025341035973</v>
          </cell>
          <cell r="H959">
            <v>171.24239791485664</v>
          </cell>
        </row>
        <row r="960">
          <cell r="B960">
            <v>43651</v>
          </cell>
          <cell r="F960">
            <v>126.82650704018781</v>
          </cell>
          <cell r="G960">
            <v>137.22025341035973</v>
          </cell>
          <cell r="H960">
            <v>171.24239791485664</v>
          </cell>
        </row>
        <row r="961">
          <cell r="B961">
            <v>43650</v>
          </cell>
          <cell r="F961">
            <v>127.90241894743552</v>
          </cell>
          <cell r="G961">
            <v>138.30283023447737</v>
          </cell>
          <cell r="H961">
            <v>171.9808861859253</v>
          </cell>
        </row>
        <row r="962">
          <cell r="B962">
            <v>43649</v>
          </cell>
          <cell r="F962">
            <v>126.95658385507778</v>
          </cell>
          <cell r="G962">
            <v>138.30283023447737</v>
          </cell>
          <cell r="H962">
            <v>171.9808861859253</v>
          </cell>
        </row>
        <row r="963">
          <cell r="B963">
            <v>43648</v>
          </cell>
          <cell r="F963">
            <v>130.69604239906258</v>
          </cell>
          <cell r="G963">
            <v>143.3710374290014</v>
          </cell>
          <cell r="H963">
            <v>172.02432667245876</v>
          </cell>
        </row>
        <row r="964">
          <cell r="B964">
            <v>43647</v>
          </cell>
          <cell r="F964">
            <v>130.43360054685559</v>
          </cell>
          <cell r="G964">
            <v>145.8080489344143</v>
          </cell>
          <cell r="H964">
            <v>174.23979148566465</v>
          </cell>
        </row>
        <row r="965">
          <cell r="B965">
            <v>43646</v>
          </cell>
          <cell r="F965">
            <v>125.58497927384806</v>
          </cell>
          <cell r="G965">
            <v>139.74464779843683</v>
          </cell>
          <cell r="H965">
            <v>167.63683753258039</v>
          </cell>
        </row>
        <row r="966">
          <cell r="B966">
            <v>43645</v>
          </cell>
          <cell r="F966">
            <v>125.58497927384806</v>
          </cell>
          <cell r="G966">
            <v>139.74464779843683</v>
          </cell>
          <cell r="H966">
            <v>167.63683753258039</v>
          </cell>
        </row>
        <row r="967">
          <cell r="B967">
            <v>43644</v>
          </cell>
          <cell r="F967">
            <v>125.58497927384806</v>
          </cell>
          <cell r="G967">
            <v>139.74464779843683</v>
          </cell>
          <cell r="H967">
            <v>167.63683753258039</v>
          </cell>
        </row>
        <row r="968">
          <cell r="B968">
            <v>43643</v>
          </cell>
          <cell r="F968">
            <v>126.1490530426139</v>
          </cell>
          <cell r="G968">
            <v>138.70090781105878</v>
          </cell>
          <cell r="H968">
            <v>165.377932232841</v>
          </cell>
        </row>
        <row r="969">
          <cell r="B969">
            <v>43642</v>
          </cell>
          <cell r="F969">
            <v>122.99395155271343</v>
          </cell>
          <cell r="G969">
            <v>136.62799165008008</v>
          </cell>
          <cell r="H969">
            <v>160.90356211989572</v>
          </cell>
        </row>
        <row r="970">
          <cell r="B970">
            <v>43641</v>
          </cell>
          <cell r="F970">
            <v>124.86245463684958</v>
          </cell>
          <cell r="G970">
            <v>134.23467158599931</v>
          </cell>
          <cell r="H970">
            <v>141.96350999131192</v>
          </cell>
        </row>
        <row r="971">
          <cell r="B971">
            <v>43640</v>
          </cell>
          <cell r="F971">
            <v>126.75053927882898</v>
          </cell>
          <cell r="G971">
            <v>135.54056022136996</v>
          </cell>
          <cell r="H971">
            <v>144.17897480451779</v>
          </cell>
        </row>
        <row r="972">
          <cell r="B972">
            <v>43639</v>
          </cell>
          <cell r="F972">
            <v>130.63592774522203</v>
          </cell>
          <cell r="G972">
            <v>133.01131122870044</v>
          </cell>
          <cell r="H972">
            <v>144.43961772371853</v>
          </cell>
        </row>
        <row r="973">
          <cell r="B973">
            <v>43638</v>
          </cell>
          <cell r="F973">
            <v>130.63592774522203</v>
          </cell>
          <cell r="G973">
            <v>133.01131122870044</v>
          </cell>
          <cell r="H973">
            <v>144.43961772371853</v>
          </cell>
        </row>
        <row r="974">
          <cell r="B974">
            <v>43637</v>
          </cell>
          <cell r="F974">
            <v>130.63592774522203</v>
          </cell>
          <cell r="G974">
            <v>133.01131122870044</v>
          </cell>
          <cell r="H974">
            <v>144.43961772371853</v>
          </cell>
        </row>
        <row r="975">
          <cell r="B975">
            <v>43636</v>
          </cell>
          <cell r="F975">
            <v>128.75021686199202</v>
          </cell>
          <cell r="G975">
            <v>135.46774115248311</v>
          </cell>
          <cell r="H975">
            <v>148.34926151172894</v>
          </cell>
        </row>
        <row r="976">
          <cell r="B976">
            <v>43635</v>
          </cell>
          <cell r="F976">
            <v>127.42610572396444</v>
          </cell>
          <cell r="G976">
            <v>134.71042283606002</v>
          </cell>
          <cell r="H976">
            <v>147.43701129452649</v>
          </cell>
        </row>
        <row r="977">
          <cell r="B977">
            <v>43634</v>
          </cell>
          <cell r="F977">
            <v>122.38202738314557</v>
          </cell>
          <cell r="G977">
            <v>134.98228069323756</v>
          </cell>
          <cell r="H977">
            <v>148.95742832319723</v>
          </cell>
        </row>
        <row r="978">
          <cell r="B978">
            <v>43633</v>
          </cell>
          <cell r="F978">
            <v>120.34853031550826</v>
          </cell>
          <cell r="G978">
            <v>129.11791834555075</v>
          </cell>
          <cell r="H978">
            <v>140.87749782797567</v>
          </cell>
        </row>
        <row r="979">
          <cell r="B979">
            <v>43632</v>
          </cell>
          <cell r="F979">
            <v>121.8826021035686</v>
          </cell>
          <cell r="G979">
            <v>129.09849992718091</v>
          </cell>
          <cell r="H979">
            <v>141.87662901824498</v>
          </cell>
        </row>
        <row r="980">
          <cell r="B980">
            <v>43631</v>
          </cell>
          <cell r="F980">
            <v>121.8826021035686</v>
          </cell>
          <cell r="G980">
            <v>129.09849992718091</v>
          </cell>
          <cell r="H980">
            <v>141.87662901824498</v>
          </cell>
        </row>
        <row r="981">
          <cell r="B981">
            <v>43630</v>
          </cell>
          <cell r="F981">
            <v>121.8826021035686</v>
          </cell>
          <cell r="G981">
            <v>129.09849992718091</v>
          </cell>
          <cell r="H981">
            <v>141.87662901824498</v>
          </cell>
        </row>
        <row r="982">
          <cell r="B982">
            <v>43629</v>
          </cell>
          <cell r="F982">
            <v>124.08234757586393</v>
          </cell>
          <cell r="G982">
            <v>136.71051992815185</v>
          </cell>
          <cell r="H982">
            <v>145.00434404865337</v>
          </cell>
        </row>
        <row r="983">
          <cell r="B983">
            <v>43628</v>
          </cell>
          <cell r="F983">
            <v>127.40306140497171</v>
          </cell>
          <cell r="G983">
            <v>135.79785426477014</v>
          </cell>
          <cell r="H983">
            <v>143.17984361424848</v>
          </cell>
        </row>
        <row r="984">
          <cell r="B984">
            <v>43627</v>
          </cell>
          <cell r="F984">
            <v>126.74727103503389</v>
          </cell>
          <cell r="G984">
            <v>137.61833098694112</v>
          </cell>
          <cell r="H984">
            <v>151.34665508253696</v>
          </cell>
        </row>
        <row r="985">
          <cell r="B985">
            <v>43626</v>
          </cell>
          <cell r="F985">
            <v>124.52164016607617</v>
          </cell>
          <cell r="G985">
            <v>136.030875285208</v>
          </cell>
          <cell r="H985">
            <v>151.7810599478714</v>
          </cell>
        </row>
        <row r="986">
          <cell r="B986">
            <v>43625</v>
          </cell>
          <cell r="F986">
            <v>120.59015267092985</v>
          </cell>
          <cell r="G986">
            <v>133.43851643283656</v>
          </cell>
          <cell r="H986">
            <v>147.65421372719376</v>
          </cell>
        </row>
        <row r="987">
          <cell r="B987">
            <v>43624</v>
          </cell>
          <cell r="F987">
            <v>120.59015267092985</v>
          </cell>
          <cell r="G987">
            <v>133.43851643283656</v>
          </cell>
          <cell r="H987">
            <v>147.65421372719376</v>
          </cell>
        </row>
        <row r="988">
          <cell r="B988">
            <v>43623</v>
          </cell>
          <cell r="F988">
            <v>120.59015267092985</v>
          </cell>
          <cell r="G988">
            <v>133.43851643283656</v>
          </cell>
          <cell r="H988">
            <v>147.65421372719376</v>
          </cell>
        </row>
        <row r="989">
          <cell r="B989">
            <v>43622</v>
          </cell>
          <cell r="F989">
            <v>120.59015267092985</v>
          </cell>
          <cell r="G989">
            <v>132.42875867760571</v>
          </cell>
          <cell r="H989">
            <v>145.39530842745438</v>
          </cell>
        </row>
        <row r="990">
          <cell r="B990">
            <v>43621</v>
          </cell>
          <cell r="F990">
            <v>121.92355059293889</v>
          </cell>
          <cell r="G990">
            <v>128.99655323073938</v>
          </cell>
          <cell r="H990">
            <v>144.83058210251954</v>
          </cell>
        </row>
        <row r="991">
          <cell r="B991">
            <v>43620</v>
          </cell>
          <cell r="F991">
            <v>120.90132739255554</v>
          </cell>
          <cell r="G991">
            <v>128.98684402155442</v>
          </cell>
          <cell r="H991">
            <v>149.82623805386621</v>
          </cell>
        </row>
        <row r="992">
          <cell r="B992">
            <v>43619</v>
          </cell>
          <cell r="F992">
            <v>123.35805616035029</v>
          </cell>
          <cell r="G992">
            <v>122.90887907179959</v>
          </cell>
          <cell r="H992">
            <v>142.00695047784535</v>
          </cell>
        </row>
        <row r="993">
          <cell r="B993">
            <v>43618</v>
          </cell>
          <cell r="F993">
            <v>121.52406430575454</v>
          </cell>
          <cell r="G993">
            <v>122.16126996456138</v>
          </cell>
          <cell r="H993">
            <v>141.65942658557776</v>
          </cell>
        </row>
        <row r="994">
          <cell r="B994">
            <v>43617</v>
          </cell>
          <cell r="F994">
            <v>121.52406430575454</v>
          </cell>
          <cell r="G994">
            <v>122.16126996456138</v>
          </cell>
          <cell r="H994">
            <v>141.65942658557776</v>
          </cell>
        </row>
        <row r="995">
          <cell r="B995">
            <v>43616</v>
          </cell>
          <cell r="F995">
            <v>121.52406430575454</v>
          </cell>
          <cell r="G995">
            <v>122.16126996456138</v>
          </cell>
          <cell r="H995">
            <v>141.65942658557776</v>
          </cell>
        </row>
        <row r="996">
          <cell r="B996">
            <v>43615</v>
          </cell>
          <cell r="F996">
            <v>119.04711618001657</v>
          </cell>
          <cell r="G996">
            <v>124.57886305160444</v>
          </cell>
          <cell r="H996">
            <v>144.74370112945266</v>
          </cell>
        </row>
        <row r="997">
          <cell r="B997">
            <v>43614</v>
          </cell>
          <cell r="F997">
            <v>118.34531885409976</v>
          </cell>
          <cell r="G997">
            <v>123.36521190349046</v>
          </cell>
          <cell r="H997">
            <v>144.61337966985229</v>
          </cell>
        </row>
        <row r="998">
          <cell r="B998">
            <v>43613</v>
          </cell>
          <cell r="F998">
            <v>118.93638978426144</v>
          </cell>
          <cell r="G998">
            <v>123.53997766881886</v>
          </cell>
          <cell r="H998">
            <v>143.09296264118157</v>
          </cell>
        </row>
        <row r="999">
          <cell r="B999">
            <v>43612</v>
          </cell>
          <cell r="F999">
            <v>119.50522268865996</v>
          </cell>
          <cell r="G999">
            <v>124.24874993931742</v>
          </cell>
          <cell r="H999">
            <v>147.69765421372719</v>
          </cell>
        </row>
        <row r="1000">
          <cell r="B1000">
            <v>43611</v>
          </cell>
          <cell r="F1000">
            <v>120.41735334085062</v>
          </cell>
          <cell r="G1000">
            <v>124.24874993931742</v>
          </cell>
          <cell r="H1000">
            <v>147.69765421372719</v>
          </cell>
        </row>
        <row r="1001">
          <cell r="B1001">
            <v>43610</v>
          </cell>
          <cell r="F1001">
            <v>120.41735334085062</v>
          </cell>
          <cell r="G1001">
            <v>124.24874993931742</v>
          </cell>
          <cell r="H1001">
            <v>147.69765421372719</v>
          </cell>
        </row>
        <row r="1002">
          <cell r="B1002">
            <v>43609</v>
          </cell>
          <cell r="F1002">
            <v>120.41735334085062</v>
          </cell>
          <cell r="G1002">
            <v>124.24874993931742</v>
          </cell>
          <cell r="H1002">
            <v>147.69765421372719</v>
          </cell>
        </row>
        <row r="1003">
          <cell r="B1003">
            <v>43608</v>
          </cell>
          <cell r="F1003">
            <v>118.70098434184729</v>
          </cell>
          <cell r="G1003">
            <v>126.26341084518664</v>
          </cell>
          <cell r="H1003">
            <v>146.91572545612513</v>
          </cell>
        </row>
        <row r="1004">
          <cell r="B1004">
            <v>43607</v>
          </cell>
          <cell r="F1004">
            <v>123.16576295070925</v>
          </cell>
          <cell r="G1004">
            <v>130.69566483809893</v>
          </cell>
          <cell r="H1004">
            <v>150.86880973066897</v>
          </cell>
        </row>
        <row r="1005">
          <cell r="B1005">
            <v>43606</v>
          </cell>
          <cell r="F1005">
            <v>121.07649128546747</v>
          </cell>
          <cell r="G1005">
            <v>133.66182824408949</v>
          </cell>
          <cell r="H1005">
            <v>154.82189400521287</v>
          </cell>
        </row>
        <row r="1006">
          <cell r="B1006">
            <v>43605</v>
          </cell>
          <cell r="F1006">
            <v>123.32269199823509</v>
          </cell>
          <cell r="G1006">
            <v>132.33166658575658</v>
          </cell>
          <cell r="H1006">
            <v>150.39096437880104</v>
          </cell>
        </row>
        <row r="1007">
          <cell r="B1007">
            <v>43604</v>
          </cell>
          <cell r="F1007">
            <v>125.25994891361721</v>
          </cell>
          <cell r="G1007">
            <v>140.73013253070536</v>
          </cell>
          <cell r="H1007">
            <v>156.64639443961775</v>
          </cell>
        </row>
        <row r="1008">
          <cell r="B1008">
            <v>43603</v>
          </cell>
          <cell r="F1008">
            <v>125.25994891361721</v>
          </cell>
          <cell r="G1008">
            <v>140.73013253070536</v>
          </cell>
          <cell r="H1008">
            <v>156.64639443961775</v>
          </cell>
        </row>
        <row r="1009">
          <cell r="B1009">
            <v>43602</v>
          </cell>
          <cell r="F1009">
            <v>125.25994891361721</v>
          </cell>
          <cell r="G1009">
            <v>140.73013253070536</v>
          </cell>
          <cell r="H1009">
            <v>156.64639443961775</v>
          </cell>
        </row>
        <row r="1010">
          <cell r="B1010">
            <v>43601</v>
          </cell>
          <cell r="F1010">
            <v>128.78196649029988</v>
          </cell>
          <cell r="G1010">
            <v>144.3225399291228</v>
          </cell>
          <cell r="H1010">
            <v>162.07645525629889</v>
          </cell>
        </row>
        <row r="1011">
          <cell r="B1011">
            <v>43600</v>
          </cell>
          <cell r="F1011">
            <v>130.38052422286503</v>
          </cell>
          <cell r="G1011">
            <v>147.75959998058156</v>
          </cell>
          <cell r="H1011">
            <v>166.85490877497827</v>
          </cell>
        </row>
        <row r="1012">
          <cell r="B1012">
            <v>43599</v>
          </cell>
          <cell r="F1012">
            <v>129.78034378284792</v>
          </cell>
          <cell r="G1012">
            <v>146.60905869216953</v>
          </cell>
          <cell r="H1012">
            <v>167.28931364031277</v>
          </cell>
        </row>
        <row r="1013">
          <cell r="B1013">
            <v>43598</v>
          </cell>
          <cell r="F1013">
            <v>131.02676976471187</v>
          </cell>
          <cell r="G1013">
            <v>142.42438953347249</v>
          </cell>
          <cell r="H1013">
            <v>162.38053866203305</v>
          </cell>
        </row>
        <row r="1014">
          <cell r="B1014">
            <v>43597</v>
          </cell>
          <cell r="F1014">
            <v>134.60476166533437</v>
          </cell>
          <cell r="G1014">
            <v>147.56056119229086</v>
          </cell>
          <cell r="H1014">
            <v>169.15725456125108</v>
          </cell>
        </row>
        <row r="1015">
          <cell r="B1015">
            <v>43596</v>
          </cell>
          <cell r="F1015">
            <v>134.60476166533437</v>
          </cell>
          <cell r="G1015">
            <v>147.56056119229086</v>
          </cell>
          <cell r="H1015">
            <v>169.15725456125108</v>
          </cell>
        </row>
        <row r="1016">
          <cell r="B1016">
            <v>43595</v>
          </cell>
          <cell r="F1016">
            <v>134.60476166533437</v>
          </cell>
          <cell r="G1016">
            <v>147.56056119229086</v>
          </cell>
          <cell r="H1016">
            <v>169.15725456125108</v>
          </cell>
        </row>
        <row r="1017">
          <cell r="B1017">
            <v>43594</v>
          </cell>
          <cell r="F1017">
            <v>134.63701443276165</v>
          </cell>
          <cell r="G1017">
            <v>147.60910723821544</v>
          </cell>
          <cell r="H1017">
            <v>170.59079061685492</v>
          </cell>
        </row>
        <row r="1018">
          <cell r="B1018">
            <v>43593</v>
          </cell>
          <cell r="F1018">
            <v>136.67262003072767</v>
          </cell>
          <cell r="G1018">
            <v>147.2838487305209</v>
          </cell>
          <cell r="H1018">
            <v>172.67593397046048</v>
          </cell>
        </row>
        <row r="1019">
          <cell r="B1019">
            <v>43592</v>
          </cell>
          <cell r="F1019">
            <v>138.05816000287393</v>
          </cell>
          <cell r="G1019">
            <v>149.17714452157873</v>
          </cell>
          <cell r="H1019">
            <v>174.89139878366638</v>
          </cell>
        </row>
        <row r="1020">
          <cell r="B1020">
            <v>43591</v>
          </cell>
          <cell r="F1020">
            <v>136.30552260445506</v>
          </cell>
          <cell r="G1020">
            <v>151.25491528714986</v>
          </cell>
          <cell r="H1020">
            <v>183.01476976542139</v>
          </cell>
        </row>
        <row r="1021">
          <cell r="B1021">
            <v>43590</v>
          </cell>
          <cell r="F1021">
            <v>139.70272153180417</v>
          </cell>
          <cell r="G1021">
            <v>153.26472158842662</v>
          </cell>
          <cell r="H1021">
            <v>188.22762814943528</v>
          </cell>
        </row>
        <row r="1022">
          <cell r="B1022">
            <v>43589</v>
          </cell>
          <cell r="F1022">
            <v>139.70272153180417</v>
          </cell>
          <cell r="G1022">
            <v>153.26472158842662</v>
          </cell>
          <cell r="H1022">
            <v>188.22762814943528</v>
          </cell>
        </row>
        <row r="1023">
          <cell r="B1023">
            <v>43588</v>
          </cell>
          <cell r="F1023">
            <v>139.70272153180417</v>
          </cell>
          <cell r="G1023">
            <v>153.26472158842662</v>
          </cell>
          <cell r="H1023">
            <v>188.22762814943528</v>
          </cell>
        </row>
        <row r="1024">
          <cell r="B1024">
            <v>43587</v>
          </cell>
          <cell r="F1024">
            <v>136.36728714732348</v>
          </cell>
          <cell r="G1024">
            <v>153.31812223894363</v>
          </cell>
          <cell r="H1024">
            <v>184.8827106863597</v>
          </cell>
        </row>
        <row r="1025">
          <cell r="B1025">
            <v>43586</v>
          </cell>
          <cell r="F1025">
            <v>136.38052968969353</v>
          </cell>
          <cell r="G1025">
            <v>154.81334045342007</v>
          </cell>
          <cell r="H1025">
            <v>182.01563857515202</v>
          </cell>
        </row>
        <row r="1026">
          <cell r="B1026">
            <v>43585</v>
          </cell>
          <cell r="F1026">
            <v>136.38052968969353</v>
          </cell>
          <cell r="G1026">
            <v>154.57061022379725</v>
          </cell>
          <cell r="H1026">
            <v>182.71068635968723</v>
          </cell>
        </row>
        <row r="1027">
          <cell r="B1027">
            <v>43584</v>
          </cell>
          <cell r="F1027">
            <v>136.61727892770966</v>
          </cell>
          <cell r="G1027">
            <v>151.81319481528232</v>
          </cell>
          <cell r="H1027">
            <v>182.92788879235445</v>
          </cell>
        </row>
        <row r="1028">
          <cell r="B1028">
            <v>43583</v>
          </cell>
          <cell r="F1028">
            <v>136.8672221691445</v>
          </cell>
          <cell r="G1028">
            <v>150.69178115442497</v>
          </cell>
          <cell r="H1028">
            <v>182.88444830582105</v>
          </cell>
        </row>
        <row r="1029">
          <cell r="B1029">
            <v>43582</v>
          </cell>
          <cell r="F1029">
            <v>136.8672221691445</v>
          </cell>
          <cell r="G1029">
            <v>150.69178115442497</v>
          </cell>
          <cell r="H1029">
            <v>182.88444830582105</v>
          </cell>
        </row>
        <row r="1030">
          <cell r="B1030">
            <v>43581</v>
          </cell>
          <cell r="F1030">
            <v>136.8672221691445</v>
          </cell>
          <cell r="G1030">
            <v>150.69178115442497</v>
          </cell>
          <cell r="H1030">
            <v>182.88444830582105</v>
          </cell>
        </row>
        <row r="1031">
          <cell r="B1031">
            <v>43580</v>
          </cell>
          <cell r="F1031">
            <v>140.77886987139649</v>
          </cell>
          <cell r="G1031">
            <v>151.37628040196125</v>
          </cell>
          <cell r="H1031">
            <v>185.70807993049522</v>
          </cell>
        </row>
        <row r="1032">
          <cell r="B1032">
            <v>43579</v>
          </cell>
          <cell r="F1032">
            <v>141.5820254756419</v>
          </cell>
          <cell r="G1032">
            <v>152.59478615466767</v>
          </cell>
          <cell r="H1032">
            <v>186.9244135534318</v>
          </cell>
        </row>
        <row r="1033">
          <cell r="B1033">
            <v>43578</v>
          </cell>
          <cell r="F1033">
            <v>141.27968324611015</v>
          </cell>
          <cell r="G1033">
            <v>153.23073935627943</v>
          </cell>
          <cell r="H1033">
            <v>185.79496090356213</v>
          </cell>
        </row>
        <row r="1034">
          <cell r="B1034">
            <v>43577</v>
          </cell>
          <cell r="F1034">
            <v>140.32085073366653</v>
          </cell>
          <cell r="G1034">
            <v>152.92004466236224</v>
          </cell>
          <cell r="H1034">
            <v>188.53171155516941</v>
          </cell>
        </row>
        <row r="1035">
          <cell r="B1035">
            <v>43576</v>
          </cell>
          <cell r="F1035">
            <v>139.66997599244567</v>
          </cell>
          <cell r="G1035">
            <v>154.67741152483129</v>
          </cell>
          <cell r="H1035">
            <v>188.53171155516941</v>
          </cell>
        </row>
        <row r="1036">
          <cell r="B1036">
            <v>43575</v>
          </cell>
          <cell r="F1036">
            <v>139.66997599244567</v>
          </cell>
          <cell r="G1036">
            <v>154.67741152483129</v>
          </cell>
          <cell r="H1036">
            <v>188.53171155516941</v>
          </cell>
        </row>
        <row r="1037">
          <cell r="B1037">
            <v>43574</v>
          </cell>
          <cell r="F1037">
            <v>139.66997599244567</v>
          </cell>
          <cell r="G1037">
            <v>154.67741152483129</v>
          </cell>
          <cell r="H1037">
            <v>188.53171155516941</v>
          </cell>
        </row>
        <row r="1038">
          <cell r="B1038">
            <v>43573</v>
          </cell>
          <cell r="F1038">
            <v>139.5793576988024</v>
          </cell>
          <cell r="G1038">
            <v>154.67741152483129</v>
          </cell>
          <cell r="H1038">
            <v>188.53171155516941</v>
          </cell>
        </row>
        <row r="1039">
          <cell r="B1039">
            <v>43572</v>
          </cell>
          <cell r="F1039">
            <v>138.23838857148363</v>
          </cell>
          <cell r="G1039">
            <v>155.60464100199036</v>
          </cell>
          <cell r="H1039">
            <v>187.44569939183319</v>
          </cell>
        </row>
        <row r="1040">
          <cell r="B1040">
            <v>43571</v>
          </cell>
          <cell r="F1040">
            <v>135.50284614686788</v>
          </cell>
          <cell r="G1040">
            <v>154.61915626972183</v>
          </cell>
          <cell r="H1040">
            <v>185.75152041702867</v>
          </cell>
        </row>
        <row r="1041">
          <cell r="B1041">
            <v>43570</v>
          </cell>
          <cell r="F1041">
            <v>134.68141667266761</v>
          </cell>
          <cell r="G1041">
            <v>153.59968930530607</v>
          </cell>
          <cell r="H1041">
            <v>181.66811468288446</v>
          </cell>
        </row>
        <row r="1042">
          <cell r="B1042">
            <v>43569</v>
          </cell>
          <cell r="F1042">
            <v>132.9657260244351</v>
          </cell>
          <cell r="G1042">
            <v>153.90552939463078</v>
          </cell>
          <cell r="H1042">
            <v>182.49348392701998</v>
          </cell>
        </row>
        <row r="1043">
          <cell r="B1043">
            <v>43568</v>
          </cell>
          <cell r="F1043">
            <v>132.9657260244351</v>
          </cell>
          <cell r="G1043">
            <v>153.90552939463078</v>
          </cell>
          <cell r="H1043">
            <v>182.49348392701998</v>
          </cell>
        </row>
        <row r="1044">
          <cell r="B1044">
            <v>43567</v>
          </cell>
          <cell r="F1044">
            <v>132.9657260244351</v>
          </cell>
          <cell r="G1044">
            <v>153.90552939463078</v>
          </cell>
          <cell r="H1044">
            <v>182.49348392701998</v>
          </cell>
        </row>
        <row r="1045">
          <cell r="B1045">
            <v>43566</v>
          </cell>
          <cell r="F1045">
            <v>132.87952458130752</v>
          </cell>
          <cell r="G1045">
            <v>150.20632069517939</v>
          </cell>
          <cell r="H1045">
            <v>183.66637706342311</v>
          </cell>
        </row>
        <row r="1046">
          <cell r="B1046">
            <v>43565</v>
          </cell>
          <cell r="F1046">
            <v>134.04709722514033</v>
          </cell>
          <cell r="G1046">
            <v>149.28394582261274</v>
          </cell>
          <cell r="H1046">
            <v>183.18853171155519</v>
          </cell>
        </row>
        <row r="1047">
          <cell r="B1047">
            <v>43564</v>
          </cell>
          <cell r="F1047">
            <v>134.07319504405626</v>
          </cell>
          <cell r="G1047">
            <v>147.31297635807564</v>
          </cell>
          <cell r="H1047">
            <v>181.23370981754996</v>
          </cell>
        </row>
        <row r="1048">
          <cell r="B1048">
            <v>43563</v>
          </cell>
          <cell r="F1048">
            <v>133.53234901854356</v>
          </cell>
          <cell r="G1048">
            <v>147.81300063109859</v>
          </cell>
          <cell r="H1048">
            <v>186.35968722849697</v>
          </cell>
        </row>
        <row r="1049">
          <cell r="B1049">
            <v>43562</v>
          </cell>
          <cell r="F1049">
            <v>130.24112500369483</v>
          </cell>
          <cell r="G1049">
            <v>147.71590853924945</v>
          </cell>
          <cell r="H1049">
            <v>188.18418766290185</v>
          </cell>
        </row>
        <row r="1050">
          <cell r="B1050">
            <v>43561</v>
          </cell>
          <cell r="F1050">
            <v>130.24112500369483</v>
          </cell>
          <cell r="G1050">
            <v>147.71590853924945</v>
          </cell>
          <cell r="H1050">
            <v>188.18418766290185</v>
          </cell>
        </row>
        <row r="1051">
          <cell r="B1051">
            <v>43560</v>
          </cell>
          <cell r="F1051">
            <v>130.24112500369483</v>
          </cell>
          <cell r="G1051">
            <v>147.71590853924945</v>
          </cell>
          <cell r="H1051">
            <v>188.18418766290185</v>
          </cell>
        </row>
        <row r="1052">
          <cell r="B1052">
            <v>43559</v>
          </cell>
          <cell r="F1052">
            <v>130.24112500369483</v>
          </cell>
          <cell r="G1052">
            <v>146.60905869216953</v>
          </cell>
          <cell r="H1052">
            <v>186.31624674196351</v>
          </cell>
        </row>
        <row r="1053">
          <cell r="B1053">
            <v>43558</v>
          </cell>
          <cell r="F1053">
            <v>130.24112500369483</v>
          </cell>
          <cell r="G1053">
            <v>147.67707170250981</v>
          </cell>
          <cell r="H1053">
            <v>190.70373588184188</v>
          </cell>
        </row>
        <row r="1054">
          <cell r="B1054">
            <v>43557</v>
          </cell>
          <cell r="F1054">
            <v>129.77882791406387</v>
          </cell>
          <cell r="G1054">
            <v>147.1187921743774</v>
          </cell>
          <cell r="H1054">
            <v>184.36142484795829</v>
          </cell>
        </row>
        <row r="1055">
          <cell r="B1055">
            <v>43556</v>
          </cell>
          <cell r="F1055">
            <v>129.7338323375422</v>
          </cell>
          <cell r="G1055">
            <v>148.44895383271032</v>
          </cell>
          <cell r="H1055">
            <v>183.53605560382275</v>
          </cell>
        </row>
        <row r="1056">
          <cell r="B1056">
            <v>43555</v>
          </cell>
          <cell r="F1056">
            <v>129.50245025120179</v>
          </cell>
          <cell r="G1056">
            <v>145.98281469974268</v>
          </cell>
          <cell r="H1056">
            <v>179.53953084274542</v>
          </cell>
        </row>
        <row r="1057">
          <cell r="B1057">
            <v>43554</v>
          </cell>
          <cell r="F1057">
            <v>129.50245025120179</v>
          </cell>
          <cell r="G1057">
            <v>145.98281469974268</v>
          </cell>
          <cell r="H1057">
            <v>179.53953084274542</v>
          </cell>
        </row>
        <row r="1058">
          <cell r="B1058">
            <v>43553</v>
          </cell>
          <cell r="F1058">
            <v>129.50245025120179</v>
          </cell>
          <cell r="G1058">
            <v>145.98281469974268</v>
          </cell>
          <cell r="H1058">
            <v>179.53953084274542</v>
          </cell>
        </row>
        <row r="1059">
          <cell r="B1059">
            <v>43552</v>
          </cell>
          <cell r="F1059">
            <v>127.57757966300606</v>
          </cell>
          <cell r="G1059">
            <v>145.18665954657993</v>
          </cell>
          <cell r="H1059">
            <v>170.89487402258908</v>
          </cell>
        </row>
        <row r="1060">
          <cell r="B1060">
            <v>43551</v>
          </cell>
          <cell r="F1060">
            <v>127.27686703096543</v>
          </cell>
          <cell r="G1060">
            <v>143.68173212291859</v>
          </cell>
          <cell r="H1060">
            <v>170.41702867072109</v>
          </cell>
        </row>
        <row r="1061">
          <cell r="B1061">
            <v>43550</v>
          </cell>
          <cell r="F1061">
            <v>128.70701926767308</v>
          </cell>
          <cell r="G1061">
            <v>144.19632020971892</v>
          </cell>
          <cell r="H1061">
            <v>175.15204170286708</v>
          </cell>
        </row>
        <row r="1062">
          <cell r="B1062">
            <v>43549</v>
          </cell>
          <cell r="F1062">
            <v>127.42548744008371</v>
          </cell>
          <cell r="G1062">
            <v>141.83212777319287</v>
          </cell>
          <cell r="H1062">
            <v>176.15117289313639</v>
          </cell>
        </row>
        <row r="1063">
          <cell r="B1063">
            <v>43548</v>
          </cell>
          <cell r="F1063">
            <v>130.9660515825876</v>
          </cell>
          <cell r="G1063">
            <v>142.07000339822321</v>
          </cell>
          <cell r="H1063">
            <v>180.79930495221546</v>
          </cell>
        </row>
        <row r="1064">
          <cell r="B1064">
            <v>43547</v>
          </cell>
          <cell r="F1064">
            <v>130.9660515825876</v>
          </cell>
          <cell r="G1064">
            <v>142.07000339822321</v>
          </cell>
          <cell r="H1064">
            <v>180.79930495221546</v>
          </cell>
        </row>
        <row r="1065">
          <cell r="B1065">
            <v>43546</v>
          </cell>
          <cell r="F1065">
            <v>130.9660515825876</v>
          </cell>
          <cell r="G1065">
            <v>142.07000339822321</v>
          </cell>
          <cell r="H1065">
            <v>180.79930495221546</v>
          </cell>
        </row>
        <row r="1066">
          <cell r="B1066">
            <v>43545</v>
          </cell>
          <cell r="F1066">
            <v>129.67485666936921</v>
          </cell>
          <cell r="G1066">
            <v>144.08466430409243</v>
          </cell>
          <cell r="H1066">
            <v>191.09470026064292</v>
          </cell>
        </row>
        <row r="1067">
          <cell r="B1067">
            <v>43544</v>
          </cell>
          <cell r="F1067">
            <v>128.06732085173152</v>
          </cell>
          <cell r="G1067">
            <v>141.28355745424531</v>
          </cell>
          <cell r="H1067">
            <v>174.32667245873154</v>
          </cell>
        </row>
        <row r="1068">
          <cell r="B1068">
            <v>43543</v>
          </cell>
          <cell r="F1068">
            <v>127.02557167474859</v>
          </cell>
          <cell r="G1068">
            <v>145.30317005679888</v>
          </cell>
          <cell r="H1068">
            <v>175.36924413553433</v>
          </cell>
        </row>
        <row r="1069">
          <cell r="B1069">
            <v>43542</v>
          </cell>
          <cell r="F1069">
            <v>127.42619059657349</v>
          </cell>
          <cell r="G1069">
            <v>142.64770134472548</v>
          </cell>
          <cell r="H1069">
            <v>172.06776715899218</v>
          </cell>
        </row>
        <row r="1070">
          <cell r="B1070">
            <v>43541</v>
          </cell>
          <cell r="F1070">
            <v>126.02871368147386</v>
          </cell>
          <cell r="G1070">
            <v>140.92431671440363</v>
          </cell>
          <cell r="H1070">
            <v>171.76368375325802</v>
          </cell>
        </row>
        <row r="1071">
          <cell r="B1071">
            <v>43540</v>
          </cell>
          <cell r="F1071">
            <v>126.02871368147386</v>
          </cell>
          <cell r="G1071">
            <v>140.92431671440363</v>
          </cell>
          <cell r="H1071">
            <v>171.76368375325802</v>
          </cell>
        </row>
        <row r="1072">
          <cell r="B1072">
            <v>43539</v>
          </cell>
          <cell r="F1072">
            <v>126.02871368147386</v>
          </cell>
          <cell r="G1072">
            <v>140.92431671440363</v>
          </cell>
          <cell r="H1072">
            <v>171.76368375325802</v>
          </cell>
        </row>
        <row r="1073">
          <cell r="B1073">
            <v>43538</v>
          </cell>
          <cell r="F1073">
            <v>123.38780590656641</v>
          </cell>
          <cell r="G1073">
            <v>130.20049516966844</v>
          </cell>
          <cell r="H1073">
            <v>166.85490877497827</v>
          </cell>
        </row>
        <row r="1074">
          <cell r="B1074">
            <v>43537</v>
          </cell>
          <cell r="F1074">
            <v>124.78396545913388</v>
          </cell>
          <cell r="G1074">
            <v>131.66173115199766</v>
          </cell>
          <cell r="H1074">
            <v>168.67940920938312</v>
          </cell>
        </row>
        <row r="1075">
          <cell r="B1075">
            <v>43536</v>
          </cell>
          <cell r="F1075">
            <v>124.0142631567318</v>
          </cell>
          <cell r="G1075">
            <v>130.89470362638963</v>
          </cell>
          <cell r="H1075">
            <v>170.50390964378801</v>
          </cell>
        </row>
        <row r="1076">
          <cell r="B1076">
            <v>43535</v>
          </cell>
          <cell r="F1076">
            <v>121.35769247301104</v>
          </cell>
          <cell r="G1076">
            <v>130.61799116461964</v>
          </cell>
          <cell r="H1076">
            <v>169.54821894005215</v>
          </cell>
        </row>
        <row r="1077">
          <cell r="B1077">
            <v>43534</v>
          </cell>
          <cell r="F1077">
            <v>121.10228277892958</v>
          </cell>
          <cell r="G1077">
            <v>128.25379872809359</v>
          </cell>
          <cell r="H1077">
            <v>167.89748045178106</v>
          </cell>
        </row>
        <row r="1078">
          <cell r="B1078">
            <v>43533</v>
          </cell>
          <cell r="F1078">
            <v>121.10228277892958</v>
          </cell>
          <cell r="G1078">
            <v>128.25379872809359</v>
          </cell>
          <cell r="H1078">
            <v>167.89748045178106</v>
          </cell>
        </row>
        <row r="1079">
          <cell r="B1079">
            <v>43532</v>
          </cell>
          <cell r="F1079">
            <v>121.10228277892958</v>
          </cell>
          <cell r="G1079">
            <v>128.25379872809359</v>
          </cell>
          <cell r="H1079">
            <v>167.89748045178106</v>
          </cell>
        </row>
        <row r="1080">
          <cell r="B1080">
            <v>43531</v>
          </cell>
          <cell r="F1080">
            <v>123.16854261523409</v>
          </cell>
          <cell r="G1080">
            <v>128.89460653429776</v>
          </cell>
          <cell r="H1080">
            <v>164.33536055603821</v>
          </cell>
        </row>
        <row r="1081">
          <cell r="B1081">
            <v>43530</v>
          </cell>
          <cell r="F1081">
            <v>123.47618429751557</v>
          </cell>
          <cell r="G1081">
            <v>131.72969561629208</v>
          </cell>
          <cell r="H1081">
            <v>164.76976542137271</v>
          </cell>
        </row>
        <row r="1082">
          <cell r="B1082">
            <v>43529</v>
          </cell>
          <cell r="F1082">
            <v>122.93654483333705</v>
          </cell>
          <cell r="G1082">
            <v>134.4774018156221</v>
          </cell>
          <cell r="H1082">
            <v>173.71850564726324</v>
          </cell>
        </row>
        <row r="1083">
          <cell r="B1083">
            <v>43528</v>
          </cell>
          <cell r="F1083">
            <v>124.28785657381192</v>
          </cell>
          <cell r="G1083">
            <v>133.44822564202144</v>
          </cell>
          <cell r="H1083">
            <v>178.36663770634235</v>
          </cell>
        </row>
        <row r="1084">
          <cell r="B1084">
            <v>43527</v>
          </cell>
          <cell r="F1084">
            <v>126.30302736533656</v>
          </cell>
          <cell r="G1084">
            <v>132.40934025923588</v>
          </cell>
          <cell r="H1084">
            <v>180.62554300608167</v>
          </cell>
        </row>
        <row r="1085">
          <cell r="B1085">
            <v>43526</v>
          </cell>
          <cell r="F1085">
            <v>126.30302736533656</v>
          </cell>
          <cell r="G1085">
            <v>132.40934025923588</v>
          </cell>
          <cell r="H1085">
            <v>180.62554300608167</v>
          </cell>
        </row>
        <row r="1086">
          <cell r="B1086">
            <v>43525</v>
          </cell>
          <cell r="F1086">
            <v>126.30302736533656</v>
          </cell>
          <cell r="G1086">
            <v>132.40934025923588</v>
          </cell>
          <cell r="H1086">
            <v>180.62554300608167</v>
          </cell>
        </row>
        <row r="1087">
          <cell r="B1087">
            <v>43524</v>
          </cell>
          <cell r="F1087">
            <v>126.30302736533656</v>
          </cell>
          <cell r="G1087">
            <v>133.67639205786688</v>
          </cell>
          <cell r="H1087">
            <v>177.58470894874023</v>
          </cell>
        </row>
        <row r="1088">
          <cell r="B1088">
            <v>43523</v>
          </cell>
          <cell r="F1088">
            <v>126.30302736533656</v>
          </cell>
          <cell r="G1088">
            <v>131.79766008058644</v>
          </cell>
          <cell r="H1088">
            <v>179.49609035621199</v>
          </cell>
        </row>
        <row r="1089">
          <cell r="B1089">
            <v>43522</v>
          </cell>
          <cell r="F1089">
            <v>126.67425498255251</v>
          </cell>
          <cell r="G1089">
            <v>133.50162629253848</v>
          </cell>
          <cell r="H1089">
            <v>186.62033014769764</v>
          </cell>
        </row>
        <row r="1090">
          <cell r="B1090">
            <v>43521</v>
          </cell>
          <cell r="F1090">
            <v>125.97509493354357</v>
          </cell>
          <cell r="G1090">
            <v>135.24928394582261</v>
          </cell>
          <cell r="H1090">
            <v>185.70807993049522</v>
          </cell>
        </row>
        <row r="1091">
          <cell r="B1091">
            <v>43520</v>
          </cell>
          <cell r="F1091">
            <v>125.12820526058026</v>
          </cell>
          <cell r="G1091">
            <v>134.22981698140686</v>
          </cell>
          <cell r="H1091">
            <v>184.92615117289316</v>
          </cell>
        </row>
        <row r="1092">
          <cell r="B1092">
            <v>43519</v>
          </cell>
          <cell r="F1092">
            <v>125.12820526058026</v>
          </cell>
          <cell r="G1092">
            <v>134.22981698140686</v>
          </cell>
          <cell r="H1092">
            <v>184.92615117289316</v>
          </cell>
        </row>
        <row r="1093">
          <cell r="B1093">
            <v>43518</v>
          </cell>
          <cell r="F1093">
            <v>125.12820526058026</v>
          </cell>
          <cell r="G1093">
            <v>134.22981698140686</v>
          </cell>
          <cell r="H1093">
            <v>184.92615117289316</v>
          </cell>
        </row>
        <row r="1094">
          <cell r="B1094">
            <v>43517</v>
          </cell>
          <cell r="F1094">
            <v>124.90476929131522</v>
          </cell>
          <cell r="G1094">
            <v>136.38526142045731</v>
          </cell>
          <cell r="H1094">
            <v>180.40834057341445</v>
          </cell>
        </row>
        <row r="1095">
          <cell r="B1095">
            <v>43516</v>
          </cell>
          <cell r="F1095">
            <v>123.9128603997858</v>
          </cell>
          <cell r="G1095">
            <v>137.58920335938637</v>
          </cell>
          <cell r="H1095">
            <v>183.36229365768898</v>
          </cell>
        </row>
        <row r="1096">
          <cell r="B1096">
            <v>43515</v>
          </cell>
          <cell r="F1096">
            <v>121.04197526279673</v>
          </cell>
          <cell r="G1096">
            <v>136.73479295111414</v>
          </cell>
          <cell r="H1096">
            <v>182.27628149435276</v>
          </cell>
        </row>
        <row r="1097">
          <cell r="B1097">
            <v>43514</v>
          </cell>
          <cell r="F1097">
            <v>121.40486165406669</v>
          </cell>
          <cell r="G1097">
            <v>136.86586727511042</v>
          </cell>
          <cell r="H1097">
            <v>182.4066029539531</v>
          </cell>
        </row>
        <row r="1098">
          <cell r="B1098">
            <v>43513</v>
          </cell>
          <cell r="F1098">
            <v>119.84465270522658</v>
          </cell>
          <cell r="G1098">
            <v>136.86586727511042</v>
          </cell>
          <cell r="H1098">
            <v>182.4066029539531</v>
          </cell>
        </row>
        <row r="1099">
          <cell r="B1099">
            <v>43512</v>
          </cell>
          <cell r="F1099">
            <v>119.84465270522658</v>
          </cell>
          <cell r="G1099">
            <v>136.86586727511042</v>
          </cell>
          <cell r="H1099">
            <v>182.4066029539531</v>
          </cell>
        </row>
        <row r="1100">
          <cell r="B1100">
            <v>43511</v>
          </cell>
          <cell r="F1100">
            <v>119.84465270522658</v>
          </cell>
          <cell r="G1100">
            <v>136.86586727511042</v>
          </cell>
          <cell r="H1100">
            <v>182.4066029539531</v>
          </cell>
        </row>
        <row r="1101">
          <cell r="B1101">
            <v>43510</v>
          </cell>
          <cell r="F1101">
            <v>119.8135444241869</v>
          </cell>
          <cell r="G1101">
            <v>136.65711927763482</v>
          </cell>
          <cell r="H1101">
            <v>183.44917463075586</v>
          </cell>
        </row>
        <row r="1102">
          <cell r="B1102">
            <v>43509</v>
          </cell>
          <cell r="F1102">
            <v>120.84956466140575</v>
          </cell>
          <cell r="G1102">
            <v>136.56973639497062</v>
          </cell>
          <cell r="H1102">
            <v>181.05994787141617</v>
          </cell>
        </row>
        <row r="1103">
          <cell r="B1103">
            <v>43508</v>
          </cell>
          <cell r="F1103">
            <v>121.51526555553835</v>
          </cell>
          <cell r="G1103">
            <v>135.63279770862661</v>
          </cell>
          <cell r="H1103">
            <v>175.49956559513467</v>
          </cell>
        </row>
        <row r="1104">
          <cell r="B1104">
            <v>43507</v>
          </cell>
          <cell r="F1104">
            <v>120.17758521549588</v>
          </cell>
          <cell r="G1104">
            <v>133.85115782319531</v>
          </cell>
          <cell r="H1104">
            <v>167.59339704604693</v>
          </cell>
        </row>
        <row r="1105">
          <cell r="B1105">
            <v>43506</v>
          </cell>
          <cell r="F1105">
            <v>117.05685935628631</v>
          </cell>
          <cell r="G1105">
            <v>133.0452934608476</v>
          </cell>
          <cell r="H1105">
            <v>167.59339704604693</v>
          </cell>
        </row>
        <row r="1106">
          <cell r="B1106">
            <v>43505</v>
          </cell>
          <cell r="F1106">
            <v>117.05685935628631</v>
          </cell>
          <cell r="G1106">
            <v>133.0452934608476</v>
          </cell>
          <cell r="H1106">
            <v>167.59339704604693</v>
          </cell>
        </row>
        <row r="1107">
          <cell r="B1107">
            <v>43504</v>
          </cell>
          <cell r="F1107">
            <v>117.05685935628631</v>
          </cell>
          <cell r="G1107">
            <v>133.0452934608476</v>
          </cell>
          <cell r="H1107">
            <v>167.59339704604693</v>
          </cell>
        </row>
        <row r="1108">
          <cell r="B1108">
            <v>43503</v>
          </cell>
          <cell r="F1108">
            <v>117.05685935628631</v>
          </cell>
          <cell r="G1108">
            <v>130.632554978397</v>
          </cell>
          <cell r="H1108">
            <v>171.06863596872287</v>
          </cell>
        </row>
        <row r="1109">
          <cell r="B1109">
            <v>43502</v>
          </cell>
          <cell r="F1109">
            <v>117.05685935628631</v>
          </cell>
          <cell r="G1109">
            <v>134.08903344822562</v>
          </cell>
          <cell r="H1109">
            <v>180.36490008688099</v>
          </cell>
        </row>
        <row r="1110">
          <cell r="B1110">
            <v>43501</v>
          </cell>
          <cell r="F1110">
            <v>117.05685935628631</v>
          </cell>
          <cell r="G1110">
            <v>131.07432399631048</v>
          </cell>
          <cell r="H1110">
            <v>171.02519548218939</v>
          </cell>
        </row>
        <row r="1111">
          <cell r="B1111">
            <v>43500</v>
          </cell>
          <cell r="F1111">
            <v>117.05685935628631</v>
          </cell>
          <cell r="G1111">
            <v>132.10350016991114</v>
          </cell>
          <cell r="H1111">
            <v>171.45960034752389</v>
          </cell>
        </row>
        <row r="1112">
          <cell r="B1112">
            <v>43499</v>
          </cell>
          <cell r="F1112">
            <v>117.05685935628631</v>
          </cell>
          <cell r="G1112">
            <v>129.52570513131704</v>
          </cell>
          <cell r="H1112">
            <v>172.02432667245876</v>
          </cell>
        </row>
        <row r="1113">
          <cell r="B1113">
            <v>43498</v>
          </cell>
          <cell r="F1113">
            <v>117.05685935628631</v>
          </cell>
          <cell r="G1113">
            <v>129.52570513131704</v>
          </cell>
          <cell r="H1113">
            <v>172.02432667245876</v>
          </cell>
        </row>
        <row r="1114">
          <cell r="B1114">
            <v>43497</v>
          </cell>
          <cell r="F1114">
            <v>117.05685935628631</v>
          </cell>
          <cell r="G1114">
            <v>129.52570513131704</v>
          </cell>
          <cell r="H1114">
            <v>172.02432667245876</v>
          </cell>
        </row>
        <row r="1115">
          <cell r="B1115">
            <v>43496</v>
          </cell>
          <cell r="F1115">
            <v>117.05685935628631</v>
          </cell>
          <cell r="G1115">
            <v>130.22476819263071</v>
          </cell>
          <cell r="H1115">
            <v>166.02953953084273</v>
          </cell>
        </row>
        <row r="1116">
          <cell r="B1116">
            <v>43495</v>
          </cell>
          <cell r="F1116">
            <v>117.05685935628631</v>
          </cell>
          <cell r="G1116">
            <v>131.4724015728919</v>
          </cell>
          <cell r="H1116">
            <v>166.11642050390964</v>
          </cell>
        </row>
        <row r="1117">
          <cell r="B1117">
            <v>43494</v>
          </cell>
          <cell r="F1117">
            <v>117.56426602790336</v>
          </cell>
          <cell r="G1117">
            <v>129.2878295062867</v>
          </cell>
          <cell r="H1117">
            <v>162.42397914856647</v>
          </cell>
        </row>
        <row r="1118">
          <cell r="B1118">
            <v>43493</v>
          </cell>
          <cell r="F1118">
            <v>121.03017741602497</v>
          </cell>
          <cell r="G1118">
            <v>129.91892810330597</v>
          </cell>
          <cell r="H1118">
            <v>165.42137271937446</v>
          </cell>
        </row>
        <row r="1119">
          <cell r="B1119">
            <v>43492</v>
          </cell>
          <cell r="F1119">
            <v>119.72079729667338</v>
          </cell>
          <cell r="G1119">
            <v>130.07427545026457</v>
          </cell>
          <cell r="H1119">
            <v>169.24413553431799</v>
          </cell>
        </row>
        <row r="1120">
          <cell r="B1120">
            <v>43491</v>
          </cell>
          <cell r="F1120">
            <v>119.72079729667338</v>
          </cell>
          <cell r="G1120">
            <v>130.07427545026457</v>
          </cell>
          <cell r="H1120">
            <v>169.24413553431799</v>
          </cell>
        </row>
        <row r="1121">
          <cell r="B1121">
            <v>43490</v>
          </cell>
          <cell r="F1121">
            <v>119.72079729667338</v>
          </cell>
          <cell r="G1121">
            <v>130.07427545026457</v>
          </cell>
          <cell r="H1121">
            <v>169.24413553431799</v>
          </cell>
        </row>
        <row r="1122">
          <cell r="B1122">
            <v>43489</v>
          </cell>
          <cell r="F1122">
            <v>117.27856451950818</v>
          </cell>
          <cell r="G1122">
            <v>127.94310403417641</v>
          </cell>
          <cell r="H1122">
            <v>158.94874022589053</v>
          </cell>
        </row>
        <row r="1123">
          <cell r="B1123">
            <v>43488</v>
          </cell>
          <cell r="F1123">
            <v>116.30351372091266</v>
          </cell>
          <cell r="G1123">
            <v>125.01577746492546</v>
          </cell>
          <cell r="H1123">
            <v>148.74022589052998</v>
          </cell>
        </row>
        <row r="1124">
          <cell r="B1124">
            <v>43487</v>
          </cell>
          <cell r="F1124">
            <v>117.4393685805515</v>
          </cell>
          <cell r="G1124">
            <v>125.3895820185446</v>
          </cell>
          <cell r="H1124">
            <v>147.13292788879235</v>
          </cell>
        </row>
        <row r="1125">
          <cell r="B1125">
            <v>43486</v>
          </cell>
          <cell r="F1125">
            <v>116.40117418003125</v>
          </cell>
          <cell r="G1125">
            <v>126.61779698043594</v>
          </cell>
          <cell r="H1125">
            <v>155.34317984361422</v>
          </cell>
        </row>
        <row r="1126">
          <cell r="B1126">
            <v>43485</v>
          </cell>
          <cell r="F1126">
            <v>115.16272275571131</v>
          </cell>
          <cell r="G1126">
            <v>126.61779698043594</v>
          </cell>
          <cell r="H1126">
            <v>155.34317984361422</v>
          </cell>
        </row>
        <row r="1127">
          <cell r="B1127">
            <v>43484</v>
          </cell>
          <cell r="F1127">
            <v>115.16272275571131</v>
          </cell>
          <cell r="G1127">
            <v>126.61779698043594</v>
          </cell>
          <cell r="H1127">
            <v>155.34317984361422</v>
          </cell>
        </row>
        <row r="1128">
          <cell r="B1128">
            <v>43483</v>
          </cell>
          <cell r="F1128">
            <v>115.16272275571131</v>
          </cell>
          <cell r="G1128">
            <v>126.61779698043594</v>
          </cell>
          <cell r="H1128">
            <v>155.34317984361422</v>
          </cell>
        </row>
        <row r="1129">
          <cell r="B1129">
            <v>43482</v>
          </cell>
          <cell r="F1129">
            <v>116.36765723678522</v>
          </cell>
          <cell r="G1129">
            <v>123.95261905917762</v>
          </cell>
          <cell r="H1129">
            <v>147.17636837532581</v>
          </cell>
        </row>
        <row r="1130">
          <cell r="B1130">
            <v>43481</v>
          </cell>
          <cell r="F1130">
            <v>114.88505631603989</v>
          </cell>
          <cell r="G1130">
            <v>122.19039759211611</v>
          </cell>
          <cell r="H1130">
            <v>145.87315377932234</v>
          </cell>
        </row>
        <row r="1131">
          <cell r="B1131">
            <v>43480</v>
          </cell>
          <cell r="F1131">
            <v>116.62396238727916</v>
          </cell>
          <cell r="G1131">
            <v>124.51575319190252</v>
          </cell>
          <cell r="H1131">
            <v>147.65421372719376</v>
          </cell>
        </row>
        <row r="1132">
          <cell r="B1132">
            <v>43479</v>
          </cell>
          <cell r="F1132">
            <v>115.27103211066245</v>
          </cell>
          <cell r="G1132">
            <v>121.78746541094227</v>
          </cell>
          <cell r="H1132">
            <v>150.60816681146829</v>
          </cell>
        </row>
        <row r="1133">
          <cell r="B1133">
            <v>43478</v>
          </cell>
          <cell r="F1133">
            <v>116.47345975667838</v>
          </cell>
          <cell r="G1133">
            <v>121.64182727316859</v>
          </cell>
          <cell r="H1133">
            <v>156.42919200695047</v>
          </cell>
        </row>
        <row r="1134">
          <cell r="B1134">
            <v>43477</v>
          </cell>
          <cell r="F1134">
            <v>116.47345975667838</v>
          </cell>
          <cell r="G1134">
            <v>121.64182727316859</v>
          </cell>
          <cell r="H1134">
            <v>156.42919200695047</v>
          </cell>
        </row>
        <row r="1135">
          <cell r="B1135">
            <v>43476</v>
          </cell>
          <cell r="F1135">
            <v>116.47345975667838</v>
          </cell>
          <cell r="G1135">
            <v>121.64182727316859</v>
          </cell>
          <cell r="H1135">
            <v>156.42919200695047</v>
          </cell>
        </row>
        <row r="1136">
          <cell r="B1136">
            <v>43475</v>
          </cell>
          <cell r="F1136">
            <v>114.12980432371728</v>
          </cell>
          <cell r="G1136">
            <v>121.13209379096072</v>
          </cell>
          <cell r="H1136">
            <v>155.99478714161597</v>
          </cell>
        </row>
        <row r="1137">
          <cell r="B1137">
            <v>43474</v>
          </cell>
          <cell r="F1137">
            <v>113.88041087063272</v>
          </cell>
          <cell r="G1137">
            <v>119.559201903005</v>
          </cell>
          <cell r="H1137">
            <v>153.95308427454387</v>
          </cell>
        </row>
        <row r="1138">
          <cell r="B1138">
            <v>43473</v>
          </cell>
          <cell r="F1138">
            <v>111.30353158046272</v>
          </cell>
          <cell r="G1138">
            <v>114.60265061410749</v>
          </cell>
          <cell r="H1138">
            <v>146.56820156385751</v>
          </cell>
        </row>
        <row r="1139">
          <cell r="B1139">
            <v>43472</v>
          </cell>
          <cell r="F1139">
            <v>112.47890597022237</v>
          </cell>
          <cell r="G1139">
            <v>115.52988009126655</v>
          </cell>
          <cell r="H1139">
            <v>147.69765421372719</v>
          </cell>
        </row>
        <row r="1140">
          <cell r="B1140">
            <v>43471</v>
          </cell>
          <cell r="F1140">
            <v>109.90277453395009</v>
          </cell>
          <cell r="G1140">
            <v>113.22394290984998</v>
          </cell>
          <cell r="H1140">
            <v>142.05039096437881</v>
          </cell>
        </row>
        <row r="1141">
          <cell r="B1141">
            <v>43470</v>
          </cell>
          <cell r="F1141">
            <v>109.90277453395009</v>
          </cell>
          <cell r="G1141">
            <v>113.22394290984998</v>
          </cell>
          <cell r="H1141">
            <v>142.05039096437881</v>
          </cell>
        </row>
        <row r="1142">
          <cell r="B1142">
            <v>43469</v>
          </cell>
          <cell r="F1142">
            <v>109.90277453395009</v>
          </cell>
          <cell r="G1142">
            <v>113.22394290984998</v>
          </cell>
          <cell r="H1142">
            <v>142.05039096437881</v>
          </cell>
        </row>
        <row r="1143">
          <cell r="B1143">
            <v>43468</v>
          </cell>
          <cell r="F1143">
            <v>113.43085869052541</v>
          </cell>
          <cell r="G1143">
            <v>112.12194766736249</v>
          </cell>
          <cell r="H1143">
            <v>134.66550825369242</v>
          </cell>
        </row>
        <row r="1144">
          <cell r="B1144">
            <v>43467</v>
          </cell>
          <cell r="F1144">
            <v>116.08093208385799</v>
          </cell>
          <cell r="G1144">
            <v>123.06908102335063</v>
          </cell>
          <cell r="H1144">
            <v>142.26759339704606</v>
          </cell>
        </row>
        <row r="1145">
          <cell r="B1145">
            <v>43466</v>
          </cell>
          <cell r="F1145">
            <v>120.01088286012714</v>
          </cell>
          <cell r="G1145">
            <v>123.44288557696974</v>
          </cell>
          <cell r="H1145">
            <v>137.83666377063423</v>
          </cell>
        </row>
        <row r="1146">
          <cell r="B1146">
            <v>43465</v>
          </cell>
          <cell r="F1146">
            <v>120.01088286012714</v>
          </cell>
          <cell r="G1146">
            <v>123.44288557696974</v>
          </cell>
          <cell r="H1146">
            <v>137.83666377063423</v>
          </cell>
        </row>
        <row r="1147">
          <cell r="B1147">
            <v>43464</v>
          </cell>
          <cell r="F1147">
            <v>120.01088286012714</v>
          </cell>
          <cell r="G1147">
            <v>123.1079178600903</v>
          </cell>
          <cell r="H1147">
            <v>137.14161598609905</v>
          </cell>
        </row>
        <row r="1148">
          <cell r="B1148">
            <v>43463</v>
          </cell>
          <cell r="F1148">
            <v>120.01088286012714</v>
          </cell>
          <cell r="G1148">
            <v>123.1079178600903</v>
          </cell>
          <cell r="H1148">
            <v>137.14161598609905</v>
          </cell>
        </row>
        <row r="1149">
          <cell r="B1149">
            <v>43462</v>
          </cell>
          <cell r="F1149">
            <v>120.01088286012714</v>
          </cell>
          <cell r="G1149">
            <v>123.1079178600903</v>
          </cell>
          <cell r="H1149">
            <v>137.14161598609905</v>
          </cell>
        </row>
        <row r="1150">
          <cell r="B1150">
            <v>43461</v>
          </cell>
          <cell r="F1150">
            <v>117.96639641262581</v>
          </cell>
          <cell r="G1150">
            <v>121.77775620175734</v>
          </cell>
          <cell r="H1150">
            <v>138.70547350130323</v>
          </cell>
        </row>
        <row r="1151">
          <cell r="B1151">
            <v>43460</v>
          </cell>
          <cell r="F1151">
            <v>114.44231765769433</v>
          </cell>
          <cell r="G1151">
            <v>120.4621583572018</v>
          </cell>
          <cell r="H1151">
            <v>134.18766290182452</v>
          </cell>
        </row>
        <row r="1152">
          <cell r="B1152">
            <v>43459</v>
          </cell>
          <cell r="F1152">
            <v>114.84403659325766</v>
          </cell>
          <cell r="G1152">
            <v>113.50065537161997</v>
          </cell>
          <cell r="H1152">
            <v>126.06429192006952</v>
          </cell>
        </row>
        <row r="1153">
          <cell r="B1153">
            <v>43458</v>
          </cell>
          <cell r="F1153">
            <v>116.17916727642736</v>
          </cell>
          <cell r="G1153">
            <v>113.50065537161997</v>
          </cell>
          <cell r="H1153">
            <v>126.06429192006952</v>
          </cell>
        </row>
        <row r="1154">
          <cell r="B1154">
            <v>43457</v>
          </cell>
          <cell r="F1154">
            <v>117.03968889865079</v>
          </cell>
          <cell r="G1154">
            <v>118.89412107383852</v>
          </cell>
          <cell r="H1154">
            <v>131.71155516941789</v>
          </cell>
        </row>
        <row r="1155">
          <cell r="B1155">
            <v>43456</v>
          </cell>
          <cell r="F1155">
            <v>117.03968889865079</v>
          </cell>
          <cell r="G1155">
            <v>118.89412107383852</v>
          </cell>
          <cell r="H1155">
            <v>131.71155516941789</v>
          </cell>
        </row>
        <row r="1156">
          <cell r="B1156">
            <v>43455</v>
          </cell>
          <cell r="F1156">
            <v>118.06963446134691</v>
          </cell>
          <cell r="G1156">
            <v>118.89412107383852</v>
          </cell>
          <cell r="H1156">
            <v>131.71155516941789</v>
          </cell>
        </row>
        <row r="1157">
          <cell r="B1157">
            <v>43454</v>
          </cell>
          <cell r="F1157">
            <v>116.9578458113822</v>
          </cell>
          <cell r="G1157">
            <v>117.42803048691684</v>
          </cell>
          <cell r="H1157">
            <v>135.88184187662901</v>
          </cell>
        </row>
        <row r="1158">
          <cell r="B1158">
            <v>43453</v>
          </cell>
          <cell r="F1158">
            <v>118.8829610287349</v>
          </cell>
          <cell r="G1158">
            <v>118.39895140540801</v>
          </cell>
          <cell r="H1158">
            <v>136.44656820156388</v>
          </cell>
        </row>
        <row r="1159">
          <cell r="B1159">
            <v>43452</v>
          </cell>
          <cell r="F1159">
            <v>117.48412938850483</v>
          </cell>
          <cell r="G1159">
            <v>121.20491285984755</v>
          </cell>
          <cell r="H1159">
            <v>148.17549956559512</v>
          </cell>
        </row>
        <row r="1160">
          <cell r="B1160">
            <v>43451</v>
          </cell>
          <cell r="F1160">
            <v>117.95854435040734</v>
          </cell>
          <cell r="G1160">
            <v>123.37006650808291</v>
          </cell>
          <cell r="H1160">
            <v>147.17636837532581</v>
          </cell>
        </row>
        <row r="1161">
          <cell r="B1161">
            <v>43450</v>
          </cell>
          <cell r="F1161">
            <v>117.27476454657875</v>
          </cell>
          <cell r="G1161">
            <v>123.70988882955483</v>
          </cell>
          <cell r="H1161">
            <v>148.56646394439619</v>
          </cell>
        </row>
        <row r="1162">
          <cell r="B1162">
            <v>43449</v>
          </cell>
          <cell r="F1162">
            <v>117.27476454657875</v>
          </cell>
          <cell r="G1162">
            <v>123.70988882955483</v>
          </cell>
          <cell r="H1162">
            <v>148.56646394439619</v>
          </cell>
        </row>
        <row r="1163">
          <cell r="B1163">
            <v>43448</v>
          </cell>
          <cell r="F1163">
            <v>117.27476454657875</v>
          </cell>
          <cell r="G1163">
            <v>123.70988882955483</v>
          </cell>
          <cell r="H1163">
            <v>148.56646394439619</v>
          </cell>
        </row>
        <row r="1164">
          <cell r="B1164">
            <v>43447</v>
          </cell>
          <cell r="F1164">
            <v>119.28573145315518</v>
          </cell>
          <cell r="G1164">
            <v>125.39443662313705</v>
          </cell>
          <cell r="H1164">
            <v>152.12858384013904</v>
          </cell>
        </row>
        <row r="1165">
          <cell r="B1165">
            <v>43446</v>
          </cell>
          <cell r="F1165">
            <v>119.74390124373883</v>
          </cell>
          <cell r="G1165">
            <v>123.78270789844166</v>
          </cell>
          <cell r="H1165">
            <v>156.51607298001738</v>
          </cell>
        </row>
        <row r="1166">
          <cell r="B1166">
            <v>43445</v>
          </cell>
          <cell r="F1166">
            <v>117.38887095647705</v>
          </cell>
          <cell r="G1166">
            <v>119.83105976018254</v>
          </cell>
          <cell r="H1166">
            <v>152.95395308427456</v>
          </cell>
        </row>
        <row r="1167">
          <cell r="B1167">
            <v>43444</v>
          </cell>
          <cell r="F1167">
            <v>115.23956372568649</v>
          </cell>
          <cell r="G1167">
            <v>116.14641487450848</v>
          </cell>
          <cell r="H1167">
            <v>151.17289313640313</v>
          </cell>
        </row>
        <row r="1168">
          <cell r="B1168">
            <v>43443</v>
          </cell>
          <cell r="F1168">
            <v>116.23558034693211</v>
          </cell>
          <cell r="G1168">
            <v>110.95684256517306</v>
          </cell>
          <cell r="H1168">
            <v>153.38835794960906</v>
          </cell>
        </row>
        <row r="1169">
          <cell r="B1169">
            <v>43442</v>
          </cell>
          <cell r="F1169">
            <v>116.23558034693211</v>
          </cell>
          <cell r="G1169">
            <v>110.95684256517306</v>
          </cell>
          <cell r="H1169">
            <v>153.38835794960906</v>
          </cell>
        </row>
        <row r="1170">
          <cell r="B1170">
            <v>43441</v>
          </cell>
          <cell r="F1170">
            <v>116.23558034693211</v>
          </cell>
          <cell r="G1170">
            <v>110.95684256517306</v>
          </cell>
          <cell r="H1170">
            <v>153.38835794960906</v>
          </cell>
        </row>
        <row r="1171">
          <cell r="B1171">
            <v>43440</v>
          </cell>
          <cell r="F1171">
            <v>116.0623664272116</v>
          </cell>
          <cell r="G1171">
            <v>110.31603475896887</v>
          </cell>
          <cell r="H1171">
            <v>163.64031277150306</v>
          </cell>
        </row>
        <row r="1172">
          <cell r="B1172">
            <v>43439</v>
          </cell>
          <cell r="F1172">
            <v>119.39032388485191</v>
          </cell>
          <cell r="G1172">
            <v>112.64624496334773</v>
          </cell>
          <cell r="H1172">
            <v>160.20851433536058</v>
          </cell>
        </row>
        <row r="1173">
          <cell r="B1173">
            <v>43438</v>
          </cell>
          <cell r="F1173">
            <v>123.72903655204983</v>
          </cell>
          <cell r="G1173">
            <v>112.64624496334773</v>
          </cell>
          <cell r="H1173">
            <v>160.20851433536058</v>
          </cell>
        </row>
        <row r="1174">
          <cell r="B1174">
            <v>43437</v>
          </cell>
          <cell r="F1174">
            <v>124.70367004700724</v>
          </cell>
          <cell r="G1174">
            <v>117.51541336958104</v>
          </cell>
          <cell r="H1174">
            <v>173.89226759339707</v>
          </cell>
        </row>
        <row r="1175">
          <cell r="B1175">
            <v>43436</v>
          </cell>
          <cell r="F1175">
            <v>118.92150183176582</v>
          </cell>
          <cell r="G1175">
            <v>115.25316762949657</v>
          </cell>
          <cell r="H1175">
            <v>167.50651607298005</v>
          </cell>
        </row>
        <row r="1176">
          <cell r="B1176">
            <v>43435</v>
          </cell>
          <cell r="F1176">
            <v>118.92150183176582</v>
          </cell>
          <cell r="G1176">
            <v>115.25316762949657</v>
          </cell>
          <cell r="H1176">
            <v>167.50651607298005</v>
          </cell>
        </row>
        <row r="1177">
          <cell r="B1177">
            <v>43434</v>
          </cell>
          <cell r="F1177">
            <v>118.92150183176582</v>
          </cell>
          <cell r="G1177">
            <v>115.25316762949657</v>
          </cell>
          <cell r="H1177">
            <v>167.50651607298005</v>
          </cell>
        </row>
        <row r="1178">
          <cell r="B1178">
            <v>43433</v>
          </cell>
          <cell r="F1178">
            <v>121.15613980836606</v>
          </cell>
          <cell r="G1178">
            <v>114.46186708092625</v>
          </cell>
          <cell r="H1178">
            <v>164.6828844483058</v>
          </cell>
        </row>
        <row r="1179">
          <cell r="B1179">
            <v>43432</v>
          </cell>
          <cell r="F1179">
            <v>119.58067769926781</v>
          </cell>
          <cell r="G1179">
            <v>114.19000922374872</v>
          </cell>
          <cell r="H1179">
            <v>168.15812337098177</v>
          </cell>
        </row>
        <row r="1180">
          <cell r="B1180">
            <v>43431</v>
          </cell>
          <cell r="F1180">
            <v>117.89730002432626</v>
          </cell>
          <cell r="G1180">
            <v>114.48614010388853</v>
          </cell>
          <cell r="H1180">
            <v>160.72980017376196</v>
          </cell>
        </row>
        <row r="1181">
          <cell r="B1181">
            <v>43430</v>
          </cell>
          <cell r="F1181">
            <v>117.56115811921626</v>
          </cell>
          <cell r="G1181">
            <v>114.23370066508083</v>
          </cell>
          <cell r="H1181">
            <v>158.86185925282362</v>
          </cell>
        </row>
        <row r="1182">
          <cell r="B1182">
            <v>43429</v>
          </cell>
          <cell r="F1182">
            <v>114.90955240955255</v>
          </cell>
          <cell r="G1182">
            <v>111.60735958056216</v>
          </cell>
          <cell r="H1182">
            <v>158.12337098175499</v>
          </cell>
        </row>
        <row r="1183">
          <cell r="B1183">
            <v>43428</v>
          </cell>
          <cell r="F1183">
            <v>114.90955240955255</v>
          </cell>
          <cell r="G1183">
            <v>111.60735958056216</v>
          </cell>
          <cell r="H1183">
            <v>158.12337098175499</v>
          </cell>
        </row>
        <row r="1184">
          <cell r="B1184">
            <v>43427</v>
          </cell>
          <cell r="F1184">
            <v>114.90955240955255</v>
          </cell>
          <cell r="G1184">
            <v>111.60735958056216</v>
          </cell>
          <cell r="H1184">
            <v>158.12337098175499</v>
          </cell>
        </row>
        <row r="1185">
          <cell r="B1185">
            <v>43426</v>
          </cell>
          <cell r="F1185">
            <v>115.4412142908579</v>
          </cell>
          <cell r="G1185">
            <v>111.65590562648671</v>
          </cell>
          <cell r="H1185">
            <v>158.03649000868811</v>
          </cell>
        </row>
        <row r="1186">
          <cell r="B1186">
            <v>43425</v>
          </cell>
          <cell r="F1186">
            <v>115.45992134227426</v>
          </cell>
          <cell r="G1186">
            <v>111.65590562648671</v>
          </cell>
          <cell r="H1186">
            <v>158.03649000868811</v>
          </cell>
        </row>
        <row r="1187">
          <cell r="B1187">
            <v>43424</v>
          </cell>
          <cell r="F1187">
            <v>114.58732962545805</v>
          </cell>
          <cell r="G1187">
            <v>110.54420117481432</v>
          </cell>
          <cell r="H1187">
            <v>156.9070373588184</v>
          </cell>
        </row>
        <row r="1188">
          <cell r="B1188">
            <v>43423</v>
          </cell>
          <cell r="F1188">
            <v>116.89381304840613</v>
          </cell>
          <cell r="G1188">
            <v>111.23355502694305</v>
          </cell>
          <cell r="H1188">
            <v>159.99131190269333</v>
          </cell>
        </row>
        <row r="1189">
          <cell r="B1189">
            <v>43422</v>
          </cell>
          <cell r="F1189">
            <v>119.47180044801267</v>
          </cell>
          <cell r="G1189">
            <v>115.35025972134569</v>
          </cell>
          <cell r="H1189">
            <v>171.32927888792352</v>
          </cell>
        </row>
        <row r="1190">
          <cell r="B1190">
            <v>43421</v>
          </cell>
          <cell r="F1190">
            <v>119.47180044801267</v>
          </cell>
          <cell r="G1190">
            <v>115.35025972134569</v>
          </cell>
          <cell r="H1190">
            <v>171.32927888792352</v>
          </cell>
        </row>
        <row r="1191">
          <cell r="B1191">
            <v>43420</v>
          </cell>
          <cell r="F1191">
            <v>119.47180044801267</v>
          </cell>
          <cell r="G1191">
            <v>115.35025972134569</v>
          </cell>
          <cell r="H1191">
            <v>171.32927888792352</v>
          </cell>
        </row>
        <row r="1192">
          <cell r="B1192">
            <v>43419</v>
          </cell>
          <cell r="F1192">
            <v>122.06341472217713</v>
          </cell>
          <cell r="G1192">
            <v>114.73372493810379</v>
          </cell>
          <cell r="H1192">
            <v>173.37098175499563</v>
          </cell>
        </row>
        <row r="1193">
          <cell r="B1193">
            <v>43418</v>
          </cell>
          <cell r="F1193">
            <v>120.43723010738539</v>
          </cell>
          <cell r="G1193">
            <v>109.81115588135346</v>
          </cell>
          <cell r="H1193">
            <v>165.20417028670721</v>
          </cell>
        </row>
        <row r="1194">
          <cell r="B1194">
            <v>43417</v>
          </cell>
          <cell r="F1194">
            <v>119.96457055454111</v>
          </cell>
          <cell r="G1194">
            <v>109.146075052187</v>
          </cell>
          <cell r="H1194">
            <v>164.42224152910515</v>
          </cell>
        </row>
        <row r="1195">
          <cell r="B1195">
            <v>43416</v>
          </cell>
          <cell r="F1195">
            <v>121.79352587664363</v>
          </cell>
          <cell r="G1195">
            <v>108.56352250109227</v>
          </cell>
          <cell r="H1195">
            <v>162.6411815812337</v>
          </cell>
        </row>
        <row r="1196">
          <cell r="B1196">
            <v>43415</v>
          </cell>
          <cell r="F1196">
            <v>122.10704563014949</v>
          </cell>
          <cell r="G1196">
            <v>116.02019515510462</v>
          </cell>
          <cell r="H1196">
            <v>169.89574283231971</v>
          </cell>
        </row>
        <row r="1197">
          <cell r="B1197">
            <v>43414</v>
          </cell>
          <cell r="F1197">
            <v>122.10704563014949</v>
          </cell>
          <cell r="G1197">
            <v>116.02019515510462</v>
          </cell>
          <cell r="H1197">
            <v>169.89574283231971</v>
          </cell>
        </row>
        <row r="1198">
          <cell r="B1198">
            <v>43413</v>
          </cell>
          <cell r="F1198">
            <v>122.10704563014949</v>
          </cell>
          <cell r="G1198">
            <v>116.02019515510462</v>
          </cell>
          <cell r="H1198">
            <v>169.89574283231971</v>
          </cell>
        </row>
        <row r="1199">
          <cell r="B1199">
            <v>43412</v>
          </cell>
          <cell r="F1199">
            <v>125.37695287410135</v>
          </cell>
          <cell r="G1199">
            <v>116.63187533375405</v>
          </cell>
          <cell r="H1199">
            <v>175.67332754126846</v>
          </cell>
        </row>
        <row r="1200">
          <cell r="B1200">
            <v>43411</v>
          </cell>
          <cell r="F1200">
            <v>124.53457467525391</v>
          </cell>
          <cell r="G1200">
            <v>113.79193164716735</v>
          </cell>
          <cell r="H1200">
            <v>177.80191138140748</v>
          </cell>
        </row>
        <row r="1201">
          <cell r="B1201">
            <v>43410</v>
          </cell>
          <cell r="F1201">
            <v>123.98535467895499</v>
          </cell>
          <cell r="G1201">
            <v>110.80634982280692</v>
          </cell>
          <cell r="H1201">
            <v>172.8931364031277</v>
          </cell>
        </row>
        <row r="1202">
          <cell r="B1202">
            <v>43409</v>
          </cell>
          <cell r="F1202">
            <v>124.53710598420007</v>
          </cell>
          <cell r="G1202">
            <v>106.84499247536287</v>
          </cell>
          <cell r="H1202">
            <v>173.41442224152911</v>
          </cell>
        </row>
        <row r="1203">
          <cell r="B1203">
            <v>43408</v>
          </cell>
          <cell r="F1203">
            <v>125.82390760537017</v>
          </cell>
          <cell r="G1203">
            <v>107.17510558764988</v>
          </cell>
          <cell r="H1203">
            <v>175.15204170286708</v>
          </cell>
        </row>
        <row r="1204">
          <cell r="B1204">
            <v>43407</v>
          </cell>
          <cell r="F1204">
            <v>125.82390760537017</v>
          </cell>
          <cell r="G1204">
            <v>107.17510558764988</v>
          </cell>
          <cell r="H1204">
            <v>175.15204170286708</v>
          </cell>
        </row>
        <row r="1205">
          <cell r="B1205">
            <v>43406</v>
          </cell>
          <cell r="F1205">
            <v>125.82390760537017</v>
          </cell>
          <cell r="G1205">
            <v>107.17510558764988</v>
          </cell>
          <cell r="H1205">
            <v>175.15204170286708</v>
          </cell>
        </row>
        <row r="1206">
          <cell r="B1206">
            <v>43405</v>
          </cell>
          <cell r="F1206">
            <v>124.66805308258006</v>
          </cell>
          <cell r="G1206">
            <v>111.59765037137726</v>
          </cell>
          <cell r="H1206">
            <v>174.28323197219808</v>
          </cell>
        </row>
        <row r="1207">
          <cell r="B1207">
            <v>43404</v>
          </cell>
          <cell r="F1207">
            <v>123.06103095576788</v>
          </cell>
          <cell r="G1207">
            <v>108.49555803679792</v>
          </cell>
          <cell r="H1207">
            <v>163.85751520417028</v>
          </cell>
        </row>
        <row r="1208">
          <cell r="B1208">
            <v>43403</v>
          </cell>
          <cell r="F1208">
            <v>117.23441993616186</v>
          </cell>
          <cell r="G1208">
            <v>107.29161609786881</v>
          </cell>
          <cell r="H1208">
            <v>156.42919200695047</v>
          </cell>
        </row>
        <row r="1209">
          <cell r="B1209">
            <v>43402</v>
          </cell>
          <cell r="F1209">
            <v>116.77532047753063</v>
          </cell>
          <cell r="G1209">
            <v>102.67488713044321</v>
          </cell>
          <cell r="H1209">
            <v>150.56472632493484</v>
          </cell>
        </row>
        <row r="1210">
          <cell r="B1210">
            <v>43401</v>
          </cell>
          <cell r="F1210">
            <v>116.10794382166674</v>
          </cell>
          <cell r="G1210">
            <v>103.47589688819845</v>
          </cell>
          <cell r="H1210">
            <v>153.77932232841007</v>
          </cell>
        </row>
        <row r="1211">
          <cell r="B1211">
            <v>43400</v>
          </cell>
          <cell r="F1211">
            <v>116.10794382166674</v>
          </cell>
          <cell r="G1211">
            <v>103.47589688819845</v>
          </cell>
          <cell r="H1211">
            <v>153.77932232841007</v>
          </cell>
        </row>
        <row r="1212">
          <cell r="B1212">
            <v>43399</v>
          </cell>
          <cell r="F1212">
            <v>116.10794382166674</v>
          </cell>
          <cell r="G1212">
            <v>103.47589688819845</v>
          </cell>
          <cell r="H1212">
            <v>153.77932232841007</v>
          </cell>
        </row>
        <row r="1213">
          <cell r="B1213">
            <v>43398</v>
          </cell>
          <cell r="F1213">
            <v>115.36459148006423</v>
          </cell>
          <cell r="G1213">
            <v>107.8887324627409</v>
          </cell>
          <cell r="H1213">
            <v>159.77410947002608</v>
          </cell>
        </row>
        <row r="1214">
          <cell r="B1214">
            <v>43397</v>
          </cell>
          <cell r="F1214">
            <v>120.50747025730892</v>
          </cell>
          <cell r="G1214">
            <v>106.17505704160396</v>
          </cell>
          <cell r="H1214">
            <v>153.90964378801041</v>
          </cell>
        </row>
        <row r="1215">
          <cell r="B1215">
            <v>43396</v>
          </cell>
          <cell r="F1215">
            <v>120.93005677155138</v>
          </cell>
          <cell r="G1215">
            <v>111.19471819020342</v>
          </cell>
          <cell r="H1215">
            <v>168.0278019113814</v>
          </cell>
        </row>
        <row r="1216">
          <cell r="B1216">
            <v>43395</v>
          </cell>
          <cell r="F1216">
            <v>124.67501202423435</v>
          </cell>
          <cell r="G1216">
            <v>110.98597019272781</v>
          </cell>
          <cell r="H1216">
            <v>172.71937445699393</v>
          </cell>
        </row>
        <row r="1217">
          <cell r="B1217">
            <v>43394</v>
          </cell>
          <cell r="F1217">
            <v>124.29365756008042</v>
          </cell>
          <cell r="G1217">
            <v>110.82091363658431</v>
          </cell>
          <cell r="H1217">
            <v>175.71676802780192</v>
          </cell>
        </row>
        <row r="1218">
          <cell r="B1218">
            <v>43393</v>
          </cell>
          <cell r="F1218">
            <v>124.29365756008042</v>
          </cell>
          <cell r="G1218">
            <v>110.82091363658431</v>
          </cell>
          <cell r="H1218">
            <v>175.71676802780192</v>
          </cell>
        </row>
        <row r="1219">
          <cell r="B1219">
            <v>43392</v>
          </cell>
          <cell r="F1219">
            <v>124.29365756008042</v>
          </cell>
          <cell r="G1219">
            <v>110.82091363658431</v>
          </cell>
          <cell r="H1219">
            <v>175.71676802780192</v>
          </cell>
        </row>
        <row r="1220">
          <cell r="B1220">
            <v>43391</v>
          </cell>
          <cell r="F1220">
            <v>124.15101971543177</v>
          </cell>
          <cell r="G1220">
            <v>110.69469391718046</v>
          </cell>
          <cell r="H1220">
            <v>179.40920938314508</v>
          </cell>
        </row>
        <row r="1221">
          <cell r="B1221">
            <v>43390</v>
          </cell>
          <cell r="F1221">
            <v>125.68764385370577</v>
          </cell>
          <cell r="G1221">
            <v>115.13665711927763</v>
          </cell>
          <cell r="H1221">
            <v>183.97046046915727</v>
          </cell>
        </row>
        <row r="1222">
          <cell r="B1222">
            <v>43389</v>
          </cell>
          <cell r="F1222">
            <v>125.25423641408049</v>
          </cell>
          <cell r="G1222">
            <v>115.69493664741006</v>
          </cell>
          <cell r="H1222">
            <v>187.70634231103389</v>
          </cell>
        </row>
        <row r="1223">
          <cell r="B1223">
            <v>43388</v>
          </cell>
          <cell r="F1223">
            <v>121.41663831159329</v>
          </cell>
          <cell r="G1223">
            <v>112.85499296082332</v>
          </cell>
          <cell r="H1223">
            <v>183.92701998262382</v>
          </cell>
        </row>
        <row r="1224">
          <cell r="B1224">
            <v>43387</v>
          </cell>
          <cell r="F1224">
            <v>124.76781219499671</v>
          </cell>
          <cell r="G1224">
            <v>113.08801398126123</v>
          </cell>
          <cell r="H1224">
            <v>184.49174630755866</v>
          </cell>
        </row>
        <row r="1225">
          <cell r="B1225">
            <v>43386</v>
          </cell>
          <cell r="F1225">
            <v>124.76781219499671</v>
          </cell>
          <cell r="G1225">
            <v>113.08801398126123</v>
          </cell>
          <cell r="H1225">
            <v>184.49174630755866</v>
          </cell>
        </row>
        <row r="1226">
          <cell r="B1226">
            <v>43385</v>
          </cell>
          <cell r="F1226">
            <v>124.76781219499671</v>
          </cell>
          <cell r="G1226">
            <v>113.08801398126123</v>
          </cell>
          <cell r="H1226">
            <v>184.49174630755866</v>
          </cell>
        </row>
        <row r="1227">
          <cell r="B1227">
            <v>43384</v>
          </cell>
          <cell r="F1227">
            <v>119.57308681864411</v>
          </cell>
          <cell r="G1227">
            <v>111.12189912131656</v>
          </cell>
          <cell r="H1227">
            <v>182.31972198088619</v>
          </cell>
        </row>
        <row r="1228">
          <cell r="B1228">
            <v>43383</v>
          </cell>
          <cell r="F1228">
            <v>128.21228009547676</v>
          </cell>
          <cell r="G1228">
            <v>112.54429826690615</v>
          </cell>
          <cell r="H1228">
            <v>180.75586446568201</v>
          </cell>
        </row>
        <row r="1229">
          <cell r="B1229">
            <v>43382</v>
          </cell>
          <cell r="F1229">
            <v>128.21228009547676</v>
          </cell>
          <cell r="G1229">
            <v>118.79217437739695</v>
          </cell>
          <cell r="H1229">
            <v>183.62293657688969</v>
          </cell>
        </row>
        <row r="1230">
          <cell r="B1230">
            <v>43381</v>
          </cell>
          <cell r="F1230">
            <v>127.94955001331391</v>
          </cell>
          <cell r="G1230">
            <v>117.17559104810913</v>
          </cell>
          <cell r="H1230">
            <v>187.0981754995656</v>
          </cell>
        </row>
        <row r="1231">
          <cell r="B1231">
            <v>43380</v>
          </cell>
          <cell r="F1231">
            <v>131.54775810444579</v>
          </cell>
          <cell r="G1231">
            <v>118.56400796155154</v>
          </cell>
          <cell r="H1231">
            <v>189.3136403127715</v>
          </cell>
        </row>
        <row r="1232">
          <cell r="B1232">
            <v>43379</v>
          </cell>
          <cell r="F1232">
            <v>131.54775810444579</v>
          </cell>
          <cell r="G1232">
            <v>118.56400796155154</v>
          </cell>
          <cell r="H1232">
            <v>189.3136403127715</v>
          </cell>
        </row>
        <row r="1233">
          <cell r="B1233">
            <v>43378</v>
          </cell>
          <cell r="F1233">
            <v>131.54775810444579</v>
          </cell>
          <cell r="G1233">
            <v>118.56400796155154</v>
          </cell>
          <cell r="H1233">
            <v>189.3136403127715</v>
          </cell>
        </row>
        <row r="1234">
          <cell r="B1234">
            <v>43377</v>
          </cell>
          <cell r="F1234">
            <v>133.94714963749237</v>
          </cell>
          <cell r="G1234">
            <v>120.47672217097916</v>
          </cell>
          <cell r="H1234">
            <v>191.83318853171153</v>
          </cell>
        </row>
        <row r="1235">
          <cell r="B1235">
            <v>43376</v>
          </cell>
          <cell r="F1235">
            <v>137.62880802677751</v>
          </cell>
          <cell r="G1235">
            <v>121.08354774503616</v>
          </cell>
          <cell r="H1235">
            <v>196.13379669852301</v>
          </cell>
        </row>
        <row r="1236">
          <cell r="B1236">
            <v>43375</v>
          </cell>
          <cell r="F1236">
            <v>136.60773277412218</v>
          </cell>
          <cell r="G1236">
            <v>120.44273993883196</v>
          </cell>
          <cell r="H1236">
            <v>198.78366637706341</v>
          </cell>
        </row>
        <row r="1237">
          <cell r="B1237">
            <v>43374</v>
          </cell>
          <cell r="F1237">
            <v>140.08750775286475</v>
          </cell>
          <cell r="G1237">
            <v>121.12723918636826</v>
          </cell>
          <cell r="H1237">
            <v>196.13379669852301</v>
          </cell>
        </row>
        <row r="1238">
          <cell r="B1238">
            <v>43373</v>
          </cell>
          <cell r="F1238">
            <v>140.2528702912991</v>
          </cell>
          <cell r="G1238">
            <v>119.77765910966551</v>
          </cell>
          <cell r="H1238">
            <v>196.4813205907906</v>
          </cell>
        </row>
        <row r="1239">
          <cell r="B1239">
            <v>43372</v>
          </cell>
          <cell r="F1239">
            <v>140.2528702912991</v>
          </cell>
          <cell r="G1239">
            <v>119.77765910966551</v>
          </cell>
          <cell r="H1239">
            <v>196.4813205907906</v>
          </cell>
        </row>
        <row r="1240">
          <cell r="B1240">
            <v>43371</v>
          </cell>
          <cell r="F1240">
            <v>140.2528702912991</v>
          </cell>
          <cell r="G1240">
            <v>119.77765910966551</v>
          </cell>
          <cell r="H1240">
            <v>196.4813205907906</v>
          </cell>
        </row>
        <row r="1241">
          <cell r="B1241">
            <v>43370</v>
          </cell>
          <cell r="F1241">
            <v>141.16667905514225</v>
          </cell>
          <cell r="G1241">
            <v>119.64173018107674</v>
          </cell>
          <cell r="H1241">
            <v>195.43874891398784</v>
          </cell>
        </row>
        <row r="1242">
          <cell r="B1242">
            <v>43369</v>
          </cell>
          <cell r="F1242">
            <v>139.78170828814885</v>
          </cell>
          <cell r="G1242">
            <v>119.14656051264625</v>
          </cell>
          <cell r="H1242">
            <v>192.6585577758471</v>
          </cell>
        </row>
        <row r="1243">
          <cell r="B1243">
            <v>43368</v>
          </cell>
          <cell r="F1243">
            <v>139.78626678372316</v>
          </cell>
          <cell r="G1243">
            <v>120.22428273217147</v>
          </cell>
          <cell r="H1243">
            <v>193.91833188531712</v>
          </cell>
        </row>
        <row r="1244">
          <cell r="B1244">
            <v>43367</v>
          </cell>
          <cell r="F1244">
            <v>138.84299540184389</v>
          </cell>
          <cell r="G1244">
            <v>121.09811155881351</v>
          </cell>
          <cell r="H1244">
            <v>196.17723718505647</v>
          </cell>
        </row>
        <row r="1245">
          <cell r="B1245">
            <v>43366</v>
          </cell>
          <cell r="F1245">
            <v>138.84299540184389</v>
          </cell>
          <cell r="G1245">
            <v>120.44273993883196</v>
          </cell>
          <cell r="H1245">
            <v>194.35273675065162</v>
          </cell>
        </row>
        <row r="1246">
          <cell r="B1246">
            <v>43365</v>
          </cell>
          <cell r="F1246">
            <v>138.84299540184389</v>
          </cell>
          <cell r="G1246">
            <v>120.44273993883196</v>
          </cell>
          <cell r="H1246">
            <v>194.35273675065162</v>
          </cell>
        </row>
        <row r="1247">
          <cell r="B1247">
            <v>43364</v>
          </cell>
          <cell r="F1247">
            <v>138.84299540184389</v>
          </cell>
          <cell r="G1247">
            <v>120.44273993883196</v>
          </cell>
          <cell r="H1247">
            <v>194.35273675065162</v>
          </cell>
        </row>
        <row r="1248">
          <cell r="B1248">
            <v>43363</v>
          </cell>
          <cell r="F1248">
            <v>137.67360761273727</v>
          </cell>
          <cell r="G1248">
            <v>118.90383028302345</v>
          </cell>
          <cell r="H1248">
            <v>200.08688097306694</v>
          </cell>
        </row>
        <row r="1249">
          <cell r="B1249">
            <v>43362</v>
          </cell>
          <cell r="F1249">
            <v>136.53902361690774</v>
          </cell>
          <cell r="G1249">
            <v>117.37948444099227</v>
          </cell>
          <cell r="H1249">
            <v>195.742832319722</v>
          </cell>
        </row>
        <row r="1250">
          <cell r="B1250">
            <v>43361</v>
          </cell>
          <cell r="F1250">
            <v>134.50733690994912</v>
          </cell>
          <cell r="G1250">
            <v>116.37943589494635</v>
          </cell>
          <cell r="H1250">
            <v>196.9157254561251</v>
          </cell>
        </row>
        <row r="1251">
          <cell r="B1251">
            <v>43360</v>
          </cell>
          <cell r="F1251">
            <v>136.29514850571582</v>
          </cell>
          <cell r="G1251">
            <v>114.00067964464296</v>
          </cell>
          <cell r="H1251">
            <v>189.3136403127715</v>
          </cell>
        </row>
        <row r="1252">
          <cell r="B1252">
            <v>43359</v>
          </cell>
          <cell r="F1252">
            <v>138.04135953565353</v>
          </cell>
          <cell r="G1252">
            <v>114.73372493810379</v>
          </cell>
          <cell r="H1252">
            <v>192.44135534317982</v>
          </cell>
        </row>
        <row r="1253">
          <cell r="B1253">
            <v>43358</v>
          </cell>
          <cell r="F1253">
            <v>138.04135953565353</v>
          </cell>
          <cell r="G1253">
            <v>114.73372493810379</v>
          </cell>
          <cell r="H1253">
            <v>192.44135534317982</v>
          </cell>
        </row>
        <row r="1254">
          <cell r="B1254">
            <v>43357</v>
          </cell>
          <cell r="F1254">
            <v>138.04135953565353</v>
          </cell>
          <cell r="G1254">
            <v>114.73372493810379</v>
          </cell>
          <cell r="H1254">
            <v>192.44135534317982</v>
          </cell>
        </row>
        <row r="1255">
          <cell r="B1255">
            <v>43356</v>
          </cell>
          <cell r="F1255">
            <v>135.03922523064395</v>
          </cell>
          <cell r="G1255">
            <v>114.28710131559782</v>
          </cell>
          <cell r="H1255">
            <v>189.48740225890529</v>
          </cell>
        </row>
        <row r="1256">
          <cell r="B1256">
            <v>43355</v>
          </cell>
          <cell r="F1256">
            <v>138.00125369962876</v>
          </cell>
          <cell r="G1256">
            <v>111.60250497596968</v>
          </cell>
          <cell r="H1256">
            <v>181.32059079061688</v>
          </cell>
        </row>
        <row r="1257">
          <cell r="B1257">
            <v>43354</v>
          </cell>
          <cell r="F1257">
            <v>137.34723970484191</v>
          </cell>
          <cell r="G1257">
            <v>112.893829797563</v>
          </cell>
          <cell r="H1257">
            <v>189.40052128583841</v>
          </cell>
        </row>
        <row r="1258">
          <cell r="B1258">
            <v>43353</v>
          </cell>
          <cell r="F1258">
            <v>139.62918320374106</v>
          </cell>
          <cell r="G1258">
            <v>116.80664109908247</v>
          </cell>
          <cell r="H1258">
            <v>195.04778453518679</v>
          </cell>
        </row>
        <row r="1259">
          <cell r="B1259">
            <v>43352</v>
          </cell>
          <cell r="F1259">
            <v>139.36523389711775</v>
          </cell>
          <cell r="G1259">
            <v>112.90839361134036</v>
          </cell>
          <cell r="H1259">
            <v>194.874022589053</v>
          </cell>
        </row>
        <row r="1260">
          <cell r="B1260">
            <v>43351</v>
          </cell>
          <cell r="F1260">
            <v>139.36523389711775</v>
          </cell>
          <cell r="G1260">
            <v>112.90839361134036</v>
          </cell>
          <cell r="H1260">
            <v>194.874022589053</v>
          </cell>
        </row>
        <row r="1261">
          <cell r="B1261">
            <v>43350</v>
          </cell>
          <cell r="F1261">
            <v>139.36523389711775</v>
          </cell>
          <cell r="G1261">
            <v>112.90839361134036</v>
          </cell>
          <cell r="H1261">
            <v>194.874022589053</v>
          </cell>
        </row>
        <row r="1262">
          <cell r="B1262">
            <v>43349</v>
          </cell>
          <cell r="F1262">
            <v>137.98303851927514</v>
          </cell>
          <cell r="G1262">
            <v>104.84489538327102</v>
          </cell>
          <cell r="H1262">
            <v>193.96177237185057</v>
          </cell>
        </row>
        <row r="1263">
          <cell r="B1263">
            <v>43348</v>
          </cell>
          <cell r="F1263">
            <v>139.58265942534814</v>
          </cell>
          <cell r="G1263">
            <v>107.49065488615952</v>
          </cell>
          <cell r="H1263">
            <v>215.20417028670721</v>
          </cell>
        </row>
        <row r="1264">
          <cell r="B1264">
            <v>43347</v>
          </cell>
          <cell r="F1264">
            <v>136.20794426732067</v>
          </cell>
          <cell r="G1264">
            <v>106.5245885722608</v>
          </cell>
          <cell r="H1264">
            <v>225.58644656820155</v>
          </cell>
        </row>
        <row r="1265">
          <cell r="B1265">
            <v>43346</v>
          </cell>
          <cell r="F1265">
            <v>136.13824325667753</v>
          </cell>
          <cell r="G1265">
            <v>106.33040438856254</v>
          </cell>
          <cell r="H1265">
            <v>228.1494352736751</v>
          </cell>
        </row>
        <row r="1266">
          <cell r="B1266">
            <v>43345</v>
          </cell>
          <cell r="F1266">
            <v>135.76768220917802</v>
          </cell>
          <cell r="G1266">
            <v>106.33040438856254</v>
          </cell>
          <cell r="H1266">
            <v>228.1494352736751</v>
          </cell>
        </row>
        <row r="1267">
          <cell r="B1267">
            <v>43344</v>
          </cell>
          <cell r="F1267">
            <v>135.76768220917802</v>
          </cell>
          <cell r="G1267">
            <v>106.33040438856254</v>
          </cell>
          <cell r="H1267">
            <v>228.1494352736751</v>
          </cell>
        </row>
        <row r="1268">
          <cell r="B1268">
            <v>43343</v>
          </cell>
          <cell r="F1268">
            <v>135.76768220917802</v>
          </cell>
          <cell r="G1268">
            <v>106.33040438856254</v>
          </cell>
          <cell r="H1268">
            <v>228.1494352736751</v>
          </cell>
        </row>
        <row r="1269">
          <cell r="B1269">
            <v>43342</v>
          </cell>
          <cell r="F1269">
            <v>139.42705931939261</v>
          </cell>
          <cell r="G1269">
            <v>105.17500849555803</v>
          </cell>
          <cell r="H1269">
            <v>229.19200695047786</v>
          </cell>
        </row>
        <row r="1270">
          <cell r="B1270">
            <v>43341</v>
          </cell>
          <cell r="F1270">
            <v>137.29157011547522</v>
          </cell>
          <cell r="G1270">
            <v>104.36914413321034</v>
          </cell>
          <cell r="H1270">
            <v>225.15204170286708</v>
          </cell>
        </row>
        <row r="1271">
          <cell r="B1271">
            <v>43340</v>
          </cell>
          <cell r="F1271">
            <v>132.24716011454368</v>
          </cell>
          <cell r="G1271">
            <v>104.0972862760328</v>
          </cell>
          <cell r="H1271">
            <v>227.36750651607301</v>
          </cell>
        </row>
        <row r="1272">
          <cell r="B1272">
            <v>43339</v>
          </cell>
          <cell r="F1272">
            <v>129.94662415920985</v>
          </cell>
          <cell r="G1272">
            <v>103.38851400553423</v>
          </cell>
          <cell r="H1272">
            <v>226.19461337966987</v>
          </cell>
        </row>
        <row r="1273">
          <cell r="B1273">
            <v>43338</v>
          </cell>
          <cell r="F1273">
            <v>129.18051623494662</v>
          </cell>
          <cell r="G1273">
            <v>101.46123598232923</v>
          </cell>
          <cell r="H1273">
            <v>220.24326672458733</v>
          </cell>
        </row>
        <row r="1274">
          <cell r="B1274">
            <v>43337</v>
          </cell>
          <cell r="F1274">
            <v>129.18051623494662</v>
          </cell>
          <cell r="G1274">
            <v>101.46123598232923</v>
          </cell>
          <cell r="H1274">
            <v>220.24326672458733</v>
          </cell>
        </row>
        <row r="1275">
          <cell r="B1275">
            <v>43336</v>
          </cell>
          <cell r="F1275">
            <v>129.18051623494662</v>
          </cell>
          <cell r="G1275">
            <v>101.46123598232923</v>
          </cell>
          <cell r="H1275">
            <v>220.24326672458733</v>
          </cell>
        </row>
        <row r="1276">
          <cell r="B1276">
            <v>43335</v>
          </cell>
          <cell r="F1276">
            <v>129.0628343148056</v>
          </cell>
          <cell r="G1276">
            <v>99.805815816301759</v>
          </cell>
          <cell r="H1276">
            <v>215.89921807124242</v>
          </cell>
        </row>
        <row r="1277">
          <cell r="B1277">
            <v>43334</v>
          </cell>
          <cell r="F1277">
            <v>128.4182474526628</v>
          </cell>
          <cell r="G1277">
            <v>100.75246371183067</v>
          </cell>
          <cell r="H1277">
            <v>218.24500434404865</v>
          </cell>
        </row>
        <row r="1278">
          <cell r="B1278">
            <v>43333</v>
          </cell>
          <cell r="F1278">
            <v>127.90011026667689</v>
          </cell>
          <cell r="G1278">
            <v>102.19428127579009</v>
          </cell>
          <cell r="H1278">
            <v>216.94178974804518</v>
          </cell>
        </row>
        <row r="1279">
          <cell r="B1279">
            <v>43332</v>
          </cell>
          <cell r="F1279">
            <v>126.8763925568563</v>
          </cell>
          <cell r="G1279">
            <v>100.35438613524927</v>
          </cell>
          <cell r="H1279">
            <v>208.81841876629016</v>
          </cell>
        </row>
        <row r="1280">
          <cell r="B1280">
            <v>43331</v>
          </cell>
          <cell r="F1280">
            <v>126.86399824954049</v>
          </cell>
          <cell r="G1280">
            <v>101.59231030632554</v>
          </cell>
          <cell r="H1280">
            <v>204.64813205907907</v>
          </cell>
        </row>
        <row r="1281">
          <cell r="B1281">
            <v>43330</v>
          </cell>
          <cell r="F1281">
            <v>126.86399824954049</v>
          </cell>
          <cell r="G1281">
            <v>101.59231030632554</v>
          </cell>
          <cell r="H1281">
            <v>204.64813205907907</v>
          </cell>
        </row>
        <row r="1282">
          <cell r="B1282">
            <v>43329</v>
          </cell>
          <cell r="F1282">
            <v>126.86399824954049</v>
          </cell>
          <cell r="G1282">
            <v>101.59231030632554</v>
          </cell>
          <cell r="H1282">
            <v>204.64813205907907</v>
          </cell>
        </row>
        <row r="1283">
          <cell r="B1283">
            <v>43328</v>
          </cell>
          <cell r="F1283">
            <v>126.44680093536888</v>
          </cell>
          <cell r="G1283">
            <v>101.3107432399631</v>
          </cell>
          <cell r="H1283">
            <v>204.60469157254565</v>
          </cell>
        </row>
        <row r="1284">
          <cell r="B1284">
            <v>43327</v>
          </cell>
          <cell r="F1284">
            <v>127.21916378814049</v>
          </cell>
          <cell r="G1284">
            <v>100.28642167095489</v>
          </cell>
          <cell r="H1284">
            <v>206.29887054735013</v>
          </cell>
        </row>
        <row r="1285">
          <cell r="B1285">
            <v>43326</v>
          </cell>
          <cell r="F1285">
            <v>128.56417297345564</v>
          </cell>
          <cell r="G1285">
            <v>100.63595320161174</v>
          </cell>
          <cell r="H1285">
            <v>219.89574283231968</v>
          </cell>
        </row>
        <row r="1286">
          <cell r="B1286">
            <v>43325</v>
          </cell>
          <cell r="F1286">
            <v>126.83613493307124</v>
          </cell>
          <cell r="G1286">
            <v>102.47099373756008</v>
          </cell>
          <cell r="H1286">
            <v>223.02345786272809</v>
          </cell>
        </row>
        <row r="1287">
          <cell r="B1287">
            <v>43324</v>
          </cell>
          <cell r="F1287">
            <v>129.68868448677117</v>
          </cell>
          <cell r="G1287">
            <v>103.0292732656925</v>
          </cell>
          <cell r="H1287">
            <v>223.15377932232838</v>
          </cell>
        </row>
        <row r="1288">
          <cell r="B1288">
            <v>43323</v>
          </cell>
          <cell r="F1288">
            <v>129.68868448677117</v>
          </cell>
          <cell r="G1288">
            <v>103.0292732656925</v>
          </cell>
          <cell r="H1288">
            <v>223.15377932232838</v>
          </cell>
        </row>
        <row r="1289">
          <cell r="B1289">
            <v>43322</v>
          </cell>
          <cell r="F1289">
            <v>129.68868448677117</v>
          </cell>
          <cell r="G1289">
            <v>103.0292732656925</v>
          </cell>
          <cell r="H1289">
            <v>223.15377932232838</v>
          </cell>
        </row>
        <row r="1290">
          <cell r="B1290">
            <v>43321</v>
          </cell>
          <cell r="F1290">
            <v>131.11000960965075</v>
          </cell>
          <cell r="G1290">
            <v>105.14102626341084</v>
          </cell>
          <cell r="H1290">
            <v>227.01998262380539</v>
          </cell>
        </row>
        <row r="1291">
          <cell r="B1291">
            <v>43320</v>
          </cell>
          <cell r="F1291">
            <v>131.68048903944239</v>
          </cell>
          <cell r="G1291">
            <v>106.53915238603815</v>
          </cell>
          <cell r="H1291">
            <v>231.92875760208517</v>
          </cell>
        </row>
        <row r="1292">
          <cell r="B1292">
            <v>43319</v>
          </cell>
          <cell r="F1292">
            <v>128.62285229930845</v>
          </cell>
          <cell r="G1292">
            <v>106.95179377639693</v>
          </cell>
          <cell r="H1292">
            <v>230.40834057341445</v>
          </cell>
        </row>
        <row r="1293">
          <cell r="B1293">
            <v>43318</v>
          </cell>
          <cell r="F1293">
            <v>130.36058628518242</v>
          </cell>
          <cell r="G1293">
            <v>105.32064663333172</v>
          </cell>
          <cell r="H1293">
            <v>228.80104257167679</v>
          </cell>
        </row>
        <row r="1294">
          <cell r="B1294">
            <v>43317</v>
          </cell>
          <cell r="F1294">
            <v>131.37150088269914</v>
          </cell>
          <cell r="G1294">
            <v>105.73814262828292</v>
          </cell>
          <cell r="H1294">
            <v>229.40920938314511</v>
          </cell>
        </row>
        <row r="1295">
          <cell r="B1295">
            <v>43316</v>
          </cell>
          <cell r="F1295">
            <v>131.37150088269914</v>
          </cell>
          <cell r="G1295">
            <v>105.73814262828292</v>
          </cell>
          <cell r="H1295">
            <v>229.40920938314511</v>
          </cell>
        </row>
        <row r="1296">
          <cell r="B1296">
            <v>43315</v>
          </cell>
          <cell r="F1296">
            <v>131.37150088269914</v>
          </cell>
          <cell r="G1296">
            <v>105.73814262828292</v>
          </cell>
          <cell r="H1296">
            <v>229.40920938314511</v>
          </cell>
        </row>
        <row r="1297">
          <cell r="B1297">
            <v>43314</v>
          </cell>
          <cell r="F1297">
            <v>129.53360576711822</v>
          </cell>
          <cell r="G1297">
            <v>105.02937035778434</v>
          </cell>
          <cell r="H1297">
            <v>231.9721980886186</v>
          </cell>
        </row>
        <row r="1298">
          <cell r="B1298">
            <v>43313</v>
          </cell>
          <cell r="F1298">
            <v>131.79133482292488</v>
          </cell>
          <cell r="G1298">
            <v>105.24782756444489</v>
          </cell>
          <cell r="H1298">
            <v>227.15030408340576</v>
          </cell>
        </row>
        <row r="1299">
          <cell r="B1299">
            <v>43312</v>
          </cell>
          <cell r="F1299">
            <v>130.91239723665799</v>
          </cell>
          <cell r="G1299">
            <v>107.6605660468955</v>
          </cell>
          <cell r="H1299">
            <v>229.32232841007817</v>
          </cell>
        </row>
        <row r="1300">
          <cell r="B1300">
            <v>43311</v>
          </cell>
          <cell r="F1300">
            <v>130.62494883873222</v>
          </cell>
          <cell r="G1300">
            <v>109.3208408175154</v>
          </cell>
          <cell r="H1300">
            <v>230.27801911381408</v>
          </cell>
        </row>
        <row r="1301">
          <cell r="B1301">
            <v>43310</v>
          </cell>
          <cell r="F1301">
            <v>130.16950957549872</v>
          </cell>
          <cell r="G1301">
            <v>107.31103451623865</v>
          </cell>
          <cell r="H1301">
            <v>234.40486533449177</v>
          </cell>
        </row>
        <row r="1302">
          <cell r="B1302">
            <v>43309</v>
          </cell>
          <cell r="F1302">
            <v>130.16950957549872</v>
          </cell>
          <cell r="G1302">
            <v>107.31103451623865</v>
          </cell>
          <cell r="H1302">
            <v>234.40486533449177</v>
          </cell>
        </row>
        <row r="1303">
          <cell r="B1303">
            <v>43308</v>
          </cell>
          <cell r="F1303">
            <v>130.16950957549872</v>
          </cell>
          <cell r="G1303">
            <v>107.31103451623865</v>
          </cell>
          <cell r="H1303">
            <v>234.40486533449177</v>
          </cell>
        </row>
        <row r="1304">
          <cell r="B1304">
            <v>43307</v>
          </cell>
          <cell r="F1304">
            <v>128.15514955033126</v>
          </cell>
          <cell r="G1304">
            <v>108.34506529443178</v>
          </cell>
          <cell r="H1304">
            <v>233.53605560382275</v>
          </cell>
        </row>
        <row r="1305">
          <cell r="B1305">
            <v>43306</v>
          </cell>
          <cell r="F1305">
            <v>128.44771757865198</v>
          </cell>
          <cell r="G1305">
            <v>109.69949997572697</v>
          </cell>
          <cell r="H1305">
            <v>231.92875760208517</v>
          </cell>
        </row>
        <row r="1306">
          <cell r="B1306">
            <v>43305</v>
          </cell>
          <cell r="F1306">
            <v>128.08815564721087</v>
          </cell>
          <cell r="G1306">
            <v>105.50997621243749</v>
          </cell>
          <cell r="H1306">
            <v>230.97306689834926</v>
          </cell>
        </row>
        <row r="1307">
          <cell r="B1307">
            <v>43304</v>
          </cell>
          <cell r="F1307">
            <v>128.05050234825518</v>
          </cell>
          <cell r="G1307">
            <v>105.20899072770521</v>
          </cell>
          <cell r="H1307">
            <v>235.83840139009556</v>
          </cell>
        </row>
        <row r="1308">
          <cell r="B1308">
            <v>43303</v>
          </cell>
          <cell r="F1308">
            <v>126.29810378257579</v>
          </cell>
          <cell r="G1308">
            <v>102.10689839312587</v>
          </cell>
          <cell r="H1308">
            <v>239.00955690703736</v>
          </cell>
        </row>
        <row r="1309">
          <cell r="B1309">
            <v>43302</v>
          </cell>
          <cell r="F1309">
            <v>126.29810378257579</v>
          </cell>
          <cell r="G1309">
            <v>102.10689839312587</v>
          </cell>
          <cell r="H1309">
            <v>239.00955690703736</v>
          </cell>
        </row>
        <row r="1310">
          <cell r="B1310">
            <v>43301</v>
          </cell>
          <cell r="F1310">
            <v>126.29810378257579</v>
          </cell>
          <cell r="G1310">
            <v>102.10689839312587</v>
          </cell>
          <cell r="H1310">
            <v>239.00955690703736</v>
          </cell>
        </row>
        <row r="1311">
          <cell r="B1311">
            <v>43300</v>
          </cell>
          <cell r="F1311">
            <v>119.04636860629945</v>
          </cell>
          <cell r="G1311">
            <v>102.12631681149571</v>
          </cell>
          <cell r="H1311">
            <v>244.22241529105128</v>
          </cell>
        </row>
        <row r="1312">
          <cell r="B1312">
            <v>43299</v>
          </cell>
          <cell r="F1312">
            <v>118.59502602604475</v>
          </cell>
          <cell r="G1312">
            <v>101.35443468129522</v>
          </cell>
          <cell r="H1312">
            <v>249.56559513466553</v>
          </cell>
        </row>
        <row r="1313">
          <cell r="B1313">
            <v>43298</v>
          </cell>
          <cell r="F1313">
            <v>118.00949341479266</v>
          </cell>
          <cell r="G1313">
            <v>101.12626826544977</v>
          </cell>
          <cell r="H1313">
            <v>247.43701129452651</v>
          </cell>
        </row>
        <row r="1314">
          <cell r="B1314">
            <v>43297</v>
          </cell>
          <cell r="F1314">
            <v>119.09454448271278</v>
          </cell>
          <cell r="G1314">
            <v>98.669838341667074</v>
          </cell>
          <cell r="H1314">
            <v>243.91833188531712</v>
          </cell>
        </row>
        <row r="1315">
          <cell r="B1315">
            <v>43296</v>
          </cell>
          <cell r="F1315">
            <v>119.4786838230534</v>
          </cell>
          <cell r="G1315">
            <v>98.286324578863045</v>
          </cell>
          <cell r="H1315">
            <v>244.78714161598609</v>
          </cell>
        </row>
        <row r="1316">
          <cell r="B1316">
            <v>43295</v>
          </cell>
          <cell r="F1316">
            <v>119.4786838230534</v>
          </cell>
          <cell r="G1316">
            <v>98.286324578863045</v>
          </cell>
          <cell r="H1316">
            <v>244.78714161598609</v>
          </cell>
        </row>
        <row r="1317">
          <cell r="B1317">
            <v>43294</v>
          </cell>
          <cell r="F1317">
            <v>119.4786838230534</v>
          </cell>
          <cell r="G1317">
            <v>98.286324578863045</v>
          </cell>
          <cell r="H1317">
            <v>244.78714161598609</v>
          </cell>
        </row>
        <row r="1318">
          <cell r="B1318">
            <v>43293</v>
          </cell>
          <cell r="F1318">
            <v>117.60768112615713</v>
          </cell>
          <cell r="G1318">
            <v>101.93698723238991</v>
          </cell>
          <cell r="H1318">
            <v>240.8774978279757</v>
          </cell>
        </row>
        <row r="1319">
          <cell r="B1319">
            <v>43292</v>
          </cell>
          <cell r="F1319">
            <v>116.77052560633867</v>
          </cell>
          <cell r="G1319">
            <v>118.1804941987475</v>
          </cell>
          <cell r="H1319">
            <v>235.36055603822766</v>
          </cell>
        </row>
        <row r="1320">
          <cell r="B1320">
            <v>43291</v>
          </cell>
          <cell r="F1320">
            <v>119.00864921131853</v>
          </cell>
          <cell r="G1320">
            <v>121.63697266857613</v>
          </cell>
          <cell r="H1320">
            <v>242.13727193744572</v>
          </cell>
        </row>
        <row r="1321">
          <cell r="B1321">
            <v>43290</v>
          </cell>
          <cell r="F1321">
            <v>118.88949293674278</v>
          </cell>
          <cell r="G1321">
            <v>120.11748143113743</v>
          </cell>
          <cell r="H1321">
            <v>235.92528236316247</v>
          </cell>
        </row>
        <row r="1322">
          <cell r="B1322">
            <v>43289</v>
          </cell>
          <cell r="F1322">
            <v>116.01095969112274</v>
          </cell>
          <cell r="G1322">
            <v>120.23884654594883</v>
          </cell>
          <cell r="H1322">
            <v>231.23370981754996</v>
          </cell>
        </row>
        <row r="1323">
          <cell r="B1323">
            <v>43288</v>
          </cell>
          <cell r="F1323">
            <v>116.01095969112274</v>
          </cell>
          <cell r="G1323">
            <v>120.23884654594883</v>
          </cell>
          <cell r="H1323">
            <v>231.23370981754996</v>
          </cell>
        </row>
        <row r="1324">
          <cell r="B1324">
            <v>43287</v>
          </cell>
          <cell r="F1324">
            <v>116.01095969112274</v>
          </cell>
          <cell r="G1324">
            <v>120.23884654594883</v>
          </cell>
          <cell r="H1324">
            <v>231.23370981754996</v>
          </cell>
        </row>
        <row r="1325">
          <cell r="B1325">
            <v>43286</v>
          </cell>
          <cell r="F1325">
            <v>114.31376923284935</v>
          </cell>
          <cell r="G1325">
            <v>119.13199669886887</v>
          </cell>
          <cell r="H1325">
            <v>229.53953084274548</v>
          </cell>
        </row>
        <row r="1326">
          <cell r="B1326">
            <v>43285</v>
          </cell>
          <cell r="F1326">
            <v>115.21885774246743</v>
          </cell>
          <cell r="G1326">
            <v>116.16583329287829</v>
          </cell>
          <cell r="H1326">
            <v>223.63162467419633</v>
          </cell>
        </row>
        <row r="1327">
          <cell r="B1327">
            <v>43284</v>
          </cell>
          <cell r="F1327">
            <v>114.2351773469797</v>
          </cell>
          <cell r="G1327">
            <v>116.16583329287829</v>
          </cell>
          <cell r="H1327">
            <v>223.63162467419633</v>
          </cell>
        </row>
        <row r="1328">
          <cell r="B1328">
            <v>43283</v>
          </cell>
          <cell r="F1328">
            <v>114.02862505093168</v>
          </cell>
          <cell r="G1328">
            <v>117.50570416039614</v>
          </cell>
          <cell r="H1328">
            <v>236.66377063423107</v>
          </cell>
        </row>
        <row r="1329">
          <cell r="B1329">
            <v>43282</v>
          </cell>
          <cell r="F1329">
            <v>115.60687643112801</v>
          </cell>
          <cell r="G1329">
            <v>117.79212583135103</v>
          </cell>
          <cell r="H1329">
            <v>227.80191138140745</v>
          </cell>
        </row>
        <row r="1330">
          <cell r="B1330">
            <v>43281</v>
          </cell>
          <cell r="F1330">
            <v>115.60687643112801</v>
          </cell>
          <cell r="G1330">
            <v>117.79212583135103</v>
          </cell>
          <cell r="H1330">
            <v>227.80191138140745</v>
          </cell>
        </row>
        <row r="1331">
          <cell r="B1331">
            <v>43280</v>
          </cell>
          <cell r="F1331">
            <v>115.60687643112801</v>
          </cell>
          <cell r="G1331">
            <v>117.79212583135103</v>
          </cell>
          <cell r="H1331">
            <v>227.80191138140745</v>
          </cell>
        </row>
        <row r="1332">
          <cell r="B1332">
            <v>43279</v>
          </cell>
          <cell r="F1332">
            <v>112.86312025937642</v>
          </cell>
          <cell r="G1332">
            <v>118.88926646924607</v>
          </cell>
          <cell r="H1332">
            <v>230.84274543874895</v>
          </cell>
        </row>
        <row r="1333">
          <cell r="B1333">
            <v>43278</v>
          </cell>
          <cell r="F1333">
            <v>113.56273797688378</v>
          </cell>
          <cell r="G1333">
            <v>119.96213408417884</v>
          </cell>
          <cell r="H1333">
            <v>227.01998262380539</v>
          </cell>
        </row>
        <row r="1334">
          <cell r="B1334">
            <v>43277</v>
          </cell>
          <cell r="F1334">
            <v>114.76494842992682</v>
          </cell>
          <cell r="G1334">
            <v>122.11272391863682</v>
          </cell>
          <cell r="H1334">
            <v>237.14161598609905</v>
          </cell>
        </row>
        <row r="1335">
          <cell r="B1335">
            <v>43276</v>
          </cell>
          <cell r="F1335">
            <v>116.76814874048982</v>
          </cell>
          <cell r="G1335">
            <v>122.53992912277295</v>
          </cell>
          <cell r="H1335">
            <v>230.92962641181578</v>
          </cell>
        </row>
        <row r="1336">
          <cell r="B1336">
            <v>43275</v>
          </cell>
          <cell r="F1336">
            <v>122.15028012796768</v>
          </cell>
          <cell r="G1336">
            <v>126.07893587067332</v>
          </cell>
          <cell r="H1336">
            <v>248.04517810599478</v>
          </cell>
        </row>
        <row r="1337">
          <cell r="B1337">
            <v>43274</v>
          </cell>
          <cell r="F1337">
            <v>122.15028012796768</v>
          </cell>
          <cell r="G1337">
            <v>126.07893587067332</v>
          </cell>
          <cell r="H1337">
            <v>248.04517810599478</v>
          </cell>
        </row>
        <row r="1338">
          <cell r="B1338">
            <v>43273</v>
          </cell>
          <cell r="F1338">
            <v>122.15028012796768</v>
          </cell>
          <cell r="G1338">
            <v>126.07893587067332</v>
          </cell>
          <cell r="H1338">
            <v>248.04517810599478</v>
          </cell>
        </row>
        <row r="1339">
          <cell r="B1339">
            <v>43272</v>
          </cell>
          <cell r="F1339">
            <v>121.5251110283929</v>
          </cell>
          <cell r="G1339">
            <v>126.04980824311858</v>
          </cell>
          <cell r="H1339">
            <v>258.2102519548219</v>
          </cell>
        </row>
        <row r="1340">
          <cell r="B1340">
            <v>43271</v>
          </cell>
          <cell r="F1340">
            <v>121.81128005653368</v>
          </cell>
          <cell r="G1340">
            <v>126.8119811641342</v>
          </cell>
          <cell r="H1340">
            <v>256.08166811468294</v>
          </cell>
        </row>
        <row r="1341">
          <cell r="B1341">
            <v>43270</v>
          </cell>
          <cell r="F1341">
            <v>121.3084663800559</v>
          </cell>
          <cell r="G1341">
            <v>126.68090684013787</v>
          </cell>
          <cell r="H1341">
            <v>257.38488271068638</v>
          </cell>
        </row>
        <row r="1342">
          <cell r="B1342">
            <v>43269</v>
          </cell>
          <cell r="F1342">
            <v>124.70868917503725</v>
          </cell>
          <cell r="G1342">
            <v>128.40429147045973</v>
          </cell>
          <cell r="H1342">
            <v>253.90964378801044</v>
          </cell>
        </row>
        <row r="1343">
          <cell r="B1343">
            <v>43268</v>
          </cell>
          <cell r="F1343">
            <v>124.70868917503725</v>
          </cell>
          <cell r="G1343">
            <v>131.185979901937</v>
          </cell>
          <cell r="H1343">
            <v>252.95395308427456</v>
          </cell>
        </row>
        <row r="1344">
          <cell r="B1344">
            <v>43267</v>
          </cell>
          <cell r="F1344">
            <v>124.70868917503725</v>
          </cell>
          <cell r="G1344">
            <v>131.185979901937</v>
          </cell>
          <cell r="H1344">
            <v>252.95395308427456</v>
          </cell>
        </row>
        <row r="1345">
          <cell r="B1345">
            <v>43266</v>
          </cell>
          <cell r="F1345">
            <v>124.70868917503725</v>
          </cell>
          <cell r="G1345">
            <v>131.185979901937</v>
          </cell>
          <cell r="H1345">
            <v>252.95395308427456</v>
          </cell>
        </row>
        <row r="1346">
          <cell r="B1346">
            <v>43265</v>
          </cell>
          <cell r="F1346">
            <v>123.11691252948313</v>
          </cell>
          <cell r="G1346">
            <v>130.32671488907226</v>
          </cell>
          <cell r="H1346">
            <v>257.08079930495222</v>
          </cell>
        </row>
        <row r="1347">
          <cell r="B1347">
            <v>43264</v>
          </cell>
          <cell r="F1347">
            <v>126.46993793738217</v>
          </cell>
          <cell r="G1347">
            <v>127.95766784795377</v>
          </cell>
          <cell r="H1347">
            <v>260.86012163336227</v>
          </cell>
        </row>
        <row r="1348">
          <cell r="B1348">
            <v>43263</v>
          </cell>
          <cell r="F1348">
            <v>124.74676279846734</v>
          </cell>
          <cell r="G1348">
            <v>126.91392786057575</v>
          </cell>
          <cell r="H1348">
            <v>263.03214596003477</v>
          </cell>
        </row>
        <row r="1349">
          <cell r="B1349">
            <v>43262</v>
          </cell>
          <cell r="F1349">
            <v>123.29005813026073</v>
          </cell>
          <cell r="G1349">
            <v>126.62265158502839</v>
          </cell>
          <cell r="H1349">
            <v>266.68114682884448</v>
          </cell>
        </row>
        <row r="1350">
          <cell r="B1350">
            <v>43261</v>
          </cell>
          <cell r="F1350">
            <v>123.76917845327431</v>
          </cell>
          <cell r="G1350">
            <v>125.23423467158601</v>
          </cell>
          <cell r="H1350">
            <v>266.68114682884448</v>
          </cell>
        </row>
        <row r="1351">
          <cell r="B1351">
            <v>43260</v>
          </cell>
          <cell r="F1351">
            <v>123.76917845327431</v>
          </cell>
          <cell r="G1351">
            <v>125.23423467158601</v>
          </cell>
          <cell r="H1351">
            <v>266.68114682884448</v>
          </cell>
        </row>
        <row r="1352">
          <cell r="B1352">
            <v>43259</v>
          </cell>
          <cell r="F1352">
            <v>123.76917845327431</v>
          </cell>
          <cell r="G1352">
            <v>125.23423467158601</v>
          </cell>
          <cell r="H1352">
            <v>266.68114682884448</v>
          </cell>
        </row>
        <row r="1353">
          <cell r="B1353">
            <v>43258</v>
          </cell>
          <cell r="F1353">
            <v>125.69137052625479</v>
          </cell>
          <cell r="G1353">
            <v>128.49167435312395</v>
          </cell>
          <cell r="H1353">
            <v>259.03562119895747</v>
          </cell>
        </row>
        <row r="1354">
          <cell r="B1354">
            <v>43257</v>
          </cell>
          <cell r="F1354">
            <v>126.15756908841182</v>
          </cell>
          <cell r="G1354">
            <v>127.92854022039903</v>
          </cell>
          <cell r="H1354">
            <v>258.12337098175504</v>
          </cell>
        </row>
        <row r="1355">
          <cell r="B1355">
            <v>43256</v>
          </cell>
          <cell r="F1355">
            <v>124.99371978283507</v>
          </cell>
          <cell r="G1355">
            <v>125.8604786640128</v>
          </cell>
          <cell r="H1355">
            <v>258.07993049522156</v>
          </cell>
        </row>
        <row r="1356">
          <cell r="B1356">
            <v>43255</v>
          </cell>
          <cell r="F1356">
            <v>125.28799080778363</v>
          </cell>
          <cell r="G1356">
            <v>125.42841885528424</v>
          </cell>
          <cell r="H1356">
            <v>256.73327541268463</v>
          </cell>
        </row>
        <row r="1357">
          <cell r="B1357">
            <v>43254</v>
          </cell>
          <cell r="F1357">
            <v>122.26049697530044</v>
          </cell>
          <cell r="G1357">
            <v>124.44293412301566</v>
          </cell>
          <cell r="H1357">
            <v>255.16941789748046</v>
          </cell>
        </row>
        <row r="1358">
          <cell r="B1358">
            <v>43253</v>
          </cell>
          <cell r="F1358">
            <v>122.26049697530044</v>
          </cell>
          <cell r="G1358">
            <v>124.44293412301566</v>
          </cell>
          <cell r="H1358">
            <v>255.16941789748046</v>
          </cell>
        </row>
        <row r="1359">
          <cell r="B1359">
            <v>43252</v>
          </cell>
          <cell r="F1359">
            <v>122.26049697530044</v>
          </cell>
          <cell r="G1359">
            <v>124.44293412301566</v>
          </cell>
          <cell r="H1359">
            <v>255.16941789748046</v>
          </cell>
        </row>
        <row r="1360">
          <cell r="B1360">
            <v>43251</v>
          </cell>
          <cell r="F1360">
            <v>121.57114242324268</v>
          </cell>
          <cell r="G1360">
            <v>122.370017962037</v>
          </cell>
          <cell r="H1360">
            <v>250.17376194613382</v>
          </cell>
        </row>
        <row r="1361">
          <cell r="B1361">
            <v>43250</v>
          </cell>
          <cell r="F1361">
            <v>120.16747215797932</v>
          </cell>
          <cell r="G1361">
            <v>121.07383853585125</v>
          </cell>
          <cell r="H1361">
            <v>271.80712423979145</v>
          </cell>
        </row>
        <row r="1362">
          <cell r="B1362">
            <v>43249</v>
          </cell>
          <cell r="F1362">
            <v>121.78880802645484</v>
          </cell>
          <cell r="G1362">
            <v>121.21462206903246</v>
          </cell>
          <cell r="H1362">
            <v>272.02432667245876</v>
          </cell>
        </row>
        <row r="1363">
          <cell r="B1363">
            <v>43248</v>
          </cell>
          <cell r="F1363">
            <v>123.30628908249372</v>
          </cell>
          <cell r="G1363">
            <v>121.37967862517598</v>
          </cell>
          <cell r="H1363">
            <v>266.50738488271071</v>
          </cell>
        </row>
        <row r="1364">
          <cell r="B1364">
            <v>43247</v>
          </cell>
          <cell r="F1364">
            <v>124.15425474478891</v>
          </cell>
          <cell r="G1364">
            <v>121.37967862517598</v>
          </cell>
          <cell r="H1364">
            <v>266.50738488271071</v>
          </cell>
        </row>
        <row r="1365">
          <cell r="B1365">
            <v>43246</v>
          </cell>
          <cell r="F1365">
            <v>124.15425474478891</v>
          </cell>
          <cell r="G1365">
            <v>121.37967862517598</v>
          </cell>
          <cell r="H1365">
            <v>266.50738488271071</v>
          </cell>
        </row>
        <row r="1366">
          <cell r="B1366">
            <v>43245</v>
          </cell>
          <cell r="F1366">
            <v>124.15425474478891</v>
          </cell>
          <cell r="G1366">
            <v>121.37967862517598</v>
          </cell>
          <cell r="H1366">
            <v>266.50738488271071</v>
          </cell>
        </row>
        <row r="1367">
          <cell r="B1367">
            <v>43244</v>
          </cell>
          <cell r="F1367">
            <v>124.45918381236274</v>
          </cell>
          <cell r="G1367">
            <v>118.22418564007961</v>
          </cell>
          <cell r="H1367">
            <v>267.11555169417898</v>
          </cell>
        </row>
        <row r="1368">
          <cell r="B1368">
            <v>43243</v>
          </cell>
          <cell r="F1368">
            <v>124.04238913449348</v>
          </cell>
          <cell r="G1368">
            <v>116.78236807612019</v>
          </cell>
          <cell r="H1368">
            <v>260.51259774109468</v>
          </cell>
        </row>
        <row r="1369">
          <cell r="B1369">
            <v>43242</v>
          </cell>
          <cell r="F1369">
            <v>124.72587908687946</v>
          </cell>
          <cell r="G1369">
            <v>115.77746492548182</v>
          </cell>
          <cell r="H1369">
            <v>256.42919200695047</v>
          </cell>
        </row>
        <row r="1370">
          <cell r="B1370">
            <v>43241</v>
          </cell>
          <cell r="F1370">
            <v>124.67995952499611</v>
          </cell>
          <cell r="G1370">
            <v>116.04932278265936</v>
          </cell>
          <cell r="H1370">
            <v>241.00781928757601</v>
          </cell>
        </row>
        <row r="1371">
          <cell r="B1371">
            <v>43240</v>
          </cell>
          <cell r="F1371">
            <v>121.46998944132351</v>
          </cell>
          <cell r="G1371">
            <v>114.56381377736784</v>
          </cell>
          <cell r="H1371">
            <v>231.92875760208517</v>
          </cell>
        </row>
        <row r="1372">
          <cell r="B1372">
            <v>43239</v>
          </cell>
          <cell r="F1372">
            <v>121.46998944132351</v>
          </cell>
          <cell r="G1372">
            <v>114.56381377736784</v>
          </cell>
          <cell r="H1372">
            <v>231.92875760208517</v>
          </cell>
        </row>
        <row r="1373">
          <cell r="B1373">
            <v>43238</v>
          </cell>
          <cell r="F1373">
            <v>121.46998944132351</v>
          </cell>
          <cell r="G1373">
            <v>114.56381377736784</v>
          </cell>
          <cell r="H1373">
            <v>231.92875760208517</v>
          </cell>
        </row>
        <row r="1374">
          <cell r="B1374">
            <v>43237</v>
          </cell>
          <cell r="F1374">
            <v>123.10045909825409</v>
          </cell>
          <cell r="G1374">
            <v>116.24350696635759</v>
          </cell>
          <cell r="H1374">
            <v>237.61946133796701</v>
          </cell>
        </row>
        <row r="1375">
          <cell r="B1375">
            <v>43236</v>
          </cell>
          <cell r="F1375">
            <v>125.66066638756746</v>
          </cell>
          <cell r="G1375">
            <v>116.7580950531579</v>
          </cell>
          <cell r="H1375">
            <v>245.43874891398784</v>
          </cell>
        </row>
        <row r="1376">
          <cell r="B1376">
            <v>43235</v>
          </cell>
          <cell r="F1376">
            <v>125.37494982240361</v>
          </cell>
          <cell r="G1376">
            <v>117.2775377445507</v>
          </cell>
          <cell r="H1376">
            <v>234.62206776715897</v>
          </cell>
        </row>
        <row r="1377">
          <cell r="B1377">
            <v>43234</v>
          </cell>
          <cell r="F1377">
            <v>127.15568349961801</v>
          </cell>
          <cell r="G1377">
            <v>118.82130200495169</v>
          </cell>
          <cell r="H1377">
            <v>230.23457862728063</v>
          </cell>
        </row>
        <row r="1378">
          <cell r="B1378">
            <v>43233</v>
          </cell>
          <cell r="F1378">
            <v>127.4078662730382</v>
          </cell>
          <cell r="G1378">
            <v>118.15136657119277</v>
          </cell>
          <cell r="H1378">
            <v>225.10860121633365</v>
          </cell>
        </row>
        <row r="1379">
          <cell r="B1379">
            <v>43232</v>
          </cell>
          <cell r="F1379">
            <v>127.4078662730382</v>
          </cell>
          <cell r="G1379">
            <v>118.15136657119277</v>
          </cell>
          <cell r="H1379">
            <v>225.10860121633365</v>
          </cell>
        </row>
        <row r="1380">
          <cell r="B1380">
            <v>43231</v>
          </cell>
          <cell r="F1380">
            <v>127.4078662730382</v>
          </cell>
          <cell r="G1380">
            <v>118.15136657119277</v>
          </cell>
          <cell r="H1380">
            <v>225.10860121633365</v>
          </cell>
        </row>
        <row r="1381">
          <cell r="B1381">
            <v>43230</v>
          </cell>
          <cell r="F1381">
            <v>125.66720844794102</v>
          </cell>
          <cell r="G1381">
            <v>118.21447643089469</v>
          </cell>
          <cell r="H1381">
            <v>228.75760208514336</v>
          </cell>
        </row>
        <row r="1382">
          <cell r="B1382">
            <v>43229</v>
          </cell>
          <cell r="F1382">
            <v>124.78929801020927</v>
          </cell>
          <cell r="G1382">
            <v>115.56386232341376</v>
          </cell>
          <cell r="H1382">
            <v>221.58992180712423</v>
          </cell>
        </row>
        <row r="1383">
          <cell r="B1383">
            <v>43228</v>
          </cell>
          <cell r="F1383">
            <v>124.47713233053548</v>
          </cell>
          <cell r="G1383">
            <v>115.95223069081023</v>
          </cell>
          <cell r="H1383">
            <v>210.99044309296264</v>
          </cell>
        </row>
        <row r="1384">
          <cell r="B1384">
            <v>43227</v>
          </cell>
          <cell r="F1384">
            <v>121.95894984966134</v>
          </cell>
          <cell r="G1384">
            <v>114.55410456818291</v>
          </cell>
          <cell r="H1384">
            <v>210.59947871416159</v>
          </cell>
        </row>
        <row r="1385">
          <cell r="B1385">
            <v>43226</v>
          </cell>
          <cell r="F1385">
            <v>122.27263907525467</v>
          </cell>
          <cell r="G1385">
            <v>111.90834506529444</v>
          </cell>
          <cell r="H1385">
            <v>206.68983492615118</v>
          </cell>
        </row>
        <row r="1386">
          <cell r="B1386">
            <v>43225</v>
          </cell>
          <cell r="F1386">
            <v>122.27263907525467</v>
          </cell>
          <cell r="G1386">
            <v>111.90834506529444</v>
          </cell>
          <cell r="H1386">
            <v>206.68983492615118</v>
          </cell>
        </row>
        <row r="1387">
          <cell r="B1387">
            <v>43224</v>
          </cell>
          <cell r="F1387">
            <v>122.27263907525467</v>
          </cell>
          <cell r="G1387">
            <v>111.90834506529444</v>
          </cell>
          <cell r="H1387">
            <v>206.68983492615118</v>
          </cell>
        </row>
        <row r="1388">
          <cell r="B1388">
            <v>43223</v>
          </cell>
          <cell r="F1388">
            <v>120.89779455548448</v>
          </cell>
          <cell r="G1388">
            <v>109.34996844507015</v>
          </cell>
          <cell r="H1388">
            <v>202.51954821894006</v>
          </cell>
        </row>
        <row r="1389">
          <cell r="B1389">
            <v>43222</v>
          </cell>
          <cell r="F1389">
            <v>121.78824468155037</v>
          </cell>
          <cell r="G1389">
            <v>111.04422544783728</v>
          </cell>
          <cell r="H1389">
            <v>199.34839270199828</v>
          </cell>
        </row>
        <row r="1390">
          <cell r="B1390">
            <v>43221</v>
          </cell>
          <cell r="F1390">
            <v>124.65494511539821</v>
          </cell>
          <cell r="G1390">
            <v>111.84038060100004</v>
          </cell>
          <cell r="H1390">
            <v>203.25803649000869</v>
          </cell>
        </row>
        <row r="1391">
          <cell r="B1391">
            <v>43220</v>
          </cell>
          <cell r="F1391">
            <v>124.65494511539821</v>
          </cell>
          <cell r="G1391">
            <v>111.37433856012426</v>
          </cell>
          <cell r="H1391">
            <v>199.73935708079929</v>
          </cell>
        </row>
        <row r="1392">
          <cell r="B1392">
            <v>43219</v>
          </cell>
          <cell r="F1392">
            <v>122.98204694950641</v>
          </cell>
          <cell r="G1392">
            <v>113.00548570318946</v>
          </cell>
          <cell r="H1392">
            <v>206.4291920069505</v>
          </cell>
        </row>
        <row r="1393">
          <cell r="B1393">
            <v>43218</v>
          </cell>
          <cell r="F1393">
            <v>122.98204694950641</v>
          </cell>
          <cell r="G1393">
            <v>113.00548570318946</v>
          </cell>
          <cell r="H1393">
            <v>206.4291920069505</v>
          </cell>
        </row>
        <row r="1394">
          <cell r="B1394">
            <v>43217</v>
          </cell>
          <cell r="F1394">
            <v>122.98204694950641</v>
          </cell>
          <cell r="G1394">
            <v>113.00548570318946</v>
          </cell>
          <cell r="H1394">
            <v>206.4291920069505</v>
          </cell>
        </row>
        <row r="1395">
          <cell r="B1395">
            <v>43216</v>
          </cell>
          <cell r="F1395">
            <v>121.82288018882271</v>
          </cell>
          <cell r="G1395">
            <v>111.85979901936986</v>
          </cell>
          <cell r="H1395">
            <v>217.81059947871415</v>
          </cell>
        </row>
        <row r="1396">
          <cell r="B1396">
            <v>43215</v>
          </cell>
          <cell r="F1396">
            <v>123.33184107622228</v>
          </cell>
          <cell r="G1396">
            <v>111.17044516724113</v>
          </cell>
          <cell r="H1396">
            <v>206.77671589921806</v>
          </cell>
        </row>
        <row r="1397">
          <cell r="B1397">
            <v>43214</v>
          </cell>
          <cell r="F1397">
            <v>124.70546213074334</v>
          </cell>
          <cell r="G1397">
            <v>110.8743142871013</v>
          </cell>
          <cell r="H1397">
            <v>204.64813205907907</v>
          </cell>
        </row>
        <row r="1398">
          <cell r="B1398">
            <v>43213</v>
          </cell>
          <cell r="F1398">
            <v>124.50225860883425</v>
          </cell>
          <cell r="G1398">
            <v>113.33074421088401</v>
          </cell>
          <cell r="H1398">
            <v>212.94526498696786</v>
          </cell>
        </row>
        <row r="1399">
          <cell r="B1399">
            <v>43212</v>
          </cell>
          <cell r="F1399">
            <v>126.48765171599716</v>
          </cell>
          <cell r="G1399">
            <v>115.11238409631534</v>
          </cell>
          <cell r="H1399">
            <v>219.89574283231968</v>
          </cell>
        </row>
        <row r="1400">
          <cell r="B1400">
            <v>43211</v>
          </cell>
          <cell r="F1400">
            <v>126.48765171599716</v>
          </cell>
          <cell r="G1400">
            <v>115.11238409631534</v>
          </cell>
          <cell r="H1400">
            <v>219.89574283231968</v>
          </cell>
        </row>
        <row r="1401">
          <cell r="B1401">
            <v>43210</v>
          </cell>
          <cell r="F1401">
            <v>126.48765171599716</v>
          </cell>
          <cell r="G1401">
            <v>115.11238409631534</v>
          </cell>
          <cell r="H1401">
            <v>219.89574283231968</v>
          </cell>
        </row>
        <row r="1402">
          <cell r="B1402">
            <v>43209</v>
          </cell>
          <cell r="F1402">
            <v>135.35697539747363</v>
          </cell>
          <cell r="G1402">
            <v>117.89892713238508</v>
          </cell>
          <cell r="H1402">
            <v>223.37098175499568</v>
          </cell>
        </row>
        <row r="1403">
          <cell r="B1403">
            <v>43208</v>
          </cell>
          <cell r="F1403">
            <v>132.20394716040954</v>
          </cell>
          <cell r="G1403">
            <v>121.16607602310792</v>
          </cell>
          <cell r="H1403">
            <v>234.62206776715897</v>
          </cell>
        </row>
        <row r="1404">
          <cell r="B1404">
            <v>43207</v>
          </cell>
          <cell r="F1404">
            <v>131.91116158748196</v>
          </cell>
          <cell r="G1404">
            <v>122.20981601048595</v>
          </cell>
          <cell r="H1404">
            <v>227.01998262380539</v>
          </cell>
        </row>
        <row r="1405">
          <cell r="B1405">
            <v>43206</v>
          </cell>
          <cell r="F1405">
            <v>134.98712409051836</v>
          </cell>
          <cell r="G1405">
            <v>121.05927472207387</v>
          </cell>
          <cell r="H1405">
            <v>224.37011294526496</v>
          </cell>
        </row>
        <row r="1406">
          <cell r="B1406">
            <v>43205</v>
          </cell>
          <cell r="F1406">
            <v>135.70334590328454</v>
          </cell>
          <cell r="G1406">
            <v>119.87960580610708</v>
          </cell>
          <cell r="H1406">
            <v>226.88966116420502</v>
          </cell>
        </row>
        <row r="1407">
          <cell r="B1407">
            <v>43204</v>
          </cell>
          <cell r="F1407">
            <v>135.70334590328454</v>
          </cell>
          <cell r="G1407">
            <v>119.87960580610708</v>
          </cell>
          <cell r="H1407">
            <v>226.88966116420502</v>
          </cell>
        </row>
        <row r="1408">
          <cell r="B1408">
            <v>43203</v>
          </cell>
          <cell r="F1408">
            <v>135.70334590328454</v>
          </cell>
          <cell r="G1408">
            <v>119.87960580610708</v>
          </cell>
          <cell r="H1408">
            <v>226.88966116420502</v>
          </cell>
        </row>
        <row r="1409">
          <cell r="B1409">
            <v>43202</v>
          </cell>
          <cell r="F1409">
            <v>136.10159351715885</v>
          </cell>
          <cell r="G1409">
            <v>116.23379775717268</v>
          </cell>
          <cell r="H1409">
            <v>228.45351867940923</v>
          </cell>
        </row>
        <row r="1410">
          <cell r="B1410">
            <v>43201</v>
          </cell>
          <cell r="F1410">
            <v>138.16920851649266</v>
          </cell>
          <cell r="G1410">
            <v>116.66585756590125</v>
          </cell>
          <cell r="H1410">
            <v>219.28757602085142</v>
          </cell>
        </row>
        <row r="1411">
          <cell r="B1411">
            <v>43200</v>
          </cell>
          <cell r="F1411">
            <v>136.88420088591465</v>
          </cell>
          <cell r="G1411">
            <v>116.38914510413126</v>
          </cell>
          <cell r="H1411">
            <v>219.28757602085142</v>
          </cell>
        </row>
        <row r="1412">
          <cell r="B1412">
            <v>43199</v>
          </cell>
          <cell r="F1412">
            <v>136.30174291938997</v>
          </cell>
          <cell r="G1412">
            <v>113.95698820331084</v>
          </cell>
          <cell r="H1412">
            <v>208.34057341442227</v>
          </cell>
        </row>
        <row r="1413">
          <cell r="B1413">
            <v>43198</v>
          </cell>
          <cell r="F1413">
            <v>136.27672070300653</v>
          </cell>
          <cell r="G1413">
            <v>111.1073353075392</v>
          </cell>
          <cell r="H1413">
            <v>210.51259774109471</v>
          </cell>
        </row>
        <row r="1414">
          <cell r="B1414">
            <v>43197</v>
          </cell>
          <cell r="F1414">
            <v>136.27672070300653</v>
          </cell>
          <cell r="G1414">
            <v>111.1073353075392</v>
          </cell>
          <cell r="H1414">
            <v>210.51259774109471</v>
          </cell>
        </row>
        <row r="1415">
          <cell r="B1415">
            <v>43196</v>
          </cell>
          <cell r="F1415">
            <v>136.27672070300653</v>
          </cell>
          <cell r="G1415">
            <v>111.1073353075392</v>
          </cell>
          <cell r="H1415">
            <v>210.51259774109471</v>
          </cell>
        </row>
        <row r="1416">
          <cell r="B1416">
            <v>43195</v>
          </cell>
          <cell r="F1416">
            <v>136.27672070300653</v>
          </cell>
          <cell r="G1416">
            <v>114.71916112432643</v>
          </cell>
          <cell r="H1416">
            <v>216.50738488271068</v>
          </cell>
        </row>
        <row r="1417">
          <cell r="B1417">
            <v>43194</v>
          </cell>
          <cell r="F1417">
            <v>136.27672070300653</v>
          </cell>
          <cell r="G1417">
            <v>115.04927423661341</v>
          </cell>
          <cell r="H1417">
            <v>231.92875760208517</v>
          </cell>
        </row>
        <row r="1418">
          <cell r="B1418">
            <v>43193</v>
          </cell>
          <cell r="F1418">
            <v>136.27672070300653</v>
          </cell>
          <cell r="G1418">
            <v>114.94732754017186</v>
          </cell>
          <cell r="H1418">
            <v>223.93570807993052</v>
          </cell>
        </row>
        <row r="1419">
          <cell r="B1419">
            <v>43192</v>
          </cell>
          <cell r="F1419">
            <v>137.66354561294133</v>
          </cell>
          <cell r="G1419">
            <v>110.52963736103693</v>
          </cell>
          <cell r="H1419">
            <v>217.46307558644656</v>
          </cell>
        </row>
        <row r="1420">
          <cell r="B1420">
            <v>43191</v>
          </cell>
          <cell r="F1420">
            <v>138.47397944560467</v>
          </cell>
          <cell r="G1420">
            <v>114.39875722122433</v>
          </cell>
          <cell r="H1420">
            <v>226.49869678540401</v>
          </cell>
        </row>
        <row r="1421">
          <cell r="B1421">
            <v>43190</v>
          </cell>
          <cell r="F1421">
            <v>138.47397944560467</v>
          </cell>
          <cell r="G1421">
            <v>114.39875722122433</v>
          </cell>
          <cell r="H1421">
            <v>226.49869678540401</v>
          </cell>
        </row>
        <row r="1422">
          <cell r="B1422">
            <v>43189</v>
          </cell>
          <cell r="F1422">
            <v>137.63474320654038</v>
          </cell>
          <cell r="G1422">
            <v>114.39875722122433</v>
          </cell>
          <cell r="H1422">
            <v>226.49869678540401</v>
          </cell>
        </row>
        <row r="1423">
          <cell r="B1423">
            <v>43188</v>
          </cell>
          <cell r="F1423">
            <v>136.38441972290713</v>
          </cell>
          <cell r="G1423">
            <v>114.39875722122433</v>
          </cell>
          <cell r="H1423">
            <v>226.49869678540401</v>
          </cell>
        </row>
        <row r="1424">
          <cell r="B1424">
            <v>43187</v>
          </cell>
          <cell r="F1424">
            <v>136.78357287857241</v>
          </cell>
          <cell r="G1424">
            <v>114.89878149424729</v>
          </cell>
          <cell r="H1424">
            <v>223.67506516072982</v>
          </cell>
        </row>
        <row r="1425">
          <cell r="B1425">
            <v>43186</v>
          </cell>
          <cell r="F1425">
            <v>139.92207729571078</v>
          </cell>
          <cell r="G1425">
            <v>118.63197242584592</v>
          </cell>
          <cell r="H1425">
            <v>227.62814943527366</v>
          </cell>
        </row>
        <row r="1426">
          <cell r="B1426">
            <v>43185</v>
          </cell>
          <cell r="F1426">
            <v>136.22664543495446</v>
          </cell>
          <cell r="G1426">
            <v>120.26311956891109</v>
          </cell>
          <cell r="H1426">
            <v>241.35534317984363</v>
          </cell>
        </row>
        <row r="1427">
          <cell r="B1427">
            <v>43184</v>
          </cell>
          <cell r="F1427">
            <v>136.59605041515459</v>
          </cell>
          <cell r="G1427">
            <v>117.71445215787173</v>
          </cell>
          <cell r="H1427">
            <v>235.49087749782797</v>
          </cell>
        </row>
        <row r="1428">
          <cell r="B1428">
            <v>43183</v>
          </cell>
          <cell r="F1428">
            <v>136.59605041515459</v>
          </cell>
          <cell r="G1428">
            <v>117.71445215787173</v>
          </cell>
          <cell r="H1428">
            <v>235.49087749782797</v>
          </cell>
        </row>
        <row r="1429">
          <cell r="B1429">
            <v>43182</v>
          </cell>
          <cell r="F1429">
            <v>136.59605041515459</v>
          </cell>
          <cell r="G1429">
            <v>117.71445215787173</v>
          </cell>
          <cell r="H1429">
            <v>235.49087749782797</v>
          </cell>
        </row>
        <row r="1430">
          <cell r="B1430">
            <v>43181</v>
          </cell>
          <cell r="F1430">
            <v>140.22002726290361</v>
          </cell>
          <cell r="G1430">
            <v>118.24360405844942</v>
          </cell>
          <cell r="H1430">
            <v>255.95134665508255</v>
          </cell>
        </row>
        <row r="1431">
          <cell r="B1431">
            <v>43180</v>
          </cell>
          <cell r="F1431">
            <v>141.29087170090233</v>
          </cell>
          <cell r="G1431">
            <v>119.42327297441624</v>
          </cell>
          <cell r="H1431">
            <v>265.29105125977412</v>
          </cell>
        </row>
        <row r="1432">
          <cell r="B1432">
            <v>43179</v>
          </cell>
          <cell r="F1432">
            <v>141.17729586651097</v>
          </cell>
          <cell r="G1432">
            <v>117.65619690276228</v>
          </cell>
          <cell r="H1432">
            <v>265.63857515204171</v>
          </cell>
        </row>
        <row r="1433">
          <cell r="B1433">
            <v>43178</v>
          </cell>
          <cell r="F1433">
            <v>142.22014333441641</v>
          </cell>
          <cell r="G1433">
            <v>118.91353949220836</v>
          </cell>
          <cell r="H1433">
            <v>261.25108601216334</v>
          </cell>
        </row>
        <row r="1434">
          <cell r="B1434">
            <v>43177</v>
          </cell>
          <cell r="F1434">
            <v>142.4839391555291</v>
          </cell>
          <cell r="G1434">
            <v>123.72930724792465</v>
          </cell>
          <cell r="H1434">
            <v>263.16246741963511</v>
          </cell>
        </row>
        <row r="1435">
          <cell r="B1435">
            <v>43176</v>
          </cell>
          <cell r="F1435">
            <v>142.4839391555291</v>
          </cell>
          <cell r="G1435">
            <v>123.72930724792465</v>
          </cell>
          <cell r="H1435">
            <v>263.16246741963511</v>
          </cell>
        </row>
        <row r="1436">
          <cell r="B1436">
            <v>43175</v>
          </cell>
          <cell r="F1436">
            <v>142.4839391555291</v>
          </cell>
          <cell r="G1436">
            <v>123.72930724792465</v>
          </cell>
          <cell r="H1436">
            <v>263.16246741963511</v>
          </cell>
        </row>
        <row r="1437">
          <cell r="B1437">
            <v>43174</v>
          </cell>
          <cell r="F1437">
            <v>142.41056442718073</v>
          </cell>
          <cell r="G1437">
            <v>129.98689256760036</v>
          </cell>
          <cell r="H1437">
            <v>255.60382276281496</v>
          </cell>
        </row>
        <row r="1438">
          <cell r="B1438">
            <v>43173</v>
          </cell>
          <cell r="F1438">
            <v>143.21774903803612</v>
          </cell>
          <cell r="G1438">
            <v>126.50614107480945</v>
          </cell>
          <cell r="H1438">
            <v>259.68722849695916</v>
          </cell>
        </row>
        <row r="1439">
          <cell r="B1439">
            <v>43172</v>
          </cell>
          <cell r="F1439">
            <v>144.05100190453035</v>
          </cell>
          <cell r="G1439">
            <v>126.8119811641342</v>
          </cell>
          <cell r="H1439">
            <v>258.16681146828847</v>
          </cell>
        </row>
        <row r="1440">
          <cell r="B1440">
            <v>43171</v>
          </cell>
          <cell r="F1440">
            <v>141.2314644813961</v>
          </cell>
          <cell r="G1440">
            <v>127.59842710811202</v>
          </cell>
          <cell r="H1440">
            <v>257.90616854908774</v>
          </cell>
        </row>
        <row r="1441">
          <cell r="B1441">
            <v>43170</v>
          </cell>
          <cell r="F1441">
            <v>139.36634425536232</v>
          </cell>
          <cell r="G1441">
            <v>123.20015534734696</v>
          </cell>
          <cell r="H1441">
            <v>237.14161598609905</v>
          </cell>
        </row>
        <row r="1442">
          <cell r="B1442">
            <v>43169</v>
          </cell>
          <cell r="F1442">
            <v>139.36634425536232</v>
          </cell>
          <cell r="G1442">
            <v>123.20015534734696</v>
          </cell>
          <cell r="H1442">
            <v>237.14161598609905</v>
          </cell>
        </row>
        <row r="1443">
          <cell r="B1443">
            <v>43168</v>
          </cell>
          <cell r="F1443">
            <v>139.36634425536232</v>
          </cell>
          <cell r="G1443">
            <v>123.20015534734696</v>
          </cell>
          <cell r="H1443">
            <v>237.14161598609905</v>
          </cell>
        </row>
        <row r="1444">
          <cell r="B1444">
            <v>43167</v>
          </cell>
          <cell r="F1444">
            <v>138.43123380454128</v>
          </cell>
          <cell r="G1444">
            <v>119.88446041069953</v>
          </cell>
          <cell r="H1444">
            <v>239.87836663770636</v>
          </cell>
        </row>
        <row r="1445">
          <cell r="B1445">
            <v>43166</v>
          </cell>
          <cell r="F1445">
            <v>137.35803892032524</v>
          </cell>
          <cell r="G1445">
            <v>119.9330064566241</v>
          </cell>
          <cell r="H1445">
            <v>234.4483058210252</v>
          </cell>
        </row>
        <row r="1446">
          <cell r="B1446">
            <v>43165</v>
          </cell>
          <cell r="F1446">
            <v>139.29778872406033</v>
          </cell>
          <cell r="G1446">
            <v>121.83115685227439</v>
          </cell>
          <cell r="H1446">
            <v>233.44917463075586</v>
          </cell>
        </row>
        <row r="1447">
          <cell r="B1447">
            <v>43164</v>
          </cell>
          <cell r="F1447">
            <v>134.2765074265229</v>
          </cell>
          <cell r="G1447">
            <v>119.89902422447692</v>
          </cell>
          <cell r="H1447">
            <v>226.02085143353605</v>
          </cell>
        </row>
        <row r="1448">
          <cell r="B1448">
            <v>43163</v>
          </cell>
          <cell r="F1448">
            <v>133.39689698728898</v>
          </cell>
          <cell r="G1448">
            <v>121.78746541094227</v>
          </cell>
          <cell r="H1448">
            <v>213.33622936576887</v>
          </cell>
        </row>
        <row r="1449">
          <cell r="B1449">
            <v>43162</v>
          </cell>
          <cell r="F1449">
            <v>133.39689698728898</v>
          </cell>
          <cell r="G1449">
            <v>121.78746541094227</v>
          </cell>
          <cell r="H1449">
            <v>213.33622936576887</v>
          </cell>
        </row>
        <row r="1450">
          <cell r="B1450">
            <v>43161</v>
          </cell>
          <cell r="F1450">
            <v>133.39689698728898</v>
          </cell>
          <cell r="G1450">
            <v>121.78746541094227</v>
          </cell>
          <cell r="H1450">
            <v>213.33622936576887</v>
          </cell>
        </row>
        <row r="1451">
          <cell r="B1451">
            <v>43160</v>
          </cell>
          <cell r="F1451">
            <v>134.96751473055772</v>
          </cell>
          <cell r="G1451">
            <v>118.11738433904557</v>
          </cell>
          <cell r="H1451">
            <v>206.86359687228494</v>
          </cell>
        </row>
        <row r="1452">
          <cell r="B1452">
            <v>43159</v>
          </cell>
          <cell r="F1452">
            <v>136.68511660109164</v>
          </cell>
          <cell r="G1452">
            <v>119.64658478566921</v>
          </cell>
          <cell r="H1452">
            <v>212.03301476976543</v>
          </cell>
        </row>
        <row r="1453">
          <cell r="B1453">
            <v>43158</v>
          </cell>
          <cell r="F1453">
            <v>136.68511660109164</v>
          </cell>
          <cell r="G1453">
            <v>122.24379824263313</v>
          </cell>
          <cell r="H1453">
            <v>211.03388357949609</v>
          </cell>
        </row>
        <row r="1454">
          <cell r="B1454">
            <v>43157</v>
          </cell>
          <cell r="F1454">
            <v>137.32880429513884</v>
          </cell>
          <cell r="G1454">
            <v>122.7972231661731</v>
          </cell>
          <cell r="H1454">
            <v>208.42745438748912</v>
          </cell>
        </row>
        <row r="1455">
          <cell r="B1455">
            <v>43156</v>
          </cell>
          <cell r="F1455">
            <v>136.30174291938997</v>
          </cell>
          <cell r="G1455">
            <v>123.16617311519977</v>
          </cell>
          <cell r="H1455">
            <v>202.12858384013904</v>
          </cell>
        </row>
        <row r="1456">
          <cell r="B1456">
            <v>43155</v>
          </cell>
          <cell r="F1456">
            <v>136.30174291938997</v>
          </cell>
          <cell r="G1456">
            <v>123.16617311519977</v>
          </cell>
          <cell r="H1456">
            <v>202.12858384013904</v>
          </cell>
        </row>
        <row r="1457">
          <cell r="B1457">
            <v>43154</v>
          </cell>
          <cell r="F1457">
            <v>136.30174291938997</v>
          </cell>
          <cell r="G1457">
            <v>123.16617311519977</v>
          </cell>
          <cell r="H1457">
            <v>202.12858384013904</v>
          </cell>
        </row>
        <row r="1458">
          <cell r="B1458">
            <v>43153</v>
          </cell>
          <cell r="F1458">
            <v>133.05533917022601</v>
          </cell>
          <cell r="G1458">
            <v>121.04956551288896</v>
          </cell>
          <cell r="H1458">
            <v>192.2241529105126</v>
          </cell>
        </row>
        <row r="1459">
          <cell r="B1459">
            <v>43152</v>
          </cell>
          <cell r="F1459">
            <v>134.97553457691697</v>
          </cell>
          <cell r="G1459">
            <v>120.69517937763969</v>
          </cell>
          <cell r="H1459">
            <v>193.48392701998262</v>
          </cell>
        </row>
        <row r="1460">
          <cell r="B1460">
            <v>43151</v>
          </cell>
          <cell r="F1460">
            <v>131.28555142444034</v>
          </cell>
          <cell r="G1460">
            <v>121.18063983688528</v>
          </cell>
          <cell r="H1460">
            <v>195.04778453518679</v>
          </cell>
        </row>
        <row r="1461">
          <cell r="B1461">
            <v>43150</v>
          </cell>
          <cell r="F1461">
            <v>131.28555142444034</v>
          </cell>
          <cell r="G1461">
            <v>120.82625370163601</v>
          </cell>
          <cell r="H1461">
            <v>192.05039096437881</v>
          </cell>
        </row>
        <row r="1462">
          <cell r="B1462">
            <v>43149</v>
          </cell>
          <cell r="F1462">
            <v>131.28555142444034</v>
          </cell>
          <cell r="G1462">
            <v>120.82625370163601</v>
          </cell>
          <cell r="H1462">
            <v>192.05039096437881</v>
          </cell>
        </row>
        <row r="1463">
          <cell r="B1463">
            <v>43148</v>
          </cell>
          <cell r="F1463">
            <v>131.28555142444034</v>
          </cell>
          <cell r="G1463">
            <v>120.82625370163601</v>
          </cell>
          <cell r="H1463">
            <v>192.05039096437881</v>
          </cell>
        </row>
        <row r="1464">
          <cell r="B1464">
            <v>43147</v>
          </cell>
          <cell r="F1464">
            <v>131.28555142444034</v>
          </cell>
          <cell r="G1464">
            <v>120.82625370163601</v>
          </cell>
          <cell r="H1464">
            <v>192.05039096437881</v>
          </cell>
        </row>
        <row r="1465">
          <cell r="B1465">
            <v>43146</v>
          </cell>
          <cell r="F1465">
            <v>131.28555142444034</v>
          </cell>
          <cell r="G1465">
            <v>122.25350745181804</v>
          </cell>
          <cell r="H1465">
            <v>188.96611642050391</v>
          </cell>
        </row>
        <row r="1466">
          <cell r="B1466">
            <v>43145</v>
          </cell>
          <cell r="F1466">
            <v>131.28555142444034</v>
          </cell>
          <cell r="G1466">
            <v>120.2291373367639</v>
          </cell>
          <cell r="H1466">
            <v>188.74891398783669</v>
          </cell>
        </row>
        <row r="1467">
          <cell r="B1467">
            <v>43144</v>
          </cell>
          <cell r="F1467">
            <v>131.28555142444034</v>
          </cell>
          <cell r="G1467">
            <v>119.35530851012186</v>
          </cell>
          <cell r="H1467">
            <v>185.18679409209383</v>
          </cell>
        </row>
        <row r="1468">
          <cell r="B1468">
            <v>43143</v>
          </cell>
          <cell r="F1468">
            <v>131.28555142444034</v>
          </cell>
          <cell r="G1468">
            <v>118.64653623962329</v>
          </cell>
          <cell r="H1468">
            <v>183.27541268462207</v>
          </cell>
        </row>
        <row r="1469">
          <cell r="B1469">
            <v>43142</v>
          </cell>
          <cell r="F1469">
            <v>129.02985179697791</v>
          </cell>
          <cell r="G1469">
            <v>114.32593815233749</v>
          </cell>
          <cell r="H1469">
            <v>175.5430060816681</v>
          </cell>
        </row>
        <row r="1470">
          <cell r="B1470">
            <v>43141</v>
          </cell>
          <cell r="F1470">
            <v>129.02985179697791</v>
          </cell>
          <cell r="G1470">
            <v>114.32593815233749</v>
          </cell>
          <cell r="H1470">
            <v>175.5430060816681</v>
          </cell>
        </row>
        <row r="1471">
          <cell r="B1471">
            <v>43140</v>
          </cell>
          <cell r="F1471">
            <v>129.02985179697791</v>
          </cell>
          <cell r="G1471">
            <v>114.32593815233749</v>
          </cell>
          <cell r="H1471">
            <v>175.5430060816681</v>
          </cell>
        </row>
        <row r="1472">
          <cell r="B1472">
            <v>43139</v>
          </cell>
          <cell r="F1472">
            <v>131.83343608264616</v>
          </cell>
          <cell r="G1472">
            <v>111.44715762901112</v>
          </cell>
          <cell r="H1472">
            <v>173.7619461337967</v>
          </cell>
        </row>
        <row r="1473">
          <cell r="B1473">
            <v>43138</v>
          </cell>
          <cell r="F1473">
            <v>133.0423235347414</v>
          </cell>
          <cell r="G1473">
            <v>115.2386038157192</v>
          </cell>
          <cell r="H1473">
            <v>182.49348392701998</v>
          </cell>
        </row>
        <row r="1474">
          <cell r="B1474">
            <v>43137</v>
          </cell>
          <cell r="F1474">
            <v>133.12764649910253</v>
          </cell>
          <cell r="G1474">
            <v>116.69498519345598</v>
          </cell>
          <cell r="H1474">
            <v>190.616854908775</v>
          </cell>
        </row>
        <row r="1475">
          <cell r="B1475">
            <v>43136</v>
          </cell>
          <cell r="F1475">
            <v>140.01022381699372</v>
          </cell>
          <cell r="G1475">
            <v>110.73353075392009</v>
          </cell>
          <cell r="H1475">
            <v>171.15551694178976</v>
          </cell>
        </row>
        <row r="1476">
          <cell r="B1476">
            <v>43135</v>
          </cell>
          <cell r="F1476">
            <v>144.06311178715796</v>
          </cell>
          <cell r="G1476">
            <v>114.31622894315257</v>
          </cell>
          <cell r="H1476">
            <v>177.32406602953955</v>
          </cell>
        </row>
        <row r="1477">
          <cell r="B1477">
            <v>43134</v>
          </cell>
          <cell r="F1477">
            <v>144.06311178715796</v>
          </cell>
          <cell r="G1477">
            <v>114.31622894315257</v>
          </cell>
          <cell r="H1477">
            <v>177.32406602953955</v>
          </cell>
        </row>
        <row r="1478">
          <cell r="B1478">
            <v>43133</v>
          </cell>
          <cell r="F1478">
            <v>144.06311178715796</v>
          </cell>
          <cell r="G1478">
            <v>114.31622894315257</v>
          </cell>
          <cell r="H1478">
            <v>177.32406602953955</v>
          </cell>
        </row>
        <row r="1479">
          <cell r="B1479">
            <v>43132</v>
          </cell>
          <cell r="F1479">
            <v>144.78948041801763</v>
          </cell>
          <cell r="G1479">
            <v>115.92310306325548</v>
          </cell>
          <cell r="H1479">
            <v>184.57862728062554</v>
          </cell>
        </row>
        <row r="1480">
          <cell r="B1480">
            <v>43131</v>
          </cell>
          <cell r="F1480">
            <v>142.24940573488288</v>
          </cell>
          <cell r="G1480">
            <v>120.40875770668478</v>
          </cell>
          <cell r="H1480">
            <v>189.92180712423979</v>
          </cell>
        </row>
        <row r="1481">
          <cell r="B1481">
            <v>43130</v>
          </cell>
          <cell r="F1481">
            <v>140.85357230228726</v>
          </cell>
          <cell r="G1481">
            <v>116.98626146900335</v>
          </cell>
          <cell r="H1481">
            <v>181.01650738488274</v>
          </cell>
        </row>
        <row r="1482">
          <cell r="B1482">
            <v>43129</v>
          </cell>
          <cell r="F1482">
            <v>144.07832885013727</v>
          </cell>
          <cell r="G1482">
            <v>119.16597893101606</v>
          </cell>
          <cell r="H1482">
            <v>188.05386620330148</v>
          </cell>
        </row>
        <row r="1483">
          <cell r="B1483">
            <v>43128</v>
          </cell>
          <cell r="F1483">
            <v>142.67506777997264</v>
          </cell>
          <cell r="G1483">
            <v>121.74862857420261</v>
          </cell>
          <cell r="H1483">
            <v>189.70460469157254</v>
          </cell>
        </row>
        <row r="1484">
          <cell r="B1484">
            <v>43127</v>
          </cell>
          <cell r="F1484">
            <v>142.67506777997264</v>
          </cell>
          <cell r="G1484">
            <v>121.74862857420261</v>
          </cell>
          <cell r="H1484">
            <v>189.70460469157254</v>
          </cell>
        </row>
        <row r="1485">
          <cell r="B1485">
            <v>43126</v>
          </cell>
          <cell r="F1485">
            <v>142.67506777997264</v>
          </cell>
          <cell r="G1485">
            <v>121.74862857420261</v>
          </cell>
          <cell r="H1485">
            <v>189.70460469157254</v>
          </cell>
        </row>
        <row r="1486">
          <cell r="B1486">
            <v>43125</v>
          </cell>
          <cell r="F1486">
            <v>144.16517271010264</v>
          </cell>
          <cell r="G1486">
            <v>120.04951696684304</v>
          </cell>
          <cell r="H1486">
            <v>186.83753258036489</v>
          </cell>
        </row>
        <row r="1487">
          <cell r="B1487">
            <v>43124</v>
          </cell>
          <cell r="F1487">
            <v>144.19489136042429</v>
          </cell>
          <cell r="G1487">
            <v>124.69537356182339</v>
          </cell>
          <cell r="H1487">
            <v>187.14161598609905</v>
          </cell>
        </row>
        <row r="1488">
          <cell r="B1488">
            <v>43123</v>
          </cell>
          <cell r="F1488">
            <v>148.15195241120543</v>
          </cell>
          <cell r="G1488">
            <v>127.62755473566676</v>
          </cell>
          <cell r="H1488">
            <v>190.92093831450913</v>
          </cell>
        </row>
        <row r="1489">
          <cell r="B1489">
            <v>43122</v>
          </cell>
          <cell r="F1489">
            <v>145.78538308789513</v>
          </cell>
          <cell r="G1489">
            <v>127.24404097286278</v>
          </cell>
          <cell r="H1489">
            <v>186.27280625543008</v>
          </cell>
        </row>
        <row r="1490">
          <cell r="B1490">
            <v>43121</v>
          </cell>
          <cell r="F1490">
            <v>141.65394903099821</v>
          </cell>
          <cell r="G1490">
            <v>129.32181173843389</v>
          </cell>
          <cell r="H1490">
            <v>185.70807993049522</v>
          </cell>
        </row>
        <row r="1491">
          <cell r="B1491">
            <v>43120</v>
          </cell>
          <cell r="F1491">
            <v>141.65394903099821</v>
          </cell>
          <cell r="G1491">
            <v>129.32181173843389</v>
          </cell>
          <cell r="H1491">
            <v>185.70807993049522</v>
          </cell>
        </row>
        <row r="1492">
          <cell r="B1492">
            <v>43119</v>
          </cell>
          <cell r="F1492">
            <v>141.65394903099821</v>
          </cell>
          <cell r="G1492">
            <v>129.32181173843389</v>
          </cell>
          <cell r="H1492">
            <v>185.70807993049522</v>
          </cell>
        </row>
        <row r="1493">
          <cell r="B1493">
            <v>43118</v>
          </cell>
          <cell r="F1493">
            <v>136.78006862516571</v>
          </cell>
          <cell r="G1493">
            <v>130.97723190446138</v>
          </cell>
          <cell r="H1493">
            <v>191.09470026064292</v>
          </cell>
        </row>
        <row r="1494">
          <cell r="B1494">
            <v>43117</v>
          </cell>
          <cell r="F1494">
            <v>133.25642731234777</v>
          </cell>
          <cell r="G1494">
            <v>129.04024467207145</v>
          </cell>
          <cell r="H1494">
            <v>192.26759339704606</v>
          </cell>
        </row>
        <row r="1495">
          <cell r="B1495">
            <v>43116</v>
          </cell>
          <cell r="F1495">
            <v>132.45735990014168</v>
          </cell>
          <cell r="G1495">
            <v>127.79746589640273</v>
          </cell>
          <cell r="H1495">
            <v>186.44656820156388</v>
          </cell>
        </row>
        <row r="1496">
          <cell r="B1496">
            <v>43115</v>
          </cell>
          <cell r="F1496">
            <v>132.24466445792916</v>
          </cell>
          <cell r="G1496">
            <v>128.30234477401817</v>
          </cell>
          <cell r="H1496">
            <v>185.96872284969592</v>
          </cell>
        </row>
        <row r="1497">
          <cell r="B1497">
            <v>43114</v>
          </cell>
          <cell r="F1497">
            <v>130.31351687765419</v>
          </cell>
          <cell r="G1497">
            <v>128.30234477401817</v>
          </cell>
          <cell r="H1497">
            <v>185.96872284969592</v>
          </cell>
        </row>
        <row r="1498">
          <cell r="B1498">
            <v>43113</v>
          </cell>
          <cell r="F1498">
            <v>130.31351687765419</v>
          </cell>
          <cell r="G1498">
            <v>128.30234477401817</v>
          </cell>
          <cell r="H1498">
            <v>185.96872284969592</v>
          </cell>
        </row>
        <row r="1499">
          <cell r="B1499">
            <v>43112</v>
          </cell>
          <cell r="F1499">
            <v>130.31351687765419</v>
          </cell>
          <cell r="G1499">
            <v>128.30234477401817</v>
          </cell>
          <cell r="H1499">
            <v>185.96872284969592</v>
          </cell>
        </row>
        <row r="1500">
          <cell r="B1500">
            <v>43111</v>
          </cell>
          <cell r="F1500">
            <v>129.20072344501165</v>
          </cell>
          <cell r="G1500">
            <v>127.91883101121412</v>
          </cell>
          <cell r="H1500">
            <v>186.01216333622938</v>
          </cell>
        </row>
        <row r="1501">
          <cell r="B1501">
            <v>43110</v>
          </cell>
          <cell r="F1501">
            <v>130.06057467686949</v>
          </cell>
          <cell r="G1501">
            <v>127.59357250351957</v>
          </cell>
          <cell r="H1501">
            <v>188.14074717636839</v>
          </cell>
        </row>
        <row r="1502">
          <cell r="B1502">
            <v>43109</v>
          </cell>
          <cell r="F1502">
            <v>133.31960768292385</v>
          </cell>
          <cell r="G1502">
            <v>130.3461333074421</v>
          </cell>
          <cell r="H1502">
            <v>186.6637706342311</v>
          </cell>
        </row>
        <row r="1503">
          <cell r="B1503">
            <v>43108</v>
          </cell>
          <cell r="F1503">
            <v>133.38284799286365</v>
          </cell>
          <cell r="G1503">
            <v>132.17631923879799</v>
          </cell>
          <cell r="H1503">
            <v>197.87141615986098</v>
          </cell>
        </row>
        <row r="1504">
          <cell r="B1504">
            <v>43107</v>
          </cell>
          <cell r="F1504">
            <v>132.60400054775437</v>
          </cell>
          <cell r="G1504">
            <v>131.86076994028838</v>
          </cell>
          <cell r="H1504">
            <v>198.95742832319721</v>
          </cell>
        </row>
        <row r="1505">
          <cell r="B1505">
            <v>43106</v>
          </cell>
          <cell r="F1505">
            <v>132.60400054775437</v>
          </cell>
          <cell r="G1505">
            <v>131.86076994028838</v>
          </cell>
          <cell r="H1505">
            <v>198.95742832319721</v>
          </cell>
        </row>
        <row r="1506">
          <cell r="B1506">
            <v>43105</v>
          </cell>
          <cell r="F1506">
            <v>132.60400054775437</v>
          </cell>
          <cell r="G1506">
            <v>131.86076994028838</v>
          </cell>
          <cell r="H1506">
            <v>198.95742832319721</v>
          </cell>
        </row>
        <row r="1507">
          <cell r="B1507">
            <v>43104</v>
          </cell>
          <cell r="F1507">
            <v>131.71039169179812</v>
          </cell>
          <cell r="G1507">
            <v>131.08403320549539</v>
          </cell>
          <cell r="H1507">
            <v>203.64900086880974</v>
          </cell>
        </row>
        <row r="1508">
          <cell r="B1508">
            <v>43103</v>
          </cell>
          <cell r="F1508">
            <v>130.34435718525242</v>
          </cell>
          <cell r="G1508">
            <v>131.04034176416332</v>
          </cell>
          <cell r="H1508">
            <v>195.39530842745438</v>
          </cell>
        </row>
        <row r="1509">
          <cell r="B1509">
            <v>43102</v>
          </cell>
          <cell r="F1509">
            <v>127.69677276902615</v>
          </cell>
          <cell r="G1509">
            <v>129.62279722316617</v>
          </cell>
          <cell r="H1509">
            <v>189.70460469157254</v>
          </cell>
        </row>
        <row r="1510">
          <cell r="B1510">
            <v>43101</v>
          </cell>
          <cell r="F1510">
            <v>125.86209387672534</v>
          </cell>
          <cell r="G1510">
            <v>124.7147919801932</v>
          </cell>
          <cell r="H1510">
            <v>178.62728062554299</v>
          </cell>
        </row>
        <row r="1511">
          <cell r="B1511">
            <v>43100</v>
          </cell>
          <cell r="F1511">
            <v>125.86209387672534</v>
          </cell>
          <cell r="G1511">
            <v>124.7147919801932</v>
          </cell>
          <cell r="H1511">
            <v>178.62728062554299</v>
          </cell>
        </row>
        <row r="1512">
          <cell r="B1512">
            <v>43099</v>
          </cell>
          <cell r="F1512">
            <v>125.86209387672534</v>
          </cell>
          <cell r="G1512">
            <v>124.7147919801932</v>
          </cell>
          <cell r="H1512">
            <v>178.62728062554299</v>
          </cell>
        </row>
        <row r="1513">
          <cell r="B1513">
            <v>43098</v>
          </cell>
          <cell r="F1513">
            <v>125.86209387672534</v>
          </cell>
          <cell r="G1513">
            <v>124.7147919801932</v>
          </cell>
          <cell r="H1513">
            <v>178.62728062554299</v>
          </cell>
        </row>
        <row r="1514">
          <cell r="B1514">
            <v>43097</v>
          </cell>
          <cell r="F1514">
            <v>123.28592365480353</v>
          </cell>
          <cell r="G1514">
            <v>126.4236127967377</v>
          </cell>
          <cell r="H1514">
            <v>181.62467419635101</v>
          </cell>
        </row>
        <row r="1515">
          <cell r="B1515">
            <v>43096</v>
          </cell>
          <cell r="F1515">
            <v>122.32200546818564</v>
          </cell>
          <cell r="G1515">
            <v>125.79251419971843</v>
          </cell>
          <cell r="H1515">
            <v>184.53518679409208</v>
          </cell>
        </row>
        <row r="1516">
          <cell r="B1516">
            <v>43095</v>
          </cell>
          <cell r="F1516">
            <v>122.80819893727428</v>
          </cell>
          <cell r="G1516">
            <v>125.29734453128793</v>
          </cell>
          <cell r="H1516">
            <v>183.53605560382275</v>
          </cell>
        </row>
        <row r="1517">
          <cell r="B1517">
            <v>43094</v>
          </cell>
          <cell r="F1517">
            <v>124.32451109787385</v>
          </cell>
          <cell r="G1517">
            <v>127.36055148308172</v>
          </cell>
          <cell r="H1517">
            <v>191.65942658557776</v>
          </cell>
        </row>
        <row r="1518">
          <cell r="B1518">
            <v>43093</v>
          </cell>
          <cell r="F1518">
            <v>123.8218360893014</v>
          </cell>
          <cell r="G1518">
            <v>127.36055148308172</v>
          </cell>
          <cell r="H1518">
            <v>191.65942658557776</v>
          </cell>
        </row>
        <row r="1519">
          <cell r="B1519">
            <v>43092</v>
          </cell>
          <cell r="F1519">
            <v>123.8218360893014</v>
          </cell>
          <cell r="G1519">
            <v>127.36055148308172</v>
          </cell>
          <cell r="H1519">
            <v>191.65942658557776</v>
          </cell>
        </row>
        <row r="1520">
          <cell r="B1520">
            <v>43091</v>
          </cell>
          <cell r="F1520">
            <v>123.8218360893014</v>
          </cell>
          <cell r="G1520">
            <v>127.36055148308172</v>
          </cell>
          <cell r="H1520">
            <v>191.65942658557776</v>
          </cell>
        </row>
        <row r="1521">
          <cell r="B1521">
            <v>43090</v>
          </cell>
          <cell r="F1521">
            <v>122.15462562557322</v>
          </cell>
          <cell r="G1521">
            <v>126.96247390650031</v>
          </cell>
          <cell r="H1521">
            <v>192.96264118158123</v>
          </cell>
        </row>
        <row r="1522">
          <cell r="B1522">
            <v>43089</v>
          </cell>
          <cell r="F1522">
            <v>121.83031257457471</v>
          </cell>
          <cell r="G1522">
            <v>128.95771639399968</v>
          </cell>
          <cell r="H1522">
            <v>198.74022589052998</v>
          </cell>
        </row>
        <row r="1523">
          <cell r="B1523">
            <v>43088</v>
          </cell>
          <cell r="F1523">
            <v>122.15054891266345</v>
          </cell>
          <cell r="G1523">
            <v>128.01592310306324</v>
          </cell>
          <cell r="H1523">
            <v>191.05125977410947</v>
          </cell>
        </row>
        <row r="1524">
          <cell r="B1524">
            <v>43087</v>
          </cell>
          <cell r="F1524">
            <v>123.1335969573323</v>
          </cell>
          <cell r="G1524">
            <v>128.35089081994272</v>
          </cell>
          <cell r="H1524">
            <v>189.87836663770634</v>
          </cell>
        </row>
        <row r="1525">
          <cell r="B1525">
            <v>43086</v>
          </cell>
          <cell r="F1525">
            <v>124.93171585598458</v>
          </cell>
          <cell r="G1525">
            <v>129.0014078353318</v>
          </cell>
          <cell r="H1525">
            <v>184.1876629018245</v>
          </cell>
        </row>
        <row r="1526">
          <cell r="B1526">
            <v>43085</v>
          </cell>
          <cell r="F1526">
            <v>124.93171585598458</v>
          </cell>
          <cell r="G1526">
            <v>129.0014078353318</v>
          </cell>
          <cell r="H1526">
            <v>184.1876629018245</v>
          </cell>
        </row>
        <row r="1527">
          <cell r="B1527">
            <v>43084</v>
          </cell>
          <cell r="F1527">
            <v>124.93171585598458</v>
          </cell>
          <cell r="G1527">
            <v>129.0014078353318</v>
          </cell>
          <cell r="H1527">
            <v>184.1876629018245</v>
          </cell>
        </row>
        <row r="1528">
          <cell r="B1528">
            <v>43083</v>
          </cell>
          <cell r="F1528">
            <v>125.0279634657761</v>
          </cell>
          <cell r="G1528">
            <v>125.89931550075244</v>
          </cell>
          <cell r="H1528">
            <v>183.49261511728932</v>
          </cell>
        </row>
        <row r="1529">
          <cell r="B1529">
            <v>43082</v>
          </cell>
          <cell r="F1529">
            <v>123.05563313627823</v>
          </cell>
          <cell r="G1529">
            <v>127.20520413612309</v>
          </cell>
          <cell r="H1529">
            <v>182.66724587315377</v>
          </cell>
        </row>
        <row r="1530">
          <cell r="B1530">
            <v>43081</v>
          </cell>
          <cell r="F1530">
            <v>123.35545605269948</v>
          </cell>
          <cell r="G1530">
            <v>125.58862080683528</v>
          </cell>
          <cell r="H1530">
            <v>181.84187662901826</v>
          </cell>
        </row>
        <row r="1531">
          <cell r="B1531">
            <v>43080</v>
          </cell>
          <cell r="F1531">
            <v>123.33901139933469</v>
          </cell>
          <cell r="G1531">
            <v>126.19544638089226</v>
          </cell>
          <cell r="H1531">
            <v>186.83753258036489</v>
          </cell>
        </row>
        <row r="1532">
          <cell r="B1532">
            <v>43079</v>
          </cell>
          <cell r="F1532">
            <v>123.03103348948625</v>
          </cell>
          <cell r="G1532">
            <v>126.17602796252245</v>
          </cell>
          <cell r="H1532">
            <v>187.70634231103389</v>
          </cell>
        </row>
        <row r="1533">
          <cell r="B1533">
            <v>43078</v>
          </cell>
          <cell r="F1533">
            <v>123.03103348948625</v>
          </cell>
          <cell r="G1533">
            <v>126.17602796252245</v>
          </cell>
          <cell r="H1533">
            <v>187.70634231103389</v>
          </cell>
        </row>
        <row r="1534">
          <cell r="B1534">
            <v>43077</v>
          </cell>
          <cell r="F1534">
            <v>123.03103348948625</v>
          </cell>
          <cell r="G1534">
            <v>126.17602796252245</v>
          </cell>
          <cell r="H1534">
            <v>187.70634231103389</v>
          </cell>
        </row>
        <row r="1535">
          <cell r="B1535">
            <v>43076</v>
          </cell>
          <cell r="F1535">
            <v>122.7273280017934</v>
          </cell>
          <cell r="G1535">
            <v>128.1081605903199</v>
          </cell>
          <cell r="H1535">
            <v>187.66290182450044</v>
          </cell>
        </row>
        <row r="1536">
          <cell r="B1536">
            <v>43075</v>
          </cell>
          <cell r="F1536">
            <v>123.0638352047404</v>
          </cell>
          <cell r="G1536">
            <v>128.1081605903199</v>
          </cell>
          <cell r="H1536">
            <v>180.62554300608167</v>
          </cell>
        </row>
        <row r="1537">
          <cell r="B1537">
            <v>43074</v>
          </cell>
          <cell r="F1537">
            <v>124.5478374836174</v>
          </cell>
          <cell r="G1537">
            <v>127.02072916160978</v>
          </cell>
          <cell r="H1537">
            <v>179.01824500434404</v>
          </cell>
        </row>
        <row r="1538">
          <cell r="B1538">
            <v>43073</v>
          </cell>
          <cell r="F1538">
            <v>126.81649152198197</v>
          </cell>
          <cell r="G1538">
            <v>127.97223166173114</v>
          </cell>
          <cell r="H1538">
            <v>173.3275412684622</v>
          </cell>
        </row>
        <row r="1539">
          <cell r="B1539">
            <v>43072</v>
          </cell>
          <cell r="F1539">
            <v>125.39534228391982</v>
          </cell>
          <cell r="G1539">
            <v>131.83164231273363</v>
          </cell>
          <cell r="H1539">
            <v>182.4066029539531</v>
          </cell>
        </row>
        <row r="1540">
          <cell r="B1540">
            <v>43071</v>
          </cell>
          <cell r="F1540">
            <v>125.39534228391982</v>
          </cell>
          <cell r="G1540">
            <v>131.83164231273363</v>
          </cell>
          <cell r="H1540">
            <v>182.4066029539531</v>
          </cell>
        </row>
        <row r="1541">
          <cell r="B1541">
            <v>43070</v>
          </cell>
          <cell r="F1541">
            <v>125.39534228391982</v>
          </cell>
          <cell r="G1541">
            <v>131.83164231273363</v>
          </cell>
          <cell r="H1541">
            <v>182.4066029539531</v>
          </cell>
        </row>
        <row r="1542">
          <cell r="B1542">
            <v>43069</v>
          </cell>
          <cell r="F1542">
            <v>122.61160096672373</v>
          </cell>
          <cell r="G1542">
            <v>134.92888004272052</v>
          </cell>
          <cell r="H1542">
            <v>184.14422241529104</v>
          </cell>
        </row>
        <row r="1543">
          <cell r="B1543">
            <v>43068</v>
          </cell>
          <cell r="F1543">
            <v>127.252807399253</v>
          </cell>
          <cell r="G1543">
            <v>131.80251468517889</v>
          </cell>
          <cell r="H1543">
            <v>190.0086880973067</v>
          </cell>
        </row>
        <row r="1544">
          <cell r="B1544">
            <v>43067</v>
          </cell>
          <cell r="F1544">
            <v>126.9645378581038</v>
          </cell>
          <cell r="G1544">
            <v>134.66673139472789</v>
          </cell>
          <cell r="H1544">
            <v>208.2102519548219</v>
          </cell>
        </row>
        <row r="1545">
          <cell r="B1545">
            <v>43066</v>
          </cell>
          <cell r="F1545">
            <v>128.57513412791047</v>
          </cell>
          <cell r="G1545">
            <v>138.1717559104811</v>
          </cell>
          <cell r="H1545">
            <v>208.73153779322328</v>
          </cell>
        </row>
        <row r="1546">
          <cell r="B1546">
            <v>43065</v>
          </cell>
          <cell r="F1546">
            <v>132.50528349843989</v>
          </cell>
          <cell r="G1546">
            <v>137.08432448177095</v>
          </cell>
          <cell r="H1546">
            <v>215.81233709817548</v>
          </cell>
        </row>
        <row r="1547">
          <cell r="B1547">
            <v>43064</v>
          </cell>
          <cell r="F1547">
            <v>132.50528349843989</v>
          </cell>
          <cell r="G1547">
            <v>137.08432448177095</v>
          </cell>
          <cell r="H1547">
            <v>215.81233709817548</v>
          </cell>
        </row>
        <row r="1548">
          <cell r="B1548">
            <v>43063</v>
          </cell>
          <cell r="F1548">
            <v>132.50528349843989</v>
          </cell>
          <cell r="G1548">
            <v>137.08432448177095</v>
          </cell>
          <cell r="H1548">
            <v>215.81233709817548</v>
          </cell>
        </row>
        <row r="1549">
          <cell r="B1549">
            <v>43062</v>
          </cell>
          <cell r="F1549">
            <v>131.54139763063043</v>
          </cell>
          <cell r="G1549">
            <v>133.68124666245933</v>
          </cell>
          <cell r="H1549">
            <v>213.46655082536924</v>
          </cell>
        </row>
        <row r="1550">
          <cell r="B1550">
            <v>43061</v>
          </cell>
          <cell r="F1550">
            <v>131.48062441673221</v>
          </cell>
          <cell r="G1550">
            <v>133.68124666245933</v>
          </cell>
          <cell r="H1550">
            <v>213.46655082536924</v>
          </cell>
        </row>
        <row r="1551">
          <cell r="B1551">
            <v>43060</v>
          </cell>
          <cell r="F1551">
            <v>131.78625008930069</v>
          </cell>
          <cell r="G1551">
            <v>134.27350842273896</v>
          </cell>
          <cell r="H1551">
            <v>214.59600347523892</v>
          </cell>
        </row>
        <row r="1552">
          <cell r="B1552">
            <v>43059</v>
          </cell>
          <cell r="F1552">
            <v>128.99312399761243</v>
          </cell>
          <cell r="G1552">
            <v>133.44337103742902</v>
          </cell>
          <cell r="H1552">
            <v>206.95047784535188</v>
          </cell>
        </row>
        <row r="1553">
          <cell r="B1553">
            <v>43058</v>
          </cell>
          <cell r="F1553">
            <v>130.73303753004259</v>
          </cell>
          <cell r="G1553">
            <v>131.97728045050732</v>
          </cell>
          <cell r="H1553">
            <v>200.52128583840138</v>
          </cell>
        </row>
        <row r="1554">
          <cell r="B1554">
            <v>43057</v>
          </cell>
          <cell r="F1554">
            <v>130.73303753004259</v>
          </cell>
          <cell r="G1554">
            <v>131.97728045050732</v>
          </cell>
          <cell r="H1554">
            <v>200.52128583840138</v>
          </cell>
        </row>
        <row r="1555">
          <cell r="B1555">
            <v>43056</v>
          </cell>
          <cell r="F1555">
            <v>130.73303753004259</v>
          </cell>
          <cell r="G1555">
            <v>131.97728045050732</v>
          </cell>
          <cell r="H1555">
            <v>200.52128583840138</v>
          </cell>
        </row>
        <row r="1556">
          <cell r="B1556">
            <v>43055</v>
          </cell>
          <cell r="F1556">
            <v>128.80406522698095</v>
          </cell>
          <cell r="G1556">
            <v>132.09864556531869</v>
          </cell>
          <cell r="H1556">
            <v>200.60816681146827</v>
          </cell>
        </row>
        <row r="1557">
          <cell r="B1557">
            <v>43054</v>
          </cell>
          <cell r="F1557">
            <v>128.45654324740647</v>
          </cell>
          <cell r="G1557">
            <v>128.93829797562989</v>
          </cell>
          <cell r="H1557">
            <v>197.04604691572544</v>
          </cell>
        </row>
        <row r="1558">
          <cell r="B1558">
            <v>43053</v>
          </cell>
          <cell r="F1558">
            <v>129.71814413818598</v>
          </cell>
          <cell r="G1558">
            <v>127.80232050099518</v>
          </cell>
          <cell r="H1558">
            <v>198.95742832319721</v>
          </cell>
        </row>
        <row r="1559">
          <cell r="B1559">
            <v>43052</v>
          </cell>
          <cell r="F1559">
            <v>129.11756433497007</v>
          </cell>
          <cell r="G1559">
            <v>128.65187630467497</v>
          </cell>
          <cell r="H1559">
            <v>198.08861859252823</v>
          </cell>
        </row>
        <row r="1560">
          <cell r="B1560">
            <v>43051</v>
          </cell>
          <cell r="F1560">
            <v>129.75558296609009</v>
          </cell>
          <cell r="G1560">
            <v>128.62760328171271</v>
          </cell>
          <cell r="H1560">
            <v>194.52649869678541</v>
          </cell>
        </row>
        <row r="1561">
          <cell r="B1561">
            <v>43050</v>
          </cell>
          <cell r="F1561">
            <v>129.75558296609009</v>
          </cell>
          <cell r="G1561">
            <v>128.62760328171271</v>
          </cell>
          <cell r="H1561">
            <v>194.52649869678541</v>
          </cell>
        </row>
        <row r="1562">
          <cell r="B1562">
            <v>43049</v>
          </cell>
          <cell r="F1562">
            <v>129.75558296609009</v>
          </cell>
          <cell r="G1562">
            <v>128.62760328171271</v>
          </cell>
          <cell r="H1562">
            <v>194.52649869678541</v>
          </cell>
        </row>
        <row r="1563">
          <cell r="B1563">
            <v>43048</v>
          </cell>
          <cell r="F1563">
            <v>129.82727356671793</v>
          </cell>
          <cell r="G1563">
            <v>128.95771639399968</v>
          </cell>
          <cell r="H1563">
            <v>188.96611642050391</v>
          </cell>
        </row>
        <row r="1564">
          <cell r="B1564">
            <v>43047</v>
          </cell>
          <cell r="F1564">
            <v>130.76523928613955</v>
          </cell>
          <cell r="G1564">
            <v>132.2394290984999</v>
          </cell>
          <cell r="H1564">
            <v>191.52910512597742</v>
          </cell>
        </row>
        <row r="1565">
          <cell r="B1565">
            <v>43046</v>
          </cell>
          <cell r="F1565">
            <v>131.62645555283598</v>
          </cell>
          <cell r="G1565">
            <v>131.71513180251469</v>
          </cell>
          <cell r="H1565">
            <v>190.92093831450913</v>
          </cell>
        </row>
        <row r="1566">
          <cell r="B1566">
            <v>43045</v>
          </cell>
          <cell r="F1566">
            <v>129.08761758203465</v>
          </cell>
          <cell r="G1566">
            <v>134.72498664983738</v>
          </cell>
          <cell r="H1566">
            <v>187.88010425716769</v>
          </cell>
        </row>
        <row r="1567">
          <cell r="B1567">
            <v>43044</v>
          </cell>
          <cell r="F1567">
            <v>128.92491671175853</v>
          </cell>
          <cell r="G1567">
            <v>132.836545463372</v>
          </cell>
          <cell r="H1567">
            <v>189.87836663770634</v>
          </cell>
        </row>
        <row r="1568">
          <cell r="B1568">
            <v>43043</v>
          </cell>
          <cell r="F1568">
            <v>128.92491671175853</v>
          </cell>
          <cell r="G1568">
            <v>132.836545463372</v>
          </cell>
          <cell r="H1568">
            <v>189.87836663770634</v>
          </cell>
        </row>
        <row r="1569">
          <cell r="B1569">
            <v>43042</v>
          </cell>
          <cell r="F1569">
            <v>128.92491671175853</v>
          </cell>
          <cell r="G1569">
            <v>132.836545463372</v>
          </cell>
          <cell r="H1569">
            <v>189.87836663770634</v>
          </cell>
        </row>
        <row r="1570">
          <cell r="B1570">
            <v>43041</v>
          </cell>
          <cell r="F1570">
            <v>129.96499850469681</v>
          </cell>
          <cell r="G1570">
            <v>125.97698917423175</v>
          </cell>
          <cell r="H1570">
            <v>192.61511728931367</v>
          </cell>
        </row>
        <row r="1571">
          <cell r="B1571">
            <v>43040</v>
          </cell>
          <cell r="F1571">
            <v>130.92582056239542</v>
          </cell>
          <cell r="G1571">
            <v>125.87504247779017</v>
          </cell>
          <cell r="H1571">
            <v>192.78887923544744</v>
          </cell>
        </row>
        <row r="1572">
          <cell r="B1572">
            <v>43039</v>
          </cell>
          <cell r="F1572">
            <v>131.09569765623897</v>
          </cell>
          <cell r="G1572">
            <v>128.11786979950483</v>
          </cell>
          <cell r="H1572">
            <v>192.48479582971331</v>
          </cell>
        </row>
        <row r="1573">
          <cell r="B1573">
            <v>43038</v>
          </cell>
          <cell r="F1573">
            <v>130.96539679384321</v>
          </cell>
          <cell r="G1573">
            <v>126.81683576872665</v>
          </cell>
          <cell r="H1573">
            <v>180.9296264118158</v>
          </cell>
        </row>
        <row r="1574">
          <cell r="B1574">
            <v>43037</v>
          </cell>
          <cell r="F1574">
            <v>129.00619797457577</v>
          </cell>
          <cell r="G1574">
            <v>122.77295014321083</v>
          </cell>
          <cell r="H1574">
            <v>177.45438748913989</v>
          </cell>
        </row>
        <row r="1575">
          <cell r="B1575">
            <v>43036</v>
          </cell>
          <cell r="F1575">
            <v>129.00619797457577</v>
          </cell>
          <cell r="G1575">
            <v>122.77295014321083</v>
          </cell>
          <cell r="H1575">
            <v>177.45438748913989</v>
          </cell>
        </row>
        <row r="1576">
          <cell r="B1576">
            <v>43035</v>
          </cell>
          <cell r="F1576">
            <v>129.00619797457577</v>
          </cell>
          <cell r="G1576">
            <v>122.77295014321083</v>
          </cell>
          <cell r="H1576">
            <v>177.45438748913989</v>
          </cell>
        </row>
        <row r="1577">
          <cell r="B1577">
            <v>43034</v>
          </cell>
          <cell r="F1577">
            <v>127.06643501334536</v>
          </cell>
          <cell r="G1577">
            <v>118.33584154570609</v>
          </cell>
          <cell r="H1577">
            <v>176.36837532580364</v>
          </cell>
        </row>
        <row r="1578">
          <cell r="B1578">
            <v>43033</v>
          </cell>
          <cell r="F1578">
            <v>127.95692212025627</v>
          </cell>
          <cell r="G1578">
            <v>119.33589009175203</v>
          </cell>
          <cell r="H1578">
            <v>178.36663770634235</v>
          </cell>
        </row>
        <row r="1579">
          <cell r="B1579">
            <v>43032</v>
          </cell>
          <cell r="F1579">
            <v>127.97384036599982</v>
          </cell>
          <cell r="G1579">
            <v>120.23884654594883</v>
          </cell>
          <cell r="H1579">
            <v>180.71242397914858</v>
          </cell>
        </row>
        <row r="1580">
          <cell r="B1580">
            <v>43031</v>
          </cell>
          <cell r="F1580">
            <v>128.55828941074628</v>
          </cell>
          <cell r="G1580">
            <v>118.58342637992136</v>
          </cell>
          <cell r="H1580">
            <v>180.53866203301479</v>
          </cell>
        </row>
        <row r="1581">
          <cell r="B1581">
            <v>43030</v>
          </cell>
          <cell r="F1581">
            <v>127.8359802365494</v>
          </cell>
          <cell r="G1581">
            <v>118.56886256614399</v>
          </cell>
          <cell r="H1581">
            <v>180.27801911381408</v>
          </cell>
        </row>
        <row r="1582">
          <cell r="B1582">
            <v>43029</v>
          </cell>
          <cell r="F1582">
            <v>127.8359802365494</v>
          </cell>
          <cell r="G1582">
            <v>118.56886256614399</v>
          </cell>
          <cell r="H1582">
            <v>180.27801911381408</v>
          </cell>
        </row>
        <row r="1583">
          <cell r="B1583">
            <v>43028</v>
          </cell>
          <cell r="F1583">
            <v>127.8359802365494</v>
          </cell>
          <cell r="G1583">
            <v>118.56886256614399</v>
          </cell>
          <cell r="H1583">
            <v>180.27801911381408</v>
          </cell>
        </row>
        <row r="1584">
          <cell r="B1584">
            <v>43027</v>
          </cell>
          <cell r="F1584">
            <v>128.69872516004472</v>
          </cell>
          <cell r="G1584">
            <v>118.59313558910627</v>
          </cell>
          <cell r="H1584">
            <v>179.45264986967854</v>
          </cell>
        </row>
        <row r="1585">
          <cell r="B1585">
            <v>43026</v>
          </cell>
          <cell r="F1585">
            <v>127.97571945771634</v>
          </cell>
          <cell r="G1585">
            <v>118.45235205592503</v>
          </cell>
          <cell r="H1585">
            <v>180.9296264118158</v>
          </cell>
        </row>
        <row r="1586">
          <cell r="B1586">
            <v>43025</v>
          </cell>
          <cell r="F1586">
            <v>126.93166572262702</v>
          </cell>
          <cell r="G1586">
            <v>117.78241662216612</v>
          </cell>
          <cell r="H1586">
            <v>175.45612510860121</v>
          </cell>
        </row>
        <row r="1587">
          <cell r="B1587">
            <v>43024</v>
          </cell>
          <cell r="F1587">
            <v>128.44511288542867</v>
          </cell>
          <cell r="G1587">
            <v>119.74853148211078</v>
          </cell>
          <cell r="H1587">
            <v>180.23457862728063</v>
          </cell>
        </row>
        <row r="1588">
          <cell r="B1588">
            <v>43023</v>
          </cell>
          <cell r="F1588">
            <v>128.32427657053162</v>
          </cell>
          <cell r="G1588">
            <v>120.37477547453759</v>
          </cell>
          <cell r="H1588">
            <v>175.49956559513467</v>
          </cell>
        </row>
        <row r="1589">
          <cell r="B1589">
            <v>43022</v>
          </cell>
          <cell r="F1589">
            <v>128.32427657053162</v>
          </cell>
          <cell r="G1589">
            <v>120.37477547453759</v>
          </cell>
          <cell r="H1589">
            <v>175.49956559513467</v>
          </cell>
        </row>
        <row r="1590">
          <cell r="B1590">
            <v>43021</v>
          </cell>
          <cell r="F1590">
            <v>128.32427657053162</v>
          </cell>
          <cell r="G1590">
            <v>120.37477547453759</v>
          </cell>
          <cell r="H1590">
            <v>175.49956559513467</v>
          </cell>
        </row>
        <row r="1591">
          <cell r="B1591">
            <v>43020</v>
          </cell>
          <cell r="F1591">
            <v>127.96724171802845</v>
          </cell>
          <cell r="G1591">
            <v>120.75343463274916</v>
          </cell>
          <cell r="H1591">
            <v>176.28149435273676</v>
          </cell>
        </row>
        <row r="1592">
          <cell r="B1592">
            <v>43019</v>
          </cell>
          <cell r="F1592">
            <v>125.45118372080275</v>
          </cell>
          <cell r="G1592">
            <v>121.55929899509685</v>
          </cell>
          <cell r="H1592">
            <v>180.75586446568201</v>
          </cell>
        </row>
        <row r="1593">
          <cell r="B1593">
            <v>43018</v>
          </cell>
          <cell r="F1593">
            <v>120.2497678543119</v>
          </cell>
          <cell r="G1593">
            <v>119.41841836982378</v>
          </cell>
          <cell r="H1593">
            <v>182.36316246741961</v>
          </cell>
        </row>
        <row r="1594">
          <cell r="B1594">
            <v>43017</v>
          </cell>
          <cell r="F1594">
            <v>120.2497678543119</v>
          </cell>
          <cell r="G1594">
            <v>119.62716636729938</v>
          </cell>
          <cell r="H1594">
            <v>177.93223284100782</v>
          </cell>
        </row>
        <row r="1595">
          <cell r="B1595">
            <v>43016</v>
          </cell>
          <cell r="F1595">
            <v>120.2497678543119</v>
          </cell>
          <cell r="G1595">
            <v>119.29705325501239</v>
          </cell>
          <cell r="H1595">
            <v>172.32841007819289</v>
          </cell>
        </row>
        <row r="1596">
          <cell r="B1596">
            <v>43015</v>
          </cell>
          <cell r="F1596">
            <v>120.2497678543119</v>
          </cell>
          <cell r="G1596">
            <v>119.29705325501239</v>
          </cell>
          <cell r="H1596">
            <v>172.32841007819289</v>
          </cell>
        </row>
        <row r="1597">
          <cell r="B1597">
            <v>43014</v>
          </cell>
          <cell r="F1597">
            <v>120.2497678543119</v>
          </cell>
          <cell r="G1597">
            <v>119.29705325501239</v>
          </cell>
          <cell r="H1597">
            <v>172.32841007819289</v>
          </cell>
        </row>
        <row r="1598">
          <cell r="B1598">
            <v>43013</v>
          </cell>
          <cell r="F1598">
            <v>120.35280285181416</v>
          </cell>
          <cell r="G1598">
            <v>118.29215010437399</v>
          </cell>
          <cell r="H1598">
            <v>171.02519548218939</v>
          </cell>
        </row>
        <row r="1599">
          <cell r="B1599">
            <v>43012</v>
          </cell>
          <cell r="F1599">
            <v>118.95132963721105</v>
          </cell>
          <cell r="G1599">
            <v>117.48143113743386</v>
          </cell>
          <cell r="H1599">
            <v>171.85056472632493</v>
          </cell>
        </row>
        <row r="1600">
          <cell r="B1600">
            <v>43011</v>
          </cell>
          <cell r="F1600">
            <v>118.95132963721105</v>
          </cell>
          <cell r="G1600">
            <v>116.26777998931988</v>
          </cell>
          <cell r="H1600">
            <v>175.36924413553433</v>
          </cell>
        </row>
        <row r="1601">
          <cell r="B1601">
            <v>43010</v>
          </cell>
          <cell r="F1601">
            <v>118.00620695705572</v>
          </cell>
          <cell r="G1601">
            <v>116.73867663478809</v>
          </cell>
          <cell r="H1601">
            <v>173.80538662033013</v>
          </cell>
        </row>
        <row r="1602">
          <cell r="B1602">
            <v>43009</v>
          </cell>
          <cell r="F1602">
            <v>116.18275603199559</v>
          </cell>
          <cell r="G1602">
            <v>117.74357978542646</v>
          </cell>
          <cell r="H1602">
            <v>170.85143353605559</v>
          </cell>
        </row>
        <row r="1603">
          <cell r="B1603">
            <v>43008</v>
          </cell>
          <cell r="F1603">
            <v>116.18275603199559</v>
          </cell>
          <cell r="G1603">
            <v>117.74357978542646</v>
          </cell>
          <cell r="H1603">
            <v>170.85143353605559</v>
          </cell>
        </row>
        <row r="1604">
          <cell r="B1604">
            <v>43007</v>
          </cell>
          <cell r="F1604">
            <v>116.16742697489468</v>
          </cell>
          <cell r="G1604">
            <v>117.74357978542646</v>
          </cell>
          <cell r="H1604">
            <v>170.85143353605559</v>
          </cell>
        </row>
        <row r="1605">
          <cell r="B1605">
            <v>43006</v>
          </cell>
          <cell r="F1605">
            <v>114.53887060112189</v>
          </cell>
          <cell r="G1605">
            <v>117.9377639691247</v>
          </cell>
          <cell r="H1605">
            <v>164.90008688097308</v>
          </cell>
        </row>
        <row r="1606">
          <cell r="B1606">
            <v>43005</v>
          </cell>
          <cell r="F1606">
            <v>115.4158693841233</v>
          </cell>
          <cell r="G1606">
            <v>116.79207728530511</v>
          </cell>
          <cell r="H1606">
            <v>161.120764552563</v>
          </cell>
        </row>
        <row r="1607">
          <cell r="B1607">
            <v>43004</v>
          </cell>
          <cell r="F1607">
            <v>115.04609848904114</v>
          </cell>
          <cell r="G1607">
            <v>115.1852031652022</v>
          </cell>
          <cell r="H1607">
            <v>148.47958297132928</v>
          </cell>
        </row>
        <row r="1608">
          <cell r="B1608">
            <v>43003</v>
          </cell>
          <cell r="F1608">
            <v>116.94101508916323</v>
          </cell>
          <cell r="G1608">
            <v>114.33079275692994</v>
          </cell>
          <cell r="H1608">
            <v>151.47697654213727</v>
          </cell>
        </row>
        <row r="1609">
          <cell r="B1609">
            <v>43002</v>
          </cell>
          <cell r="F1609">
            <v>117.82352488256294</v>
          </cell>
          <cell r="G1609">
            <v>116.14156026991603</v>
          </cell>
          <cell r="H1609">
            <v>156.68983492615118</v>
          </cell>
        </row>
        <row r="1610">
          <cell r="B1610">
            <v>43001</v>
          </cell>
          <cell r="F1610">
            <v>117.82352488256294</v>
          </cell>
          <cell r="G1610">
            <v>116.14156026991603</v>
          </cell>
          <cell r="H1610">
            <v>156.68983492615118</v>
          </cell>
        </row>
        <row r="1611">
          <cell r="B1611">
            <v>43000</v>
          </cell>
          <cell r="F1611">
            <v>117.82352488256294</v>
          </cell>
          <cell r="G1611">
            <v>116.14156026991603</v>
          </cell>
          <cell r="H1611">
            <v>156.68983492615118</v>
          </cell>
        </row>
        <row r="1612">
          <cell r="B1612">
            <v>42999</v>
          </cell>
          <cell r="F1612">
            <v>119.07688597761805</v>
          </cell>
          <cell r="G1612">
            <v>116.69498519345598</v>
          </cell>
          <cell r="H1612">
            <v>155.99478714161597</v>
          </cell>
        </row>
        <row r="1613">
          <cell r="B1613">
            <v>42998</v>
          </cell>
          <cell r="F1613">
            <v>119.65542664078193</v>
          </cell>
          <cell r="G1613">
            <v>117.92320015534735</v>
          </cell>
          <cell r="H1613">
            <v>156.25543006081668</v>
          </cell>
        </row>
        <row r="1614">
          <cell r="B1614">
            <v>42997</v>
          </cell>
          <cell r="F1614">
            <v>119.87437162931209</v>
          </cell>
          <cell r="G1614">
            <v>121.24860430117965</v>
          </cell>
          <cell r="H1614">
            <v>156.1685490877498</v>
          </cell>
        </row>
        <row r="1615">
          <cell r="B1615">
            <v>42996</v>
          </cell>
          <cell r="F1615">
            <v>118.66959589549249</v>
          </cell>
          <cell r="G1615">
            <v>121.27773192873438</v>
          </cell>
          <cell r="H1615">
            <v>153.90964378801041</v>
          </cell>
        </row>
        <row r="1616">
          <cell r="B1616">
            <v>42995</v>
          </cell>
          <cell r="F1616">
            <v>118.22719116326095</v>
          </cell>
          <cell r="G1616">
            <v>121.63211806398368</v>
          </cell>
          <cell r="H1616">
            <v>150.52128583840138</v>
          </cell>
        </row>
        <row r="1617">
          <cell r="B1617">
            <v>42994</v>
          </cell>
          <cell r="F1617">
            <v>118.22719116326095</v>
          </cell>
          <cell r="G1617">
            <v>121.63211806398368</v>
          </cell>
          <cell r="H1617">
            <v>150.52128583840138</v>
          </cell>
        </row>
        <row r="1618">
          <cell r="B1618">
            <v>42993</v>
          </cell>
          <cell r="F1618">
            <v>118.22719116326095</v>
          </cell>
          <cell r="G1618">
            <v>121.63211806398368</v>
          </cell>
          <cell r="H1618">
            <v>150.52128583840138</v>
          </cell>
        </row>
        <row r="1619">
          <cell r="B1619">
            <v>42992</v>
          </cell>
          <cell r="F1619">
            <v>118.12895992330341</v>
          </cell>
          <cell r="G1619">
            <v>119.88446041069953</v>
          </cell>
          <cell r="H1619">
            <v>150.21720243266725</v>
          </cell>
        </row>
        <row r="1620">
          <cell r="B1620">
            <v>42991</v>
          </cell>
          <cell r="F1620">
            <v>118.06267860467685</v>
          </cell>
          <cell r="G1620">
            <v>119.53978348463517</v>
          </cell>
          <cell r="H1620">
            <v>150.26064291920071</v>
          </cell>
        </row>
        <row r="1621">
          <cell r="B1621">
            <v>42990</v>
          </cell>
          <cell r="F1621">
            <v>118.72282710753743</v>
          </cell>
          <cell r="G1621">
            <v>119.9766978979562</v>
          </cell>
          <cell r="H1621">
            <v>148.95742832319723</v>
          </cell>
        </row>
        <row r="1622">
          <cell r="B1622">
            <v>42989</v>
          </cell>
          <cell r="F1622">
            <v>117.63468013468021</v>
          </cell>
          <cell r="G1622">
            <v>120.26797417350356</v>
          </cell>
          <cell r="H1622">
            <v>145.26498696785404</v>
          </cell>
        </row>
        <row r="1623">
          <cell r="B1623">
            <v>42988</v>
          </cell>
          <cell r="F1623">
            <v>118.2437623703336</v>
          </cell>
          <cell r="G1623">
            <v>118.50575270644205</v>
          </cell>
          <cell r="H1623">
            <v>140.96437880104259</v>
          </cell>
        </row>
        <row r="1624">
          <cell r="B1624">
            <v>42987</v>
          </cell>
          <cell r="F1624">
            <v>118.2437623703336</v>
          </cell>
          <cell r="G1624">
            <v>118.50575270644205</v>
          </cell>
          <cell r="H1624">
            <v>140.96437880104259</v>
          </cell>
        </row>
        <row r="1625">
          <cell r="B1625">
            <v>42986</v>
          </cell>
          <cell r="F1625">
            <v>118.2437623703336</v>
          </cell>
          <cell r="G1625">
            <v>118.50575270644205</v>
          </cell>
          <cell r="H1625">
            <v>140.96437880104259</v>
          </cell>
        </row>
        <row r="1626">
          <cell r="B1626">
            <v>42985</v>
          </cell>
          <cell r="F1626">
            <v>117.89397773967949</v>
          </cell>
          <cell r="G1626">
            <v>119.69027622700131</v>
          </cell>
          <cell r="H1626">
            <v>142.44135534317982</v>
          </cell>
        </row>
        <row r="1627">
          <cell r="B1627">
            <v>42984</v>
          </cell>
          <cell r="F1627">
            <v>117.34920652509835</v>
          </cell>
          <cell r="G1627">
            <v>121.06412932666632</v>
          </cell>
          <cell r="H1627">
            <v>140.09556907037359</v>
          </cell>
        </row>
        <row r="1628">
          <cell r="B1628">
            <v>42983</v>
          </cell>
          <cell r="F1628">
            <v>117.99197062880312</v>
          </cell>
          <cell r="G1628">
            <v>120.9039273751153</v>
          </cell>
          <cell r="H1628">
            <v>139.31364031277153</v>
          </cell>
        </row>
        <row r="1629">
          <cell r="B1629">
            <v>42982</v>
          </cell>
          <cell r="F1629">
            <v>117.64306165802432</v>
          </cell>
          <cell r="G1629">
            <v>122.69042186513907</v>
          </cell>
          <cell r="H1629">
            <v>141.61598609904431</v>
          </cell>
        </row>
        <row r="1630">
          <cell r="B1630">
            <v>42981</v>
          </cell>
          <cell r="F1630">
            <v>116.98936631669822</v>
          </cell>
          <cell r="G1630">
            <v>122.69042186513907</v>
          </cell>
          <cell r="H1630">
            <v>141.61598609904431</v>
          </cell>
        </row>
        <row r="1631">
          <cell r="B1631">
            <v>42980</v>
          </cell>
          <cell r="F1631">
            <v>116.98936631669822</v>
          </cell>
          <cell r="G1631">
            <v>122.69042186513907</v>
          </cell>
          <cell r="H1631">
            <v>141.61598609904431</v>
          </cell>
        </row>
        <row r="1632">
          <cell r="B1632">
            <v>42979</v>
          </cell>
          <cell r="F1632">
            <v>116.98936631669822</v>
          </cell>
          <cell r="G1632">
            <v>122.69042186513907</v>
          </cell>
          <cell r="H1632">
            <v>141.61598609904431</v>
          </cell>
        </row>
        <row r="1633">
          <cell r="B1633">
            <v>42978</v>
          </cell>
          <cell r="F1633">
            <v>116.6986276416675</v>
          </cell>
          <cell r="G1633">
            <v>122.370017962037</v>
          </cell>
          <cell r="H1633">
            <v>138.879235447437</v>
          </cell>
        </row>
        <row r="1634">
          <cell r="B1634">
            <v>42977</v>
          </cell>
          <cell r="F1634">
            <v>117.40882957906349</v>
          </cell>
          <cell r="G1634">
            <v>119.43298218360114</v>
          </cell>
          <cell r="H1634">
            <v>137.31537793223285</v>
          </cell>
        </row>
        <row r="1635">
          <cell r="B1635">
            <v>42976</v>
          </cell>
          <cell r="F1635">
            <v>116.42140040801448</v>
          </cell>
          <cell r="G1635">
            <v>117.35035681343753</v>
          </cell>
          <cell r="H1635">
            <v>136.75065160729801</v>
          </cell>
        </row>
        <row r="1636">
          <cell r="B1636">
            <v>42975</v>
          </cell>
          <cell r="F1636">
            <v>116.67267517978115</v>
          </cell>
          <cell r="G1636">
            <v>118.08825671149083</v>
          </cell>
          <cell r="H1636">
            <v>135.01303214596004</v>
          </cell>
        </row>
        <row r="1637">
          <cell r="B1637">
            <v>42974</v>
          </cell>
          <cell r="F1637">
            <v>117.58050843657834</v>
          </cell>
          <cell r="G1637">
            <v>119.22423418612553</v>
          </cell>
          <cell r="H1637">
            <v>131.58123370981755</v>
          </cell>
        </row>
        <row r="1638">
          <cell r="B1638">
            <v>42973</v>
          </cell>
          <cell r="F1638">
            <v>117.58050843657834</v>
          </cell>
          <cell r="G1638">
            <v>119.22423418612553</v>
          </cell>
          <cell r="H1638">
            <v>131.58123370981755</v>
          </cell>
        </row>
        <row r="1639">
          <cell r="B1639">
            <v>42972</v>
          </cell>
          <cell r="F1639">
            <v>117.58050843657834</v>
          </cell>
          <cell r="G1639">
            <v>119.22423418612553</v>
          </cell>
          <cell r="H1639">
            <v>131.58123370981755</v>
          </cell>
        </row>
        <row r="1640">
          <cell r="B1640">
            <v>42971</v>
          </cell>
          <cell r="F1640">
            <v>116.72833178405088</v>
          </cell>
          <cell r="G1640">
            <v>123.81669013058887</v>
          </cell>
          <cell r="H1640">
            <v>131.27715030408339</v>
          </cell>
        </row>
        <row r="1641">
          <cell r="B1641">
            <v>42970</v>
          </cell>
          <cell r="F1641">
            <v>115.81039603008554</v>
          </cell>
          <cell r="G1641">
            <v>124.72450118937812</v>
          </cell>
          <cell r="H1641">
            <v>132.27628149435273</v>
          </cell>
        </row>
        <row r="1642">
          <cell r="B1642">
            <v>42969</v>
          </cell>
          <cell r="F1642">
            <v>115.25395514660586</v>
          </cell>
          <cell r="G1642">
            <v>123.88465459488324</v>
          </cell>
          <cell r="H1642">
            <v>132.27628149435273</v>
          </cell>
        </row>
        <row r="1643">
          <cell r="B1643">
            <v>42968</v>
          </cell>
          <cell r="F1643">
            <v>113.52202147232997</v>
          </cell>
          <cell r="G1643">
            <v>121.18063983688528</v>
          </cell>
          <cell r="H1643">
            <v>128.41007819287574</v>
          </cell>
        </row>
        <row r="1644">
          <cell r="B1644">
            <v>42967</v>
          </cell>
          <cell r="F1644">
            <v>114.05500529659164</v>
          </cell>
          <cell r="G1644">
            <v>121.05927472207387</v>
          </cell>
          <cell r="H1644">
            <v>131.9721980886186</v>
          </cell>
        </row>
        <row r="1645">
          <cell r="B1645">
            <v>42966</v>
          </cell>
          <cell r="F1645">
            <v>114.05500529659164</v>
          </cell>
          <cell r="G1645">
            <v>121.05927472207387</v>
          </cell>
          <cell r="H1645">
            <v>131.9721980886186</v>
          </cell>
        </row>
        <row r="1646">
          <cell r="B1646">
            <v>42965</v>
          </cell>
          <cell r="F1646">
            <v>114.05500529659164</v>
          </cell>
          <cell r="G1646">
            <v>121.05927472207387</v>
          </cell>
          <cell r="H1646">
            <v>131.9721980886186</v>
          </cell>
        </row>
        <row r="1647">
          <cell r="B1647">
            <v>42964</v>
          </cell>
          <cell r="F1647">
            <v>114.8752604996006</v>
          </cell>
          <cell r="G1647">
            <v>119.88446041069953</v>
          </cell>
          <cell r="H1647">
            <v>128.67072111207648</v>
          </cell>
        </row>
        <row r="1648">
          <cell r="B1648">
            <v>42963</v>
          </cell>
          <cell r="F1648">
            <v>114.31959808679592</v>
          </cell>
          <cell r="G1648">
            <v>123.02538958201853</v>
          </cell>
          <cell r="H1648">
            <v>133.31885317115552</v>
          </cell>
        </row>
        <row r="1649">
          <cell r="B1649">
            <v>42962</v>
          </cell>
          <cell r="F1649">
            <v>114.9435347744798</v>
          </cell>
          <cell r="G1649">
            <v>123.15646390601485</v>
          </cell>
          <cell r="H1649">
            <v>128.93136403127716</v>
          </cell>
        </row>
        <row r="1650">
          <cell r="B1650">
            <v>42961</v>
          </cell>
          <cell r="F1650">
            <v>113.34340411710554</v>
          </cell>
          <cell r="G1650">
            <v>121.80688382931208</v>
          </cell>
          <cell r="H1650">
            <v>127.01998262380539</v>
          </cell>
        </row>
        <row r="1651">
          <cell r="B1651">
            <v>42960</v>
          </cell>
          <cell r="F1651">
            <v>113.96476000689375</v>
          </cell>
          <cell r="G1651">
            <v>118.5348803339968</v>
          </cell>
          <cell r="H1651">
            <v>121.67680278019115</v>
          </cell>
        </row>
        <row r="1652">
          <cell r="B1652">
            <v>42959</v>
          </cell>
          <cell r="F1652">
            <v>113.96476000689375</v>
          </cell>
          <cell r="G1652">
            <v>118.5348803339968</v>
          </cell>
          <cell r="H1652">
            <v>121.67680278019115</v>
          </cell>
        </row>
        <row r="1653">
          <cell r="B1653">
            <v>42958</v>
          </cell>
          <cell r="F1653">
            <v>113.96476000689375</v>
          </cell>
          <cell r="G1653">
            <v>118.5348803339968</v>
          </cell>
          <cell r="H1653">
            <v>121.67680278019115</v>
          </cell>
        </row>
        <row r="1654">
          <cell r="B1654">
            <v>42957</v>
          </cell>
          <cell r="F1654">
            <v>114.79192422937068</v>
          </cell>
          <cell r="G1654">
            <v>116.85518714500705</v>
          </cell>
          <cell r="H1654">
            <v>119.41789748045177</v>
          </cell>
        </row>
        <row r="1655">
          <cell r="B1655">
            <v>42956</v>
          </cell>
          <cell r="F1655">
            <v>115.52105585378226</v>
          </cell>
          <cell r="G1655">
            <v>120.96218263022476</v>
          </cell>
          <cell r="H1655">
            <v>124.15291051259774</v>
          </cell>
        </row>
        <row r="1656">
          <cell r="B1656">
            <v>42955</v>
          </cell>
          <cell r="F1656">
            <v>117.24153619739806</v>
          </cell>
          <cell r="G1656">
            <v>122.02534103597262</v>
          </cell>
          <cell r="H1656">
            <v>125.28236316246742</v>
          </cell>
        </row>
        <row r="1657">
          <cell r="B1657">
            <v>42954</v>
          </cell>
          <cell r="F1657">
            <v>116.29424391720011</v>
          </cell>
          <cell r="G1657">
            <v>122.54963833195787</v>
          </cell>
          <cell r="H1657">
            <v>124.1963509991312</v>
          </cell>
        </row>
        <row r="1658">
          <cell r="B1658">
            <v>42953</v>
          </cell>
          <cell r="F1658">
            <v>114.74360692826112</v>
          </cell>
          <cell r="G1658">
            <v>120.96218263022476</v>
          </cell>
          <cell r="H1658">
            <v>121.28583840139011</v>
          </cell>
        </row>
        <row r="1659">
          <cell r="B1659">
            <v>42952</v>
          </cell>
          <cell r="F1659">
            <v>114.74360692826112</v>
          </cell>
          <cell r="G1659">
            <v>120.96218263022476</v>
          </cell>
          <cell r="H1659">
            <v>121.28583840139011</v>
          </cell>
        </row>
        <row r="1660">
          <cell r="B1660">
            <v>42951</v>
          </cell>
          <cell r="F1660">
            <v>114.74360692826112</v>
          </cell>
          <cell r="G1660">
            <v>120.96218263022476</v>
          </cell>
          <cell r="H1660">
            <v>121.28583840139011</v>
          </cell>
        </row>
        <row r="1661">
          <cell r="B1661">
            <v>42950</v>
          </cell>
          <cell r="F1661">
            <v>114.98249615283214</v>
          </cell>
          <cell r="G1661">
            <v>121.50589834457983</v>
          </cell>
          <cell r="H1661">
            <v>120.89487402258905</v>
          </cell>
        </row>
        <row r="1662">
          <cell r="B1662">
            <v>42949</v>
          </cell>
          <cell r="F1662">
            <v>116.23653728916881</v>
          </cell>
          <cell r="G1662">
            <v>122.9962619544638</v>
          </cell>
          <cell r="H1662">
            <v>124.37011294526499</v>
          </cell>
        </row>
        <row r="1663">
          <cell r="B1663">
            <v>42948</v>
          </cell>
          <cell r="F1663">
            <v>114.053824871697</v>
          </cell>
          <cell r="G1663">
            <v>120.5835234720132</v>
          </cell>
          <cell r="H1663">
            <v>123.11033883579496</v>
          </cell>
        </row>
        <row r="1664">
          <cell r="B1664">
            <v>42947</v>
          </cell>
          <cell r="F1664">
            <v>115.54400781693073</v>
          </cell>
          <cell r="G1664">
            <v>119.74367687751833</v>
          </cell>
          <cell r="H1664">
            <v>122.15464813205909</v>
          </cell>
        </row>
        <row r="1665">
          <cell r="B1665">
            <v>42946</v>
          </cell>
          <cell r="F1665">
            <v>114.4328643090162</v>
          </cell>
          <cell r="G1665">
            <v>121.54473518131948</v>
          </cell>
          <cell r="H1665">
            <v>127.1937445699392</v>
          </cell>
        </row>
        <row r="1666">
          <cell r="B1666">
            <v>42945</v>
          </cell>
          <cell r="F1666">
            <v>114.4328643090162</v>
          </cell>
          <cell r="G1666">
            <v>121.54473518131948</v>
          </cell>
          <cell r="H1666">
            <v>127.1937445699392</v>
          </cell>
        </row>
        <row r="1667">
          <cell r="B1667">
            <v>42944</v>
          </cell>
          <cell r="F1667">
            <v>114.4328643090162</v>
          </cell>
          <cell r="G1667">
            <v>121.54473518131948</v>
          </cell>
          <cell r="H1667">
            <v>127.1937445699392</v>
          </cell>
        </row>
        <row r="1668">
          <cell r="B1668">
            <v>42943</v>
          </cell>
          <cell r="F1668">
            <v>115.91762078667711</v>
          </cell>
          <cell r="G1668">
            <v>121.82630224768192</v>
          </cell>
          <cell r="H1668">
            <v>131.3640312771503</v>
          </cell>
        </row>
        <row r="1669">
          <cell r="B1669">
            <v>42942</v>
          </cell>
          <cell r="F1669">
            <v>114.66386585520871</v>
          </cell>
          <cell r="G1669">
            <v>124.76819263071022</v>
          </cell>
          <cell r="H1669">
            <v>129.49609035621199</v>
          </cell>
        </row>
        <row r="1670">
          <cell r="B1670">
            <v>42941</v>
          </cell>
          <cell r="F1670">
            <v>114.75786695829559</v>
          </cell>
          <cell r="G1670">
            <v>123.45259478615466</v>
          </cell>
          <cell r="H1670">
            <v>129.88705473501304</v>
          </cell>
        </row>
        <row r="1671">
          <cell r="B1671">
            <v>42940</v>
          </cell>
          <cell r="F1671">
            <v>115.03357703041226</v>
          </cell>
          <cell r="G1671">
            <v>122.83606000291276</v>
          </cell>
          <cell r="H1671">
            <v>137.57602085143355</v>
          </cell>
        </row>
        <row r="1672">
          <cell r="B1672">
            <v>42939</v>
          </cell>
          <cell r="F1672">
            <v>114.39208379928682</v>
          </cell>
          <cell r="G1672">
            <v>122.87489683965241</v>
          </cell>
          <cell r="H1672">
            <v>139.05299739357079</v>
          </cell>
        </row>
        <row r="1673">
          <cell r="B1673">
            <v>42938</v>
          </cell>
          <cell r="F1673">
            <v>114.39208379928682</v>
          </cell>
          <cell r="G1673">
            <v>122.87489683965241</v>
          </cell>
          <cell r="H1673">
            <v>139.05299739357079</v>
          </cell>
        </row>
        <row r="1674">
          <cell r="B1674">
            <v>42937</v>
          </cell>
          <cell r="F1674">
            <v>114.39208379928682</v>
          </cell>
          <cell r="G1674">
            <v>122.87489683965241</v>
          </cell>
          <cell r="H1674">
            <v>139.05299739357079</v>
          </cell>
        </row>
        <row r="1675">
          <cell r="B1675">
            <v>42936</v>
          </cell>
          <cell r="F1675">
            <v>115.1674065452443</v>
          </cell>
          <cell r="G1675">
            <v>123.03024418661099</v>
          </cell>
          <cell r="H1675">
            <v>139.00955690703736</v>
          </cell>
        </row>
        <row r="1676">
          <cell r="B1676">
            <v>42935</v>
          </cell>
          <cell r="F1676">
            <v>114.87451825723436</v>
          </cell>
          <cell r="G1676">
            <v>123.50114083207922</v>
          </cell>
          <cell r="H1676">
            <v>138.22762814943528</v>
          </cell>
        </row>
        <row r="1677">
          <cell r="B1677">
            <v>42934</v>
          </cell>
          <cell r="F1677">
            <v>114.70492913044568</v>
          </cell>
          <cell r="G1677">
            <v>121.79232001553473</v>
          </cell>
          <cell r="H1677">
            <v>138.57515204170286</v>
          </cell>
        </row>
        <row r="1678">
          <cell r="B1678">
            <v>42933</v>
          </cell>
          <cell r="F1678">
            <v>113.98114077478527</v>
          </cell>
          <cell r="G1678">
            <v>120.88936356133793</v>
          </cell>
          <cell r="H1678">
            <v>137.79322328410078</v>
          </cell>
        </row>
        <row r="1679">
          <cell r="B1679">
            <v>42932</v>
          </cell>
          <cell r="F1679">
            <v>114.5160689563638</v>
          </cell>
          <cell r="G1679">
            <v>121.50589834457983</v>
          </cell>
          <cell r="H1679">
            <v>138.09730668983494</v>
          </cell>
        </row>
        <row r="1680">
          <cell r="B1680">
            <v>42931</v>
          </cell>
          <cell r="F1680">
            <v>114.5160689563638</v>
          </cell>
          <cell r="G1680">
            <v>121.50589834457983</v>
          </cell>
          <cell r="H1680">
            <v>138.09730668983494</v>
          </cell>
        </row>
        <row r="1681">
          <cell r="B1681">
            <v>42930</v>
          </cell>
          <cell r="F1681">
            <v>114.5160689563638</v>
          </cell>
          <cell r="G1681">
            <v>121.50589834457983</v>
          </cell>
          <cell r="H1681">
            <v>138.09730668983494</v>
          </cell>
        </row>
        <row r="1682">
          <cell r="B1682">
            <v>42929</v>
          </cell>
          <cell r="F1682">
            <v>114.92748895173067</v>
          </cell>
          <cell r="G1682">
            <v>120.05922617602795</v>
          </cell>
          <cell r="H1682">
            <v>135.23023457862729</v>
          </cell>
        </row>
        <row r="1683">
          <cell r="B1683">
            <v>42928</v>
          </cell>
          <cell r="F1683">
            <v>112.8958725065019</v>
          </cell>
          <cell r="G1683">
            <v>119.62716636729938</v>
          </cell>
          <cell r="H1683">
            <v>136.62033014769764</v>
          </cell>
        </row>
        <row r="1684">
          <cell r="B1684">
            <v>42927</v>
          </cell>
          <cell r="F1684">
            <v>112.96663727219278</v>
          </cell>
          <cell r="G1684">
            <v>116.94257002767124</v>
          </cell>
          <cell r="H1684">
            <v>136.27280625543005</v>
          </cell>
        </row>
        <row r="1685">
          <cell r="B1685">
            <v>42926</v>
          </cell>
          <cell r="F1685">
            <v>109.76946829279117</v>
          </cell>
          <cell r="G1685">
            <v>117.36977523180737</v>
          </cell>
          <cell r="H1685">
            <v>132.49348392701998</v>
          </cell>
        </row>
        <row r="1686">
          <cell r="B1686">
            <v>42925</v>
          </cell>
          <cell r="F1686">
            <v>109.70478386834053</v>
          </cell>
          <cell r="G1686">
            <v>116.32603524442935</v>
          </cell>
          <cell r="H1686">
            <v>131.19026933101651</v>
          </cell>
        </row>
        <row r="1687">
          <cell r="B1687">
            <v>42924</v>
          </cell>
          <cell r="F1687">
            <v>109.70478386834053</v>
          </cell>
          <cell r="G1687">
            <v>116.32603524442935</v>
          </cell>
          <cell r="H1687">
            <v>131.19026933101651</v>
          </cell>
        </row>
        <row r="1688">
          <cell r="B1688">
            <v>42923</v>
          </cell>
          <cell r="F1688">
            <v>109.70478386834053</v>
          </cell>
          <cell r="G1688">
            <v>116.32603524442935</v>
          </cell>
          <cell r="H1688">
            <v>131.19026933101651</v>
          </cell>
        </row>
        <row r="1689">
          <cell r="B1689">
            <v>42922</v>
          </cell>
          <cell r="F1689">
            <v>110.39157280613283</v>
          </cell>
          <cell r="G1689">
            <v>114.1026263410845</v>
          </cell>
          <cell r="H1689">
            <v>130.75586446568201</v>
          </cell>
        </row>
        <row r="1690">
          <cell r="B1690">
            <v>42921</v>
          </cell>
          <cell r="F1690">
            <v>111.26563387659742</v>
          </cell>
          <cell r="G1690">
            <v>112.43749696587213</v>
          </cell>
          <cell r="H1690">
            <v>132.53692441355344</v>
          </cell>
        </row>
        <row r="1691">
          <cell r="B1691">
            <v>42920</v>
          </cell>
          <cell r="F1691">
            <v>110.37464021927113</v>
          </cell>
          <cell r="G1691">
            <v>111.53939511626778</v>
          </cell>
          <cell r="H1691">
            <v>126.5855777584709</v>
          </cell>
        </row>
        <row r="1692">
          <cell r="B1692">
            <v>42919</v>
          </cell>
          <cell r="F1692">
            <v>111.40089502748829</v>
          </cell>
          <cell r="G1692">
            <v>111.53939511626778</v>
          </cell>
          <cell r="H1692">
            <v>126.5855777584709</v>
          </cell>
        </row>
        <row r="1693">
          <cell r="B1693">
            <v>42918</v>
          </cell>
          <cell r="F1693">
            <v>111.50706241444979</v>
          </cell>
          <cell r="G1693">
            <v>113.13656002718579</v>
          </cell>
          <cell r="H1693">
            <v>129.71329278887924</v>
          </cell>
        </row>
        <row r="1694">
          <cell r="B1694">
            <v>42917</v>
          </cell>
          <cell r="F1694">
            <v>111.50706241444979</v>
          </cell>
          <cell r="G1694">
            <v>113.13656002718579</v>
          </cell>
          <cell r="H1694">
            <v>129.71329278887924</v>
          </cell>
        </row>
        <row r="1695">
          <cell r="B1695">
            <v>42916</v>
          </cell>
          <cell r="F1695">
            <v>111.50706241444979</v>
          </cell>
          <cell r="G1695">
            <v>113.13656002718579</v>
          </cell>
          <cell r="H1695">
            <v>129.71329278887924</v>
          </cell>
        </row>
        <row r="1696">
          <cell r="B1696">
            <v>42915</v>
          </cell>
          <cell r="F1696">
            <v>112.44975513055438</v>
          </cell>
          <cell r="G1696">
            <v>113.61716588183893</v>
          </cell>
          <cell r="H1696">
            <v>136.70721112076455</v>
          </cell>
        </row>
        <row r="1697">
          <cell r="B1697">
            <v>42914</v>
          </cell>
          <cell r="F1697">
            <v>111.51439478745091</v>
          </cell>
          <cell r="G1697">
            <v>117.02024370115053</v>
          </cell>
          <cell r="H1697">
            <v>140.05212858384016</v>
          </cell>
        </row>
        <row r="1698">
          <cell r="B1698">
            <v>42913</v>
          </cell>
          <cell r="F1698">
            <v>113.30145243897462</v>
          </cell>
          <cell r="G1698">
            <v>114.24340987426574</v>
          </cell>
          <cell r="H1698">
            <v>137.53258036490007</v>
          </cell>
        </row>
        <row r="1699">
          <cell r="B1699">
            <v>42912</v>
          </cell>
          <cell r="F1699">
            <v>115.37779467380638</v>
          </cell>
          <cell r="G1699">
            <v>117.84552648186806</v>
          </cell>
          <cell r="H1699">
            <v>141.18158123370984</v>
          </cell>
        </row>
        <row r="1700">
          <cell r="B1700">
            <v>42911</v>
          </cell>
          <cell r="F1700">
            <v>116.19425547996973</v>
          </cell>
          <cell r="G1700">
            <v>119.06403223457448</v>
          </cell>
          <cell r="H1700">
            <v>137.83666377063423</v>
          </cell>
        </row>
        <row r="1701">
          <cell r="B1701">
            <v>42910</v>
          </cell>
          <cell r="F1701">
            <v>116.19425547996973</v>
          </cell>
          <cell r="G1701">
            <v>119.06403223457448</v>
          </cell>
          <cell r="H1701">
            <v>137.83666377063423</v>
          </cell>
        </row>
        <row r="1702">
          <cell r="B1702">
            <v>42909</v>
          </cell>
          <cell r="F1702">
            <v>116.19425547996973</v>
          </cell>
          <cell r="G1702">
            <v>119.06403223457448</v>
          </cell>
          <cell r="H1702">
            <v>137.83666377063423</v>
          </cell>
        </row>
        <row r="1703">
          <cell r="B1703">
            <v>42908</v>
          </cell>
          <cell r="F1703">
            <v>116.54940274258645</v>
          </cell>
          <cell r="G1703">
            <v>118.47177047429487</v>
          </cell>
          <cell r="H1703">
            <v>138.53171155516941</v>
          </cell>
        </row>
        <row r="1704">
          <cell r="B1704">
            <v>42907</v>
          </cell>
          <cell r="F1704">
            <v>115.15227434322135</v>
          </cell>
          <cell r="G1704">
            <v>118.99606777028011</v>
          </cell>
          <cell r="H1704">
            <v>139.05299739357079</v>
          </cell>
        </row>
        <row r="1705">
          <cell r="B1705">
            <v>42906</v>
          </cell>
          <cell r="F1705">
            <v>115.66002901799295</v>
          </cell>
          <cell r="G1705">
            <v>116.5056556143502</v>
          </cell>
          <cell r="H1705">
            <v>133.92701998262379</v>
          </cell>
        </row>
        <row r="1706">
          <cell r="B1706">
            <v>42905</v>
          </cell>
          <cell r="F1706">
            <v>114.19150045851435</v>
          </cell>
          <cell r="G1706">
            <v>117.0687897470751</v>
          </cell>
          <cell r="H1706">
            <v>135.53431798436142</v>
          </cell>
        </row>
        <row r="1707">
          <cell r="B1707">
            <v>42904</v>
          </cell>
          <cell r="F1707">
            <v>113.33130986105495</v>
          </cell>
          <cell r="G1707">
            <v>114.69003349677169</v>
          </cell>
          <cell r="H1707">
            <v>129.71329278887924</v>
          </cell>
        </row>
        <row r="1708">
          <cell r="B1708">
            <v>42903</v>
          </cell>
          <cell r="F1708">
            <v>113.33130986105495</v>
          </cell>
          <cell r="G1708">
            <v>114.69003349677169</v>
          </cell>
          <cell r="H1708">
            <v>129.71329278887924</v>
          </cell>
        </row>
        <row r="1709">
          <cell r="B1709">
            <v>42902</v>
          </cell>
          <cell r="F1709">
            <v>113.33130986105495</v>
          </cell>
          <cell r="G1709">
            <v>114.69003349677169</v>
          </cell>
          <cell r="H1709">
            <v>129.71329278887924</v>
          </cell>
        </row>
        <row r="1710">
          <cell r="B1710">
            <v>42901</v>
          </cell>
          <cell r="F1710">
            <v>111.83529068176237</v>
          </cell>
          <cell r="G1710">
            <v>115.53473469585902</v>
          </cell>
          <cell r="H1710">
            <v>132.75412684622069</v>
          </cell>
        </row>
        <row r="1711">
          <cell r="B1711">
            <v>42900</v>
          </cell>
          <cell r="F1711">
            <v>111.63708927525529</v>
          </cell>
          <cell r="G1711">
            <v>116.77265886693529</v>
          </cell>
          <cell r="H1711">
            <v>134.92615117289313</v>
          </cell>
        </row>
        <row r="1712">
          <cell r="B1712">
            <v>42899</v>
          </cell>
          <cell r="F1712">
            <v>112.02412659173358</v>
          </cell>
          <cell r="G1712">
            <v>117.9377639691247</v>
          </cell>
          <cell r="H1712">
            <v>137.01129452649869</v>
          </cell>
        </row>
        <row r="1713">
          <cell r="B1713">
            <v>42898</v>
          </cell>
          <cell r="F1713">
            <v>111.9290089098094</v>
          </cell>
          <cell r="G1713">
            <v>117.80668964512839</v>
          </cell>
          <cell r="H1713">
            <v>135.53431798436142</v>
          </cell>
        </row>
        <row r="1714">
          <cell r="B1714">
            <v>42897</v>
          </cell>
          <cell r="F1714">
            <v>114.62244499769008</v>
          </cell>
          <cell r="G1714">
            <v>118.13194815282296</v>
          </cell>
          <cell r="H1714">
            <v>132.92788879235448</v>
          </cell>
        </row>
        <row r="1715">
          <cell r="B1715">
            <v>42896</v>
          </cell>
          <cell r="F1715">
            <v>114.62244499769008</v>
          </cell>
          <cell r="G1715">
            <v>118.13194815282296</v>
          </cell>
          <cell r="H1715">
            <v>132.92788879235448</v>
          </cell>
        </row>
        <row r="1716">
          <cell r="B1716">
            <v>42895</v>
          </cell>
          <cell r="F1716">
            <v>114.62244499769008</v>
          </cell>
          <cell r="G1716">
            <v>118.13194815282296</v>
          </cell>
          <cell r="H1716">
            <v>132.92788879235448</v>
          </cell>
        </row>
        <row r="1717">
          <cell r="B1717">
            <v>42894</v>
          </cell>
          <cell r="F1717">
            <v>115.12102792254298</v>
          </cell>
          <cell r="G1717">
            <v>123.7681440846643</v>
          </cell>
          <cell r="H1717">
            <v>140.96437880104259</v>
          </cell>
        </row>
        <row r="1718">
          <cell r="B1718">
            <v>42893</v>
          </cell>
          <cell r="F1718">
            <v>114.08667655144431</v>
          </cell>
          <cell r="G1718">
            <v>123.44288557696974</v>
          </cell>
          <cell r="H1718">
            <v>141.18158123370984</v>
          </cell>
        </row>
        <row r="1719">
          <cell r="B1719">
            <v>42892</v>
          </cell>
          <cell r="F1719">
            <v>113.8644202106444</v>
          </cell>
          <cell r="G1719">
            <v>123.2389921840866</v>
          </cell>
          <cell r="H1719">
            <v>137.14161598609905</v>
          </cell>
        </row>
        <row r="1720">
          <cell r="B1720">
            <v>42891</v>
          </cell>
          <cell r="F1720">
            <v>114.67961900257724</v>
          </cell>
          <cell r="G1720">
            <v>122.43798242633137</v>
          </cell>
          <cell r="H1720">
            <v>135.57775847089488</v>
          </cell>
        </row>
        <row r="1721">
          <cell r="B1721">
            <v>42890</v>
          </cell>
          <cell r="F1721">
            <v>113.00794134432168</v>
          </cell>
          <cell r="G1721">
            <v>123.56425069178114</v>
          </cell>
          <cell r="H1721">
            <v>135.57775847089488</v>
          </cell>
        </row>
        <row r="1722">
          <cell r="B1722">
            <v>42889</v>
          </cell>
          <cell r="F1722">
            <v>113.00794134432168</v>
          </cell>
          <cell r="G1722">
            <v>123.56425069178114</v>
          </cell>
          <cell r="H1722">
            <v>135.57775847089488</v>
          </cell>
        </row>
        <row r="1723">
          <cell r="B1723">
            <v>42888</v>
          </cell>
          <cell r="F1723">
            <v>113.00794134432168</v>
          </cell>
          <cell r="G1723">
            <v>123.56425069178114</v>
          </cell>
          <cell r="H1723">
            <v>135.57775847089488</v>
          </cell>
        </row>
        <row r="1724">
          <cell r="B1724">
            <v>42887</v>
          </cell>
          <cell r="F1724">
            <v>111.90420802929526</v>
          </cell>
          <cell r="G1724">
            <v>113.88416913442401</v>
          </cell>
          <cell r="H1724">
            <v>133.62293657688966</v>
          </cell>
        </row>
        <row r="1725">
          <cell r="B1725">
            <v>42886</v>
          </cell>
          <cell r="F1725">
            <v>109.77828997509202</v>
          </cell>
          <cell r="G1725">
            <v>116.25807078013494</v>
          </cell>
          <cell r="H1725">
            <v>133.66637706342311</v>
          </cell>
        </row>
        <row r="1726">
          <cell r="B1726">
            <v>42885</v>
          </cell>
          <cell r="F1726">
            <v>111.88561681982736</v>
          </cell>
          <cell r="G1726">
            <v>116.42312733627844</v>
          </cell>
          <cell r="H1726">
            <v>133.36229365768898</v>
          </cell>
        </row>
        <row r="1727">
          <cell r="B1727">
            <v>42884</v>
          </cell>
          <cell r="F1727">
            <v>111.88561681982736</v>
          </cell>
          <cell r="G1727">
            <v>117.09791737462984</v>
          </cell>
          <cell r="H1727">
            <v>129.27888792354477</v>
          </cell>
        </row>
        <row r="1728">
          <cell r="B1728">
            <v>42883</v>
          </cell>
          <cell r="F1728">
            <v>111.88561681982736</v>
          </cell>
          <cell r="G1728">
            <v>117.09791737462984</v>
          </cell>
          <cell r="H1728">
            <v>129.27888792354477</v>
          </cell>
        </row>
        <row r="1729">
          <cell r="B1729">
            <v>42882</v>
          </cell>
          <cell r="F1729">
            <v>111.88561681982736</v>
          </cell>
          <cell r="G1729">
            <v>117.09791737462984</v>
          </cell>
          <cell r="H1729">
            <v>129.27888792354477</v>
          </cell>
        </row>
        <row r="1730">
          <cell r="B1730">
            <v>42881</v>
          </cell>
          <cell r="F1730">
            <v>111.88561681982736</v>
          </cell>
          <cell r="G1730">
            <v>117.09791737462984</v>
          </cell>
          <cell r="H1730">
            <v>129.27888792354477</v>
          </cell>
        </row>
        <row r="1731">
          <cell r="B1731">
            <v>42880</v>
          </cell>
          <cell r="F1731">
            <v>111.97491100723349</v>
          </cell>
          <cell r="G1731">
            <v>116.92800621389388</v>
          </cell>
          <cell r="H1731">
            <v>127.84535186794092</v>
          </cell>
        </row>
        <row r="1732">
          <cell r="B1732">
            <v>42879</v>
          </cell>
          <cell r="F1732">
            <v>110.85017508899202</v>
          </cell>
          <cell r="G1732">
            <v>116.31632603524442</v>
          </cell>
          <cell r="H1732">
            <v>125.93397046046914</v>
          </cell>
        </row>
        <row r="1733">
          <cell r="B1733">
            <v>42878</v>
          </cell>
          <cell r="F1733">
            <v>110.66119569520927</v>
          </cell>
          <cell r="G1733">
            <v>114.8308170299529</v>
          </cell>
          <cell r="H1733">
            <v>122.89313640312771</v>
          </cell>
        </row>
        <row r="1734">
          <cell r="B1734">
            <v>42877</v>
          </cell>
          <cell r="F1734">
            <v>111.25188097665162</v>
          </cell>
          <cell r="G1734">
            <v>115.7240642749648</v>
          </cell>
          <cell r="H1734">
            <v>121.89400521285837</v>
          </cell>
        </row>
        <row r="1735">
          <cell r="B1735">
            <v>42876</v>
          </cell>
          <cell r="F1735">
            <v>110.10772367512722</v>
          </cell>
          <cell r="G1735">
            <v>113.64629350939366</v>
          </cell>
          <cell r="H1735">
            <v>120.85143353605561</v>
          </cell>
        </row>
        <row r="1736">
          <cell r="B1736">
            <v>42875</v>
          </cell>
          <cell r="F1736">
            <v>110.10772367512722</v>
          </cell>
          <cell r="G1736">
            <v>113.64629350939366</v>
          </cell>
          <cell r="H1736">
            <v>120.85143353605561</v>
          </cell>
        </row>
        <row r="1737">
          <cell r="B1737">
            <v>42874</v>
          </cell>
          <cell r="F1737">
            <v>110.10772367512722</v>
          </cell>
          <cell r="G1737">
            <v>113.64629350939366</v>
          </cell>
          <cell r="H1737">
            <v>120.85143353605561</v>
          </cell>
        </row>
        <row r="1738">
          <cell r="B1738">
            <v>42873</v>
          </cell>
          <cell r="F1738">
            <v>109.6186740827293</v>
          </cell>
          <cell r="G1738">
            <v>115.37453274430798</v>
          </cell>
          <cell r="H1738">
            <v>119.37445699391833</v>
          </cell>
        </row>
        <row r="1739">
          <cell r="B1739">
            <v>42872</v>
          </cell>
          <cell r="F1739">
            <v>110.1798843423732</v>
          </cell>
          <cell r="G1739">
            <v>112.22874896839652</v>
          </cell>
          <cell r="H1739">
            <v>117.28931364031277</v>
          </cell>
        </row>
        <row r="1740">
          <cell r="B1740">
            <v>42871</v>
          </cell>
          <cell r="F1740">
            <v>110.55270793232313</v>
          </cell>
          <cell r="G1740">
            <v>116.84062333122966</v>
          </cell>
          <cell r="H1740">
            <v>126.06429192006952</v>
          </cell>
        </row>
        <row r="1741">
          <cell r="B1741">
            <v>42870</v>
          </cell>
          <cell r="F1741">
            <v>111.58610529260862</v>
          </cell>
          <cell r="G1741">
            <v>116.03961357347443</v>
          </cell>
          <cell r="H1741">
            <v>125.23892267593398</v>
          </cell>
        </row>
        <row r="1742">
          <cell r="B1742">
            <v>42869</v>
          </cell>
          <cell r="F1742">
            <v>111.05359827812198</v>
          </cell>
          <cell r="G1742">
            <v>114.54924996359046</v>
          </cell>
          <cell r="H1742">
            <v>125.67332754126845</v>
          </cell>
        </row>
        <row r="1743">
          <cell r="B1743">
            <v>42868</v>
          </cell>
          <cell r="F1743">
            <v>111.05359827812198</v>
          </cell>
          <cell r="G1743">
            <v>114.54924996359046</v>
          </cell>
          <cell r="H1743">
            <v>125.67332754126845</v>
          </cell>
        </row>
        <row r="1744">
          <cell r="B1744">
            <v>42867</v>
          </cell>
          <cell r="F1744">
            <v>111.05359827812198</v>
          </cell>
          <cell r="G1744">
            <v>114.54924996359046</v>
          </cell>
          <cell r="H1744">
            <v>125.67332754126845</v>
          </cell>
        </row>
        <row r="1745">
          <cell r="B1745">
            <v>42866</v>
          </cell>
          <cell r="F1745">
            <v>112.07766781861149</v>
          </cell>
          <cell r="G1745">
            <v>112.18505752706443</v>
          </cell>
          <cell r="H1745">
            <v>126.10773240660296</v>
          </cell>
        </row>
        <row r="1746">
          <cell r="B1746">
            <v>42865</v>
          </cell>
          <cell r="F1746">
            <v>110.53495784673252</v>
          </cell>
          <cell r="G1746">
            <v>112.30156803728337</v>
          </cell>
          <cell r="H1746">
            <v>127.36750651607298</v>
          </cell>
        </row>
        <row r="1747">
          <cell r="B1747">
            <v>42864</v>
          </cell>
          <cell r="F1747">
            <v>109.49901887484586</v>
          </cell>
          <cell r="G1747">
            <v>110.90829651924852</v>
          </cell>
          <cell r="H1747">
            <v>125.15204170286707</v>
          </cell>
        </row>
        <row r="1748">
          <cell r="B1748">
            <v>42863</v>
          </cell>
          <cell r="F1748">
            <v>109.26090891429709</v>
          </cell>
          <cell r="G1748">
            <v>109.26744016699841</v>
          </cell>
          <cell r="H1748">
            <v>121.89400521285837</v>
          </cell>
        </row>
        <row r="1749">
          <cell r="B1749">
            <v>42862</v>
          </cell>
          <cell r="F1749">
            <v>106.48893483663132</v>
          </cell>
          <cell r="G1749">
            <v>109.93252099616487</v>
          </cell>
          <cell r="H1749">
            <v>122.50217202432667</v>
          </cell>
        </row>
        <row r="1750">
          <cell r="B1750">
            <v>42861</v>
          </cell>
          <cell r="F1750">
            <v>106.48893483663132</v>
          </cell>
          <cell r="G1750">
            <v>109.93252099616487</v>
          </cell>
          <cell r="H1750">
            <v>122.50217202432667</v>
          </cell>
        </row>
        <row r="1751">
          <cell r="B1751">
            <v>42860</v>
          </cell>
          <cell r="F1751">
            <v>106.48893483663132</v>
          </cell>
          <cell r="G1751">
            <v>109.93252099616487</v>
          </cell>
          <cell r="H1751">
            <v>122.50217202432667</v>
          </cell>
        </row>
        <row r="1752">
          <cell r="B1752">
            <v>42859</v>
          </cell>
          <cell r="F1752">
            <v>106.94640109920519</v>
          </cell>
          <cell r="G1752">
            <v>108.4518665954658</v>
          </cell>
          <cell r="H1752">
            <v>120.72111207645526</v>
          </cell>
        </row>
        <row r="1753">
          <cell r="B1753">
            <v>42858</v>
          </cell>
          <cell r="F1753">
            <v>107.22767034771836</v>
          </cell>
          <cell r="G1753">
            <v>109.1800572843342</v>
          </cell>
          <cell r="H1753">
            <v>121.63336229365768</v>
          </cell>
        </row>
        <row r="1754">
          <cell r="B1754">
            <v>42857</v>
          </cell>
          <cell r="F1754">
            <v>106.41888232027065</v>
          </cell>
          <cell r="G1754">
            <v>109.44706053691927</v>
          </cell>
          <cell r="H1754">
            <v>120.63423110338836</v>
          </cell>
        </row>
        <row r="1755">
          <cell r="B1755">
            <v>42856</v>
          </cell>
          <cell r="F1755">
            <v>104.78455296305937</v>
          </cell>
          <cell r="G1755">
            <v>107.44210884023495</v>
          </cell>
          <cell r="H1755">
            <v>122.89313640312771</v>
          </cell>
        </row>
        <row r="1756">
          <cell r="B1756">
            <v>42855</v>
          </cell>
          <cell r="F1756">
            <v>104.91658907449613</v>
          </cell>
          <cell r="G1756">
            <v>107.19452400601969</v>
          </cell>
          <cell r="H1756">
            <v>120.19982623805387</v>
          </cell>
        </row>
        <row r="1757">
          <cell r="B1757">
            <v>42854</v>
          </cell>
          <cell r="F1757">
            <v>104.91658907449613</v>
          </cell>
          <cell r="G1757">
            <v>107.19452400601969</v>
          </cell>
          <cell r="H1757">
            <v>120.19982623805387</v>
          </cell>
        </row>
        <row r="1758">
          <cell r="B1758">
            <v>42853</v>
          </cell>
          <cell r="F1758">
            <v>104.91658907449613</v>
          </cell>
          <cell r="G1758">
            <v>107.19452400601969</v>
          </cell>
          <cell r="H1758">
            <v>120.19982623805387</v>
          </cell>
        </row>
        <row r="1759">
          <cell r="B1759">
            <v>42852</v>
          </cell>
          <cell r="F1759">
            <v>104.13854262534106</v>
          </cell>
          <cell r="G1759">
            <v>108.30137385309966</v>
          </cell>
          <cell r="H1759">
            <v>120.02606429192006</v>
          </cell>
        </row>
        <row r="1760">
          <cell r="B1760">
            <v>42851</v>
          </cell>
          <cell r="F1760">
            <v>103.1928789243878</v>
          </cell>
          <cell r="G1760">
            <v>107.61687460556337</v>
          </cell>
          <cell r="H1760">
            <v>116.37706342311034</v>
          </cell>
        </row>
        <row r="1761">
          <cell r="B1761">
            <v>42850</v>
          </cell>
          <cell r="F1761">
            <v>103.64021725848114</v>
          </cell>
          <cell r="G1761">
            <v>108.35477450361668</v>
          </cell>
          <cell r="H1761">
            <v>117.24587315377933</v>
          </cell>
        </row>
        <row r="1762">
          <cell r="B1762">
            <v>42849</v>
          </cell>
          <cell r="F1762">
            <v>102.16736730686216</v>
          </cell>
          <cell r="G1762">
            <v>107.4032720034953</v>
          </cell>
          <cell r="H1762">
            <v>115.42137271937447</v>
          </cell>
        </row>
        <row r="1763">
          <cell r="B1763">
            <v>42848</v>
          </cell>
          <cell r="F1763">
            <v>101.78716271257025</v>
          </cell>
          <cell r="G1763">
            <v>105.66532355939609</v>
          </cell>
          <cell r="H1763">
            <v>118.67940920938315</v>
          </cell>
        </row>
        <row r="1764">
          <cell r="B1764">
            <v>42847</v>
          </cell>
          <cell r="F1764">
            <v>101.78716271257025</v>
          </cell>
          <cell r="G1764">
            <v>105.66532355939609</v>
          </cell>
          <cell r="H1764">
            <v>118.67940920938315</v>
          </cell>
        </row>
        <row r="1765">
          <cell r="B1765">
            <v>42846</v>
          </cell>
          <cell r="F1765">
            <v>101.78716271257025</v>
          </cell>
          <cell r="G1765">
            <v>105.66532355939609</v>
          </cell>
          <cell r="H1765">
            <v>118.67940920938315</v>
          </cell>
        </row>
        <row r="1766">
          <cell r="B1766">
            <v>42845</v>
          </cell>
          <cell r="F1766">
            <v>100.10087888596557</v>
          </cell>
          <cell r="G1766">
            <v>105.93232681198117</v>
          </cell>
          <cell r="H1766">
            <v>121.4596003475239</v>
          </cell>
        </row>
        <row r="1767">
          <cell r="B1767">
            <v>42844</v>
          </cell>
          <cell r="F1767">
            <v>99.797105611250345</v>
          </cell>
          <cell r="G1767">
            <v>103.70891790863635</v>
          </cell>
          <cell r="H1767">
            <v>118.41876629018246</v>
          </cell>
        </row>
        <row r="1768">
          <cell r="B1768">
            <v>42843</v>
          </cell>
          <cell r="F1768">
            <v>100.6494258427778</v>
          </cell>
          <cell r="G1768">
            <v>103.45162386523616</v>
          </cell>
          <cell r="H1768">
            <v>117.89748045178105</v>
          </cell>
        </row>
        <row r="1769">
          <cell r="B1769">
            <v>42842</v>
          </cell>
          <cell r="F1769">
            <v>100.56377205239716</v>
          </cell>
          <cell r="G1769">
            <v>103.8254284188553</v>
          </cell>
          <cell r="H1769">
            <v>117.85403996524761</v>
          </cell>
        </row>
        <row r="1770">
          <cell r="B1770">
            <v>42841</v>
          </cell>
          <cell r="F1770">
            <v>101.22477200144861</v>
          </cell>
          <cell r="G1770">
            <v>102.58750424777901</v>
          </cell>
          <cell r="H1770">
            <v>116.15986099044309</v>
          </cell>
        </row>
        <row r="1771">
          <cell r="B1771">
            <v>42840</v>
          </cell>
          <cell r="F1771">
            <v>101.22477200144861</v>
          </cell>
          <cell r="G1771">
            <v>102.58750424777901</v>
          </cell>
          <cell r="H1771">
            <v>116.15986099044309</v>
          </cell>
        </row>
        <row r="1772">
          <cell r="B1772">
            <v>42839</v>
          </cell>
          <cell r="F1772">
            <v>101.22477200144861</v>
          </cell>
          <cell r="G1772">
            <v>102.58750424777901</v>
          </cell>
          <cell r="H1772">
            <v>116.15986099044309</v>
          </cell>
        </row>
        <row r="1773">
          <cell r="B1773">
            <v>42838</v>
          </cell>
          <cell r="F1773">
            <v>102.79386204976039</v>
          </cell>
          <cell r="G1773">
            <v>102.58750424777901</v>
          </cell>
          <cell r="H1773">
            <v>116.15986099044309</v>
          </cell>
        </row>
        <row r="1774">
          <cell r="B1774">
            <v>42837</v>
          </cell>
          <cell r="F1774">
            <v>102.24880348617471</v>
          </cell>
          <cell r="G1774">
            <v>101.55832807417835</v>
          </cell>
          <cell r="H1774">
            <v>115.94265855777586</v>
          </cell>
        </row>
        <row r="1775">
          <cell r="B1775">
            <v>42836</v>
          </cell>
          <cell r="F1775">
            <v>101.39789803323526</v>
          </cell>
          <cell r="G1775">
            <v>105.61192290887907</v>
          </cell>
          <cell r="H1775">
            <v>118.07124239791487</v>
          </cell>
        </row>
        <row r="1776">
          <cell r="B1776">
            <v>42835</v>
          </cell>
          <cell r="F1776">
            <v>100.90983041454815</v>
          </cell>
          <cell r="G1776">
            <v>105.8400893247245</v>
          </cell>
          <cell r="H1776">
            <v>120.06950477845353</v>
          </cell>
        </row>
        <row r="1777">
          <cell r="B1777">
            <v>42834</v>
          </cell>
          <cell r="F1777">
            <v>101.53043564258523</v>
          </cell>
          <cell r="G1777">
            <v>105.95174523035098</v>
          </cell>
          <cell r="H1777">
            <v>123.89226759339704</v>
          </cell>
        </row>
        <row r="1778">
          <cell r="B1778">
            <v>42833</v>
          </cell>
          <cell r="F1778">
            <v>101.53043564258523</v>
          </cell>
          <cell r="G1778">
            <v>105.95174523035098</v>
          </cell>
          <cell r="H1778">
            <v>123.89226759339704</v>
          </cell>
        </row>
        <row r="1779">
          <cell r="B1779">
            <v>42832</v>
          </cell>
          <cell r="F1779">
            <v>101.53043564258523</v>
          </cell>
          <cell r="G1779">
            <v>105.95174523035098</v>
          </cell>
          <cell r="H1779">
            <v>123.89226759339704</v>
          </cell>
        </row>
        <row r="1780">
          <cell r="B1780">
            <v>42831</v>
          </cell>
          <cell r="F1780">
            <v>102.00622120626053</v>
          </cell>
          <cell r="G1780">
            <v>105.58764988591678</v>
          </cell>
          <cell r="H1780">
            <v>124.32667245873155</v>
          </cell>
        </row>
        <row r="1781">
          <cell r="B1781">
            <v>42830</v>
          </cell>
          <cell r="F1781">
            <v>103.36028915452793</v>
          </cell>
          <cell r="G1781">
            <v>105.40802951599591</v>
          </cell>
          <cell r="H1781">
            <v>122.76281494352739</v>
          </cell>
        </row>
        <row r="1782">
          <cell r="B1782">
            <v>42829</v>
          </cell>
          <cell r="F1782">
            <v>101.41843971631207</v>
          </cell>
          <cell r="G1782">
            <v>106.29642215641535</v>
          </cell>
          <cell r="H1782">
            <v>124.1963509991312</v>
          </cell>
        </row>
        <row r="1783">
          <cell r="B1783">
            <v>42828</v>
          </cell>
          <cell r="F1783">
            <v>101.41843971631207</v>
          </cell>
          <cell r="G1783">
            <v>106.21874848293606</v>
          </cell>
          <cell r="H1783">
            <v>124.41355343179845</v>
          </cell>
        </row>
        <row r="1784">
          <cell r="B1784">
            <v>42827</v>
          </cell>
          <cell r="F1784">
            <v>101.41843971631207</v>
          </cell>
          <cell r="G1784">
            <v>106.29642215641535</v>
          </cell>
          <cell r="H1784">
            <v>125.54300608166811</v>
          </cell>
        </row>
        <row r="1785">
          <cell r="B1785">
            <v>42826</v>
          </cell>
          <cell r="F1785">
            <v>101.41843971631207</v>
          </cell>
          <cell r="G1785">
            <v>106.29642215641535</v>
          </cell>
          <cell r="H1785">
            <v>125.54300608166811</v>
          </cell>
        </row>
        <row r="1786">
          <cell r="B1786">
            <v>42825</v>
          </cell>
          <cell r="F1786">
            <v>101.41843971631207</v>
          </cell>
          <cell r="G1786">
            <v>106.29642215641535</v>
          </cell>
          <cell r="H1786">
            <v>125.54300608166811</v>
          </cell>
        </row>
        <row r="1787">
          <cell r="B1787">
            <v>42824</v>
          </cell>
          <cell r="F1787">
            <v>102.78368712610498</v>
          </cell>
          <cell r="G1787">
            <v>106.8207194524006</v>
          </cell>
          <cell r="H1787">
            <v>125.84708948740226</v>
          </cell>
        </row>
        <row r="1788">
          <cell r="B1788">
            <v>42823</v>
          </cell>
          <cell r="F1788">
            <v>103.2846387526273</v>
          </cell>
          <cell r="G1788">
            <v>107.4372542356425</v>
          </cell>
          <cell r="H1788">
            <v>123.80538662033015</v>
          </cell>
        </row>
        <row r="1789">
          <cell r="B1789">
            <v>42822</v>
          </cell>
          <cell r="F1789">
            <v>104.59749336241131</v>
          </cell>
          <cell r="G1789">
            <v>107.26248847031408</v>
          </cell>
          <cell r="H1789">
            <v>124.63075586446568</v>
          </cell>
        </row>
        <row r="1790">
          <cell r="B1790">
            <v>42821</v>
          </cell>
          <cell r="F1790">
            <v>103.85949859634064</v>
          </cell>
          <cell r="G1790">
            <v>106.34011359774746</v>
          </cell>
          <cell r="H1790">
            <v>124.93483927019983</v>
          </cell>
        </row>
        <row r="1791">
          <cell r="B1791">
            <v>42820</v>
          </cell>
          <cell r="F1791">
            <v>103.12986382509499</v>
          </cell>
          <cell r="G1791">
            <v>106.3012767610078</v>
          </cell>
          <cell r="H1791">
            <v>123.50130321459601</v>
          </cell>
        </row>
        <row r="1792">
          <cell r="B1792">
            <v>42819</v>
          </cell>
          <cell r="F1792">
            <v>103.12986382509499</v>
          </cell>
          <cell r="G1792">
            <v>106.3012767610078</v>
          </cell>
          <cell r="H1792">
            <v>123.50130321459601</v>
          </cell>
        </row>
        <row r="1793">
          <cell r="B1793">
            <v>42818</v>
          </cell>
          <cell r="F1793">
            <v>103.12986382509499</v>
          </cell>
          <cell r="G1793">
            <v>106.3012767610078</v>
          </cell>
          <cell r="H1793">
            <v>123.50130321459601</v>
          </cell>
        </row>
        <row r="1794">
          <cell r="B1794">
            <v>42817</v>
          </cell>
          <cell r="F1794">
            <v>103.3320983833097</v>
          </cell>
          <cell r="G1794">
            <v>105.27695519199962</v>
          </cell>
          <cell r="H1794">
            <v>114.98696785403996</v>
          </cell>
        </row>
        <row r="1795">
          <cell r="B1795">
            <v>42816</v>
          </cell>
          <cell r="F1795">
            <v>103.27107549056365</v>
          </cell>
          <cell r="G1795">
            <v>105.54881304917714</v>
          </cell>
          <cell r="H1795">
            <v>113.20590790616853</v>
          </cell>
        </row>
        <row r="1796">
          <cell r="B1796">
            <v>42815</v>
          </cell>
          <cell r="F1796">
            <v>104.02043530425227</v>
          </cell>
          <cell r="G1796">
            <v>104.8691684062333</v>
          </cell>
          <cell r="H1796">
            <v>110.8601216333623</v>
          </cell>
        </row>
        <row r="1797">
          <cell r="B1797">
            <v>42814</v>
          </cell>
          <cell r="F1797">
            <v>102.58061082119296</v>
          </cell>
          <cell r="G1797">
            <v>107.4032720034953</v>
          </cell>
          <cell r="H1797">
            <v>113.85751520417028</v>
          </cell>
        </row>
        <row r="1798">
          <cell r="B1798">
            <v>42813</v>
          </cell>
          <cell r="F1798">
            <v>102.07641357290747</v>
          </cell>
          <cell r="G1798">
            <v>107.37414437594057</v>
          </cell>
          <cell r="H1798">
            <v>112.07645525629889</v>
          </cell>
        </row>
        <row r="1799">
          <cell r="B1799">
            <v>42812</v>
          </cell>
          <cell r="F1799">
            <v>102.07641357290747</v>
          </cell>
          <cell r="G1799">
            <v>107.37414437594057</v>
          </cell>
          <cell r="H1799">
            <v>112.07645525629889</v>
          </cell>
        </row>
        <row r="1800">
          <cell r="B1800">
            <v>42811</v>
          </cell>
          <cell r="F1800">
            <v>102.07641357290747</v>
          </cell>
          <cell r="G1800">
            <v>107.37414437594057</v>
          </cell>
          <cell r="H1800">
            <v>112.07645525629889</v>
          </cell>
        </row>
        <row r="1801">
          <cell r="B1801">
            <v>42810</v>
          </cell>
          <cell r="F1801">
            <v>101.37319019210858</v>
          </cell>
          <cell r="G1801">
            <v>107.94698771785039</v>
          </cell>
          <cell r="H1801">
            <v>113.11902693310165</v>
          </cell>
        </row>
        <row r="1802">
          <cell r="B1802">
            <v>42809</v>
          </cell>
          <cell r="F1802">
            <v>99.482948930417507</v>
          </cell>
          <cell r="G1802">
            <v>109.68008155735716</v>
          </cell>
          <cell r="H1802">
            <v>113.46655082536925</v>
          </cell>
        </row>
        <row r="1803">
          <cell r="B1803">
            <v>42808</v>
          </cell>
          <cell r="F1803">
            <v>97.767171148326582</v>
          </cell>
          <cell r="G1803">
            <v>108.91305403174911</v>
          </cell>
          <cell r="H1803">
            <v>111.12076455256299</v>
          </cell>
        </row>
        <row r="1804">
          <cell r="B1804">
            <v>42807</v>
          </cell>
          <cell r="F1804">
            <v>98.128279282660316</v>
          </cell>
          <cell r="G1804">
            <v>109.93252099616487</v>
          </cell>
          <cell r="H1804">
            <v>111.64205039096437</v>
          </cell>
        </row>
        <row r="1805">
          <cell r="B1805">
            <v>42806</v>
          </cell>
          <cell r="F1805">
            <v>96.20130920366185</v>
          </cell>
          <cell r="G1805">
            <v>109.88397495024029</v>
          </cell>
          <cell r="H1805">
            <v>109.38314509122502</v>
          </cell>
        </row>
        <row r="1806">
          <cell r="B1806">
            <v>42805</v>
          </cell>
          <cell r="F1806">
            <v>96.20130920366185</v>
          </cell>
          <cell r="G1806">
            <v>109.88397495024029</v>
          </cell>
          <cell r="H1806">
            <v>109.38314509122502</v>
          </cell>
        </row>
        <row r="1807">
          <cell r="B1807">
            <v>42804</v>
          </cell>
          <cell r="F1807">
            <v>96.20130920366185</v>
          </cell>
          <cell r="G1807">
            <v>109.88397495024029</v>
          </cell>
          <cell r="H1807">
            <v>109.38314509122502</v>
          </cell>
        </row>
        <row r="1808">
          <cell r="B1808">
            <v>42803</v>
          </cell>
          <cell r="F1808">
            <v>96.794195473525974</v>
          </cell>
          <cell r="G1808">
            <v>107.77707655711441</v>
          </cell>
          <cell r="H1808">
            <v>109.25282363162468</v>
          </cell>
        </row>
        <row r="1809">
          <cell r="B1809">
            <v>42802</v>
          </cell>
          <cell r="F1809">
            <v>98.461421215912253</v>
          </cell>
          <cell r="G1809">
            <v>106.6216806641099</v>
          </cell>
          <cell r="H1809">
            <v>110.251954821894</v>
          </cell>
        </row>
        <row r="1810">
          <cell r="B1810">
            <v>42801</v>
          </cell>
          <cell r="F1810">
            <v>97.798243876675272</v>
          </cell>
          <cell r="G1810">
            <v>106.43720568959658</v>
          </cell>
          <cell r="H1810">
            <v>111.38140747176368</v>
          </cell>
        </row>
        <row r="1811">
          <cell r="B1811">
            <v>42800</v>
          </cell>
          <cell r="F1811">
            <v>96.400142847745002</v>
          </cell>
          <cell r="G1811">
            <v>105.80125248798484</v>
          </cell>
          <cell r="H1811">
            <v>111.68549087749784</v>
          </cell>
        </row>
        <row r="1812">
          <cell r="B1812">
            <v>42799</v>
          </cell>
          <cell r="F1812">
            <v>96.816018280632022</v>
          </cell>
          <cell r="G1812">
            <v>105.98572746249818</v>
          </cell>
          <cell r="H1812">
            <v>111.07732406602955</v>
          </cell>
        </row>
        <row r="1813">
          <cell r="B1813">
            <v>42798</v>
          </cell>
          <cell r="F1813">
            <v>96.816018280632022</v>
          </cell>
          <cell r="G1813">
            <v>105.98572746249818</v>
          </cell>
          <cell r="H1813">
            <v>111.07732406602955</v>
          </cell>
        </row>
        <row r="1814">
          <cell r="B1814">
            <v>42797</v>
          </cell>
          <cell r="F1814">
            <v>96.816018280632022</v>
          </cell>
          <cell r="G1814">
            <v>105.98572746249818</v>
          </cell>
          <cell r="H1814">
            <v>111.07732406602955</v>
          </cell>
        </row>
        <row r="1815">
          <cell r="B1815">
            <v>42796</v>
          </cell>
          <cell r="F1815">
            <v>97.928550108373415</v>
          </cell>
          <cell r="G1815">
            <v>105.48570318947522</v>
          </cell>
          <cell r="H1815">
            <v>107.29800173761946</v>
          </cell>
        </row>
        <row r="1816">
          <cell r="B1816">
            <v>42795</v>
          </cell>
          <cell r="F1816">
            <v>98.37750073801584</v>
          </cell>
          <cell r="G1816">
            <v>104.44196320209717</v>
          </cell>
          <cell r="H1816">
            <v>106.64639443961772</v>
          </cell>
        </row>
        <row r="1817">
          <cell r="B1817">
            <v>42794</v>
          </cell>
          <cell r="F1817">
            <v>100.30995106035883</v>
          </cell>
          <cell r="G1817">
            <v>102.39817466867322</v>
          </cell>
          <cell r="H1817">
            <v>101.82450043440487</v>
          </cell>
        </row>
        <row r="1818">
          <cell r="B1818">
            <v>42793</v>
          </cell>
          <cell r="F1818">
            <v>100.30995106035883</v>
          </cell>
          <cell r="G1818">
            <v>103.53900674790037</v>
          </cell>
          <cell r="H1818">
            <v>103.21459600347525</v>
          </cell>
        </row>
        <row r="1819">
          <cell r="B1819">
            <v>42792</v>
          </cell>
          <cell r="F1819">
            <v>100.30995106035883</v>
          </cell>
          <cell r="G1819">
            <v>102.12631681149571</v>
          </cell>
          <cell r="H1819">
            <v>100.95569070373587</v>
          </cell>
        </row>
        <row r="1820">
          <cell r="B1820">
            <v>42791</v>
          </cell>
          <cell r="F1820">
            <v>100.30995106035883</v>
          </cell>
          <cell r="G1820">
            <v>102.12631681149571</v>
          </cell>
          <cell r="H1820">
            <v>100.95569070373587</v>
          </cell>
        </row>
        <row r="1821">
          <cell r="B1821">
            <v>42790</v>
          </cell>
          <cell r="F1821">
            <v>100.30995106035883</v>
          </cell>
          <cell r="G1821">
            <v>102.12631681149571</v>
          </cell>
          <cell r="H1821">
            <v>100.95569070373587</v>
          </cell>
        </row>
        <row r="1822">
          <cell r="B1822">
            <v>42789</v>
          </cell>
          <cell r="F1822">
            <v>99.816614652226605</v>
          </cell>
          <cell r="G1822">
            <v>102.22826350793727</v>
          </cell>
          <cell r="H1822">
            <v>101.99826238053866</v>
          </cell>
        </row>
        <row r="1823">
          <cell r="B1823">
            <v>42788</v>
          </cell>
          <cell r="F1823">
            <v>99.664133718477743</v>
          </cell>
          <cell r="G1823">
            <v>103.9662119520365</v>
          </cell>
          <cell r="H1823">
            <v>103.17115551694178</v>
          </cell>
        </row>
        <row r="1824">
          <cell r="B1824">
            <v>42787</v>
          </cell>
          <cell r="F1824">
            <v>100.42457665682802</v>
          </cell>
          <cell r="G1824">
            <v>103.28171270450022</v>
          </cell>
          <cell r="H1824">
            <v>103.25803649000869</v>
          </cell>
        </row>
        <row r="1825">
          <cell r="B1825">
            <v>42786</v>
          </cell>
          <cell r="F1825">
            <v>100.40500262375973</v>
          </cell>
          <cell r="G1825">
            <v>102.14573522986552</v>
          </cell>
          <cell r="H1825">
            <v>101.43353605560384</v>
          </cell>
        </row>
        <row r="1826">
          <cell r="B1826">
            <v>42785</v>
          </cell>
          <cell r="F1826">
            <v>99.790670353293763</v>
          </cell>
          <cell r="G1826">
            <v>102.14573522986552</v>
          </cell>
          <cell r="H1826">
            <v>101.43353605560384</v>
          </cell>
        </row>
        <row r="1827">
          <cell r="B1827">
            <v>42784</v>
          </cell>
          <cell r="F1827">
            <v>99.790670353293763</v>
          </cell>
          <cell r="G1827">
            <v>102.14573522986552</v>
          </cell>
          <cell r="H1827">
            <v>101.43353605560384</v>
          </cell>
        </row>
        <row r="1828">
          <cell r="B1828">
            <v>42783</v>
          </cell>
          <cell r="F1828">
            <v>99.790670353293763</v>
          </cell>
          <cell r="G1828">
            <v>102.14573522986552</v>
          </cell>
          <cell r="H1828">
            <v>101.43353605560384</v>
          </cell>
        </row>
        <row r="1829">
          <cell r="B1829">
            <v>42782</v>
          </cell>
          <cell r="F1829">
            <v>99.889535072614535</v>
          </cell>
          <cell r="G1829">
            <v>101.06315840574784</v>
          </cell>
          <cell r="H1829">
            <v>99.826238053866206</v>
          </cell>
        </row>
        <row r="1830">
          <cell r="B1830">
            <v>42781</v>
          </cell>
          <cell r="F1830">
            <v>100</v>
          </cell>
          <cell r="G1830">
            <v>100</v>
          </cell>
          <cell r="H1830">
            <v>100</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P"/>
      <sheetName val="BS"/>
      <sheetName val="TOSCO"/>
      <sheetName val="Segment ROCE"/>
      <sheetName val="ROGIC"/>
      <sheetName val="E&amp;P"/>
      <sheetName val="NEPS"/>
      <sheetName val="RefineryMaint"/>
      <sheetName val="Hamaca"/>
      <sheetName val="Bohai"/>
      <sheetName val="Bayu Undan"/>
      <sheetName val="R&amp;M"/>
      <sheetName val="GPM"/>
      <sheetName val="Variance"/>
      <sheetName val="ARCO - Alaska"/>
      <sheetName val="Capex"/>
      <sheetName val="Reserves"/>
      <sheetName val="WACC"/>
      <sheetName val="Valuation"/>
      <sheetName val="NAV"/>
      <sheetName val="Chemical JV"/>
      <sheetName val="Chems"/>
      <sheetName val="EKOFISK"/>
      <sheetName val="PUDS"/>
      <sheetName val="GE Data"/>
      <sheetName val="IndexInformation"/>
      <sheetName val="MainCode"/>
      <sheetName val="NY UPLOAD"/>
      <sheetName val="NY UPLOAD Shadow"/>
      <sheetName val="Distribution"/>
      <sheetName val="A-Link Source"/>
      <sheetName val="Q-Link Source"/>
      <sheetName val="Income Statement"/>
      <sheetName val="Revenue&amp;EBIT"/>
      <sheetName val="Fin. Summary"/>
      <sheetName val="COP"/>
      <sheetName val="XOM"/>
      <sheetName val="New Source Charts"/>
      <sheetName val="Modelware"/>
      <sheetName val="R&amp;MIS"/>
      <sheetName val="E&amp;P Growth &amp; Returns"/>
      <sheetName val="Global Product Sum"/>
      <sheetName val="Scenario"/>
      <sheetName val="Quarter"/>
      <sheetName val="Annual"/>
      <sheetName val="AN"/>
      <sheetName val="COC"/>
      <sheetName val="Inputs"/>
      <sheetName val="ｾｸﾞﾒﾝﾄ"/>
      <sheetName val="単独"/>
      <sheetName val="Factset Profile"/>
      <sheetName val="cash"/>
      <sheetName val="RD"/>
      <sheetName val="Quarterly"/>
      <sheetName val="Normalized"/>
      <sheetName val="DDM"/>
      <sheetName val="B Sheet"/>
      <sheetName val="NY UPLOAD.bak"/>
      <sheetName val="NY UPLOAD Shadow.bak"/>
      <sheetName val="Ratios"/>
      <sheetName val="Power Plants"/>
      <sheetName val="synthgraph"/>
      <sheetName val="Scene2"/>
      <sheetName val="Bridge"/>
      <sheetName val="AK"/>
      <sheetName val="Cyc"/>
      <sheetName val="WF G"/>
      <sheetName val="CF"/>
      <sheetName val="FX2"/>
      <sheetName val="IS"/>
      <sheetName val="KEY_FINANCIALS"/>
      <sheetName val="DATA_IMPORT"/>
      <sheetName val="Model"/>
      <sheetName val="DCF"/>
      <sheetName val="FX Impact"/>
      <sheetName val="Tracking --&gt;"/>
      <sheetName val="Relative"/>
      <sheetName val="NORM"/>
      <sheetName val="SOLP"/>
      <sheetName val="Liquids"/>
      <sheetName val="charts"/>
      <sheetName val="Apples-Ratios"/>
      <sheetName val="Quarterly Data"/>
      <sheetName val="Debt"/>
      <sheetName val="Sheet1"/>
      <sheetName val="US"/>
      <sheetName val="DL"/>
      <sheetName val="IBES"/>
      <sheetName val="Value-A"/>
      <sheetName val="Scenarios"/>
      <sheetName val="ACM"/>
      <sheetName val="MW Ratios"/>
      <sheetName val="Ratings"/>
      <sheetName val="Field"/>
      <sheetName val="REVS"/>
      <sheetName val="earnmodel"/>
      <sheetName val="O_fpage"/>
      <sheetName val="maturityprofile"/>
      <sheetName val="variables"/>
      <sheetName val="IP"/>
      <sheetName val="Vluation"/>
      <sheetName val="ChemiPal JV"/>
      <sheetName val="Old BKS"/>
      <sheetName val="Plants"/>
      <sheetName val="VeraSun"/>
      <sheetName val="Forecast Change"/>
      <sheetName val="CY Link"/>
      <sheetName val="New Source"/>
      <sheetName val="INFAnnual"/>
      <sheetName val="Balance Sheet"/>
      <sheetName val="HSCDS-Retail"/>
      <sheetName val="DVC"/>
      <sheetName val="Links"/>
      <sheetName val="SectorPSales"/>
      <sheetName val="BMW"/>
      <sheetName val="BalanceSheet"/>
      <sheetName val="Add"/>
      <sheetName val="Revenue Model"/>
      <sheetName val="LME 2010"/>
      <sheetName val="MERGER"/>
      <sheetName val="Input Income Statement"/>
      <sheetName val="Assumptions"/>
      <sheetName val="Qtrly P&amp;L and BalSheet"/>
      <sheetName val="GT"/>
      <sheetName val="3Q05 Variance"/>
      <sheetName val="Reserve"/>
      <sheetName val="Ex3"/>
      <sheetName val="MW ROE Analyzer"/>
      <sheetName val="Master"/>
      <sheetName val="model &amp; valuation"/>
      <sheetName val="Budget summary 2011"/>
      <sheetName val="B"/>
      <sheetName val="Print"/>
      <sheetName val="Revenue at Risk"/>
      <sheetName val="ERPRO sheet"/>
      <sheetName val="New RGM"/>
      <sheetName val="c1"/>
      <sheetName val="SCF &amp; BS"/>
      <sheetName val="__FDSCACHE__"/>
      <sheetName val="Cover"/>
      <sheetName val="Summary"/>
      <sheetName val="NAV Valuation"/>
      <sheetName val="Sensitivity"/>
      <sheetName val="Workings"/>
      <sheetName val="Inventory_and_Backlog"/>
      <sheetName val="PoC Curves"/>
      <sheetName val="Source"/>
      <sheetName val="DCF Valuation"/>
      <sheetName val="CashFlow Curves"/>
      <sheetName val="MW"/>
      <sheetName val="MacroData"/>
      <sheetName val="MS Disclaimers"/>
      <sheetName val="MS Disclosures"/>
      <sheetName val="SummaryMW"/>
      <sheetName val="MWA RR"/>
      <sheetName val="HIDE&gt;&gt;&gt;"/>
      <sheetName val="Consensus"/>
      <sheetName val="Quarterly Results"/>
      <sheetName val="&gt;&gt;"/>
      <sheetName val="LinkSheet"/>
      <sheetName val="Audit"/>
      <sheetName val="MW-Cache"/>
      <sheetName val="CenarioCal"/>
      <sheetName val="CenarioUpdate"/>
      <sheetName val="Graphs"/>
      <sheetName val="mwareDates"/>
      <sheetName val="mwareSettings"/>
      <sheetName val="Segment_ROCE"/>
      <sheetName val="US CLECS Input"/>
      <sheetName val="YTD Summaries"/>
      <sheetName val="Headcount Input Scheudle"/>
      <sheetName val="Capital Expenses"/>
      <sheetName val="Output_Q"/>
      <sheetName val="Cash Flow Statement"/>
      <sheetName val="Output_A"/>
      <sheetName val="LBOSHELL"/>
      <sheetName val="Comps"/>
      <sheetName val="GROUP P&amp;L"/>
      <sheetName val="IQ_GEO_SEG_EARNINGS_OP"/>
      <sheetName val="RenewProb"/>
      <sheetName val="Sheet2"/>
      <sheetName val="Commodities"/>
      <sheetName val="Data"/>
      <sheetName val="Sputtering"/>
      <sheetName val="Capacity"/>
      <sheetName val="New main"/>
      <sheetName val="P&amp;L"/>
      <sheetName val="A"/>
      <sheetName val="Bayu_Undan"/>
      <sheetName val="ARCO_-_Alaska"/>
      <sheetName val="Chemical_JV"/>
      <sheetName val="GE_Data"/>
      <sheetName val="NY_UPLOAD"/>
      <sheetName val="NY_UPLOAD_shadow"/>
      <sheetName val="NY_UPLOAD_bak"/>
      <sheetName val="NY_UPLOAD_Shadow_bak"/>
      <sheetName val="B_Sheet"/>
      <sheetName val="Quarterly_Data"/>
      <sheetName val="A-Link_Source"/>
      <sheetName val="MW_Ratios"/>
      <sheetName val="CY_Link"/>
      <sheetName val="ChemiPal_JV"/>
      <sheetName val="Old_BKS"/>
      <sheetName val="Forecast_Change"/>
      <sheetName val="New_Source"/>
      <sheetName val="Balance_Sheet"/>
      <sheetName val="Income_Statement"/>
      <sheetName val="Fin__Summary"/>
      <sheetName val="P&amp;L by Yr"/>
      <sheetName val="P&amp;L by Qtr"/>
      <sheetName val="TRANSACTION"/>
      <sheetName val="Ranges"/>
      <sheetName val="Upstream"/>
      <sheetName val="Segment"/>
      <sheetName val="Reserves &amp; Capex"/>
      <sheetName val="TV"/>
      <sheetName val="Financial Overview ShortProfile"/>
      <sheetName val="Assumptions &amp; Switches"/>
      <sheetName val="KM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GDP forecast"/>
      <sheetName val="Global"/>
      <sheetName val="Summary"/>
      <sheetName val="ADVOL"/>
      <sheetName val="GDP-Advol"/>
      <sheetName val="Recession Periods"/>
      <sheetName val="Industry forecasts"/>
      <sheetName val="Corp Profits"/>
      <sheetName val="New Regressions."/>
      <sheetName val="Sheet2"/>
      <sheetName val="NewCharts"/>
      <sheetName val="OrgG vs. x"/>
      <sheetName val="R2"/>
      <sheetName val="OMC vs. GDP"/>
      <sheetName val="Charts"/>
      <sheetName val="Regression Output"/>
      <sheetName val="Class"/>
      <sheetName val="Medium Adoption"/>
      <sheetName val="NRT%PCE%"/>
      <sheetName val="Recovered_Sheet1"/>
      <sheetName val="Recovered_Sheet2"/>
      <sheetName val="Recovered_Sheet3"/>
      <sheetName val="Recovered_Sheet4"/>
      <sheetName val="Recovered_Sheet5"/>
      <sheetName val="ADVGDP"/>
      <sheetName val="Recovered_Sheet6"/>
      <sheetName val="Recovered_Sheet7"/>
      <sheetName val="Recovered_Sheet8"/>
      <sheetName val="Recovered_Sheet9"/>
      <sheetName val="Sheet1"/>
      <sheetName val="Net Trade"/>
      <sheetName val="Revenue"/>
      <sheetName val="BC Data Page"/>
      <sheetName val="advolKP"/>
      <sheetName val="DCF"/>
      <sheetName val="WYE Revenue"/>
      <sheetName val="Cookbook"/>
      <sheetName val="Geos"/>
      <sheetName val="OFF-UTIL.XLS"/>
      <sheetName val="Cost"/>
      <sheetName val="main"/>
      <sheetName val="acquisition history"/>
      <sheetName val="INTCWKSH"/>
      <sheetName val="Qtrly"/>
      <sheetName val="I S"/>
      <sheetName val="Stock Price"/>
      <sheetName val="JET Merger Model"/>
    </sheetNames>
    <sheetDataSet>
      <sheetData sheetId="0" refreshError="1"/>
      <sheetData sheetId="1"/>
      <sheetData sheetId="2" refreshError="1"/>
      <sheetData sheetId="3" refreshError="1"/>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Links Fix"/>
      <sheetName val="Edge 10797 Drilling Inventory"/>
      <sheetName val="corp profile"/>
      <sheetName val="#REF"/>
      <sheetName val="D"/>
      <sheetName val="Income Statement"/>
      <sheetName val="Projections"/>
      <sheetName val="c"/>
      <sheetName val="Canada"/>
      <sheetName val="Model"/>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ash"/>
      <sheetName val="Exhibit 3"/>
      <sheetName val="Cash_published"/>
      <sheetName val="NVF_published"/>
      <sheetName val="Exhibit 5"/>
      <sheetName val="IFRS"/>
      <sheetName val="Exhibit 4"/>
      <sheetName val="IFRS Life"/>
      <sheetName val="Exhibit 1"/>
      <sheetName val="Exhibit 2"/>
      <sheetName val="MCEV Roll-up"/>
      <sheetName val="Weekahead"/>
      <sheetName val="MCEV_Capital"/>
      <sheetName val="Assets(new)"/>
      <sheetName val="MCEV P&amp;L"/>
      <sheetName val="Cash Flow"/>
      <sheetName val="upside_downside"/>
      <sheetName val="Income Statement"/>
      <sheetName val="Balance Sheet"/>
      <sheetName val="RI"/>
      <sheetName val="BULLBEAR"/>
      <sheetName val="Sheet2"/>
      <sheetName val="DCF"/>
      <sheetName val="MWA RR"/>
      <sheetName val="NonQtr"/>
      <sheetName val="REVENUE BY GEOGRAPHY"/>
      <sheetName val="Risk-Reward_View_Chart"/>
      <sheetName val="Valsum"/>
      <sheetName val="Data 20d"/>
      <sheetName val="Data"/>
      <sheetName val="Interims"/>
      <sheetName val="Financial Statements"/>
      <sheetName val="Good 12-00 (2)"/>
      <sheetName val="Good 11-36"/>
      <sheetName val="Good 11-50"/>
      <sheetName val="Sheet3 (5)"/>
      <sheetName val="Inputs"/>
      <sheetName val="FX"/>
      <sheetName val="CPB"/>
      <sheetName val="Total_Food_Promo"/>
      <sheetName val="CPB_2yr"/>
      <sheetName val="Summary"/>
      <sheetName val="Floater Demand"/>
      <sheetName val="B11_BarSingle_AverageLine"/>
      <sheetName val="Quero_Sales"/>
      <sheetName val="L2005"/>
      <sheetName val="C2000"/>
      <sheetName val="Cell Reference"/>
      <sheetName val="Shading Period-Level"/>
      <sheetName val="Sources of Change"/>
      <sheetName val="Basic (gridlines)"/>
      <sheetName val="Average (reference) Line"/>
      <sheetName val="Double (overlapping)"/>
      <sheetName val="Reference Step Line"/>
      <sheetName val="Double (gridlines)"/>
      <sheetName val="Growth Line"/>
      <sheetName val="Reference Marks"/>
      <sheetName val="Single-point highlighting"/>
      <sheetName val="CPNO"/>
      <sheetName val="MMP"/>
      <sheetName val="PAA"/>
      <sheetName val="EEP"/>
      <sheetName val="KMP"/>
      <sheetName val="ETP"/>
      <sheetName val="BPL"/>
      <sheetName val="NS"/>
      <sheetName val="BWP"/>
      <sheetName val="EPD"/>
      <sheetName val="RGNC"/>
      <sheetName val="画像1"/>
      <sheetName val="業績推移"/>
      <sheetName val="バリュエーション比較"/>
      <sheetName val="自動車設備投資"/>
      <sheetName val="ロボット機械統計年"/>
      <sheetName val="ロボット機械統計"/>
      <sheetName val="株価と関連指標"/>
      <sheetName val="画像3"/>
      <sheetName val="利益率比較"/>
      <sheetName val="ロボット試算"/>
      <sheetName val="画像2"/>
      <sheetName val="内訳"/>
      <sheetName val="株価(過去1年) "/>
      <sheetName val="WWロボット出荷台数"/>
      <sheetName val="長期営業利益"/>
      <sheetName val="中国NC化率"/>
      <sheetName val="画像4"/>
      <sheetName val="成長率比較"/>
      <sheetName val="バリュエーション"/>
      <sheetName val="四半期"/>
      <sheetName val="画像5"/>
      <sheetName val="RRBox"/>
      <sheetName val="シェアと競合"/>
      <sheetName val="WP Detail "/>
      <sheetName val="Model"/>
      <sheetName val="Sheet4"/>
      <sheetName val="ForeignStake"/>
      <sheetName val="rev change analysis"/>
      <sheetName val="rev contribution analysis"/>
      <sheetName val="WPZ"/>
      <sheetName val="TPP"/>
      <sheetName val="EPE"/>
      <sheetName val="WMZ"/>
      <sheetName val="HEP"/>
      <sheetName val="MGG"/>
      <sheetName val="ETE"/>
      <sheetName val="BGH"/>
      <sheetName val="SEP"/>
      <sheetName val="TCLP"/>
      <sheetName val="SXL"/>
      <sheetName val="WES"/>
      <sheetName val="HTC"/>
      <sheetName val="MS Tele Rep"/>
      <sheetName val="China Handset"/>
      <sheetName val="Smartphone"/>
      <sheetName val="IDC"/>
      <sheetName val="CW"/>
      <sheetName val="R2000"/>
      <sheetName val="__FDS_DOWNL_SCRATCH_SHEET__"/>
      <sheetName val="FIH"/>
      <sheetName val="MIC"/>
      <sheetName val="Valuation"/>
      <sheetName val="Sales by App"/>
      <sheetName val="Net Income &amp; EPS"/>
      <sheetName val="IDC_2"/>
      <sheetName val="Sales by Region Comp"/>
      <sheetName val="What's Changed"/>
      <sheetName val="Outsourcing"/>
      <sheetName val="Nokia vs HTC"/>
      <sheetName val="2012 Outlook"/>
      <sheetName val="Charts"/>
      <sheetName val="Pension"/>
      <sheetName val="Walk"/>
      <sheetName val=" Capital"/>
      <sheetName val="New Business"/>
      <sheetName val="Basket_June09_2010"/>
      <sheetName val="C1070"/>
      <sheetName val="Basket_Jan09"/>
      <sheetName val="Basket_2010"/>
      <sheetName val="Inflation v Price 6mth lag"/>
      <sheetName val="Basket_2011"/>
      <sheetName val="Basket_June09"/>
      <sheetName val="Basket_June09_Futures"/>
      <sheetName val="Commodities Exposure"/>
      <sheetName val="Chart 6"/>
      <sheetName val="Front page benchmarks_9x3"/>
      <sheetName val="Front page benchmarks_6x5"/>
      <sheetName val="Benchmarks_All_gray2"/>
      <sheetName val="Sector yardstick_OLD"/>
      <sheetName val="Front page benchmarks_6x3"/>
      <sheetName val="Benchmarks_All_gray1"/>
      <sheetName val="P&amp;L"/>
      <sheetName val="Commodity Index"/>
      <sheetName val="Prices_Quarterly"/>
      <sheetName val="Inflation_Monthly"/>
      <sheetName val="Inflation_Quarterly"/>
      <sheetName val="Prices_Monthly"/>
      <sheetName val="Exposure"/>
      <sheetName val="NewChubb_INPUT"/>
      <sheetName val="2008 - present spreads"/>
      <sheetName val="Book Values"/>
      <sheetName val="1Q09e UR loss tables"/>
      <sheetName val="CMBX Spreads"/>
      <sheetName val="4Q08 UR Loss"/>
      <sheetName val="Excess Capital"/>
      <sheetName val="BVPS tables"/>
      <sheetName val="1Q09E UR Loss"/>
      <sheetName val="RBC Equity Sensitivity"/>
      <sheetName val="1Q09 BVPS table"/>
      <sheetName val="ｾｸﾞﾒﾝﾄ"/>
      <sheetName val="単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Disclosures"/>
      <sheetName val="summary"/>
      <sheetName val="consensus"/>
      <sheetName val="Gaap Adj"/>
      <sheetName val="COVER SHEET"/>
      <sheetName val="MW-Cache"/>
      <sheetName val="__FDSCACHE__"/>
      <sheetName val="IS-ANNUAL"/>
      <sheetName val="IS-QTRLY"/>
      <sheetName val="REV-ANNUAL"/>
      <sheetName val="REV-QTRLY"/>
      <sheetName val="SEL_FRANCHISES"/>
      <sheetName val="CFBS"/>
      <sheetName val="FOOTNOTES"/>
      <sheetName val="AGREEMENTS"/>
      <sheetName val="MGMT PROJECTIONS"/>
      <sheetName val="PIPELINE"/>
      <sheetName val="PIPELINE_UNADJ"/>
      <sheetName val="DCF"/>
      <sheetName val="DEBT"/>
      <sheetName val="patent expirations"/>
      <sheetName val="Var-YOY"/>
      <sheetName val="Var-Seq"/>
      <sheetName val="revenue snapshot"/>
      <sheetName val="rev contribution analysis"/>
      <sheetName val="rev change analysis"/>
      <sheetName val="2015 rev change"/>
      <sheetName val="MWA RR"/>
      <sheetName val="mwareDates"/>
      <sheetName val="MW Valuation"/>
      <sheetName val="mwareSettings"/>
      <sheetName val="ANOMALIES"/>
      <sheetName val="ASSUMPTIONS"/>
      <sheetName val="2008 pro forma EPS (wIMCL)"/>
      <sheetName val="prasugrel sales potential"/>
      <sheetName val="prasugrel npv"/>
      <sheetName val="Cialis JV"/>
      <sheetName val="tabs"/>
      <sheetName val="pipeline_summary"/>
      <sheetName val="C38001"/>
      <sheetName val="C3800"/>
      <sheetName val="Product Mix"/>
      <sheetName val="calendar"/>
      <sheetName val="patents"/>
      <sheetName val="launches"/>
      <sheetName val="pipeline handout"/>
      <sheetName val="FCF vs Guidance"/>
      <sheetName val="#REF"/>
      <sheetName val="diabetes_multiple"/>
      <sheetName val="TR Convert"/>
      <sheetName val="Annual"/>
      <sheetName val="Becker"/>
      <sheetName val="HGSI"/>
      <sheetName val="Partnerships"/>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sheetData sheetId="12"/>
      <sheetData sheetId="13" refreshError="1"/>
      <sheetData sheetId="14" refreshError="1"/>
      <sheetData sheetId="15"/>
      <sheetData sheetId="16"/>
      <sheetData sheetId="17"/>
      <sheetData sheetId="18" refreshError="1"/>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 INCOME"/>
      <sheetName val="MAIN"/>
      <sheetName val="P&amp;L"/>
      <sheetName val="BS"/>
      <sheetName val="Update"/>
      <sheetName val="AFFILIATES (2)"/>
      <sheetName val="AFFILIATES"/>
      <sheetName val="Ratio"/>
      <sheetName val="Ace-In"/>
      <sheetName val="Ace-Out"/>
      <sheetName val="Cover"/>
      <sheetName val="QQ"/>
      <sheetName val="Earnings Tables"/>
      <sheetName val="Number of shares"/>
      <sheetName val="Earnings per share"/>
      <sheetName val="IS segment PY"/>
      <sheetName val="IS segment CY"/>
      <sheetName val="Financial Tables"/>
      <sheetName val="Copy of KS055550"/>
      <sheetName val="EARNINGS"/>
      <sheetName val="Consolidated input"/>
      <sheetName val="RI Valuation"/>
      <sheetName val="Monitor"/>
      <sheetName val="FCF"/>
      <sheetName val="Financial Statements"/>
      <sheetName val="EM"/>
      <sheetName val="Rent analysis"/>
      <sheetName val="Timeline"/>
      <sheetName val="store profile and sales mix"/>
      <sheetName val="reconciliation of note 2"/>
      <sheetName val="6902"/>
      <sheetName val="FY19"/>
      <sheetName val="Valuations"/>
      <sheetName val="P"/>
      <sheetName val="Model (Yue Yuen)"/>
      <sheetName val="CREDIT MODEL"/>
      <sheetName val="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mobileye.com/about/mobileye-timeline/" TargetMode="External"/><Relationship Id="rId2" Type="http://schemas.openxmlformats.org/officeDocument/2006/relationships/hyperlink" Target="https://newsroom.intel.com/wp-content/uploads/sites/11/2021/03/intel-foundry-services-fact-sheet-229940.pdf" TargetMode="External"/><Relationship Id="rId1" Type="http://schemas.openxmlformats.org/officeDocument/2006/relationships/hyperlink" Target="https://www.theverge.com/22597713/intel-7nm-delay-summer-2020-apple-arm-switch-roadmap-gelsinger-ceo" TargetMode="External"/><Relationship Id="rId5" Type="http://schemas.openxmlformats.org/officeDocument/2006/relationships/drawing" Target="../drawings/drawing9.xml"/><Relationship Id="rId4"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8.bin"/><Relationship Id="rId1" Type="http://schemas.openxmlformats.org/officeDocument/2006/relationships/hyperlink" Target="reuters://screen/verb=Open/URL=cpurl%3A%2F%2Fviews.cp.%2FApps%2FTemplateLibrary?textsearch=total%20return"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idc.com/getdoc.jsp?containerId=prUS48465521"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seekingalpha.com/article/4474906-intel-mobileye-ipo-masterstrok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barrons.com/articles/intels-cfo-swan-explains-the-transformation-1517510410"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hardwaretimes.com/nvidia-and-amds-gpu-market-share-grows-as-discrete-graphics-cards-become-more-popular/"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cpubenchmark.net/market_share.html" TargetMode="External"/><Relationship Id="rId2" Type="http://schemas.openxmlformats.org/officeDocument/2006/relationships/hyperlink" Target="https://www.extremetech.com/computing/331530-amd-finishes-2021-with-record-cpu-market-share" TargetMode="External"/><Relationship Id="rId1" Type="http://schemas.openxmlformats.org/officeDocument/2006/relationships/hyperlink" Target="https://www.tomshardware.com/news/intel-amd-4q-2021-2022-market-share-desktop-notebook-server-x86" TargetMode="External"/><Relationship Id="rId5" Type="http://schemas.openxmlformats.org/officeDocument/2006/relationships/drawing" Target="../drawings/drawing6.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2ED2F-DBDD-4DB1-A3DD-4EA517A0D319}">
  <sheetPr>
    <tabColor rgb="FF92D050"/>
  </sheetPr>
  <dimension ref="A1"/>
  <sheetViews>
    <sheetView showGridLines="0" workbookViewId="0">
      <selection activeCell="J14" sqref="J14"/>
    </sheetView>
  </sheetViews>
  <sheetFormatPr defaultColWidth="8.6328125" defaultRowHeight="18"/>
  <cols>
    <col min="1" max="16384" width="8.6328125" style="1040"/>
  </cols>
  <sheetData>
    <row r="1" spans="1:1">
      <c r="A1" s="1040" t="s">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0335-DF04-4D20-A1F5-5B4F68EA3593}">
  <sheetPr codeName="Sheet7">
    <tabColor theme="8" tint="0.59999389629810485"/>
  </sheetPr>
  <dimension ref="A1:AI5"/>
  <sheetViews>
    <sheetView showGridLines="0" zoomScaleNormal="100" workbookViewId="0"/>
  </sheetViews>
  <sheetFormatPr defaultColWidth="9.36328125" defaultRowHeight="10.5"/>
  <cols>
    <col min="1" max="2" width="1.81640625" customWidth="1"/>
  </cols>
  <sheetData>
    <row r="1" spans="1:35" ht="15.75">
      <c r="A1" s="44" t="e">
        <f>+#REF!</f>
        <v>#REF!</v>
      </c>
    </row>
    <row r="2" spans="1:35">
      <c r="A2" s="2" t="e">
        <f>+#REF!</f>
        <v>#REF!</v>
      </c>
    </row>
    <row r="5" spans="1:35" s="29" customFormat="1" ht="11.25" customHeight="1">
      <c r="B5" s="30" t="s">
        <v>595</v>
      </c>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EE7EE-FFCF-4559-9DF6-E324A56DAC59}">
  <sheetPr codeName="Sheet9"/>
  <dimension ref="A1:JE44"/>
  <sheetViews>
    <sheetView showGridLines="0" zoomScaleNormal="100" workbookViewId="0">
      <pane xSplit="4" ySplit="8" topLeftCell="E9" activePane="bottomRight" state="frozen"/>
      <selection pane="topRight"/>
      <selection pane="bottomLeft"/>
      <selection pane="bottomRight"/>
    </sheetView>
  </sheetViews>
  <sheetFormatPr defaultColWidth="9.36328125" defaultRowHeight="10.5" outlineLevelRow="1" outlineLevelCol="1"/>
  <cols>
    <col min="1" max="1" width="1.81640625" style="50" customWidth="1"/>
    <col min="2" max="2" width="10.81640625" style="50" customWidth="1" outlineLevel="1"/>
    <col min="3" max="3" width="3.1796875" style="50" bestFit="1" customWidth="1"/>
    <col min="4" max="4" width="50.81640625" style="50" customWidth="1"/>
    <col min="5" max="7" width="10.81640625" style="50" customWidth="1"/>
    <col min="8" max="8" width="10.81640625" style="50" hidden="1" customWidth="1" outlineLevel="1"/>
    <col min="9" max="9" width="10.81640625" style="50" customWidth="1" collapsed="1"/>
    <col min="10" max="12" width="10.81640625" style="50" hidden="1" customWidth="1" outlineLevel="1"/>
    <col min="13" max="13" width="2" style="50" customWidth="1" collapsed="1"/>
    <col min="14" max="15" width="12" style="50" hidden="1" customWidth="1" outlineLevel="1"/>
    <col min="16" max="16" width="1.81640625" style="50" hidden="1" customWidth="1" outlineLevel="1"/>
    <col min="17" max="24" width="10.81640625" style="50" hidden="1" customWidth="1" outlineLevel="1"/>
    <col min="25" max="25" width="1.81640625" style="50" hidden="1" customWidth="1" outlineLevel="1"/>
    <col min="26" max="33" width="10.81640625" style="50" hidden="1" customWidth="1" outlineLevel="1"/>
    <col min="34" max="34" width="2" style="50" hidden="1" customWidth="1" outlineLevel="1"/>
    <col min="35" max="42" width="10.81640625" style="50" hidden="1" customWidth="1" outlineLevel="1"/>
    <col min="43" max="43" width="1.81640625" style="50" hidden="1" customWidth="1" outlineLevel="1"/>
    <col min="44" max="51" width="10.81640625" style="50" hidden="1" customWidth="1" outlineLevel="1"/>
    <col min="52" max="52" width="2" style="50" hidden="1" customWidth="1" outlineLevel="1"/>
    <col min="53" max="60" width="10.81640625" style="50" hidden="1" customWidth="1" outlineLevel="1"/>
    <col min="61" max="61" width="1.81640625" style="50" hidden="1" customWidth="1" outlineLevel="1"/>
    <col min="62" max="69" width="10.81640625" style="50" hidden="1" customWidth="1" outlineLevel="1"/>
    <col min="70" max="70" width="2" style="50" hidden="1" customWidth="1" outlineLevel="1"/>
    <col min="71" max="71" width="1.81640625" style="50" hidden="1" customWidth="1" outlineLevel="1"/>
    <col min="72" max="72" width="10.81640625" style="50" customWidth="1" collapsed="1"/>
    <col min="73" max="79" width="10.81640625" style="50" customWidth="1"/>
    <col min="80" max="80" width="1.81640625" style="50" customWidth="1"/>
    <col min="81" max="88" width="10.81640625" style="50" hidden="1" customWidth="1" outlineLevel="1"/>
    <col min="89" max="89" width="2" style="50" hidden="1" customWidth="1" outlineLevel="1"/>
    <col min="90" max="97" width="10.81640625" style="50" hidden="1" customWidth="1" outlineLevel="1"/>
    <col min="98" max="98" width="1.81640625" style="50" hidden="1" customWidth="1" outlineLevel="1"/>
    <col min="99" max="106" width="10.81640625" style="50" hidden="1" customWidth="1" outlineLevel="1"/>
    <col min="107" max="107" width="2" style="50" hidden="1" customWidth="1" outlineLevel="1"/>
    <col min="108" max="108" width="10.81640625" style="50" customWidth="1" collapsed="1"/>
    <col min="109" max="115" width="10.81640625" style="50" customWidth="1"/>
    <col min="116" max="116" width="1.81640625" style="50" customWidth="1"/>
    <col min="117" max="124" width="10.81640625" style="50" hidden="1" customWidth="1" outlineLevel="1"/>
    <col min="125" max="125" width="2" style="50" hidden="1" customWidth="1" outlineLevel="1"/>
    <col min="126" max="133" width="10.81640625" style="50" hidden="1" customWidth="1" outlineLevel="1"/>
    <col min="134" max="134" width="1.81640625" style="50" hidden="1" customWidth="1" outlineLevel="1"/>
    <col min="135" max="142" width="10.81640625" style="50" hidden="1" customWidth="1" outlineLevel="1"/>
    <col min="143" max="143" width="2" style="50" hidden="1" customWidth="1" outlineLevel="1"/>
    <col min="144" max="144" width="10.81640625" style="50" customWidth="1" collapsed="1"/>
    <col min="145" max="151" width="10.81640625" style="50" customWidth="1"/>
    <col min="152" max="152" width="1.81640625" style="50" customWidth="1"/>
    <col min="153" max="160" width="10.81640625" style="50" hidden="1" customWidth="1" outlineLevel="1"/>
    <col min="161" max="162" width="1.81640625" style="50" hidden="1" customWidth="1" outlineLevel="1"/>
    <col min="163" max="170" width="10.81640625" style="50" hidden="1" customWidth="1" outlineLevel="1"/>
    <col min="171" max="171" width="1.81640625" style="50" hidden="1" customWidth="1" outlineLevel="1"/>
    <col min="172" max="179" width="10.81640625" style="50" hidden="1" customWidth="1" outlineLevel="1"/>
    <col min="180" max="180" width="2" style="50" hidden="1" customWidth="1" outlineLevel="1"/>
    <col min="181" max="188" width="10.81640625" style="50" hidden="1" customWidth="1" outlineLevel="1"/>
    <col min="189" max="189" width="1.81640625" style="50" hidden="1" customWidth="1" outlineLevel="1"/>
    <col min="190" max="197" width="10.81640625" style="50" hidden="1" customWidth="1" outlineLevel="1"/>
    <col min="198" max="198" width="2" style="50" hidden="1" customWidth="1" outlineLevel="1"/>
    <col min="199" max="206" width="10.81640625" style="50" hidden="1" customWidth="1" outlineLevel="1"/>
    <col min="207" max="207" width="1.81640625" style="50" hidden="1" customWidth="1" outlineLevel="1"/>
    <col min="208" max="215" width="10.81640625" style="50" hidden="1" customWidth="1" outlineLevel="1"/>
    <col min="216" max="216" width="2" style="50" hidden="1" customWidth="1" outlineLevel="1"/>
    <col min="217" max="217" width="10.81640625" style="50" customWidth="1" collapsed="1"/>
    <col min="218" max="224" width="10.81640625" style="50" customWidth="1"/>
    <col min="225" max="225" width="2" style="50" hidden="1" customWidth="1" outlineLevel="1"/>
    <col min="226" max="233" width="10.81640625" style="50" hidden="1" customWidth="1" outlineLevel="1"/>
    <col min="234" max="234" width="2" style="50" hidden="1" customWidth="1" outlineLevel="1"/>
    <col min="235" max="242" width="10.81640625" style="50" hidden="1" customWidth="1" outlineLevel="1"/>
    <col min="243" max="243" width="2" style="50" hidden="1" customWidth="1" outlineLevel="1"/>
    <col min="244" max="251" width="10.81640625" style="50" hidden="1" customWidth="1" outlineLevel="1"/>
    <col min="252" max="252" width="2" style="50" hidden="1" customWidth="1" outlineLevel="1"/>
    <col min="253" max="260" width="10.81640625" style="50" hidden="1" customWidth="1" outlineLevel="1"/>
    <col min="261" max="261" width="2" style="50" hidden="1" customWidth="1" outlineLevel="1" collapsed="1"/>
    <col min="262" max="262" width="1.81640625" style="50" customWidth="1" collapsed="1"/>
    <col min="263" max="263" width="25.81640625" style="50" customWidth="1"/>
    <col min="264" max="264" width="12.36328125" style="50" customWidth="1"/>
    <col min="265" max="16384" width="9.36328125" style="50"/>
  </cols>
  <sheetData>
    <row r="1" spans="1:265" ht="11.65">
      <c r="A1" s="182" t="str">
        <f>Financials!A1</f>
        <v>Intel Corporation</v>
      </c>
      <c r="B1" s="48"/>
      <c r="C1" s="48"/>
      <c r="D1" s="49"/>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row>
    <row r="2" spans="1:265">
      <c r="C2" s="51">
        <v>1</v>
      </c>
      <c r="D2" s="52"/>
    </row>
    <row r="3" spans="1:265" hidden="1" outlineLevel="1">
      <c r="D3" s="52"/>
      <c r="F3" s="53" t="s">
        <v>500</v>
      </c>
    </row>
    <row r="4" spans="1:265" collapsed="1"/>
    <row r="5" spans="1:265">
      <c r="E5" s="54" t="s">
        <v>596</v>
      </c>
      <c r="F5" s="54" t="s">
        <v>597</v>
      </c>
      <c r="G5" s="54" t="s">
        <v>598</v>
      </c>
      <c r="H5" s="54" t="s">
        <v>419</v>
      </c>
      <c r="J5" s="54" t="s">
        <v>599</v>
      </c>
      <c r="K5" s="54" t="s">
        <v>118</v>
      </c>
      <c r="L5" s="54" t="s">
        <v>600</v>
      </c>
      <c r="M5" s="55"/>
      <c r="N5" s="56" t="s">
        <v>601</v>
      </c>
      <c r="O5" s="56"/>
      <c r="P5" s="54"/>
      <c r="Q5" s="56" t="s">
        <v>602</v>
      </c>
      <c r="R5" s="56"/>
      <c r="S5" s="56"/>
      <c r="T5" s="56"/>
      <c r="U5" s="56"/>
      <c r="V5" s="56"/>
      <c r="W5" s="56"/>
      <c r="X5" s="56"/>
      <c r="Y5" s="55"/>
      <c r="Z5" s="56" t="s">
        <v>603</v>
      </c>
      <c r="AA5" s="56"/>
      <c r="AB5" s="56"/>
      <c r="AC5" s="56"/>
      <c r="AD5" s="56"/>
      <c r="AE5" s="56"/>
      <c r="AF5" s="56"/>
      <c r="AG5" s="56"/>
      <c r="AH5" s="55"/>
      <c r="AI5" s="56" t="s">
        <v>604</v>
      </c>
      <c r="AJ5" s="56"/>
      <c r="AK5" s="56"/>
      <c r="AL5" s="56"/>
      <c r="AM5" s="56"/>
      <c r="AN5" s="56"/>
      <c r="AO5" s="56"/>
      <c r="AP5" s="56"/>
      <c r="AQ5" s="55"/>
      <c r="AR5" s="56" t="s">
        <v>605</v>
      </c>
      <c r="AS5" s="56"/>
      <c r="AT5" s="56"/>
      <c r="AU5" s="56"/>
      <c r="AV5" s="56"/>
      <c r="AW5" s="56"/>
      <c r="AX5" s="56"/>
      <c r="AY5" s="56"/>
      <c r="AZ5" s="55"/>
      <c r="BA5" s="56" t="s">
        <v>606</v>
      </c>
      <c r="BB5" s="56"/>
      <c r="BC5" s="56"/>
      <c r="BD5" s="56"/>
      <c r="BE5" s="56"/>
      <c r="BF5" s="56"/>
      <c r="BG5" s="56"/>
      <c r="BH5" s="56"/>
      <c r="BI5" s="55"/>
      <c r="BJ5" s="56" t="s">
        <v>607</v>
      </c>
      <c r="BK5" s="56"/>
      <c r="BL5" s="56"/>
      <c r="BM5" s="56"/>
      <c r="BN5" s="56"/>
      <c r="BO5" s="56"/>
      <c r="BP5" s="56"/>
      <c r="BQ5" s="56"/>
      <c r="BR5" s="55"/>
      <c r="BS5" s="54"/>
      <c r="BT5" s="56" t="s">
        <v>608</v>
      </c>
      <c r="BU5" s="56"/>
      <c r="BV5" s="56"/>
      <c r="BW5" s="56"/>
      <c r="BX5" s="56"/>
      <c r="BY5" s="56"/>
      <c r="BZ5" s="56"/>
      <c r="CA5" s="56"/>
      <c r="CB5" s="55"/>
      <c r="CC5" s="56" t="s">
        <v>609</v>
      </c>
      <c r="CD5" s="56"/>
      <c r="CE5" s="56"/>
      <c r="CF5" s="56"/>
      <c r="CG5" s="56"/>
      <c r="CH5" s="56"/>
      <c r="CI5" s="56"/>
      <c r="CJ5" s="56"/>
      <c r="CK5" s="55"/>
      <c r="CL5" s="56" t="s">
        <v>610</v>
      </c>
      <c r="CM5" s="56"/>
      <c r="CN5" s="56"/>
      <c r="CO5" s="56"/>
      <c r="CP5" s="56"/>
      <c r="CQ5" s="56"/>
      <c r="CR5" s="56"/>
      <c r="CS5" s="56"/>
      <c r="CT5" s="55"/>
      <c r="CU5" s="56" t="s">
        <v>611</v>
      </c>
      <c r="CV5" s="56"/>
      <c r="CW5" s="56"/>
      <c r="CX5" s="56"/>
      <c r="CY5" s="56"/>
      <c r="CZ5" s="56"/>
      <c r="DA5" s="56"/>
      <c r="DB5" s="56"/>
      <c r="DC5" s="55"/>
      <c r="DD5" s="56" t="s">
        <v>612</v>
      </c>
      <c r="DE5" s="56"/>
      <c r="DF5" s="56"/>
      <c r="DG5" s="56"/>
      <c r="DH5" s="56"/>
      <c r="DI5" s="56"/>
      <c r="DJ5" s="56"/>
      <c r="DK5" s="56"/>
      <c r="DL5" s="55"/>
      <c r="DM5" s="56" t="s">
        <v>613</v>
      </c>
      <c r="DN5" s="56"/>
      <c r="DO5" s="56"/>
      <c r="DP5" s="56"/>
      <c r="DQ5" s="56"/>
      <c r="DR5" s="56"/>
      <c r="DS5" s="56"/>
      <c r="DT5" s="56"/>
      <c r="DU5" s="55"/>
      <c r="DV5" s="56" t="s">
        <v>614</v>
      </c>
      <c r="DW5" s="56"/>
      <c r="DX5" s="56"/>
      <c r="DY5" s="56"/>
      <c r="DZ5" s="56"/>
      <c r="EA5" s="56"/>
      <c r="EB5" s="56"/>
      <c r="EC5" s="56"/>
      <c r="ED5" s="55"/>
      <c r="EE5" s="56" t="s">
        <v>615</v>
      </c>
      <c r="EF5" s="56"/>
      <c r="EG5" s="56"/>
      <c r="EH5" s="56"/>
      <c r="EI5" s="56"/>
      <c r="EJ5" s="56"/>
      <c r="EK5" s="56"/>
      <c r="EL5" s="56"/>
      <c r="EM5" s="55"/>
      <c r="EN5" s="56" t="s">
        <v>616</v>
      </c>
      <c r="EO5" s="56"/>
      <c r="EP5" s="56"/>
      <c r="EQ5" s="56"/>
      <c r="ER5" s="56"/>
      <c r="ES5" s="56"/>
      <c r="ET5" s="56"/>
      <c r="EU5" s="56"/>
      <c r="EV5" s="55"/>
      <c r="EW5" s="56" t="s">
        <v>617</v>
      </c>
      <c r="EX5" s="56"/>
      <c r="EY5" s="56"/>
      <c r="EZ5" s="56"/>
      <c r="FA5" s="56"/>
      <c r="FB5" s="56"/>
      <c r="FC5" s="56"/>
      <c r="FD5" s="56"/>
      <c r="FE5" s="55"/>
      <c r="FF5" s="54"/>
      <c r="FG5" s="56" t="s">
        <v>618</v>
      </c>
      <c r="FH5" s="56"/>
      <c r="FI5" s="56"/>
      <c r="FJ5" s="56"/>
      <c r="FK5" s="56"/>
      <c r="FL5" s="56"/>
      <c r="FM5" s="56"/>
      <c r="FN5" s="56"/>
      <c r="FO5" s="55"/>
      <c r="FP5" s="56" t="s">
        <v>619</v>
      </c>
      <c r="FQ5" s="56"/>
      <c r="FR5" s="56"/>
      <c r="FS5" s="56"/>
      <c r="FT5" s="56"/>
      <c r="FU5" s="56"/>
      <c r="FV5" s="56"/>
      <c r="FW5" s="56"/>
      <c r="FX5" s="55"/>
      <c r="FY5" s="56" t="s">
        <v>620</v>
      </c>
      <c r="FZ5" s="56"/>
      <c r="GA5" s="56"/>
      <c r="GB5" s="56"/>
      <c r="GC5" s="56"/>
      <c r="GD5" s="56"/>
      <c r="GE5" s="56"/>
      <c r="GF5" s="56"/>
      <c r="GG5" s="55"/>
      <c r="GH5" s="56" t="s">
        <v>621</v>
      </c>
      <c r="GI5" s="56"/>
      <c r="GJ5" s="56"/>
      <c r="GK5" s="56"/>
      <c r="GL5" s="56"/>
      <c r="GM5" s="56"/>
      <c r="GN5" s="56"/>
      <c r="GO5" s="56"/>
      <c r="GP5" s="55"/>
      <c r="GQ5" s="56" t="s">
        <v>622</v>
      </c>
      <c r="GR5" s="56"/>
      <c r="GS5" s="56"/>
      <c r="GT5" s="56"/>
      <c r="GU5" s="56"/>
      <c r="GV5" s="56"/>
      <c r="GW5" s="56"/>
      <c r="GX5" s="56"/>
      <c r="GY5" s="55"/>
      <c r="GZ5" s="56" t="s">
        <v>623</v>
      </c>
      <c r="HA5" s="56"/>
      <c r="HB5" s="56"/>
      <c r="HC5" s="56"/>
      <c r="HD5" s="56"/>
      <c r="HE5" s="56"/>
      <c r="HF5" s="56"/>
      <c r="HG5" s="56"/>
      <c r="HH5" s="55"/>
      <c r="HI5" s="56" t="s">
        <v>624</v>
      </c>
      <c r="HJ5" s="56"/>
      <c r="HK5" s="56"/>
      <c r="HL5" s="56"/>
      <c r="HM5" s="56"/>
      <c r="HN5" s="56"/>
      <c r="HO5" s="56"/>
      <c r="HP5" s="56"/>
      <c r="HQ5" s="55"/>
      <c r="HR5" s="56" t="s">
        <v>625</v>
      </c>
      <c r="HS5" s="56"/>
      <c r="HT5" s="56"/>
      <c r="HU5" s="56"/>
      <c r="HV5" s="56"/>
      <c r="HW5" s="56"/>
      <c r="HX5" s="56"/>
      <c r="HY5" s="56"/>
      <c r="HZ5" s="55"/>
      <c r="IA5" s="56" t="s">
        <v>626</v>
      </c>
      <c r="IB5" s="56"/>
      <c r="IC5" s="56"/>
      <c r="ID5" s="56"/>
      <c r="IE5" s="56"/>
      <c r="IF5" s="56"/>
      <c r="IG5" s="56"/>
      <c r="IH5" s="56"/>
      <c r="II5" s="55"/>
      <c r="IJ5" s="56" t="s">
        <v>627</v>
      </c>
      <c r="IK5" s="56"/>
      <c r="IL5" s="56"/>
      <c r="IM5" s="56"/>
      <c r="IN5" s="56"/>
      <c r="IO5" s="56"/>
      <c r="IP5" s="56"/>
      <c r="IQ5" s="56"/>
      <c r="IR5" s="55"/>
      <c r="IS5" s="56" t="s">
        <v>628</v>
      </c>
      <c r="IT5" s="56"/>
      <c r="IU5" s="56"/>
      <c r="IV5" s="56"/>
      <c r="IW5" s="56"/>
      <c r="IX5" s="56"/>
      <c r="IY5" s="56"/>
      <c r="IZ5" s="56"/>
      <c r="JA5" s="57"/>
      <c r="JC5" s="56"/>
    </row>
    <row r="6" spans="1:265">
      <c r="D6" s="56" t="str">
        <f>"(All figures in "&amp;F3&amp;" millions)"</f>
        <v>(All figures in USD millions)</v>
      </c>
      <c r="E6" s="58">
        <v>44607</v>
      </c>
      <c r="F6" s="56" t="s">
        <v>629</v>
      </c>
      <c r="G6" s="56" t="s">
        <v>630</v>
      </c>
      <c r="H6" s="56" t="s">
        <v>125</v>
      </c>
      <c r="I6" s="56" t="s">
        <v>126</v>
      </c>
      <c r="J6" s="56" t="s">
        <v>99</v>
      </c>
      <c r="K6" s="56" t="s">
        <v>103</v>
      </c>
      <c r="L6" s="56" t="s">
        <v>99</v>
      </c>
      <c r="M6" s="55"/>
      <c r="N6" s="56" t="s">
        <v>631</v>
      </c>
      <c r="O6" s="56" t="s">
        <v>632</v>
      </c>
      <c r="P6" s="55"/>
      <c r="Q6" s="56" t="s">
        <v>633</v>
      </c>
      <c r="R6" s="56" t="s">
        <v>634</v>
      </c>
      <c r="S6" s="56" t="s">
        <v>635</v>
      </c>
      <c r="T6" s="56" t="s">
        <v>636</v>
      </c>
      <c r="U6" s="56" t="s">
        <v>632</v>
      </c>
      <c r="V6" s="56" t="s">
        <v>637</v>
      </c>
      <c r="W6" s="56" t="s">
        <v>504</v>
      </c>
      <c r="X6" s="56" t="s">
        <v>505</v>
      </c>
      <c r="Y6" s="55"/>
      <c r="Z6" s="56" t="s">
        <v>638</v>
      </c>
      <c r="AA6" s="56" t="s">
        <v>639</v>
      </c>
      <c r="AB6" s="56" t="s">
        <v>640</v>
      </c>
      <c r="AC6" s="56" t="s">
        <v>641</v>
      </c>
      <c r="AD6" s="56" t="s">
        <v>632</v>
      </c>
      <c r="AE6" s="56" t="s">
        <v>642</v>
      </c>
      <c r="AF6" s="56" t="s">
        <v>643</v>
      </c>
      <c r="AG6" s="56" t="s">
        <v>644</v>
      </c>
      <c r="AH6" s="55"/>
      <c r="AI6" s="56" t="s">
        <v>633</v>
      </c>
      <c r="AJ6" s="56" t="s">
        <v>634</v>
      </c>
      <c r="AK6" s="56" t="s">
        <v>635</v>
      </c>
      <c r="AL6" s="56" t="s">
        <v>636</v>
      </c>
      <c r="AM6" s="56" t="s">
        <v>632</v>
      </c>
      <c r="AN6" s="56" t="s">
        <v>637</v>
      </c>
      <c r="AO6" s="56" t="s">
        <v>504</v>
      </c>
      <c r="AP6" s="56" t="s">
        <v>505</v>
      </c>
      <c r="AQ6" s="55"/>
      <c r="AR6" s="56" t="s">
        <v>638</v>
      </c>
      <c r="AS6" s="56" t="s">
        <v>639</v>
      </c>
      <c r="AT6" s="56" t="s">
        <v>640</v>
      </c>
      <c r="AU6" s="56" t="s">
        <v>641</v>
      </c>
      <c r="AV6" s="56" t="s">
        <v>632</v>
      </c>
      <c r="AW6" s="56" t="s">
        <v>642</v>
      </c>
      <c r="AX6" s="56" t="s">
        <v>643</v>
      </c>
      <c r="AY6" s="56" t="s">
        <v>644</v>
      </c>
      <c r="AZ6" s="55"/>
      <c r="BA6" s="56" t="s">
        <v>633</v>
      </c>
      <c r="BB6" s="56" t="s">
        <v>634</v>
      </c>
      <c r="BC6" s="56" t="s">
        <v>635</v>
      </c>
      <c r="BD6" s="56" t="s">
        <v>636</v>
      </c>
      <c r="BE6" s="56" t="s">
        <v>632</v>
      </c>
      <c r="BF6" s="56" t="s">
        <v>637</v>
      </c>
      <c r="BG6" s="56" t="s">
        <v>504</v>
      </c>
      <c r="BH6" s="56" t="s">
        <v>505</v>
      </c>
      <c r="BI6" s="55"/>
      <c r="BJ6" s="56" t="s">
        <v>638</v>
      </c>
      <c r="BK6" s="56" t="s">
        <v>639</v>
      </c>
      <c r="BL6" s="56" t="s">
        <v>640</v>
      </c>
      <c r="BM6" s="56" t="s">
        <v>641</v>
      </c>
      <c r="BN6" s="56" t="s">
        <v>632</v>
      </c>
      <c r="BO6" s="56" t="s">
        <v>642</v>
      </c>
      <c r="BP6" s="56" t="s">
        <v>643</v>
      </c>
      <c r="BQ6" s="56" t="s">
        <v>644</v>
      </c>
      <c r="BR6" s="55"/>
      <c r="BS6" s="55"/>
      <c r="BT6" s="56" t="s">
        <v>633</v>
      </c>
      <c r="BU6" s="56" t="s">
        <v>634</v>
      </c>
      <c r="BV6" s="56" t="s">
        <v>635</v>
      </c>
      <c r="BW6" s="56" t="s">
        <v>636</v>
      </c>
      <c r="BX6" s="56" t="s">
        <v>632</v>
      </c>
      <c r="BY6" s="56" t="s">
        <v>637</v>
      </c>
      <c r="BZ6" s="56" t="s">
        <v>504</v>
      </c>
      <c r="CA6" s="56" t="s">
        <v>505</v>
      </c>
      <c r="CB6" s="55"/>
      <c r="CC6" s="56" t="s">
        <v>638</v>
      </c>
      <c r="CD6" s="56" t="s">
        <v>639</v>
      </c>
      <c r="CE6" s="56" t="s">
        <v>640</v>
      </c>
      <c r="CF6" s="56" t="s">
        <v>641</v>
      </c>
      <c r="CG6" s="56" t="s">
        <v>632</v>
      </c>
      <c r="CH6" s="56" t="s">
        <v>642</v>
      </c>
      <c r="CI6" s="56" t="s">
        <v>643</v>
      </c>
      <c r="CJ6" s="56" t="s">
        <v>644</v>
      </c>
      <c r="CK6" s="55"/>
      <c r="CL6" s="56" t="s">
        <v>633</v>
      </c>
      <c r="CM6" s="56" t="s">
        <v>634</v>
      </c>
      <c r="CN6" s="56" t="s">
        <v>635</v>
      </c>
      <c r="CO6" s="56" t="s">
        <v>636</v>
      </c>
      <c r="CP6" s="56" t="s">
        <v>632</v>
      </c>
      <c r="CQ6" s="56" t="s">
        <v>637</v>
      </c>
      <c r="CR6" s="56" t="s">
        <v>504</v>
      </c>
      <c r="CS6" s="56" t="s">
        <v>505</v>
      </c>
      <c r="CT6" s="55"/>
      <c r="CU6" s="56" t="s">
        <v>638</v>
      </c>
      <c r="CV6" s="56" t="s">
        <v>639</v>
      </c>
      <c r="CW6" s="56" t="s">
        <v>640</v>
      </c>
      <c r="CX6" s="56" t="s">
        <v>641</v>
      </c>
      <c r="CY6" s="56" t="s">
        <v>632</v>
      </c>
      <c r="CZ6" s="56" t="s">
        <v>642</v>
      </c>
      <c r="DA6" s="56" t="s">
        <v>643</v>
      </c>
      <c r="DB6" s="56" t="s">
        <v>644</v>
      </c>
      <c r="DC6" s="55"/>
      <c r="DD6" s="56" t="s">
        <v>633</v>
      </c>
      <c r="DE6" s="56" t="s">
        <v>634</v>
      </c>
      <c r="DF6" s="56" t="s">
        <v>635</v>
      </c>
      <c r="DG6" s="56" t="s">
        <v>636</v>
      </c>
      <c r="DH6" s="56" t="s">
        <v>632</v>
      </c>
      <c r="DI6" s="56" t="s">
        <v>637</v>
      </c>
      <c r="DJ6" s="56" t="s">
        <v>504</v>
      </c>
      <c r="DK6" s="56" t="s">
        <v>505</v>
      </c>
      <c r="DL6" s="55"/>
      <c r="DM6" s="56" t="s">
        <v>638</v>
      </c>
      <c r="DN6" s="56" t="s">
        <v>639</v>
      </c>
      <c r="DO6" s="56" t="s">
        <v>640</v>
      </c>
      <c r="DP6" s="56" t="s">
        <v>641</v>
      </c>
      <c r="DQ6" s="56" t="s">
        <v>632</v>
      </c>
      <c r="DR6" s="56" t="s">
        <v>642</v>
      </c>
      <c r="DS6" s="56" t="s">
        <v>643</v>
      </c>
      <c r="DT6" s="56" t="s">
        <v>644</v>
      </c>
      <c r="DU6" s="55"/>
      <c r="DV6" s="56" t="s">
        <v>633</v>
      </c>
      <c r="DW6" s="56" t="s">
        <v>634</v>
      </c>
      <c r="DX6" s="56" t="s">
        <v>635</v>
      </c>
      <c r="DY6" s="56" t="s">
        <v>636</v>
      </c>
      <c r="DZ6" s="56" t="s">
        <v>632</v>
      </c>
      <c r="EA6" s="56" t="s">
        <v>637</v>
      </c>
      <c r="EB6" s="56" t="s">
        <v>504</v>
      </c>
      <c r="EC6" s="56" t="s">
        <v>505</v>
      </c>
      <c r="ED6" s="55"/>
      <c r="EE6" s="56" t="s">
        <v>638</v>
      </c>
      <c r="EF6" s="56" t="s">
        <v>639</v>
      </c>
      <c r="EG6" s="56" t="s">
        <v>640</v>
      </c>
      <c r="EH6" s="56" t="s">
        <v>641</v>
      </c>
      <c r="EI6" s="56" t="s">
        <v>632</v>
      </c>
      <c r="EJ6" s="56" t="s">
        <v>642</v>
      </c>
      <c r="EK6" s="56" t="s">
        <v>643</v>
      </c>
      <c r="EL6" s="56" t="s">
        <v>644</v>
      </c>
      <c r="EM6" s="55"/>
      <c r="EN6" s="56" t="s">
        <v>633</v>
      </c>
      <c r="EO6" s="56" t="s">
        <v>634</v>
      </c>
      <c r="EP6" s="56" t="s">
        <v>635</v>
      </c>
      <c r="EQ6" s="56" t="s">
        <v>636</v>
      </c>
      <c r="ER6" s="56" t="s">
        <v>632</v>
      </c>
      <c r="ES6" s="56" t="s">
        <v>637</v>
      </c>
      <c r="ET6" s="56" t="s">
        <v>504</v>
      </c>
      <c r="EU6" s="56" t="s">
        <v>505</v>
      </c>
      <c r="EV6" s="55"/>
      <c r="EW6" s="56" t="s">
        <v>638</v>
      </c>
      <c r="EX6" s="56" t="s">
        <v>639</v>
      </c>
      <c r="EY6" s="56" t="s">
        <v>640</v>
      </c>
      <c r="EZ6" s="56" t="s">
        <v>641</v>
      </c>
      <c r="FA6" s="56" t="s">
        <v>632</v>
      </c>
      <c r="FB6" s="56" t="s">
        <v>642</v>
      </c>
      <c r="FC6" s="56" t="s">
        <v>643</v>
      </c>
      <c r="FD6" s="56" t="s">
        <v>644</v>
      </c>
      <c r="FE6" s="55"/>
      <c r="FF6" s="55"/>
      <c r="FG6" s="56" t="s">
        <v>633</v>
      </c>
      <c r="FH6" s="56" t="s">
        <v>634</v>
      </c>
      <c r="FI6" s="56" t="s">
        <v>635</v>
      </c>
      <c r="FJ6" s="56" t="s">
        <v>636</v>
      </c>
      <c r="FK6" s="56" t="s">
        <v>632</v>
      </c>
      <c r="FL6" s="56" t="s">
        <v>637</v>
      </c>
      <c r="FM6" s="56" t="s">
        <v>504</v>
      </c>
      <c r="FN6" s="56" t="s">
        <v>505</v>
      </c>
      <c r="FO6" s="55"/>
      <c r="FP6" s="56" t="s">
        <v>638</v>
      </c>
      <c r="FQ6" s="56" t="s">
        <v>639</v>
      </c>
      <c r="FR6" s="56" t="s">
        <v>640</v>
      </c>
      <c r="FS6" s="56" t="s">
        <v>641</v>
      </c>
      <c r="FT6" s="56" t="s">
        <v>632</v>
      </c>
      <c r="FU6" s="56" t="s">
        <v>642</v>
      </c>
      <c r="FV6" s="56" t="s">
        <v>643</v>
      </c>
      <c r="FW6" s="56" t="s">
        <v>644</v>
      </c>
      <c r="FX6" s="55"/>
      <c r="FY6" s="56" t="s">
        <v>633</v>
      </c>
      <c r="FZ6" s="56" t="s">
        <v>634</v>
      </c>
      <c r="GA6" s="56" t="s">
        <v>635</v>
      </c>
      <c r="GB6" s="56" t="s">
        <v>636</v>
      </c>
      <c r="GC6" s="56" t="s">
        <v>632</v>
      </c>
      <c r="GD6" s="56" t="s">
        <v>637</v>
      </c>
      <c r="GE6" s="56" t="s">
        <v>504</v>
      </c>
      <c r="GF6" s="56" t="s">
        <v>505</v>
      </c>
      <c r="GG6" s="55"/>
      <c r="GH6" s="56" t="s">
        <v>638</v>
      </c>
      <c r="GI6" s="56" t="s">
        <v>639</v>
      </c>
      <c r="GJ6" s="56" t="s">
        <v>640</v>
      </c>
      <c r="GK6" s="56" t="s">
        <v>641</v>
      </c>
      <c r="GL6" s="56" t="s">
        <v>632</v>
      </c>
      <c r="GM6" s="56" t="s">
        <v>642</v>
      </c>
      <c r="GN6" s="56" t="s">
        <v>643</v>
      </c>
      <c r="GO6" s="56" t="s">
        <v>644</v>
      </c>
      <c r="GP6" s="55"/>
      <c r="GQ6" s="56" t="s">
        <v>633</v>
      </c>
      <c r="GR6" s="56" t="s">
        <v>634</v>
      </c>
      <c r="GS6" s="56" t="s">
        <v>635</v>
      </c>
      <c r="GT6" s="56" t="s">
        <v>636</v>
      </c>
      <c r="GU6" s="56" t="s">
        <v>632</v>
      </c>
      <c r="GV6" s="56" t="s">
        <v>637</v>
      </c>
      <c r="GW6" s="56" t="s">
        <v>504</v>
      </c>
      <c r="GX6" s="56" t="s">
        <v>505</v>
      </c>
      <c r="GY6" s="55"/>
      <c r="GZ6" s="56" t="s">
        <v>638</v>
      </c>
      <c r="HA6" s="56" t="s">
        <v>639</v>
      </c>
      <c r="HB6" s="56" t="s">
        <v>640</v>
      </c>
      <c r="HC6" s="56" t="s">
        <v>641</v>
      </c>
      <c r="HD6" s="56" t="s">
        <v>632</v>
      </c>
      <c r="HE6" s="56" t="s">
        <v>642</v>
      </c>
      <c r="HF6" s="56" t="s">
        <v>643</v>
      </c>
      <c r="HG6" s="56" t="s">
        <v>644</v>
      </c>
      <c r="HH6" s="55"/>
      <c r="HI6" s="56" t="s">
        <v>645</v>
      </c>
      <c r="HJ6" s="56" t="s">
        <v>646</v>
      </c>
      <c r="HK6" s="56" t="s">
        <v>647</v>
      </c>
      <c r="HL6" s="56" t="s">
        <v>648</v>
      </c>
      <c r="HM6" s="56" t="s">
        <v>649</v>
      </c>
      <c r="HN6" s="56" t="s">
        <v>632</v>
      </c>
      <c r="HO6" s="56" t="s">
        <v>650</v>
      </c>
      <c r="HP6" s="56" t="s">
        <v>651</v>
      </c>
      <c r="HQ6" s="55"/>
      <c r="HR6" s="56" t="s">
        <v>645</v>
      </c>
      <c r="HS6" s="56" t="s">
        <v>646</v>
      </c>
      <c r="HT6" s="56" t="s">
        <v>647</v>
      </c>
      <c r="HU6" s="56" t="s">
        <v>648</v>
      </c>
      <c r="HV6" s="56" t="s">
        <v>649</v>
      </c>
      <c r="HW6" s="56" t="s">
        <v>632</v>
      </c>
      <c r="HX6" s="56" t="s">
        <v>650</v>
      </c>
      <c r="HY6" s="56" t="s">
        <v>651</v>
      </c>
      <c r="HZ6" s="55"/>
      <c r="IA6" s="56" t="s">
        <v>645</v>
      </c>
      <c r="IB6" s="56" t="s">
        <v>646</v>
      </c>
      <c r="IC6" s="56" t="s">
        <v>647</v>
      </c>
      <c r="ID6" s="56" t="s">
        <v>648</v>
      </c>
      <c r="IE6" s="56" t="s">
        <v>649</v>
      </c>
      <c r="IF6" s="56" t="s">
        <v>632</v>
      </c>
      <c r="IG6" s="56" t="s">
        <v>650</v>
      </c>
      <c r="IH6" s="56" t="s">
        <v>651</v>
      </c>
      <c r="II6" s="55"/>
      <c r="IJ6" s="56" t="s">
        <v>645</v>
      </c>
      <c r="IK6" s="56" t="s">
        <v>646</v>
      </c>
      <c r="IL6" s="56" t="s">
        <v>647</v>
      </c>
      <c r="IM6" s="56" t="s">
        <v>648</v>
      </c>
      <c r="IN6" s="56" t="s">
        <v>649</v>
      </c>
      <c r="IO6" s="56" t="s">
        <v>632</v>
      </c>
      <c r="IP6" s="56" t="s">
        <v>650</v>
      </c>
      <c r="IQ6" s="56" t="s">
        <v>651</v>
      </c>
      <c r="IR6" s="55"/>
      <c r="IS6" s="56" t="s">
        <v>645</v>
      </c>
      <c r="IT6" s="56" t="s">
        <v>646</v>
      </c>
      <c r="IU6" s="56" t="s">
        <v>647</v>
      </c>
      <c r="IV6" s="56" t="s">
        <v>648</v>
      </c>
      <c r="IW6" s="56" t="s">
        <v>649</v>
      </c>
      <c r="IX6" s="56" t="s">
        <v>632</v>
      </c>
      <c r="IY6" s="56" t="s">
        <v>650</v>
      </c>
      <c r="IZ6" s="56" t="s">
        <v>651</v>
      </c>
      <c r="JA6" s="59"/>
      <c r="JC6" s="56" t="s">
        <v>652</v>
      </c>
    </row>
    <row r="7" spans="1:265" ht="5.25" customHeight="1"/>
    <row r="8" spans="1:265">
      <c r="B8" s="60" t="s">
        <v>9</v>
      </c>
      <c r="C8" s="61" t="str">
        <f>+A1&amp;" Peers"</f>
        <v>Intel Corporation Peers</v>
      </c>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c r="HZ8" s="61"/>
      <c r="IA8" s="61"/>
      <c r="IB8" s="61"/>
      <c r="IC8" s="61"/>
      <c r="ID8" s="61"/>
      <c r="IE8" s="61"/>
      <c r="IF8" s="61"/>
      <c r="IG8" s="61"/>
      <c r="IH8" s="61"/>
      <c r="II8" s="61"/>
      <c r="IJ8" s="61"/>
      <c r="IK8" s="61"/>
      <c r="IL8" s="61"/>
      <c r="IM8" s="61"/>
      <c r="IN8" s="61"/>
      <c r="IO8" s="61"/>
      <c r="IP8" s="61"/>
      <c r="IQ8" s="61"/>
      <c r="IR8" s="61"/>
      <c r="IS8" s="61"/>
      <c r="IT8" s="61"/>
      <c r="IU8" s="61"/>
      <c r="IV8" s="61"/>
      <c r="IW8" s="61"/>
      <c r="IX8" s="61"/>
      <c r="IY8" s="61"/>
      <c r="IZ8" s="61"/>
      <c r="JA8" s="61"/>
      <c r="JC8" s="61"/>
    </row>
    <row r="9" spans="1:265" ht="5.25" customHeight="1"/>
    <row r="10" spans="1:265" s="62" customFormat="1" hidden="1" outlineLevel="1">
      <c r="B10" s="63" t="s">
        <v>653</v>
      </c>
      <c r="C10" s="64"/>
      <c r="D10" s="62" t="e">
        <f ca="1">_xll.TR($B10:$B21,"TR.CommonName","NULL=BLANK")</f>
        <v>#NAME?</v>
      </c>
      <c r="E10" s="65" t="e">
        <f ca="1">_xll.TR($B10:$B21,"TR.PriceClose","sdate=#1 Curn=#2 Null=Blank",,$E$6,$F$3)</f>
        <v>#NAME?</v>
      </c>
      <c r="F10" s="464" t="e">
        <f ca="1">_xll.TR($B10:$B21,"TR.CompanyMarketCap","Sdate=#1 Curn=#2 Scale=6 Null=Blank",,$E$6,$F$3)</f>
        <v>#NAME?</v>
      </c>
      <c r="G10" s="464" t="e">
        <f ca="1">_xll.TR($B10:$B21,"TR.EV","sdate=#1 Curn=#2 Scale=6 Null=Blank",,$E$6,$F$3)</f>
        <v>#NAME?</v>
      </c>
      <c r="H10" s="464" t="e">
        <f ca="1">_xll.TR($B10:$B21,"TR.NetDebtTot","sdate=#1 Curn=#2 Scale=6 Null=Blank",,$E$6,$F$3)</f>
        <v>#NAME?</v>
      </c>
      <c r="I10" s="464" t="e">
        <f ca="1">_xll.TR($B10:$B21,"TR.TotalEquity","sdate=#1 Curn=#2 Scale=6 Null=Blank",,$E$6,$F$3)</f>
        <v>#NAME?</v>
      </c>
      <c r="J10" s="66" t="e">
        <f ca="1">_xll.TR($B10:$B21,"TR.WACCBeta","sdate=#1 Curn=#2 Scale=6 Null=Blank",,$E$6,$F$3)</f>
        <v>#NAME?</v>
      </c>
      <c r="K10" s="65" t="e">
        <f ca="1">_xll.TR($B10:$B21,"TR.WACCTaxRate","sdate=#1 Curn=#2 Scale=6 Null=Blank",,$E$6,$F$3)</f>
        <v>#NAME?</v>
      </c>
      <c r="L10" s="67"/>
      <c r="N10" s="68" t="e">
        <f ca="1">_xll.TR($B10:$B21,"TR.NetIncomeAfterTaxes.PED","Period=FY0 SDate=#1 NULL=BLANK",,$E$6)</f>
        <v>#NAME?</v>
      </c>
      <c r="O10" s="68" t="e">
        <f ca="1">_xll.TR($B10:$B21,"TR.NetIncomeAfterTaxes.PED","Period=FI0 SDate=#1 NULL=BLANK",,$E$6)</f>
        <v>#NAME?</v>
      </c>
      <c r="P10" s="69"/>
      <c r="Q10" s="70" t="e">
        <f ca="1">_xll.TR($B10:$B21,"TR.TotalRevenue","Scale=6 Sdate=#1 Period=#2 Curn=#3 NULL=BLANK",,$E$6,Q$6,$F$3)</f>
        <v>#NAME?</v>
      </c>
      <c r="R10" s="71" t="e">
        <f ca="1">_xll.TR($B10:$B21,"TR.TotalRevenue","Scale=6 Sdate=#1 Period=#2 Curn=#3 NULL=BLANK",,$E$6,R$6,$F$3)</f>
        <v>#NAME?</v>
      </c>
      <c r="S10" s="71" t="e">
        <f ca="1">_xll.TR($B10:$B21,"TR.TotalRevenue","Scale=6 Sdate=#1 Period=#2 Curn=#3 NULL=BLANK",,$E$6,S$6,$F$3)</f>
        <v>#NAME?</v>
      </c>
      <c r="T10" s="71" t="e">
        <f ca="1">_xll.TR($B10:$B21,"TR.TotalRevenue","Scale=6 Sdate=#1 Period=#2 Curn=#3 NULL=BLANK",,$E$6,T$6,$F$3)</f>
        <v>#NAME?</v>
      </c>
      <c r="U10" s="71" t="e">
        <f ca="1">_xll.TR($B10:$B21,"AVAIL(TR.TotalRevenue(Methodology=InterimSum),TR.TotalRevenue(Period=FY0))","Scale=6 Sdate=#1 Curn=#2 Period=LTM NULL=BLANK",,$E$6,$F$3)</f>
        <v>#NAME?</v>
      </c>
      <c r="V10" s="71" t="e">
        <f ca="1">_xll.TR($B10:$B21,"TR.RevenueMean","scale=6 Sdate=#1 Period=#2 Curn=#3 NULL=BLANK",,$E$6,V$6,$F$3)</f>
        <v>#NAME?</v>
      </c>
      <c r="W10" s="71" t="e">
        <f ca="1">_xll.TR($B10:$B21,"TR.RevenueMean","scale=6 Sdate=#1 Period=#2 Curn=#3 NULL=BLANK",,$E$6,W$6,$F$3)</f>
        <v>#NAME?</v>
      </c>
      <c r="X10" s="71" t="e">
        <f ca="1">_xll.TR($B10:$B21,"TR.RevenueMean","scale=6 Sdate=#1 Period=#2 Curn=#3 NULL=BLANK",,$E$6,X$6,$F$3)</f>
        <v>#NAME?</v>
      </c>
      <c r="Y10" s="71"/>
      <c r="Z10" s="70" t="e">
        <f ca="1">_xll.TR($B10:$B21,"AVAIL(TR.TotalRevenue(Methodology=InterimSum),TR.TotalRevenue(Methodology=WeightedAnnual))","Scale=6 Sdate=#1 Period=#2 Curn=#3 NULL=BLANK",,$E$6,Z$6,$F$3)</f>
        <v>#NAME?</v>
      </c>
      <c r="AA10" s="71" t="e">
        <f ca="1">_xll.TR($B10:$B21,"AVAIL(TR.TotalRevenue(Methodology=InterimSum),TR.TotalRevenue(Methodology=WeightedAnnual))","Scale=6 Sdate=#1 Period=#2 Curn=#3 NULL=BLANK",,$E$6,AA$6,$F$3)</f>
        <v>#NAME?</v>
      </c>
      <c r="AB10" s="71" t="e">
        <f ca="1">_xll.TR($B10:$B21,"AVAIL(TR.TotalRevenue(Methodology=InterimSum),TR.TotalRevenue(Methodology=WeightedAnnual))","Scale=6 Sdate=#1 Period=#2 Curn=#3 NULL=BLANK",,$E$6,AB$6,$F$3)</f>
        <v>#NAME?</v>
      </c>
      <c r="AC10" s="71" t="e">
        <f ca="1">_xll.TR($B10:$B21,"AVAIL(TR.TotalRevenue(Methodology=InterimSum),TR.TotalRevenue(Methodology=WeightedAnnual))","Scale=6 Sdate=#1 Period=#2 Curn=#3 NULL=BLANK",,$E$6,AC$6,$F$3)</f>
        <v>#NAME?</v>
      </c>
      <c r="AD10" s="71" t="e">
        <f ca="1">_xll.TR($B10:$B21,"AVAIL(TR.TotalRevenue(Methodology=InterimSum),TR.TotalRevenue(Period=FY0))","Scale=6 Sdate=#1 Curn=#2 Period=LTM NULL=BLANK",,$E$6,$F$3)</f>
        <v>#NAME?</v>
      </c>
      <c r="AE10" s="71" t="e">
        <f ca="1">_xll.TR($B10:$B21,"Avail(TR.RevenueMean(Methodology=InterimSumblend),TR.RevenueMean(Methodology=WeightedAnnualblend))","scale=6 Sdate=#1 Period=#2 Curn=#3 NULL=BLANK",,$E$6,AE$6,$F$3)</f>
        <v>#NAME?</v>
      </c>
      <c r="AF10" s="71" t="e">
        <f ca="1">_xll.TR($B10:$B21,"Avail(TR.RevenueMean(Methodology=InterimSumblend),TR.RevenueMean(Methodology=WeightedAnnualblend))","scale=6 Sdate=#1 Period=#2 Curn=#3 NULL=BLANK",,$E$6,AF$6,$F$3)</f>
        <v>#NAME?</v>
      </c>
      <c r="AG10" s="71" t="e">
        <f ca="1">_xll.TR($B10:$B21,"Avail(TR.RevenueMean(Methodology=InterimSumblend),TR.RevenueMean(Methodology=WeightedAnnualblend))","scale=6 Sdate=#1 Period=#2 Curn=#3 NULL=BLANK",,$E$6,AG$6,$F$3)</f>
        <v>#NAME?</v>
      </c>
      <c r="AI10" s="71" t="e">
        <f ca="1">_xll.TR($B10:$B21,"TR.GrossProfit","Scale=6 Sdate=#1 Period=#2 Curn=#3 NULL=BLANK",,$E$6,AI$6,$F$3)</f>
        <v>#NAME?</v>
      </c>
      <c r="AJ10" s="71" t="e">
        <f ca="1">_xll.TR($B10:$B21,"TR.GrossProfit","Scale=6 Sdate=#1 Period=#2 Curn=#3 NULL=BLANK",,$E$6,AJ$6,$F$3)</f>
        <v>#NAME?</v>
      </c>
      <c r="AK10" s="71" t="e">
        <f ca="1">_xll.TR($B10:$B21,"TR.GrossProfit","Scale=6 Sdate=#1 Period=#2 Curn=#3 NULL=BLANK",,$E$6,AK$6,$F$3)</f>
        <v>#NAME?</v>
      </c>
      <c r="AL10" s="71" t="e">
        <f ca="1">_xll.TR($B10:$B21,"TR.GrossProfit","Scale=6 Sdate=#1 Period=#2 Curn=#3 NULL=BLANK",,$E$6,AL$6,$F$3)</f>
        <v>#NAME?</v>
      </c>
      <c r="AM10" s="71" t="e">
        <f ca="1">_xll.TR($B10:$B21,"AVAIL(TR.GrossProfit(Methodology=InterimSum),TR.GrossProfit(Period=FY0))","Scale=6 Sdate=#1 Curn=#2 Period=LTM NULL=BLANK",,$E$6,$F$3)</f>
        <v>#NAME?</v>
      </c>
      <c r="AN10" s="71" t="e">
        <f ca="1">_xll.TR($B10:$B21,"TR.GrossIncomeMean","Scale=6 Sdate=#1 Period=#2 Curn=#3 NULL=BLANK",,$E$6,AN$6,$F$3)</f>
        <v>#NAME?</v>
      </c>
      <c r="AO10" s="71" t="e">
        <f ca="1">_xll.TR($B10:$B21,"TR.GrossIncomeMean","Scale=6 Sdate=#1 Period=#2 Curn=#3 NULL=BLANK",,$E$6,AO$6,$F$3)</f>
        <v>#NAME?</v>
      </c>
      <c r="AP10" s="71" t="e">
        <f ca="1">_xll.TR($B10:$B21,"TR.GrossIncomeMean","Scale=6 Sdate=#1 Period=#2 Curn=#3 NULL=BLANK",,$E$6,AP$6,$F$3)</f>
        <v>#NAME?</v>
      </c>
      <c r="AQ10" s="71"/>
      <c r="AR10" s="71" t="e">
        <f ca="1">_xll.TR($B10:$B21,"AVAIL(TR.GrossProfit(Methodology=InterimSum),TR.GrossProfit(Methodology=WeightedAnnual))","Scale=6 Sdate=#1 Period=#2 Curn=#3 NULL=BLANK",,$E$6,AR$6,$F$3)</f>
        <v>#NAME?</v>
      </c>
      <c r="AS10" s="71" t="e">
        <f ca="1">_xll.TR($B10:$B21,"AVAIL(TR.GrossProfit(Methodology=InterimSum),TR.GrossProfit(Methodology=WeightedAnnual))","Scale=6 Sdate=#1 Period=#2 Curn=#3 NULL=BLANK",,$E$6,AS$6,$F$3)</f>
        <v>#NAME?</v>
      </c>
      <c r="AT10" s="71" t="e">
        <f ca="1">_xll.TR($B10:$B21,"AVAIL(TR.GrossProfit(Methodology=InterimSum),TR.GrossProfit(Methodology=WeightedAnnual))","Scale=6 Sdate=#1 Period=#2 Curn=#3 NULL=BLANK",,$E$6,AT$6,$F$3)</f>
        <v>#NAME?</v>
      </c>
      <c r="AU10" s="71" t="e">
        <f ca="1">_xll.TR($B10:$B21,"AVAIL(TR.GrossProfit(Methodology=InterimSum),TR.GrossProfit(Methodology=WeightedAnnual))","Scale=6 Sdate=#1 Period=#2 Curn=#3 NULL=BLANK",,$E$6,AU$6,$F$3)</f>
        <v>#NAME?</v>
      </c>
      <c r="AV10" s="71" t="e">
        <f ca="1">_xll.TR($B10:$B21,"AVAIL(TR.GrossProfit(Methodology=InterimSum),TR.GrossProfit(Period=FY0))","Scale=6 Sdate=#1 Curn=#2 Period=LTM NULL=BLANK",,$E$6,$F$3)</f>
        <v>#NAME?</v>
      </c>
      <c r="AW10" s="71" t="e">
        <f ca="1">_xll.TR($B10:$B21,"Avail(TR.GrossIncomeMean(Methodology=InterimSumblend),TR.GrossIncomeMean(Methodology=WeightedAnnualblend))","scale=6 Sdate=#1 Period=#2 Curn=#3 NULL=BLANK",,$E$6,AW$6,$F$3)</f>
        <v>#NAME?</v>
      </c>
      <c r="AX10" s="71" t="e">
        <f ca="1">_xll.TR($B10:$B21,"Avail(TR.GrossIncomeMean(Methodology=InterimSumblend),TR.GrossIncomeMean(Methodology=WeightedAnnualblend))","scale=6 Sdate=#1 Period=#2 Curn=#3 NULL=BLANK",,$E$6,AX$6,$F$3)</f>
        <v>#NAME?</v>
      </c>
      <c r="AY10" s="71" t="e">
        <f ca="1">_xll.TR($B10:$B21,"Avail(TR.GrossIncomeMean(Methodology=InterimSumblend),TR.GrossIncomeMean(Methodology=WeightedAnnualblend))","scale=6 Sdate=#1 Period=#2 Curn=#3 NULL=BLANK",,$E$6,AY$6,$F$3)</f>
        <v>#NAME?</v>
      </c>
      <c r="AZ10" s="70"/>
      <c r="BA10" s="71" t="e">
        <f ca="1">_xll.TR($B10:$B21,"TR.EBITDA","Scale=6 Sdate=#1 Period=#2 Curn=#3 NULL=BLANK",,$E$6,BA$6,$F$3)</f>
        <v>#NAME?</v>
      </c>
      <c r="BB10" s="71" t="e">
        <f ca="1">_xll.TR($B10:$B21,"TR.EBITDA","Scale=6 Sdate=#1 Period=#2 Curn=#3 NULL=BLANK",,$E$6,BB$6,$F$3)</f>
        <v>#NAME?</v>
      </c>
      <c r="BC10" s="71" t="e">
        <f ca="1">_xll.TR($B10:$B21,"TR.EBITDA","Scale=6 Sdate=#1 Period=#2 Curn=#3 NULL=BLANK",,$E$6,BC$6,$F$3)</f>
        <v>#NAME?</v>
      </c>
      <c r="BD10" s="71" t="e">
        <f ca="1">_xll.TR($B10:$B21,"TR.EBITDA","Scale=6 Sdate=#1 Period=#2 Curn=#3 NULL=BLANK",,$E$6,BD$6,$F$3)</f>
        <v>#NAME?</v>
      </c>
      <c r="BE10" s="71" t="e">
        <f ca="1">_xll.TR($B10:$B21,"AVAIL(TR.EBITDATTM,TR.EBITDA(Period=FY0))","Scale=6 Sdate=#1 Curn=#2 Period=LTM NULL=BLANK",,$E$6,$F$3)</f>
        <v>#NAME?</v>
      </c>
      <c r="BF10" s="71" t="e">
        <f ca="1">_xll.TR($B10:$B21,"TR.EBITDAMean","Scale=6 Sdate=#1 Period=#2 Curn=#3 NULL=BLANK",,$E$6,BF$6,$F$3)</f>
        <v>#NAME?</v>
      </c>
      <c r="BG10" s="71" t="e">
        <f ca="1">_xll.TR($B10:$B21,"TR.EBITDAMean","Scale=6 Sdate=#1 Period=#2 Curn=#3 NULL=BLANK",,$E$6,BG$6,$F$3)</f>
        <v>#NAME?</v>
      </c>
      <c r="BH10" s="71" t="e">
        <f ca="1">_xll.TR($B10:$B21,"TR.EBITDAMean","Scale=6 Sdate=#1 Period=#2 Curn=#3 NULL=BLANK",,$E$6,BH$6,$F$3)</f>
        <v>#NAME?</v>
      </c>
      <c r="BI10" s="71"/>
      <c r="BJ10" s="71" t="e">
        <f ca="1">_xll.TR($B10:$B21,"AVAIL(TR.NormalizedEBITDA(Methodology=InterimSum),TR.NormalizedEBITDA(Methodology=WeightedAnnual))","Scale=6 Sdate=#1 Period=#2 Curn=#3 NULL=BLANK",,$E$6,BJ$6,$F$3)</f>
        <v>#NAME?</v>
      </c>
      <c r="BK10" s="71" t="e">
        <f ca="1">_xll.TR($B10:$B21,"AVAIL(TR.NormalizedEBITDA(Methodology=InterimSum),TR.NormalizedEBITDA(Methodology=WeightedAnnual))","Scale=6 Sdate=#1 Period=#2 Curn=#3 NULL=BLANK",,$E$6,BK$6,$F$3)</f>
        <v>#NAME?</v>
      </c>
      <c r="BL10" s="71" t="e">
        <f ca="1">_xll.TR($B10:$B21,"AVAIL(TR.NormalizedEBITDA(Methodology=InterimSum),TR.NormalizedEBITDA(Methodology=WeightedAnnual))","Scale=6 Sdate=#1 Period=#2 Curn=#3 NULL=BLANK",,$E$6,BL$6,$F$3)</f>
        <v>#NAME?</v>
      </c>
      <c r="BM10" s="71" t="e">
        <f ca="1">_xll.TR($B10:$B21,"AVAIL(TR.NormalizedEBITDA(Methodology=InterimSum),TR.NormalizedEBITDA(Methodology=WeightedAnnual))","Scale=6 Sdate=#1 Period=#2 Curn=#3 NULL=BLANK",,$E$6,BM$6,$F$3)</f>
        <v>#NAME?</v>
      </c>
      <c r="BN10" s="71" t="e">
        <f ca="1">_xll.TR($B10:$B21,"AVAIL(TR.EBITDATTM,TR.EBITDA(Period=FY0))","Scale=6 Sdate=#1 Curn=#2 Period=LTM NULL=BLANK",,$E$6,$F$3)</f>
        <v>#NAME?</v>
      </c>
      <c r="BO10" s="71" t="e">
        <f ca="1">_xll.TR($B10:$B21,"Avail(TR.EBITDAMean(Methodology=InterimSumblend),TR.EBITDAMean(Methodology=WeightedAnnualblend))","Scale=6 Sdate=#1 Period=#2 Curn=#3 NULL=BLANK",,$E$6,BO$6,$F$3)</f>
        <v>#NAME?</v>
      </c>
      <c r="BP10" s="71" t="e">
        <f ca="1">_xll.TR($B10:$B21,"Avail(TR.EBITDAMean(Methodology=InterimSumblend),TR.EBITDAMean(Methodology=WeightedAnnualblend))","Scale=6 Sdate=#1 Period=#2 Curn=#3 NULL=BLANK",,$E$6,BP$6,$F$3)</f>
        <v>#NAME?</v>
      </c>
      <c r="BQ10" s="71" t="e">
        <f ca="1">_xll.TR($B10:$B21,"Avail(TR.EBITDAMean(Methodology=InterimSumblend),TR.EBITDAMean(Methodology=WeightedAnnualblend))","Scale=6 Sdate=#1 Period=#2 Curn=#3 NULL=BLANK",,$E$6,BQ$6,$F$3)</f>
        <v>#NAME?</v>
      </c>
      <c r="BR10" s="71"/>
      <c r="BS10" s="69"/>
      <c r="BT10" s="69" t="e">
        <f ca="1">_xll.TR($B10:$B21,"TR.HistEnterpriseValueRevenue","Sdate=#1 Period=#2 NULL=BLANK",,$E$6,BT$6)</f>
        <v>#NAME?</v>
      </c>
      <c r="BU10" s="69" t="e">
        <f ca="1">_xll.TR($B10:$B21,"TR.HistEnterpriseValueRevenue","Sdate=#1 Period=#2 NULL=BLANK",,$E$6,BU$6)</f>
        <v>#NAME?</v>
      </c>
      <c r="BV10" s="69" t="e">
        <f ca="1">_xll.TR($B10:$B21,"TR.HistEnterpriseValueRevenue","Sdate=#1 Period=#2 NULL=BLANK",,$E$6,BV$6)</f>
        <v>#NAME?</v>
      </c>
      <c r="BW10" s="69" t="e">
        <f ca="1">_xll.TR($B10:$B21,"TR.HistEnterpriseValueRevenue","Sdate=#1 Period=#2 NULL=BLANK",,$E$6,BW$6)</f>
        <v>#NAME?</v>
      </c>
      <c r="BX10" s="69" t="e">
        <f ca="1">_xll.TR($B10:$B21,"TR.EVToSales","Sdate=#1 Period=#2 NULL=BLANK",,$E$6,BX$6)</f>
        <v>#NAME?</v>
      </c>
      <c r="BY10" s="465" t="e">
        <f ca="1">_xll.TR($B10:$B21,"TR.EVtoRevenueMean","Sdate=#1 Period=#2 Curn=#3 NULL=BLANK",,$E$6,BY$6,$F$3)</f>
        <v>#NAME?</v>
      </c>
      <c r="BZ10" s="69" t="e">
        <f ca="1">_xll.TR($B10:$B21,"TR.EVtoRevenueMean","Sdate=#1 Period=#2 Curn=#3 NULL=BLANK",,$E$6,BZ$6,$F$3)</f>
        <v>#NAME?</v>
      </c>
      <c r="CA10" s="69" t="e">
        <f ca="1">_xll.TR($B10:$B21,"TR.EVtoRevenueMean","Sdate=#1 Period=#2 Curn=#3 NULL=BLANK",,$E$6,CA$6,$F$3)</f>
        <v>#NAME?</v>
      </c>
      <c r="CB10" s="69"/>
      <c r="CC10" s="69" t="e">
        <f ca="1">_xll.TR($B10:$B21,"TR.HistEnterpriseValue/(AVAIL(TR.TotalRevenue(Methodology=InterimSum),TR.TotalRevenue(Methodology=WeightedAnnual)))","Sdate=#1 Period=#2 NULL=BLANK",,$E$6,CC$6)</f>
        <v>#NAME?</v>
      </c>
      <c r="CD10" s="69" t="e">
        <f ca="1">_xll.TR($B10:$B21,"TR.HistEnterpriseValue/(AVAIL(TR.TotalRevenue(Methodology=InterimSum),TR.TotalRevenue(Methodology=WeightedAnnual)))","Sdate=#1 Period=#2 NULL=BLANK",,$E$6,CD$6)</f>
        <v>#NAME?</v>
      </c>
      <c r="CE10" s="69" t="e">
        <f ca="1">_xll.TR($B10:$B21,"TR.HistEnterpriseValue/(AVAIL(TR.TotalRevenue(Methodology=InterimSum),TR.TotalRevenue(Methodology=WeightedAnnual)))","Sdate=#1 Period=#2 NULL=BLANK",,$E$6,CE$6)</f>
        <v>#NAME?</v>
      </c>
      <c r="CF10" s="69" t="e">
        <f ca="1">_xll.TR($B10:$B21,"TR.HistEnterpriseValue/(AVAIL(TR.TotalRevenue(Methodology=InterimSum),TR.TotalRevenue(Methodology=WeightedAnnual)))","Sdate=#1 Period=#2 NULL=BLANK",,$E$6,CF$6)</f>
        <v>#NAME?</v>
      </c>
      <c r="CG10" s="69" t="e">
        <f ca="1">_xll.TR($B10:$B21,"TR.EVToSales","Sdate=#1 Period=#2 NULL=BLANK",,$E$6,CG$6)</f>
        <v>#NAME?</v>
      </c>
      <c r="CH10" s="69" t="e">
        <f ca="1">_xll.TR($B10:$B21,"TR.EV/Avail(TR.RevenueMean(Methodology=WeightedAnnual ),TR.RevenueMean(Methodology=InterimSum ))","Sdate=#1 Period=#2 Curn=#3 NULL=BLANK",,$E$6,CH$6,$F$3)</f>
        <v>#NAME?</v>
      </c>
      <c r="CI10" s="69" t="e">
        <f ca="1">_xll.TR($B10:$B21,"TR.EV/Avail(TR.RevenueMean(Methodology=WeightedAnnual ),TR.RevenueMean(Methodology=InterimSum ))","Sdate=#1 Period=#2 Curn=#3 NULL=BLANK",,$E$6,CI$6,$F$3)</f>
        <v>#NAME?</v>
      </c>
      <c r="CJ10" s="69" t="e">
        <f ca="1">_xll.TR($B10:$B21,"TR.EV/Avail(TR.RevenueMean(Methodology=WeightedAnnual ),TR.RevenueMean(Methodology=InterimSum ))","Sdate=#1 Period=#2 Curn=#3 NULL=BLANK",,$E$6,CJ$6,$F$3)</f>
        <v>#NAME?</v>
      </c>
      <c r="CL10" s="69" t="e">
        <f ca="1">_xll.TR($B10:$B21,"TR.HistEnterpriseValue/TR.GrossProfit","Sdate=#1 Period=#2 Curn=#3 NULL=BLANK",,$E$6,CL$6,$F$3)</f>
        <v>#NAME?</v>
      </c>
      <c r="CM10" s="69" t="e">
        <f ca="1">_xll.TR($B10:$B21,"TR.HistEnterpriseValue/TR.GrossProfit","Sdate=#1 Period=#2 Curn=#3 NULL=BLANK",,$E$6,CM$6,$F$3)</f>
        <v>#NAME?</v>
      </c>
      <c r="CN10" s="69" t="e">
        <f ca="1">_xll.TR($B10:$B21,"TR.HistEnterpriseValue/TR.GrossProfit","Sdate=#1 Period=#2 Curn=#3 NULL=BLANK",,$E$6,CN$6,$F$3)</f>
        <v>#NAME?</v>
      </c>
      <c r="CO10" s="69" t="e">
        <f ca="1">_xll.TR($B10:$B21,"TR.HistEnterpriseValue/TR.GrossProfit","Sdate=#1 Period=#2 Curn=#3 NULL=BLANK",,$E$6,CO$6,$F$3)</f>
        <v>#NAME?</v>
      </c>
      <c r="CP10" s="69" t="e">
        <f ca="1">_xll.TR($B10:$B21,"TR.HistEnterpriseValue/AVAIL(TR.GrossProfit(Methodology=InterimSum),TR.GrossProfit(Period=FY0))","Sdate=#1 Period=#2 Curn=#3 NULL=BLANK",,$E$6,CP$6,$F$3)</f>
        <v>#NAME?</v>
      </c>
      <c r="CQ10" s="69" t="e">
        <f ca="1">_xll.TR($B10:$B21,"TR.EV/TR.GrossIncomeMean","Sdate=#1 Period=#2 Curn=#3 NULL=BLANK",,$E$6,CQ$6,$F$3)</f>
        <v>#NAME?</v>
      </c>
      <c r="CR10" s="69" t="e">
        <f ca="1">_xll.TR($B10:$B21,"TR.EV/TR.GrossIncomeMean","Sdate=#1 Period=#2 Curn=#3 NULL=BLANK",,$E$6,CR$6,$F$3)</f>
        <v>#NAME?</v>
      </c>
      <c r="CS10" s="69" t="e">
        <f ca="1">_xll.TR($B10:$B21,"TR.EV/TR.GrossIncomeMean","Sdate=#1 Period=#2 Curn=#3 NULL=BLANK",,$E$6,CS$6,$F$3)</f>
        <v>#NAME?</v>
      </c>
      <c r="CT10" s="69"/>
      <c r="CU10" s="69" t="e">
        <f ca="1">_xll.TR($B10:$B21,"TR.HistEnterpriseValue/AVAIL(TR.GrossProfit(Methodology=InterimSum),TR.GrossProfit(Methodology=WeightedAnnual))","Sdate=#1 Period=#2 Curn=#3 NULL=BLANK",,$E$6,CU$6,$F$3)</f>
        <v>#NAME?</v>
      </c>
      <c r="CV10" s="69" t="e">
        <f ca="1">_xll.TR($B10:$B21,"TR.HistEnterpriseValue/AVAIL(TR.GrossProfit(Methodology=InterimSum),TR.GrossProfit(Methodology=WeightedAnnual))","Sdate=#1 Period=#2 Curn=#3 NULL=BLANK",,$E$6,CV$6,$F$3)</f>
        <v>#NAME?</v>
      </c>
      <c r="CW10" s="69" t="e">
        <f ca="1">_xll.TR($B10:$B21,"TR.HistEnterpriseValue/AVAIL(TR.GrossProfit(Methodology=InterimSum),TR.GrossProfit(Methodology=WeightedAnnual))","Sdate=#1 Period=#2 Curn=#3 NULL=BLANK",,$E$6,CW$6,$F$3)</f>
        <v>#NAME?</v>
      </c>
      <c r="CX10" s="69" t="e">
        <f ca="1">_xll.TR($B10:$B21,"TR.HistEnterpriseValue/AVAIL(TR.GrossProfit(Methodology=InterimSum),TR.GrossProfit(Methodology=WeightedAnnual))","Sdate=#1 Period=#2 Curn=#3 NULL=BLANK",,$E$6,CX$6,$F$3)</f>
        <v>#NAME?</v>
      </c>
      <c r="CY10" s="69" t="e">
        <f ca="1">_xll.TR($B10:$B21,"TR.HistEnterpriseValue/AVAIL(TR.GrossProfit(Methodology=InterimSum),TR.GrossProfit(Period=FY0))","Sdate=#1 Period=#2 Curn=#3 NULL=BLANK",,$E$6,CY$6,$F$3)</f>
        <v>#NAME?</v>
      </c>
      <c r="CZ10" s="69" t="e">
        <f ca="1">_xll.TR($B10:$B21,"TR.EV/Avail(TR.GrossIncomeMean(Methodology=InterimSumblend),TR.GrossIncomeMean(Methodology=WeightedAnnualblend))","Sdate=#1 Period=#2 Curn=#3 NULL=BLANK",,$E$6,CZ$6,$F$3)</f>
        <v>#NAME?</v>
      </c>
      <c r="DA10" s="69" t="e">
        <f ca="1">_xll.TR($B10:$B21,"TR.EV/Avail(TR.GrossIncomeMean(Methodology=InterimSumblend),TR.GrossIncomeMean(Methodology=WeightedAnnualblend))","Sdate=#1 Period=#2 Curn=#3 NULL=BLANK",,$E$6,DA$6,$F$3)</f>
        <v>#NAME?</v>
      </c>
      <c r="DB10" s="69" t="e">
        <f ca="1">_xll.TR($B10:$B21,"TR.EV/Avail(TR.GrossIncomeMean(Methodology=InterimSumblend),TR.GrossIncomeMean(Methodology=WeightedAnnualblend))","Sdate=#1 Period=#2 Curn=#3 NULL=BLANK",,$E$6,DB$6,$F$3)</f>
        <v>#NAME?</v>
      </c>
      <c r="DD10" s="69" t="e">
        <f ca="1">_xll.TR($B10:$B21,"TR.HistEnterpriseValueEBITDA","Sdate=#1 Period=#2 NULL=BLANK",,$E$6,DD$6)</f>
        <v>#NAME?</v>
      </c>
      <c r="DE10" s="69" t="e">
        <f ca="1">_xll.TR($B10:$B21,"TR.HistEnterpriseValueEBITDA","Sdate=#1 Period=#2 NULL=BLANK",,$E$6,DE$6)</f>
        <v>#NAME?</v>
      </c>
      <c r="DF10" s="69" t="e">
        <f ca="1">_xll.TR($B10:$B21,"TR.HistEnterpriseValueEBITDA","Sdate=#1 Period=#2 NULL=BLANK",,$E$6,DF$6)</f>
        <v>#NAME?</v>
      </c>
      <c r="DG10" s="69" t="e">
        <f ca="1">_xll.TR($B10:$B21,"TR.HistEnterpriseValueEBITDA","Sdate=#1 Period=#2 NULL=BLANK",,$E$6,DG$6)</f>
        <v>#NAME?</v>
      </c>
      <c r="DH10" s="69" t="e">
        <f ca="1">_xll.TR($B10:$B21,"TR.EVToEBITDA","Sdate=#1 Period=#2 NULL=BLANK",,$E$6,DH$6)</f>
        <v>#NAME?</v>
      </c>
      <c r="DI10" s="465" t="e">
        <f ca="1">_xll.TR($B10:$B21,"TR.EVtoEBITDAMean","Sdate=#1 Period=#2 Curn=#3 NULL=BLANK",,$E$6,DI$6,$F$3)</f>
        <v>#NAME?</v>
      </c>
      <c r="DJ10" s="69" t="e">
        <f ca="1">_xll.TR($B10:$B21,"TR.EVtoEBITDAMean","Sdate=#1 Period=#2 Curn=#3 NULL=BLANK",,$E$6,DJ$6,$F$3)</f>
        <v>#NAME?</v>
      </c>
      <c r="DK10" s="69" t="e">
        <f ca="1">_xll.TR($B10:$B21,"TR.EVtoEBITDAMean","Sdate=#1 Period=#2 Curn=#3 NULL=BLANK",,$E$6,DK$6,$F$3)</f>
        <v>#NAME?</v>
      </c>
      <c r="DL10" s="69"/>
      <c r="DM10" s="69" t="e">
        <f ca="1">_xll.TR($B10:$B21,"TR.HistEnterpriseValue/AVAIL(TR.NormalizedEBITDA(Methodology=InterimSum),TR.NormalizedEBITDA(Methodology=WeightedAnnual))","Sdate=#1 Period=#2 Curn=#3 NULL=BLANK",,$E$6,DM$6,$F$3)</f>
        <v>#NAME?</v>
      </c>
      <c r="DN10" s="69" t="e">
        <f ca="1">_xll.TR($B10:$B21,"TR.HistEnterpriseValue/AVAIL(TR.NormalizedEBITDA(Methodology=InterimSum),TR.NormalizedEBITDA(Methodology=WeightedAnnual))","Sdate=#1 Period=#2 Curn=#3 NULL=BLANK",,$E$6,DN$6,$F$3)</f>
        <v>#NAME?</v>
      </c>
      <c r="DO10" s="69" t="e">
        <f ca="1">_xll.TR($B10:$B21,"TR.HistEnterpriseValue/AVAIL(TR.NormalizedEBITDA(Methodology=InterimSum),TR.NormalizedEBITDA(Methodology=WeightedAnnual))","Sdate=#1 Period=#2 Curn=#3 NULL=BLANK",,$E$6,DO$6,$F$3)</f>
        <v>#NAME?</v>
      </c>
      <c r="DP10" s="69" t="e">
        <f ca="1">_xll.TR($B10:$B21,"TR.HistEnterpriseValue/AVAIL(TR.NormalizedEBITDA(Methodology=InterimSum),TR.NormalizedEBITDA(Methodology=WeightedAnnual))","Sdate=#1 Period=#2 Curn=#3 NULL=BLANK",,$E$6,DP$6,$F$3)</f>
        <v>#NAME?</v>
      </c>
      <c r="DQ10" s="69" t="e">
        <f ca="1">_xll.TR($B10:$B21,"TR.EVToEBITDA","Sdate=#1 Period=#2 NULL=BLANK",,$E$6,DQ$6)</f>
        <v>#NAME?</v>
      </c>
      <c r="DR10" s="69" t="e">
        <f ca="1">_xll.TR($B10:$B21,"TR.EV/Avail(TR.EBITDAMean(Methodology=WeightedAnnual ),TR.EBITDAMean(Methodology=InterimSum ))","Sdate=#1 Period=#2 Curn=#3 NULL=BLANK",,$E$6,DR$6,$F$3)</f>
        <v>#NAME?</v>
      </c>
      <c r="DS10" s="69" t="e">
        <f ca="1">_xll.TR($B10:$B21,"TR.EV/Avail(TR.EBITDAMean(Methodology=WeightedAnnual ),TR.EBITDAMean(Methodology=InterimSum ))","Sdate=#1 Period=#2 Curn=#3 NULL=BLANK",,$E$6,DS$6,$F$3)</f>
        <v>#NAME?</v>
      </c>
      <c r="DT10" s="69" t="e">
        <f ca="1">_xll.TR($B10:$B21,"TR.EV/Avail(TR.EBITDAMean(Methodology=WeightedAnnual ),TR.EBITDAMean(Methodology=InterimSum ))","Sdate=#1 Period=#2 Curn=#3 NULL=BLANK",,$E$6,DT$6,$F$3)</f>
        <v>#NAME?</v>
      </c>
      <c r="DV10" s="69" t="e">
        <f ca="1">_xll.TR($B10:$B21,"TR.EVEBIT","Sdate=#1 Period=#2 NULL=BLANK",,$E$6,DV$6)</f>
        <v>#NAME?</v>
      </c>
      <c r="DW10" s="69" t="e">
        <f ca="1">_xll.TR($B10:$B21,"TR.EVEBIT","Sdate=#1 Period=#2 NULL=BLANK",,$E$6,DW$6)</f>
        <v>#NAME?</v>
      </c>
      <c r="DX10" s="69" t="e">
        <f ca="1">_xll.TR($B10:$B21,"TR.EVEBIT","Sdate=#1 Period=#2 NULL=BLANK",,$E$6,DX$6)</f>
        <v>#NAME?</v>
      </c>
      <c r="DY10" s="69" t="e">
        <f ca="1">_xll.TR($B10:$B21,"TR.EVEBIT","Sdate=#1 Period=#2 NULL=BLANK",,$E$6,DY$6)</f>
        <v>#NAME?</v>
      </c>
      <c r="DZ10" s="69" t="e">
        <f ca="1">_xll.TR($B10:$B21,"TR.EVToEBIT","Sdate=#1 Period=#2 NULL=BLANK",,$E$6,DZ$6)</f>
        <v>#NAME?</v>
      </c>
      <c r="EA10" s="69" t="e">
        <f ca="1">_xll.TR($B10:$B21,"TR.EVtoEBITMean","Sdate=#1 Period=#2 Curn=#3 NULL=BLANK",,$E$6,EA$6,$F$3)</f>
        <v>#NAME?</v>
      </c>
      <c r="EB10" s="69" t="e">
        <f ca="1">_xll.TR($B10:$B21,"TR.EVtoEBITMean","Sdate=#1 Period=#2 Curn=#3 NULL=BLANK",,$E$6,EB$6,$F$3)</f>
        <v>#NAME?</v>
      </c>
      <c r="EC10" s="69" t="e">
        <f ca="1">_xll.TR($B10:$B21,"TR.EVtoEBITMean","Sdate=#1 Period=#2 Curn=#3 NULL=BLANK",,$E$6,EC$6,$F$3)</f>
        <v>#NAME?</v>
      </c>
      <c r="ED10" s="69"/>
      <c r="EE10" s="69" t="e">
        <f ca="1">_xll.TR($B10:$B21,"TR.HistEnterpriseValue/AVAIL(TR.NormalizedEBIT(Methodology=InterimSum),TR.NormalizedEBIT(Methodology=WeightedAnnual))","Sdate=#1 Period=#2 Curn=#3 NULL=BLANK",,$E$6,EE$6,$F$3)</f>
        <v>#NAME?</v>
      </c>
      <c r="EF10" s="69" t="e">
        <f ca="1">_xll.TR($B10:$B21,"TR.HistEnterpriseValue/AVAIL(TR.NormalizedEBIT(Methodology=InterimSum),TR.NormalizedEBIT(Methodology=WeightedAnnual))","Sdate=#1 Period=#2 Curn=#3 NULL=BLANK",,$E$6,EF$6,$F$3)</f>
        <v>#NAME?</v>
      </c>
      <c r="EG10" s="69" t="e">
        <f ca="1">_xll.TR($B10:$B21,"TR.HistEnterpriseValue/AVAIL(TR.NormalizedEBIT(Methodology=InterimSum),TR.NormalizedEBIT(Methodology=WeightedAnnual))","Sdate=#1 Period=#2 Curn=#3 NULL=BLANK",,$E$6,EG$6,$F$3)</f>
        <v>#NAME?</v>
      </c>
      <c r="EH10" s="69" t="e">
        <f ca="1">_xll.TR($B10:$B21,"TR.HistEnterpriseValue/AVAIL(TR.NormalizedEBIT(Methodology=InterimSum),TR.NormalizedEBIT(Methodology=WeightedAnnual))","Sdate=#1 Period=#2 Curn=#3 NULL=BLANK",,$E$6,EH$6,$F$3)</f>
        <v>#NAME?</v>
      </c>
      <c r="EI10" s="69" t="e">
        <f ca="1">_xll.TR($B10:$B21,"TR.EVToEBIT","Sdate=#1 Period=#2 NULL=BLANK",,$E$6,EI$6)</f>
        <v>#NAME?</v>
      </c>
      <c r="EJ10" s="69" t="e">
        <f ca="1">_xll.TR($B10:$B21,"TR.EV/Avail(TR.EBITMean(Methodology=WeightedAnnual ),TR.EBITMean(Methodology=InterimSum ))","Sdate=#1 Period=#2 Curn=#3 NULL=BLANK",,$E$6,EJ$6,$F$3)</f>
        <v>#NAME?</v>
      </c>
      <c r="EK10" s="69" t="e">
        <f ca="1">_xll.TR($B10:$B21,"TR.EV/Avail(TR.EBITMean(Methodology=WeightedAnnual ),TR.EBITMean(Methodology=InterimSum ))","Sdate=#1 Period=#2 Curn=#3 NULL=BLANK",,$E$6,EK$6,$F$3)</f>
        <v>#NAME?</v>
      </c>
      <c r="EL10" s="69" t="e">
        <f ca="1">_xll.TR($B10:$B21,"TR.EV/Avail(TR.EBITMean(Methodology=WeightedAnnual ),TR.EBITMean(Methodology=InterimSum ))","Sdate=#1 Period=#2 Curn=#3 NULL=BLANK",,$E$6,EL$6,$F$3)</f>
        <v>#NAME?</v>
      </c>
      <c r="EN10" s="69" t="e">
        <f ca="1">_xll.TR($B10:$B21,"TR.HistPE","Sdate=#1 Period=#2 NULL=BLANK",,$E$6,EN$6)</f>
        <v>#NAME?</v>
      </c>
      <c r="EO10" s="69" t="e">
        <f ca="1">_xll.TR($B10:$B21,"TR.HistPE","Sdate=#1 Period=#2 NULL=BLANK",,$E$6,EO$6)</f>
        <v>#NAME?</v>
      </c>
      <c r="EP10" s="69" t="e">
        <f ca="1">_xll.TR($B10:$B21,"TR.HistPE","Sdate=#1 Period=#2 NULL=BLANK",,$E$6,EP$6)</f>
        <v>#NAME?</v>
      </c>
      <c r="EQ10" s="69" t="e">
        <f ca="1">_xll.TR($B10:$B21,"TR.HistPE","Sdate=#1 Period=#2 NULL=BLANK",,$E$6,EQ$6)</f>
        <v>#NAME?</v>
      </c>
      <c r="ER10" s="69" t="e">
        <f ca="1">_xll.TR($B10:$B21,"TR.PE","Sdate=#1 Period=#2 NULL=BLANK",,$E$6,ER$6)</f>
        <v>#NAME?</v>
      </c>
      <c r="ES10" s="69" t="e">
        <f ca="1">_xll.TR($B10:$B21,"TR.PtoEPSMeanEst","Sdate=#1 Period=#2 NULL=BLANK",,$E$6,ES$6)</f>
        <v>#NAME?</v>
      </c>
      <c r="ET10" s="69" t="e">
        <f ca="1">_xll.TR($B10:$B21,"TR.PtoEPSMeanEst","Sdate=#1 Period=#2 NULL=BLANK",,$E$6,ET$6,$F$3)</f>
        <v>#NAME?</v>
      </c>
      <c r="EU10" s="69" t="e">
        <f ca="1">_xll.TR($B10:$B21,"TR.PtoEPSMeanEst","Sdate=#1 Period=#2 NULL=BLANK",,$E$6,EU$6,$F$3)</f>
        <v>#NAME?</v>
      </c>
      <c r="EV10" s="69"/>
      <c r="EW10" s="69" t="e">
        <f ca="1">_xll.TR($B10:$B21,"TR.priceclose(Sdate=#1)/(AVAIL(TR.DilutedEpsExclExtra(Methodology=InterimSum),TR.DilutedEpsExclExtra(Methodology=WeightedAnnual)))","Sdate=#1 Period=#2 Curn=#3 NULL=BLANK",,$E$6,EW$6,$F$3)</f>
        <v>#NAME?</v>
      </c>
      <c r="EX10" s="69" t="e">
        <f ca="1">_xll.TR($B10:$B21,"TR.priceclose(Sdate=#1)/(AVAIL(TR.DilutedEpsExclExtra(Methodology=InterimSum),TR.DilutedEpsExclExtra(Methodology=WeightedAnnual)))","Sdate=#1 Period=#2 Curn=#3 NULL=BLANK",,$E$6,EX$6,$F$3)</f>
        <v>#NAME?</v>
      </c>
      <c r="EY10" s="69" t="e">
        <f ca="1">_xll.TR($B10:$B21,"TR.priceclose(Sdate=#1)/(AVAIL(TR.DilutedEpsExclExtra(Methodology=InterimSum),TR.DilutedEpsExclExtra(Methodology=WeightedAnnual)))","Sdate=#1 Period=#2 Curn=#3 NULL=BLANK",,$E$6,EY$6,$F$3)</f>
        <v>#NAME?</v>
      </c>
      <c r="EZ10" s="69" t="e">
        <f ca="1">_xll.TR($B10:$B21,"TR.priceclose(Sdate=#1)/(AVAIL(TR.DilutedEpsExclExtra(Methodology=InterimSum),TR.DilutedEpsExclExtra(Methodology=WeightedAnnual)))","Sdate=#1 Period=#2 Curn=#3 NULL=BLANK",,$E$6,EZ$6,$F$3)</f>
        <v>#NAME?</v>
      </c>
      <c r="FA10" s="69" t="e">
        <f ca="1">_xll.TR($B10:$B21,"TR.PE","Sdate=#1 Period=#2 NULL=BLANK",,$E$6,FA$6)</f>
        <v>#NAME?</v>
      </c>
      <c r="FB10" s="69" t="e">
        <f ca="1">_xll.TR($B10:$B21,"TR.priceclose/Avail(TR.EPSMean(Methodology=InterimSumblend),TR.EPSMean(Methodology=WeightedAnnualblend))","Sdate=#1 Period=#2 Curn=#3 NULL=BLANK",,$E$6,FB$6,$F$3)</f>
        <v>#NAME?</v>
      </c>
      <c r="FC10" s="69" t="e">
        <f ca="1">_xll.TR($B10:$B21,"TR.priceclose(Sdate=0d)/Avail(TR.EPSMean(Methodology=InterimSumblend),TR.EPSMean(Methodology=WeightedAnnualblend))","Sdate=#1 Period=#2 Curn=#3 NULL=BLANK",,$E$6,FC$6,$F$3)</f>
        <v>#NAME?</v>
      </c>
      <c r="FD10" s="69" t="e">
        <f ca="1">_xll.TR($B10:$B21,"TR.priceclose(Sdate=0d)/Avail(TR.EPSMean(Methodology=InterimSumblend),TR.EPSMean(Methodology=WeightedAnnualblend))","Sdate=#1 Period=#2 Curn=#3 NULL=BLANK",,$E$6,FD$6,$F$3)</f>
        <v>#NAME?</v>
      </c>
      <c r="FE10" s="69"/>
      <c r="FF10" s="69"/>
      <c r="FG10" s="72" t="e">
        <f ca="1">_xll.TR($B10:$B21,"TR.GrossMargin/100","Sdate=#1 Period=#2 NULL=BLANK",,$E$6,FG$6)</f>
        <v>#NAME?</v>
      </c>
      <c r="FH10" s="72" t="e">
        <f ca="1">_xll.TR($B10:$B21,"TR.GrossMargin/100","Sdate=#1 Period=#2 NULL=BLANK",,$E$6,FH$6)</f>
        <v>#NAME?</v>
      </c>
      <c r="FI10" s="72" t="e">
        <f ca="1">_xll.TR($B10:$B21,"TR.GrossMargin/100","Sdate=#1 Period=#2 NULL=BLANK",,$E$6,FI$6)</f>
        <v>#NAME?</v>
      </c>
      <c r="FJ10" s="72" t="e">
        <f ca="1">_xll.TR($B10:$B21,"TR.GrossMargin/100","Sdate=#1 Period=#2 NULL=BLANK",,$E$6,FJ$6)</f>
        <v>#NAME?</v>
      </c>
      <c r="FK10" s="72" t="e">
        <f ca="1">_xll.TR($B10:$B21,"Avail(TR.GrossMargin(Methodology=InterimSum)/100,TR.GrossMargin(Period=FY0)/100)","Sdate=#1 Period=#2 NULL=BLANK",,$E$6,FK$6)</f>
        <v>#NAME?</v>
      </c>
      <c r="FL10" s="72" t="e">
        <f ca="1">_xll.TR($B10:$B21,"TR.GPMMean/100","Sdate=#1 Period=#2 NULL=BLANK",,$E$6,FL$6)</f>
        <v>#NAME?</v>
      </c>
      <c r="FM10" s="72" t="e">
        <f ca="1">_xll.TR($B10:$B21,"TR.GPMMean/100","Sdate=#1 Period=#2 NULL=BLANK",,$E$6,FM$6)</f>
        <v>#NAME?</v>
      </c>
      <c r="FN10" s="72" t="e">
        <f ca="1">_xll.TR($B10:$B21,"TR.GPMMean/100","Sdate=#1 Period=#2 NULL=BLANK",,$E$6,FN$6)</f>
        <v>#NAME?</v>
      </c>
      <c r="FO10" s="69"/>
      <c r="FP10" s="72" t="e">
        <f ca="1">_xll.TR($B10:$B21,"AVAIL(TR.GrossProfit(Methodology=InterimSum),TR.GrossProfit(Methodology=WeightedAnnual))/AVAIL(TR.TotalRevenue(Methodology=InterimSum),TR.TotalRevenue(Methodology=WeightedAnnual))","Sdate=#1 Period=#2 Curn=#3 NULL=BLANK",,$E$6,FP$6,$F$3)</f>
        <v>#NAME?</v>
      </c>
      <c r="FQ10" s="72" t="e">
        <f ca="1">_xll.TR($B10:$B21,"AVAIL(TR.GrossProfit(Methodology=InterimSum),TR.GrossProfit(Methodology=WeightedAnnual))/AVAIL(TR.TotalRevenue(Methodology=InterimSum),TR.TotalRevenue(Methodology=WeightedAnnual))","Sdate=#1 Period=#2 Curn=#3 NULL=BLANK",,$E$6,FQ$6,$F$3)</f>
        <v>#NAME?</v>
      </c>
      <c r="FR10" s="72" t="e">
        <f ca="1">_xll.TR($B10:$B21,"AVAIL(TR.GrossProfit(Methodology=InterimSum),TR.GrossProfit(Methodology=WeightedAnnual))/AVAIL(TR.TotalRevenue(Methodology=InterimSum),TR.TotalRevenue(Methodology=WeightedAnnual))","Sdate=#1 Period=#2 Curn=#3 NULL=BLANK",,$E$6,FR$6,$F$3)</f>
        <v>#NAME?</v>
      </c>
      <c r="FS10" s="72" t="e">
        <f ca="1">_xll.TR($B10:$B21,"AVAIL(TR.GrossProfit(Methodology=InterimSum),TR.GrossProfit(Methodology=WeightedAnnual))/AVAIL(TR.TotalRevenue(Methodology=InterimSum),TR.TotalRevenue(Methodology=WeightedAnnual))","Sdate=#1 Period=#2 Curn=#3 NULL=BLANK",,$E$6,FS$6,$F$3)</f>
        <v>#NAME?</v>
      </c>
      <c r="FT10" s="72" t="e">
        <f ca="1">_xll.TR($B10:$B21,"Avail(TR.GrossMargin(Methodology=InterimSum)/100,TR.GrossMargin(Period=FY0)/100)","Sdate=#1 Period=#2 NULL=BLANK",,$E$6,FT$6)</f>
        <v>#NAME?</v>
      </c>
      <c r="FU10" s="72" t="e">
        <f ca="1">_xll.TR($B10:$B21,"Avail(TR.GrossIncomeMean(Methodology=InterimSumblend),TR.GrossIncomeMean(Methodology=WeightedAnnualblend))/Avail(TR.RevenueMean(Methodology=InterimSumblend),TR.RevenueMean(Methodology=WeightedAnnualblend))","Sdate=#1 Period=#2 NULL=BLANK",,$E$6,FU$6)</f>
        <v>#NAME?</v>
      </c>
      <c r="FV10" s="72" t="e">
        <f ca="1">_xll.TR($B10:$B21,"Avail(TR.GrossIncomeMean(Methodology=InterimSumblend),TR.GrossIncomeMean(Methodology=WeightedAnnualblend))/Avail(TR.RevenueMean(Methodology=InterimSumblend),TR.RevenueMean(Methodology=WeightedAnnualblend))","Sdate=#1 Period=#2 NULL=BLANK",,$E$6,FV$6)</f>
        <v>#NAME?</v>
      </c>
      <c r="FW10" s="72" t="e">
        <f ca="1">_xll.TR($B10:$B21,"Avail(TR.GrossIncomeMean(Methodology=InterimSumblend),TR.GrossIncomeMean(Methodology=WeightedAnnualblend))/Avail(TR.RevenueMean(Methodology=InterimSumblend),TR.RevenueMean(Methodology=WeightedAnnualblend))","Sdate=#1 Period=#2 NULL=BLANK",,$E$6,FW$6)</f>
        <v>#NAME?</v>
      </c>
      <c r="FY10" s="72" t="e">
        <f ca="1">_xll.TR($B10:$B21,"TR.EBITDAMarginpercent/100","Sdate=#1 Period=#2 NULL=BLANK",,$E$6,FY$6)</f>
        <v>#NAME?</v>
      </c>
      <c r="FZ10" s="72" t="e">
        <f ca="1">_xll.TR($B10:$B21,"TR.EBITDAMarginpercent/100","Sdate=#1 Period=#2 NULL=BLANK",,$E$6,FZ$6)</f>
        <v>#NAME?</v>
      </c>
      <c r="GA10" s="72" t="e">
        <f ca="1">_xll.TR($B10:$B21,"TR.EBITDAMarginpercent/100","Sdate=#1 Period=#2 NULL=BLANK",,$E$6,GA$6)</f>
        <v>#NAME?</v>
      </c>
      <c r="GB10" s="72" t="e">
        <f ca="1">_xll.TR($B10:$B21,"TR.EBITDAMarginpercent/100","Sdate=#1 Period=#2 NULL=BLANK",,$E$6,GB$6)</f>
        <v>#NAME?</v>
      </c>
      <c r="GC10" s="72" t="e">
        <f ca="1">_xll.TR($B10:$B21,"Avail(TR.EBITDAMarginPercent(Period=LTM)/100,TR.EBITDAMarginPercent(Period=FY0)/100)","Sdate=#1 Period=#2 NULL=BLANK",,$E$6,GC$6)</f>
        <v>#NAME?</v>
      </c>
      <c r="GD10" s="72" t="e">
        <f ca="1">_xll.TR($B10:$B21,"TR.EBITDAMean/TR.RevenueMean","scale=6 Sdate=#1 Period=#2 Curn=#3 NULL=BLANK",,$E$6,GD$6,$F$3)</f>
        <v>#NAME?</v>
      </c>
      <c r="GE10" s="72" t="e">
        <f ca="1">_xll.TR($B10:$B21,"TR.EBITDAMean/TR.RevenueMean","scale=6 Sdate=#1 Period=#2 Curn=#3 NULL=BLANK",,$E$6,GE$6,$F$3)</f>
        <v>#NAME?</v>
      </c>
      <c r="GF10" s="72" t="e">
        <f ca="1">_xll.TR($B10:$B21,"TR.EBITDAMean/TR.RevenueMean","scale=6 Sdate=#1 Period=#2 Curn=#3 NULL=BLANK",,$E$6,GF$6,$F$3)</f>
        <v>#NAME?</v>
      </c>
      <c r="GG10" s="69"/>
      <c r="GH10" s="72" t="e">
        <f ca="1">_xll.TR($B10:$B21,"AVAIL(TR.NormalizedEBITDA(Methodology=InterimSum),TR.NormalizedEBITDA(Methodology=WeightedAnnual))/AVAIL(TR.TotalRevenue(Methodology=InterimSum),TR.TotalRevenue(Methodology=WeightedAnnual))","Sdate=#1 Period=#2 NULL=BLANK",,$E$6,GH$6)</f>
        <v>#NAME?</v>
      </c>
      <c r="GI10" s="72" t="e">
        <f ca="1">_xll.TR($B10:$B21,"AVAIL(TR.NormalizedEBITDA(Methodology=InterimSum),TR.NormalizedEBITDA(Methodology=WeightedAnnual))/AVAIL(TR.TotalRevenue(Methodology=InterimSum),TR.TotalRevenue(Methodology=WeightedAnnual))","Sdate=#1 Period=#2 NULL=BLANK",,$E$6,GI$6)</f>
        <v>#NAME?</v>
      </c>
      <c r="GJ10" s="72" t="e">
        <f ca="1">_xll.TR($B10:$B21,"AVAIL(TR.NormalizedEBITDA(Methodology=InterimSum),TR.NormalizedEBITDA(Methodology=WeightedAnnual))/AVAIL(TR.TotalRevenue(Methodology=InterimSum),TR.TotalRevenue(Methodology=WeightedAnnual))","Sdate=#1 Period=#2 NULL=BLANK",,$E$6,GJ$6)</f>
        <v>#NAME?</v>
      </c>
      <c r="GK10" s="72" t="e">
        <f ca="1">_xll.TR($B10:$B21,"AVAIL(TR.NormalizedEBITDA(Methodology=InterimSum),TR.NormalizedEBITDA(Methodology=WeightedAnnual))/AVAIL(TR.TotalRevenue(Methodology=InterimSum),TR.TotalRevenue(Methodology=WeightedAnnual))","Sdate=#1 Period=#2 NULL=BLANK",,$E$6,GK$6)</f>
        <v>#NAME?</v>
      </c>
      <c r="GL10" s="72" t="e">
        <f ca="1">_xll.TR($B10:$B21,"Avail(TR.EBITDAMarginPercent(Period=LTM)/100,TR.EBITDAMarginPercent(Period=FY0)/100)","Sdate=#1 Period=#2 NULL=BLANK",,$E$6,GL$6)</f>
        <v>#NAME?</v>
      </c>
      <c r="GM10" s="72" t="e">
        <f ca="1">_xll.TR($B10:$B21,"Avail(TR.EBITDAMean(Methodology=InterimSumblend),TR.EBITDAMean(Methodology=WeightedAnnualblend))/Avail(TR.RevenueMean(Methodology=InterimSumblend),TR.RevenueMean(Methodology=WeightedAnnualblend))","Sdate=#1 Period=#2 NULL=BLANK",,$E$6,GM$6)</f>
        <v>#NAME?</v>
      </c>
      <c r="GN10" s="72" t="e">
        <f ca="1">_xll.TR($B10:$B21,"Avail(TR.EBITDAMean(Methodology=InterimSumblend),TR.EBITDAMean(Methodology=WeightedAnnualblend))/Avail(TR.RevenueMean(Methodology=InterimSumblend),TR.RevenueMean(Methodology=WeightedAnnualblend))","Sdate=#1 Period=#2 NULL=BLANK",,$E$6,GN$6)</f>
        <v>#NAME?</v>
      </c>
      <c r="GO10" s="72" t="e">
        <f ca="1">_xll.TR($B10:$B21,"Avail(TR.EBITDAMean(Methodology=InterimSumblend),TR.EBITDAMean(Methodology=WeightedAnnualblend))/Avail(TR.RevenueMean(Methodology=InterimSumblend),TR.RevenueMean(Methodology=WeightedAnnualblend))","Sdate=#1 Period=#2 NULL=BLANK",,$E$6,GO$6)</f>
        <v>#NAME?</v>
      </c>
      <c r="GQ10" s="72" t="e">
        <f ca="1">_xll.TR($B10:$B21,"TR.NetProfitMargin/100","Sdate=#1 Period=#2 NULL=BLANK",,$E$6,GQ$6)</f>
        <v>#NAME?</v>
      </c>
      <c r="GR10" s="72" t="e">
        <f ca="1">_xll.TR($B10:$B21,"TR.NetProfitMargin/100","Sdate=#1 Period=#2 NULL=BLANK",,$E$6,GR$6)</f>
        <v>#NAME?</v>
      </c>
      <c r="GS10" s="72" t="e">
        <f ca="1">_xll.TR($B10:$B21,"TR.NetProfitMargin/100","Sdate=#1 Period=#2 NULL=BLANK",,$E$6,GS$6)</f>
        <v>#NAME?</v>
      </c>
      <c r="GT10" s="72" t="e">
        <f ca="1">_xll.TR($B10:$B21,"TR.NetProfitMargin/100","Sdate=#1 Period=#2 NULL=BLANK",,$E$6,GT$6)</f>
        <v>#NAME?</v>
      </c>
      <c r="GU10" s="72" t="e">
        <f ca="1">_xll.TR($B10:$B21,"(Avail(TR.NetProfitMargin(Period=LTM Methodology=InterimSum),TR.NetProfitMargin(Period=FY0)))/100","Sdate=#1 Period=#2 NULL=BLANK",,$E$6,GU$6)</f>
        <v>#NAME?</v>
      </c>
      <c r="GV10" s="72" t="e">
        <f ca="1">_xll.TR($B10:$B21,"TR.NetIncomeMean/TR.RevenueMean","Scale=6 Sdate=#1 Period=#2 Curn=#3 NULL=BLANK",,$E$6,GV$6,$F$3)</f>
        <v>#NAME?</v>
      </c>
      <c r="GW10" s="72" t="e">
        <f ca="1">_xll.TR($B10:$B21,"TR.NetIncomeMean/TR.RevenueMean","Scale=6 Sdate=#1 Period=#2 Curn=#3 NULL=BLANK",,$E$6,GW$6,$F$3)</f>
        <v>#NAME?</v>
      </c>
      <c r="GX10" s="72" t="e">
        <f ca="1">_xll.TR($B10:$B21,"TR.NetIncomeMean/TR.RevenueMean","Scale=6 Sdate=#1 Period=#2 Curn=#3 NULL=BLANK",,$E$6,GX$6,$F$3)</f>
        <v>#NAME?</v>
      </c>
      <c r="GY10" s="69"/>
      <c r="GZ10" s="72" t="e">
        <f ca="1">_xll.TR($B10:$B21,"AVAIL(TR.NetIncomeAfterTaxes(Methodology=InterimSum),TR.NetIncomeAfterTaxes(Methodology=WeightedAnnual))/AVAIL(TR.TotalRevenue(Methodology=InterimSum),TR.TotalRevenue(Methodology=WeightedAnnual))","Sdate=#1 Period=#2 NULL=BLANK",,$E$6,GZ$6)</f>
        <v>#NAME?</v>
      </c>
      <c r="HA10" s="72" t="e">
        <f ca="1">_xll.TR($B10:$B21,"AVAIL(TR.NetIncomeAfterTaxes(Methodology=InterimSum),TR.NetIncomeAfterTaxes(Methodology=WeightedAnnual))/AVAIL(TR.TotalRevenue(Methodology=InterimSum),TR.TotalRevenue(Methodology=WeightedAnnual))","Sdate=#1 Period=#2 NULL=BLANK",,$E$6,HA$6)</f>
        <v>#NAME?</v>
      </c>
      <c r="HB10" s="72" t="e">
        <f ca="1">_xll.TR($B10:$B21,"AVAIL(TR.NetIncomeAfterTaxes(Methodology=InterimSum),TR.NetIncomeAfterTaxes(Methodology=WeightedAnnual))/AVAIL(TR.TotalRevenue(Methodology=InterimSum),TR.TotalRevenue(Methodology=WeightedAnnual))","Sdate=#1 Period=#2 NULL=BLANK",,$E$6,HB$6)</f>
        <v>#NAME?</v>
      </c>
      <c r="HC10" s="72" t="e">
        <f ca="1">_xll.TR($B10:$B21,"AVAIL(TR.NetIncomeAfterTaxes(Methodology=InterimSum),TR.NetIncomeAfterTaxes(Methodology=WeightedAnnual))/AVAIL(TR.TotalRevenue(Methodology=InterimSum),TR.TotalRevenue(Methodology=WeightedAnnual))","Sdate=#1 Period=#2 NULL=BLANK",,$E$6,HC$6)</f>
        <v>#NAME?</v>
      </c>
      <c r="HD10" s="72" t="e">
        <f ca="1">_xll.TR($B10:$B21,"(Avail(TR.NetProfitMargin(Period=LTM Methodology=InterimSum),TR.NetProfitMargin(Period=FY0)))/100","Sdate=#1 Period=#2 NULL=BLANK",,$E$6,HD$6)</f>
        <v>#NAME?</v>
      </c>
      <c r="HE10" s="72" t="e">
        <f ca="1">_xll.TR($B10:$B21,"Avail(TR.NetIncomeMean(Methodology=InterimSumblend),TR.NetIncomeMean(Methodology=WeightedAnnualblend))/Avail(TR.RevenueMean(Methodology=InterimSumblend),TR.RevenueMean(Methodology=WeightedAnnualblend))","Sdate=#1 Period=#2 NULL=BLANK",,$E$6,HE$6)</f>
        <v>#NAME?</v>
      </c>
      <c r="HF10" s="72" t="e">
        <f ca="1">_xll.TR($B10:$B21,"Avail(TR.NetIncomeMean(Methodology=InterimSumblend),TR.NetIncomeMean(Methodology=WeightedAnnualblend))/Avail(TR.RevenueMean(Methodology=InterimSumblend),TR.RevenueMean(Methodology=WeightedAnnualblend))","Sdate=#1 Period=#2 NULL=BLANK",,$E$6,HF$6)</f>
        <v>#NAME?</v>
      </c>
      <c r="HG10" s="72" t="e">
        <f ca="1">_xll.TR($B10:$B21,"Avail(TR.NetIncomeMean(Methodology=InterimSumblend),TR.NetIncomeMean(Methodology=WeightedAnnualblend))/Avail(TR.RevenueMean(Methodology=InterimSumblend),TR.RevenueMean(Methodology=WeightedAnnualblend))","Sdate=#1 Period=#2 NULL=BLANK",,$E$6,HG$6)</f>
        <v>#NAME?</v>
      </c>
      <c r="HI10" s="72" t="e">
        <f ca="1">_xll.TR($B10:$B21,"(Avail(CGR(TR.TotalRevenue(Period=LTM Methodology=InterimSum Sdate=#1 Edate=#1-11AY Frq=AY)),CGR(TR.TotalRevenue(Period=FY0 Sdate=#1 Edate=#1-11AY Frq=AY))))/100"," Sdate=#1 Curn=#2 NULL=BLANK",,$E$6,$F$3)</f>
        <v>#NAME?</v>
      </c>
      <c r="HJ10" s="72" t="e">
        <f ca="1">_xll.TR($B10:$B21,"(Avail(CGR(TR.TotalRevenue(Period=LTM Methodology=InterimSum Sdate=#1 Edate=#1-6AY Frq=AY)),CGR(TR.TotalRevenue(Period=FY0 Sdate=#1 Edate=#1-6AY Frq=AY))))/100","Sdate=#1 Curn=#2 NULL=BLANK",,$E$6,$F$3)</f>
        <v>#NAME?</v>
      </c>
      <c r="HK10" s="72" t="e">
        <f ca="1">_xll.TR($B10:$B21,"(Avail(CGR(TR.TotalRevenue(Period=LTM Methodology=InterimSum Sdate=#1 Edate=#1-4AY Frq=AY)),CGR(TR.TotalRevenue(Period=FY0 Sdate=#1 Edate=#1-4AY Frq=AY))))/100","Sdate=#1 Curn=#2 NULL=BLANK",,$E$6,$F$3)</f>
        <v>#NAME?</v>
      </c>
      <c r="HL10" s="72" t="e">
        <f ca="1">_xll.TR($B10:$B21,"(Avail(CGR(TR.TotalRevenue(Period=LTM Methodology=InterimSum Sdate=#1 Edate=#1-3AY Frq=AY)),CGR(TR.TotalRevenue(Period=FY0 Sdate=#1 Edate=#1-3AY Frq=AY))))/100","Sdate=#1 Curn=#2 NULL=BLANK",,$E$6,$F$3)</f>
        <v>#NAME?</v>
      </c>
      <c r="HM10" s="72" t="e">
        <f ca="1">_xll.TR($B10:$B21,"TR.TotRevenuepctPrdtoPrd/100","Sdate=#1 Period=FY0 NULL=BLANK",,$E$6)</f>
        <v>#NAME?</v>
      </c>
      <c r="HN10" s="72" t="e">
        <f ca="1">_xll.TR($B10:$B21,"TR.TotRevenuepctYrtoYrTTM/100","Sdate=#1 NULL=BLANK",,$E$6)</f>
        <v>#NAME?</v>
      </c>
      <c r="HO10" s="72" t="str">
        <f ca="1">IF(ISERROR((AF10/AC10)^(1/2)-1),"--",(AF10/AC10)^(1/2)-1)</f>
        <v>--</v>
      </c>
      <c r="HP10" s="72" t="str">
        <f ca="1">IF(ISERROR((W10/T10)^(1/2)-1),"--",(W10/T10)^(1/2)-1)</f>
        <v>--</v>
      </c>
      <c r="HR10" s="72" t="e">
        <f ca="1">_xll.TR($B10:$B21,"(Avail(CGR(TR.GrossProfit(Period=LTM Methodology=InterimSum Sdate=#1 Edate=#1-11AY Frq=AY)),CGR(TR.GrossProfit(Period=FY0 Sdate=#1 Edate=#1-11AY Frq=AY))))/100"," Sdate=#1 Curn=#2 NULL=BLANK",,$E$6,$F$3)</f>
        <v>#NAME?</v>
      </c>
      <c r="HS10" s="72" t="e">
        <f ca="1">_xll.TR($B10:$B21,"(Avail(CGR(TR.GrossProfit(Period=LTM Methodology=InterimSum Sdate=#1 Edate=#1-6AY Frq=AY)),CGR(TR.GrossProfit(Period=FY0 Sdate=#1 Edate=#1-6AY Frq=AY))))/100"," Sdate=#1 Curn=#2 NULL=BLANK",,$E$6,$F$3)</f>
        <v>#NAME?</v>
      </c>
      <c r="HT10" s="72" t="e">
        <f ca="1">_xll.TR($B10:$B21,"(Avail(CGR(TR.GrossProfit(Period=LTM Methodology=InterimSum Sdate=#1 Edate=#1-4AY Frq=AY)),CGR(TR.GrossProfit(Period=FY0 Sdate=#1 Edate=#1-4AY Frq=AY))))/100"," Sdate=#1 Curn=#2 NULL=BLANK",,$E$6,$F$3)</f>
        <v>#NAME?</v>
      </c>
      <c r="HU10" s="72" t="e">
        <f ca="1">_xll.TR($B10:$B21,"(Avail(CGR(TR.GrossProfit(Period=LTM Methodology=InterimSum Sdate=#1 Edate=#1-3AY Frq=AY)),CGR(TR.GrossProfit(Period=FY0 Sdate=#1 Edate=#1-3AY Frq=AY))))/100"," Sdate=#1 Curn=#2 NULL=BLANK",,$E$6,$F$3)</f>
        <v>#NAME?</v>
      </c>
      <c r="HV10" s="72" t="e">
        <f ca="1">_xll.TR($B10:$B21,"TR.GrossProfitpctPrdtoPrd/100","Sdate=#1 Period=FY0 NULL=BLANK",,$E$6)</f>
        <v>#NAME?</v>
      </c>
      <c r="HW10" s="72" t="e">
        <f ca="1">_xll.TR($B10:$B21,"TR.GrossProfitpctYrtoYrTTM/100","Sdate=#1 NULL=BLANK",,$E$6)</f>
        <v>#NAME?</v>
      </c>
      <c r="HX10" s="72" t="str">
        <f ca="1">IF(ISERROR((AX10/AU10)^(1/2)-1),"--",(AX10/AU10)^(1/2)-1)</f>
        <v>--</v>
      </c>
      <c r="HY10" s="72" t="str">
        <f ca="1">IF(ISERROR((AO10/AL10)^(1/2)-1),"--",(AO10/AL10)^(1/2)-1)</f>
        <v>--</v>
      </c>
      <c r="HZ10" s="72"/>
      <c r="IA10" s="72" t="e">
        <f ca="1">_xll.TR($B10:$B21,"(Avail(CGR(TR.EBITDATTM(Sdate=#1 Edate=#1-11AY Frq=AY)),CGR(TR.EBITDA(Period=FY0 Sdate=#1 Edate=#1-11AY Frq=AY))))/100"," Sdate=#1 Curn=#2 NULL=BLANK",,$E$6,$F$3)</f>
        <v>#NAME?</v>
      </c>
      <c r="IB10" s="72" t="e">
        <f ca="1">_xll.TR($B10:$B21,"(Avail(CGR(TR.EBITDATTM(Sdate=#1 Edate=#1-6AY Frq=AY)),CGR(TR.EBITDA(Period=FY0 Sdate=#1 Edate=#1-6AY Frq=AY))))/100"," Sdate=#1 Curn=#2 NULL=BLANK",,$E$6,$F$3)</f>
        <v>#NAME?</v>
      </c>
      <c r="IC10" s="72" t="e">
        <f ca="1">_xll.TR($B10:$B21,"(Avail(CGR(TR.EBITDATTM(Sdate=#1 Edate=#1-4AY Frq=AY)),CGR(TR.EBITDA(Period=FY0 Sdate=#1 Edate=#1-4AY Frq=AY))))/100"," Sdate=#1 Curn=#2 NULL=BLANK",,$E$6,$F$3)</f>
        <v>#NAME?</v>
      </c>
      <c r="ID10" s="72" t="e">
        <f ca="1">_xll.TR($B10:$B21,"(Avail(CGR(TR.EBITDATTM(Sdate=#1 Edate=#1-3AY Frq=AY)),CGR(TR.EBITDA(Period=FY0 Sdate=#1 Edate=#1-3AY Frq=AY))))/100"," Sdate=#1 Curn=#2 NULL=BLANK",,$E$6,$F$3)</f>
        <v>#NAME?</v>
      </c>
      <c r="IE10" s="72" t="e">
        <f ca="1">_xll.TR($B10:$B21,"TR.EBITDApctPrdtoPrd/100","Sdate=#1 Period=FY0 NULL=BLANK",,$E$6)</f>
        <v>#NAME?</v>
      </c>
      <c r="IF10" s="72" t="e">
        <f ca="1">_xll.TR($B10:$B21,"TR.EBITDApctYrtoYrTTM/100","Sdate=#1 NULL=BLANK",,$E$6)</f>
        <v>#NAME?</v>
      </c>
      <c r="IG10" s="72" t="str">
        <f ca="1">IF(ISERROR((BP10/BM10)^(1/2)-1),"--",(BP10/BM10)^(1/2)-1)</f>
        <v>--</v>
      </c>
      <c r="IH10" s="72" t="str">
        <f ca="1">IF(ISERROR((BG10/BD10)^(1/2)-1),"--",(BG10/BD10)^(1/2)-1)</f>
        <v>--</v>
      </c>
      <c r="IJ10" s="72" t="e">
        <f ca="1">_xll.TR($B10:$B21,"(Avail(CGR(TR.EBITTTM(Sdate=#1 Edate=#1-11AY Frq=AY)),CGR(TR.EBIT(Period=FY0 Sdate=#1 Edate=#1-11AY Frq=AY))))/100"," Sdate=#1 Curn=#2 NULL=BLANK",,$E$6,$F$3)</f>
        <v>#NAME?</v>
      </c>
      <c r="IK10" s="72" t="e">
        <f ca="1">_xll.TR($B10:$B21,"(Avail(CGR(TR.EBITTTM(Sdate=#1 Edate=#1-6AY Frq=AY)),CGR(TR.EBIT(Period=FY0 Sdate=#1 Edate=#1-6AY Frq=AY))))/100"," Sdate=#1 Curn=#2 NULL=BLANK",,$E$6,$F$3)</f>
        <v>#NAME?</v>
      </c>
      <c r="IL10" s="72" t="e">
        <f ca="1">_xll.TR($B10:$B21,"(Avail(CGR(TR.EBITTTM(Sdate=#1 Edate=#1-4AY Frq=AY)),CGR(TR.EBIT(Period=FY0 Sdate=#1 Edate=#1-4AY Frq=AY))))/100"," Sdate=#1 Curn=#2 NULL=BLANK",,$E$6,$F$3)</f>
        <v>#NAME?</v>
      </c>
      <c r="IM10" s="72" t="e">
        <f ca="1">_xll.TR($B10:$B21,"(Avail(CGR(TR.EBITTTM(Sdate=#1 Edate=#1-3AY Frq=AY)),CGR(TR.EBIT(Period=FY0 Sdate=#1 Edate=#1-3AY Frq=AY))))/100"," Sdate=#1 Curn=#2 NULL=BLANK",,$E$6,$F$3)</f>
        <v>#NAME?</v>
      </c>
      <c r="IN10" s="72" t="e">
        <f ca="1">_xll.TR($B10:$B21,"PERCENT_CHG(TR.TotalRevenue,wsize=-1)/100","Sdate=#1 Period=FY0 NULL=BLANK",,$E$6)</f>
        <v>#NAME?</v>
      </c>
      <c r="IO10" s="72" t="e">
        <f ca="1">_xll.TR($B10:$B21,"(Avail(CGR(TR.EBITTTM(Sdate=#1 Edate=#1-2AY Frq=AY)),CGR(TR.EBIT(Period=FY0 Sdate=#1 Edate=#1-2AY Frq=AY))))/100"," Sdate=#1 Curn=#2 NULL=BLANK",,$E$6,$F$3)</f>
        <v>#NAME?</v>
      </c>
      <c r="IP10" s="72" t="str">
        <f>IF(ISERROR((#REF!/#REF!)^(1/2)-1),"--",(#REF!/#REF!)^(1/2)-1)</f>
        <v>--</v>
      </c>
      <c r="IQ10" s="72" t="str">
        <f>IF(ISERROR((#REF!/#REF!)^(1/2)-1),"--",(#REF!/#REF!)^(1/2)-1)</f>
        <v>--</v>
      </c>
      <c r="IR10" s="72"/>
      <c r="IS10" s="72" t="e">
        <f ca="1">_xll.TR($B10:$B21,"(Avail(CGR(TR.DilutedEpsExclExtra(Period=LTM Methodology=InterimSum Sdate=#1 Edate=#1-11AY Frq=AY)),CGR(TR.DilutedEpsExclExtra(Period=FY0 Sdate=#1 Edate=#1-11AY Frq=AY))))/100"," Sdate=#1 Curn=#2 NULL=BLANK",,$E$6,$F$3)</f>
        <v>#NAME?</v>
      </c>
      <c r="IT10" s="72" t="e">
        <f ca="1">_xll.TR($B10:$B21,"(Avail(CGR(TR.DilutedEpsExclExtra(Period=LTM Methodology=InterimSum Sdate=#1 Edate=#1-6AY Frq=AY)),CGR(TR.DilutedEpsExclExtra(Period=FY0 Sdate=#1 Edate=#1-6AY Frq=AY))))/100"," Sdate=#1 Curn=#2 NULL=BLANK",,$E$6,$F$3)</f>
        <v>#NAME?</v>
      </c>
      <c r="IU10" s="72" t="e">
        <f ca="1">_xll.TR($B10:$B21,"(Avail(CGR(TR.DilutedEpsExclExtra(Period=LTM Methodology=InterimSum Sdate=#1 Edate=#1-4AY Frq=AY)),CGR(TR.DilutedEpsExclExtra(Period=FY0 Sdate=#1 Edate=#1-4AY Frq=AY))))/100"," Sdate=#1 Curn=#2 NULL=BLANK",,$E$6,$F$3)</f>
        <v>#NAME?</v>
      </c>
      <c r="IV10" s="72" t="e">
        <f ca="1">_xll.TR($B10:$B21,"(Avail(CGR(TR.DilutedEpsExclExtra(Period=LTM Methodology=InterimSum Sdate=#1 Edate=#1-3AY Frq=AY)),CGR(TR.DilutedEpsExclExtra(Period=FY0 Sdate=#1 Edate=#1-3AY Frq=AY))))/100"," Sdate=#1 Curn=#2 NULL=BLANK",,$E$6,$F$3)</f>
        <v>#NAME?</v>
      </c>
      <c r="IW10" s="72" t="e">
        <f ca="1">_xll.TR($B10:$B21,"TR.EPSExclExtradil.pctPrdtoPrd/100","Sdate=#1 Period=FY0 NULL=BLANK",,$E$6)</f>
        <v>#NAME?</v>
      </c>
      <c r="IX10" s="72" t="e">
        <f ca="1">_xll.TR($B10:$B21," TR.EPSExclExtradil.pctYrtoYrTTM/100","Sdate=#1 NULL=BLANK",,$E$6)</f>
        <v>#NAME?</v>
      </c>
      <c r="IY10" s="72" t="str">
        <f>IF(ISERROR((#REF!/#REF!)^(1/2)-1),"--",(#REF!/#REF!)^(1/2)-1)</f>
        <v>--</v>
      </c>
      <c r="IZ10" s="72" t="str">
        <f>IF(ISERROR((#REF!/#REF!)^(1/2)-1),"--",(#REF!/#REF!)^(1/2)-1)</f>
        <v>--</v>
      </c>
      <c r="JC10" s="62" t="e">
        <f ca="1">_xll.TR($B10:$B21,"TR.BusinessSummary","NULL=BLANK")</f>
        <v>#NAME?</v>
      </c>
    </row>
    <row r="11" spans="1:265" ht="5.25" hidden="1" customHeight="1" outlineLevel="1">
      <c r="B11" s="73"/>
      <c r="E11" s="74"/>
      <c r="F11" s="74"/>
      <c r="G11" s="74"/>
      <c r="H11" s="74"/>
      <c r="I11" s="74"/>
      <c r="J11" s="75"/>
      <c r="K11" s="74"/>
      <c r="L11" s="74"/>
      <c r="N11" s="76"/>
      <c r="O11" s="76"/>
      <c r="P11" s="77"/>
      <c r="Q11" s="78"/>
      <c r="R11" s="79"/>
      <c r="S11" s="79"/>
      <c r="T11" s="79"/>
      <c r="U11" s="79"/>
      <c r="V11" s="79"/>
      <c r="W11" s="79"/>
      <c r="X11" s="79"/>
      <c r="Y11" s="79"/>
      <c r="Z11" s="78"/>
      <c r="AA11" s="79"/>
      <c r="AB11" s="79"/>
      <c r="AC11" s="79"/>
      <c r="AD11" s="79"/>
      <c r="AE11" s="79"/>
      <c r="AF11" s="79"/>
      <c r="AG11" s="79"/>
      <c r="AI11" s="79"/>
      <c r="AJ11" s="79"/>
      <c r="AK11" s="79"/>
      <c r="AL11" s="79"/>
      <c r="AM11" s="79"/>
      <c r="AN11" s="79"/>
      <c r="AO11" s="79"/>
      <c r="AP11" s="79"/>
      <c r="AQ11" s="79"/>
      <c r="AR11" s="79"/>
      <c r="AS11" s="79"/>
      <c r="AT11" s="79"/>
      <c r="AU11" s="79"/>
      <c r="AV11" s="79"/>
      <c r="AW11" s="79"/>
      <c r="AX11" s="79"/>
      <c r="AY11" s="79"/>
      <c r="AZ11" s="78"/>
      <c r="BA11" s="79"/>
      <c r="BB11" s="79"/>
      <c r="BC11" s="79"/>
      <c r="BD11" s="79"/>
      <c r="BE11" s="79"/>
      <c r="BF11" s="79"/>
      <c r="BG11" s="79"/>
      <c r="BH11" s="79"/>
      <c r="BI11" s="79"/>
      <c r="BJ11" s="79"/>
      <c r="BK11" s="79"/>
      <c r="BL11" s="79"/>
      <c r="BM11" s="79"/>
      <c r="BN11" s="79"/>
      <c r="BO11" s="79"/>
      <c r="BP11" s="79"/>
      <c r="BQ11" s="79"/>
      <c r="BR11" s="79"/>
      <c r="BS11" s="77"/>
      <c r="BT11" s="77"/>
      <c r="BU11" s="77"/>
      <c r="BV11" s="77"/>
      <c r="BW11" s="77"/>
      <c r="BX11" s="77"/>
      <c r="BY11" s="466"/>
      <c r="BZ11" s="77"/>
      <c r="CA11" s="77"/>
      <c r="CB11" s="77"/>
      <c r="CC11" s="77"/>
      <c r="CD11" s="77"/>
      <c r="CE11" s="77"/>
      <c r="CF11" s="77"/>
      <c r="CG11" s="77"/>
      <c r="CH11" s="77"/>
      <c r="CI11" s="77"/>
      <c r="CJ11" s="77"/>
      <c r="CL11" s="77"/>
      <c r="CM11" s="77"/>
      <c r="CN11" s="77"/>
      <c r="CO11" s="77"/>
      <c r="CP11" s="77"/>
      <c r="CQ11" s="77"/>
      <c r="CR11" s="77"/>
      <c r="CS11" s="77"/>
      <c r="CT11" s="77"/>
      <c r="CU11" s="77"/>
      <c r="CV11" s="77"/>
      <c r="CW11" s="77"/>
      <c r="CX11" s="77"/>
      <c r="CY11" s="77"/>
      <c r="CZ11" s="77"/>
      <c r="DA11" s="77"/>
      <c r="DB11" s="77"/>
      <c r="DD11" s="77"/>
      <c r="DE11" s="77"/>
      <c r="DF11" s="77"/>
      <c r="DG11" s="77"/>
      <c r="DH11" s="77"/>
      <c r="DI11" s="466"/>
      <c r="DJ11" s="77"/>
      <c r="DK11" s="77"/>
      <c r="DL11" s="77"/>
      <c r="DM11" s="77"/>
      <c r="DN11" s="77"/>
      <c r="DO11" s="77"/>
      <c r="DP11" s="77"/>
      <c r="DQ11" s="77"/>
      <c r="DR11" s="77"/>
      <c r="DS11" s="77"/>
      <c r="DT11" s="77"/>
      <c r="DV11" s="77"/>
      <c r="DW11" s="77"/>
      <c r="DX11" s="77"/>
      <c r="DY11" s="77"/>
      <c r="DZ11" s="77"/>
      <c r="EA11" s="77"/>
      <c r="EB11" s="77"/>
      <c r="EC11" s="77"/>
      <c r="ED11" s="77"/>
      <c r="EE11" s="77"/>
      <c r="EF11" s="77"/>
      <c r="EG11" s="77"/>
      <c r="EH11" s="77"/>
      <c r="EI11" s="77"/>
      <c r="EJ11" s="77"/>
      <c r="EK11" s="77"/>
      <c r="EL11" s="77"/>
      <c r="EN11" s="77"/>
      <c r="EO11" s="77"/>
      <c r="EP11" s="77"/>
      <c r="EQ11" s="77"/>
      <c r="ER11" s="77"/>
      <c r="ES11" s="77"/>
      <c r="ET11" s="77"/>
      <c r="EU11" s="77"/>
      <c r="EV11" s="77"/>
      <c r="EW11" s="77"/>
      <c r="EX11" s="77"/>
      <c r="EY11" s="77"/>
      <c r="EZ11" s="77"/>
      <c r="FA11" s="77"/>
      <c r="FB11" s="77"/>
      <c r="FC11" s="77"/>
      <c r="FD11" s="77"/>
      <c r="FE11" s="77"/>
      <c r="FF11" s="77"/>
      <c r="FG11" s="80"/>
      <c r="FH11" s="80"/>
      <c r="FI11" s="80"/>
      <c r="FJ11" s="80"/>
      <c r="FK11" s="80"/>
      <c r="FL11" s="80"/>
      <c r="FM11" s="80"/>
      <c r="FN11" s="80"/>
      <c r="FO11" s="77"/>
      <c r="FP11" s="80"/>
      <c r="FQ11" s="80"/>
      <c r="FR11" s="80"/>
      <c r="FS11" s="80"/>
      <c r="FT11" s="80"/>
      <c r="FU11" s="80"/>
      <c r="FV11" s="80"/>
      <c r="FW11" s="80"/>
      <c r="FY11" s="80"/>
      <c r="FZ11" s="80"/>
      <c r="GA11" s="80"/>
      <c r="GB11" s="80"/>
      <c r="GC11" s="80"/>
      <c r="GD11" s="80"/>
      <c r="GE11" s="80"/>
      <c r="GF11" s="80"/>
      <c r="GG11" s="77"/>
      <c r="GH11" s="80"/>
      <c r="GI11" s="80"/>
      <c r="GJ11" s="80"/>
      <c r="GK11" s="80"/>
      <c r="GL11" s="80"/>
      <c r="GM11" s="80"/>
      <c r="GN11" s="80"/>
      <c r="GO11" s="80"/>
      <c r="GQ11" s="80"/>
      <c r="GR11" s="80"/>
      <c r="GS11" s="80"/>
      <c r="GT11" s="80"/>
      <c r="GU11" s="80"/>
      <c r="GV11" s="80"/>
      <c r="GW11" s="80"/>
      <c r="GX11" s="80"/>
      <c r="GY11" s="77"/>
      <c r="GZ11" s="80"/>
      <c r="HA11" s="80"/>
      <c r="HB11" s="80"/>
      <c r="HC11" s="80"/>
      <c r="HD11" s="80"/>
      <c r="HE11" s="80"/>
      <c r="HF11" s="80"/>
      <c r="HG11" s="80"/>
      <c r="HI11" s="80"/>
      <c r="HJ11" s="80"/>
      <c r="HK11" s="80"/>
      <c r="HL11" s="80"/>
      <c r="HM11" s="80"/>
      <c r="HN11" s="80"/>
      <c r="HO11" s="80"/>
      <c r="HP11" s="80"/>
      <c r="HR11" s="80"/>
      <c r="HS11" s="80"/>
      <c r="HT11" s="80"/>
      <c r="HU11" s="80"/>
      <c r="HV11" s="80"/>
      <c r="HW11" s="80"/>
      <c r="HX11" s="80"/>
      <c r="HY11" s="80"/>
      <c r="HZ11" s="80"/>
      <c r="IA11" s="80"/>
      <c r="IB11" s="80"/>
      <c r="IC11" s="80"/>
      <c r="ID11" s="80"/>
      <c r="IE11" s="80"/>
      <c r="IF11" s="80"/>
      <c r="IG11" s="80"/>
      <c r="IH11" s="80"/>
      <c r="IJ11" s="80"/>
      <c r="IK11" s="80"/>
      <c r="IL11" s="80"/>
      <c r="IM11" s="80"/>
      <c r="IN11" s="80"/>
      <c r="IO11" s="80"/>
      <c r="IP11" s="80"/>
      <c r="IQ11" s="80"/>
      <c r="IR11" s="80"/>
      <c r="IS11" s="80"/>
      <c r="IT11" s="80"/>
      <c r="IU11" s="80"/>
      <c r="IV11" s="80"/>
      <c r="IW11" s="80"/>
      <c r="IX11" s="80"/>
      <c r="IY11" s="80"/>
      <c r="IZ11" s="80"/>
    </row>
    <row r="12" spans="1:265" collapsed="1">
      <c r="B12" s="73" t="s">
        <v>654</v>
      </c>
      <c r="C12" s="50">
        <f>+$C$2</f>
        <v>1</v>
      </c>
      <c r="D12" s="50" t="s">
        <v>655</v>
      </c>
      <c r="E12" s="81">
        <v>256.33999999999997</v>
      </c>
      <c r="F12" s="84">
        <v>643413.4</v>
      </c>
      <c r="G12" s="84">
        <v>633151.40000000095</v>
      </c>
      <c r="H12" s="84">
        <v>-10262</v>
      </c>
      <c r="I12" s="84">
        <v>26612</v>
      </c>
      <c r="J12" s="75">
        <v>1.41539162878382</v>
      </c>
      <c r="K12" s="74">
        <v>3.1570800000000001</v>
      </c>
      <c r="L12" s="75">
        <f>+J12/(1+((1-K12/100)*(H12/F12)))</f>
        <v>1.4375964238023409</v>
      </c>
      <c r="N12" s="76">
        <v>44591</v>
      </c>
      <c r="O12" s="76">
        <v>44591</v>
      </c>
      <c r="P12" s="77"/>
      <c r="Q12" s="78">
        <v>9714</v>
      </c>
      <c r="R12" s="79">
        <v>11716</v>
      </c>
      <c r="S12" s="79">
        <v>10918</v>
      </c>
      <c r="T12" s="79">
        <v>16675</v>
      </c>
      <c r="U12" s="79">
        <v>26914</v>
      </c>
      <c r="V12" s="79">
        <v>35884.855986666698</v>
      </c>
      <c r="W12" s="79">
        <v>26685.51066</v>
      </c>
      <c r="X12" s="79">
        <v>34878.852200000001</v>
      </c>
      <c r="Y12" s="79"/>
      <c r="Z12" s="78">
        <v>11951.333333333299</v>
      </c>
      <c r="AA12" s="79">
        <v>10618</v>
      </c>
      <c r="AB12" s="79">
        <v>16042.333333333299</v>
      </c>
      <c r="AC12" s="79">
        <v>26034</v>
      </c>
      <c r="AD12" s="79">
        <v>26914</v>
      </c>
      <c r="AE12" s="79">
        <v>34454.663930000002</v>
      </c>
      <c r="AF12" s="79">
        <v>40423.9502333333</v>
      </c>
      <c r="AG12" s="79">
        <v>46474.698546666703</v>
      </c>
      <c r="AI12" s="79">
        <v>5822</v>
      </c>
      <c r="AJ12" s="79">
        <v>7171</v>
      </c>
      <c r="AK12" s="79">
        <v>6768</v>
      </c>
      <c r="AL12" s="79">
        <v>10396</v>
      </c>
      <c r="AM12" s="79">
        <v>17474</v>
      </c>
      <c r="AN12" s="79">
        <v>24170.741478333301</v>
      </c>
      <c r="AO12" s="79">
        <v>17950.89241</v>
      </c>
      <c r="AP12" s="79">
        <v>23432.15667</v>
      </c>
      <c r="AQ12" s="79"/>
      <c r="AR12" s="79">
        <v>7369</v>
      </c>
      <c r="AS12" s="79">
        <v>6498.6666666666697</v>
      </c>
      <c r="AT12" s="79">
        <v>10014.666666666701</v>
      </c>
      <c r="AU12" s="79">
        <v>16859.666666666701</v>
      </c>
      <c r="AV12" s="79">
        <v>17474</v>
      </c>
      <c r="AW12" s="79">
        <v>23107.47237</v>
      </c>
      <c r="AX12" s="79">
        <v>27476.432769999999</v>
      </c>
      <c r="AY12" s="79">
        <v>31245.246376666699</v>
      </c>
      <c r="AZ12" s="78"/>
      <c r="BA12" s="79">
        <v>3409</v>
      </c>
      <c r="BB12" s="79">
        <v>4112</v>
      </c>
      <c r="BC12" s="79">
        <v>3272</v>
      </c>
      <c r="BD12" s="502">
        <v>5752</v>
      </c>
      <c r="BE12" s="502">
        <v>11225</v>
      </c>
      <c r="BF12" s="502">
        <v>18782.526000000002</v>
      </c>
      <c r="BG12" s="502">
        <v>13673.2588</v>
      </c>
      <c r="BH12" s="502">
        <v>18203.825000000001</v>
      </c>
      <c r="BI12" s="79"/>
      <c r="BJ12" s="79">
        <v>4355.6666666666697</v>
      </c>
      <c r="BK12" s="79">
        <v>3035.3333333333298</v>
      </c>
      <c r="BL12" s="79">
        <v>5706.6666666666697</v>
      </c>
      <c r="BM12" s="79">
        <v>10548.333333333299</v>
      </c>
      <c r="BN12" s="79">
        <v>11225</v>
      </c>
      <c r="BO12" s="79">
        <v>17813.3347666667</v>
      </c>
      <c r="BP12" s="79">
        <v>20699.626499999998</v>
      </c>
      <c r="BQ12" s="79">
        <v>24890.58611</v>
      </c>
      <c r="BR12" s="79"/>
      <c r="BS12" s="77"/>
      <c r="BT12" s="82">
        <v>14.6541054149</v>
      </c>
      <c r="BU12" s="82">
        <v>7.8198105155000004</v>
      </c>
      <c r="BV12" s="82">
        <v>13.2476863894</v>
      </c>
      <c r="BW12" s="82">
        <v>19.043346326799998</v>
      </c>
      <c r="BX12" s="82">
        <v>23.524983280077301</v>
      </c>
      <c r="BY12" s="467">
        <v>17.643972160157301</v>
      </c>
      <c r="BZ12" s="82">
        <v>23.7264112374307</v>
      </c>
      <c r="CA12" s="82">
        <v>18.1528737347613</v>
      </c>
      <c r="CB12" s="77"/>
      <c r="CC12" s="77">
        <v>8.0195785686394796</v>
      </c>
      <c r="CD12" s="77">
        <v>13.205857506121699</v>
      </c>
      <c r="CE12" s="77">
        <v>18.896170756539998</v>
      </c>
      <c r="CF12" s="77">
        <v>20.808494660828199</v>
      </c>
      <c r="CG12" s="77">
        <v>23.524983280077301</v>
      </c>
      <c r="CH12" s="77">
        <v>18.515324444696301</v>
      </c>
      <c r="CI12" s="77">
        <v>15.6674598968032</v>
      </c>
      <c r="CJ12" s="77">
        <v>14.082078462494</v>
      </c>
      <c r="CL12" s="77">
        <v>24.450357265544501</v>
      </c>
      <c r="CM12" s="77">
        <v>12.7760284479152</v>
      </c>
      <c r="CN12" s="77">
        <v>21.370898345153702</v>
      </c>
      <c r="CO12" s="77">
        <v>30.545190457868401</v>
      </c>
      <c r="CP12" s="77">
        <v>29.193323223074302</v>
      </c>
      <c r="CQ12" s="77">
        <v>26.194951469219902</v>
      </c>
      <c r="CR12" s="77">
        <v>35.271304932299003</v>
      </c>
      <c r="CS12" s="77">
        <v>27.0206199504726</v>
      </c>
      <c r="CT12" s="77"/>
      <c r="CU12" s="77">
        <v>13.006467182340399</v>
      </c>
      <c r="CV12" s="77">
        <v>21.5767021440296</v>
      </c>
      <c r="CW12" s="77">
        <v>30.269471774730398</v>
      </c>
      <c r="CX12" s="77">
        <v>32.131616876569304</v>
      </c>
      <c r="CY12" s="77">
        <v>29.193323223074302</v>
      </c>
      <c r="CZ12" s="77">
        <v>27.400288091310699</v>
      </c>
      <c r="DA12" s="77">
        <v>23.043435270509502</v>
      </c>
      <c r="DB12" s="77">
        <v>20.263927266479399</v>
      </c>
      <c r="DD12" s="77">
        <v>41.757107656199999</v>
      </c>
      <c r="DE12" s="77">
        <v>22.280374513600002</v>
      </c>
      <c r="DF12" s="77">
        <v>44.204841075799997</v>
      </c>
      <c r="DG12" s="77">
        <v>55.206502086199997</v>
      </c>
      <c r="DH12" s="77">
        <v>56.400445394619801</v>
      </c>
      <c r="DI12" s="466">
        <v>33.709597952905902</v>
      </c>
      <c r="DJ12" s="77">
        <v>46.305815552909799</v>
      </c>
      <c r="DK12" s="77">
        <v>34.781228670348199</v>
      </c>
      <c r="DL12" s="77"/>
      <c r="DM12" s="77">
        <v>22.004589423739201</v>
      </c>
      <c r="DN12" s="77">
        <v>46.195847243575699</v>
      </c>
      <c r="DO12" s="77">
        <v>53.120094042056003</v>
      </c>
      <c r="DP12" s="77">
        <v>51.356772001896097</v>
      </c>
      <c r="DQ12" s="77">
        <v>56.400445394619801</v>
      </c>
      <c r="DR12" s="77">
        <v>35.517868985977401</v>
      </c>
      <c r="DS12" s="77">
        <v>29.604940327228501</v>
      </c>
      <c r="DT12" s="77">
        <v>26.184704074097901</v>
      </c>
      <c r="DV12" s="77">
        <v>44.345788161999998</v>
      </c>
      <c r="DW12" s="77">
        <v>23.7965974026</v>
      </c>
      <c r="DX12" s="77">
        <v>50.030522310599999</v>
      </c>
      <c r="DY12" s="77">
        <v>68.231155994800005</v>
      </c>
      <c r="DZ12" s="77">
        <v>62.987604456824599</v>
      </c>
      <c r="EA12" s="77">
        <v>36.337631991880698</v>
      </c>
      <c r="EB12" s="77">
        <v>50.4520204573531</v>
      </c>
      <c r="EC12" s="77">
        <v>37.582247831481702</v>
      </c>
      <c r="ED12" s="77"/>
      <c r="EE12" s="77">
        <v>23.367246647704199</v>
      </c>
      <c r="EF12" s="77">
        <v>52.6416449755976</v>
      </c>
      <c r="EG12" s="77">
        <v>64.921188606510498</v>
      </c>
      <c r="EH12" s="77">
        <v>57.745347143263203</v>
      </c>
      <c r="EI12" s="77">
        <v>62.987604456824599</v>
      </c>
      <c r="EJ12" s="77">
        <v>38.398501874800097</v>
      </c>
      <c r="EK12" s="77">
        <v>31.624696912905701</v>
      </c>
      <c r="EL12" s="77">
        <v>27.750249745477301</v>
      </c>
      <c r="EN12" s="77">
        <v>52.7743799287</v>
      </c>
      <c r="EO12" s="77">
        <v>26.528955738099999</v>
      </c>
      <c r="EP12" s="77">
        <v>55.363505353299999</v>
      </c>
      <c r="EQ12" s="77">
        <v>75.323858232999996</v>
      </c>
      <c r="ER12" s="77">
        <v>66.665106275632695</v>
      </c>
      <c r="ES12" s="77">
        <v>43.926692883004101</v>
      </c>
      <c r="ET12" s="77">
        <v>58.995054210365197</v>
      </c>
      <c r="EU12" s="77">
        <v>45.394898784994901</v>
      </c>
      <c r="EV12" s="77"/>
      <c r="EW12" s="77">
        <v>160.899002410284</v>
      </c>
      <c r="EX12" s="77">
        <v>244.634251085556</v>
      </c>
      <c r="EY12" s="77">
        <v>154.62972271932099</v>
      </c>
      <c r="EZ12" s="77">
        <v>70.360705894408596</v>
      </c>
      <c r="FA12" s="77">
        <v>66.665106275632695</v>
      </c>
      <c r="FB12" s="77">
        <v>45.803027090386301</v>
      </c>
      <c r="FC12" s="77">
        <v>38.271125709166903</v>
      </c>
      <c r="FD12" s="77">
        <v>32.333882168138501</v>
      </c>
      <c r="FE12" s="77"/>
      <c r="FF12" s="77"/>
      <c r="FG12" s="80">
        <v>0.59934120000000002</v>
      </c>
      <c r="FH12" s="80">
        <v>0.61206899999999997</v>
      </c>
      <c r="FI12" s="80">
        <v>0.61989380000000005</v>
      </c>
      <c r="FJ12" s="80">
        <v>0.62344829999999996</v>
      </c>
      <c r="FK12" s="80">
        <v>0.64871429999999997</v>
      </c>
      <c r="FL12" s="80">
        <v>0.67471191666666697</v>
      </c>
      <c r="FM12" s="80">
        <v>0.67051059999999996</v>
      </c>
      <c r="FN12" s="80">
        <v>0.67377969999999998</v>
      </c>
      <c r="FO12" s="77"/>
      <c r="FP12" s="80">
        <v>0.61658392369052295</v>
      </c>
      <c r="FQ12" s="80">
        <v>0.61204244364914895</v>
      </c>
      <c r="FR12" s="80">
        <v>0.62426496561181899</v>
      </c>
      <c r="FS12" s="80">
        <v>0.64760185398581405</v>
      </c>
      <c r="FT12" s="80">
        <v>0.64871429999999997</v>
      </c>
      <c r="FU12" s="80">
        <v>0.67066311884354501</v>
      </c>
      <c r="FV12" s="80">
        <v>0.679706773123402</v>
      </c>
      <c r="FW12" s="80">
        <v>0.67230659592750996</v>
      </c>
      <c r="FY12" s="80">
        <v>0.35093679226000002</v>
      </c>
      <c r="FZ12" s="80">
        <v>0.35097302833999999</v>
      </c>
      <c r="GA12" s="80">
        <v>0.29968858765</v>
      </c>
      <c r="GB12" s="80">
        <v>0.34494752623699998</v>
      </c>
      <c r="GC12" s="80">
        <v>0.41587002416574997</v>
      </c>
      <c r="GD12" s="80">
        <v>0.52341093432223396</v>
      </c>
      <c r="GE12" s="80">
        <v>0.51238512817727</v>
      </c>
      <c r="GF12" s="80">
        <v>0.52191582726452201</v>
      </c>
      <c r="GG12" s="77"/>
      <c r="GH12" s="80">
        <v>0.36445027054164097</v>
      </c>
      <c r="GI12" s="80">
        <v>0.28586676712500803</v>
      </c>
      <c r="GJ12" s="80">
        <v>0.35572547634384</v>
      </c>
      <c r="GK12" s="80">
        <v>0.40517528360349298</v>
      </c>
      <c r="GL12" s="80">
        <v>0.41587002416574997</v>
      </c>
      <c r="GM12" s="80">
        <v>0.51700793839862202</v>
      </c>
      <c r="GN12" s="80">
        <v>0.51206342726325704</v>
      </c>
      <c r="GO12" s="80">
        <v>0.53557283615313001</v>
      </c>
      <c r="GQ12" s="80">
        <v>0.29997940000000001</v>
      </c>
      <c r="GR12" s="80">
        <v>0.3220382</v>
      </c>
      <c r="GS12" s="80">
        <v>0.25609090000000001</v>
      </c>
      <c r="GT12" s="80">
        <v>0.25979010000000002</v>
      </c>
      <c r="GU12" s="80">
        <v>0.36059790000000003</v>
      </c>
      <c r="GV12" s="80">
        <v>0.41631412028565801</v>
      </c>
      <c r="GW12" s="80">
        <v>0.41248733780086499</v>
      </c>
      <c r="GX12" s="80">
        <v>0.41384108935786601</v>
      </c>
      <c r="GY12" s="77"/>
      <c r="GZ12" s="80">
        <v>0.33382607240475298</v>
      </c>
      <c r="HA12" s="80">
        <v>0.24401958937653001</v>
      </c>
      <c r="HB12" s="80">
        <v>0.25952168221580402</v>
      </c>
      <c r="HC12" s="80">
        <v>0.35483086220583299</v>
      </c>
      <c r="HD12" s="80">
        <v>0.36059790000000003</v>
      </c>
      <c r="HE12" s="80">
        <v>0.41462476804370302</v>
      </c>
      <c r="HF12" s="80">
        <v>0.42528041422888901</v>
      </c>
      <c r="HG12" s="80">
        <v>0.43254351396845803</v>
      </c>
      <c r="HI12" s="80">
        <v>0.20240769614879001</v>
      </c>
      <c r="HJ12" s="80">
        <v>0.32339682089873401</v>
      </c>
      <c r="HK12" s="80">
        <v>0.290164349986684</v>
      </c>
      <c r="HL12" s="80">
        <v>0.31947032806424103</v>
      </c>
      <c r="HM12" s="80">
        <v>0.61403298350824598</v>
      </c>
      <c r="HN12" s="80">
        <v>0.61403298350824598</v>
      </c>
      <c r="HO12" s="80"/>
      <c r="HP12" s="80"/>
      <c r="HR12" s="80">
        <v>0.25720144813026002</v>
      </c>
      <c r="HS12" s="80">
        <v>0.355905750160533</v>
      </c>
      <c r="HT12" s="80">
        <v>0.316224688324238</v>
      </c>
      <c r="HU12" s="80">
        <v>0.34566679556690899</v>
      </c>
      <c r="HV12" s="80">
        <v>0.68093497499038103</v>
      </c>
      <c r="HW12" s="80">
        <v>0.68100048100048105</v>
      </c>
      <c r="HX12" s="80"/>
      <c r="HY12" s="80"/>
      <c r="HZ12" s="80"/>
      <c r="IA12" s="80">
        <v>0.35806814140875298</v>
      </c>
      <c r="IB12" s="80">
        <v>0.473229645968407</v>
      </c>
      <c r="IC12" s="80">
        <v>0.34709898579394899</v>
      </c>
      <c r="ID12" s="80">
        <v>0.39762494684876898</v>
      </c>
      <c r="IE12" s="80">
        <v>0.951495132127956</v>
      </c>
      <c r="IF12" s="80">
        <v>0.95099061522419204</v>
      </c>
      <c r="IG12" s="80"/>
      <c r="IH12" s="80"/>
      <c r="IJ12" s="80">
        <v>0.42753954845697001</v>
      </c>
      <c r="IK12" s="80">
        <v>0.49481672423484602</v>
      </c>
      <c r="IL12" s="80">
        <v>0.33026100938147601</v>
      </c>
      <c r="IM12" s="80">
        <v>0.37698935681435602</v>
      </c>
      <c r="IN12" s="80">
        <v>0.61403298350824598</v>
      </c>
      <c r="IO12" s="80">
        <v>0.864670903589288</v>
      </c>
      <c r="IP12" s="80"/>
      <c r="IQ12" s="80"/>
      <c r="IR12" s="80"/>
      <c r="IS12" s="80">
        <v>0.387956415544917</v>
      </c>
      <c r="IT12" s="80">
        <v>0.55871769352882406</v>
      </c>
      <c r="IU12" s="80">
        <v>0.35122270392091898</v>
      </c>
      <c r="IV12" s="80">
        <v>0.366305236424045</v>
      </c>
      <c r="IW12" s="80">
        <v>1.2307308700391999</v>
      </c>
      <c r="IX12" s="80">
        <v>1.23342007132651</v>
      </c>
      <c r="IY12" s="80"/>
      <c r="IZ12" s="80"/>
      <c r="JC12" s="50" t="s">
        <v>656</v>
      </c>
    </row>
    <row r="13" spans="1:265">
      <c r="B13" s="73" t="s">
        <v>657</v>
      </c>
      <c r="C13" s="50">
        <f>+C12+1</f>
        <v>2</v>
      </c>
      <c r="D13" s="50" t="s">
        <v>658</v>
      </c>
      <c r="E13" s="81">
        <v>113.92</v>
      </c>
      <c r="F13" s="84">
        <v>185389.41795199999</v>
      </c>
      <c r="G13" s="84">
        <v>182094.41795199999</v>
      </c>
      <c r="H13" s="84">
        <v>-3295</v>
      </c>
      <c r="I13" s="84">
        <v>7497</v>
      </c>
      <c r="J13" s="75">
        <v>1.8381370982342999</v>
      </c>
      <c r="K13" s="74">
        <v>21.199000000000002</v>
      </c>
      <c r="L13" s="75">
        <f t="shared" ref="L13:L18" si="0">+J13/(1+((1-K13/100)*(H13/F13)))</f>
        <v>1.8642470257199868</v>
      </c>
      <c r="N13" s="76">
        <v>44555</v>
      </c>
      <c r="O13" s="76">
        <v>44555</v>
      </c>
      <c r="P13" s="77"/>
      <c r="Q13" s="78">
        <v>6475</v>
      </c>
      <c r="R13" s="79">
        <v>6731</v>
      </c>
      <c r="S13" s="79">
        <v>9763</v>
      </c>
      <c r="T13" s="79">
        <v>16434</v>
      </c>
      <c r="U13" s="79">
        <v>16434</v>
      </c>
      <c r="V13" s="79">
        <v>26250.204160000001</v>
      </c>
      <c r="W13" s="79">
        <v>25364.337</v>
      </c>
      <c r="X13" s="79">
        <v>28907.805639999999</v>
      </c>
      <c r="Y13" s="79"/>
      <c r="Z13" s="78">
        <v>6475</v>
      </c>
      <c r="AA13" s="79">
        <v>6731</v>
      </c>
      <c r="AB13" s="79">
        <v>9763</v>
      </c>
      <c r="AC13" s="79">
        <v>16434</v>
      </c>
      <c r="AD13" s="79">
        <v>16434</v>
      </c>
      <c r="AE13" s="79">
        <v>25376.728510000001</v>
      </c>
      <c r="AF13" s="79">
        <v>28754.558400000002</v>
      </c>
      <c r="AG13" s="79">
        <v>30766</v>
      </c>
      <c r="AI13" s="79">
        <v>2447</v>
      </c>
      <c r="AJ13" s="79">
        <v>2868</v>
      </c>
      <c r="AK13" s="79">
        <v>4347</v>
      </c>
      <c r="AL13" s="79">
        <v>7929</v>
      </c>
      <c r="AM13" s="79">
        <v>7929</v>
      </c>
      <c r="AN13" s="79">
        <v>14270.080207499999</v>
      </c>
      <c r="AO13" s="79">
        <v>13765.862499999999</v>
      </c>
      <c r="AP13" s="79">
        <v>15782.733329999999</v>
      </c>
      <c r="AQ13" s="79"/>
      <c r="AR13" s="79">
        <v>2447</v>
      </c>
      <c r="AS13" s="79">
        <v>2868</v>
      </c>
      <c r="AT13" s="79">
        <v>4347</v>
      </c>
      <c r="AU13" s="79">
        <v>7929</v>
      </c>
      <c r="AV13" s="79">
        <v>7929</v>
      </c>
      <c r="AW13" s="79">
        <v>13732.475</v>
      </c>
      <c r="AX13" s="79">
        <v>15714.65</v>
      </c>
      <c r="AY13" s="79">
        <v>16734</v>
      </c>
      <c r="AZ13" s="78"/>
      <c r="BA13" s="79">
        <v>621</v>
      </c>
      <c r="BB13" s="79">
        <v>805</v>
      </c>
      <c r="BC13" s="79">
        <v>1695</v>
      </c>
      <c r="BD13" s="502">
        <v>4043</v>
      </c>
      <c r="BE13" s="502">
        <v>4043</v>
      </c>
      <c r="BF13" s="502">
        <v>8397.7424974999994</v>
      </c>
      <c r="BG13" s="502">
        <v>8090.6733299999996</v>
      </c>
      <c r="BH13" s="502">
        <v>9318.9500000000007</v>
      </c>
      <c r="BI13" s="79"/>
      <c r="BJ13" s="79">
        <v>621</v>
      </c>
      <c r="BK13" s="79">
        <v>805</v>
      </c>
      <c r="BL13" s="79">
        <v>1695</v>
      </c>
      <c r="BM13" s="79">
        <v>4043</v>
      </c>
      <c r="BN13" s="79">
        <v>4043</v>
      </c>
      <c r="BO13" s="79">
        <v>8090.6733299999996</v>
      </c>
      <c r="BP13" s="79">
        <v>9214.35</v>
      </c>
      <c r="BQ13" s="79">
        <v>10134</v>
      </c>
      <c r="BR13" s="79"/>
      <c r="BS13" s="77"/>
      <c r="BT13" s="82">
        <v>2.7804015440000001</v>
      </c>
      <c r="BU13" s="82">
        <v>7.8760362500000003</v>
      </c>
      <c r="BV13" s="82">
        <v>11.1873307385</v>
      </c>
      <c r="BW13" s="82">
        <v>10.532796641099999</v>
      </c>
      <c r="BX13" s="82">
        <v>11.0803467172934</v>
      </c>
      <c r="BY13" s="467">
        <v>6.9368762559749904</v>
      </c>
      <c r="BZ13" s="82">
        <v>7.1791514973168802</v>
      </c>
      <c r="CA13" s="82">
        <v>6.2991435676471497</v>
      </c>
      <c r="CB13" s="77"/>
      <c r="CC13" s="77">
        <v>2.7804015444015402</v>
      </c>
      <c r="CD13" s="77">
        <v>7.8760362501857104</v>
      </c>
      <c r="CE13" s="77">
        <v>11.187330738502499</v>
      </c>
      <c r="CF13" s="77">
        <v>10.532796641109901</v>
      </c>
      <c r="CG13" s="77">
        <v>11.0803467172934</v>
      </c>
      <c r="CH13" s="77">
        <v>7.1791514973168802</v>
      </c>
      <c r="CI13" s="77">
        <v>6.2991435676471497</v>
      </c>
      <c r="CJ13" s="77">
        <v>5.4546233304476699</v>
      </c>
      <c r="CL13" s="77">
        <v>7.3572129137719697</v>
      </c>
      <c r="CM13" s="77">
        <v>18.4845188284519</v>
      </c>
      <c r="CN13" s="77">
        <v>25.125813204508798</v>
      </c>
      <c r="CO13" s="77">
        <v>21.830745365115401</v>
      </c>
      <c r="CP13" s="77">
        <v>15.4388255139362</v>
      </c>
      <c r="CQ13" s="77">
        <v>12.760574243744999</v>
      </c>
      <c r="CR13" s="77">
        <v>13.227970129151</v>
      </c>
      <c r="CS13" s="77">
        <v>11.537571733907001</v>
      </c>
      <c r="CT13" s="77"/>
      <c r="CU13" s="77">
        <v>7.3572129137719697</v>
      </c>
      <c r="CV13" s="77">
        <v>18.4845188284519</v>
      </c>
      <c r="CW13" s="77">
        <v>25.125813204508798</v>
      </c>
      <c r="CX13" s="77">
        <v>21.830745365115401</v>
      </c>
      <c r="CY13" s="77">
        <v>15.4388255139362</v>
      </c>
      <c r="CZ13" s="77">
        <v>13.260131036248</v>
      </c>
      <c r="DA13" s="77">
        <v>11.5875579762833</v>
      </c>
      <c r="DB13" s="77">
        <v>10.8817029970121</v>
      </c>
      <c r="DD13" s="77">
        <v>28.990499195000002</v>
      </c>
      <c r="DE13" s="77">
        <v>65.855403726999995</v>
      </c>
      <c r="DF13" s="77">
        <v>64.437705014700001</v>
      </c>
      <c r="DG13" s="77">
        <v>42.8137472174</v>
      </c>
      <c r="DH13" s="77">
        <v>45.039430608953701</v>
      </c>
      <c r="DI13" s="466">
        <v>21.683734409123598</v>
      </c>
      <c r="DJ13" s="77">
        <v>22.506707479685101</v>
      </c>
      <c r="DK13" s="77">
        <v>19.5402290979134</v>
      </c>
      <c r="DL13" s="77"/>
      <c r="DM13" s="77">
        <v>28.990499194847001</v>
      </c>
      <c r="DN13" s="77">
        <v>65.855403726708104</v>
      </c>
      <c r="DO13" s="77">
        <v>64.437705014749199</v>
      </c>
      <c r="DP13" s="77">
        <v>42.813747217412804</v>
      </c>
      <c r="DQ13" s="77">
        <v>45.039430608953701</v>
      </c>
      <c r="DR13" s="77">
        <v>22.506707479685101</v>
      </c>
      <c r="DS13" s="77">
        <v>19.5402290979134</v>
      </c>
      <c r="DT13" s="77">
        <v>17.9668887964479</v>
      </c>
      <c r="DV13" s="77">
        <v>39.918181818000001</v>
      </c>
      <c r="DW13" s="77">
        <v>90.932418525000003</v>
      </c>
      <c r="DX13" s="77">
        <v>78.974627621099998</v>
      </c>
      <c r="DY13" s="77">
        <v>47.606155115500002</v>
      </c>
      <c r="DZ13" s="77">
        <v>50.080973034103401</v>
      </c>
      <c r="EA13" s="77">
        <v>23.0856828532322</v>
      </c>
      <c r="EB13" s="77">
        <v>23.972752104896198</v>
      </c>
      <c r="EC13" s="77">
        <v>20.779011274484802</v>
      </c>
      <c r="ED13" s="77"/>
      <c r="EE13" s="77">
        <v>39.9181818181818</v>
      </c>
      <c r="EF13" s="77">
        <v>90.932418524871295</v>
      </c>
      <c r="EG13" s="77">
        <v>78.974627621113498</v>
      </c>
      <c r="EH13" s="77">
        <v>47.606155115511598</v>
      </c>
      <c r="EI13" s="77">
        <v>50.080973034103401</v>
      </c>
      <c r="EJ13" s="77">
        <v>23.972752104896198</v>
      </c>
      <c r="EK13" s="77">
        <v>20.779011274484802</v>
      </c>
      <c r="EL13" s="77">
        <v>17.1073198229277</v>
      </c>
      <c r="EN13" s="77">
        <v>54.172366621000002</v>
      </c>
      <c r="EO13" s="77">
        <v>157.686266475</v>
      </c>
      <c r="EP13" s="77">
        <v>44.4861153509</v>
      </c>
      <c r="EQ13" s="77">
        <v>56.801486306900003</v>
      </c>
      <c r="ER13" s="77">
        <v>44.258652038104699</v>
      </c>
      <c r="ES13" s="77">
        <v>27.3186500385487</v>
      </c>
      <c r="ET13" s="77">
        <v>28.397929982350998</v>
      </c>
      <c r="EU13" s="77">
        <v>24.5226563340868</v>
      </c>
      <c r="EV13" s="77"/>
      <c r="EW13" s="77">
        <v>354.86885552301999</v>
      </c>
      <c r="EX13" s="77">
        <v>394.07776394077803</v>
      </c>
      <c r="EY13" s="77">
        <v>55.828906357203103</v>
      </c>
      <c r="EZ13" s="77">
        <v>44.258652038104699</v>
      </c>
      <c r="FA13" s="77">
        <v>44.258652038104699</v>
      </c>
      <c r="FB13" s="77">
        <v>28.009647986191901</v>
      </c>
      <c r="FC13" s="77">
        <v>24.3981838430566</v>
      </c>
      <c r="FD13" s="77">
        <v>22.693227091633499</v>
      </c>
      <c r="FE13" s="77"/>
      <c r="FF13" s="77"/>
      <c r="FG13" s="80">
        <v>0.3779151</v>
      </c>
      <c r="FH13" s="80">
        <v>0.42608819999999997</v>
      </c>
      <c r="FI13" s="80">
        <v>0.4452525</v>
      </c>
      <c r="FJ13" s="80">
        <v>0.4824754</v>
      </c>
      <c r="FK13" s="80">
        <v>0.480585025</v>
      </c>
      <c r="FL13" s="80">
        <v>0.541964275</v>
      </c>
      <c r="FM13" s="80">
        <v>0.54028569999999998</v>
      </c>
      <c r="FN13" s="80">
        <v>0.54700000000000004</v>
      </c>
      <c r="FO13" s="77"/>
      <c r="FP13" s="80">
        <v>0.37791505791505797</v>
      </c>
      <c r="FQ13" s="80">
        <v>0.42608824840291198</v>
      </c>
      <c r="FR13" s="80">
        <v>0.44525248386766397</v>
      </c>
      <c r="FS13" s="80">
        <v>0.482475355969332</v>
      </c>
      <c r="FT13" s="80">
        <v>0.480585025</v>
      </c>
      <c r="FU13" s="80">
        <v>0.54114441877677599</v>
      </c>
      <c r="FV13" s="80">
        <v>0.54650987093580305</v>
      </c>
      <c r="FW13" s="80">
        <v>0.54391211077163104</v>
      </c>
      <c r="FY13" s="80">
        <v>9.5907335910000002E-2</v>
      </c>
      <c r="FZ13" s="80">
        <v>0.11959589957</v>
      </c>
      <c r="GA13" s="80">
        <v>0.17361466762300001</v>
      </c>
      <c r="GB13" s="80">
        <v>0.24601436047200001</v>
      </c>
      <c r="GC13" s="80">
        <v>0.24366942490749999</v>
      </c>
      <c r="GD13" s="80">
        <v>0.31991151178536198</v>
      </c>
      <c r="GE13" s="80">
        <v>0.31897830919057701</v>
      </c>
      <c r="GF13" s="80">
        <v>0.32236794850679601</v>
      </c>
      <c r="GG13" s="77"/>
      <c r="GH13" s="80">
        <v>9.5907335907335994E-2</v>
      </c>
      <c r="GI13" s="80">
        <v>0.119595899569158</v>
      </c>
      <c r="GJ13" s="80">
        <v>0.17361466762265701</v>
      </c>
      <c r="GK13" s="80">
        <v>0.246014360472192</v>
      </c>
      <c r="GL13" s="80">
        <v>0.24366942490749999</v>
      </c>
      <c r="GM13" s="80">
        <v>0.31882255141011501</v>
      </c>
      <c r="GN13" s="80">
        <v>0.32044832237799198</v>
      </c>
      <c r="GO13" s="80">
        <v>0.32938958590652001</v>
      </c>
      <c r="GQ13" s="80">
        <v>5.4054100000000001E-2</v>
      </c>
      <c r="GR13" s="80">
        <v>4.8729799999999997E-2</v>
      </c>
      <c r="GS13" s="80">
        <v>0.25504460000000001</v>
      </c>
      <c r="GT13" s="80">
        <v>0.19240599999999999</v>
      </c>
      <c r="GU13" s="80">
        <v>0.19033657500000001</v>
      </c>
      <c r="GV13" s="80">
        <v>0.254167359778736</v>
      </c>
      <c r="GW13" s="80">
        <v>0.25208732165954101</v>
      </c>
      <c r="GX13" s="80">
        <v>0.25964257174935101</v>
      </c>
      <c r="GY13" s="77"/>
      <c r="GZ13" s="80">
        <v>5.4362934362933997E-2</v>
      </c>
      <c r="HA13" s="80">
        <v>4.8729757836873999E-2</v>
      </c>
      <c r="HB13" s="80">
        <v>0.254532418314043</v>
      </c>
      <c r="HC13" s="80">
        <v>0.19204089083607201</v>
      </c>
      <c r="HD13" s="80">
        <v>0.19033657500000001</v>
      </c>
      <c r="HE13" s="80">
        <v>0.25581185523744199</v>
      </c>
      <c r="HF13" s="80">
        <v>0.26142115957517198</v>
      </c>
      <c r="HG13" s="80">
        <v>0.26402522264837802</v>
      </c>
      <c r="HI13" s="80">
        <v>8.8071321039905004E-2</v>
      </c>
      <c r="HJ13" s="80">
        <v>0.26602882105237102</v>
      </c>
      <c r="HK13" s="80">
        <v>0.329945886261232</v>
      </c>
      <c r="HL13" s="80">
        <v>0.36406323362290099</v>
      </c>
      <c r="HM13" s="80">
        <v>0.68329406944586701</v>
      </c>
      <c r="HN13" s="80">
        <v>0.68329406944586701</v>
      </c>
      <c r="HO13" s="80"/>
      <c r="HP13" s="80"/>
      <c r="HR13" s="80">
        <v>9.3677032364315002E-2</v>
      </c>
      <c r="HS13" s="80">
        <v>0.39411663833256599</v>
      </c>
      <c r="HT13" s="80">
        <v>0.45135437474816797</v>
      </c>
      <c r="HU13" s="80">
        <v>0.47977203663247298</v>
      </c>
      <c r="HV13" s="80">
        <v>0.824016563146998</v>
      </c>
      <c r="HW13" s="80">
        <v>0.824016563146998</v>
      </c>
      <c r="HX13" s="80"/>
      <c r="HY13" s="80"/>
      <c r="HZ13" s="80"/>
      <c r="IA13" s="80">
        <v>0.18159226358092601</v>
      </c>
      <c r="IB13" s="80"/>
      <c r="IC13" s="80">
        <v>1.0728358280157</v>
      </c>
      <c r="ID13" s="80">
        <v>0.86725678867493305</v>
      </c>
      <c r="IE13" s="80">
        <v>1.38525073746313</v>
      </c>
      <c r="IF13" s="80">
        <v>1.38525073746313</v>
      </c>
      <c r="IG13" s="80"/>
      <c r="IH13" s="80"/>
      <c r="IJ13" s="80">
        <v>0.27101316185103203</v>
      </c>
      <c r="IK13" s="80"/>
      <c r="IL13" s="80">
        <v>1.6387038625453401</v>
      </c>
      <c r="IM13" s="80">
        <v>1.0051603619812099</v>
      </c>
      <c r="IN13" s="80">
        <v>0.68329406944586701</v>
      </c>
      <c r="IO13" s="80">
        <v>1.4973399227051301</v>
      </c>
      <c r="IP13" s="80"/>
      <c r="IQ13" s="80"/>
      <c r="IR13" s="80"/>
      <c r="IS13" s="80">
        <v>0.13837090905173</v>
      </c>
      <c r="IT13" s="80"/>
      <c r="IU13" s="80"/>
      <c r="IV13" s="80">
        <v>1.00150448548878</v>
      </c>
      <c r="IW13" s="80">
        <v>0.24664815703148099</v>
      </c>
      <c r="IX13" s="80">
        <v>0.26142355870072298</v>
      </c>
      <c r="IY13" s="80"/>
      <c r="IZ13" s="80"/>
      <c r="JC13" s="50" t="s">
        <v>659</v>
      </c>
    </row>
    <row r="14" spans="1:265">
      <c r="B14" s="73" t="s">
        <v>660</v>
      </c>
      <c r="C14" s="50">
        <f t="shared" ref="C14:C19" si="1">+C13+1</f>
        <v>3</v>
      </c>
      <c r="D14" s="50" t="s">
        <v>661</v>
      </c>
      <c r="E14" s="81">
        <v>179.08</v>
      </c>
      <c r="F14" s="84">
        <v>165268.91022136001</v>
      </c>
      <c r="G14" s="84">
        <v>163270.91022136001</v>
      </c>
      <c r="H14" s="84">
        <v>-1998</v>
      </c>
      <c r="I14" s="84">
        <v>13333</v>
      </c>
      <c r="J14" s="75">
        <v>0.94037705660401205</v>
      </c>
      <c r="K14" s="74">
        <v>16.578893976922</v>
      </c>
      <c r="L14" s="75">
        <f t="shared" si="0"/>
        <v>0.94995747394227203</v>
      </c>
      <c r="N14" s="76">
        <v>44561</v>
      </c>
      <c r="O14" s="76">
        <v>44561</v>
      </c>
      <c r="P14" s="77"/>
      <c r="Q14" s="78">
        <v>15784</v>
      </c>
      <c r="R14" s="79">
        <v>14383</v>
      </c>
      <c r="S14" s="79">
        <v>14461</v>
      </c>
      <c r="T14" s="79">
        <v>18344</v>
      </c>
      <c r="U14" s="79">
        <v>18344</v>
      </c>
      <c r="V14" s="79">
        <v>20090.642905000001</v>
      </c>
      <c r="W14" s="79">
        <v>19896.78441</v>
      </c>
      <c r="X14" s="79">
        <v>20672.218390000002</v>
      </c>
      <c r="Y14" s="79"/>
      <c r="Z14" s="78">
        <v>15784</v>
      </c>
      <c r="AA14" s="79">
        <v>14383</v>
      </c>
      <c r="AB14" s="79">
        <v>14461</v>
      </c>
      <c r="AC14" s="79">
        <v>18344</v>
      </c>
      <c r="AD14" s="79">
        <v>18344</v>
      </c>
      <c r="AE14" s="79">
        <v>19954.204440000001</v>
      </c>
      <c r="AF14" s="79">
        <v>20637.04695</v>
      </c>
      <c r="AG14" s="79">
        <v>19715.014999999999</v>
      </c>
      <c r="AI14" s="79">
        <v>10277</v>
      </c>
      <c r="AJ14" s="79">
        <v>9164</v>
      </c>
      <c r="AK14" s="79">
        <v>9269</v>
      </c>
      <c r="AL14" s="79">
        <v>12376</v>
      </c>
      <c r="AM14" s="79">
        <v>12376</v>
      </c>
      <c r="AN14" s="79">
        <v>13640.318214999999</v>
      </c>
      <c r="AO14" s="79">
        <v>13570.047619999999</v>
      </c>
      <c r="AP14" s="79">
        <v>13851.13</v>
      </c>
      <c r="AQ14" s="79"/>
      <c r="AR14" s="79">
        <v>10277</v>
      </c>
      <c r="AS14" s="79">
        <v>9164</v>
      </c>
      <c r="AT14" s="79">
        <v>9269</v>
      </c>
      <c r="AU14" s="79">
        <v>12376</v>
      </c>
      <c r="AV14" s="79">
        <v>12376</v>
      </c>
      <c r="AW14" s="79">
        <v>13620.9</v>
      </c>
      <c r="AX14" s="79">
        <v>13735.35715</v>
      </c>
      <c r="AY14" s="79">
        <v>14246</v>
      </c>
      <c r="AZ14" s="78"/>
      <c r="BA14" s="79">
        <v>7670</v>
      </c>
      <c r="BB14" s="79">
        <v>6737</v>
      </c>
      <c r="BC14" s="79">
        <v>6910</v>
      </c>
      <c r="BD14" s="502">
        <v>9968</v>
      </c>
      <c r="BE14" s="502">
        <v>9968</v>
      </c>
      <c r="BF14" s="502">
        <v>11199.7567325</v>
      </c>
      <c r="BG14" s="502">
        <v>11119.45392</v>
      </c>
      <c r="BH14" s="502">
        <v>11440.66517</v>
      </c>
      <c r="BI14" s="79"/>
      <c r="BJ14" s="79">
        <v>7670</v>
      </c>
      <c r="BK14" s="79">
        <v>6737</v>
      </c>
      <c r="BL14" s="79">
        <v>6910</v>
      </c>
      <c r="BM14" s="79">
        <v>9968</v>
      </c>
      <c r="BN14" s="79">
        <v>9968</v>
      </c>
      <c r="BO14" s="79">
        <v>11054.165000000001</v>
      </c>
      <c r="BP14" s="79">
        <v>11170.95167</v>
      </c>
      <c r="BQ14" s="79">
        <v>11111.62</v>
      </c>
      <c r="BR14" s="79"/>
      <c r="BS14" s="77"/>
      <c r="BT14" s="82">
        <v>5.7118443822999998</v>
      </c>
      <c r="BU14" s="82">
        <v>8.3426092668000003</v>
      </c>
      <c r="BV14" s="82">
        <v>10.4504250494</v>
      </c>
      <c r="BW14" s="82">
        <v>9.3844461403999997</v>
      </c>
      <c r="BX14" s="82">
        <v>8.9005075349629408</v>
      </c>
      <c r="BY14" s="467">
        <v>8.1267140625314003</v>
      </c>
      <c r="BZ14" s="82">
        <v>8.2058943222655198</v>
      </c>
      <c r="CA14" s="82">
        <v>7.8980836570660902</v>
      </c>
      <c r="CB14" s="77"/>
      <c r="CC14" s="77">
        <v>5.7118443822858698</v>
      </c>
      <c r="CD14" s="77">
        <v>8.3426092668358507</v>
      </c>
      <c r="CE14" s="77">
        <v>10.4504250494087</v>
      </c>
      <c r="CF14" s="77">
        <v>9.3844461404273893</v>
      </c>
      <c r="CG14" s="77">
        <v>8.9005075349629408</v>
      </c>
      <c r="CH14" s="77">
        <v>8.2058943222655198</v>
      </c>
      <c r="CI14" s="77">
        <v>7.8980836570660902</v>
      </c>
      <c r="CJ14" s="77">
        <v>7.5880411248585196</v>
      </c>
      <c r="CL14" s="77">
        <v>8.7725748496643092</v>
      </c>
      <c r="CM14" s="77">
        <v>13.093818101800499</v>
      </c>
      <c r="CN14" s="77">
        <v>16.304196422429602</v>
      </c>
      <c r="CO14" s="77">
        <v>13.909848093083401</v>
      </c>
      <c r="CP14" s="77">
        <v>14.1001355843508</v>
      </c>
      <c r="CQ14" s="77">
        <v>11.969728832412001</v>
      </c>
      <c r="CR14" s="77">
        <v>12.031712400237</v>
      </c>
      <c r="CS14" s="77">
        <v>11.787551645342999</v>
      </c>
      <c r="CT14" s="77"/>
      <c r="CU14" s="77">
        <v>8.7725748496643092</v>
      </c>
      <c r="CV14" s="77">
        <v>13.093818101800499</v>
      </c>
      <c r="CW14" s="77">
        <v>16.304196422429602</v>
      </c>
      <c r="CX14" s="77">
        <v>13.909848093083401</v>
      </c>
      <c r="CY14" s="77">
        <v>14.1001355843508</v>
      </c>
      <c r="CZ14" s="77">
        <v>11.986793106282301</v>
      </c>
      <c r="DA14" s="77">
        <v>11.886906793782201</v>
      </c>
      <c r="DB14" s="77">
        <v>11.4608248084627</v>
      </c>
      <c r="DD14" s="77">
        <v>11.754335297300001</v>
      </c>
      <c r="DE14" s="77">
        <v>17.810857812799998</v>
      </c>
      <c r="DF14" s="77">
        <v>21.870274477500001</v>
      </c>
      <c r="DG14" s="77">
        <v>17.2700922953</v>
      </c>
      <c r="DH14" s="77">
        <v>16.379505439542498</v>
      </c>
      <c r="DI14" s="466">
        <v>14.578076481569701</v>
      </c>
      <c r="DJ14" s="77">
        <v>14.683356880295401</v>
      </c>
      <c r="DK14" s="77">
        <v>14.271102929355299</v>
      </c>
      <c r="DL14" s="77"/>
      <c r="DM14" s="77">
        <v>11.7543352972621</v>
      </c>
      <c r="DN14" s="77">
        <v>17.8108578128099</v>
      </c>
      <c r="DO14" s="77">
        <v>21.870274477496402</v>
      </c>
      <c r="DP14" s="77">
        <v>17.270092295345101</v>
      </c>
      <c r="DQ14" s="77">
        <v>16.379505439542498</v>
      </c>
      <c r="DR14" s="77">
        <v>14.683356880295401</v>
      </c>
      <c r="DS14" s="77">
        <v>14.271102929355299</v>
      </c>
      <c r="DT14" s="77">
        <v>14.0707860285208</v>
      </c>
      <c r="DV14" s="77">
        <v>13.4240249747</v>
      </c>
      <c r="DW14" s="77">
        <v>21.099305272500001</v>
      </c>
      <c r="DX14" s="77">
        <v>25.536261682900001</v>
      </c>
      <c r="DY14" s="77">
        <v>19.097878855099999</v>
      </c>
      <c r="DZ14" s="77">
        <v>18.1130364123985</v>
      </c>
      <c r="EA14" s="77">
        <v>16.267451883801598</v>
      </c>
      <c r="EB14" s="77">
        <v>16.3540677437502</v>
      </c>
      <c r="EC14" s="77">
        <v>16.0130231161132</v>
      </c>
      <c r="ED14" s="77"/>
      <c r="EE14" s="77">
        <v>13.424024974687301</v>
      </c>
      <c r="EF14" s="77">
        <v>21.099305272533901</v>
      </c>
      <c r="EG14" s="77">
        <v>25.5362616829165</v>
      </c>
      <c r="EH14" s="77">
        <v>19.097878855114299</v>
      </c>
      <c r="EI14" s="77">
        <v>18.1130364123985</v>
      </c>
      <c r="EJ14" s="77">
        <v>16.3540677437502</v>
      </c>
      <c r="EK14" s="77">
        <v>16.0130231161132</v>
      </c>
      <c r="EL14" s="77">
        <v>16.085022024610101</v>
      </c>
      <c r="EN14" s="77">
        <v>17.028591816500001</v>
      </c>
      <c r="EO14" s="77">
        <v>24.496100940200002</v>
      </c>
      <c r="EP14" s="77">
        <v>27.502366849000001</v>
      </c>
      <c r="EQ14" s="77">
        <v>22.803498141599999</v>
      </c>
      <c r="ER14" s="77">
        <v>21.6679270395354</v>
      </c>
      <c r="ES14" s="77">
        <v>19.535987568007901</v>
      </c>
      <c r="ET14" s="77">
        <v>19.681781163827601</v>
      </c>
      <c r="EU14" s="77">
        <v>19.1112847077707</v>
      </c>
      <c r="EV14" s="77"/>
      <c r="EW14" s="77">
        <v>32.275913279660301</v>
      </c>
      <c r="EX14" s="77">
        <v>34.187773117505699</v>
      </c>
      <c r="EY14" s="77">
        <v>29.996097224339302</v>
      </c>
      <c r="EZ14" s="77">
        <v>21.6679270395354</v>
      </c>
      <c r="FA14" s="77">
        <v>21.6679270395354</v>
      </c>
      <c r="FB14" s="77">
        <v>19.584062850974998</v>
      </c>
      <c r="FC14" s="77">
        <v>19.052867771523101</v>
      </c>
      <c r="FD14" s="77">
        <v>21.155345540460701</v>
      </c>
      <c r="FE14" s="77"/>
      <c r="FF14" s="77"/>
      <c r="FG14" s="80">
        <v>0.65110239999999997</v>
      </c>
      <c r="FH14" s="80">
        <v>0.63714110000000002</v>
      </c>
      <c r="FI14" s="80">
        <v>0.64096540000000002</v>
      </c>
      <c r="FJ14" s="80">
        <v>0.67466199999999998</v>
      </c>
      <c r="FK14" s="80">
        <v>0.6740334</v>
      </c>
      <c r="FL14" s="80">
        <v>0.67910999999999999</v>
      </c>
      <c r="FM14" s="80">
        <v>0.68292580000000003</v>
      </c>
      <c r="FN14" s="80">
        <v>0.66766259999999999</v>
      </c>
      <c r="FO14" s="77"/>
      <c r="FP14" s="80">
        <v>0.65110238215914795</v>
      </c>
      <c r="FQ14" s="80">
        <v>0.63714106931794501</v>
      </c>
      <c r="FR14" s="80">
        <v>0.640965355093009</v>
      </c>
      <c r="FS14" s="80">
        <v>0.67466201482773702</v>
      </c>
      <c r="FT14" s="80">
        <v>0.6740334</v>
      </c>
      <c r="FU14" s="80">
        <v>0.68260802082871697</v>
      </c>
      <c r="FV14" s="80">
        <v>0.66556795569048199</v>
      </c>
      <c r="FW14" s="80">
        <v>0.722596457573073</v>
      </c>
      <c r="FY14" s="80">
        <v>0.48593512418000001</v>
      </c>
      <c r="FZ14" s="80">
        <v>0.46840019466999999</v>
      </c>
      <c r="GA14" s="80">
        <v>0.477836940737</v>
      </c>
      <c r="GB14" s="80">
        <v>0.54339293501999997</v>
      </c>
      <c r="GC14" s="80">
        <v>0.54239834380649998</v>
      </c>
      <c r="GD14" s="80">
        <v>0.55746134085697596</v>
      </c>
      <c r="GE14" s="80">
        <v>0.55885683288659604</v>
      </c>
      <c r="GF14" s="80">
        <v>0.55343190334784398</v>
      </c>
      <c r="GG14" s="77"/>
      <c r="GH14" s="80">
        <v>0.48593512417638102</v>
      </c>
      <c r="GI14" s="80">
        <v>0.46840019467426802</v>
      </c>
      <c r="GJ14" s="80">
        <v>0.47783694073715499</v>
      </c>
      <c r="GK14" s="80">
        <v>0.54339293501962505</v>
      </c>
      <c r="GL14" s="80">
        <v>0.54239834380649998</v>
      </c>
      <c r="GM14" s="80">
        <v>0.55397673373742395</v>
      </c>
      <c r="GN14" s="80">
        <v>0.54130572542986799</v>
      </c>
      <c r="GO14" s="80">
        <v>0.56361204898905704</v>
      </c>
      <c r="GQ14" s="80">
        <v>0.34807399999999999</v>
      </c>
      <c r="GR14" s="80">
        <v>0.3466593</v>
      </c>
      <c r="GS14" s="80">
        <v>0.38503559999999998</v>
      </c>
      <c r="GT14" s="80">
        <v>0.42171829999999999</v>
      </c>
      <c r="GU14" s="80">
        <v>0.42123719999999998</v>
      </c>
      <c r="GV14" s="80">
        <v>0.42918370286966201</v>
      </c>
      <c r="GW14" s="80">
        <v>0.43082457563804899</v>
      </c>
      <c r="GX14" s="80">
        <v>0.424445736517783</v>
      </c>
      <c r="GY14" s="77"/>
      <c r="GZ14" s="80">
        <v>0.35073492143943202</v>
      </c>
      <c r="HA14" s="80">
        <v>0.348814572759508</v>
      </c>
      <c r="HB14" s="80">
        <v>0.38690270382407899</v>
      </c>
      <c r="HC14" s="80">
        <v>0.423517226341038</v>
      </c>
      <c r="HD14" s="80">
        <v>0.42123719999999998</v>
      </c>
      <c r="HE14" s="80">
        <v>0.43096832178191302</v>
      </c>
      <c r="HF14" s="80">
        <v>0.423398877328231</v>
      </c>
      <c r="HG14" s="80">
        <v>0.40019751443252799</v>
      </c>
      <c r="HI14" s="80">
        <v>2.5098591350703001E-2</v>
      </c>
      <c r="HJ14" s="80">
        <v>5.9071094535106998E-2</v>
      </c>
      <c r="HK14" s="80">
        <v>5.2284939396813002E-2</v>
      </c>
      <c r="HL14" s="80">
        <v>5.1378253286574999E-2</v>
      </c>
      <c r="HM14" s="80">
        <v>0.26851531705967802</v>
      </c>
      <c r="HN14" s="80">
        <v>0.26851531705967802</v>
      </c>
      <c r="HO14" s="80"/>
      <c r="HP14" s="80"/>
      <c r="HR14" s="80">
        <v>4.669913187112E-2</v>
      </c>
      <c r="HS14" s="80">
        <v>8.5257870024578006E-2</v>
      </c>
      <c r="HT14" s="80">
        <v>6.5170293043045002E-2</v>
      </c>
      <c r="HU14" s="80">
        <v>6.3909404920151E-2</v>
      </c>
      <c r="HV14" s="80">
        <v>0.33520336605890599</v>
      </c>
      <c r="HW14" s="80">
        <v>0.33520336605890599</v>
      </c>
      <c r="HX14" s="80"/>
      <c r="HY14" s="80"/>
      <c r="HZ14" s="80"/>
      <c r="IA14" s="80">
        <v>5.6298672858238002E-2</v>
      </c>
      <c r="IB14" s="80">
        <v>0.107838254607058</v>
      </c>
      <c r="IC14" s="80">
        <v>9.2467492094396003E-2</v>
      </c>
      <c r="ID14" s="80">
        <v>9.1283415368990997E-2</v>
      </c>
      <c r="IE14" s="80">
        <v>0.44254703328509398</v>
      </c>
      <c r="IF14" s="80">
        <v>0.44254703328509398</v>
      </c>
      <c r="IG14" s="80"/>
      <c r="IH14" s="80"/>
      <c r="IJ14" s="80">
        <v>6.4207200194198996E-2</v>
      </c>
      <c r="IK14" s="80">
        <v>0.13310020714978699</v>
      </c>
      <c r="IL14" s="80">
        <v>0.102817822228738</v>
      </c>
      <c r="IM14" s="80">
        <v>0.103068007281694</v>
      </c>
      <c r="IN14" s="80">
        <v>0.26851531705967802</v>
      </c>
      <c r="IO14" s="80">
        <v>0.25897516383826902</v>
      </c>
      <c r="IP14" s="80"/>
      <c r="IQ14" s="80"/>
      <c r="IR14" s="80"/>
      <c r="IS14" s="80">
        <v>0.109695238397246</v>
      </c>
      <c r="IT14" s="80">
        <v>0.19580152217730701</v>
      </c>
      <c r="IU14" s="80">
        <v>0.22572645677478501</v>
      </c>
      <c r="IV14" s="80">
        <v>0.14205510239285499</v>
      </c>
      <c r="IW14" s="80">
        <v>0.384914165067822</v>
      </c>
      <c r="IX14" s="80">
        <v>0.38435472713233099</v>
      </c>
      <c r="IY14" s="80"/>
      <c r="IZ14" s="80"/>
      <c r="JC14" s="50" t="s">
        <v>662</v>
      </c>
      <c r="JE14" s="83"/>
    </row>
    <row r="15" spans="1:265">
      <c r="B15" s="73" t="s">
        <v>663</v>
      </c>
      <c r="C15" s="50">
        <f t="shared" si="1"/>
        <v>4</v>
      </c>
      <c r="D15" s="50" t="s">
        <v>664</v>
      </c>
      <c r="E15" s="81">
        <v>152.87</v>
      </c>
      <c r="F15" s="84">
        <v>172284.49</v>
      </c>
      <c r="G15" s="84">
        <v>176724.49</v>
      </c>
      <c r="H15" s="84">
        <v>3331</v>
      </c>
      <c r="I15" s="84">
        <v>9950</v>
      </c>
      <c r="J15" s="75">
        <v>1.2501617888962899</v>
      </c>
      <c r="K15" s="74">
        <v>21.199000000000002</v>
      </c>
      <c r="L15" s="75">
        <f t="shared" si="0"/>
        <v>1.2314006346964879</v>
      </c>
      <c r="N15" s="76">
        <v>44465</v>
      </c>
      <c r="O15" s="76">
        <v>44556</v>
      </c>
      <c r="P15" s="77"/>
      <c r="Q15" s="78">
        <v>22611</v>
      </c>
      <c r="R15" s="79">
        <v>19573</v>
      </c>
      <c r="S15" s="79">
        <v>21731</v>
      </c>
      <c r="T15" s="79">
        <v>33566</v>
      </c>
      <c r="U15" s="79">
        <v>36036</v>
      </c>
      <c r="V15" s="79">
        <v>43974.02463</v>
      </c>
      <c r="W15" s="79">
        <v>42350.278839999999</v>
      </c>
      <c r="X15" s="79">
        <v>45597.770420000001</v>
      </c>
      <c r="Y15" s="79"/>
      <c r="Z15" s="78">
        <v>21417</v>
      </c>
      <c r="AA15" s="79">
        <v>19808</v>
      </c>
      <c r="AB15" s="79">
        <v>26690</v>
      </c>
      <c r="AC15" s="79">
        <v>36036</v>
      </c>
      <c r="AD15" s="79">
        <v>36036</v>
      </c>
      <c r="AE15" s="79">
        <v>43731.553050000002</v>
      </c>
      <c r="AF15" s="79">
        <v>46129.495609999998</v>
      </c>
      <c r="AG15" s="79"/>
      <c r="AI15" s="79">
        <v>12367</v>
      </c>
      <c r="AJ15" s="79">
        <v>10974</v>
      </c>
      <c r="AK15" s="79">
        <v>12476</v>
      </c>
      <c r="AL15" s="79">
        <v>19304</v>
      </c>
      <c r="AM15" s="79">
        <v>20960</v>
      </c>
      <c r="AN15" s="79">
        <v>25987.372380000001</v>
      </c>
      <c r="AO15" s="79">
        <v>25011.665239999998</v>
      </c>
      <c r="AP15" s="79">
        <v>26963.079519999999</v>
      </c>
      <c r="AQ15" s="79"/>
      <c r="AR15" s="79">
        <v>11981</v>
      </c>
      <c r="AS15" s="79">
        <v>11479</v>
      </c>
      <c r="AT15" s="79">
        <v>16058</v>
      </c>
      <c r="AU15" s="79">
        <v>20960</v>
      </c>
      <c r="AV15" s="79">
        <v>20960</v>
      </c>
      <c r="AW15" s="79">
        <v>25990.252079999998</v>
      </c>
      <c r="AX15" s="79">
        <v>27126.951499999999</v>
      </c>
      <c r="AY15" s="79"/>
      <c r="AZ15" s="78"/>
      <c r="BA15" s="79">
        <v>5335</v>
      </c>
      <c r="BB15" s="79">
        <v>4782</v>
      </c>
      <c r="BC15" s="79">
        <v>5820</v>
      </c>
      <c r="BD15" s="502">
        <v>11371</v>
      </c>
      <c r="BE15" s="502">
        <v>11371</v>
      </c>
      <c r="BF15" s="502">
        <v>17856.208350000001</v>
      </c>
      <c r="BG15" s="502">
        <v>17462.178</v>
      </c>
      <c r="BH15" s="502">
        <v>18250.238700000002</v>
      </c>
      <c r="BI15" s="79"/>
      <c r="BJ15" s="79">
        <v>4241</v>
      </c>
      <c r="BK15" s="79">
        <v>5164</v>
      </c>
      <c r="BL15" s="79">
        <v>9129</v>
      </c>
      <c r="BM15" s="79">
        <v>12751</v>
      </c>
      <c r="BN15" s="79">
        <v>11371</v>
      </c>
      <c r="BO15" s="79">
        <v>17912.492330000001</v>
      </c>
      <c r="BP15" s="79">
        <v>17905.236000000001</v>
      </c>
      <c r="BQ15" s="79"/>
      <c r="BR15" s="79"/>
      <c r="BS15" s="77"/>
      <c r="BT15" s="82">
        <v>4.0740157440000004</v>
      </c>
      <c r="BU15" s="82">
        <v>4.6718617480000004</v>
      </c>
      <c r="BV15" s="82">
        <v>6.1728176338000003</v>
      </c>
      <c r="BW15" s="82">
        <v>4.5863671571999998</v>
      </c>
      <c r="BX15" s="82">
        <v>4.9041095016095104</v>
      </c>
      <c r="BY15" s="467">
        <v>4.0188382002095704</v>
      </c>
      <c r="BZ15" s="82">
        <v>4.17292388245348</v>
      </c>
      <c r="CA15" s="82">
        <v>3.8757265623339698</v>
      </c>
      <c r="CB15" s="77"/>
      <c r="CC15" s="77">
        <v>4.2932607274594998</v>
      </c>
      <c r="CD15" s="77">
        <v>5.1553482178917598</v>
      </c>
      <c r="CE15" s="77">
        <v>5.2114134507306096</v>
      </c>
      <c r="CF15" s="77"/>
      <c r="CG15" s="77">
        <v>4.9041095016095104</v>
      </c>
      <c r="CH15" s="77">
        <v>4.0944318783045102</v>
      </c>
      <c r="CI15" s="77">
        <v>3.82730115790616</v>
      </c>
      <c r="CJ15" s="77"/>
      <c r="CL15" s="77">
        <v>7.44865933532789</v>
      </c>
      <c r="CM15" s="77">
        <v>8.3326362310916693</v>
      </c>
      <c r="CN15" s="77">
        <v>10.7519637704393</v>
      </c>
      <c r="CO15" s="77">
        <v>7.97482387070038</v>
      </c>
      <c r="CP15" s="77">
        <v>8.0680511688931293</v>
      </c>
      <c r="CQ15" s="77">
        <v>6.8003985711155703</v>
      </c>
      <c r="CR15" s="77">
        <v>7.0656826846288103</v>
      </c>
      <c r="CS15" s="77">
        <v>6.5543140155379502</v>
      </c>
      <c r="CT15" s="77"/>
      <c r="CU15" s="77">
        <v>7.6745484517152196</v>
      </c>
      <c r="CV15" s="77">
        <v>8.8959959491244902</v>
      </c>
      <c r="CW15" s="77">
        <v>8.6618897122929397</v>
      </c>
      <c r="CX15" s="77"/>
      <c r="CY15" s="77">
        <v>8.0680511688931293</v>
      </c>
      <c r="CZ15" s="77">
        <v>6.7996450921687401</v>
      </c>
      <c r="DA15" s="77">
        <v>6.5147198718588202</v>
      </c>
      <c r="DB15" s="77"/>
      <c r="DD15" s="77">
        <v>17.266648546999999</v>
      </c>
      <c r="DE15" s="77">
        <v>19.122197825000001</v>
      </c>
      <c r="DF15" s="77">
        <v>23.0483676976</v>
      </c>
      <c r="DG15" s="77">
        <v>13.5384750682</v>
      </c>
      <c r="DH15" s="77">
        <v>13.8596572817818</v>
      </c>
      <c r="DI15" s="466">
        <v>9.8970893784401994</v>
      </c>
      <c r="DJ15" s="77">
        <v>10.120415105149</v>
      </c>
      <c r="DK15" s="77">
        <v>9.6834070449719807</v>
      </c>
      <c r="DL15" s="77"/>
      <c r="DM15" s="77">
        <v>21.680916057533601</v>
      </c>
      <c r="DN15" s="77">
        <v>19.7748136134779</v>
      </c>
      <c r="DO15" s="77">
        <v>15.2363484499945</v>
      </c>
      <c r="DP15" s="77"/>
      <c r="DQ15" s="77">
        <v>13.8596572817818</v>
      </c>
      <c r="DR15" s="77">
        <v>10.007506472616701</v>
      </c>
      <c r="DS15" s="77">
        <v>9.5217694043106</v>
      </c>
      <c r="DT15" s="77"/>
      <c r="DV15" s="77">
        <v>24.408471118000001</v>
      </c>
      <c r="DW15" s="77">
        <v>27.045947944000002</v>
      </c>
      <c r="DX15" s="77">
        <v>30.300768014500001</v>
      </c>
      <c r="DY15" s="77">
        <v>15.726427622799999</v>
      </c>
      <c r="DZ15" s="77">
        <v>15.882492136245199</v>
      </c>
      <c r="EA15" s="77">
        <v>10.622589041568601</v>
      </c>
      <c r="EB15" s="77">
        <v>10.9667630363446</v>
      </c>
      <c r="EC15" s="77">
        <v>10.2993603917015</v>
      </c>
      <c r="ED15" s="77"/>
      <c r="EE15" s="77">
        <v>34.181697026022299</v>
      </c>
      <c r="EF15" s="77">
        <v>27.122745683931001</v>
      </c>
      <c r="EG15" s="77">
        <v>18.010180629289099</v>
      </c>
      <c r="EH15" s="77"/>
      <c r="EI15" s="77">
        <v>15.882492136245199</v>
      </c>
      <c r="EJ15" s="77">
        <v>10.791932655592101</v>
      </c>
      <c r="EK15" s="77">
        <v>10.2302235441368</v>
      </c>
      <c r="EL15" s="77"/>
      <c r="EN15" s="77"/>
      <c r="EO15" s="77">
        <v>21.315241942</v>
      </c>
      <c r="EP15" s="77">
        <v>25.309852274499999</v>
      </c>
      <c r="EQ15" s="77">
        <v>17.0107441629</v>
      </c>
      <c r="ER15" s="77">
        <v>17.520013294443299</v>
      </c>
      <c r="ES15" s="77">
        <v>12.505506488555699</v>
      </c>
      <c r="ET15" s="77">
        <v>12.9111212836291</v>
      </c>
      <c r="EU15" s="77">
        <v>12.1246009557234</v>
      </c>
      <c r="EV15" s="77"/>
      <c r="EW15" s="77">
        <v>104.990247520672</v>
      </c>
      <c r="EX15" s="77">
        <v>43.583873368135002</v>
      </c>
      <c r="EY15" s="77">
        <v>26.108951542933699</v>
      </c>
      <c r="EZ15" s="77">
        <v>17.520013294443299</v>
      </c>
      <c r="FA15" s="77">
        <v>17.520013294443299</v>
      </c>
      <c r="FB15" s="77">
        <v>12.707693944663699</v>
      </c>
      <c r="FC15" s="77">
        <v>12.013378410025</v>
      </c>
      <c r="FD15" s="77"/>
      <c r="FE15" s="77"/>
      <c r="FF15" s="77"/>
      <c r="FG15" s="80">
        <v>0.54694620000000005</v>
      </c>
      <c r="FH15" s="80">
        <v>0.56067029999999995</v>
      </c>
      <c r="FI15" s="80">
        <v>0.57411069999999997</v>
      </c>
      <c r="FJ15" s="80">
        <v>0.5751058</v>
      </c>
      <c r="FK15" s="80">
        <v>0.580372675</v>
      </c>
      <c r="FL15" s="80">
        <v>0.58580460000000001</v>
      </c>
      <c r="FM15" s="80">
        <v>0.58730459999999995</v>
      </c>
      <c r="FN15" s="80">
        <v>0.58430459999999995</v>
      </c>
      <c r="FO15" s="77"/>
      <c r="FP15" s="80">
        <v>0.55941541765886904</v>
      </c>
      <c r="FQ15" s="80">
        <v>0.57951332794830401</v>
      </c>
      <c r="FR15" s="80">
        <v>0.60164855751217705</v>
      </c>
      <c r="FS15" s="80">
        <v>0.58164058164058197</v>
      </c>
      <c r="FT15" s="80">
        <v>0.580372675</v>
      </c>
      <c r="FU15" s="80">
        <v>0.59431349374407805</v>
      </c>
      <c r="FV15" s="80">
        <v>0.58806087387869399</v>
      </c>
      <c r="FW15" s="80"/>
      <c r="FY15" s="80">
        <v>0.23594710538999999</v>
      </c>
      <c r="FZ15" s="80">
        <v>0.24431614979999999</v>
      </c>
      <c r="GA15" s="80">
        <v>0.26782016474199999</v>
      </c>
      <c r="GB15" s="80">
        <v>0.338765417387</v>
      </c>
      <c r="GC15" s="80">
        <v>0.34992133535800002</v>
      </c>
      <c r="GD15" s="80">
        <v>0.40606263584566499</v>
      </c>
      <c r="GE15" s="80">
        <v>0.412327344194648</v>
      </c>
      <c r="GF15" s="80">
        <v>0.40024410254925802</v>
      </c>
      <c r="GG15" s="77"/>
      <c r="GH15" s="80">
        <v>0.198020264276042</v>
      </c>
      <c r="GI15" s="80">
        <v>0.26070274636510499</v>
      </c>
      <c r="GJ15" s="80">
        <v>0.34203821656050998</v>
      </c>
      <c r="GK15" s="80">
        <v>0.35384060384060401</v>
      </c>
      <c r="GL15" s="80">
        <v>0.34992133535800002</v>
      </c>
      <c r="GM15" s="80">
        <v>0.40960110219547802</v>
      </c>
      <c r="GN15" s="80">
        <v>0.388151566871208</v>
      </c>
      <c r="GO15" s="80"/>
      <c r="GQ15" s="80">
        <v>-0.19994690000000001</v>
      </c>
      <c r="GR15" s="80">
        <v>0.22408420000000001</v>
      </c>
      <c r="GS15" s="80">
        <v>0.23919750000000001</v>
      </c>
      <c r="GT15" s="80">
        <v>0.26940950000000002</v>
      </c>
      <c r="GU15" s="80">
        <v>0.27268957500000002</v>
      </c>
      <c r="GV15" s="80">
        <v>0.31593861141656399</v>
      </c>
      <c r="GW15" s="80">
        <v>0.31821102314139998</v>
      </c>
      <c r="GX15" s="80">
        <v>0.313828041770293</v>
      </c>
      <c r="GY15" s="77"/>
      <c r="GZ15" s="80">
        <v>9.1609469113321004E-2</v>
      </c>
      <c r="HA15" s="80">
        <v>0.214206381260097</v>
      </c>
      <c r="HB15" s="80">
        <v>0.25207943049831399</v>
      </c>
      <c r="HC15" s="80">
        <v>0.27711177711177698</v>
      </c>
      <c r="HD15" s="80">
        <v>0.27268957500000002</v>
      </c>
      <c r="HE15" s="80">
        <v>0.315434262858863</v>
      </c>
      <c r="HF15" s="80">
        <v>0.31386321871816403</v>
      </c>
      <c r="HG15" s="80"/>
      <c r="HI15" s="80">
        <v>0.108006071293892</v>
      </c>
      <c r="HJ15" s="80">
        <v>7.0411314136304998E-2</v>
      </c>
      <c r="HK15" s="80">
        <v>0.127566113286082</v>
      </c>
      <c r="HL15" s="80">
        <v>0.18939464958719901</v>
      </c>
      <c r="HM15" s="80">
        <v>0.54461368551838396</v>
      </c>
      <c r="HN15" s="80">
        <v>0.35016860247283599</v>
      </c>
      <c r="HO15" s="80"/>
      <c r="HP15" s="80"/>
      <c r="HR15" s="80">
        <v>9.112547527822E-2</v>
      </c>
      <c r="HS15" s="80">
        <v>6.4095745549171995E-2</v>
      </c>
      <c r="HT15" s="80">
        <v>0.13493553890160001</v>
      </c>
      <c r="HU15" s="80">
        <v>0.204941798687438</v>
      </c>
      <c r="HV15" s="80">
        <v>0.54729079833279903</v>
      </c>
      <c r="HW15" s="80">
        <v>0.30526840204259598</v>
      </c>
      <c r="HX15" s="80"/>
      <c r="HY15" s="80"/>
      <c r="HZ15" s="80"/>
      <c r="IA15" s="80">
        <v>9.2881314677757995E-2</v>
      </c>
      <c r="IB15" s="80">
        <v>0.104668902074915</v>
      </c>
      <c r="IC15" s="80">
        <v>0.21058224265934</v>
      </c>
      <c r="ID15" s="80">
        <v>0.443306799996386</v>
      </c>
      <c r="IE15" s="80">
        <v>0.95378006872852195</v>
      </c>
      <c r="IF15" s="80">
        <v>0.39675758571585101</v>
      </c>
      <c r="IG15" s="80"/>
      <c r="IH15" s="80"/>
      <c r="IJ15" s="80">
        <v>9.5130399758318995E-2</v>
      </c>
      <c r="IK15" s="80">
        <v>0.117089039614393</v>
      </c>
      <c r="IL15" s="80">
        <v>0.25805573962648198</v>
      </c>
      <c r="IM15" s="80">
        <v>0.60524725528476497</v>
      </c>
      <c r="IN15" s="80">
        <v>0.54461368551838396</v>
      </c>
      <c r="IO15" s="80">
        <v>0.71912142853719796</v>
      </c>
      <c r="IP15" s="80"/>
      <c r="IQ15" s="80"/>
      <c r="IR15" s="80"/>
      <c r="IS15" s="80">
        <v>0.12863010142086201</v>
      </c>
      <c r="IT15" s="80">
        <v>0.193355877335465</v>
      </c>
      <c r="IU15" s="80">
        <v>0.47987462077201598</v>
      </c>
      <c r="IV15" s="80">
        <v>0.81637218509861198</v>
      </c>
      <c r="IW15" s="80">
        <v>0.73970861618106398</v>
      </c>
      <c r="IX15" s="80">
        <v>0.490235829399428</v>
      </c>
      <c r="IY15" s="80"/>
      <c r="IZ15" s="80"/>
      <c r="JC15" s="50" t="s">
        <v>665</v>
      </c>
    </row>
    <row r="16" spans="1:265">
      <c r="B16" s="73" t="s">
        <v>666</v>
      </c>
      <c r="C16" s="50">
        <f t="shared" si="1"/>
        <v>5</v>
      </c>
      <c r="D16" s="50" t="s">
        <v>667</v>
      </c>
      <c r="E16" s="81">
        <v>20.667948942122798</v>
      </c>
      <c r="F16" s="84">
        <v>535927.77935576101</v>
      </c>
      <c r="G16" s="84">
        <v>520889.20918615197</v>
      </c>
      <c r="H16" s="84">
        <v>-15606.0394774826</v>
      </c>
      <c r="I16" s="84">
        <v>78243.596745092407</v>
      </c>
      <c r="J16" s="75">
        <v>1.2552183593767099</v>
      </c>
      <c r="K16" s="74">
        <v>11.41517</v>
      </c>
      <c r="L16" s="75">
        <f t="shared" si="0"/>
        <v>1.288454836782563</v>
      </c>
      <c r="N16" s="76">
        <v>44561</v>
      </c>
      <c r="O16" s="76">
        <v>44561</v>
      </c>
      <c r="P16" s="77"/>
      <c r="Q16" s="78">
        <v>33749.093904394198</v>
      </c>
      <c r="R16" s="79">
        <v>35774.698184492998</v>
      </c>
      <c r="S16" s="79">
        <v>47702.753731077501</v>
      </c>
      <c r="T16" s="79">
        <v>57282.586496824501</v>
      </c>
      <c r="U16" s="79">
        <v>56796.601891786398</v>
      </c>
      <c r="V16" s="79">
        <v>73401.1104149327</v>
      </c>
      <c r="W16" s="79">
        <v>70390.2075887393</v>
      </c>
      <c r="X16" s="79">
        <v>82433.8188935129</v>
      </c>
      <c r="Y16" s="79"/>
      <c r="Z16" s="78">
        <v>34222.042846196397</v>
      </c>
      <c r="AA16" s="79">
        <v>34924.679535704898</v>
      </c>
      <c r="AB16" s="79">
        <v>46025.910423715897</v>
      </c>
      <c r="AC16" s="79">
        <v>56796.601891786398</v>
      </c>
      <c r="AD16" s="79">
        <v>56796.601891786398</v>
      </c>
      <c r="AE16" s="79">
        <v>70421.6111376115</v>
      </c>
      <c r="AF16" s="79">
        <v>82876.211648549404</v>
      </c>
      <c r="AG16" s="79">
        <v>95556.674941197794</v>
      </c>
      <c r="AI16" s="79">
        <v>16293.755226908401</v>
      </c>
      <c r="AJ16" s="79">
        <v>16473.2522317697</v>
      </c>
      <c r="AK16" s="79">
        <v>25330.240498664301</v>
      </c>
      <c r="AL16" s="79">
        <v>29573.371319284099</v>
      </c>
      <c r="AM16" s="79">
        <v>29321.677289256899</v>
      </c>
      <c r="AN16" s="79">
        <v>39557.729731531501</v>
      </c>
      <c r="AO16" s="79">
        <v>38005.096191210003</v>
      </c>
      <c r="AP16" s="79">
        <v>44215.630352496097</v>
      </c>
      <c r="AQ16" s="79"/>
      <c r="AR16" s="79">
        <v>16530.4048319379</v>
      </c>
      <c r="AS16" s="79">
        <v>16095.0736910123</v>
      </c>
      <c r="AT16" s="79">
        <v>24449.722262919899</v>
      </c>
      <c r="AU16" s="79">
        <v>29321.677289256899</v>
      </c>
      <c r="AV16" s="79">
        <v>29321.677289256899</v>
      </c>
      <c r="AW16" s="79">
        <v>37992.003981439302</v>
      </c>
      <c r="AX16" s="79">
        <v>43849.038226189601</v>
      </c>
      <c r="AY16" s="79">
        <v>52798.6376070837</v>
      </c>
      <c r="AZ16" s="78"/>
      <c r="BA16" s="79">
        <v>22170.563688119601</v>
      </c>
      <c r="BB16" s="79">
        <v>22074.757163395599</v>
      </c>
      <c r="BC16" s="79">
        <v>32004.222546749799</v>
      </c>
      <c r="BD16" s="502">
        <v>38697.162456697501</v>
      </c>
      <c r="BE16" s="502">
        <v>38697.162456697501</v>
      </c>
      <c r="BF16" s="502">
        <v>49288.574617940198</v>
      </c>
      <c r="BG16" s="502">
        <v>46873.472809931802</v>
      </c>
      <c r="BH16" s="502">
        <v>56533.8800419654</v>
      </c>
      <c r="BI16" s="79"/>
      <c r="BJ16" s="79">
        <v>22443.4665521815</v>
      </c>
      <c r="BK16" s="79">
        <v>21516.409788558001</v>
      </c>
      <c r="BL16" s="79">
        <v>30912.9724159002</v>
      </c>
      <c r="BM16" s="79">
        <v>38363.228902322197</v>
      </c>
      <c r="BN16" s="79">
        <v>38697.162456697501</v>
      </c>
      <c r="BO16" s="79">
        <v>47447.835442932999</v>
      </c>
      <c r="BP16" s="79">
        <v>58428.357773378499</v>
      </c>
      <c r="BQ16" s="79">
        <v>68732.101439762206</v>
      </c>
      <c r="BR16" s="79"/>
      <c r="BS16" s="77"/>
      <c r="BT16" s="82">
        <v>5.1526898909999996</v>
      </c>
      <c r="BU16" s="82">
        <v>7.6470222010000004</v>
      </c>
      <c r="BV16" s="82">
        <v>9.9411950777999998</v>
      </c>
      <c r="BW16" s="82">
        <v>9.7751094856999998</v>
      </c>
      <c r="BX16" s="82">
        <v>9.38307033101262</v>
      </c>
      <c r="BY16" s="467">
        <v>7.09647587402414</v>
      </c>
      <c r="BZ16" s="82">
        <v>7.4000237679293503</v>
      </c>
      <c r="CA16" s="82">
        <v>6.3188775696420301</v>
      </c>
      <c r="CB16" s="77"/>
      <c r="CC16" s="77">
        <v>5.1526898910119199</v>
      </c>
      <c r="CD16" s="77">
        <v>7.6470222013711</v>
      </c>
      <c r="CE16" s="77">
        <v>9.9411950777752391</v>
      </c>
      <c r="CF16" s="77">
        <v>9.7751094857494305</v>
      </c>
      <c r="CG16" s="77">
        <v>9.38307033101262</v>
      </c>
      <c r="CH16" s="77">
        <v>7.4000237679293503</v>
      </c>
      <c r="CI16" s="77">
        <v>6.3188775696420301</v>
      </c>
      <c r="CJ16" s="77">
        <v>5.4060169289065101</v>
      </c>
      <c r="CL16" s="77">
        <v>10.6727155631256</v>
      </c>
      <c r="CM16" s="77">
        <v>16.606915708883001</v>
      </c>
      <c r="CN16" s="77">
        <v>18.721590133055301</v>
      </c>
      <c r="CO16" s="77">
        <v>18.934045381165099</v>
      </c>
      <c r="CP16" s="77">
        <v>18.338959699457298</v>
      </c>
      <c r="CQ16" s="77">
        <v>13.1678236521989</v>
      </c>
      <c r="CR16" s="77">
        <v>13.7057726828389</v>
      </c>
      <c r="CS16" s="77">
        <v>11.780657768158401</v>
      </c>
      <c r="CT16" s="77"/>
      <c r="CU16" s="77">
        <v>10.519924754413699</v>
      </c>
      <c r="CV16" s="77">
        <v>16.997120766022601</v>
      </c>
      <c r="CW16" s="77">
        <v>19.395818712710302</v>
      </c>
      <c r="CX16" s="77">
        <v>19.096573129482199</v>
      </c>
      <c r="CY16" s="77">
        <v>18.338959699457298</v>
      </c>
      <c r="CZ16" s="77">
        <v>13.710495751701499</v>
      </c>
      <c r="DA16" s="77">
        <v>11.879147873191901</v>
      </c>
      <c r="DB16" s="77">
        <v>9.8655804921047103</v>
      </c>
      <c r="DD16" s="77">
        <v>7.8436713400000002</v>
      </c>
      <c r="DE16" s="77">
        <v>12.39288429</v>
      </c>
      <c r="DF16" s="77">
        <v>14.817494157100001</v>
      </c>
      <c r="DG16" s="77">
        <v>14.4698866554</v>
      </c>
      <c r="DH16" s="77">
        <v>13.889559433291</v>
      </c>
      <c r="DI16" s="466">
        <v>10.5681532327485</v>
      </c>
      <c r="DJ16" s="77">
        <v>11.112665180544999</v>
      </c>
      <c r="DK16" s="77">
        <v>9.2137530415300102</v>
      </c>
      <c r="DL16" s="77"/>
      <c r="DM16" s="77">
        <v>7.7482956827398501</v>
      </c>
      <c r="DN16" s="77">
        <v>12.7144776453202</v>
      </c>
      <c r="DO16" s="77">
        <v>15.340562344104899</v>
      </c>
      <c r="DP16" s="77">
        <v>14.5958400962302</v>
      </c>
      <c r="DQ16" s="77">
        <v>13.889559433291</v>
      </c>
      <c r="DR16" s="77">
        <v>11.112665180544999</v>
      </c>
      <c r="DS16" s="77">
        <v>9.2137530415300102</v>
      </c>
      <c r="DT16" s="77">
        <v>7.5785433338258397</v>
      </c>
      <c r="DV16" s="77">
        <v>13.802952825</v>
      </c>
      <c r="DW16" s="77">
        <v>21.915654710999998</v>
      </c>
      <c r="DX16" s="77">
        <v>23.489657078299999</v>
      </c>
      <c r="DY16" s="77">
        <v>23.873248979500001</v>
      </c>
      <c r="DZ16" s="77">
        <v>22.915791841614698</v>
      </c>
      <c r="EA16" s="77">
        <v>16.435406888118901</v>
      </c>
      <c r="EB16" s="77">
        <v>17.077847868033899</v>
      </c>
      <c r="EC16" s="77">
        <v>14.768684865997001</v>
      </c>
      <c r="ED16" s="77"/>
      <c r="EE16" s="77">
        <v>13.6551891093722</v>
      </c>
      <c r="EF16" s="77">
        <v>22.481079423271598</v>
      </c>
      <c r="EG16" s="77">
        <v>24.334173891147799</v>
      </c>
      <c r="EH16" s="77">
        <v>24.078203904400301</v>
      </c>
      <c r="EI16" s="77">
        <v>22.915791841614698</v>
      </c>
      <c r="EJ16" s="77">
        <v>17.077847868033899</v>
      </c>
      <c r="EK16" s="77">
        <v>14.768684865997001</v>
      </c>
      <c r="EL16" s="77">
        <v>12.3625153858878</v>
      </c>
      <c r="EN16" s="77">
        <v>16.652770896</v>
      </c>
      <c r="EO16" s="77">
        <v>24.859125364000001</v>
      </c>
      <c r="EP16" s="77">
        <v>26.536952706600001</v>
      </c>
      <c r="EQ16" s="77">
        <v>26.732795924400001</v>
      </c>
      <c r="ER16" s="77">
        <v>25.689553697252698</v>
      </c>
      <c r="ES16" s="77">
        <v>18.7357787593015</v>
      </c>
      <c r="ET16" s="77">
        <v>19.419070776105698</v>
      </c>
      <c r="EU16" s="77">
        <v>16.9468682703585</v>
      </c>
      <c r="EV16" s="77"/>
      <c r="EW16" s="77">
        <v>45.970839243627204</v>
      </c>
      <c r="EX16" s="77">
        <v>47.497434376653999</v>
      </c>
      <c r="EY16" s="77">
        <v>30.098902113066298</v>
      </c>
      <c r="EZ16" s="77">
        <v>25.111507934233199</v>
      </c>
      <c r="FA16" s="77">
        <v>25.689553697252698</v>
      </c>
      <c r="FB16" s="77">
        <v>19.410524379750001</v>
      </c>
      <c r="FC16" s="77">
        <v>16.7879990496291</v>
      </c>
      <c r="FD16" s="77">
        <v>14.7078090517543</v>
      </c>
      <c r="FE16" s="77"/>
      <c r="FF16" s="77"/>
      <c r="FG16" s="80">
        <v>0.48279090000000002</v>
      </c>
      <c r="FH16" s="80">
        <v>0.4604722</v>
      </c>
      <c r="FI16" s="80">
        <v>0.53100159999999996</v>
      </c>
      <c r="FJ16" s="80">
        <v>0.51627160000000005</v>
      </c>
      <c r="FK16" s="80">
        <v>0.51595380000000002</v>
      </c>
      <c r="FL16" s="80">
        <v>0.53700990000000004</v>
      </c>
      <c r="FM16" s="80">
        <v>0.53832210000000003</v>
      </c>
      <c r="FN16" s="80">
        <v>0.53307329999999997</v>
      </c>
      <c r="FO16" s="77"/>
      <c r="FP16" s="80">
        <v>0.48303384184954301</v>
      </c>
      <c r="FQ16" s="80">
        <v>0.460851005792555</v>
      </c>
      <c r="FR16" s="80">
        <v>0.53121648301652302</v>
      </c>
      <c r="FS16" s="80">
        <v>0.51625759838806995</v>
      </c>
      <c r="FT16" s="80">
        <v>0.51595380000000002</v>
      </c>
      <c r="FU16" s="80">
        <v>0.53873886733891196</v>
      </c>
      <c r="FV16" s="80">
        <v>0.52909076505739505</v>
      </c>
      <c r="FW16" s="80">
        <v>0.55547654435882399</v>
      </c>
      <c r="FY16" s="80">
        <v>0.65692322735999997</v>
      </c>
      <c r="FZ16" s="80">
        <v>0.61704943111999999</v>
      </c>
      <c r="GA16" s="80">
        <v>0.670909330039</v>
      </c>
      <c r="GB16" s="80">
        <v>0.67554844889599996</v>
      </c>
      <c r="GC16" s="80">
        <v>0.67610674433700002</v>
      </c>
      <c r="GD16" s="80">
        <v>0.67149630760780599</v>
      </c>
      <c r="GE16" s="80">
        <v>0.66590900091947502</v>
      </c>
      <c r="GF16" s="80">
        <v>0.68580930497706605</v>
      </c>
      <c r="GG16" s="77"/>
      <c r="GH16" s="80">
        <v>0.65553772213668104</v>
      </c>
      <c r="GI16" s="80">
        <v>0.61616160129310504</v>
      </c>
      <c r="GJ16" s="80">
        <v>0.67090933003936004</v>
      </c>
      <c r="GK16" s="80">
        <v>0.67554844889629195</v>
      </c>
      <c r="GL16" s="80">
        <v>0.67610674433700002</v>
      </c>
      <c r="GM16" s="80">
        <v>0.66280588028045295</v>
      </c>
      <c r="GN16" s="80">
        <v>0.70500758433739397</v>
      </c>
      <c r="GO16" s="80">
        <v>0.74426779134661303</v>
      </c>
      <c r="GQ16" s="80">
        <v>0.34041680000000002</v>
      </c>
      <c r="GR16" s="80">
        <v>0.32268069999999999</v>
      </c>
      <c r="GS16" s="80">
        <v>0.3866967</v>
      </c>
      <c r="GT16" s="80">
        <v>0.3757933</v>
      </c>
      <c r="GU16" s="80">
        <v>0.37566867500000001</v>
      </c>
      <c r="GV16" s="80">
        <v>0.38826910192740099</v>
      </c>
      <c r="GW16" s="80">
        <v>0.39067642381164502</v>
      </c>
      <c r="GX16" s="80">
        <v>0.38210226811673897</v>
      </c>
      <c r="GY16" s="77"/>
      <c r="GZ16" s="80">
        <v>0.34046864664316401</v>
      </c>
      <c r="HA16" s="80">
        <v>0.32275561284082099</v>
      </c>
      <c r="HB16" s="80">
        <v>0.38690029540614401</v>
      </c>
      <c r="HC16" s="80">
        <v>0.37612919122171601</v>
      </c>
      <c r="HD16" s="80">
        <v>0.37566867500000001</v>
      </c>
      <c r="HE16" s="80">
        <v>0.38924910402543</v>
      </c>
      <c r="HF16" s="80">
        <v>0.38396051582100699</v>
      </c>
      <c r="HG16" s="80">
        <v>0.40996660958870601</v>
      </c>
      <c r="HI16" s="80">
        <v>0.13930404584210801</v>
      </c>
      <c r="HJ16" s="80">
        <v>0.13614942252353401</v>
      </c>
      <c r="HK16" s="80">
        <v>0.15046220998763499</v>
      </c>
      <c r="HL16" s="80">
        <v>0.18396484542550401</v>
      </c>
      <c r="HM16" s="80">
        <v>0.18529724437928599</v>
      </c>
      <c r="HN16" s="80">
        <v>0.18529724437928499</v>
      </c>
      <c r="HO16" s="80"/>
      <c r="HP16" s="80"/>
      <c r="HR16" s="80">
        <v>0.143951384929348</v>
      </c>
      <c r="HS16" s="80">
        <v>0.147410716044207</v>
      </c>
      <c r="HT16" s="80">
        <v>0.156131245163348</v>
      </c>
      <c r="HU16" s="80">
        <v>0.21051016309374801</v>
      </c>
      <c r="HV16" s="80">
        <v>0.15241692632272799</v>
      </c>
      <c r="HW16" s="80">
        <v>0.15241692632272799</v>
      </c>
      <c r="HX16" s="80"/>
      <c r="HY16" s="80"/>
      <c r="HZ16" s="80"/>
      <c r="IA16" s="80">
        <v>0.14819917802016899</v>
      </c>
      <c r="IB16" s="80">
        <v>0.15226272811100799</v>
      </c>
      <c r="IC16" s="80">
        <v>0.154680597317011</v>
      </c>
      <c r="ID16" s="80">
        <v>0.20486883711354401</v>
      </c>
      <c r="IE16" s="80">
        <v>0.19349318763311699</v>
      </c>
      <c r="IF16" s="80">
        <v>0.19349318763311801</v>
      </c>
      <c r="IG16" s="80"/>
      <c r="IH16" s="80"/>
      <c r="IJ16" s="80">
        <v>0.141839369589491</v>
      </c>
      <c r="IK16" s="80">
        <v>0.15748415111269501</v>
      </c>
      <c r="IL16" s="80">
        <v>0.159005546139211</v>
      </c>
      <c r="IM16" s="80">
        <v>0.231708176686236</v>
      </c>
      <c r="IN16" s="80">
        <v>0.18529724437928499</v>
      </c>
      <c r="IO16" s="80">
        <v>0.37250091584465</v>
      </c>
      <c r="IP16" s="80"/>
      <c r="IQ16" s="80"/>
      <c r="IR16" s="80"/>
      <c r="IS16" s="80">
        <v>0.13674793640640401</v>
      </c>
      <c r="IT16" s="80">
        <v>0.14233630076387799</v>
      </c>
      <c r="IU16" s="80">
        <v>0.17015257252850599</v>
      </c>
      <c r="IV16" s="80">
        <v>0.22331005812419499</v>
      </c>
      <c r="IW16" s="80">
        <v>0.151876488009553</v>
      </c>
      <c r="IX16" s="80">
        <v>0.15187756544867001</v>
      </c>
      <c r="IY16" s="80"/>
      <c r="IZ16" s="80"/>
      <c r="JC16" s="50" t="s">
        <v>668</v>
      </c>
    </row>
    <row r="17" spans="1:263">
      <c r="B17" s="73" t="s">
        <v>669</v>
      </c>
      <c r="C17" s="50">
        <f t="shared" si="1"/>
        <v>6</v>
      </c>
      <c r="D17" s="50" t="s">
        <v>670</v>
      </c>
      <c r="E17" s="81">
        <v>599.38</v>
      </c>
      <c r="F17" s="84">
        <v>244715.5676746</v>
      </c>
      <c r="G17" s="84">
        <v>274027.56767460098</v>
      </c>
      <c r="H17" s="84">
        <v>27594</v>
      </c>
      <c r="I17" s="84">
        <v>24962</v>
      </c>
      <c r="J17" s="75">
        <v>1.02192328026423</v>
      </c>
      <c r="K17" s="74">
        <v>21.199000000000002</v>
      </c>
      <c r="L17" s="75">
        <f>+J17/(1+((1-K17/100)*(H17/F17)))</f>
        <v>0.93852966617110145</v>
      </c>
      <c r="N17" s="76">
        <v>44500</v>
      </c>
      <c r="O17" s="76">
        <v>44591</v>
      </c>
      <c r="P17" s="77"/>
      <c r="Q17" s="78">
        <v>20848</v>
      </c>
      <c r="R17" s="79">
        <v>22597</v>
      </c>
      <c r="S17" s="79">
        <v>23888</v>
      </c>
      <c r="T17" s="79">
        <v>27450</v>
      </c>
      <c r="U17" s="79">
        <v>28501</v>
      </c>
      <c r="V17" s="79">
        <v>32668.630929166698</v>
      </c>
      <c r="W17" s="79">
        <v>31846.548500000001</v>
      </c>
      <c r="X17" s="79">
        <v>33819.546329999997</v>
      </c>
      <c r="Y17" s="79"/>
      <c r="Z17" s="78">
        <v>21156</v>
      </c>
      <c r="AA17" s="79">
        <v>22643</v>
      </c>
      <c r="AB17" s="79">
        <v>24419.333333333299</v>
      </c>
      <c r="AC17" s="79">
        <v>28150.666666666701</v>
      </c>
      <c r="AD17" s="79">
        <v>28501</v>
      </c>
      <c r="AE17" s="79">
        <v>32594.807529999998</v>
      </c>
      <c r="AF17" s="79">
        <v>34453.576613333302</v>
      </c>
      <c r="AG17" s="79"/>
      <c r="AI17" s="79">
        <v>10753</v>
      </c>
      <c r="AJ17" s="79">
        <v>12560</v>
      </c>
      <c r="AK17" s="79">
        <v>13551</v>
      </c>
      <c r="AL17" s="79">
        <v>16861</v>
      </c>
      <c r="AM17" s="79">
        <v>17945</v>
      </c>
      <c r="AN17" s="79">
        <v>24211.316622499999</v>
      </c>
      <c r="AO17" s="79">
        <v>24168.484209999999</v>
      </c>
      <c r="AP17" s="79">
        <v>24271.281999999999</v>
      </c>
      <c r="AQ17" s="79"/>
      <c r="AR17" s="79">
        <v>11167</v>
      </c>
      <c r="AS17" s="79">
        <v>12565.333333333299</v>
      </c>
      <c r="AT17" s="79">
        <v>14014.333333333299</v>
      </c>
      <c r="AU17" s="79">
        <v>17583.666666666701</v>
      </c>
      <c r="AV17" s="79">
        <v>17945</v>
      </c>
      <c r="AW17" s="79">
        <v>24246.3888866667</v>
      </c>
      <c r="AX17" s="79">
        <v>26119.258326666699</v>
      </c>
      <c r="AY17" s="79"/>
      <c r="AZ17" s="78"/>
      <c r="BA17" s="79">
        <v>9469</v>
      </c>
      <c r="BB17" s="79">
        <v>10065</v>
      </c>
      <c r="BC17" s="79">
        <v>11262</v>
      </c>
      <c r="BD17" s="502">
        <v>14725</v>
      </c>
      <c r="BE17" s="502">
        <v>14725</v>
      </c>
      <c r="BF17" s="502">
        <v>20178.5553308333</v>
      </c>
      <c r="BG17" s="502">
        <v>19730.119910000001</v>
      </c>
      <c r="BH17" s="502">
        <v>20806.36492</v>
      </c>
      <c r="BI17" s="79"/>
      <c r="BJ17" s="79">
        <v>9716.3333333333303</v>
      </c>
      <c r="BK17" s="79">
        <v>9974.3333333333303</v>
      </c>
      <c r="BL17" s="79">
        <v>11784.666666666701</v>
      </c>
      <c r="BM17" s="79">
        <v>15363.666666666701</v>
      </c>
      <c r="BN17" s="79">
        <v>14725</v>
      </c>
      <c r="BO17" s="79">
        <v>20334.048569999999</v>
      </c>
      <c r="BP17" s="79">
        <v>21694.716950000002</v>
      </c>
      <c r="BQ17" s="79"/>
      <c r="BR17" s="79"/>
      <c r="BS17" s="77"/>
      <c r="BT17" s="82">
        <v>4.953720261</v>
      </c>
      <c r="BU17" s="82">
        <v>6.4528397569999996</v>
      </c>
      <c r="BV17" s="82">
        <v>7.3581049062000004</v>
      </c>
      <c r="BW17" s="82">
        <v>9.0045067395</v>
      </c>
      <c r="BX17" s="82">
        <v>9.6146650178800908</v>
      </c>
      <c r="BY17" s="467">
        <v>8.3880946302511799</v>
      </c>
      <c r="BZ17" s="82">
        <v>8.6046237530136302</v>
      </c>
      <c r="CA17" s="82">
        <v>8.1026387817485706</v>
      </c>
      <c r="CB17" s="77"/>
      <c r="CC17" s="77">
        <v>5.2167282725152804</v>
      </c>
      <c r="CD17" s="77">
        <v>6.6602225117401996</v>
      </c>
      <c r="CE17" s="77">
        <v>7.6853433072156001</v>
      </c>
      <c r="CF17" s="77"/>
      <c r="CG17" s="77">
        <v>9.6146650178800908</v>
      </c>
      <c r="CH17" s="77">
        <v>8.5166843450141094</v>
      </c>
      <c r="CI17" s="77">
        <v>8.0501471080723199</v>
      </c>
      <c r="CJ17" s="77"/>
      <c r="CL17" s="77">
        <v>9.6043113549707098</v>
      </c>
      <c r="CM17" s="77">
        <v>11.6094601910828</v>
      </c>
      <c r="CN17" s="77">
        <v>12.9710287063685</v>
      </c>
      <c r="CO17" s="77">
        <v>14.6594929126386</v>
      </c>
      <c r="CP17" s="77">
        <v>13.283359013652801</v>
      </c>
      <c r="CQ17" s="77">
        <v>11.3181605092861</v>
      </c>
      <c r="CR17" s="77">
        <v>11.338219033249</v>
      </c>
      <c r="CS17" s="77">
        <v>11.290197513036199</v>
      </c>
      <c r="CT17" s="77"/>
      <c r="CU17" s="77">
        <v>9.8831470702367099</v>
      </c>
      <c r="CV17" s="77">
        <v>12.0018637255942</v>
      </c>
      <c r="CW17" s="77">
        <v>13.3913583711914</v>
      </c>
      <c r="CX17" s="77"/>
      <c r="CY17" s="77">
        <v>13.283359013652801</v>
      </c>
      <c r="CZ17" s="77">
        <v>11.3017888542277</v>
      </c>
      <c r="DA17" s="77">
        <v>10.4913992674451</v>
      </c>
      <c r="DB17" s="77"/>
      <c r="DD17" s="77">
        <v>10.906659626</v>
      </c>
      <c r="DE17" s="77">
        <v>14.487314456</v>
      </c>
      <c r="DF17" s="77">
        <v>15.607388563300001</v>
      </c>
      <c r="DG17" s="77">
        <v>16.7859904924</v>
      </c>
      <c r="DH17" s="77">
        <v>17.4729049081554</v>
      </c>
      <c r="DI17" s="466">
        <v>13.580138081336299</v>
      </c>
      <c r="DJ17" s="77">
        <v>13.888793830174</v>
      </c>
      <c r="DK17" s="77">
        <v>13.170372082208001</v>
      </c>
      <c r="DL17" s="77"/>
      <c r="DM17" s="77">
        <v>11.358719338570801</v>
      </c>
      <c r="DN17" s="77">
        <v>15.1195486749323</v>
      </c>
      <c r="DO17" s="77">
        <v>15.9250121626973</v>
      </c>
      <c r="DP17" s="77"/>
      <c r="DQ17" s="77">
        <v>17.4729049081554</v>
      </c>
      <c r="DR17" s="77">
        <v>13.763663034150801</v>
      </c>
      <c r="DS17" s="77">
        <v>13.0076905652521</v>
      </c>
      <c r="DT17" s="77"/>
      <c r="DV17" s="77">
        <v>19.167624350000001</v>
      </c>
      <c r="DW17" s="77">
        <v>34.252952784000001</v>
      </c>
      <c r="DX17" s="77">
        <v>40.342072526999999</v>
      </c>
      <c r="DY17" s="77">
        <v>28.4631172271</v>
      </c>
      <c r="DZ17" s="77">
        <v>27.713143980036499</v>
      </c>
      <c r="EA17" s="77">
        <v>13.912723848882401</v>
      </c>
      <c r="EB17" s="77">
        <v>14.302950199607301</v>
      </c>
      <c r="EC17" s="77">
        <v>13.400863162945299</v>
      </c>
      <c r="ED17" s="77"/>
      <c r="EE17" s="77">
        <v>20.2430490339936</v>
      </c>
      <c r="EF17" s="77">
        <v>37.824785135022204</v>
      </c>
      <c r="EG17" s="77">
        <v>37.461765919222898</v>
      </c>
      <c r="EH17" s="77"/>
      <c r="EI17" s="77">
        <v>27.713143980036499</v>
      </c>
      <c r="EJ17" s="77">
        <v>14.1442619716842</v>
      </c>
      <c r="EK17" s="77">
        <v>13.3147925201829</v>
      </c>
      <c r="EL17" s="77"/>
      <c r="EN17" s="77">
        <v>19.030370841</v>
      </c>
      <c r="EO17" s="77">
        <v>45.907358737000003</v>
      </c>
      <c r="EP17" s="77">
        <v>55.253097842999999</v>
      </c>
      <c r="EQ17" s="77">
        <v>35.433658610099997</v>
      </c>
      <c r="ER17" s="77">
        <v>34.1434070948197</v>
      </c>
      <c r="ES17" s="77">
        <v>16.3016487679796</v>
      </c>
      <c r="ET17" s="77">
        <v>16.9204250516466</v>
      </c>
      <c r="EU17" s="77">
        <v>15.5076907155147</v>
      </c>
      <c r="EV17" s="77"/>
      <c r="EW17" s="77">
        <v>52.230501574199998</v>
      </c>
      <c r="EX17" s="77">
        <v>96.870590859209699</v>
      </c>
      <c r="EY17" s="77">
        <v>76.240313824455697</v>
      </c>
      <c r="EZ17" s="77">
        <v>35.875743919804201</v>
      </c>
      <c r="FA17" s="77">
        <v>34.1434070948197</v>
      </c>
      <c r="FB17" s="77">
        <v>16.499900347627101</v>
      </c>
      <c r="FC17" s="77">
        <v>15.3310128295581</v>
      </c>
      <c r="FD17" s="77"/>
      <c r="FE17" s="77"/>
      <c r="FF17" s="77"/>
      <c r="FG17" s="80">
        <v>0.51578089999999999</v>
      </c>
      <c r="FH17" s="80">
        <v>0.55582600000000004</v>
      </c>
      <c r="FI17" s="80">
        <v>0.56727229999999995</v>
      </c>
      <c r="FJ17" s="80">
        <v>0.61424409999999996</v>
      </c>
      <c r="FK17" s="80">
        <v>0.62872567499999998</v>
      </c>
      <c r="FL17" s="80">
        <v>0.75527975833333305</v>
      </c>
      <c r="FM17" s="80">
        <v>0.75476529999999997</v>
      </c>
      <c r="FN17" s="80">
        <v>0.75600000000000001</v>
      </c>
      <c r="FO17" s="77"/>
      <c r="FP17" s="80">
        <v>0.52784080166383096</v>
      </c>
      <c r="FQ17" s="80">
        <v>0.55493235584212897</v>
      </c>
      <c r="FR17" s="80">
        <v>0.57390319146031799</v>
      </c>
      <c r="FS17" s="80">
        <v>0.62462700705726304</v>
      </c>
      <c r="FT17" s="80">
        <v>0.62872567499999998</v>
      </c>
      <c r="FU17" s="80">
        <v>0.74387274305425699</v>
      </c>
      <c r="FV17" s="80">
        <v>0.75810005503343503</v>
      </c>
      <c r="FW17" s="80"/>
      <c r="FY17" s="80">
        <v>0.45419224866000002</v>
      </c>
      <c r="FZ17" s="80">
        <v>0.44541310794</v>
      </c>
      <c r="GA17" s="80">
        <v>0.47145010046899999</v>
      </c>
      <c r="GB17" s="80">
        <v>0.53642987249499996</v>
      </c>
      <c r="GC17" s="80">
        <v>0.54926506399950004</v>
      </c>
      <c r="GD17" s="80">
        <v>0.61767373645333401</v>
      </c>
      <c r="GE17" s="80">
        <v>0.619537150470168</v>
      </c>
      <c r="GF17" s="80">
        <v>0.61521715037151403</v>
      </c>
      <c r="GG17" s="77"/>
      <c r="GH17" s="80">
        <v>0.45927081363836902</v>
      </c>
      <c r="GI17" s="80">
        <v>0.440504055705222</v>
      </c>
      <c r="GJ17" s="80">
        <v>0.48259575745993599</v>
      </c>
      <c r="GK17" s="80">
        <v>0.54576564202150302</v>
      </c>
      <c r="GL17" s="80">
        <v>0.54926506399950004</v>
      </c>
      <c r="GM17" s="80">
        <v>0.62384318579837295</v>
      </c>
      <c r="GN17" s="80">
        <v>0.62967967574095796</v>
      </c>
      <c r="GO17" s="80"/>
      <c r="GQ17" s="80">
        <v>0.23983119999999999</v>
      </c>
      <c r="GR17" s="80">
        <v>0.1197947</v>
      </c>
      <c r="GS17" s="80">
        <v>0.11152040000000001</v>
      </c>
      <c r="GT17" s="80">
        <v>0.23449909999999999</v>
      </c>
      <c r="GU17" s="80">
        <v>0.26245564999999998</v>
      </c>
      <c r="GV17" s="80">
        <v>0.494303728960865</v>
      </c>
      <c r="GW17" s="80">
        <v>0.49126776893891699</v>
      </c>
      <c r="GX17" s="80">
        <v>0.498306112257065</v>
      </c>
      <c r="GY17" s="77"/>
      <c r="GZ17" s="80">
        <v>0.24379214722379799</v>
      </c>
      <c r="HA17" s="80">
        <v>0.117858352102931</v>
      </c>
      <c r="HB17" s="80">
        <v>0.14850255262223899</v>
      </c>
      <c r="HC17" s="80">
        <v>0.265192061762895</v>
      </c>
      <c r="HD17" s="80">
        <v>0.26245564999999998</v>
      </c>
      <c r="HE17" s="80">
        <v>0.49164889975958698</v>
      </c>
      <c r="HF17" s="80">
        <v>0.495549513430177</v>
      </c>
      <c r="HG17" s="80"/>
      <c r="HI17" s="80">
        <v>0.262887501061776</v>
      </c>
      <c r="HJ17" s="80">
        <v>0.26485811015789801</v>
      </c>
      <c r="HK17" s="80">
        <v>0.10926943363283401</v>
      </c>
      <c r="HL17" s="80">
        <v>0.10177323029400701</v>
      </c>
      <c r="HM17" s="80">
        <v>0.14911252511721401</v>
      </c>
      <c r="HN17" s="80">
        <v>0.154587806360138</v>
      </c>
      <c r="HO17" s="80"/>
      <c r="HP17" s="80"/>
      <c r="HR17" s="80">
        <v>0.29507468697837103</v>
      </c>
      <c r="HS17" s="80">
        <v>0.30256894096435899</v>
      </c>
      <c r="HT17" s="80">
        <v>0.18294511599507901</v>
      </c>
      <c r="HU17" s="80">
        <v>0.164153048042289</v>
      </c>
      <c r="HV17" s="80">
        <v>0.24426241605785601</v>
      </c>
      <c r="HW17" s="80">
        <v>0.25965183209321901</v>
      </c>
      <c r="HX17" s="80"/>
      <c r="HY17" s="80"/>
      <c r="HZ17" s="80"/>
      <c r="IA17" s="80">
        <v>0.327691707997536</v>
      </c>
      <c r="IB17" s="80">
        <v>0.32902262533179</v>
      </c>
      <c r="IC17" s="80">
        <v>0.18290306365399001</v>
      </c>
      <c r="ID17" s="80">
        <v>0.16809459581715799</v>
      </c>
      <c r="IE17" s="80">
        <v>0.30749422837861801</v>
      </c>
      <c r="IF17" s="80">
        <v>0.29600859433104698</v>
      </c>
      <c r="IG17" s="80"/>
      <c r="IH17" s="80"/>
      <c r="IJ17" s="80">
        <v>0.30408946422384198</v>
      </c>
      <c r="IK17" s="80">
        <v>0.32038161846736601</v>
      </c>
      <c r="IL17" s="80">
        <v>0.32552486764070898</v>
      </c>
      <c r="IM17" s="80">
        <v>0.217130103036452</v>
      </c>
      <c r="IN17" s="80">
        <v>0.14911252511721401</v>
      </c>
      <c r="IO17" s="80">
        <v>0.60217920132125602</v>
      </c>
      <c r="IP17" s="80"/>
      <c r="IQ17" s="80"/>
      <c r="IR17" s="80"/>
      <c r="IS17" s="80">
        <v>0.21825551796789</v>
      </c>
      <c r="IT17" s="80">
        <v>0.23048897898651699</v>
      </c>
      <c r="IU17" s="80">
        <v>0.41384443563835199</v>
      </c>
      <c r="IV17" s="80">
        <v>0.15081823317809501</v>
      </c>
      <c r="IW17" s="80">
        <v>1.37123229437134</v>
      </c>
      <c r="IX17" s="80">
        <v>1.03311158569635</v>
      </c>
      <c r="IY17" s="80"/>
      <c r="IZ17" s="80"/>
      <c r="JC17" s="50" t="s">
        <v>671</v>
      </c>
    </row>
    <row r="18" spans="1:263">
      <c r="B18" s="73" t="s">
        <v>672</v>
      </c>
      <c r="C18" s="50">
        <f t="shared" si="1"/>
        <v>7</v>
      </c>
      <c r="D18" s="50" t="s">
        <v>673</v>
      </c>
      <c r="E18" s="81">
        <v>75.650000000000006</v>
      </c>
      <c r="F18" s="84">
        <v>84711.138371499997</v>
      </c>
      <c r="G18" s="84">
        <v>82153.138371500099</v>
      </c>
      <c r="H18" s="84">
        <v>-1857</v>
      </c>
      <c r="I18" s="84">
        <v>43933</v>
      </c>
      <c r="J18" s="75">
        <v>1.17946760991758</v>
      </c>
      <c r="K18" s="84">
        <v>6.3364399999999996</v>
      </c>
      <c r="L18" s="75">
        <f t="shared" si="0"/>
        <v>1.2041927089475346</v>
      </c>
      <c r="N18" s="76">
        <v>44441</v>
      </c>
      <c r="O18" s="76">
        <v>44532</v>
      </c>
      <c r="P18" s="77"/>
      <c r="Q18" s="78">
        <v>30391</v>
      </c>
      <c r="R18" s="79">
        <v>23406</v>
      </c>
      <c r="S18" s="79">
        <v>21435</v>
      </c>
      <c r="T18" s="79">
        <v>27705</v>
      </c>
      <c r="U18" s="79">
        <v>29619</v>
      </c>
      <c r="V18" s="79">
        <v>36544.493493333299</v>
      </c>
      <c r="W18" s="79">
        <v>32505.487590000001</v>
      </c>
      <c r="X18" s="79">
        <v>39429.497710000003</v>
      </c>
      <c r="Y18" s="77"/>
      <c r="Z18" s="78">
        <v>30995.666666666701</v>
      </c>
      <c r="AA18" s="79">
        <v>20291</v>
      </c>
      <c r="AB18" s="79">
        <v>22543.666666666701</v>
      </c>
      <c r="AC18" s="79"/>
      <c r="AD18" s="79">
        <v>29619</v>
      </c>
      <c r="AE18" s="79">
        <v>35286.898710000001</v>
      </c>
      <c r="AF18" s="79">
        <v>40639.4253466667</v>
      </c>
      <c r="AG18" s="79"/>
      <c r="AI18" s="79">
        <v>17891</v>
      </c>
      <c r="AJ18" s="79">
        <v>10702</v>
      </c>
      <c r="AK18" s="79">
        <v>6552</v>
      </c>
      <c r="AL18" s="79">
        <v>10472</v>
      </c>
      <c r="AM18" s="79">
        <v>12301</v>
      </c>
      <c r="AN18" s="79">
        <v>17675.8878283333</v>
      </c>
      <c r="AO18" s="79">
        <v>15300.832920000001</v>
      </c>
      <c r="AP18" s="79">
        <v>19372.355619999998</v>
      </c>
      <c r="AQ18" s="79"/>
      <c r="AR18" s="79">
        <v>18290.333333333299</v>
      </c>
      <c r="AS18" s="79">
        <v>6950</v>
      </c>
      <c r="AT18" s="79">
        <v>7036.3333333333303</v>
      </c>
      <c r="AU18" s="79"/>
      <c r="AV18" s="79">
        <v>12301</v>
      </c>
      <c r="AW18" s="79">
        <v>16950.164150000001</v>
      </c>
      <c r="AX18" s="79">
        <v>19991.829173333299</v>
      </c>
      <c r="AY18" s="79"/>
      <c r="AZ18" s="78"/>
      <c r="BA18" s="79">
        <v>19685</v>
      </c>
      <c r="BB18" s="79">
        <v>12988</v>
      </c>
      <c r="BC18" s="79">
        <v>8710</v>
      </c>
      <c r="BD18" s="502">
        <v>13010</v>
      </c>
      <c r="BE18" s="502">
        <v>13010</v>
      </c>
      <c r="BF18" s="502">
        <v>20667.6247525</v>
      </c>
      <c r="BG18" s="502">
        <v>18265.30947</v>
      </c>
      <c r="BH18" s="502">
        <v>22383.56424</v>
      </c>
      <c r="BI18" s="79"/>
      <c r="BJ18" s="79">
        <v>20303</v>
      </c>
      <c r="BK18" s="79">
        <v>9131.3333333333303</v>
      </c>
      <c r="BL18" s="79">
        <v>9410.3333333333303</v>
      </c>
      <c r="BM18" s="79"/>
      <c r="BN18" s="79">
        <v>13010</v>
      </c>
      <c r="BO18" s="79">
        <v>19693.056713333299</v>
      </c>
      <c r="BP18" s="79">
        <v>22290.991666666701</v>
      </c>
      <c r="BQ18" s="79"/>
      <c r="BR18" s="78"/>
      <c r="BS18" s="77"/>
      <c r="BT18" s="82">
        <v>1.976189003</v>
      </c>
      <c r="BU18" s="82">
        <v>2.0630616079999999</v>
      </c>
      <c r="BV18" s="82">
        <v>2.3357261488000001</v>
      </c>
      <c r="BW18" s="82">
        <v>2.9214152680000001</v>
      </c>
      <c r="BX18" s="82">
        <v>2.7736634718086401</v>
      </c>
      <c r="BY18" s="467">
        <v>2.248030565439</v>
      </c>
      <c r="BZ18" s="82">
        <v>2.52736213059526</v>
      </c>
      <c r="CA18" s="82">
        <v>2.0835451411460602</v>
      </c>
      <c r="CB18" s="77"/>
      <c r="CC18" s="77">
        <v>1.81105681439341</v>
      </c>
      <c r="CD18" s="77">
        <v>2.4089880571024902</v>
      </c>
      <c r="CE18" s="77">
        <v>2.67732829619553</v>
      </c>
      <c r="CF18" s="77"/>
      <c r="CG18" s="77">
        <v>2.7736634718086401</v>
      </c>
      <c r="CH18" s="77">
        <v>2.35980753719948</v>
      </c>
      <c r="CI18" s="77">
        <v>2.0313257227335302</v>
      </c>
      <c r="CJ18" s="77"/>
      <c r="CL18" s="77">
        <v>3.35690347101895</v>
      </c>
      <c r="CM18" s="77">
        <v>4.5120556905251403</v>
      </c>
      <c r="CN18" s="77">
        <v>7.6413751526251703</v>
      </c>
      <c r="CO18" s="77">
        <v>7.72897345301757</v>
      </c>
      <c r="CP18" s="77">
        <v>7.2096028778148096</v>
      </c>
      <c r="CQ18" s="77">
        <v>4.6477517378116504</v>
      </c>
      <c r="CR18" s="77">
        <v>5.3691938733685696</v>
      </c>
      <c r="CS18" s="77">
        <v>4.2407407742755501</v>
      </c>
      <c r="CT18" s="77"/>
      <c r="CU18" s="77">
        <v>3.0691028047602602</v>
      </c>
      <c r="CV18" s="77">
        <v>7.0332052757793804</v>
      </c>
      <c r="CW18" s="77">
        <v>8.5778762613103492</v>
      </c>
      <c r="CX18" s="77"/>
      <c r="CY18" s="77">
        <v>7.2096028778148096</v>
      </c>
      <c r="CZ18" s="77">
        <v>4.8467458866172697</v>
      </c>
      <c r="DA18" s="77">
        <v>4.10933575208227</v>
      </c>
      <c r="DB18" s="77"/>
      <c r="DD18" s="77">
        <v>3.05097079</v>
      </c>
      <c r="DE18" s="77">
        <v>3.7178949800000001</v>
      </c>
      <c r="DF18" s="77">
        <v>5.7481389207999998</v>
      </c>
      <c r="DG18" s="77">
        <v>6.2211998463000002</v>
      </c>
      <c r="DH18" s="77">
        <v>5.4721333758409401</v>
      </c>
      <c r="DI18" s="466">
        <v>3.9749675811954499</v>
      </c>
      <c r="DJ18" s="77">
        <v>4.4977687624966398</v>
      </c>
      <c r="DK18" s="77">
        <v>3.6702438222367801</v>
      </c>
      <c r="DL18" s="77"/>
      <c r="DM18" s="77">
        <v>2.7648580669523399</v>
      </c>
      <c r="DN18" s="77">
        <v>5.3530820617653498</v>
      </c>
      <c r="DO18" s="77">
        <v>6.41388509085757</v>
      </c>
      <c r="DP18" s="77"/>
      <c r="DQ18" s="77">
        <v>5.4721333758409401</v>
      </c>
      <c r="DR18" s="77">
        <v>4.1833630173823302</v>
      </c>
      <c r="DS18" s="77">
        <v>3.5605177115078601</v>
      </c>
      <c r="DT18" s="77"/>
      <c r="DV18" s="77">
        <v>4.0237411229999998</v>
      </c>
      <c r="DW18" s="77">
        <v>6.3839264939999998</v>
      </c>
      <c r="DX18" s="77">
        <v>16.361532679700002</v>
      </c>
      <c r="DY18" s="77">
        <v>11.9096247793</v>
      </c>
      <c r="DZ18" s="77">
        <v>9.5360578492745294</v>
      </c>
      <c r="EA18" s="77">
        <v>6.0123549974066304</v>
      </c>
      <c r="EB18" s="77">
        <v>7.1613951777680196</v>
      </c>
      <c r="EC18" s="77">
        <v>5.3941499385524097</v>
      </c>
      <c r="ED18" s="77"/>
      <c r="EE18" s="77">
        <v>3.6821851973324602</v>
      </c>
      <c r="EF18" s="77">
        <v>13.1082801465987</v>
      </c>
      <c r="EG18" s="77">
        <v>17.205472253895898</v>
      </c>
      <c r="EH18" s="77"/>
      <c r="EI18" s="77">
        <v>9.5360578492745294</v>
      </c>
      <c r="EJ18" s="77">
        <v>6.4563168187562097</v>
      </c>
      <c r="EK18" s="77">
        <v>5.3404207605400504</v>
      </c>
      <c r="EL18" s="77"/>
      <c r="EN18" s="77">
        <v>4.6445133820000004</v>
      </c>
      <c r="EO18" s="77">
        <v>8.1005505539999998</v>
      </c>
      <c r="EP18" s="77">
        <v>19.501045976699999</v>
      </c>
      <c r="EQ18" s="77">
        <v>14.404133376900001</v>
      </c>
      <c r="ER18" s="77">
        <v>11.6979229808132</v>
      </c>
      <c r="ES18" s="77">
        <v>6.8899512815628103</v>
      </c>
      <c r="ET18" s="77">
        <v>8.2830583263076107</v>
      </c>
      <c r="EU18" s="77">
        <v>6.1510066022701402</v>
      </c>
      <c r="EV18" s="77"/>
      <c r="EW18" s="77">
        <v>6.5397502705805497</v>
      </c>
      <c r="EX18" s="77">
        <v>28.0694941059628</v>
      </c>
      <c r="EY18" s="77">
        <v>27.953225305828902</v>
      </c>
      <c r="EZ18" s="77"/>
      <c r="FA18" s="77">
        <v>11.6979229808132</v>
      </c>
      <c r="FB18" s="77">
        <v>7.3010335651305596</v>
      </c>
      <c r="FC18" s="77">
        <v>5.8217923578682296</v>
      </c>
      <c r="FD18" s="77"/>
      <c r="FE18" s="77"/>
      <c r="FF18" s="77"/>
      <c r="FG18" s="80">
        <v>0.58869400000000005</v>
      </c>
      <c r="FH18" s="80">
        <v>0.45723320000000001</v>
      </c>
      <c r="FI18" s="80">
        <v>0.3056683</v>
      </c>
      <c r="FJ18" s="80">
        <v>0.37798229999999999</v>
      </c>
      <c r="FK18" s="80">
        <v>0.40751165</v>
      </c>
      <c r="FL18" s="80">
        <v>0.488106658333333</v>
      </c>
      <c r="FM18" s="80">
        <v>0.4723811</v>
      </c>
      <c r="FN18" s="80">
        <v>0.49933919999999998</v>
      </c>
      <c r="FO18" s="77"/>
      <c r="FP18" s="80">
        <v>0.590093238839838</v>
      </c>
      <c r="FQ18" s="80">
        <v>0.34251638657532901</v>
      </c>
      <c r="FR18" s="80">
        <v>0.31212018157353899</v>
      </c>
      <c r="FS18" s="80"/>
      <c r="FT18" s="80">
        <v>0.40751165</v>
      </c>
      <c r="FU18" s="80">
        <v>0.48035290064174602</v>
      </c>
      <c r="FV18" s="80">
        <v>0.49193188640825902</v>
      </c>
      <c r="FW18" s="80"/>
      <c r="FY18" s="80">
        <v>0.64772465533000001</v>
      </c>
      <c r="FZ18" s="80">
        <v>0.55490045288000001</v>
      </c>
      <c r="GA18" s="80">
        <v>0.40634476323800001</v>
      </c>
      <c r="GB18" s="80">
        <v>0.46959032665599998</v>
      </c>
      <c r="GC18" s="80">
        <v>0.49922105388350002</v>
      </c>
      <c r="GD18" s="80">
        <v>0.56554689302973404</v>
      </c>
      <c r="GE18" s="80">
        <v>0.56191464347143505</v>
      </c>
      <c r="GF18" s="80">
        <v>0.56768575660356801</v>
      </c>
      <c r="GG18" s="77"/>
      <c r="GH18" s="80">
        <v>0.65502704679148704</v>
      </c>
      <c r="GI18" s="80">
        <v>0.45001889179110599</v>
      </c>
      <c r="GJ18" s="80">
        <v>0.41742691960787198</v>
      </c>
      <c r="GK18" s="80"/>
      <c r="GL18" s="80">
        <v>0.49922105388350002</v>
      </c>
      <c r="GM18" s="80">
        <v>0.55808408880524496</v>
      </c>
      <c r="GN18" s="80">
        <v>0.54850656662877795</v>
      </c>
      <c r="GO18" s="80"/>
      <c r="GQ18" s="80">
        <v>0.45937939999999999</v>
      </c>
      <c r="GR18" s="80">
        <v>0.26928990000000003</v>
      </c>
      <c r="GS18" s="80">
        <v>0.12535569999999999</v>
      </c>
      <c r="GT18" s="80">
        <v>0.2115503</v>
      </c>
      <c r="GU18" s="80">
        <v>0.239797175</v>
      </c>
      <c r="GV18" s="80">
        <v>0.34070935535804803</v>
      </c>
      <c r="GW18" s="80">
        <v>0.31859231772256003</v>
      </c>
      <c r="GX18" s="80">
        <v>0.35373305469378802</v>
      </c>
      <c r="GY18" s="77"/>
      <c r="GZ18" s="80">
        <v>0.45231053803219801</v>
      </c>
      <c r="HA18" s="80">
        <v>0.153105646181394</v>
      </c>
      <c r="HB18" s="80">
        <v>0.135174697993524</v>
      </c>
      <c r="HC18" s="80"/>
      <c r="HD18" s="80">
        <v>0.239797175</v>
      </c>
      <c r="HE18" s="80">
        <v>0.33670121908350997</v>
      </c>
      <c r="HF18" s="80">
        <v>0.37412831957232501</v>
      </c>
      <c r="HG18" s="80"/>
      <c r="HI18" s="80">
        <v>0.11116281152961</v>
      </c>
      <c r="HJ18" s="80">
        <v>0.120459768387528</v>
      </c>
      <c r="HK18" s="80">
        <v>3.4531848517036001E-2</v>
      </c>
      <c r="HL18" s="80">
        <v>-4.085368524569E-3</v>
      </c>
      <c r="HM18" s="80">
        <v>0.29251224632610201</v>
      </c>
      <c r="HN18" s="80">
        <v>0.34241298042059498</v>
      </c>
      <c r="HO18" s="80" t="str">
        <f>IF(ISERROR((AF18/AC18)^(1/2)-1),"--",(AF18/AC18)^(1/2)-1)</f>
        <v>--</v>
      </c>
      <c r="HP18" s="80">
        <f>IF(ISERROR((W18/T18)^(1/2)-1),"--",(W18/T18)^(1/2)-1)</f>
        <v>8.3176589774050846E-2</v>
      </c>
      <c r="HR18" s="80">
        <v>0.15224089772653501</v>
      </c>
      <c r="HS18" s="80">
        <v>0.18573644371482501</v>
      </c>
      <c r="HT18" s="80">
        <v>-2.7243309265124999E-2</v>
      </c>
      <c r="HU18" s="80">
        <v>-0.108361901061686</v>
      </c>
      <c r="HV18" s="80">
        <v>0.59829059829059805</v>
      </c>
      <c r="HW18" s="80">
        <v>0.77708754695174798</v>
      </c>
      <c r="HX18" s="80" t="str">
        <f>IF(ISERROR((AX18/AU18)^(1/2)-1),"--",(AX18/AU18)^(1/2)-1)</f>
        <v>--</v>
      </c>
      <c r="HY18" s="80">
        <f>IF(ISERROR((AO18/AL18)^(1/2)-1),"--",(AO18/AL18)^(1/2)-1)</f>
        <v>0.20876734686791032</v>
      </c>
      <c r="HZ18" s="80"/>
      <c r="IA18" s="80">
        <v>0.17089894050493401</v>
      </c>
      <c r="IB18" s="80">
        <v>0.20454767513264299</v>
      </c>
      <c r="IC18" s="80">
        <v>-7.1635271767799998E-3</v>
      </c>
      <c r="ID18" s="80">
        <v>-8.1792514277536005E-2</v>
      </c>
      <c r="IE18" s="80">
        <v>0.49368541905855301</v>
      </c>
      <c r="IF18" s="80">
        <v>0.62127429805615597</v>
      </c>
      <c r="IG18" s="80" t="str">
        <f>IF(ISERROR((BP18/BM18)^(1/2)-1),"--",(BP18/BM18)^(1/2)-1)</f>
        <v>--</v>
      </c>
      <c r="IH18" s="80">
        <f>IF(ISERROR((BG18/BD18)^(1/2)-1),"--",(BG18/BD18)^(1/2)-1)</f>
        <v>0.18488136476949335</v>
      </c>
      <c r="IJ18" s="80">
        <v>0.26324669228421299</v>
      </c>
      <c r="IK18" s="80">
        <v>0.259896676984328</v>
      </c>
      <c r="IL18" s="80">
        <v>-6.1690264649115999E-2</v>
      </c>
      <c r="IM18" s="80">
        <v>-0.15397996071898101</v>
      </c>
      <c r="IN18" s="80">
        <v>0.29251224632610201</v>
      </c>
      <c r="IO18" s="80">
        <v>0.79660810262279902</v>
      </c>
      <c r="IP18" s="80" t="str">
        <f>IF(ISERROR((#REF!/#REF!)^(1/2)-1),"--",(#REF!/#REF!)^(1/2)-1)</f>
        <v>--</v>
      </c>
      <c r="IQ18" s="80" t="str">
        <f>IF(ISERROR((#REF!/#REF!)^(1/2)-1),"--",(#REF!/#REF!)^(1/2)-1)</f>
        <v>--</v>
      </c>
      <c r="IR18" s="80"/>
      <c r="IS18" s="80">
        <v>0.144889876040108</v>
      </c>
      <c r="IT18" s="80">
        <v>0.236084042089788</v>
      </c>
      <c r="IU18" s="80">
        <v>-6.2004173407893E-2</v>
      </c>
      <c r="IV18" s="80">
        <v>-0.15327534521425901</v>
      </c>
      <c r="IW18" s="80">
        <v>1.1621284888688701</v>
      </c>
      <c r="IX18" s="80">
        <v>1.4405832981100199</v>
      </c>
      <c r="IY18" s="80" t="str">
        <f>IF(ISERROR((#REF!/#REF!)^(1/2)-1),"--",(#REF!/#REF!)^(1/2)-1)</f>
        <v>--</v>
      </c>
      <c r="IZ18" s="80" t="str">
        <f>IF(ISERROR((#REF!/#REF!)^(1/2)-1),"--",(#REF!/#REF!)^(1/2)-1)</f>
        <v>--</v>
      </c>
      <c r="JC18" s="50" t="s">
        <v>674</v>
      </c>
    </row>
    <row r="19" spans="1:263">
      <c r="B19" s="73" t="s">
        <v>675</v>
      </c>
      <c r="C19" s="50">
        <f t="shared" si="1"/>
        <v>8</v>
      </c>
      <c r="D19" s="50" t="s">
        <v>676</v>
      </c>
      <c r="E19" s="81">
        <v>675.53589506580397</v>
      </c>
      <c r="F19" s="84">
        <v>275163.39717354398</v>
      </c>
      <c r="G19" s="84">
        <v>271463.728994234</v>
      </c>
      <c r="H19" s="84">
        <v>-3227.72434804356</v>
      </c>
      <c r="I19" s="84">
        <v>13464.0656617329</v>
      </c>
      <c r="J19" s="75">
        <v>1.3359700574773601</v>
      </c>
      <c r="K19" s="84">
        <v>11.758319999999999</v>
      </c>
      <c r="L19" s="75">
        <f>+J19/(1+((1-K19/100)*(H19/F19)))</f>
        <v>1.3499432308971908</v>
      </c>
      <c r="N19" s="76">
        <v>44561</v>
      </c>
      <c r="O19" s="76">
        <v>44561</v>
      </c>
      <c r="P19" s="77"/>
      <c r="Q19" s="78">
        <v>12551.6102394715</v>
      </c>
      <c r="R19" s="79">
        <v>13250.2298051701</v>
      </c>
      <c r="S19" s="79">
        <v>17071.9345383488</v>
      </c>
      <c r="T19" s="79">
        <v>21157.0379464793</v>
      </c>
      <c r="U19" s="79">
        <v>21572.818654029001</v>
      </c>
      <c r="V19" s="79">
        <v>25408.5225690017</v>
      </c>
      <c r="W19" s="79">
        <v>24665.665565153799</v>
      </c>
      <c r="X19" s="79">
        <v>27637.093580545399</v>
      </c>
      <c r="Y19" s="77"/>
      <c r="Z19" s="78">
        <v>12659.2139997842</v>
      </c>
      <c r="AA19" s="79">
        <v>13326.0321244109</v>
      </c>
      <c r="AB19" s="79">
        <v>16497.642939984999</v>
      </c>
      <c r="AC19" s="79">
        <v>21572.818654029001</v>
      </c>
      <c r="AD19" s="79">
        <v>21572.818654029001</v>
      </c>
      <c r="AE19" s="79">
        <v>24429.4879780345</v>
      </c>
      <c r="AF19" s="79">
        <v>27095.032434147201</v>
      </c>
      <c r="AG19" s="79">
        <v>32159.090909090901</v>
      </c>
      <c r="AI19" s="79">
        <v>5411.3909532984699</v>
      </c>
      <c r="AJ19" s="79">
        <v>5493.0161648319599</v>
      </c>
      <c r="AK19" s="79">
        <v>7777.9677576941904</v>
      </c>
      <c r="AL19" s="79">
        <v>10705.7272127868</v>
      </c>
      <c r="AM19" s="79">
        <v>10912.8464176008</v>
      </c>
      <c r="AN19" s="79">
        <v>13466.4259805498</v>
      </c>
      <c r="AO19" s="79">
        <v>13047.8147794941</v>
      </c>
      <c r="AP19" s="79">
        <v>14722.259583716799</v>
      </c>
      <c r="AQ19" s="79"/>
      <c r="AR19" s="79">
        <v>5458.01767922217</v>
      </c>
      <c r="AS19" s="79">
        <v>5522.17248320413</v>
      </c>
      <c r="AT19" s="79">
        <v>7529.1907284808103</v>
      </c>
      <c r="AU19" s="79">
        <v>10912.8464176008</v>
      </c>
      <c r="AV19" s="79">
        <v>10912.8464176008</v>
      </c>
      <c r="AW19" s="79">
        <v>12899.1493392841</v>
      </c>
      <c r="AX19" s="79">
        <v>13710.2549553689</v>
      </c>
      <c r="AY19" s="79">
        <v>17079.363999274199</v>
      </c>
      <c r="AZ19" s="78"/>
      <c r="BA19" s="79">
        <v>4238.5769336636404</v>
      </c>
      <c r="BB19" s="79">
        <v>4060.6013048449699</v>
      </c>
      <c r="BC19" s="79">
        <v>6382.6331216414301</v>
      </c>
      <c r="BD19" s="502">
        <v>8810.5631721346908</v>
      </c>
      <c r="BE19" s="502">
        <v>8810.5631721346908</v>
      </c>
      <c r="BF19" s="502">
        <v>9775.4169069295494</v>
      </c>
      <c r="BG19" s="502">
        <v>9391.61710597811</v>
      </c>
      <c r="BH19" s="502">
        <v>10926.816309783901</v>
      </c>
      <c r="BI19" s="79"/>
      <c r="BJ19" s="79">
        <v>4198.3440176804897</v>
      </c>
      <c r="BK19" s="79">
        <v>4073.79094764307</v>
      </c>
      <c r="BL19" s="79">
        <v>6115.2032398478696</v>
      </c>
      <c r="BM19" s="79">
        <v>9154.33793524061</v>
      </c>
      <c r="BN19" s="79">
        <v>8810.5631721346908</v>
      </c>
      <c r="BO19" s="79">
        <v>9220.1204570858099</v>
      </c>
      <c r="BP19" s="79">
        <v>11394.030186502599</v>
      </c>
      <c r="BQ19" s="79">
        <v>12815.6187624751</v>
      </c>
      <c r="BR19" s="78"/>
      <c r="BS19" s="77"/>
      <c r="BT19" s="82">
        <v>5.1982697959999999</v>
      </c>
      <c r="BU19" s="82">
        <v>9.2481543340000005</v>
      </c>
      <c r="BV19" s="82">
        <v>11.667979584799999</v>
      </c>
      <c r="BW19" s="82">
        <v>15.1350952548</v>
      </c>
      <c r="BX19" s="82">
        <v>13.2553531976143</v>
      </c>
      <c r="BY19" s="467">
        <v>10.683963550301799</v>
      </c>
      <c r="BZ19" s="82">
        <v>11.0057329804124</v>
      </c>
      <c r="CA19" s="82">
        <v>9.8224412854080398</v>
      </c>
      <c r="CB19" s="77"/>
      <c r="CC19" s="77">
        <v>5.1982697959429798</v>
      </c>
      <c r="CD19" s="77">
        <v>9.2481543339255499</v>
      </c>
      <c r="CE19" s="77">
        <v>11.6679795848267</v>
      </c>
      <c r="CF19" s="77">
        <v>15.135095254795599</v>
      </c>
      <c r="CG19" s="77">
        <v>13.2553531976143</v>
      </c>
      <c r="CH19" s="77">
        <v>11.0057329804124</v>
      </c>
      <c r="CI19" s="77">
        <v>9.8224412854080398</v>
      </c>
      <c r="CJ19" s="77">
        <v>8.9689432433126992</v>
      </c>
      <c r="CL19" s="77">
        <v>12.057280089608501</v>
      </c>
      <c r="CM19" s="77">
        <v>22.3083578349421</v>
      </c>
      <c r="CN19" s="77">
        <v>25.610158060876799</v>
      </c>
      <c r="CO19" s="77">
        <v>29.910512220676601</v>
      </c>
      <c r="CP19" s="77">
        <v>27.519088060489299</v>
      </c>
      <c r="CQ19" s="77">
        <v>20.158557986085</v>
      </c>
      <c r="CR19" s="77">
        <v>20.805302158401702</v>
      </c>
      <c r="CS19" s="77">
        <v>18.438998949215598</v>
      </c>
      <c r="CT19" s="77"/>
      <c r="CU19" s="77">
        <v>11.954277218023201</v>
      </c>
      <c r="CV19" s="77">
        <v>22.1905727448578</v>
      </c>
      <c r="CW19" s="77">
        <v>26.456360431069001</v>
      </c>
      <c r="CX19" s="77">
        <v>29.342828843704002</v>
      </c>
      <c r="CY19" s="77">
        <v>27.519088060489299</v>
      </c>
      <c r="CZ19" s="77">
        <v>21.045087691751601</v>
      </c>
      <c r="DA19" s="77">
        <v>19.800049661945199</v>
      </c>
      <c r="DB19" s="77">
        <v>15.8942527956996</v>
      </c>
      <c r="DD19" s="77">
        <v>15.393528870999999</v>
      </c>
      <c r="DE19" s="77">
        <v>30.177838453</v>
      </c>
      <c r="DF19" s="77">
        <v>31.2089038913</v>
      </c>
      <c r="DG19" s="77">
        <v>36.344303805899997</v>
      </c>
      <c r="DH19" s="77">
        <v>31.201590888610699</v>
      </c>
      <c r="DI19" s="466">
        <v>27.7700410712714</v>
      </c>
      <c r="DJ19" s="77">
        <v>28.904897413400501</v>
      </c>
      <c r="DK19" s="77">
        <v>24.843808232702301</v>
      </c>
      <c r="DL19" s="77"/>
      <c r="DM19" s="77">
        <v>15.541045736966799</v>
      </c>
      <c r="DN19" s="77">
        <v>30.0801321847627</v>
      </c>
      <c r="DO19" s="77">
        <v>32.573730725572197</v>
      </c>
      <c r="DP19" s="77">
        <v>34.979458579586797</v>
      </c>
      <c r="DQ19" s="77">
        <v>31.201590888610699</v>
      </c>
      <c r="DR19" s="77">
        <v>28.904897413400501</v>
      </c>
      <c r="DS19" s="77">
        <v>24.843808232702301</v>
      </c>
      <c r="DT19" s="77">
        <v>22.357928072476799</v>
      </c>
      <c r="DV19" s="77">
        <v>19.625992564000001</v>
      </c>
      <c r="DW19" s="77">
        <v>40.167995968</v>
      </c>
      <c r="DX19" s="77">
        <v>38.408301572200003</v>
      </c>
      <c r="DY19" s="77">
        <v>41.170945494100003</v>
      </c>
      <c r="DZ19" s="77">
        <v>35.022555453768597</v>
      </c>
      <c r="EA19" s="77">
        <v>29.8450200420036</v>
      </c>
      <c r="EB19" s="77">
        <v>31.072942319221301</v>
      </c>
      <c r="EC19" s="77">
        <v>26.6818294636461</v>
      </c>
      <c r="ED19" s="77"/>
      <c r="EE19" s="77">
        <v>19.451601280193199</v>
      </c>
      <c r="EF19" s="77">
        <v>40.077675415065102</v>
      </c>
      <c r="EG19" s="77">
        <v>39.535449209622797</v>
      </c>
      <c r="EH19" s="77">
        <v>39.283498563234701</v>
      </c>
      <c r="EI19" s="77">
        <v>35.022555453768597</v>
      </c>
      <c r="EJ19" s="77">
        <v>31.072942319221301</v>
      </c>
      <c r="EK19" s="77">
        <v>26.6818294636461</v>
      </c>
      <c r="EL19" s="77">
        <v>24.222161977078301</v>
      </c>
      <c r="EN19" s="77">
        <v>23.157809429299999</v>
      </c>
      <c r="EO19" s="77">
        <v>43.073103402999998</v>
      </c>
      <c r="EP19" s="77">
        <v>45.069557104200001</v>
      </c>
      <c r="EQ19" s="77">
        <v>47.277670516000001</v>
      </c>
      <c r="ER19" s="77">
        <v>40.996689011498297</v>
      </c>
      <c r="ES19" s="77">
        <v>35.059284971051397</v>
      </c>
      <c r="ET19" s="77">
        <v>36.5743223115877</v>
      </c>
      <c r="EU19" s="77">
        <v>31.184027925934501</v>
      </c>
      <c r="EV19" s="77"/>
      <c r="EW19" s="77">
        <v>98.553477495928902</v>
      </c>
      <c r="EX19" s="77">
        <v>97.973267700032395</v>
      </c>
      <c r="EY19" s="77">
        <v>64.4983219987041</v>
      </c>
      <c r="EZ19" s="77">
        <v>39.004953267212898</v>
      </c>
      <c r="FA19" s="77">
        <v>40.996689011498297</v>
      </c>
      <c r="FB19" s="77">
        <v>36.848006085765697</v>
      </c>
      <c r="FC19" s="77">
        <v>31.908848210057901</v>
      </c>
      <c r="FD19" s="77">
        <v>25.1439649992918</v>
      </c>
      <c r="FE19" s="77"/>
      <c r="FF19" s="77"/>
      <c r="FG19" s="80">
        <v>0.43113119999999999</v>
      </c>
      <c r="FH19" s="80">
        <v>0.41456009999999999</v>
      </c>
      <c r="FI19" s="80">
        <v>0.4555997</v>
      </c>
      <c r="FJ19" s="80">
        <v>0.50601260000000003</v>
      </c>
      <c r="FK19" s="80">
        <v>0.50530375000000005</v>
      </c>
      <c r="FL19" s="80">
        <v>0.53103552499999995</v>
      </c>
      <c r="FM19" s="80">
        <v>0.52909700000000004</v>
      </c>
      <c r="FN19" s="80">
        <v>0.53685110000000003</v>
      </c>
      <c r="FO19" s="77"/>
      <c r="FP19" s="80">
        <v>0.43114980750899701</v>
      </c>
      <c r="FQ19" s="80">
        <v>0.41438985225680902</v>
      </c>
      <c r="FR19" s="80">
        <v>0.45637978442559801</v>
      </c>
      <c r="FS19" s="80">
        <v>0.50586094439553797</v>
      </c>
      <c r="FT19" s="80">
        <v>0.50530375000000005</v>
      </c>
      <c r="FU19" s="80">
        <v>0.52801554215472202</v>
      </c>
      <c r="FV19" s="80">
        <v>0.50600622046461097</v>
      </c>
      <c r="FW19" s="80">
        <v>0.53108976393502805</v>
      </c>
      <c r="FY19" s="80">
        <v>0.33769188596999999</v>
      </c>
      <c r="FZ19" s="80">
        <v>0.30645516075000001</v>
      </c>
      <c r="GA19" s="80">
        <v>0.37386701005099998</v>
      </c>
      <c r="GB19" s="80">
        <v>0.416436516039</v>
      </c>
      <c r="GC19" s="80">
        <v>0.422569382434</v>
      </c>
      <c r="GD19" s="80">
        <v>0.38472984331861698</v>
      </c>
      <c r="GE19" s="80">
        <v>0.38075668711109301</v>
      </c>
      <c r="GF19" s="80">
        <v>0.395367779102344</v>
      </c>
      <c r="GG19" s="77"/>
      <c r="GH19" s="80">
        <v>0.33156067251462001</v>
      </c>
      <c r="GI19" s="80">
        <v>0.30605752961082899</v>
      </c>
      <c r="GJ19" s="80">
        <v>0.36929570411703699</v>
      </c>
      <c r="GK19" s="80">
        <v>0.42482940196657898</v>
      </c>
      <c r="GL19" s="80">
        <v>0.422569382434</v>
      </c>
      <c r="GM19" s="80">
        <v>0.38044391537143402</v>
      </c>
      <c r="GN19" s="80">
        <v>0.406725359100641</v>
      </c>
      <c r="GO19" s="80">
        <v>0.39850687317943601</v>
      </c>
      <c r="GQ19" s="80">
        <v>0.23076569999999999</v>
      </c>
      <c r="GR19" s="80">
        <v>0.21836720000000001</v>
      </c>
      <c r="GS19" s="80">
        <v>0.26446330000000001</v>
      </c>
      <c r="GT19" s="80">
        <v>0.32962229999999998</v>
      </c>
      <c r="GU19" s="80">
        <v>0.32650715000000002</v>
      </c>
      <c r="GV19" s="80">
        <v>0.30623105094597802</v>
      </c>
      <c r="GW19" s="80">
        <v>0.30303505527882502</v>
      </c>
      <c r="GX19" s="80">
        <v>0.31478817653994701</v>
      </c>
      <c r="GY19" s="77"/>
      <c r="GZ19" s="80">
        <v>0.23019919590643301</v>
      </c>
      <c r="HA19" s="80">
        <v>0.216827411167513</v>
      </c>
      <c r="HB19" s="80">
        <v>0.25812497764423897</v>
      </c>
      <c r="HC19" s="80">
        <v>0.31892429208532602</v>
      </c>
      <c r="HD19" s="80">
        <v>0.32650715000000002</v>
      </c>
      <c r="HE19" s="80">
        <v>0.30079880453908198</v>
      </c>
      <c r="HF19" s="80">
        <v>0.30563091637998901</v>
      </c>
      <c r="HG19" s="80">
        <v>0.31618036012780099</v>
      </c>
      <c r="HI19" s="80">
        <v>0.120872223422551</v>
      </c>
      <c r="HJ19" s="80">
        <v>0.20840111808634099</v>
      </c>
      <c r="HK19" s="80">
        <v>0.19644337525886299</v>
      </c>
      <c r="HL19" s="80">
        <v>0.19444654086459101</v>
      </c>
      <c r="HM19" s="80">
        <v>0.33140179561469402</v>
      </c>
      <c r="HN19" s="80">
        <v>0.33140179561469402</v>
      </c>
      <c r="HO19" s="80">
        <f>IF(ISERROR((AF19/AC19)^(1/2)-1),"--",(AF19/AC19)^(1/2)-1)</f>
        <v>0.12070521088601649</v>
      </c>
      <c r="HP19" s="80">
        <f>IF(ISERROR((W19/T19)^(1/2)-1),"--",(W19/T19)^(1/2)-1)</f>
        <v>7.9739493669482409E-2</v>
      </c>
      <c r="HR19" s="80">
        <v>0.143545628876178</v>
      </c>
      <c r="HS19" s="80">
        <v>0.231903474229222</v>
      </c>
      <c r="HT19" s="80">
        <v>0.25611554153654198</v>
      </c>
      <c r="HU19" s="80">
        <v>0.25979834951653502</v>
      </c>
      <c r="HV19" s="80">
        <v>0.47872373834123699</v>
      </c>
      <c r="HW19" s="80">
        <v>0.47872373834123699</v>
      </c>
      <c r="HX19" s="80">
        <f>IF(ISERROR((AX19/AU19)^(1/2)-1),"--",(AX19/AU19)^(1/2)-1)</f>
        <v>0.12086612463297808</v>
      </c>
      <c r="HY19" s="80">
        <f>IF(ISERROR((AO19/AL19)^(1/2)-1),"--",(AO19/AL19)^(1/2)-1)</f>
        <v>0.10397898135834316</v>
      </c>
      <c r="HZ19" s="80"/>
      <c r="IA19" s="80">
        <v>0.14771979505288499</v>
      </c>
      <c r="IB19" s="80">
        <v>0.24516035941270001</v>
      </c>
      <c r="IC19" s="80">
        <v>0.23563403584591899</v>
      </c>
      <c r="ID19" s="80">
        <v>0.29261440519820903</v>
      </c>
      <c r="IE19" s="80">
        <v>0.48299879451215999</v>
      </c>
      <c r="IF19" s="80">
        <v>0.53161442795707303</v>
      </c>
      <c r="IG19" s="80">
        <f>IF(ISERROR((BP19/BM19)^(1/2)-1),"--",(BP19/BM19)^(1/2)-1)</f>
        <v>0.11564291718812969</v>
      </c>
      <c r="IH19" s="80">
        <f>IF(ISERROR((BG19/BD19)^(1/2)-1),"--",(BG19/BD19)^(1/2)-1)</f>
        <v>3.2448397119409167E-2</v>
      </c>
      <c r="IJ19" s="80">
        <v>0.155934804805405</v>
      </c>
      <c r="IK19" s="80">
        <v>0.25795036714958097</v>
      </c>
      <c r="IL19" s="80">
        <v>0.27687772659441301</v>
      </c>
      <c r="IM19" s="80">
        <v>0.340470422082298</v>
      </c>
      <c r="IN19" s="80">
        <v>0.33140179561469402</v>
      </c>
      <c r="IO19" s="80">
        <v>0.62153139075129205</v>
      </c>
      <c r="IP19" s="80" t="str">
        <f>IF(ISERROR((#REF!/#REF!)^(1/2)-1),"--",(#REF!/#REF!)^(1/2)-1)</f>
        <v>--</v>
      </c>
      <c r="IQ19" s="80" t="str">
        <f>IF(ISERROR((#REF!/#REF!)^(1/2)-1),"--",(#REF!/#REF!)^(1/2)-1)</f>
        <v>--</v>
      </c>
      <c r="IR19" s="80"/>
      <c r="IS19" s="80">
        <v>0.14316588362803301</v>
      </c>
      <c r="IT19" s="80">
        <v>0.270091505336569</v>
      </c>
      <c r="IU19" s="80">
        <v>0.30677664090053802</v>
      </c>
      <c r="IV19" s="80">
        <v>0.36202181555246299</v>
      </c>
      <c r="IW19" s="80">
        <v>0.69461307975117903</v>
      </c>
      <c r="IX19" s="80">
        <v>0.69749067049973501</v>
      </c>
      <c r="IY19" s="80" t="str">
        <f>IF(ISERROR((#REF!/#REF!)^(1/2)-1),"--",(#REF!/#REF!)^(1/2)-1)</f>
        <v>--</v>
      </c>
      <c r="IZ19" s="80" t="str">
        <f>IF(ISERROR((#REF!/#REF!)^(1/2)-1),"--",(#REF!/#REF!)^(1/2)-1)</f>
        <v>--</v>
      </c>
      <c r="JC19" s="50" t="s">
        <v>677</v>
      </c>
    </row>
    <row r="20" spans="1:263" ht="5.25" customHeight="1">
      <c r="B20" s="85"/>
      <c r="J20" s="75"/>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Y20" s="293"/>
      <c r="DI20" s="293"/>
    </row>
    <row r="21" spans="1:263">
      <c r="A21" s="100"/>
      <c r="B21" s="101" t="s">
        <v>501</v>
      </c>
      <c r="C21" s="102"/>
      <c r="D21" s="100" t="s">
        <v>678</v>
      </c>
      <c r="E21" s="181">
        <v>48.27</v>
      </c>
      <c r="F21" s="103">
        <v>196507.17</v>
      </c>
      <c r="G21" s="103">
        <v>206195.17</v>
      </c>
      <c r="H21" s="103">
        <v>9688</v>
      </c>
      <c r="I21" s="103">
        <v>95391</v>
      </c>
      <c r="J21" s="104">
        <v>0.54547207328059699</v>
      </c>
      <c r="K21" s="103">
        <v>12.816505314391</v>
      </c>
      <c r="L21" s="105">
        <f>+J21/(1+((1-K21/100)*(H21/F21)))</f>
        <v>0.52299262901919163</v>
      </c>
      <c r="M21" s="100"/>
      <c r="N21" s="106">
        <v>44555</v>
      </c>
      <c r="O21" s="106">
        <v>44555</v>
      </c>
      <c r="P21" s="107"/>
      <c r="Q21" s="108">
        <v>70848</v>
      </c>
      <c r="R21" s="109">
        <v>71965</v>
      </c>
      <c r="S21" s="109">
        <v>77867</v>
      </c>
      <c r="T21" s="109">
        <v>79024</v>
      </c>
      <c r="U21" s="109">
        <v>79024</v>
      </c>
      <c r="V21" s="109">
        <v>76551.347472499998</v>
      </c>
      <c r="W21" s="109">
        <v>76116.237649999995</v>
      </c>
      <c r="X21" s="109">
        <v>77856.676940000005</v>
      </c>
      <c r="Y21" s="108"/>
      <c r="Z21" s="108">
        <v>70848</v>
      </c>
      <c r="AA21" s="109">
        <v>71965</v>
      </c>
      <c r="AB21" s="109">
        <v>77867</v>
      </c>
      <c r="AC21" s="109">
        <v>79024</v>
      </c>
      <c r="AD21" s="109">
        <v>79024</v>
      </c>
      <c r="AE21" s="109">
        <v>75021.318199999994</v>
      </c>
      <c r="AF21" s="109">
        <v>77425.731759999995</v>
      </c>
      <c r="AG21" s="109">
        <v>86481.68</v>
      </c>
      <c r="AH21" s="100"/>
      <c r="AI21" s="109">
        <v>43737</v>
      </c>
      <c r="AJ21" s="109">
        <v>42140</v>
      </c>
      <c r="AK21" s="109">
        <v>43612</v>
      </c>
      <c r="AL21" s="109">
        <v>43815</v>
      </c>
      <c r="AM21" s="109">
        <v>43815</v>
      </c>
      <c r="AN21" s="109">
        <v>39143.254487500002</v>
      </c>
      <c r="AO21" s="109">
        <v>38785.845600000001</v>
      </c>
      <c r="AP21" s="109">
        <v>40215.48115</v>
      </c>
      <c r="AQ21" s="109"/>
      <c r="AR21" s="109">
        <v>43737</v>
      </c>
      <c r="AS21" s="109">
        <v>42140</v>
      </c>
      <c r="AT21" s="109">
        <v>43612</v>
      </c>
      <c r="AU21" s="109">
        <v>43815</v>
      </c>
      <c r="AV21" s="109">
        <v>43815</v>
      </c>
      <c r="AW21" s="109">
        <v>38507.504350000003</v>
      </c>
      <c r="AX21" s="109">
        <v>40464.773690000002</v>
      </c>
      <c r="AY21" s="109">
        <v>43749</v>
      </c>
      <c r="AZ21" s="108"/>
      <c r="BA21" s="109">
        <v>32329</v>
      </c>
      <c r="BB21" s="109">
        <v>34578</v>
      </c>
      <c r="BC21" s="109">
        <v>37531</v>
      </c>
      <c r="BD21" s="109">
        <v>33997</v>
      </c>
      <c r="BE21" s="109">
        <v>33997</v>
      </c>
      <c r="BF21" s="109">
        <v>29799.173500000001</v>
      </c>
      <c r="BG21" s="109">
        <v>29206.467000000001</v>
      </c>
      <c r="BH21" s="109">
        <v>31577.293000000001</v>
      </c>
      <c r="BI21" s="109"/>
      <c r="BJ21" s="109">
        <v>32344</v>
      </c>
      <c r="BK21" s="109">
        <v>33254</v>
      </c>
      <c r="BL21" s="109">
        <v>37531</v>
      </c>
      <c r="BM21" s="109">
        <v>33997</v>
      </c>
      <c r="BN21" s="109">
        <v>33997</v>
      </c>
      <c r="BO21" s="109">
        <v>28959.111669999998</v>
      </c>
      <c r="BP21" s="109">
        <v>31987.724999999999</v>
      </c>
      <c r="BQ21" s="109">
        <v>44311.3</v>
      </c>
      <c r="BR21" s="108"/>
      <c r="BS21" s="107"/>
      <c r="BT21" s="570">
        <v>3.1875564590000001</v>
      </c>
      <c r="BU21" s="570">
        <v>3.8021427079999999</v>
      </c>
      <c r="BV21" s="570">
        <v>2.6160548114000002</v>
      </c>
      <c r="BW21" s="570">
        <v>2.7652320814000002</v>
      </c>
      <c r="BX21" s="570">
        <v>2.6092727525815</v>
      </c>
      <c r="BY21" s="571">
        <v>2.6935537623824701</v>
      </c>
      <c r="BZ21" s="570">
        <v>2.7089511563634199</v>
      </c>
      <c r="CA21" s="570">
        <v>2.6483941789463201</v>
      </c>
      <c r="CB21" s="107"/>
      <c r="CC21" s="107">
        <v>3.1875564588979199</v>
      </c>
      <c r="CD21" s="107">
        <v>3.80214270826096</v>
      </c>
      <c r="CE21" s="107">
        <v>2.6160548114091999</v>
      </c>
      <c r="CF21" s="107">
        <v>2.7652320813929898</v>
      </c>
      <c r="CG21" s="107">
        <v>2.6092727525815</v>
      </c>
      <c r="CH21" s="107">
        <v>2.7089511563634199</v>
      </c>
      <c r="CI21" s="107">
        <v>2.6483941789463201</v>
      </c>
      <c r="CJ21" s="107">
        <v>2.4794523759171998</v>
      </c>
      <c r="CK21" s="100"/>
      <c r="CL21" s="107">
        <v>5.1634085556851197</v>
      </c>
      <c r="CM21" s="107">
        <v>6.4931466540104399</v>
      </c>
      <c r="CN21" s="107">
        <v>4.6708323397230096</v>
      </c>
      <c r="CO21" s="107">
        <v>4.9873262581307802</v>
      </c>
      <c r="CP21" s="107">
        <v>5.4633822321122896</v>
      </c>
      <c r="CQ21" s="107">
        <v>5.2677063442909802</v>
      </c>
      <c r="CR21" s="107">
        <v>5.3162478943091598</v>
      </c>
      <c r="CS21" s="107">
        <v>5.1272585607246999</v>
      </c>
      <c r="CT21" s="107"/>
      <c r="CU21" s="107">
        <v>5.1634085556851197</v>
      </c>
      <c r="CV21" s="107">
        <v>6.4931466540104399</v>
      </c>
      <c r="CW21" s="107">
        <v>4.6708323397230096</v>
      </c>
      <c r="CX21" s="107">
        <v>4.9873262581307802</v>
      </c>
      <c r="CY21" s="107">
        <v>5.4633822321122896</v>
      </c>
      <c r="CZ21" s="107">
        <v>5.35467497778781</v>
      </c>
      <c r="DA21" s="107">
        <v>5.0956709057526997</v>
      </c>
      <c r="DB21" s="107">
        <v>4.7131401860614002</v>
      </c>
      <c r="DC21" s="100"/>
      <c r="DD21" s="107">
        <v>6.9854310369999997</v>
      </c>
      <c r="DE21" s="107">
        <v>7.9131586558000002</v>
      </c>
      <c r="DF21" s="107">
        <v>5.4276288933999997</v>
      </c>
      <c r="DG21" s="107">
        <v>6.4276171427</v>
      </c>
      <c r="DH21" s="107">
        <v>6.0650989793217098</v>
      </c>
      <c r="DI21" s="468">
        <v>6.9194929181509099</v>
      </c>
      <c r="DJ21" s="107">
        <v>7.05991484694127</v>
      </c>
      <c r="DK21" s="107">
        <v>6.5298558049292001</v>
      </c>
      <c r="DL21" s="107"/>
      <c r="DM21" s="107">
        <v>6.9821914419985198</v>
      </c>
      <c r="DN21" s="107">
        <v>8.2282191616046205</v>
      </c>
      <c r="DO21" s="107">
        <v>5.4276288934480803</v>
      </c>
      <c r="DP21" s="107">
        <v>6.4276171426890603</v>
      </c>
      <c r="DQ21" s="107">
        <v>6.0650989793217098</v>
      </c>
      <c r="DR21" s="107">
        <v>7.05991484694127</v>
      </c>
      <c r="DS21" s="107">
        <v>6.5298558049292001</v>
      </c>
      <c r="DT21" s="107">
        <v>5.6206742794041</v>
      </c>
      <c r="DU21" s="100"/>
      <c r="DV21" s="107">
        <v>9.7157115820000008</v>
      </c>
      <c r="DW21" s="107">
        <v>11.519922532800001</v>
      </c>
      <c r="DX21" s="107">
        <v>8.0541016921999997</v>
      </c>
      <c r="DY21" s="107">
        <v>9.8410132853000007</v>
      </c>
      <c r="DZ21" s="107">
        <v>9.2859792839450694</v>
      </c>
      <c r="EA21" s="107">
        <v>12.303409590886501</v>
      </c>
      <c r="EB21" s="107">
        <v>12.482417759203299</v>
      </c>
      <c r="EC21" s="107">
        <v>11.7959199219212</v>
      </c>
      <c r="ED21" s="107"/>
      <c r="EE21" s="107">
        <v>9.7157115814833901</v>
      </c>
      <c r="EF21" s="107">
        <v>12.199982165150701</v>
      </c>
      <c r="EG21" s="107">
        <v>8.0541016922347008</v>
      </c>
      <c r="EH21" s="107">
        <v>9.8410132852961105</v>
      </c>
      <c r="EI21" s="107">
        <v>9.2859792839450694</v>
      </c>
      <c r="EJ21" s="107">
        <v>12.482417759203299</v>
      </c>
      <c r="EK21" s="107">
        <v>11.7959199219212</v>
      </c>
      <c r="EL21" s="107">
        <v>10.8213958999102</v>
      </c>
      <c r="EM21" s="100"/>
      <c r="EN21" s="107">
        <v>10.589884904</v>
      </c>
      <c r="EO21" s="107">
        <v>12.767847465999999</v>
      </c>
      <c r="EP21" s="107">
        <v>9.5315622893</v>
      </c>
      <c r="EQ21" s="107">
        <v>10.5626119357</v>
      </c>
      <c r="ER21" s="107">
        <v>9.9338770520648794</v>
      </c>
      <c r="ES21" s="107">
        <v>13.484445537031201</v>
      </c>
      <c r="ET21" s="107">
        <v>13.6675227154964</v>
      </c>
      <c r="EU21" s="107">
        <v>12.963505061057701</v>
      </c>
      <c r="EV21" s="107"/>
      <c r="EW21" s="107">
        <v>10.9167886051072</v>
      </c>
      <c r="EX21" s="107">
        <v>10.2145110810622</v>
      </c>
      <c r="EY21" s="107">
        <v>9.7689018232450096</v>
      </c>
      <c r="EZ21" s="107">
        <v>9.9338770520648794</v>
      </c>
      <c r="FA21" s="107">
        <v>9.9338770520648794</v>
      </c>
      <c r="FB21" s="107">
        <v>13.8472527819294</v>
      </c>
      <c r="FC21" s="107">
        <v>13.137374974484599</v>
      </c>
      <c r="FD21" s="107">
        <v>11.199535962877</v>
      </c>
      <c r="FE21" s="107"/>
      <c r="FF21" s="107"/>
      <c r="FG21" s="110">
        <v>0.61733570000000004</v>
      </c>
      <c r="FH21" s="110">
        <v>0.58556240000000004</v>
      </c>
      <c r="FI21" s="110">
        <v>0.5600832</v>
      </c>
      <c r="FJ21" s="110">
        <v>0.55445180000000005</v>
      </c>
      <c r="FK21" s="110">
        <v>0.55469127500000004</v>
      </c>
      <c r="FL21" s="110">
        <v>0.51918182499999999</v>
      </c>
      <c r="FM21" s="110">
        <v>0.51856679999999999</v>
      </c>
      <c r="FN21" s="110">
        <v>0.52102689999999996</v>
      </c>
      <c r="FO21" s="107"/>
      <c r="FP21" s="110">
        <v>0.61733570460704601</v>
      </c>
      <c r="FQ21" s="110">
        <v>0.58556242617939303</v>
      </c>
      <c r="FR21" s="110">
        <v>0.56008321882183698</v>
      </c>
      <c r="FS21" s="110">
        <v>0.55445181210771399</v>
      </c>
      <c r="FT21" s="110">
        <v>0.55469127500000004</v>
      </c>
      <c r="FU21" s="110">
        <v>0.51328749312751998</v>
      </c>
      <c r="FV21" s="110">
        <v>0.52262694546343402</v>
      </c>
      <c r="FW21" s="110">
        <v>0.50587592655461799</v>
      </c>
      <c r="FX21" s="100"/>
      <c r="FY21" s="110">
        <v>0.45631492772999999</v>
      </c>
      <c r="FZ21" s="110">
        <v>0.48048356840099998</v>
      </c>
      <c r="GA21" s="110">
        <v>0.48198851888499999</v>
      </c>
      <c r="GB21" s="110">
        <v>0.43021107511599999</v>
      </c>
      <c r="GC21" s="110">
        <v>0.43056176959275</v>
      </c>
      <c r="GD21" s="110">
        <v>0.38927039802538999</v>
      </c>
      <c r="GE21" s="110">
        <v>0.38370875783821701</v>
      </c>
      <c r="GF21" s="110">
        <v>0.40558233720063502</v>
      </c>
      <c r="GG21" s="107"/>
      <c r="GH21" s="110">
        <v>0.45652664859981901</v>
      </c>
      <c r="GI21" s="110">
        <v>0.46208573612172599</v>
      </c>
      <c r="GJ21" s="110">
        <v>0.48198851888476502</v>
      </c>
      <c r="GK21" s="110">
        <v>0.43021107511641998</v>
      </c>
      <c r="GL21" s="110">
        <v>0.43056176959275</v>
      </c>
      <c r="GM21" s="110">
        <v>0.386011767919055</v>
      </c>
      <c r="GN21" s="110">
        <v>0.41314075143847201</v>
      </c>
      <c r="GO21" s="110">
        <v>0.51237788165077303</v>
      </c>
      <c r="GP21" s="100"/>
      <c r="GQ21" s="110">
        <v>0.29292289999999999</v>
      </c>
      <c r="GR21" s="110">
        <v>0.2924755</v>
      </c>
      <c r="GS21" s="110">
        <v>0.26839350000000001</v>
      </c>
      <c r="GT21" s="110">
        <v>0.25141730000000001</v>
      </c>
      <c r="GU21" s="110">
        <v>0.25234177499999999</v>
      </c>
      <c r="GV21" s="110">
        <v>0.187030816996962</v>
      </c>
      <c r="GW21" s="110">
        <v>0.185273370247826</v>
      </c>
      <c r="GX21" s="110">
        <v>0.192185297242151</v>
      </c>
      <c r="GY21" s="107"/>
      <c r="GZ21" s="110">
        <v>0.29292287714543802</v>
      </c>
      <c r="HA21" s="110">
        <v>0.29247550892795099</v>
      </c>
      <c r="HB21" s="110">
        <v>0.26839354283586098</v>
      </c>
      <c r="HC21" s="110">
        <v>0.25141729094958498</v>
      </c>
      <c r="HD21" s="110">
        <v>0.25234177499999999</v>
      </c>
      <c r="HE21" s="110">
        <v>0.18722681415107401</v>
      </c>
      <c r="HF21" s="110">
        <v>0.192887347145687</v>
      </c>
      <c r="HG21" s="110">
        <v>0.21049232623603101</v>
      </c>
      <c r="HH21" s="100"/>
      <c r="HI21" s="110">
        <v>5.5500633130368002E-2</v>
      </c>
      <c r="HJ21" s="110">
        <v>6.112617042698E-2</v>
      </c>
      <c r="HK21" s="110">
        <v>5.9295893065680998E-2</v>
      </c>
      <c r="HL21" s="110">
        <v>3.7075731062418002E-2</v>
      </c>
      <c r="HM21" s="110">
        <v>1.4858669269396999E-2</v>
      </c>
      <c r="HN21" s="110">
        <v>1.4858669269395001E-2</v>
      </c>
      <c r="HO21" s="110">
        <f>IF(ISERROR((AF21/AC21)^(1/2)-1),"--",(AF21/AC21)^(1/2)-1)</f>
        <v>-1.0164205138229243E-2</v>
      </c>
      <c r="HP21" s="110">
        <f>IF(ISERROR((W21/T21)^(1/2)-1),"--",(W21/T21)^(1/2)-1)</f>
        <v>-1.8570399794799797E-2</v>
      </c>
      <c r="HQ21" s="100"/>
      <c r="HR21" s="110">
        <v>3.9901689844009998E-2</v>
      </c>
      <c r="HS21" s="110">
        <v>3.9743087458138003E-2</v>
      </c>
      <c r="HT21" s="110">
        <v>2.8885551289972999E-2</v>
      </c>
      <c r="HU21" s="110">
        <v>5.9410931874599997E-4</v>
      </c>
      <c r="HV21" s="110">
        <v>4.6546821975599999E-3</v>
      </c>
      <c r="HW21" s="110">
        <v>4.6546821975599999E-3</v>
      </c>
      <c r="HX21" s="110">
        <f>IF(ISERROR((AX21/AU21)^(1/2)-1),"--",(AX21/AU21)^(1/2)-1)</f>
        <v>-3.8991674958633316E-2</v>
      </c>
      <c r="HY21" s="110">
        <f>IF(ISERROR((AO21/AL21)^(1/2)-1),"--",(AO21/AL21)^(1/2)-1)</f>
        <v>-5.9139525729866471E-2</v>
      </c>
      <c r="HZ21" s="110"/>
      <c r="IA21" s="110">
        <v>4.8341506898250002E-2</v>
      </c>
      <c r="IB21" s="110">
        <v>6.6780118723782006E-2</v>
      </c>
      <c r="IC21" s="110">
        <v>6.3200695731667006E-2</v>
      </c>
      <c r="ID21" s="110">
        <v>1.6753374149791E-2</v>
      </c>
      <c r="IE21" s="110">
        <v>-9.4162159281659996E-2</v>
      </c>
      <c r="IF21" s="110">
        <v>-9.4162159281659996E-2</v>
      </c>
      <c r="IG21" s="110">
        <f>IF(ISERROR((BP21/BM21)^(1/2)-1),"--",(BP21/BM21)^(1/2)-1)</f>
        <v>-3.000079297508329E-2</v>
      </c>
      <c r="IH21" s="110">
        <f>IF(ISERROR((BG21/BD21)^(1/2)-1),"--",(BG21/BD21)^(1/2)-1)</f>
        <v>-7.3129169025092366E-2</v>
      </c>
      <c r="II21" s="100"/>
      <c r="IJ21" s="110">
        <v>3.2687988137208003E-2</v>
      </c>
      <c r="IK21" s="110">
        <v>7.5398817615925998E-2</v>
      </c>
      <c r="IL21" s="110">
        <v>4.7629691648435002E-2</v>
      </c>
      <c r="IM21" s="110">
        <v>-1.5127592588082999E-2</v>
      </c>
      <c r="IN21" s="110">
        <v>1.4858669269395001E-2</v>
      </c>
      <c r="IO21" s="110">
        <v>-4.9838837899429996E-3</v>
      </c>
      <c r="IP21" s="110" t="str">
        <f>IF(ISERROR((#REF!/#REF!)^(1/2)-1),"--",(#REF!/#REF!)^(1/2)-1)</f>
        <v>--</v>
      </c>
      <c r="IQ21" s="110" t="str">
        <f>IF(ISERROR((#REF!/#REF!)^(1/2)-1),"--",(#REF!/#REF!)^(1/2)-1)</f>
        <v>--</v>
      </c>
      <c r="IR21" s="110"/>
      <c r="IS21" s="110">
        <v>8.3436420165554998E-2</v>
      </c>
      <c r="IT21" s="110">
        <v>0.12989837141671601</v>
      </c>
      <c r="IU21" s="110">
        <v>0.116232301122045</v>
      </c>
      <c r="IV21" s="110">
        <v>3.1950121885068003E-2</v>
      </c>
      <c r="IW21" s="110">
        <v>-1.6327381928709001E-2</v>
      </c>
      <c r="IX21" s="110">
        <v>-1.6607335479915001E-2</v>
      </c>
      <c r="IY21" s="110" t="str">
        <f>IF(ISERROR((#REF!/#REF!)^(1/2)-1),"--",(#REF!/#REF!)^(1/2)-1)</f>
        <v>--</v>
      </c>
      <c r="IZ21" s="110" t="str">
        <f>IF(ISERROR((#REF!/#REF!)^(1/2)-1),"--",(#REF!/#REF!)^(1/2)-1)</f>
        <v>--</v>
      </c>
      <c r="JA21" s="100"/>
      <c r="JC21" s="50" t="s">
        <v>679</v>
      </c>
    </row>
    <row r="22" spans="1:263">
      <c r="G22" s="234"/>
    </row>
    <row r="23" spans="1:263">
      <c r="B23" s="85"/>
      <c r="C23" s="86" t="s">
        <v>680</v>
      </c>
      <c r="D23" s="1041"/>
      <c r="E23" s="1042"/>
      <c r="F23" s="1042"/>
      <c r="G23" s="1042"/>
      <c r="H23" s="1042"/>
      <c r="I23" s="1042"/>
      <c r="J23" s="1043"/>
      <c r="K23" s="1042"/>
      <c r="L23" s="1042"/>
      <c r="M23" s="1042"/>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2"/>
      <c r="AI23" s="1045"/>
      <c r="AJ23" s="1045"/>
      <c r="AK23" s="1045"/>
      <c r="AL23" s="1045"/>
      <c r="AM23" s="1045"/>
      <c r="AN23" s="1045"/>
      <c r="AO23" s="1045"/>
      <c r="AP23" s="1045"/>
      <c r="AQ23" s="1045"/>
      <c r="AR23" s="1045"/>
      <c r="AS23" s="1045"/>
      <c r="AT23" s="1045"/>
      <c r="AU23" s="1045"/>
      <c r="AV23" s="1045"/>
      <c r="AW23" s="1045"/>
      <c r="AX23" s="1045"/>
      <c r="AY23" s="1045"/>
      <c r="AZ23" s="1046"/>
      <c r="BA23" s="1045"/>
      <c r="BB23" s="1045"/>
      <c r="BC23" s="1045"/>
      <c r="BD23" s="1045"/>
      <c r="BE23" s="1045"/>
      <c r="BF23" s="1045"/>
      <c r="BG23" s="1045"/>
      <c r="BH23" s="1045"/>
      <c r="BI23" s="1045"/>
      <c r="BJ23" s="1045"/>
      <c r="BK23" s="1045"/>
      <c r="BL23" s="1045"/>
      <c r="BM23" s="1045"/>
      <c r="BN23" s="1045"/>
      <c r="BO23" s="1045"/>
      <c r="BP23" s="1045"/>
      <c r="BQ23" s="1045"/>
      <c r="BR23" s="1046"/>
      <c r="BS23" s="1044"/>
      <c r="BT23" s="1047"/>
      <c r="BU23" s="1047"/>
      <c r="BV23" s="1047"/>
      <c r="BW23" s="1047"/>
      <c r="BX23" s="1047"/>
      <c r="BY23" s="1047"/>
      <c r="BZ23" s="1047"/>
      <c r="CA23" s="1047"/>
      <c r="CB23" s="1047"/>
      <c r="CC23" s="1044"/>
      <c r="CD23" s="1044"/>
      <c r="CE23" s="1044"/>
      <c r="CF23" s="1044"/>
      <c r="CG23" s="1044"/>
      <c r="CH23" s="1044"/>
      <c r="CI23" s="1044"/>
      <c r="CJ23" s="1044"/>
      <c r="CK23" s="1042"/>
      <c r="CL23" s="1044"/>
      <c r="CM23" s="1044"/>
      <c r="CN23" s="1044"/>
      <c r="CO23" s="1044"/>
      <c r="CP23" s="1044"/>
      <c r="CQ23" s="1044"/>
      <c r="CR23" s="1044"/>
      <c r="CS23" s="1044"/>
      <c r="CT23" s="1044"/>
      <c r="CU23" s="1044"/>
      <c r="CV23" s="1044"/>
      <c r="CW23" s="1044"/>
      <c r="CX23" s="1044"/>
      <c r="CY23" s="1044"/>
      <c r="CZ23" s="1044"/>
      <c r="DA23" s="1044"/>
      <c r="DB23" s="1044"/>
      <c r="DC23" s="1042"/>
      <c r="DD23" s="1048"/>
      <c r="DE23" s="1048"/>
      <c r="DF23" s="1048"/>
      <c r="DG23" s="1048"/>
      <c r="DH23" s="1048"/>
      <c r="DI23" s="1048"/>
      <c r="DJ23" s="1048"/>
      <c r="DK23" s="1048"/>
      <c r="DL23" s="1044"/>
      <c r="DM23" s="1044"/>
      <c r="DN23" s="1044"/>
      <c r="DO23" s="1044"/>
      <c r="DP23" s="1044"/>
      <c r="DQ23" s="1044"/>
      <c r="DR23" s="1044"/>
      <c r="DS23" s="1044"/>
      <c r="DT23" s="1044"/>
      <c r="DU23" s="1042"/>
      <c r="DV23" s="1044"/>
      <c r="DW23" s="1044"/>
      <c r="DX23" s="1044"/>
      <c r="DY23" s="1044"/>
      <c r="DZ23" s="1044"/>
      <c r="EA23" s="1044"/>
      <c r="EB23" s="1044"/>
      <c r="EC23" s="1044"/>
      <c r="ED23" s="1044"/>
      <c r="EE23" s="1044"/>
      <c r="EF23" s="1044"/>
      <c r="EG23" s="1044"/>
      <c r="EH23" s="1044"/>
      <c r="EI23" s="1044"/>
      <c r="EJ23" s="1044"/>
      <c r="EK23" s="1044"/>
      <c r="EL23" s="1044"/>
      <c r="EM23" s="1042"/>
      <c r="EN23" s="1048"/>
      <c r="EO23" s="1048"/>
      <c r="EP23" s="1048"/>
      <c r="EQ23" s="1048"/>
      <c r="ER23" s="1048"/>
      <c r="ES23" s="1048"/>
      <c r="ET23" s="1048"/>
      <c r="EU23" s="1048"/>
      <c r="EV23" s="1044"/>
      <c r="EW23" s="1044"/>
      <c r="EX23" s="1044"/>
      <c r="EY23" s="1044"/>
      <c r="EZ23" s="1044"/>
      <c r="FA23" s="1044"/>
      <c r="FB23" s="1044"/>
      <c r="FC23" s="1044"/>
      <c r="FD23" s="1044"/>
      <c r="FE23" s="1044"/>
      <c r="FF23" s="1044"/>
      <c r="FG23" s="1044"/>
      <c r="FH23" s="1044"/>
      <c r="FI23" s="1044"/>
      <c r="FJ23" s="1044"/>
      <c r="FK23" s="1044"/>
      <c r="FL23" s="1044"/>
      <c r="FM23" s="1044"/>
      <c r="FN23" s="1044"/>
      <c r="FO23" s="1044"/>
      <c r="FP23" s="1044"/>
      <c r="FQ23" s="1044"/>
      <c r="FR23" s="1044"/>
      <c r="FS23" s="1044"/>
      <c r="FT23" s="1044"/>
      <c r="FU23" s="1044"/>
      <c r="FV23" s="1044"/>
      <c r="FW23" s="1044"/>
      <c r="FX23" s="1042"/>
      <c r="FY23" s="1044"/>
      <c r="FZ23" s="1044"/>
      <c r="GA23" s="1044"/>
      <c r="GB23" s="1044"/>
      <c r="GC23" s="1044"/>
      <c r="GD23" s="1044"/>
      <c r="GE23" s="1044"/>
      <c r="GF23" s="1044"/>
      <c r="GG23" s="1044"/>
      <c r="GH23" s="1044"/>
      <c r="GI23" s="1044"/>
      <c r="GJ23" s="1044"/>
      <c r="GK23" s="1044"/>
      <c r="GL23" s="1044"/>
      <c r="GM23" s="1044"/>
      <c r="GN23" s="1044"/>
      <c r="GO23" s="1044"/>
      <c r="GP23" s="1042"/>
      <c r="GQ23" s="1044"/>
      <c r="GR23" s="1044"/>
      <c r="GS23" s="1044"/>
      <c r="GT23" s="1044"/>
      <c r="GU23" s="1044"/>
      <c r="GV23" s="1044"/>
      <c r="GW23" s="1044"/>
      <c r="GX23" s="1044"/>
      <c r="GY23" s="1044"/>
      <c r="GZ23" s="1044"/>
      <c r="HA23" s="1044"/>
      <c r="HB23" s="1044"/>
      <c r="HC23" s="1044"/>
      <c r="HD23" s="1044"/>
      <c r="HE23" s="1044"/>
      <c r="HF23" s="1044"/>
      <c r="HG23" s="1044"/>
      <c r="HH23" s="1042"/>
      <c r="HI23" s="1049"/>
      <c r="HJ23" s="1049"/>
      <c r="HK23" s="1049"/>
      <c r="HL23" s="1049"/>
      <c r="HM23" s="1049"/>
      <c r="HN23" s="1049"/>
      <c r="HO23" s="1049"/>
      <c r="HP23" s="1049"/>
      <c r="HQ23" s="1042"/>
      <c r="HR23" s="1044"/>
      <c r="HS23" s="1044"/>
      <c r="HT23" s="1044"/>
      <c r="HU23" s="1044"/>
      <c r="HV23" s="1044"/>
      <c r="HW23" s="1044"/>
      <c r="HX23" s="1044"/>
      <c r="HY23" s="1044"/>
      <c r="HZ23" s="1042"/>
      <c r="IA23" s="1044"/>
      <c r="IB23" s="1044"/>
      <c r="IC23" s="1044"/>
      <c r="ID23" s="1044"/>
      <c r="IE23" s="1044"/>
      <c r="IF23" s="1044"/>
      <c r="IG23" s="1044"/>
      <c r="IH23" s="1044"/>
      <c r="II23" s="1042"/>
      <c r="IJ23" s="1044"/>
      <c r="IK23" s="1044"/>
      <c r="IL23" s="1044"/>
      <c r="IM23" s="1044"/>
      <c r="IN23" s="1044"/>
      <c r="IO23" s="1044"/>
      <c r="IP23" s="1044"/>
      <c r="IQ23" s="1044"/>
      <c r="IR23" s="1042"/>
      <c r="IS23" s="1044"/>
      <c r="IT23" s="1044"/>
      <c r="IU23" s="1044"/>
      <c r="IV23" s="1044"/>
      <c r="IW23" s="1044"/>
      <c r="IX23" s="1044"/>
      <c r="IY23" s="1044"/>
      <c r="IZ23" s="1044"/>
      <c r="JA23" s="87"/>
    </row>
    <row r="24" spans="1:263">
      <c r="B24" s="85"/>
      <c r="C24" s="88" t="s">
        <v>681</v>
      </c>
      <c r="D24" s="89"/>
      <c r="E24" s="90"/>
      <c r="F24" s="90"/>
      <c r="G24" s="90"/>
      <c r="H24" s="90"/>
      <c r="I24" s="90"/>
      <c r="J24" s="91"/>
      <c r="K24" s="90"/>
      <c r="L24" s="90"/>
      <c r="M24" s="90"/>
      <c r="N24" s="92"/>
      <c r="O24" s="92"/>
      <c r="P24" s="92"/>
      <c r="Q24" s="92"/>
      <c r="R24" s="92"/>
      <c r="S24" s="92"/>
      <c r="T24" s="92"/>
      <c r="U24" s="92"/>
      <c r="V24" s="92"/>
      <c r="W24" s="92"/>
      <c r="X24" s="92"/>
      <c r="Y24" s="92"/>
      <c r="Z24" s="92"/>
      <c r="AA24" s="92"/>
      <c r="AB24" s="92"/>
      <c r="AC24" s="92"/>
      <c r="AD24" s="92"/>
      <c r="AE24" s="92"/>
      <c r="AF24" s="92"/>
      <c r="AG24" s="92"/>
      <c r="AH24" s="90"/>
      <c r="AI24" s="93"/>
      <c r="AJ24" s="93"/>
      <c r="AK24" s="93"/>
      <c r="AL24" s="93"/>
      <c r="AM24" s="93"/>
      <c r="AN24" s="93"/>
      <c r="AO24" s="93"/>
      <c r="AP24" s="93"/>
      <c r="AQ24" s="93"/>
      <c r="AR24" s="93"/>
      <c r="AS24" s="93"/>
      <c r="AT24" s="93"/>
      <c r="AU24" s="93"/>
      <c r="AV24" s="93"/>
      <c r="AW24" s="93"/>
      <c r="AX24" s="93"/>
      <c r="AY24" s="93"/>
      <c r="AZ24" s="94"/>
      <c r="BA24" s="93"/>
      <c r="BB24" s="93"/>
      <c r="BC24" s="93"/>
      <c r="BD24" s="93"/>
      <c r="BE24" s="93"/>
      <c r="BF24" s="93"/>
      <c r="BG24" s="93"/>
      <c r="BH24" s="93"/>
      <c r="BI24" s="93"/>
      <c r="BJ24" s="93"/>
      <c r="BK24" s="93"/>
      <c r="BL24" s="93"/>
      <c r="BM24" s="93"/>
      <c r="BN24" s="93"/>
      <c r="BO24" s="93"/>
      <c r="BP24" s="93"/>
      <c r="BQ24" s="93"/>
      <c r="BR24" s="94"/>
      <c r="BS24" s="92"/>
      <c r="BT24" s="95"/>
      <c r="BU24" s="95"/>
      <c r="BV24" s="95"/>
      <c r="BW24" s="95"/>
      <c r="BX24" s="95"/>
      <c r="BY24" s="95"/>
      <c r="BZ24" s="95"/>
      <c r="CA24" s="95"/>
      <c r="CB24" s="95"/>
      <c r="CC24" s="92"/>
      <c r="CD24" s="92"/>
      <c r="CE24" s="92"/>
      <c r="CF24" s="92"/>
      <c r="CG24" s="92"/>
      <c r="CH24" s="92"/>
      <c r="CI24" s="92"/>
      <c r="CJ24" s="92"/>
      <c r="CK24" s="90"/>
      <c r="CL24" s="92"/>
      <c r="CM24" s="92"/>
      <c r="CN24" s="92"/>
      <c r="CO24" s="92"/>
      <c r="CP24" s="92"/>
      <c r="CQ24" s="92"/>
      <c r="CR24" s="92"/>
      <c r="CS24" s="92"/>
      <c r="CT24" s="92"/>
      <c r="CU24" s="92"/>
      <c r="CV24" s="92"/>
      <c r="CW24" s="92"/>
      <c r="CX24" s="92"/>
      <c r="CY24" s="92"/>
      <c r="CZ24" s="92"/>
      <c r="DA24" s="92"/>
      <c r="DB24" s="92"/>
      <c r="DC24" s="90"/>
      <c r="DD24" s="96"/>
      <c r="DE24" s="96"/>
      <c r="DF24" s="96"/>
      <c r="DG24" s="96"/>
      <c r="DH24" s="96"/>
      <c r="DI24" s="96"/>
      <c r="DJ24" s="96"/>
      <c r="DK24" s="96"/>
      <c r="DL24" s="92"/>
      <c r="DM24" s="92"/>
      <c r="DN24" s="92"/>
      <c r="DO24" s="92"/>
      <c r="DP24" s="92"/>
      <c r="DQ24" s="92"/>
      <c r="DR24" s="92"/>
      <c r="DS24" s="92"/>
      <c r="DT24" s="92"/>
      <c r="DU24" s="90"/>
      <c r="DV24" s="92"/>
      <c r="DW24" s="92"/>
      <c r="DX24" s="92"/>
      <c r="DY24" s="92"/>
      <c r="DZ24" s="92"/>
      <c r="EA24" s="92"/>
      <c r="EB24" s="92"/>
      <c r="EC24" s="92"/>
      <c r="ED24" s="92"/>
      <c r="EE24" s="92"/>
      <c r="EF24" s="92"/>
      <c r="EG24" s="92"/>
      <c r="EH24" s="92"/>
      <c r="EI24" s="92"/>
      <c r="EJ24" s="92"/>
      <c r="EK24" s="92"/>
      <c r="EL24" s="92"/>
      <c r="EM24" s="90"/>
      <c r="EN24" s="96"/>
      <c r="EO24" s="96"/>
      <c r="EP24" s="96"/>
      <c r="EQ24" s="96"/>
      <c r="ER24" s="96"/>
      <c r="ES24" s="96"/>
      <c r="ET24" s="96"/>
      <c r="EU24" s="96"/>
      <c r="EV24" s="92"/>
      <c r="EW24" s="92"/>
      <c r="EX24" s="92"/>
      <c r="EY24" s="92"/>
      <c r="EZ24" s="92"/>
      <c r="FA24" s="92"/>
      <c r="FB24" s="92"/>
      <c r="FC24" s="92"/>
      <c r="FD24" s="92"/>
      <c r="FE24" s="92"/>
      <c r="FF24" s="92"/>
      <c r="FG24" s="92"/>
      <c r="FH24" s="92"/>
      <c r="FI24" s="92"/>
      <c r="FJ24" s="92"/>
      <c r="FK24" s="92"/>
      <c r="FL24" s="92"/>
      <c r="FM24" s="92"/>
      <c r="FN24" s="92"/>
      <c r="FO24" s="92"/>
      <c r="FP24" s="92"/>
      <c r="FQ24" s="92"/>
      <c r="FR24" s="92"/>
      <c r="FS24" s="92"/>
      <c r="FT24" s="92"/>
      <c r="FU24" s="92"/>
      <c r="FV24" s="92"/>
      <c r="FW24" s="92"/>
      <c r="FX24" s="90"/>
      <c r="FY24" s="92"/>
      <c r="FZ24" s="92"/>
      <c r="GA24" s="92"/>
      <c r="GB24" s="92"/>
      <c r="GC24" s="92"/>
      <c r="GD24" s="92"/>
      <c r="GE24" s="92"/>
      <c r="GF24" s="92"/>
      <c r="GG24" s="92"/>
      <c r="GH24" s="92"/>
      <c r="GI24" s="92"/>
      <c r="GJ24" s="92"/>
      <c r="GK24" s="92"/>
      <c r="GL24" s="92"/>
      <c r="GM24" s="92"/>
      <c r="GN24" s="92"/>
      <c r="GO24" s="92"/>
      <c r="GP24" s="90"/>
      <c r="GQ24" s="92"/>
      <c r="GR24" s="92"/>
      <c r="GS24" s="92"/>
      <c r="GT24" s="92"/>
      <c r="GU24" s="92"/>
      <c r="GV24" s="92"/>
      <c r="GW24" s="92"/>
      <c r="GX24" s="92"/>
      <c r="GY24" s="92"/>
      <c r="GZ24" s="92"/>
      <c r="HA24" s="92"/>
      <c r="HB24" s="92"/>
      <c r="HC24" s="92"/>
      <c r="HD24" s="92"/>
      <c r="HE24" s="92"/>
      <c r="HF24" s="92"/>
      <c r="HG24" s="92"/>
      <c r="HH24" s="90"/>
      <c r="HI24" s="97"/>
      <c r="HJ24" s="97"/>
      <c r="HK24" s="97"/>
      <c r="HL24" s="97"/>
      <c r="HM24" s="97"/>
      <c r="HN24" s="97"/>
      <c r="HO24" s="97"/>
      <c r="HP24" s="97"/>
      <c r="HQ24" s="90"/>
      <c r="HR24" s="92"/>
      <c r="HS24" s="92"/>
      <c r="HT24" s="92"/>
      <c r="HU24" s="92"/>
      <c r="HV24" s="92"/>
      <c r="HW24" s="92"/>
      <c r="HX24" s="92"/>
      <c r="HY24" s="92"/>
      <c r="HZ24" s="90"/>
      <c r="IA24" s="92"/>
      <c r="IB24" s="92"/>
      <c r="IC24" s="92"/>
      <c r="ID24" s="92"/>
      <c r="IE24" s="92"/>
      <c r="IF24" s="92"/>
      <c r="IG24" s="92"/>
      <c r="IH24" s="92"/>
      <c r="II24" s="90"/>
      <c r="IJ24" s="92"/>
      <c r="IK24" s="92"/>
      <c r="IL24" s="92"/>
      <c r="IM24" s="92"/>
      <c r="IN24" s="92"/>
      <c r="IO24" s="92"/>
      <c r="IP24" s="92"/>
      <c r="IQ24" s="92"/>
      <c r="IR24" s="90"/>
      <c r="IS24" s="92"/>
      <c r="IT24" s="92"/>
      <c r="IU24" s="92"/>
      <c r="IV24" s="92"/>
      <c r="IW24" s="92"/>
      <c r="IX24" s="92"/>
      <c r="IY24" s="92"/>
      <c r="IZ24" s="92"/>
      <c r="JA24" s="98"/>
    </row>
    <row r="25" spans="1:263" customFormat="1" ht="5.25" customHeight="1">
      <c r="J25" s="99"/>
    </row>
    <row r="26" spans="1:263">
      <c r="F26" s="322"/>
      <c r="DG26" s="234"/>
      <c r="DH26" s="234"/>
    </row>
    <row r="27" spans="1:263">
      <c r="BD27" s="74">
        <f>3648+407</f>
        <v>4055</v>
      </c>
    </row>
    <row r="28" spans="1:263">
      <c r="C28" s="60" t="s">
        <v>9</v>
      </c>
      <c r="W28" s="503">
        <f>+W13/T13-1</f>
        <v>0.54340617013508585</v>
      </c>
    </row>
    <row r="29" spans="1:263">
      <c r="BD29" s="234">
        <f>+$G$21/BD21</f>
        <v>6.0650989793217054</v>
      </c>
      <c r="BE29" s="234">
        <f>+$G$21/BE21</f>
        <v>6.0650989793217054</v>
      </c>
      <c r="BF29" s="234">
        <f>+$G$21/BF21</f>
        <v>6.9194929181509011</v>
      </c>
      <c r="ER29" s="572"/>
      <c r="ES29" s="573">
        <f>+ES12/($HJ12*100)</f>
        <v>1.3582908069698982</v>
      </c>
    </row>
    <row r="30" spans="1:263">
      <c r="ER30" s="572"/>
      <c r="ES30" s="574">
        <f t="shared" ref="ES30:ES38" si="2">+ES13/($HJ13*100)</f>
        <v>1.026905653698728</v>
      </c>
    </row>
    <row r="31" spans="1:263">
      <c r="ER31" s="572"/>
      <c r="ES31" s="574">
        <f t="shared" si="2"/>
        <v>3.3071991846024318</v>
      </c>
    </row>
    <row r="32" spans="1:263">
      <c r="BE32" s="50">
        <v>21500</v>
      </c>
      <c r="ER32" s="572"/>
      <c r="ES32" s="574">
        <f t="shared" si="2"/>
        <v>1.7760649182526329</v>
      </c>
    </row>
    <row r="33" spans="57:149">
      <c r="BE33" s="74">
        <f>+BE32*51%</f>
        <v>10965</v>
      </c>
      <c r="ER33" s="572"/>
      <c r="ES33" s="574">
        <f t="shared" si="2"/>
        <v>1.3761188561826576</v>
      </c>
    </row>
    <row r="34" spans="57:149">
      <c r="BE34" s="74">
        <f>-24%*BE32</f>
        <v>-5160</v>
      </c>
      <c r="ER34" s="572"/>
      <c r="ES34" s="574">
        <f t="shared" si="2"/>
        <v>0.61548610908162105</v>
      </c>
    </row>
    <row r="35" spans="57:149">
      <c r="BE35" s="504">
        <f>+BE33+BE34</f>
        <v>5805</v>
      </c>
      <c r="ER35" s="572"/>
      <c r="ES35" s="574">
        <f t="shared" si="2"/>
        <v>0.57197115466778303</v>
      </c>
    </row>
    <row r="36" spans="57:149">
      <c r="BE36" s="50">
        <v>650</v>
      </c>
      <c r="ER36" s="572"/>
      <c r="ES36" s="574">
        <f t="shared" si="2"/>
        <v>1.6822983145669241</v>
      </c>
    </row>
    <row r="37" spans="57:149">
      <c r="BE37" s="504">
        <f>+BE35+BE36</f>
        <v>6455</v>
      </c>
      <c r="ER37" s="572"/>
      <c r="ES37" s="574"/>
    </row>
    <row r="38" spans="57:149">
      <c r="ER38" s="572"/>
      <c r="ES38" s="575">
        <f t="shared" si="2"/>
        <v>2.2060020189125749</v>
      </c>
    </row>
    <row r="39" spans="57:149">
      <c r="ES39" s="572"/>
    </row>
    <row r="40" spans="57:149">
      <c r="ES40" s="572"/>
    </row>
    <row r="41" spans="57:149">
      <c r="ES41" s="572"/>
    </row>
    <row r="42" spans="57:149">
      <c r="ES42" s="572"/>
    </row>
    <row r="43" spans="57:149">
      <c r="ES43" s="572"/>
    </row>
    <row r="44" spans="57:149">
      <c r="ES44" s="572"/>
    </row>
  </sheetData>
  <conditionalFormatting sqref="BY12:BY19">
    <cfRule type="colorScale" priority="4">
      <colorScale>
        <cfvo type="min"/>
        <cfvo type="percentile" val="50"/>
        <cfvo type="max"/>
        <color rgb="FF63BE7B"/>
        <color rgb="FFFFEB84"/>
        <color rgb="FFF8696B"/>
      </colorScale>
    </cfRule>
  </conditionalFormatting>
  <conditionalFormatting sqref="DI12:DI19">
    <cfRule type="colorScale" priority="5">
      <colorScale>
        <cfvo type="min"/>
        <cfvo type="percentile" val="50"/>
        <cfvo type="max"/>
        <color rgb="FF63BE7B"/>
        <color rgb="FFFFEB84"/>
        <color rgb="FFF8696B"/>
      </colorScale>
    </cfRule>
  </conditionalFormatting>
  <conditionalFormatting sqref="ES12:ES19">
    <cfRule type="colorScale" priority="3">
      <colorScale>
        <cfvo type="min"/>
        <cfvo type="percentile" val="50"/>
        <cfvo type="max"/>
        <color rgb="FF63BE7B"/>
        <color rgb="FFFFEB84"/>
        <color rgb="FFF8696B"/>
      </colorScale>
    </cfRule>
  </conditionalFormatting>
  <conditionalFormatting sqref="ES29:ES38">
    <cfRule type="colorScale" priority="1">
      <colorScale>
        <cfvo type="min"/>
        <cfvo type="percentile" val="50"/>
        <cfvo type="max"/>
        <color rgb="FF63BE7B"/>
        <color rgb="FFFFEB84"/>
        <color rgb="FFF8696B"/>
      </colorScale>
    </cfRule>
  </conditionalFormatting>
  <conditionalFormatting sqref="HN12:HN19">
    <cfRule type="colorScale" priority="2">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96BE-06D7-4A17-BF88-ED5B87BD5F79}">
  <sheetPr codeName="Sheet11"/>
  <dimension ref="A1:AJ64"/>
  <sheetViews>
    <sheetView showGridLines="0" zoomScale="85" zoomScaleNormal="85" workbookViewId="0"/>
  </sheetViews>
  <sheetFormatPr defaultRowHeight="10.5"/>
  <cols>
    <col min="16" max="16" width="4.81640625" customWidth="1"/>
    <col min="35" max="35" width="13.6328125" bestFit="1" customWidth="1"/>
    <col min="36" max="36" width="14.36328125" bestFit="1" customWidth="1"/>
  </cols>
  <sheetData>
    <row r="1" spans="1:1">
      <c r="A1" s="36" t="str">
        <f>'Forward EV-EBITDA'!A1</f>
        <v>1 Yr Forward Multiples</v>
      </c>
    </row>
    <row r="2" spans="1:1">
      <c r="A2" s="189" t="str">
        <f>'Forward EV-EBITDA'!A2</f>
        <v>Forward EBITDA</v>
      </c>
    </row>
    <row r="21" spans="31:36">
      <c r="AJ21" s="45">
        <v>6.8965517241379309E-2</v>
      </c>
    </row>
    <row r="24" spans="31:36">
      <c r="AE24" s="99"/>
      <c r="AJ24" s="35"/>
    </row>
    <row r="26" spans="31:36">
      <c r="AI26" s="35">
        <f>PMT((8.5%/12),(15*12),3000000,0)</f>
        <v>-29542.186737767799</v>
      </c>
    </row>
    <row r="60" spans="17:17">
      <c r="Q60" s="189"/>
    </row>
    <row r="61" spans="17:17">
      <c r="Q61" s="189"/>
    </row>
    <row r="62" spans="17:17">
      <c r="Q62" s="189"/>
    </row>
    <row r="63" spans="17:17">
      <c r="Q63" s="189"/>
    </row>
    <row r="64" spans="17:17">
      <c r="Q64" s="38"/>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8349-B977-4BE6-802D-7AEFC9F905FD}">
  <sheetPr codeName="Sheet10">
    <pageSetUpPr autoPageBreaks="0"/>
  </sheetPr>
  <dimension ref="C2:I45"/>
  <sheetViews>
    <sheetView showGridLines="0" zoomScaleNormal="100" workbookViewId="0">
      <pane ySplit="7" topLeftCell="A8" activePane="bottomLeft" state="frozen"/>
      <selection pane="bottomLeft"/>
    </sheetView>
  </sheetViews>
  <sheetFormatPr defaultColWidth="12" defaultRowHeight="10.5" outlineLevelCol="1"/>
  <cols>
    <col min="1" max="1" width="4.81640625" style="267" customWidth="1"/>
    <col min="2" max="2" width="7.36328125" style="267" customWidth="1"/>
    <col min="3" max="3" width="45.36328125" style="266" hidden="1" customWidth="1" outlineLevel="1"/>
    <col min="4" max="4" width="48.36328125" style="267" customWidth="1" collapsed="1"/>
    <col min="5" max="5" width="34.1796875" style="266" customWidth="1"/>
    <col min="6" max="6" width="65" style="266" hidden="1" customWidth="1" outlineLevel="1"/>
    <col min="7" max="7" width="21.6328125" style="267" customWidth="1" collapsed="1"/>
    <col min="8" max="8" width="29" style="267" hidden="1" customWidth="1" outlineLevel="1"/>
    <col min="9" max="9" width="4.81640625" style="267" customWidth="1" collapsed="1"/>
    <col min="10" max="16384" width="12" style="267"/>
  </cols>
  <sheetData>
    <row r="2" spans="3:8">
      <c r="D2" s="267" t="s">
        <v>682</v>
      </c>
      <c r="E2" s="417" t="str">
        <f>'Consensus Summary'!I3</f>
        <v>INTC.O</v>
      </c>
      <c r="F2" s="268" t="e">
        <f ca="1">_xll.TR(E2,"TR.CommonName")</f>
        <v>#NAME?</v>
      </c>
    </row>
    <row r="4" spans="3:8">
      <c r="D4" s="269" t="s">
        <v>683</v>
      </c>
      <c r="E4" s="269"/>
      <c r="F4" s="269"/>
      <c r="G4" s="269"/>
    </row>
    <row r="6" spans="3:8">
      <c r="D6" s="270" t="s">
        <v>684</v>
      </c>
      <c r="E6" s="271" t="s">
        <v>630</v>
      </c>
      <c r="F6" s="271" t="s">
        <v>685</v>
      </c>
      <c r="G6" s="270" t="s">
        <v>686</v>
      </c>
      <c r="H6" s="272"/>
    </row>
    <row r="7" spans="3:8" ht="12">
      <c r="C7" s="266" t="s">
        <v>687</v>
      </c>
      <c r="D7" s="273" t="e">
        <f ca="1">_xll.TR(E2,C7:C20,"CH:Fd Transpose:Y")</f>
        <v>#NAME?</v>
      </c>
      <c r="E7" s="274">
        <v>5.0852029660256797</v>
      </c>
      <c r="F7" s="274" t="s">
        <v>688</v>
      </c>
      <c r="G7" s="275">
        <f ca="1">G9*E14%+G8*E13%+E10*E15%</f>
        <v>5.0950514574493777</v>
      </c>
    </row>
    <row r="8" spans="3:8" ht="12">
      <c r="C8" s="266" t="s">
        <v>689</v>
      </c>
      <c r="D8" s="276" t="s">
        <v>690</v>
      </c>
      <c r="E8" s="266">
        <v>2.9845992692910999</v>
      </c>
      <c r="F8" s="266" t="s">
        <v>691</v>
      </c>
      <c r="G8" s="267">
        <f>(E17*E23%+E18*E24%)*(1-E16%)</f>
        <v>3.0483875845556971</v>
      </c>
    </row>
    <row r="9" spans="3:8" ht="12">
      <c r="C9" s="266" t="s">
        <v>692</v>
      </c>
      <c r="D9" s="277" t="s">
        <v>693</v>
      </c>
      <c r="E9" s="278">
        <v>5.4687373571076003</v>
      </c>
      <c r="F9" s="278" t="s">
        <v>694</v>
      </c>
      <c r="G9" s="279">
        <f ca="1">E12+E19*G11</f>
        <v>5.4687373571076012</v>
      </c>
    </row>
    <row r="10" spans="3:8" ht="12">
      <c r="C10" s="266" t="s">
        <v>695</v>
      </c>
      <c r="D10" s="276" t="s">
        <v>696</v>
      </c>
      <c r="E10" s="280">
        <v>0</v>
      </c>
      <c r="F10" s="266" t="s">
        <v>697</v>
      </c>
    </row>
    <row r="11" spans="3:8">
      <c r="C11" s="266" t="s">
        <v>698</v>
      </c>
      <c r="D11" s="276" t="s">
        <v>699</v>
      </c>
      <c r="E11" s="266">
        <v>5.7712731985972798</v>
      </c>
      <c r="F11" s="266" t="e">
        <v>#NAME?</v>
      </c>
      <c r="G11" s="281">
        <f ca="1">IF(G35="",E11,G35)</f>
        <v>5.7712731985972798</v>
      </c>
      <c r="H11" s="282" t="str">
        <f ca="1">IF(G35="","From WACC Model","From ERP Model (below)")</f>
        <v>From WACC Model</v>
      </c>
    </row>
    <row r="12" spans="3:8" ht="12">
      <c r="C12" s="266" t="s">
        <v>700</v>
      </c>
      <c r="D12" s="276" t="s">
        <v>701</v>
      </c>
      <c r="E12" s="280">
        <v>2.3206690000000001</v>
      </c>
      <c r="F12" s="266" t="s">
        <v>702</v>
      </c>
    </row>
    <row r="13" spans="3:8" ht="12">
      <c r="C13" s="266" t="s">
        <v>703</v>
      </c>
      <c r="D13" s="276" t="s">
        <v>704</v>
      </c>
      <c r="E13" s="280">
        <v>15.439334591059</v>
      </c>
      <c r="F13" s="266" t="s">
        <v>705</v>
      </c>
    </row>
    <row r="14" spans="3:8" ht="12">
      <c r="C14" s="266" t="s">
        <v>706</v>
      </c>
      <c r="D14" s="276" t="s">
        <v>707</v>
      </c>
      <c r="E14" s="280">
        <v>84.560665408941006</v>
      </c>
      <c r="F14" s="266" t="s">
        <v>708</v>
      </c>
    </row>
    <row r="15" spans="3:8" ht="12">
      <c r="C15" s="266" t="s">
        <v>709</v>
      </c>
      <c r="D15" s="276" t="s">
        <v>710</v>
      </c>
      <c r="E15" s="280">
        <v>0</v>
      </c>
      <c r="F15" s="266" t="s">
        <v>711</v>
      </c>
    </row>
    <row r="16" spans="3:8">
      <c r="C16" s="266" t="s">
        <v>712</v>
      </c>
      <c r="D16" s="276" t="s">
        <v>713</v>
      </c>
      <c r="E16" s="280">
        <v>12.816505314391</v>
      </c>
      <c r="F16" s="266" t="s">
        <v>714</v>
      </c>
    </row>
    <row r="17" spans="3:8" ht="12">
      <c r="C17" s="266" t="s">
        <v>715</v>
      </c>
      <c r="D17" s="276" t="s">
        <v>716</v>
      </c>
      <c r="E17" s="280">
        <v>2.1339999999999999</v>
      </c>
      <c r="F17" s="266" t="s">
        <v>717</v>
      </c>
      <c r="H17" s="282" t="e">
        <v>#NAME?</v>
      </c>
    </row>
    <row r="18" spans="3:8" ht="12">
      <c r="C18" s="266" t="s">
        <v>718</v>
      </c>
      <c r="D18" s="276" t="s">
        <v>719</v>
      </c>
      <c r="E18" s="280">
        <v>3.6</v>
      </c>
      <c r="F18" s="266" t="s">
        <v>720</v>
      </c>
      <c r="H18" s="282" t="e">
        <v>#NAME?</v>
      </c>
    </row>
    <row r="19" spans="3:8">
      <c r="C19" s="266" t="s">
        <v>721</v>
      </c>
      <c r="D19" s="283" t="s">
        <v>99</v>
      </c>
      <c r="E19" s="280">
        <v>0.54547207328059699</v>
      </c>
      <c r="F19" s="266" t="s">
        <v>722</v>
      </c>
      <c r="H19" s="282" t="e">
        <v>#NAME?</v>
      </c>
    </row>
    <row r="20" spans="3:8" ht="12">
      <c r="C20" s="266" t="s">
        <v>723</v>
      </c>
      <c r="D20" s="276" t="s">
        <v>724</v>
      </c>
      <c r="E20" s="280">
        <v>12.511430000000001</v>
      </c>
      <c r="F20" s="266" t="s">
        <v>725</v>
      </c>
    </row>
    <row r="22" spans="3:8">
      <c r="D22" s="284" t="e">
        <v>#NAME?</v>
      </c>
    </row>
    <row r="23" spans="3:8" ht="12">
      <c r="D23" s="283" t="s">
        <v>726</v>
      </c>
      <c r="E23" s="280">
        <v>7.0587212259515697</v>
      </c>
      <c r="F23" s="266" t="s">
        <v>727</v>
      </c>
    </row>
    <row r="24" spans="3:8" ht="12">
      <c r="D24" s="283" t="s">
        <v>728</v>
      </c>
      <c r="E24" s="280">
        <v>92.941278774048399</v>
      </c>
      <c r="F24" s="266" t="s">
        <v>729</v>
      </c>
      <c r="G24" s="285"/>
    </row>
    <row r="25" spans="3:8">
      <c r="D25" s="283" t="s">
        <v>730</v>
      </c>
      <c r="E25" s="266" t="str">
        <f>IF(E20=E16,"No","Yes")</f>
        <v>Yes</v>
      </c>
    </row>
    <row r="27" spans="3:8">
      <c r="D27" s="269" t="s">
        <v>731</v>
      </c>
      <c r="E27" s="269"/>
      <c r="F27" s="269"/>
      <c r="G27" s="269"/>
    </row>
    <row r="29" spans="3:8">
      <c r="C29" s="266" t="s">
        <v>732</v>
      </c>
      <c r="D29" s="286" t="e">
        <f ca="1">_xll.TR($E$2,C29,"CH:Fd Transpose:Y")</f>
        <v>#NAME?</v>
      </c>
      <c r="E29" s="266" t="s">
        <v>733</v>
      </c>
    </row>
    <row r="30" spans="3:8">
      <c r="D30" s="283" t="s">
        <v>734</v>
      </c>
      <c r="E30" s="266" t="str">
        <f>E29&amp;"GVERP=SM"</f>
        <v>USGVERP=SM</v>
      </c>
    </row>
    <row r="32" spans="3:8">
      <c r="D32" s="270" t="s">
        <v>684</v>
      </c>
      <c r="E32" s="271" t="s">
        <v>630</v>
      </c>
      <c r="F32" s="271" t="s">
        <v>685</v>
      </c>
      <c r="G32" s="270" t="s">
        <v>686</v>
      </c>
      <c r="H32" s="272"/>
    </row>
    <row r="33" spans="4:8">
      <c r="D33" s="283" t="s">
        <v>735</v>
      </c>
      <c r="E33" s="287" t="e">
        <f ca="1">_xll.TR($E$30,"3;1271;393;996;997;998;999;1029;1030;1031","transpose=Y")</f>
        <v>#NAME?</v>
      </c>
    </row>
    <row r="34" spans="4:8">
      <c r="D34" s="283" t="s">
        <v>736</v>
      </c>
      <c r="E34" s="266" t="s">
        <v>737</v>
      </c>
    </row>
    <row r="35" spans="4:8">
      <c r="D35" s="283" t="s">
        <v>738</v>
      </c>
      <c r="E35" s="266">
        <v>5.7700000000000005</v>
      </c>
      <c r="F35" s="266" t="s">
        <v>739</v>
      </c>
      <c r="G35" s="288" t="str">
        <f ca="1">IFERROR(G36-G37,"")</f>
        <v/>
      </c>
      <c r="H35" s="289"/>
    </row>
    <row r="36" spans="4:8" ht="12">
      <c r="D36" s="283" t="s">
        <v>740</v>
      </c>
      <c r="E36" s="266">
        <v>8.09</v>
      </c>
      <c r="F36" s="266" t="s">
        <v>741</v>
      </c>
      <c r="G36" s="288">
        <f>IFERROR($E$39*$G$38%+$E$41,"")</f>
        <v>8.0967217898832686</v>
      </c>
      <c r="H36" s="289"/>
    </row>
    <row r="37" spans="4:8" ht="12">
      <c r="D37" s="283" t="s">
        <v>742</v>
      </c>
      <c r="E37" s="266">
        <v>2.3199999999999998</v>
      </c>
      <c r="F37" s="266" t="s">
        <v>743</v>
      </c>
      <c r="G37" s="289" t="str">
        <f ca="1">IFERROR($E$44+$E$42-$E$45,"")</f>
        <v/>
      </c>
    </row>
    <row r="38" spans="4:8" ht="12">
      <c r="D38" s="290" t="s">
        <v>744</v>
      </c>
      <c r="E38" s="278">
        <v>80.27</v>
      </c>
      <c r="F38" s="278" t="s">
        <v>745</v>
      </c>
      <c r="G38" s="291">
        <f>IFERROR(MAX((E40-E41)/E40*100,0),"")</f>
        <v>80.252918287937746</v>
      </c>
      <c r="H38" s="289"/>
    </row>
    <row r="39" spans="4:8" ht="12">
      <c r="D39" s="283" t="s">
        <v>746</v>
      </c>
      <c r="E39" s="266">
        <v>5.03</v>
      </c>
      <c r="F39" s="266" t="s">
        <v>747</v>
      </c>
    </row>
    <row r="40" spans="4:8" ht="12">
      <c r="D40" s="283" t="s">
        <v>748</v>
      </c>
      <c r="E40" s="266">
        <v>20.56</v>
      </c>
      <c r="F40" s="266" t="s">
        <v>749</v>
      </c>
    </row>
    <row r="41" spans="4:8" ht="12">
      <c r="D41" s="283" t="s">
        <v>750</v>
      </c>
      <c r="E41" s="266">
        <v>4.0600000000000005</v>
      </c>
      <c r="F41" s="266" t="s">
        <v>751</v>
      </c>
    </row>
    <row r="42" spans="4:8" ht="12">
      <c r="D42" s="283" t="s">
        <v>752</v>
      </c>
      <c r="E42" s="266">
        <v>2.04</v>
      </c>
      <c r="F42" s="266" t="s">
        <v>753</v>
      </c>
    </row>
    <row r="44" spans="4:8" ht="12">
      <c r="D44" s="283" t="s">
        <v>754</v>
      </c>
      <c r="E44" s="287" t="e">
        <f ca="1">_xll.TR("USGVERP=SM","997;1031","transpose=y")</f>
        <v>#NAME?</v>
      </c>
      <c r="F44" s="266" t="s">
        <v>755</v>
      </c>
    </row>
    <row r="45" spans="4:8" ht="12">
      <c r="D45" s="283" t="s">
        <v>756</v>
      </c>
      <c r="E45" s="266">
        <v>2.04</v>
      </c>
      <c r="F45" s="266" t="s">
        <v>757</v>
      </c>
    </row>
  </sheetData>
  <conditionalFormatting sqref="E11">
    <cfRule type="expression" dxfId="34" priority="2">
      <formula>$H$11="From WACC Model"</formula>
    </cfRule>
  </conditionalFormatting>
  <conditionalFormatting sqref="E39:E42 E45">
    <cfRule type="expression" dxfId="33" priority="1">
      <formula>$H$11="From ERP Model (below)"</formula>
    </cfRule>
  </conditionalFormatting>
  <pageMargins left="0.7" right="0.7" top="0.75" bottom="0.75" header="0.3" footer="0.3"/>
  <pageSetup orientation="portrait" r:id="rId1"/>
  <headerFooter>
    <oddFooter>&amp;L&amp;1#&amp;"Calibri"&amp;8&amp;K000000Sensitivity: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7490B-A92A-4A80-AC84-18E96487855A}">
  <dimension ref="A1:Z322"/>
  <sheetViews>
    <sheetView showGridLines="0" zoomScale="130" zoomScaleNormal="130" workbookViewId="0"/>
  </sheetViews>
  <sheetFormatPr defaultColWidth="9" defaultRowHeight="10.5"/>
  <cols>
    <col min="1" max="2" width="1.81640625" style="486" customWidth="1"/>
    <col min="3" max="16384" width="9" style="486"/>
  </cols>
  <sheetData>
    <row r="1" spans="1:3">
      <c r="A1" s="485" t="s">
        <v>758</v>
      </c>
    </row>
    <row r="2" spans="1:3">
      <c r="A2" s="485"/>
    </row>
    <row r="3" spans="1:3">
      <c r="B3" s="486" t="s">
        <v>9</v>
      </c>
      <c r="C3" s="485" t="s">
        <v>759</v>
      </c>
    </row>
    <row r="5" spans="1:3">
      <c r="C5" s="486" t="s">
        <v>760</v>
      </c>
    </row>
    <row r="6" spans="1:3">
      <c r="C6" s="486" t="s">
        <v>761</v>
      </c>
    </row>
    <row r="8" spans="1:3">
      <c r="C8" s="486" t="s">
        <v>762</v>
      </c>
    </row>
    <row r="9" spans="1:3">
      <c r="C9" s="486" t="s">
        <v>763</v>
      </c>
    </row>
    <row r="11" spans="1:3">
      <c r="C11" s="486" t="s">
        <v>764</v>
      </c>
    </row>
    <row r="12" spans="1:3">
      <c r="C12" s="486" t="s">
        <v>765</v>
      </c>
    </row>
    <row r="17" spans="3:26">
      <c r="U17" s="486" t="s">
        <v>766</v>
      </c>
      <c r="X17" s="486" t="s">
        <v>767</v>
      </c>
      <c r="Z17" s="486" t="s">
        <v>768</v>
      </c>
    </row>
    <row r="18" spans="3:26">
      <c r="U18" s="486" t="s">
        <v>769</v>
      </c>
      <c r="X18" s="486" t="s">
        <v>586</v>
      </c>
    </row>
    <row r="29" spans="3:26">
      <c r="C29" s="486" t="s">
        <v>770</v>
      </c>
    </row>
    <row r="30" spans="3:26">
      <c r="C30" s="486" t="s">
        <v>771</v>
      </c>
    </row>
    <row r="31" spans="3:26">
      <c r="C31" s="486" t="s">
        <v>772</v>
      </c>
    </row>
    <row r="33" spans="3:3">
      <c r="C33" s="485" t="s">
        <v>773</v>
      </c>
    </row>
    <row r="34" spans="3:3">
      <c r="C34" s="486" t="s">
        <v>774</v>
      </c>
    </row>
    <row r="35" spans="3:3">
      <c r="C35" s="485" t="s">
        <v>775</v>
      </c>
    </row>
    <row r="36" spans="3:3">
      <c r="C36" s="486" t="s">
        <v>776</v>
      </c>
    </row>
    <row r="38" spans="3:3">
      <c r="C38" s="485" t="s">
        <v>777</v>
      </c>
    </row>
    <row r="40" spans="3:3">
      <c r="C40" s="486" t="s">
        <v>778</v>
      </c>
    </row>
    <row r="42" spans="3:3">
      <c r="C42" s="486" t="s">
        <v>779</v>
      </c>
    </row>
    <row r="43" spans="3:3">
      <c r="C43" s="486" t="s">
        <v>780</v>
      </c>
    </row>
    <row r="44" spans="3:3">
      <c r="C44" s="485" t="s">
        <v>781</v>
      </c>
    </row>
    <row r="45" spans="3:3">
      <c r="C45" s="486" t="s">
        <v>782</v>
      </c>
    </row>
    <row r="47" spans="3:3">
      <c r="C47" s="486" t="s">
        <v>783</v>
      </c>
    </row>
    <row r="48" spans="3:3">
      <c r="C48" s="486" t="s">
        <v>784</v>
      </c>
    </row>
    <row r="50" spans="3:3">
      <c r="C50" s="486" t="s">
        <v>785</v>
      </c>
    </row>
    <row r="51" spans="3:3">
      <c r="C51" s="486" t="s">
        <v>786</v>
      </c>
    </row>
    <row r="52" spans="3:3">
      <c r="C52" s="486" t="s">
        <v>787</v>
      </c>
    </row>
    <row r="54" spans="3:3">
      <c r="C54" s="486" t="s">
        <v>788</v>
      </c>
    </row>
    <row r="56" spans="3:3">
      <c r="C56" s="486" t="s">
        <v>789</v>
      </c>
    </row>
    <row r="58" spans="3:3">
      <c r="C58" s="486" t="s">
        <v>790</v>
      </c>
    </row>
    <row r="60" spans="3:3">
      <c r="C60" s="486" t="s">
        <v>791</v>
      </c>
    </row>
    <row r="61" spans="3:3">
      <c r="C61" s="486" t="s">
        <v>792</v>
      </c>
    </row>
    <row r="62" spans="3:3">
      <c r="C62" s="486" t="s">
        <v>793</v>
      </c>
    </row>
    <row r="64" spans="3:3">
      <c r="C64" s="486" t="s">
        <v>794</v>
      </c>
    </row>
    <row r="65" spans="3:3">
      <c r="C65" s="486" t="s">
        <v>795</v>
      </c>
    </row>
    <row r="66" spans="3:3">
      <c r="C66" s="486" t="s">
        <v>796</v>
      </c>
    </row>
    <row r="67" spans="3:3">
      <c r="C67" s="486" t="s">
        <v>797</v>
      </c>
    </row>
    <row r="69" spans="3:3">
      <c r="C69" s="486" t="s">
        <v>798</v>
      </c>
    </row>
    <row r="70" spans="3:3">
      <c r="C70" s="486" t="s">
        <v>799</v>
      </c>
    </row>
    <row r="72" spans="3:3">
      <c r="C72" s="487" t="s">
        <v>800</v>
      </c>
    </row>
    <row r="76" spans="3:3">
      <c r="C76" s="486" t="s">
        <v>801</v>
      </c>
    </row>
    <row r="77" spans="3:3">
      <c r="C77" s="486" t="s">
        <v>802</v>
      </c>
    </row>
    <row r="78" spans="3:3">
      <c r="C78" s="486" t="s">
        <v>803</v>
      </c>
    </row>
    <row r="80" spans="3:3">
      <c r="C80" s="486" t="s">
        <v>804</v>
      </c>
    </row>
    <row r="82" spans="3:3">
      <c r="C82" s="486" t="s">
        <v>805</v>
      </c>
    </row>
    <row r="84" spans="3:3">
      <c r="C84" s="485" t="s">
        <v>806</v>
      </c>
    </row>
    <row r="86" spans="3:3">
      <c r="C86" s="486" t="s">
        <v>807</v>
      </c>
    </row>
    <row r="87" spans="3:3">
      <c r="C87" s="486" t="s">
        <v>808</v>
      </c>
    </row>
    <row r="88" spans="3:3">
      <c r="C88" s="486" t="s">
        <v>809</v>
      </c>
    </row>
    <row r="90" spans="3:3">
      <c r="C90" s="486" t="s">
        <v>810</v>
      </c>
    </row>
    <row r="92" spans="3:3">
      <c r="C92" s="486" t="s">
        <v>811</v>
      </c>
    </row>
    <row r="93" spans="3:3">
      <c r="C93" s="486" t="s">
        <v>812</v>
      </c>
    </row>
    <row r="95" spans="3:3">
      <c r="C95" s="486" t="s">
        <v>813</v>
      </c>
    </row>
    <row r="97" spans="2:3">
      <c r="B97" s="486" t="s">
        <v>9</v>
      </c>
      <c r="C97" s="485" t="s">
        <v>814</v>
      </c>
    </row>
    <row r="98" spans="2:3">
      <c r="C98" s="486" t="s">
        <v>815</v>
      </c>
    </row>
    <row r="99" spans="2:3">
      <c r="C99" s="486" t="s">
        <v>816</v>
      </c>
    </row>
    <row r="101" spans="2:3">
      <c r="C101" s="486" t="s">
        <v>817</v>
      </c>
    </row>
    <row r="102" spans="2:3">
      <c r="C102" s="486" t="s">
        <v>818</v>
      </c>
    </row>
    <row r="103" spans="2:3">
      <c r="C103" s="486" t="s">
        <v>819</v>
      </c>
    </row>
    <row r="104" spans="2:3">
      <c r="C104" s="486" t="s">
        <v>820</v>
      </c>
    </row>
    <row r="105" spans="2:3">
      <c r="C105" s="486" t="s">
        <v>821</v>
      </c>
    </row>
    <row r="107" spans="2:3">
      <c r="C107" s="486" t="s">
        <v>822</v>
      </c>
    </row>
    <row r="108" spans="2:3">
      <c r="C108" s="486" t="s">
        <v>823</v>
      </c>
    </row>
    <row r="109" spans="2:3">
      <c r="C109" s="486" t="s">
        <v>824</v>
      </c>
    </row>
    <row r="110" spans="2:3">
      <c r="C110" s="486" t="s">
        <v>825</v>
      </c>
    </row>
    <row r="111" spans="2:3">
      <c r="C111" s="486" t="s">
        <v>826</v>
      </c>
    </row>
    <row r="112" spans="2:3">
      <c r="C112" s="486" t="s">
        <v>827</v>
      </c>
    </row>
    <row r="114" spans="2:3">
      <c r="B114" s="486" t="s">
        <v>9</v>
      </c>
      <c r="C114" s="485" t="s">
        <v>828</v>
      </c>
    </row>
    <row r="115" spans="2:3">
      <c r="C115" s="486" t="s">
        <v>829</v>
      </c>
    </row>
    <row r="116" spans="2:3">
      <c r="C116" s="486" t="s">
        <v>830</v>
      </c>
    </row>
    <row r="117" spans="2:3">
      <c r="C117" s="486" t="s">
        <v>831</v>
      </c>
    </row>
    <row r="118" spans="2:3">
      <c r="C118" s="486" t="s">
        <v>832</v>
      </c>
    </row>
    <row r="119" spans="2:3">
      <c r="C119" s="486" t="s">
        <v>833</v>
      </c>
    </row>
    <row r="120" spans="2:3">
      <c r="C120" s="486" t="s">
        <v>834</v>
      </c>
    </row>
    <row r="121" spans="2:3">
      <c r="C121" s="486" t="s">
        <v>835</v>
      </c>
    </row>
    <row r="122" spans="2:3">
      <c r="C122" s="486" t="s">
        <v>836</v>
      </c>
    </row>
    <row r="123" spans="2:3">
      <c r="C123" s="486" t="s">
        <v>837</v>
      </c>
    </row>
    <row r="125" spans="2:3">
      <c r="C125" s="485" t="s">
        <v>838</v>
      </c>
    </row>
    <row r="126" spans="2:3">
      <c r="B126" s="486" t="s">
        <v>9</v>
      </c>
      <c r="C126" s="486" t="s">
        <v>839</v>
      </c>
    </row>
    <row r="127" spans="2:3">
      <c r="C127" s="486" t="s">
        <v>840</v>
      </c>
    </row>
    <row r="128" spans="2:3">
      <c r="C128" s="486" t="s">
        <v>841</v>
      </c>
    </row>
    <row r="129" spans="2:3">
      <c r="C129" s="486" t="s">
        <v>842</v>
      </c>
    </row>
    <row r="131" spans="2:3">
      <c r="C131" s="485" t="s">
        <v>843</v>
      </c>
    </row>
    <row r="132" spans="2:3">
      <c r="B132" s="486" t="s">
        <v>9</v>
      </c>
      <c r="C132" s="486" t="s">
        <v>844</v>
      </c>
    </row>
    <row r="133" spans="2:3">
      <c r="C133" s="486" t="s">
        <v>845</v>
      </c>
    </row>
    <row r="134" spans="2:3">
      <c r="C134" s="486" t="s">
        <v>846</v>
      </c>
    </row>
    <row r="136" spans="2:3">
      <c r="C136" s="486" t="s">
        <v>847</v>
      </c>
    </row>
    <row r="137" spans="2:3">
      <c r="C137" s="486" t="s">
        <v>848</v>
      </c>
    </row>
    <row r="139" spans="2:3">
      <c r="B139" s="486" t="s">
        <v>9</v>
      </c>
      <c r="C139" s="485" t="s">
        <v>849</v>
      </c>
    </row>
    <row r="141" spans="2:3">
      <c r="C141" s="486" t="s">
        <v>850</v>
      </c>
    </row>
    <row r="143" spans="2:3">
      <c r="C143" s="485" t="s">
        <v>851</v>
      </c>
    </row>
    <row r="145" spans="3:3">
      <c r="C145" s="486" t="s">
        <v>852</v>
      </c>
    </row>
    <row r="146" spans="3:3">
      <c r="C146" s="486" t="s">
        <v>853</v>
      </c>
    </row>
    <row r="148" spans="3:3">
      <c r="C148" s="485" t="s">
        <v>854</v>
      </c>
    </row>
    <row r="150" spans="3:3">
      <c r="C150" s="486" t="s">
        <v>855</v>
      </c>
    </row>
    <row r="152" spans="3:3">
      <c r="C152" s="485" t="s">
        <v>856</v>
      </c>
    </row>
    <row r="154" spans="3:3">
      <c r="C154" s="486" t="s">
        <v>857</v>
      </c>
    </row>
    <row r="155" spans="3:3">
      <c r="C155" s="486" t="s">
        <v>858</v>
      </c>
    </row>
    <row r="156" spans="3:3">
      <c r="C156" s="488" t="s">
        <v>859</v>
      </c>
    </row>
    <row r="157" spans="3:3">
      <c r="C157" s="488" t="s">
        <v>860</v>
      </c>
    </row>
    <row r="196" spans="2:18">
      <c r="B196" s="136" t="s">
        <v>9</v>
      </c>
      <c r="C196" s="136" t="s">
        <v>861</v>
      </c>
      <c r="D196"/>
      <c r="E196"/>
      <c r="F196"/>
      <c r="G196"/>
      <c r="H196"/>
      <c r="I196"/>
      <c r="J196"/>
      <c r="K196"/>
      <c r="L196"/>
      <c r="M196"/>
      <c r="N196"/>
      <c r="O196"/>
      <c r="P196"/>
      <c r="Q196"/>
      <c r="R196"/>
    </row>
    <row r="197" spans="2:18">
      <c r="B197" s="136"/>
      <c r="C197" s="136"/>
      <c r="D197"/>
      <c r="E197"/>
      <c r="F197"/>
      <c r="G197"/>
      <c r="H197"/>
      <c r="I197"/>
      <c r="J197"/>
      <c r="K197"/>
      <c r="L197"/>
      <c r="M197"/>
      <c r="N197"/>
      <c r="O197"/>
      <c r="P197"/>
      <c r="Q197"/>
      <c r="R197"/>
    </row>
    <row r="198" spans="2:18">
      <c r="B198" s="136"/>
      <c r="C198" s="136"/>
      <c r="D198"/>
      <c r="E198"/>
      <c r="F198"/>
      <c r="G198"/>
      <c r="H198"/>
      <c r="I198"/>
      <c r="J198"/>
      <c r="K198"/>
      <c r="L198"/>
      <c r="M198"/>
      <c r="N198"/>
      <c r="O198"/>
      <c r="P198"/>
      <c r="Q198"/>
      <c r="R198"/>
    </row>
    <row r="199" spans="2:18">
      <c r="B199" s="136"/>
      <c r="C199" s="136"/>
      <c r="D199"/>
      <c r="E199"/>
      <c r="F199"/>
      <c r="G199"/>
      <c r="H199"/>
      <c r="I199"/>
      <c r="J199"/>
      <c r="K199"/>
      <c r="L199"/>
      <c r="M199"/>
      <c r="N199"/>
      <c r="O199"/>
      <c r="P199"/>
      <c r="Q199"/>
      <c r="R199"/>
    </row>
    <row r="200" spans="2:18">
      <c r="B200" s="136"/>
      <c r="C200" s="136"/>
      <c r="D200"/>
      <c r="E200"/>
      <c r="F200"/>
      <c r="G200"/>
      <c r="H200"/>
      <c r="I200"/>
      <c r="J200"/>
      <c r="K200"/>
      <c r="L200"/>
      <c r="M200"/>
      <c r="N200"/>
      <c r="O200"/>
      <c r="P200"/>
      <c r="Q200"/>
      <c r="R200"/>
    </row>
    <row r="201" spans="2:18">
      <c r="B201" s="136"/>
      <c r="C201" s="136"/>
      <c r="D201"/>
      <c r="E201"/>
      <c r="F201"/>
      <c r="G201"/>
      <c r="H201"/>
      <c r="I201"/>
      <c r="J201"/>
      <c r="K201"/>
      <c r="L201"/>
      <c r="M201"/>
      <c r="N201"/>
      <c r="O201"/>
      <c r="P201"/>
      <c r="Q201"/>
      <c r="R201"/>
    </row>
    <row r="202" spans="2:18">
      <c r="B202" s="136"/>
      <c r="C202" s="136"/>
      <c r="D202"/>
      <c r="E202"/>
      <c r="F202"/>
      <c r="G202"/>
      <c r="H202"/>
      <c r="I202"/>
      <c r="J202"/>
      <c r="K202"/>
      <c r="L202"/>
      <c r="M202"/>
      <c r="N202"/>
      <c r="O202"/>
      <c r="P202"/>
      <c r="Q202"/>
      <c r="R202"/>
    </row>
    <row r="203" spans="2:18">
      <c r="B203" s="136"/>
      <c r="C203" s="136"/>
      <c r="D203"/>
      <c r="E203"/>
      <c r="F203"/>
      <c r="G203"/>
      <c r="H203"/>
      <c r="I203"/>
      <c r="J203"/>
      <c r="K203"/>
      <c r="L203"/>
      <c r="M203"/>
      <c r="N203"/>
      <c r="O203"/>
      <c r="P203"/>
      <c r="Q203"/>
      <c r="R203"/>
    </row>
    <row r="204" spans="2:18">
      <c r="B204" s="136"/>
      <c r="C204" s="136"/>
      <c r="D204"/>
      <c r="E204"/>
      <c r="F204"/>
      <c r="G204"/>
      <c r="H204"/>
      <c r="I204"/>
      <c r="J204"/>
      <c r="K204"/>
      <c r="L204"/>
      <c r="M204"/>
      <c r="N204"/>
      <c r="O204"/>
      <c r="P204"/>
      <c r="Q204"/>
      <c r="R204"/>
    </row>
    <row r="205" spans="2:18">
      <c r="B205" s="136"/>
      <c r="C205" s="136"/>
      <c r="D205"/>
      <c r="E205"/>
      <c r="F205"/>
      <c r="G205"/>
      <c r="H205"/>
      <c r="I205"/>
      <c r="J205"/>
      <c r="K205"/>
      <c r="L205"/>
      <c r="M205"/>
      <c r="N205"/>
      <c r="O205"/>
      <c r="P205"/>
      <c r="Q205"/>
      <c r="R205"/>
    </row>
    <row r="206" spans="2:18">
      <c r="B206" s="136"/>
      <c r="C206" s="136"/>
      <c r="D206"/>
      <c r="E206"/>
      <c r="F206"/>
      <c r="G206"/>
      <c r="H206"/>
      <c r="I206"/>
      <c r="J206"/>
      <c r="K206"/>
      <c r="L206"/>
      <c r="M206"/>
      <c r="N206"/>
      <c r="O206"/>
      <c r="P206"/>
      <c r="Q206"/>
      <c r="R206"/>
    </row>
    <row r="207" spans="2:18">
      <c r="B207" s="136"/>
      <c r="C207" s="136"/>
      <c r="D207"/>
      <c r="E207"/>
      <c r="F207"/>
      <c r="G207"/>
      <c r="H207"/>
      <c r="I207"/>
      <c r="J207"/>
      <c r="K207"/>
      <c r="L207"/>
      <c r="M207"/>
      <c r="N207"/>
      <c r="O207"/>
      <c r="P207"/>
      <c r="Q207"/>
      <c r="R207"/>
    </row>
    <row r="208" spans="2:18">
      <c r="B208" s="136"/>
      <c r="C208" s="136"/>
      <c r="D208"/>
      <c r="E208"/>
      <c r="F208"/>
      <c r="G208"/>
      <c r="H208"/>
      <c r="I208"/>
      <c r="J208"/>
      <c r="K208"/>
      <c r="L208"/>
      <c r="M208"/>
      <c r="N208"/>
      <c r="O208"/>
      <c r="P208"/>
      <c r="Q208"/>
      <c r="R208"/>
    </row>
    <row r="209" spans="2:18">
      <c r="B209" s="136"/>
      <c r="C209" s="136"/>
      <c r="D209"/>
      <c r="E209"/>
      <c r="F209"/>
      <c r="G209"/>
      <c r="H209"/>
      <c r="I209"/>
      <c r="J209"/>
      <c r="K209"/>
      <c r="L209"/>
      <c r="M209"/>
      <c r="N209"/>
      <c r="O209"/>
      <c r="P209"/>
      <c r="Q209"/>
      <c r="R209"/>
    </row>
    <row r="210" spans="2:18">
      <c r="B210" s="136"/>
      <c r="C210" s="136"/>
      <c r="D210"/>
      <c r="E210"/>
      <c r="F210"/>
      <c r="G210"/>
      <c r="H210"/>
      <c r="I210"/>
      <c r="J210"/>
      <c r="K210"/>
      <c r="L210"/>
      <c r="M210"/>
      <c r="N210"/>
      <c r="O210"/>
      <c r="P210"/>
      <c r="Q210"/>
      <c r="R210"/>
    </row>
    <row r="211" spans="2:18">
      <c r="B211" s="136"/>
      <c r="C211" s="136"/>
      <c r="D211"/>
      <c r="E211"/>
      <c r="F211"/>
      <c r="G211"/>
      <c r="H211"/>
      <c r="I211"/>
      <c r="J211"/>
      <c r="K211"/>
      <c r="L211"/>
      <c r="M211"/>
      <c r="N211"/>
      <c r="O211"/>
      <c r="P211"/>
      <c r="Q211"/>
      <c r="R211"/>
    </row>
    <row r="212" spans="2:18">
      <c r="B212" s="136"/>
      <c r="C212" s="136"/>
      <c r="D212"/>
      <c r="E212"/>
      <c r="F212"/>
      <c r="G212"/>
      <c r="H212"/>
      <c r="I212"/>
      <c r="J212"/>
      <c r="K212"/>
      <c r="L212"/>
      <c r="M212"/>
      <c r="N212"/>
      <c r="O212"/>
      <c r="P212"/>
      <c r="Q212"/>
      <c r="R212"/>
    </row>
    <row r="213" spans="2:18">
      <c r="B213" s="136"/>
      <c r="C213" s="136"/>
      <c r="D213"/>
      <c r="E213"/>
      <c r="F213"/>
      <c r="G213"/>
      <c r="H213"/>
      <c r="I213"/>
      <c r="J213"/>
      <c r="K213"/>
      <c r="L213"/>
      <c r="M213"/>
      <c r="N213"/>
      <c r="O213"/>
      <c r="P213"/>
      <c r="Q213"/>
      <c r="R213"/>
    </row>
    <row r="214" spans="2:18">
      <c r="B214" s="136"/>
      <c r="C214" s="136"/>
      <c r="D214"/>
      <c r="E214"/>
      <c r="F214"/>
      <c r="G214"/>
      <c r="H214"/>
      <c r="I214"/>
      <c r="J214"/>
      <c r="K214"/>
      <c r="L214"/>
      <c r="M214"/>
      <c r="N214"/>
      <c r="O214"/>
      <c r="P214"/>
      <c r="Q214"/>
      <c r="R214"/>
    </row>
    <row r="215" spans="2:18">
      <c r="B215" s="136"/>
      <c r="C215" s="136"/>
      <c r="D215"/>
      <c r="E215"/>
      <c r="F215"/>
      <c r="G215"/>
      <c r="H215"/>
      <c r="I215"/>
      <c r="J215"/>
      <c r="K215"/>
      <c r="L215"/>
      <c r="M215"/>
      <c r="N215"/>
      <c r="O215"/>
      <c r="P215"/>
      <c r="Q215"/>
      <c r="R215"/>
    </row>
    <row r="216" spans="2:18">
      <c r="B216" s="136"/>
      <c r="C216" s="136"/>
      <c r="D216"/>
      <c r="E216"/>
      <c r="F216"/>
      <c r="G216"/>
      <c r="H216"/>
      <c r="I216"/>
      <c r="J216"/>
      <c r="K216"/>
      <c r="L216"/>
      <c r="M216"/>
      <c r="N216"/>
      <c r="O216"/>
      <c r="P216"/>
      <c r="Q216"/>
      <c r="R216"/>
    </row>
    <row r="217" spans="2:18">
      <c r="B217" s="136"/>
      <c r="C217" s="136"/>
      <c r="D217"/>
      <c r="E217"/>
      <c r="F217"/>
      <c r="G217"/>
      <c r="H217"/>
      <c r="I217"/>
      <c r="J217"/>
      <c r="K217"/>
      <c r="L217"/>
      <c r="M217"/>
      <c r="N217"/>
      <c r="O217"/>
      <c r="P217"/>
      <c r="Q217"/>
      <c r="R217"/>
    </row>
    <row r="218" spans="2:18">
      <c r="B218" s="136"/>
      <c r="C218" s="136"/>
      <c r="D218"/>
      <c r="E218"/>
      <c r="F218"/>
      <c r="G218"/>
      <c r="H218"/>
      <c r="I218"/>
      <c r="J218"/>
      <c r="K218"/>
      <c r="L218"/>
      <c r="M218"/>
      <c r="N218"/>
      <c r="O218"/>
      <c r="P218"/>
      <c r="Q218"/>
      <c r="R218"/>
    </row>
    <row r="219" spans="2:18">
      <c r="B219" s="136"/>
      <c r="C219" s="136"/>
      <c r="D219"/>
      <c r="E219"/>
      <c r="F219"/>
      <c r="G219"/>
      <c r="H219"/>
      <c r="I219"/>
      <c r="J219"/>
      <c r="K219"/>
      <c r="L219"/>
      <c r="M219"/>
      <c r="N219"/>
      <c r="O219"/>
      <c r="P219"/>
      <c r="Q219"/>
      <c r="R219"/>
    </row>
    <row r="220" spans="2:18">
      <c r="B220" s="136"/>
      <c r="C220" s="136"/>
      <c r="D220"/>
      <c r="E220"/>
      <c r="F220"/>
      <c r="G220"/>
      <c r="H220"/>
      <c r="I220"/>
      <c r="J220"/>
      <c r="K220"/>
      <c r="L220"/>
      <c r="M220"/>
      <c r="N220"/>
      <c r="O220"/>
      <c r="P220"/>
      <c r="Q220"/>
      <c r="R220"/>
    </row>
    <row r="221" spans="2:18">
      <c r="B221"/>
      <c r="C221" s="489" t="s">
        <v>862</v>
      </c>
      <c r="D221" s="490"/>
      <c r="E221"/>
      <c r="F221"/>
      <c r="G221"/>
      <c r="H221"/>
      <c r="I221"/>
      <c r="J221"/>
      <c r="K221"/>
      <c r="L221"/>
      <c r="M221"/>
      <c r="N221"/>
      <c r="O221"/>
      <c r="P221"/>
      <c r="Q221"/>
      <c r="R221"/>
    </row>
    <row r="222" spans="2:18">
      <c r="B222"/>
      <c r="C222" t="s">
        <v>863</v>
      </c>
      <c r="D222"/>
      <c r="E222"/>
      <c r="F222"/>
      <c r="G222"/>
      <c r="H222"/>
      <c r="I222"/>
      <c r="J222"/>
      <c r="K222"/>
      <c r="L222"/>
      <c r="M222"/>
      <c r="N222"/>
      <c r="O222"/>
      <c r="P222"/>
      <c r="Q222"/>
      <c r="R222"/>
    </row>
    <row r="223" spans="2:18">
      <c r="B223"/>
      <c r="C223"/>
      <c r="D223"/>
      <c r="E223"/>
      <c r="F223"/>
      <c r="G223"/>
      <c r="H223"/>
      <c r="I223"/>
      <c r="J223"/>
      <c r="K223"/>
      <c r="L223"/>
      <c r="M223"/>
      <c r="N223"/>
      <c r="O223"/>
      <c r="P223"/>
      <c r="Q223"/>
      <c r="R223"/>
    </row>
    <row r="224" spans="2:18">
      <c r="B224"/>
      <c r="C224" s="489" t="s">
        <v>864</v>
      </c>
      <c r="D224" s="491"/>
      <c r="E224"/>
      <c r="F224"/>
      <c r="G224"/>
      <c r="H224"/>
      <c r="I224"/>
      <c r="J224"/>
      <c r="K224"/>
      <c r="L224"/>
      <c r="M224"/>
      <c r="N224"/>
      <c r="O224"/>
      <c r="P224"/>
      <c r="Q224"/>
      <c r="R224"/>
    </row>
    <row r="225" spans="2:18">
      <c r="B225"/>
      <c r="C225" t="s">
        <v>865</v>
      </c>
      <c r="D225"/>
      <c r="E225"/>
      <c r="F225"/>
      <c r="G225"/>
      <c r="H225"/>
      <c r="I225"/>
      <c r="J225"/>
      <c r="K225"/>
      <c r="L225"/>
      <c r="M225"/>
      <c r="N225"/>
      <c r="O225"/>
      <c r="P225"/>
      <c r="Q225"/>
      <c r="R225"/>
    </row>
    <row r="226" spans="2:18">
      <c r="B226"/>
      <c r="C226" t="s">
        <v>866</v>
      </c>
      <c r="D226"/>
      <c r="E226"/>
      <c r="F226"/>
      <c r="G226"/>
      <c r="H226"/>
      <c r="I226"/>
      <c r="J226"/>
      <c r="K226"/>
      <c r="L226"/>
      <c r="M226"/>
      <c r="N226"/>
      <c r="O226"/>
      <c r="P226"/>
      <c r="Q226"/>
      <c r="R226"/>
    </row>
    <row r="227" spans="2:18">
      <c r="B227"/>
      <c r="C227" s="37" t="s">
        <v>867</v>
      </c>
      <c r="D227"/>
      <c r="E227"/>
      <c r="F227"/>
      <c r="G227"/>
      <c r="H227"/>
      <c r="I227"/>
      <c r="J227"/>
      <c r="K227"/>
      <c r="L227"/>
      <c r="M227"/>
      <c r="N227"/>
      <c r="O227"/>
      <c r="P227"/>
      <c r="Q227"/>
      <c r="R227"/>
    </row>
    <row r="228" spans="2:18">
      <c r="B228"/>
      <c r="C228" s="37" t="s">
        <v>868</v>
      </c>
      <c r="D228"/>
      <c r="E228"/>
      <c r="F228"/>
      <c r="G228"/>
      <c r="H228"/>
      <c r="I228"/>
      <c r="J228"/>
      <c r="K228"/>
      <c r="L228"/>
      <c r="M228"/>
      <c r="N228"/>
      <c r="O228"/>
      <c r="P228"/>
      <c r="Q228"/>
      <c r="R228"/>
    </row>
    <row r="229" spans="2:18">
      <c r="B229"/>
      <c r="C229" s="37" t="s">
        <v>869</v>
      </c>
      <c r="D229"/>
      <c r="E229"/>
      <c r="F229"/>
      <c r="G229"/>
      <c r="H229"/>
      <c r="I229"/>
      <c r="J229"/>
      <c r="K229"/>
      <c r="L229"/>
      <c r="M229"/>
      <c r="N229"/>
      <c r="O229"/>
      <c r="P229"/>
      <c r="Q229"/>
      <c r="R229"/>
    </row>
    <row r="230" spans="2:18">
      <c r="B230"/>
      <c r="C230" s="37" t="s">
        <v>870</v>
      </c>
      <c r="D230"/>
      <c r="E230"/>
      <c r="F230"/>
      <c r="G230"/>
      <c r="H230"/>
      <c r="I230"/>
      <c r="J230"/>
      <c r="K230"/>
      <c r="L230"/>
      <c r="M230"/>
      <c r="N230"/>
      <c r="O230"/>
      <c r="P230"/>
      <c r="Q230"/>
      <c r="R230"/>
    </row>
    <row r="231" spans="2:18">
      <c r="B231"/>
      <c r="C231" s="37" t="s">
        <v>871</v>
      </c>
      <c r="D231"/>
      <c r="E231"/>
      <c r="F231"/>
      <c r="G231"/>
      <c r="H231"/>
      <c r="I231"/>
      <c r="J231"/>
      <c r="K231"/>
      <c r="L231"/>
      <c r="M231"/>
      <c r="N231"/>
      <c r="O231"/>
      <c r="P231"/>
      <c r="Q231"/>
      <c r="R231"/>
    </row>
    <row r="232" spans="2:18">
      <c r="B232"/>
      <c r="C232"/>
      <c r="D232"/>
      <c r="E232"/>
      <c r="F232"/>
      <c r="G232"/>
      <c r="H232"/>
      <c r="I232"/>
      <c r="J232"/>
      <c r="K232"/>
      <c r="L232"/>
      <c r="M232"/>
      <c r="N232"/>
      <c r="O232"/>
      <c r="P232"/>
      <c r="Q232"/>
      <c r="R232"/>
    </row>
    <row r="233" spans="2:18">
      <c r="B233"/>
      <c r="C233"/>
      <c r="D233"/>
      <c r="E233"/>
      <c r="F233"/>
      <c r="G233"/>
      <c r="H233"/>
      <c r="I233"/>
      <c r="J233"/>
      <c r="K233"/>
      <c r="L233"/>
      <c r="M233"/>
      <c r="N233"/>
      <c r="O233"/>
      <c r="P233"/>
      <c r="Q233"/>
      <c r="R233"/>
    </row>
    <row r="234" spans="2:18">
      <c r="B234"/>
      <c r="C234"/>
      <c r="D234"/>
      <c r="E234"/>
      <c r="F234"/>
      <c r="G234"/>
      <c r="H234"/>
      <c r="I234"/>
      <c r="J234"/>
      <c r="K234"/>
      <c r="L234"/>
      <c r="M234"/>
      <c r="N234"/>
      <c r="O234"/>
      <c r="P234"/>
      <c r="Q234"/>
      <c r="R234"/>
    </row>
    <row r="235" spans="2:18">
      <c r="B235"/>
      <c r="C235"/>
      <c r="D235"/>
      <c r="E235"/>
      <c r="F235"/>
      <c r="G235"/>
      <c r="H235"/>
      <c r="I235"/>
      <c r="J235"/>
      <c r="K235"/>
      <c r="L235"/>
      <c r="M235"/>
      <c r="N235"/>
      <c r="O235"/>
      <c r="P235"/>
      <c r="Q235"/>
      <c r="R235"/>
    </row>
    <row r="236" spans="2:18">
      <c r="B236"/>
      <c r="C236"/>
      <c r="D236"/>
      <c r="E236"/>
      <c r="F236"/>
      <c r="G236"/>
      <c r="H236"/>
      <c r="I236"/>
      <c r="J236"/>
      <c r="K236"/>
      <c r="L236"/>
      <c r="M236"/>
      <c r="N236"/>
      <c r="O236"/>
      <c r="P236"/>
      <c r="Q236"/>
      <c r="R236"/>
    </row>
    <row r="237" spans="2:18">
      <c r="B237"/>
      <c r="C237"/>
      <c r="D237"/>
      <c r="E237"/>
      <c r="F237"/>
      <c r="G237"/>
      <c r="H237"/>
      <c r="I237"/>
      <c r="J237"/>
      <c r="K237"/>
      <c r="L237"/>
      <c r="M237"/>
      <c r="N237"/>
      <c r="O237"/>
      <c r="P237"/>
      <c r="Q237"/>
      <c r="R237"/>
    </row>
    <row r="238" spans="2:18">
      <c r="B238"/>
      <c r="C238"/>
      <c r="D238"/>
      <c r="E238"/>
      <c r="F238"/>
      <c r="G238"/>
      <c r="H238"/>
      <c r="I238"/>
      <c r="J238"/>
      <c r="K238"/>
      <c r="L238"/>
      <c r="M238"/>
      <c r="N238"/>
      <c r="O238"/>
      <c r="P238"/>
      <c r="Q238"/>
      <c r="R238"/>
    </row>
    <row r="239" spans="2:18">
      <c r="B239"/>
      <c r="C239"/>
      <c r="D239"/>
      <c r="E239"/>
      <c r="F239"/>
      <c r="G239"/>
      <c r="H239"/>
      <c r="I239"/>
      <c r="J239"/>
      <c r="K239"/>
      <c r="L239"/>
      <c r="M239"/>
      <c r="N239"/>
      <c r="O239"/>
      <c r="P239"/>
      <c r="Q239"/>
      <c r="R239"/>
    </row>
    <row r="240" spans="2:18">
      <c r="B240"/>
      <c r="C240"/>
      <c r="D240"/>
      <c r="E240"/>
      <c r="F240"/>
      <c r="G240"/>
      <c r="H240"/>
      <c r="I240"/>
      <c r="J240"/>
      <c r="K240"/>
      <c r="L240"/>
      <c r="M240"/>
      <c r="N240"/>
      <c r="O240"/>
      <c r="P240"/>
      <c r="Q240"/>
      <c r="R240"/>
    </row>
    <row r="241" spans="2:18">
      <c r="B241"/>
      <c r="C241"/>
      <c r="D241"/>
      <c r="E241"/>
      <c r="F241"/>
      <c r="G241"/>
      <c r="H241"/>
      <c r="I241"/>
      <c r="J241"/>
      <c r="K241"/>
      <c r="L241"/>
      <c r="M241"/>
      <c r="N241"/>
      <c r="O241"/>
      <c r="P241"/>
      <c r="Q241"/>
      <c r="R241"/>
    </row>
    <row r="242" spans="2:18">
      <c r="B242"/>
      <c r="C242"/>
      <c r="D242"/>
      <c r="E242"/>
      <c r="F242"/>
      <c r="G242"/>
      <c r="H242"/>
      <c r="I242"/>
      <c r="J242"/>
      <c r="K242"/>
      <c r="L242"/>
      <c r="M242"/>
      <c r="N242"/>
      <c r="O242"/>
      <c r="P242"/>
      <c r="Q242"/>
      <c r="R242"/>
    </row>
    <row r="243" spans="2:18">
      <c r="B243"/>
      <c r="C243"/>
      <c r="D243"/>
      <c r="E243"/>
      <c r="F243"/>
      <c r="G243"/>
      <c r="H243"/>
      <c r="I243"/>
      <c r="J243"/>
      <c r="K243"/>
      <c r="L243"/>
      <c r="M243"/>
      <c r="N243"/>
      <c r="O243"/>
      <c r="P243"/>
      <c r="Q243"/>
      <c r="R243"/>
    </row>
    <row r="244" spans="2:18">
      <c r="B244"/>
      <c r="C244"/>
      <c r="D244"/>
      <c r="E244"/>
      <c r="F244"/>
      <c r="G244"/>
      <c r="H244"/>
      <c r="I244"/>
      <c r="J244"/>
      <c r="K244"/>
      <c r="L244"/>
      <c r="M244"/>
      <c r="N244"/>
      <c r="O244"/>
      <c r="P244"/>
      <c r="Q244"/>
      <c r="R244"/>
    </row>
    <row r="245" spans="2:18">
      <c r="B245"/>
      <c r="C245"/>
      <c r="D245"/>
      <c r="E245"/>
      <c r="F245"/>
      <c r="G245"/>
      <c r="H245"/>
      <c r="I245"/>
      <c r="J245"/>
      <c r="K245"/>
      <c r="L245"/>
      <c r="M245"/>
      <c r="N245"/>
      <c r="O245"/>
      <c r="P245"/>
      <c r="Q245"/>
      <c r="R245"/>
    </row>
    <row r="246" spans="2:18">
      <c r="B246"/>
      <c r="C246"/>
      <c r="D246"/>
      <c r="E246"/>
      <c r="F246"/>
      <c r="G246"/>
      <c r="H246"/>
      <c r="I246"/>
      <c r="J246"/>
      <c r="K246"/>
      <c r="L246"/>
      <c r="M246"/>
      <c r="N246"/>
      <c r="O246"/>
      <c r="P246"/>
      <c r="Q246"/>
      <c r="R246"/>
    </row>
    <row r="247" spans="2:18">
      <c r="B247"/>
      <c r="C247"/>
      <c r="D247"/>
      <c r="E247"/>
      <c r="F247"/>
      <c r="G247"/>
      <c r="H247"/>
      <c r="I247"/>
      <c r="J247"/>
      <c r="K247"/>
      <c r="L247"/>
      <c r="M247"/>
      <c r="N247"/>
      <c r="O247"/>
      <c r="P247"/>
      <c r="Q247"/>
      <c r="R247"/>
    </row>
    <row r="248" spans="2:18">
      <c r="B248"/>
      <c r="C248"/>
      <c r="D248"/>
      <c r="E248"/>
      <c r="F248"/>
      <c r="G248"/>
      <c r="H248"/>
      <c r="I248"/>
      <c r="J248"/>
      <c r="K248"/>
      <c r="L248"/>
      <c r="M248"/>
      <c r="N248"/>
      <c r="O248"/>
      <c r="P248"/>
      <c r="Q248"/>
      <c r="R248"/>
    </row>
    <row r="249" spans="2:18">
      <c r="B249"/>
      <c r="C249"/>
      <c r="D249"/>
      <c r="E249"/>
      <c r="F249"/>
      <c r="G249"/>
      <c r="H249"/>
      <c r="I249"/>
      <c r="J249"/>
      <c r="K249"/>
      <c r="L249"/>
      <c r="M249"/>
      <c r="N249"/>
      <c r="O249"/>
      <c r="P249"/>
      <c r="Q249"/>
      <c r="R249"/>
    </row>
    <row r="250" spans="2:18">
      <c r="B250"/>
      <c r="C250"/>
      <c r="D250"/>
      <c r="E250"/>
      <c r="F250"/>
      <c r="G250"/>
      <c r="H250"/>
      <c r="I250"/>
      <c r="J250"/>
      <c r="K250"/>
      <c r="L250"/>
      <c r="M250"/>
      <c r="N250"/>
      <c r="O250"/>
      <c r="P250"/>
      <c r="Q250"/>
      <c r="R250"/>
    </row>
    <row r="251" spans="2:18">
      <c r="B251"/>
      <c r="C251"/>
      <c r="D251"/>
      <c r="E251"/>
      <c r="F251"/>
      <c r="G251"/>
      <c r="H251"/>
      <c r="I251"/>
      <c r="J251"/>
      <c r="K251"/>
      <c r="L251"/>
      <c r="M251"/>
      <c r="N251"/>
      <c r="O251"/>
      <c r="P251"/>
      <c r="Q251"/>
      <c r="R251"/>
    </row>
    <row r="252" spans="2:18">
      <c r="B252"/>
      <c r="C252"/>
      <c r="D252"/>
      <c r="E252"/>
      <c r="F252"/>
      <c r="G252"/>
      <c r="H252"/>
      <c r="I252"/>
      <c r="J252"/>
      <c r="K252"/>
      <c r="L252"/>
      <c r="M252"/>
      <c r="N252"/>
      <c r="O252"/>
      <c r="P252"/>
      <c r="Q252"/>
      <c r="R252"/>
    </row>
    <row r="253" spans="2:18">
      <c r="B253"/>
      <c r="C253"/>
      <c r="D253"/>
      <c r="E253"/>
      <c r="F253"/>
      <c r="G253"/>
      <c r="H253"/>
      <c r="I253"/>
      <c r="J253"/>
      <c r="K253"/>
      <c r="L253"/>
      <c r="M253"/>
      <c r="N253"/>
      <c r="O253"/>
      <c r="P253"/>
      <c r="Q253"/>
      <c r="R253"/>
    </row>
    <row r="254" spans="2:18">
      <c r="B254"/>
      <c r="C254"/>
      <c r="D254"/>
      <c r="E254"/>
      <c r="F254"/>
      <c r="G254"/>
      <c r="H254"/>
      <c r="I254"/>
      <c r="J254"/>
      <c r="K254"/>
      <c r="L254"/>
      <c r="M254"/>
      <c r="N254"/>
      <c r="O254"/>
      <c r="P254"/>
      <c r="Q254"/>
      <c r="R254"/>
    </row>
    <row r="255" spans="2:18">
      <c r="B255"/>
      <c r="C255"/>
      <c r="D255"/>
      <c r="E255"/>
      <c r="F255"/>
      <c r="G255"/>
      <c r="H255"/>
      <c r="I255"/>
      <c r="J255"/>
      <c r="K255"/>
      <c r="L255"/>
      <c r="M255"/>
      <c r="N255"/>
      <c r="O255"/>
      <c r="P255"/>
      <c r="Q255"/>
      <c r="R255"/>
    </row>
    <row r="256" spans="2:18">
      <c r="B256"/>
      <c r="C256"/>
      <c r="D256"/>
      <c r="E256"/>
      <c r="F256"/>
      <c r="G256"/>
      <c r="H256"/>
      <c r="I256"/>
      <c r="J256"/>
      <c r="K256"/>
      <c r="L256"/>
      <c r="M256"/>
      <c r="N256"/>
      <c r="O256"/>
      <c r="P256"/>
      <c r="Q256"/>
      <c r="R256"/>
    </row>
    <row r="257" spans="2:19">
      <c r="B257"/>
      <c r="C257"/>
      <c r="D257"/>
      <c r="E257"/>
      <c r="F257"/>
      <c r="G257"/>
      <c r="H257"/>
      <c r="I257"/>
      <c r="J257"/>
      <c r="K257"/>
      <c r="L257"/>
      <c r="M257"/>
      <c r="N257"/>
      <c r="O257"/>
      <c r="P257"/>
      <c r="Q257"/>
      <c r="R257"/>
    </row>
    <row r="258" spans="2:19">
      <c r="B258"/>
      <c r="C258"/>
      <c r="D258"/>
      <c r="E258"/>
      <c r="F258"/>
      <c r="G258"/>
      <c r="H258"/>
      <c r="I258"/>
      <c r="J258"/>
      <c r="K258"/>
      <c r="L258"/>
      <c r="M258"/>
      <c r="N258"/>
      <c r="O258"/>
      <c r="P258"/>
      <c r="Q258"/>
      <c r="R258"/>
    </row>
    <row r="259" spans="2:19">
      <c r="B259"/>
      <c r="C259"/>
      <c r="D259"/>
      <c r="E259"/>
      <c r="F259"/>
      <c r="G259"/>
      <c r="H259"/>
      <c r="I259"/>
      <c r="J259"/>
      <c r="K259"/>
      <c r="L259"/>
      <c r="M259"/>
      <c r="N259"/>
      <c r="O259"/>
      <c r="P259"/>
      <c r="Q259"/>
      <c r="R259"/>
    </row>
    <row r="260" spans="2:19">
      <c r="B260"/>
      <c r="C260"/>
      <c r="D260"/>
      <c r="E260"/>
      <c r="F260"/>
      <c r="G260"/>
      <c r="H260"/>
      <c r="I260"/>
      <c r="J260"/>
      <c r="K260"/>
      <c r="L260"/>
      <c r="M260"/>
      <c r="N260"/>
      <c r="O260"/>
      <c r="P260"/>
      <c r="Q260"/>
      <c r="R260"/>
    </row>
    <row r="261" spans="2:19">
      <c r="B261"/>
      <c r="C261"/>
      <c r="D261"/>
      <c r="E261"/>
      <c r="F261"/>
      <c r="G261"/>
      <c r="H261"/>
      <c r="I261"/>
      <c r="J261"/>
      <c r="K261"/>
      <c r="L261"/>
      <c r="M261"/>
      <c r="N261"/>
      <c r="O261"/>
      <c r="P261"/>
      <c r="Q261"/>
      <c r="R261"/>
    </row>
    <row r="262" spans="2:19">
      <c r="B262"/>
      <c r="C262"/>
      <c r="D262"/>
      <c r="E262"/>
      <c r="F262"/>
      <c r="G262"/>
      <c r="H262"/>
      <c r="I262"/>
      <c r="J262"/>
      <c r="K262"/>
      <c r="L262"/>
      <c r="M262"/>
      <c r="N262"/>
      <c r="O262"/>
      <c r="P262"/>
      <c r="Q262"/>
      <c r="R262"/>
    </row>
    <row r="263" spans="2:19">
      <c r="B263"/>
      <c r="C263"/>
      <c r="D263"/>
      <c r="E263"/>
      <c r="F263"/>
      <c r="G263"/>
      <c r="H263"/>
      <c r="I263"/>
      <c r="J263"/>
      <c r="K263"/>
      <c r="L263"/>
      <c r="M263"/>
      <c r="N263"/>
      <c r="O263"/>
      <c r="P263"/>
      <c r="Q263"/>
      <c r="R263"/>
    </row>
    <row r="264" spans="2:19">
      <c r="B264"/>
      <c r="C264"/>
      <c r="D264"/>
      <c r="E264"/>
      <c r="F264"/>
      <c r="G264"/>
      <c r="H264"/>
      <c r="I264"/>
      <c r="J264"/>
      <c r="K264"/>
      <c r="L264"/>
      <c r="M264"/>
      <c r="N264"/>
      <c r="O264"/>
      <c r="P264"/>
      <c r="Q264"/>
      <c r="R264"/>
    </row>
    <row r="265" spans="2:19">
      <c r="B265"/>
      <c r="C265"/>
      <c r="D265"/>
      <c r="E265"/>
      <c r="F265"/>
      <c r="G265"/>
      <c r="H265"/>
      <c r="I265"/>
      <c r="J265"/>
      <c r="K265"/>
      <c r="L265"/>
      <c r="M265"/>
      <c r="N265"/>
      <c r="O265"/>
      <c r="P265"/>
      <c r="Q265"/>
      <c r="R265"/>
    </row>
    <row r="266" spans="2:19">
      <c r="B266"/>
      <c r="C266"/>
      <c r="D266"/>
      <c r="E266"/>
      <c r="F266"/>
      <c r="G266"/>
      <c r="H266"/>
      <c r="I266"/>
      <c r="J266"/>
      <c r="K266"/>
      <c r="L266"/>
      <c r="M266"/>
      <c r="N266"/>
      <c r="O266"/>
      <c r="P266"/>
      <c r="Q266"/>
      <c r="R266"/>
    </row>
    <row r="267" spans="2:19">
      <c r="B267"/>
      <c r="C267"/>
      <c r="D267"/>
      <c r="E267"/>
      <c r="F267"/>
      <c r="G267"/>
      <c r="H267"/>
      <c r="I267"/>
      <c r="J267"/>
      <c r="K267"/>
      <c r="L267"/>
      <c r="M267"/>
      <c r="N267"/>
      <c r="O267"/>
      <c r="P267"/>
      <c r="Q267"/>
      <c r="R267"/>
    </row>
    <row r="268" spans="2:19">
      <c r="B268"/>
      <c r="C268"/>
      <c r="D268"/>
      <c r="E268"/>
      <c r="F268"/>
      <c r="G268"/>
      <c r="H268"/>
      <c r="I268"/>
      <c r="J268"/>
      <c r="K268"/>
      <c r="L268"/>
      <c r="M268"/>
      <c r="N268"/>
      <c r="O268"/>
      <c r="P268"/>
      <c r="Q268"/>
      <c r="R268"/>
    </row>
    <row r="269" spans="2:19">
      <c r="B269" s="136" t="s">
        <v>9</v>
      </c>
      <c r="C269" s="136" t="s">
        <v>12</v>
      </c>
      <c r="D269"/>
      <c r="E269"/>
      <c r="F269"/>
      <c r="G269"/>
      <c r="H269"/>
      <c r="I269"/>
      <c r="J269"/>
      <c r="K269"/>
      <c r="L269"/>
      <c r="M269"/>
      <c r="N269"/>
      <c r="O269"/>
      <c r="P269"/>
      <c r="Q269"/>
      <c r="R269"/>
      <c r="S269"/>
    </row>
    <row r="270" spans="2:19">
      <c r="B270"/>
      <c r="C270" s="489" t="s">
        <v>15</v>
      </c>
      <c r="D270" s="492"/>
      <c r="E270" s="490"/>
      <c r="F270"/>
      <c r="G270"/>
      <c r="H270"/>
      <c r="I270"/>
      <c r="J270"/>
      <c r="K270"/>
      <c r="L270"/>
      <c r="M270"/>
      <c r="N270"/>
      <c r="O270"/>
      <c r="P270"/>
      <c r="Q270"/>
      <c r="R270"/>
      <c r="S270"/>
    </row>
    <row r="271" spans="2:19">
      <c r="B271"/>
      <c r="C271" t="s">
        <v>872</v>
      </c>
      <c r="D271"/>
      <c r="E271"/>
      <c r="F271"/>
      <c r="G271"/>
      <c r="H271"/>
      <c r="I271"/>
      <c r="J271"/>
      <c r="K271"/>
      <c r="L271"/>
      <c r="M271"/>
      <c r="N271"/>
      <c r="O271"/>
      <c r="P271"/>
      <c r="Q271"/>
      <c r="R271"/>
      <c r="S271"/>
    </row>
    <row r="272" spans="2:19">
      <c r="B272"/>
      <c r="C272" s="136" t="s">
        <v>873</v>
      </c>
      <c r="D272"/>
      <c r="E272"/>
      <c r="F272"/>
      <c r="G272"/>
      <c r="H272"/>
      <c r="I272"/>
      <c r="J272"/>
      <c r="K272"/>
      <c r="L272"/>
      <c r="M272"/>
      <c r="N272"/>
      <c r="O272"/>
      <c r="P272"/>
      <c r="Q272"/>
      <c r="R272"/>
      <c r="S272"/>
    </row>
    <row r="273" spans="2:19">
      <c r="B273"/>
      <c r="C273" s="37" t="s">
        <v>874</v>
      </c>
      <c r="D273"/>
      <c r="E273"/>
      <c r="F273"/>
      <c r="G273"/>
      <c r="H273"/>
      <c r="I273"/>
      <c r="J273"/>
      <c r="K273"/>
      <c r="L273"/>
      <c r="M273"/>
      <c r="N273"/>
      <c r="O273"/>
      <c r="P273"/>
      <c r="Q273"/>
      <c r="R273"/>
      <c r="S273"/>
    </row>
    <row r="274" spans="2:19">
      <c r="B274"/>
      <c r="C274" s="37" t="s">
        <v>875</v>
      </c>
      <c r="D274"/>
      <c r="E274"/>
      <c r="F274"/>
      <c r="G274"/>
      <c r="H274"/>
      <c r="I274"/>
      <c r="J274"/>
      <c r="K274"/>
      <c r="L274"/>
      <c r="M274"/>
      <c r="N274"/>
      <c r="O274"/>
      <c r="P274"/>
      <c r="Q274"/>
      <c r="R274"/>
      <c r="S274"/>
    </row>
    <row r="275" spans="2:19">
      <c r="B275"/>
      <c r="C275" s="37" t="s">
        <v>876</v>
      </c>
      <c r="D275"/>
      <c r="E275"/>
      <c r="F275"/>
      <c r="G275"/>
      <c r="H275"/>
      <c r="I275"/>
      <c r="J275"/>
      <c r="K275"/>
      <c r="L275"/>
      <c r="M275"/>
      <c r="N275"/>
      <c r="O275"/>
      <c r="P275"/>
      <c r="Q275"/>
      <c r="R275"/>
      <c r="S275"/>
    </row>
    <row r="276" spans="2:19">
      <c r="B276"/>
      <c r="C276" s="37" t="s">
        <v>877</v>
      </c>
      <c r="D276"/>
      <c r="E276"/>
      <c r="F276"/>
      <c r="G276"/>
      <c r="H276"/>
      <c r="I276"/>
      <c r="J276"/>
      <c r="K276"/>
      <c r="L276"/>
      <c r="M276"/>
      <c r="N276"/>
      <c r="O276"/>
      <c r="P276"/>
      <c r="Q276"/>
      <c r="R276"/>
      <c r="S276"/>
    </row>
    <row r="277" spans="2:19">
      <c r="B277"/>
      <c r="C277" s="37" t="s">
        <v>878</v>
      </c>
      <c r="D277"/>
      <c r="E277"/>
      <c r="F277"/>
      <c r="G277"/>
      <c r="H277"/>
      <c r="I277"/>
      <c r="J277"/>
      <c r="K277"/>
      <c r="L277"/>
      <c r="M277"/>
      <c r="N277"/>
      <c r="O277"/>
      <c r="P277"/>
      <c r="Q277"/>
      <c r="R277"/>
      <c r="S277"/>
    </row>
    <row r="278" spans="2:19">
      <c r="B278"/>
      <c r="C278" s="37" t="s">
        <v>879</v>
      </c>
      <c r="D278"/>
      <c r="E278"/>
      <c r="F278"/>
      <c r="G278"/>
      <c r="H278"/>
      <c r="I278"/>
      <c r="J278"/>
      <c r="K278"/>
      <c r="L278"/>
      <c r="M278"/>
      <c r="N278"/>
      <c r="O278"/>
      <c r="P278"/>
      <c r="Q278"/>
      <c r="R278"/>
      <c r="S278"/>
    </row>
    <row r="279" spans="2:19">
      <c r="B279"/>
      <c r="C279" t="s">
        <v>880</v>
      </c>
      <c r="D279"/>
      <c r="E279"/>
      <c r="F279"/>
      <c r="G279"/>
      <c r="H279"/>
      <c r="I279"/>
      <c r="J279"/>
      <c r="K279"/>
      <c r="L279"/>
      <c r="M279"/>
      <c r="N279"/>
      <c r="O279"/>
      <c r="P279"/>
      <c r="Q279"/>
      <c r="R279"/>
      <c r="S279"/>
    </row>
    <row r="280" spans="2:19">
      <c r="B280"/>
      <c r="C280" t="s">
        <v>881</v>
      </c>
      <c r="D280"/>
      <c r="E280"/>
      <c r="F280"/>
      <c r="G280"/>
      <c r="H280"/>
      <c r="I280"/>
      <c r="J280"/>
      <c r="K280"/>
      <c r="L280"/>
      <c r="M280"/>
      <c r="N280"/>
      <c r="O280"/>
      <c r="P280"/>
      <c r="Q280"/>
      <c r="R280"/>
      <c r="S280"/>
    </row>
    <row r="281" spans="2:19">
      <c r="B281"/>
      <c r="C281" t="s">
        <v>882</v>
      </c>
      <c r="D281"/>
      <c r="E281"/>
      <c r="F281"/>
      <c r="G281"/>
      <c r="H281"/>
      <c r="I281"/>
      <c r="J281"/>
      <c r="K281"/>
      <c r="L281"/>
      <c r="M281"/>
      <c r="N281"/>
      <c r="O281"/>
      <c r="P281"/>
      <c r="Q281"/>
      <c r="R281"/>
      <c r="S281"/>
    </row>
    <row r="282" spans="2:19">
      <c r="B282"/>
      <c r="C282" t="s">
        <v>883</v>
      </c>
      <c r="D282"/>
      <c r="E282"/>
      <c r="F282"/>
      <c r="G282"/>
      <c r="H282"/>
      <c r="I282"/>
      <c r="J282"/>
      <c r="K282"/>
      <c r="L282"/>
      <c r="M282"/>
      <c r="N282"/>
      <c r="O282"/>
      <c r="P282"/>
      <c r="Q282"/>
      <c r="R282"/>
      <c r="S282"/>
    </row>
    <row r="283" spans="2:19">
      <c r="B283"/>
      <c r="C283" s="136" t="s">
        <v>884</v>
      </c>
      <c r="D283"/>
      <c r="E283"/>
      <c r="F283"/>
      <c r="G283"/>
      <c r="H283"/>
      <c r="I283"/>
      <c r="J283"/>
      <c r="K283"/>
      <c r="L283"/>
      <c r="M283"/>
      <c r="N283"/>
      <c r="O283"/>
      <c r="P283"/>
      <c r="Q283"/>
      <c r="R283"/>
      <c r="S283"/>
    </row>
    <row r="284" spans="2:19">
      <c r="B284"/>
      <c r="C284" s="37" t="s">
        <v>885</v>
      </c>
      <c r="D284"/>
      <c r="E284"/>
      <c r="F284"/>
      <c r="G284"/>
      <c r="H284"/>
      <c r="I284"/>
      <c r="J284"/>
      <c r="K284"/>
      <c r="L284"/>
      <c r="M284"/>
      <c r="N284"/>
      <c r="O284"/>
      <c r="P284"/>
      <c r="Q284"/>
      <c r="R284"/>
      <c r="S284"/>
    </row>
    <row r="285" spans="2:19">
      <c r="B285"/>
      <c r="C285" s="37" t="s">
        <v>886</v>
      </c>
      <c r="D285"/>
      <c r="E285"/>
      <c r="F285"/>
      <c r="G285"/>
      <c r="H285"/>
      <c r="I285"/>
      <c r="J285"/>
      <c r="K285"/>
      <c r="L285"/>
      <c r="M285"/>
      <c r="N285"/>
      <c r="O285"/>
      <c r="P285"/>
      <c r="Q285"/>
      <c r="R285"/>
      <c r="S285"/>
    </row>
    <row r="286" spans="2:19">
      <c r="B286"/>
      <c r="C286"/>
      <c r="D286"/>
      <c r="E286"/>
      <c r="F286"/>
      <c r="G286"/>
      <c r="H286"/>
      <c r="I286"/>
      <c r="J286"/>
      <c r="K286"/>
      <c r="L286"/>
      <c r="M286"/>
      <c r="N286"/>
      <c r="O286"/>
      <c r="P286"/>
      <c r="Q286"/>
      <c r="R286"/>
      <c r="S286"/>
    </row>
    <row r="287" spans="2:19">
      <c r="B287" s="136"/>
      <c r="C287" s="489" t="s">
        <v>584</v>
      </c>
      <c r="D287" s="491"/>
      <c r="E287"/>
      <c r="F287"/>
      <c r="G287"/>
      <c r="H287"/>
      <c r="I287"/>
      <c r="J287"/>
      <c r="K287"/>
      <c r="L287"/>
      <c r="M287"/>
      <c r="N287"/>
      <c r="O287"/>
      <c r="P287"/>
      <c r="Q287"/>
      <c r="R287"/>
      <c r="S287"/>
    </row>
    <row r="288" spans="2:19">
      <c r="B288" s="136"/>
      <c r="C288" t="s">
        <v>887</v>
      </c>
      <c r="D288" s="136"/>
      <c r="E288"/>
      <c r="F288"/>
      <c r="G288"/>
      <c r="H288"/>
      <c r="I288"/>
      <c r="J288"/>
      <c r="K288"/>
      <c r="L288"/>
      <c r="M288"/>
      <c r="N288"/>
      <c r="O288"/>
      <c r="P288"/>
      <c r="Q288"/>
      <c r="R288"/>
      <c r="S288"/>
    </row>
    <row r="289" spans="2:19">
      <c r="B289"/>
      <c r="C289" t="s">
        <v>888</v>
      </c>
      <c r="D289"/>
      <c r="E289"/>
      <c r="F289"/>
      <c r="G289"/>
      <c r="H289"/>
      <c r="I289"/>
      <c r="J289"/>
      <c r="K289"/>
      <c r="L289"/>
      <c r="M289"/>
      <c r="N289"/>
      <c r="O289"/>
      <c r="P289"/>
      <c r="Q289"/>
      <c r="R289"/>
      <c r="S289"/>
    </row>
    <row r="290" spans="2:19">
      <c r="B290"/>
      <c r="C290" s="136" t="s">
        <v>873</v>
      </c>
      <c r="D290"/>
      <c r="E290"/>
      <c r="F290"/>
      <c r="G290"/>
      <c r="H290"/>
      <c r="I290"/>
      <c r="J290"/>
      <c r="K290"/>
      <c r="L290"/>
      <c r="M290"/>
      <c r="N290"/>
      <c r="O290"/>
      <c r="P290"/>
      <c r="Q290"/>
      <c r="R290"/>
      <c r="S290"/>
    </row>
    <row r="291" spans="2:19">
      <c r="B291"/>
      <c r="C291" s="37" t="s">
        <v>889</v>
      </c>
      <c r="D291"/>
      <c r="E291"/>
      <c r="F291"/>
      <c r="G291"/>
      <c r="H291"/>
      <c r="I291"/>
      <c r="J291"/>
      <c r="K291"/>
      <c r="L291"/>
      <c r="M291"/>
      <c r="N291"/>
      <c r="O291"/>
      <c r="P291"/>
      <c r="Q291"/>
      <c r="R291"/>
      <c r="S291"/>
    </row>
    <row r="292" spans="2:19">
      <c r="B292"/>
      <c r="C292" s="37" t="s">
        <v>890</v>
      </c>
      <c r="D292"/>
      <c r="E292"/>
      <c r="F292"/>
      <c r="G292"/>
      <c r="H292"/>
      <c r="I292"/>
      <c r="J292"/>
      <c r="K292"/>
      <c r="L292"/>
      <c r="M292"/>
      <c r="N292"/>
      <c r="O292"/>
      <c r="P292"/>
      <c r="Q292"/>
      <c r="R292"/>
      <c r="S292"/>
    </row>
    <row r="293" spans="2:19">
      <c r="B293"/>
      <c r="C293" s="136" t="s">
        <v>891</v>
      </c>
      <c r="D293"/>
      <c r="E293"/>
      <c r="F293"/>
      <c r="G293"/>
      <c r="H293"/>
      <c r="I293"/>
      <c r="J293"/>
      <c r="K293"/>
      <c r="L293"/>
      <c r="M293"/>
      <c r="N293"/>
      <c r="O293"/>
      <c r="P293"/>
      <c r="Q293"/>
      <c r="R293"/>
      <c r="S293"/>
    </row>
    <row r="294" spans="2:19">
      <c r="B294"/>
      <c r="C294" t="s">
        <v>892</v>
      </c>
      <c r="D294"/>
      <c r="E294"/>
      <c r="F294"/>
      <c r="G294"/>
      <c r="H294"/>
      <c r="I294"/>
      <c r="J294"/>
      <c r="K294"/>
      <c r="L294"/>
      <c r="M294"/>
      <c r="N294"/>
      <c r="O294"/>
      <c r="P294"/>
      <c r="Q294"/>
      <c r="R294"/>
      <c r="S294"/>
    </row>
    <row r="295" spans="2:19">
      <c r="B295"/>
      <c r="C295" t="s">
        <v>893</v>
      </c>
      <c r="D295"/>
      <c r="E295"/>
      <c r="F295"/>
      <c r="G295"/>
      <c r="H295"/>
      <c r="I295"/>
      <c r="J295"/>
      <c r="K295"/>
      <c r="L295"/>
      <c r="M295"/>
      <c r="N295"/>
      <c r="O295"/>
      <c r="P295"/>
      <c r="Q295"/>
      <c r="R295"/>
      <c r="S295"/>
    </row>
    <row r="296" spans="2:19">
      <c r="B296"/>
      <c r="C296" t="s">
        <v>894</v>
      </c>
      <c r="D296"/>
      <c r="E296"/>
      <c r="F296"/>
      <c r="G296"/>
      <c r="H296"/>
      <c r="I296"/>
      <c r="J296"/>
      <c r="K296"/>
      <c r="L296"/>
      <c r="M296"/>
      <c r="N296"/>
      <c r="O296"/>
      <c r="P296"/>
      <c r="Q296"/>
      <c r="R296"/>
      <c r="S296"/>
    </row>
    <row r="297" spans="2:19">
      <c r="B297"/>
      <c r="C297" t="s">
        <v>895</v>
      </c>
      <c r="D297"/>
      <c r="E297"/>
      <c r="F297"/>
      <c r="G297"/>
      <c r="H297"/>
      <c r="I297"/>
      <c r="J297"/>
      <c r="K297"/>
      <c r="L297"/>
      <c r="M297"/>
      <c r="N297"/>
      <c r="O297"/>
      <c r="P297"/>
      <c r="Q297"/>
      <c r="R297"/>
      <c r="S297"/>
    </row>
    <row r="298" spans="2:19">
      <c r="B298"/>
      <c r="C298"/>
      <c r="D298"/>
      <c r="E298"/>
      <c r="F298"/>
      <c r="G298"/>
      <c r="H298"/>
      <c r="I298"/>
      <c r="J298"/>
      <c r="K298"/>
      <c r="L298"/>
      <c r="M298"/>
      <c r="N298"/>
      <c r="O298"/>
      <c r="P298"/>
      <c r="Q298"/>
      <c r="R298"/>
      <c r="S298"/>
    </row>
    <row r="299" spans="2:19">
      <c r="B299"/>
      <c r="C299" s="489" t="s">
        <v>896</v>
      </c>
      <c r="D299" s="490"/>
      <c r="E299"/>
      <c r="F299"/>
      <c r="G299"/>
      <c r="H299"/>
      <c r="I299"/>
      <c r="J299"/>
      <c r="K299"/>
      <c r="L299"/>
      <c r="M299"/>
      <c r="N299"/>
      <c r="O299"/>
      <c r="P299"/>
      <c r="Q299"/>
      <c r="R299"/>
      <c r="S299"/>
    </row>
    <row r="300" spans="2:19">
      <c r="B300"/>
      <c r="C300" t="s">
        <v>897</v>
      </c>
      <c r="D300"/>
      <c r="E300"/>
      <c r="F300"/>
      <c r="G300"/>
      <c r="H300"/>
      <c r="I300"/>
      <c r="J300"/>
      <c r="K300"/>
      <c r="L300"/>
      <c r="M300"/>
      <c r="N300"/>
      <c r="O300"/>
      <c r="P300"/>
      <c r="Q300"/>
      <c r="R300"/>
      <c r="S300"/>
    </row>
    <row r="301" spans="2:19">
      <c r="B301"/>
      <c r="C301" t="s">
        <v>898</v>
      </c>
      <c r="D301"/>
      <c r="E301"/>
      <c r="F301"/>
      <c r="G301"/>
      <c r="H301"/>
      <c r="I301"/>
      <c r="J301"/>
      <c r="K301"/>
      <c r="L301"/>
      <c r="M301"/>
      <c r="N301"/>
      <c r="O301"/>
      <c r="P301"/>
      <c r="Q301"/>
      <c r="R301"/>
      <c r="S301"/>
    </row>
    <row r="302" spans="2:19">
      <c r="B302"/>
      <c r="C302"/>
      <c r="D302"/>
      <c r="E302"/>
      <c r="F302"/>
      <c r="G302"/>
      <c r="H302"/>
      <c r="I302"/>
      <c r="J302"/>
      <c r="K302"/>
      <c r="L302"/>
      <c r="M302"/>
      <c r="N302"/>
      <c r="O302"/>
      <c r="P302"/>
      <c r="Q302"/>
      <c r="R302"/>
      <c r="S302"/>
    </row>
    <row r="303" spans="2:19">
      <c r="B303"/>
      <c r="C303" s="493" t="s">
        <v>23</v>
      </c>
      <c r="D303"/>
      <c r="E303"/>
      <c r="F303"/>
      <c r="G303"/>
      <c r="H303"/>
      <c r="I303"/>
      <c r="J303"/>
      <c r="K303"/>
      <c r="L303"/>
      <c r="M303"/>
      <c r="N303"/>
      <c r="O303"/>
      <c r="P303"/>
      <c r="Q303"/>
      <c r="R303"/>
      <c r="S303"/>
    </row>
    <row r="304" spans="2:19">
      <c r="B304"/>
      <c r="C304" t="s">
        <v>899</v>
      </c>
      <c r="D304"/>
      <c r="E304"/>
      <c r="F304"/>
      <c r="G304"/>
      <c r="H304"/>
      <c r="I304"/>
      <c r="J304"/>
      <c r="K304"/>
      <c r="L304"/>
      <c r="M304"/>
      <c r="N304"/>
      <c r="O304"/>
      <c r="P304"/>
      <c r="Q304"/>
      <c r="R304"/>
      <c r="S304"/>
    </row>
    <row r="305" spans="2:19">
      <c r="B305"/>
      <c r="C305" t="s">
        <v>900</v>
      </c>
      <c r="D305"/>
      <c r="E305"/>
      <c r="F305"/>
      <c r="G305"/>
      <c r="H305"/>
      <c r="I305"/>
      <c r="J305"/>
      <c r="K305"/>
      <c r="L305"/>
      <c r="M305"/>
      <c r="N305"/>
      <c r="O305"/>
      <c r="P305"/>
      <c r="Q305"/>
      <c r="R305"/>
      <c r="S305"/>
    </row>
    <row r="306" spans="2:19">
      <c r="B306"/>
      <c r="C306" t="s">
        <v>901</v>
      </c>
      <c r="D306"/>
      <c r="E306"/>
      <c r="F306"/>
      <c r="G306"/>
      <c r="H306"/>
      <c r="I306"/>
      <c r="J306"/>
      <c r="K306"/>
      <c r="L306"/>
      <c r="M306"/>
      <c r="N306"/>
      <c r="O306"/>
      <c r="P306"/>
      <c r="Q306"/>
      <c r="R306"/>
      <c r="S306"/>
    </row>
    <row r="307" spans="2:19">
      <c r="B307"/>
      <c r="C307" s="494" t="s">
        <v>902</v>
      </c>
      <c r="D307"/>
      <c r="E307"/>
      <c r="F307"/>
      <c r="G307"/>
      <c r="H307"/>
      <c r="I307"/>
      <c r="J307"/>
      <c r="K307"/>
      <c r="L307"/>
      <c r="M307"/>
      <c r="N307"/>
      <c r="O307"/>
      <c r="P307"/>
      <c r="Q307"/>
      <c r="R307"/>
      <c r="S307"/>
    </row>
    <row r="308" spans="2:19">
      <c r="B308"/>
      <c r="C308"/>
      <c r="D308"/>
      <c r="E308"/>
      <c r="F308"/>
      <c r="G308"/>
      <c r="H308"/>
      <c r="I308"/>
      <c r="J308"/>
      <c r="K308"/>
      <c r="L308"/>
      <c r="M308"/>
      <c r="N308"/>
      <c r="O308"/>
      <c r="P308"/>
      <c r="Q308"/>
      <c r="R308"/>
      <c r="S308"/>
    </row>
    <row r="309" spans="2:19">
      <c r="B309" s="136" t="s">
        <v>9</v>
      </c>
      <c r="C309" s="136" t="s">
        <v>903</v>
      </c>
      <c r="D309"/>
      <c r="E309"/>
      <c r="F309"/>
      <c r="G309"/>
      <c r="H309"/>
      <c r="I309"/>
      <c r="J309"/>
      <c r="K309"/>
      <c r="L309"/>
      <c r="M309"/>
      <c r="N309"/>
      <c r="O309"/>
      <c r="P309"/>
      <c r="Q309"/>
      <c r="R309"/>
      <c r="S309"/>
    </row>
    <row r="310" spans="2:19">
      <c r="B310"/>
      <c r="C310"/>
      <c r="D310"/>
      <c r="E310"/>
      <c r="F310"/>
      <c r="G310"/>
      <c r="H310"/>
      <c r="I310"/>
      <c r="J310"/>
      <c r="K310"/>
      <c r="L310"/>
      <c r="M310"/>
      <c r="N310"/>
      <c r="O310"/>
      <c r="P310"/>
      <c r="Q310"/>
      <c r="R310"/>
      <c r="S310"/>
    </row>
    <row r="311" spans="2:19">
      <c r="C311" s="486" t="s">
        <v>904</v>
      </c>
    </row>
    <row r="312" spans="2:19">
      <c r="C312" s="486" t="s">
        <v>905</v>
      </c>
    </row>
    <row r="313" spans="2:19">
      <c r="C313" s="486" t="s">
        <v>906</v>
      </c>
    </row>
    <row r="315" spans="2:19">
      <c r="C315" s="486" t="s">
        <v>907</v>
      </c>
    </row>
    <row r="316" spans="2:19">
      <c r="C316" s="486" t="s">
        <v>908</v>
      </c>
    </row>
    <row r="317" spans="2:19">
      <c r="C317" s="486" t="s">
        <v>909</v>
      </c>
    </row>
    <row r="318" spans="2:19">
      <c r="C318" s="486" t="s">
        <v>910</v>
      </c>
    </row>
    <row r="319" spans="2:19">
      <c r="C319" s="486" t="s">
        <v>911</v>
      </c>
    </row>
    <row r="321" spans="3:3">
      <c r="C321" s="486" t="s">
        <v>912</v>
      </c>
    </row>
    <row r="322" spans="3:3">
      <c r="C322" s="486" t="s">
        <v>913</v>
      </c>
    </row>
  </sheetData>
  <hyperlinks>
    <hyperlink ref="C72" r:id="rId1" xr:uid="{C908B093-1AF3-43C7-A583-BDCDD39E96F8}"/>
    <hyperlink ref="C98" r:id="rId2" display="https://newsroom.intel.com/wp-content/uploads/sites/11/2021/03/intel-foundry-services-fact-sheet-229940.pdf" xr:uid="{1B872F14-F8F5-4C5F-80B4-8C0B8CEBA141}"/>
    <hyperlink ref="C307" r:id="rId3" xr:uid="{AB808961-6F3D-4233-AF84-24A4FA02C42F}"/>
  </hyperlinks>
  <pageMargins left="0.7" right="0.7" top="0.75" bottom="0.75" header="0.3" footer="0.3"/>
  <pageSetup orientation="portrait" r:id="rId4"/>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791EA-F0BB-438E-AB73-AB6C5A02A75C}">
  <sheetPr codeName="Sheet21">
    <tabColor theme="7" tint="0.59999389629810485"/>
  </sheetPr>
  <dimension ref="A1:AN61"/>
  <sheetViews>
    <sheetView showGridLines="0" zoomScaleNormal="100" workbookViewId="0">
      <pane xSplit="4" ySplit="11" topLeftCell="E12" activePane="bottomRight" state="frozen"/>
      <selection pane="topRight" activeCell="E7" sqref="E7"/>
      <selection pane="bottomLeft" activeCell="E7" sqref="E7"/>
      <selection pane="bottomRight" activeCell="E19" sqref="E19"/>
    </sheetView>
  </sheetViews>
  <sheetFormatPr defaultColWidth="15.81640625" defaultRowHeight="10.5" outlineLevelRow="1" outlineLevelCol="1"/>
  <cols>
    <col min="1" max="2" width="1.81640625" style="184" customWidth="1"/>
    <col min="3" max="3" width="12.1796875" style="184" bestFit="1" customWidth="1"/>
    <col min="4" max="4" width="12.81640625" style="184" customWidth="1" outlineLevel="1"/>
    <col min="5" max="12" width="15.81640625" style="187" customWidth="1"/>
    <col min="13" max="13" width="1.81640625" style="187" customWidth="1"/>
    <col min="16" max="40" width="10.81640625" customWidth="1"/>
  </cols>
  <sheetData>
    <row r="1" spans="1:15" ht="11.25" customHeight="1">
      <c r="A1" s="183" t="s">
        <v>914</v>
      </c>
      <c r="E1" s="184"/>
      <c r="F1" s="184"/>
      <c r="G1" s="184"/>
      <c r="H1" s="184"/>
      <c r="I1" s="184"/>
      <c r="J1" s="184"/>
      <c r="K1" s="184"/>
      <c r="L1" s="184"/>
      <c r="M1" s="184"/>
    </row>
    <row r="2" spans="1:15" ht="11.25" customHeight="1">
      <c r="A2" s="185" t="s">
        <v>915</v>
      </c>
      <c r="E2" s="184"/>
      <c r="F2" s="184"/>
      <c r="G2" s="184"/>
      <c r="H2" s="184"/>
      <c r="I2" s="184"/>
      <c r="J2" s="184"/>
      <c r="K2" s="184"/>
      <c r="L2" s="184"/>
      <c r="M2" s="184"/>
    </row>
    <row r="3" spans="1:15" ht="11.25" customHeight="1">
      <c r="E3" s="186" t="s">
        <v>500</v>
      </c>
      <c r="F3" s="184"/>
      <c r="H3" s="184"/>
      <c r="I3" s="184"/>
      <c r="J3" s="184"/>
      <c r="K3" s="184"/>
      <c r="L3" s="184"/>
      <c r="M3" s="184"/>
    </row>
    <row r="4" spans="1:15" ht="11.25" customHeight="1">
      <c r="E4" s="186" t="s">
        <v>637</v>
      </c>
      <c r="F4" s="184"/>
      <c r="H4" s="184"/>
      <c r="I4" s="184"/>
      <c r="J4" s="184"/>
      <c r="K4" s="184"/>
      <c r="L4" s="184"/>
      <c r="M4" s="184"/>
    </row>
    <row r="5" spans="1:15" ht="11.25" customHeight="1">
      <c r="E5" s="184"/>
      <c r="F5" s="184"/>
      <c r="G5" s="184"/>
      <c r="H5" s="184"/>
      <c r="I5" s="184"/>
      <c r="J5" s="184"/>
      <c r="K5" s="184"/>
      <c r="L5" s="184"/>
      <c r="M5" s="184"/>
    </row>
    <row r="6" spans="1:15" s="189" customFormat="1" outlineLevel="1">
      <c r="A6" s="185"/>
      <c r="B6" s="185"/>
      <c r="C6" s="185"/>
      <c r="D6" s="188" t="s">
        <v>684</v>
      </c>
      <c r="E6" s="185" t="s">
        <v>516</v>
      </c>
      <c r="F6" s="185" t="s">
        <v>516</v>
      </c>
      <c r="G6" s="185" t="s">
        <v>516</v>
      </c>
      <c r="H6" s="185" t="s">
        <v>516</v>
      </c>
      <c r="I6" s="185" t="s">
        <v>516</v>
      </c>
      <c r="J6" s="185" t="s">
        <v>516</v>
      </c>
      <c r="K6" s="185" t="s">
        <v>516</v>
      </c>
      <c r="L6" s="185" t="s">
        <v>516</v>
      </c>
      <c r="M6" s="185"/>
    </row>
    <row r="7" spans="1:15" s="189" customFormat="1" outlineLevel="1">
      <c r="A7" s="185"/>
      <c r="B7" s="185"/>
      <c r="C7" s="185"/>
      <c r="D7" s="188" t="s">
        <v>916</v>
      </c>
      <c r="E7" s="185" t="s">
        <v>917</v>
      </c>
      <c r="F7" s="185" t="s">
        <v>918</v>
      </c>
      <c r="G7" s="185" t="s">
        <v>919</v>
      </c>
      <c r="H7" s="185" t="s">
        <v>920</v>
      </c>
      <c r="I7" s="185" t="s">
        <v>921</v>
      </c>
      <c r="J7" s="185" t="s">
        <v>922</v>
      </c>
      <c r="K7" s="185" t="s">
        <v>923</v>
      </c>
      <c r="L7" s="185" t="s">
        <v>924</v>
      </c>
      <c r="M7" s="185"/>
    </row>
    <row r="8" spans="1:15" ht="11.25" customHeight="1">
      <c r="E8" s="183"/>
      <c r="F8" s="183"/>
      <c r="G8" s="183"/>
      <c r="H8" s="183"/>
      <c r="I8" s="183"/>
      <c r="J8" s="183"/>
      <c r="K8" s="183"/>
      <c r="L8" s="183"/>
      <c r="M8" s="183"/>
    </row>
    <row r="9" spans="1:15" s="36" customFormat="1" ht="11.25" customHeight="1">
      <c r="A9" s="183"/>
      <c r="B9" s="183"/>
      <c r="C9" s="183"/>
      <c r="D9" s="183"/>
      <c r="E9" s="190" t="s">
        <v>925</v>
      </c>
      <c r="F9" s="190"/>
      <c r="G9" s="190"/>
      <c r="H9" s="190"/>
      <c r="I9" s="190"/>
      <c r="J9" s="190"/>
      <c r="K9" s="190"/>
      <c r="L9" s="190"/>
      <c r="M9" s="183"/>
    </row>
    <row r="10" spans="1:15" ht="5.25" customHeight="1">
      <c r="E10" s="1050"/>
      <c r="F10" s="1051"/>
      <c r="G10" s="184"/>
      <c r="H10" s="184"/>
      <c r="I10" s="184"/>
      <c r="J10" s="184"/>
      <c r="K10" s="184"/>
      <c r="L10" s="184"/>
      <c r="M10" s="183"/>
    </row>
    <row r="11" spans="1:15" ht="20.25">
      <c r="A11" s="191"/>
      <c r="B11" s="191"/>
      <c r="C11" s="192" t="s">
        <v>926</v>
      </c>
      <c r="D11" s="192" t="s">
        <v>927</v>
      </c>
      <c r="E11" s="192" t="e" cm="1">
        <f t="array" ref="E11">IF(Thomson=1,_xll.TR(E7,"TR.CommonName"),E11)</f>
        <v>#NAME?</v>
      </c>
      <c r="F11" s="192" t="e" cm="1">
        <f t="array" ref="F11">IF(Thomson=1,_xll.TR(F7,"TR.CommonName"),F11)</f>
        <v>#NAME?</v>
      </c>
      <c r="G11" s="192" t="e" cm="1">
        <f t="array" ref="G11">IF(Thomson=1,_xll.TR(G7,"TR.CommonName"),G11)</f>
        <v>#NAME?</v>
      </c>
      <c r="H11" s="192" t="e" cm="1">
        <f t="array" ref="H11">IF(Thomson=1,_xll.TR(H7,"TR.CommonName"),H11)</f>
        <v>#NAME?</v>
      </c>
      <c r="I11" s="192" t="e" cm="1">
        <f t="array" ref="I11">IF(Thomson=1,_xll.TR(I7,"TR.CommonName"),I11)</f>
        <v>#NAME?</v>
      </c>
      <c r="J11" s="192" t="e" cm="1">
        <f t="array" ref="J11">IF(Thomson=1,_xll.TR(J7,"TR.CommonName"),J11)</f>
        <v>#NAME?</v>
      </c>
      <c r="K11" s="192" t="e" cm="1">
        <f t="array" ref="K11">IF(Thomson=1,_xll.TR(K7,"TR.CommonName"),K11)</f>
        <v>#NAME?</v>
      </c>
      <c r="L11" s="192" t="e" cm="1">
        <f t="array" ref="L11">IF(Thomson=1,_xll.TR(L7,"TR.CommonName"),L11)</f>
        <v>#NAME?</v>
      </c>
      <c r="M11" s="183"/>
      <c r="O11" s="192" t="s">
        <v>928</v>
      </c>
    </row>
    <row r="12" spans="1:15" ht="5.25" customHeight="1">
      <c r="A12"/>
      <c r="B12"/>
      <c r="C12"/>
      <c r="D12"/>
      <c r="E12"/>
      <c r="F12"/>
      <c r="G12"/>
      <c r="H12"/>
      <c r="I12"/>
      <c r="J12"/>
      <c r="K12"/>
      <c r="L12"/>
      <c r="M12"/>
    </row>
    <row r="13" spans="1:15" ht="11.25" hidden="1" customHeight="1" outlineLevel="1">
      <c r="A13"/>
      <c r="B13"/>
      <c r="C13" t="s">
        <v>929</v>
      </c>
      <c r="D13"/>
      <c r="E13" s="193">
        <v>1</v>
      </c>
      <c r="F13" s="193">
        <v>1</v>
      </c>
      <c r="G13" s="193">
        <v>1</v>
      </c>
      <c r="H13" s="193">
        <v>1</v>
      </c>
      <c r="I13" s="193">
        <v>1</v>
      </c>
      <c r="J13" s="193">
        <v>1</v>
      </c>
      <c r="K13" s="193">
        <v>1</v>
      </c>
      <c r="L13" s="193">
        <v>1</v>
      </c>
      <c r="M13"/>
    </row>
    <row r="14" spans="1:15" ht="11.25" hidden="1" customHeight="1" outlineLevel="1">
      <c r="A14"/>
      <c r="B14"/>
      <c r="C14" t="s">
        <v>930</v>
      </c>
      <c r="D14"/>
      <c r="E14" s="193">
        <v>30</v>
      </c>
      <c r="F14" s="193">
        <v>30</v>
      </c>
      <c r="G14" s="193">
        <v>30</v>
      </c>
      <c r="H14" s="193">
        <v>30</v>
      </c>
      <c r="I14" s="193">
        <v>30</v>
      </c>
      <c r="J14" s="193">
        <v>30</v>
      </c>
      <c r="K14" s="193">
        <v>30</v>
      </c>
      <c r="L14" s="193">
        <v>30</v>
      </c>
      <c r="M14"/>
    </row>
    <row r="15" spans="1:15" ht="11.25" customHeight="1" collapsed="1">
      <c r="A15"/>
      <c r="B15"/>
      <c r="C15"/>
      <c r="D15"/>
      <c r="E15"/>
      <c r="F15"/>
      <c r="G15"/>
      <c r="H15"/>
      <c r="I15"/>
      <c r="J15"/>
      <c r="K15"/>
      <c r="L15"/>
      <c r="M15"/>
    </row>
    <row r="16" spans="1:15" s="36" customFormat="1" ht="11.25" customHeight="1">
      <c r="C16" s="194" t="s">
        <v>681</v>
      </c>
      <c r="E16" s="195" t="e">
        <f t="shared" ref="E16:L16" si="0">+AVERAGEIFS(E20:E97,E20:E97,"&lt;"&amp;E$14,E20:E97,"&gt;"&amp;E$13)</f>
        <v>#DIV/0!</v>
      </c>
      <c r="F16" s="195" t="e">
        <f t="shared" si="0"/>
        <v>#DIV/0!</v>
      </c>
      <c r="G16" s="195" t="e">
        <f t="shared" si="0"/>
        <v>#DIV/0!</v>
      </c>
      <c r="H16" s="195" t="e">
        <f t="shared" si="0"/>
        <v>#DIV/0!</v>
      </c>
      <c r="I16" s="195" t="e">
        <f t="shared" si="0"/>
        <v>#DIV/0!</v>
      </c>
      <c r="J16" s="195" t="e">
        <f t="shared" si="0"/>
        <v>#DIV/0!</v>
      </c>
      <c r="K16" s="195" t="e">
        <f t="shared" si="0"/>
        <v>#DIV/0!</v>
      </c>
      <c r="L16" s="195" t="e">
        <f t="shared" si="0"/>
        <v>#DIV/0!</v>
      </c>
    </row>
    <row r="17" spans="1:40" s="36" customFormat="1" ht="11.25" customHeight="1">
      <c r="C17" s="194" t="s">
        <v>931</v>
      </c>
      <c r="E17" s="195" t="e" cm="1">
        <f t="array" ref="E17">+E16-_xlfn.STDEV.P(IF(E20:E94&lt;E$14,IF(E20:E94&gt;E$13,E20:E94)))</f>
        <v>#DIV/0!</v>
      </c>
      <c r="F17" s="195" t="e" cm="1">
        <f t="array" ref="F17">+F16-_xlfn.STDEV.P(IF(F20:F94&lt;F$14,IF(F20:F94&gt;F$13,F20:F94)))</f>
        <v>#DIV/0!</v>
      </c>
      <c r="G17" s="195" t="e" cm="1">
        <f t="array" ref="G17">+G16-_xlfn.STDEV.P(IF(G20:G94&lt;G$14,IF(G20:G94&gt;G$13,G20:G94)))</f>
        <v>#DIV/0!</v>
      </c>
      <c r="H17" s="195" t="e" cm="1">
        <f t="array" ref="H17">+H16-_xlfn.STDEV.P(IF(H20:H94&lt;H$14,IF(H20:H94&gt;H$13,H20:H94)))</f>
        <v>#DIV/0!</v>
      </c>
      <c r="I17" s="195" t="e" cm="1">
        <f t="array" ref="I17">+I16-_xlfn.STDEV.P(IF(I20:I94&lt;I$14,IF(I20:I94&gt;I$13,I20:I94)))</f>
        <v>#DIV/0!</v>
      </c>
      <c r="J17" s="195" t="e" cm="1">
        <f t="array" ref="J17">+J16-_xlfn.STDEV.P(IF(J20:J94&lt;J$14,IF(J20:J94&gt;J$13,J20:J94)))</f>
        <v>#DIV/0!</v>
      </c>
      <c r="K17" s="195" t="e" cm="1">
        <f t="array" ref="K17">+K16-_xlfn.STDEV.P(IF(K20:K94&lt;K$14,IF(K20:K94&gt;K$13,K20:K94)))</f>
        <v>#DIV/0!</v>
      </c>
      <c r="L17" s="195" t="e" cm="1">
        <f t="array" ref="L17">+L16-_xlfn.STDEV.P(IF(L20:L94&lt;L$14,IF(L20:L94&gt;L$13,L20:L94)))</f>
        <v>#DIV/0!</v>
      </c>
    </row>
    <row r="18" spans="1:40" s="36" customFormat="1" ht="11.25" customHeight="1">
      <c r="C18" s="194" t="s">
        <v>932</v>
      </c>
      <c r="E18" s="195" t="e" cm="1">
        <f t="array" ref="E18">+E16+_xlfn.STDEV.P(IF(E20:E94&lt;E$14,IF(E20:E94&gt;E$13,E20:E94)))</f>
        <v>#DIV/0!</v>
      </c>
      <c r="F18" s="195" t="e" cm="1">
        <f t="array" ref="F18">+F16+_xlfn.STDEV.P(IF(F20:F94&lt;F$14,IF(F20:F94&gt;F$13,F20:F94)))</f>
        <v>#DIV/0!</v>
      </c>
      <c r="G18" s="195" t="e" cm="1">
        <f t="array" ref="G18">+G16+_xlfn.STDEV.P(IF(G20:G94&lt;G$14,IF(G20:G94&gt;G$13,G20:G94)))</f>
        <v>#DIV/0!</v>
      </c>
      <c r="H18" s="195" t="e" cm="1">
        <f t="array" ref="H18">+H16+_xlfn.STDEV.P(IF(H20:H94&lt;H$14,IF(H20:H94&gt;H$13,H20:H94)))</f>
        <v>#DIV/0!</v>
      </c>
      <c r="I18" s="195" t="e" cm="1">
        <f t="array" ref="I18">+I16+_xlfn.STDEV.P(IF(I20:I94&lt;I$14,IF(I20:I94&gt;I$13,I20:I94)))</f>
        <v>#DIV/0!</v>
      </c>
      <c r="J18" s="195" t="e" cm="1">
        <f t="array" ref="J18">+J16+_xlfn.STDEV.P(IF(J20:J94&lt;J$14,IF(J20:J94&gt;J$13,J20:J94)))</f>
        <v>#DIV/0!</v>
      </c>
      <c r="K18" s="195" t="e" cm="1">
        <f t="array" ref="K18">+K16+_xlfn.STDEV.P(IF(K20:K94&lt;K$14,IF(K20:K94&gt;K$13,K20:K94)))</f>
        <v>#DIV/0!</v>
      </c>
      <c r="L18" s="195" t="e" cm="1">
        <f t="array" ref="L18">+L16+_xlfn.STDEV.P(IF(L20:L94&lt;L$14,IF(L20:L94&gt;L$13,L20:L94)))</f>
        <v>#DIV/0!</v>
      </c>
    </row>
    <row r="19" spans="1:40" ht="5.25" customHeight="1">
      <c r="A19"/>
      <c r="B19"/>
      <c r="C19"/>
      <c r="D19"/>
      <c r="E19"/>
      <c r="F19"/>
      <c r="G19"/>
      <c r="H19"/>
      <c r="I19"/>
      <c r="J19"/>
      <c r="K19"/>
      <c r="L19"/>
      <c r="M19"/>
    </row>
    <row r="20" spans="1:40" ht="11.25" customHeight="1">
      <c r="C20" s="200">
        <v>40908</v>
      </c>
      <c r="D20" s="197">
        <f>+C20+45</f>
        <v>40953</v>
      </c>
      <c r="E20" s="319" t="str" cm="1">
        <f t="array" ref="E20">IFERROR(IF(Thomson=1,_xll.TR(E$7,E$6,"Sdate=#1 Period=#2 NULL=BLANK",,$D20,$E$4)/10^6,E20),"NA ")</f>
        <v xml:space="preserve">NA </v>
      </c>
      <c r="F20" s="319" t="str" cm="1">
        <f t="array" ref="F20">IFERROR(IF(Thomson=1,_xll.TR(F$7,F$6,"Sdate=#1 Period=#2 NULL=BLANK",,$D20,$E$4)/10^6,F20),"NA ")</f>
        <v xml:space="preserve">NA </v>
      </c>
      <c r="G20" s="319" t="str" cm="1">
        <f t="array" ref="G20">IFERROR(IF(Thomson=1,_xll.TR(G$7,G$6,"Sdate=#1 Period=#2 NULL=BLANK",,$D20,$E$4)/10^6,G20),"NA ")</f>
        <v xml:space="preserve">NA </v>
      </c>
      <c r="H20" s="319" t="str" cm="1">
        <f t="array" ref="H20">IFERROR(IF(Thomson=1,_xll.TR(H$7,H$6,"Sdate=#1 Period=#2 NULL=BLANK",,$D20,$E$4)/10^6,H20),"NA ")</f>
        <v xml:space="preserve">NA </v>
      </c>
      <c r="I20" s="319" t="str" cm="1">
        <f t="array" ref="I20">IFERROR(IF(Thomson=1,_xll.TR(I$7,I$6,"Sdate=#1 Period=#2 NULL=BLANK",,$D20,$E$4)/10^6,I20),"NA ")</f>
        <v xml:space="preserve">NA </v>
      </c>
      <c r="J20" s="319" t="str" cm="1">
        <f t="array" ref="J20">IFERROR(IF(Thomson=1,_xll.TR(J$7,J$6,"Sdate=#1 Period=#2 NULL=BLANK",,$D20,$E$4)/10^6,J20),"NA ")</f>
        <v xml:space="preserve">NA </v>
      </c>
      <c r="K20" s="319" t="str" cm="1">
        <f t="array" ref="K20">IFERROR(IF(Thomson=1,_xll.TR(K$7,K$6,"Sdate=#1 Period=#2 NULL=BLANK",,$D20,$E$4)/10^6,K20),"NA ")</f>
        <v xml:space="preserve">NA </v>
      </c>
      <c r="L20" s="319" t="str" cm="1">
        <f t="array" ref="L20">IFERROR(IF(Thomson=1,_xll.TR(L$7,L$6,"Sdate=#1 Period=#2 NULL=BLANK",,$D20,$E$4)/10^6,L20),"NA ")</f>
        <v xml:space="preserve">NA </v>
      </c>
    </row>
    <row r="21" spans="1:40" ht="11.25" customHeight="1">
      <c r="C21" s="196">
        <f>+EOMONTH(C20,3)</f>
        <v>40999</v>
      </c>
      <c r="D21" s="197">
        <f t="shared" ref="D21:D59" si="1">+C21+45</f>
        <v>41044</v>
      </c>
      <c r="E21" s="319" t="str" cm="1">
        <f t="array" ref="E21">IFERROR(IF(Thomson=1,_xll.TR(E$7,E$6,"Sdate=#1 Period=#2 NULL=BLANK",,$D21,$E$4)/10^6,E21),"NA ")</f>
        <v xml:space="preserve">NA </v>
      </c>
      <c r="F21" s="319" t="str" cm="1">
        <f t="array" ref="F21">IFERROR(IF(Thomson=1,_xll.TR(F$7,F$6,"Sdate=#1 Period=#2 NULL=BLANK",,$D21,$E$4)/10^6,F21),"NA ")</f>
        <v xml:space="preserve">NA </v>
      </c>
      <c r="G21" s="319" t="str" cm="1">
        <f t="array" ref="G21">IFERROR(IF(Thomson=1,_xll.TR(G$7,G$6,"Sdate=#1 Period=#2 NULL=BLANK",,$D21,$E$4)/10^6,G21),"NA ")</f>
        <v xml:space="preserve">NA </v>
      </c>
      <c r="H21" s="319" t="str" cm="1">
        <f t="array" ref="H21">IFERROR(IF(Thomson=1,_xll.TR(H$7,H$6,"Sdate=#1 Period=#2 NULL=BLANK",,$D21,$E$4)/10^6,H21),"NA ")</f>
        <v xml:space="preserve">NA </v>
      </c>
      <c r="I21" s="319" t="str" cm="1">
        <f t="array" ref="I21">IFERROR(IF(Thomson=1,_xll.TR(I$7,I$6,"Sdate=#1 Period=#2 NULL=BLANK",,$D21,$E$4)/10^6,I21),"NA ")</f>
        <v xml:space="preserve">NA </v>
      </c>
      <c r="J21" s="319" t="str" cm="1">
        <f t="array" ref="J21">IFERROR(IF(Thomson=1,_xll.TR(J$7,J$6,"Sdate=#1 Period=#2 NULL=BLANK",,$D21,$E$4)/10^6,J21),"NA ")</f>
        <v xml:space="preserve">NA </v>
      </c>
      <c r="K21" s="319" t="str" cm="1">
        <f t="array" ref="K21">IFERROR(IF(Thomson=1,_xll.TR(K$7,K$6,"Sdate=#1 Period=#2 NULL=BLANK",,$D21,$E$4)/10^6,K21),"NA ")</f>
        <v xml:space="preserve">NA </v>
      </c>
      <c r="L21" s="319" t="str" cm="1">
        <f t="array" ref="L21">IFERROR(IF(Thomson=1,_xll.TR(L$7,L$6,"Sdate=#1 Period=#2 NULL=BLANK",,$D21,$E$4)/10^6,L21),"NA ")</f>
        <v xml:space="preserve">NA </v>
      </c>
    </row>
    <row r="22" spans="1:40" ht="11.25" customHeight="1">
      <c r="C22" s="198">
        <f t="shared" ref="C22:C60" si="2">+EOMONTH(C21,3)</f>
        <v>41090</v>
      </c>
      <c r="D22" s="197">
        <f t="shared" si="1"/>
        <v>41135</v>
      </c>
      <c r="E22" s="319" t="str" cm="1">
        <f t="array" ref="E22">IFERROR(IF(Thomson=1,_xll.TR(E$7,E$6,"Sdate=#1 Period=#2 NULL=BLANK",,$D22,$E$4)/10^6,E22),"NA ")</f>
        <v xml:space="preserve">NA </v>
      </c>
      <c r="F22" s="319" t="str" cm="1">
        <f t="array" ref="F22">IFERROR(IF(Thomson=1,_xll.TR(F$7,F$6,"Sdate=#1 Period=#2 NULL=BLANK",,$D22,$E$4)/10^6,F22),"NA ")</f>
        <v xml:space="preserve">NA </v>
      </c>
      <c r="G22" s="319" t="str" cm="1">
        <f t="array" ref="G22">IFERROR(IF(Thomson=1,_xll.TR(G$7,G$6,"Sdate=#1 Period=#2 NULL=BLANK",,$D22,$E$4)/10^6,G22),"NA ")</f>
        <v xml:space="preserve">NA </v>
      </c>
      <c r="H22" s="319" t="str" cm="1">
        <f t="array" ref="H22">IFERROR(IF(Thomson=1,_xll.TR(H$7,H$6,"Sdate=#1 Period=#2 NULL=BLANK",,$D22,$E$4)/10^6,H22),"NA ")</f>
        <v xml:space="preserve">NA </v>
      </c>
      <c r="I22" s="319" t="str" cm="1">
        <f t="array" ref="I22">IFERROR(IF(Thomson=1,_xll.TR(I$7,I$6,"Sdate=#1 Period=#2 NULL=BLANK",,$D22,$E$4)/10^6,I22),"NA ")</f>
        <v xml:space="preserve">NA </v>
      </c>
      <c r="J22" s="319" t="str" cm="1">
        <f t="array" ref="J22">IFERROR(IF(Thomson=1,_xll.TR(J$7,J$6,"Sdate=#1 Period=#2 NULL=BLANK",,$D22,$E$4)/10^6,J22),"NA ")</f>
        <v xml:space="preserve">NA </v>
      </c>
      <c r="K22" s="319" t="str" cm="1">
        <f t="array" ref="K22">IFERROR(IF(Thomson=1,_xll.TR(K$7,K$6,"Sdate=#1 Period=#2 NULL=BLANK",,$D22,$E$4)/10^6,K22),"NA ")</f>
        <v xml:space="preserve">NA </v>
      </c>
      <c r="L22" s="319" t="str" cm="1">
        <f t="array" ref="L22">IFERROR(IF(Thomson=1,_xll.TR(L$7,L$6,"Sdate=#1 Period=#2 NULL=BLANK",,$D22,$E$4)/10^6,L22),"NA ")</f>
        <v xml:space="preserve">NA </v>
      </c>
    </row>
    <row r="23" spans="1:40" ht="11.25" customHeight="1">
      <c r="C23" s="199">
        <f t="shared" si="2"/>
        <v>41182</v>
      </c>
      <c r="D23" s="197">
        <f t="shared" si="1"/>
        <v>41227</v>
      </c>
      <c r="E23" s="319" t="str" cm="1">
        <f t="array" ref="E23">IFERROR(IF(Thomson=1,_xll.TR(E$7,E$6,"Sdate=#1 Period=#2 NULL=BLANK",,$D23,$E$4)/10^6,E23),"NA ")</f>
        <v xml:space="preserve">NA </v>
      </c>
      <c r="F23" s="319" t="str" cm="1">
        <f t="array" ref="F23">IFERROR(IF(Thomson=1,_xll.TR(F$7,F$6,"Sdate=#1 Period=#2 NULL=BLANK",,$D23,$E$4)/10^6,F23),"NA ")</f>
        <v xml:space="preserve">NA </v>
      </c>
      <c r="G23" s="319" t="str" cm="1">
        <f t="array" ref="G23">IFERROR(IF(Thomson=1,_xll.TR(G$7,G$6,"Sdate=#1 Period=#2 NULL=BLANK",,$D23,$E$4)/10^6,G23),"NA ")</f>
        <v xml:space="preserve">NA </v>
      </c>
      <c r="H23" s="319" t="str" cm="1">
        <f t="array" ref="H23">IFERROR(IF(Thomson=1,_xll.TR(H$7,H$6,"Sdate=#1 Period=#2 NULL=BLANK",,$D23,$E$4)/10^6,H23),"NA ")</f>
        <v xml:space="preserve">NA </v>
      </c>
      <c r="I23" s="319" t="str" cm="1">
        <f t="array" ref="I23">IFERROR(IF(Thomson=1,_xll.TR(I$7,I$6,"Sdate=#1 Period=#2 NULL=BLANK",,$D23,$E$4)/10^6,I23),"NA ")</f>
        <v xml:space="preserve">NA </v>
      </c>
      <c r="J23" s="319" t="str" cm="1">
        <f t="array" ref="J23">IFERROR(IF(Thomson=1,_xll.TR(J$7,J$6,"Sdate=#1 Period=#2 NULL=BLANK",,$D23,$E$4)/10^6,J23),"NA ")</f>
        <v xml:space="preserve">NA </v>
      </c>
      <c r="K23" s="319" t="str" cm="1">
        <f t="array" ref="K23">IFERROR(IF(Thomson=1,_xll.TR(K$7,K$6,"Sdate=#1 Period=#2 NULL=BLANK",,$D23,$E$4)/10^6,K23),"NA ")</f>
        <v xml:space="preserve">NA </v>
      </c>
      <c r="L23" s="319" t="str" cm="1">
        <f t="array" ref="L23">IFERROR(IF(Thomson=1,_xll.TR(L$7,L$6,"Sdate=#1 Period=#2 NULL=BLANK",,$D23,$E$4)/10^6,L23),"NA ")</f>
        <v xml:space="preserve">NA </v>
      </c>
    </row>
    <row r="24" spans="1:40" ht="11.25" customHeight="1">
      <c r="C24" s="200">
        <f t="shared" si="2"/>
        <v>41274</v>
      </c>
      <c r="D24" s="197">
        <f t="shared" si="1"/>
        <v>41319</v>
      </c>
      <c r="E24" s="319" t="str" cm="1">
        <f t="array" ref="E24">IFERROR(IF(Thomson=1,_xll.TR(E$7,E$6,"Sdate=#1 Period=#2 NULL=BLANK",,$D24,$E$4)/10^6,E24),"NA ")</f>
        <v xml:space="preserve">NA </v>
      </c>
      <c r="F24" s="319" t="str" cm="1">
        <f t="array" ref="F24">IFERROR(IF(Thomson=1,_xll.TR(F$7,F$6,"Sdate=#1 Period=#2 NULL=BLANK",,$D24,$E$4)/10^6,F24),"NA ")</f>
        <v xml:space="preserve">NA </v>
      </c>
      <c r="G24" s="319" t="str" cm="1">
        <f t="array" ref="G24">IFERROR(IF(Thomson=1,_xll.TR(G$7,G$6,"Sdate=#1 Period=#2 NULL=BLANK",,$D24,$E$4)/10^6,G24),"NA ")</f>
        <v xml:space="preserve">NA </v>
      </c>
      <c r="H24" s="319" t="str" cm="1">
        <f t="array" ref="H24">IFERROR(IF(Thomson=1,_xll.TR(H$7,H$6,"Sdate=#1 Period=#2 NULL=BLANK",,$D24,$E$4)/10^6,H24),"NA ")</f>
        <v xml:space="preserve">NA </v>
      </c>
      <c r="I24" s="319" t="str" cm="1">
        <f t="array" ref="I24">IFERROR(IF(Thomson=1,_xll.TR(I$7,I$6,"Sdate=#1 Period=#2 NULL=BLANK",,$D24,$E$4)/10^6,I24),"NA ")</f>
        <v xml:space="preserve">NA </v>
      </c>
      <c r="J24" s="319" t="str" cm="1">
        <f t="array" ref="J24">IFERROR(IF(Thomson=1,_xll.TR(J$7,J$6,"Sdate=#1 Period=#2 NULL=BLANK",,$D24,$E$4)/10^6,J24),"NA ")</f>
        <v xml:space="preserve">NA </v>
      </c>
      <c r="K24" s="319" t="str" cm="1">
        <f t="array" ref="K24">IFERROR(IF(Thomson=1,_xll.TR(K$7,K$6,"Sdate=#1 Period=#2 NULL=BLANK",,$D24,$E$4)/10^6,K24),"NA ")</f>
        <v xml:space="preserve">NA </v>
      </c>
      <c r="L24" s="319" t="str" cm="1">
        <f t="array" ref="L24">IFERROR(IF(Thomson=1,_xll.TR(L$7,L$6,"Sdate=#1 Period=#2 NULL=BLANK",,$D24,$E$4)/10^6,L24),"NA ")</f>
        <v xml:space="preserve">NA </v>
      </c>
    </row>
    <row r="25" spans="1:40" ht="11.25" customHeight="1">
      <c r="C25" s="196">
        <f t="shared" si="2"/>
        <v>41364</v>
      </c>
      <c r="D25" s="197">
        <f t="shared" si="1"/>
        <v>41409</v>
      </c>
      <c r="E25" s="319" t="str" cm="1">
        <f t="array" ref="E25">IFERROR(IF(Thomson=1,_xll.TR(E$7,E$6,"Sdate=#1 Period=#2 NULL=BLANK",,$D25,$E$4)/10^6,E25),"NA ")</f>
        <v xml:space="preserve">NA </v>
      </c>
      <c r="F25" s="319" t="str" cm="1">
        <f t="array" ref="F25">IFERROR(IF(Thomson=1,_xll.TR(F$7,F$6,"Sdate=#1 Period=#2 NULL=BLANK",,$D25,$E$4)/10^6,F25),"NA ")</f>
        <v xml:space="preserve">NA </v>
      </c>
      <c r="G25" s="319" t="str" cm="1">
        <f t="array" ref="G25">IFERROR(IF(Thomson=1,_xll.TR(G$7,G$6,"Sdate=#1 Period=#2 NULL=BLANK",,$D25,$E$4)/10^6,G25),"NA ")</f>
        <v xml:space="preserve">NA </v>
      </c>
      <c r="H25" s="319" t="str" cm="1">
        <f t="array" ref="H25">IFERROR(IF(Thomson=1,_xll.TR(H$7,H$6,"Sdate=#1 Period=#2 NULL=BLANK",,$D25,$E$4)/10^6,H25),"NA ")</f>
        <v xml:space="preserve">NA </v>
      </c>
      <c r="I25" s="319" t="str" cm="1">
        <f t="array" ref="I25">IFERROR(IF(Thomson=1,_xll.TR(I$7,I$6,"Sdate=#1 Period=#2 NULL=BLANK",,$D25,$E$4)/10^6,I25),"NA ")</f>
        <v xml:space="preserve">NA </v>
      </c>
      <c r="J25" s="319" t="str" cm="1">
        <f t="array" ref="J25">IFERROR(IF(Thomson=1,_xll.TR(J$7,J$6,"Sdate=#1 Period=#2 NULL=BLANK",,$D25,$E$4)/10^6,J25),"NA ")</f>
        <v xml:space="preserve">NA </v>
      </c>
      <c r="K25" s="319" t="str" cm="1">
        <f t="array" ref="K25">IFERROR(IF(Thomson=1,_xll.TR(K$7,K$6,"Sdate=#1 Period=#2 NULL=BLANK",,$D25,$E$4)/10^6,K25),"NA ")</f>
        <v xml:space="preserve">NA </v>
      </c>
      <c r="L25" s="319" t="str" cm="1">
        <f t="array" ref="L25">IFERROR(IF(Thomson=1,_xll.TR(L$7,L$6,"Sdate=#1 Period=#2 NULL=BLANK",,$D25,$E$4)/10^6,L25),"NA ")</f>
        <v xml:space="preserve">NA </v>
      </c>
    </row>
    <row r="26" spans="1:40" ht="11.25" customHeight="1">
      <c r="C26" s="198">
        <f t="shared" si="2"/>
        <v>41455</v>
      </c>
      <c r="D26" s="197">
        <f t="shared" si="1"/>
        <v>41500</v>
      </c>
      <c r="E26" s="319" t="str" cm="1">
        <f t="array" ref="E26">IFERROR(IF(Thomson=1,_xll.TR(E$7,E$6,"Sdate=#1 Period=#2 NULL=BLANK",,$D26,$E$4)/10^6,E26),"NA ")</f>
        <v xml:space="preserve">NA </v>
      </c>
      <c r="F26" s="319" t="str" cm="1">
        <f t="array" ref="F26">IFERROR(IF(Thomson=1,_xll.TR(F$7,F$6,"Sdate=#1 Period=#2 NULL=BLANK",,$D26,$E$4)/10^6,F26),"NA ")</f>
        <v xml:space="preserve">NA </v>
      </c>
      <c r="G26" s="319" t="str" cm="1">
        <f t="array" ref="G26">IFERROR(IF(Thomson=1,_xll.TR(G$7,G$6,"Sdate=#1 Period=#2 NULL=BLANK",,$D26,$E$4)/10^6,G26),"NA ")</f>
        <v xml:space="preserve">NA </v>
      </c>
      <c r="H26" s="319" t="str" cm="1">
        <f t="array" ref="H26">IFERROR(IF(Thomson=1,_xll.TR(H$7,H$6,"Sdate=#1 Period=#2 NULL=BLANK",,$D26,$E$4)/10^6,H26),"NA ")</f>
        <v xml:space="preserve">NA </v>
      </c>
      <c r="I26" s="319" t="str" cm="1">
        <f t="array" ref="I26">IFERROR(IF(Thomson=1,_xll.TR(I$7,I$6,"Sdate=#1 Period=#2 NULL=BLANK",,$D26,$E$4)/10^6,I26),"NA ")</f>
        <v xml:space="preserve">NA </v>
      </c>
      <c r="J26" s="319" t="str" cm="1">
        <f t="array" ref="J26">IFERROR(IF(Thomson=1,_xll.TR(J$7,J$6,"Sdate=#1 Period=#2 NULL=BLANK",,$D26,$E$4)/10^6,J26),"NA ")</f>
        <v xml:space="preserve">NA </v>
      </c>
      <c r="K26" s="319" t="str" cm="1">
        <f t="array" ref="K26">IFERROR(IF(Thomson=1,_xll.TR(K$7,K$6,"Sdate=#1 Period=#2 NULL=BLANK",,$D26,$E$4)/10^6,K26),"NA ")</f>
        <v xml:space="preserve">NA </v>
      </c>
      <c r="L26" s="319" t="str" cm="1">
        <f t="array" ref="L26">IFERROR(IF(Thomson=1,_xll.TR(L$7,L$6,"Sdate=#1 Period=#2 NULL=BLANK",,$D26,$E$4)/10^6,L26),"NA ")</f>
        <v xml:space="preserve">NA </v>
      </c>
    </row>
    <row r="27" spans="1:40" ht="11.25" customHeight="1">
      <c r="C27" s="199">
        <f t="shared" si="2"/>
        <v>41547</v>
      </c>
      <c r="D27" s="197">
        <f t="shared" si="1"/>
        <v>41592</v>
      </c>
      <c r="E27" s="319" t="str" cm="1">
        <f t="array" ref="E27">IFERROR(IF(Thomson=1,_xll.TR(E$7,E$6,"Sdate=#1 Period=#2 NULL=BLANK",,$D27,$E$4)/10^6,E27),"NA ")</f>
        <v xml:space="preserve">NA </v>
      </c>
      <c r="F27" s="319" t="str" cm="1">
        <f t="array" ref="F27">IFERROR(IF(Thomson=1,_xll.TR(F$7,F$6,"Sdate=#1 Period=#2 NULL=BLANK",,$D27,$E$4)/10^6,F27),"NA ")</f>
        <v xml:space="preserve">NA </v>
      </c>
      <c r="G27" s="319" t="str" cm="1">
        <f t="array" ref="G27">IFERROR(IF(Thomson=1,_xll.TR(G$7,G$6,"Sdate=#1 Period=#2 NULL=BLANK",,$D27,$E$4)/10^6,G27),"NA ")</f>
        <v xml:space="preserve">NA </v>
      </c>
      <c r="H27" s="319" t="str" cm="1">
        <f t="array" ref="H27">IFERROR(IF(Thomson=1,_xll.TR(H$7,H$6,"Sdate=#1 Period=#2 NULL=BLANK",,$D27,$E$4)/10^6,H27),"NA ")</f>
        <v xml:space="preserve">NA </v>
      </c>
      <c r="I27" s="319" t="str" cm="1">
        <f t="array" ref="I27">IFERROR(IF(Thomson=1,_xll.TR(I$7,I$6,"Sdate=#1 Period=#2 NULL=BLANK",,$D27,$E$4)/10^6,I27),"NA ")</f>
        <v xml:space="preserve">NA </v>
      </c>
      <c r="J27" s="319" t="str" cm="1">
        <f t="array" ref="J27">IFERROR(IF(Thomson=1,_xll.TR(J$7,J$6,"Sdate=#1 Period=#2 NULL=BLANK",,$D27,$E$4)/10^6,J27),"NA ")</f>
        <v xml:space="preserve">NA </v>
      </c>
      <c r="K27" s="319" t="str" cm="1">
        <f t="array" ref="K27">IFERROR(IF(Thomson=1,_xll.TR(K$7,K$6,"Sdate=#1 Period=#2 NULL=BLANK",,$D27,$E$4)/10^6,K27),"NA ")</f>
        <v xml:space="preserve">NA </v>
      </c>
      <c r="L27" s="319" t="str" cm="1">
        <f t="array" ref="L27">IFERROR(IF(Thomson=1,_xll.TR(L$7,L$6,"Sdate=#1 Period=#2 NULL=BLANK",,$D27,$E$4)/10^6,L27),"NA ")</f>
        <v xml:space="preserve">NA </v>
      </c>
    </row>
    <row r="28" spans="1:40" ht="11.25" customHeight="1">
      <c r="C28" s="200">
        <f t="shared" si="2"/>
        <v>41639</v>
      </c>
      <c r="D28" s="197">
        <f t="shared" si="1"/>
        <v>41684</v>
      </c>
      <c r="E28" s="319" t="str" cm="1">
        <f t="array" ref="E28">IFERROR(IF(Thomson=1,_xll.TR(E$7,E$6,"Sdate=#1 Period=#2 NULL=BLANK",,$D28,$E$4)/10^6,E28),"NA ")</f>
        <v xml:space="preserve">NA </v>
      </c>
      <c r="F28" s="319" t="str" cm="1">
        <f t="array" ref="F28">IFERROR(IF(Thomson=1,_xll.TR(F$7,F$6,"Sdate=#1 Period=#2 NULL=BLANK",,$D28,$E$4)/10^6,F28),"NA ")</f>
        <v xml:space="preserve">NA </v>
      </c>
      <c r="G28" s="319" t="str" cm="1">
        <f t="array" ref="G28">IFERROR(IF(Thomson=1,_xll.TR(G$7,G$6,"Sdate=#1 Period=#2 NULL=BLANK",,$D28,$E$4)/10^6,G28),"NA ")</f>
        <v xml:space="preserve">NA </v>
      </c>
      <c r="H28" s="319" t="str" cm="1">
        <f t="array" ref="H28">IFERROR(IF(Thomson=1,_xll.TR(H$7,H$6,"Sdate=#1 Period=#2 NULL=BLANK",,$D28,$E$4)/10^6,H28),"NA ")</f>
        <v xml:space="preserve">NA </v>
      </c>
      <c r="I28" s="319" t="str" cm="1">
        <f t="array" ref="I28">IFERROR(IF(Thomson=1,_xll.TR(I$7,I$6,"Sdate=#1 Period=#2 NULL=BLANK",,$D28,$E$4)/10^6,I28),"NA ")</f>
        <v xml:space="preserve">NA </v>
      </c>
      <c r="J28" s="319" t="str" cm="1">
        <f t="array" ref="J28">IFERROR(IF(Thomson=1,_xll.TR(J$7,J$6,"Sdate=#1 Period=#2 NULL=BLANK",,$D28,$E$4)/10^6,J28),"NA ")</f>
        <v xml:space="preserve">NA </v>
      </c>
      <c r="K28" s="319" t="str" cm="1">
        <f t="array" ref="K28">IFERROR(IF(Thomson=1,_xll.TR(K$7,K$6,"Sdate=#1 Period=#2 NULL=BLANK",,$D28,$E$4)/10^6,K28),"NA ")</f>
        <v xml:space="preserve">NA </v>
      </c>
      <c r="L28" s="319" t="str" cm="1">
        <f t="array" ref="L28">IFERROR(IF(Thomson=1,_xll.TR(L$7,L$6,"Sdate=#1 Period=#2 NULL=BLANK",,$D28,$E$4)/10^6,L28),"NA ")</f>
        <v xml:space="preserve">NA </v>
      </c>
    </row>
    <row r="29" spans="1:40" ht="11.25" customHeight="1">
      <c r="C29" s="196">
        <f t="shared" si="2"/>
        <v>41729</v>
      </c>
      <c r="D29" s="197">
        <f t="shared" si="1"/>
        <v>41774</v>
      </c>
      <c r="E29" s="319" t="str" cm="1">
        <f t="array" ref="E29">IFERROR(IF(Thomson=1,_xll.TR(E$7,E$6,"Sdate=#1 Period=#2 NULL=BLANK",,$D29,$E$4)/10^6,E29),"NA ")</f>
        <v xml:space="preserve">NA </v>
      </c>
      <c r="F29" s="319" t="str" cm="1">
        <f t="array" ref="F29">IFERROR(IF(Thomson=1,_xll.TR(F$7,F$6,"Sdate=#1 Period=#2 NULL=BLANK",,$D29,$E$4)/10^6,F29),"NA ")</f>
        <v xml:space="preserve">NA </v>
      </c>
      <c r="G29" s="319" t="str" cm="1">
        <f t="array" ref="G29">IFERROR(IF(Thomson=1,_xll.TR(G$7,G$6,"Sdate=#1 Period=#2 NULL=BLANK",,$D29,$E$4)/10^6,G29),"NA ")</f>
        <v xml:space="preserve">NA </v>
      </c>
      <c r="H29" s="319" t="str" cm="1">
        <f t="array" ref="H29">IFERROR(IF(Thomson=1,_xll.TR(H$7,H$6,"Sdate=#1 Period=#2 NULL=BLANK",,$D29,$E$4)/10^6,H29),"NA ")</f>
        <v xml:space="preserve">NA </v>
      </c>
      <c r="I29" s="319" t="str" cm="1">
        <f t="array" ref="I29">IFERROR(IF(Thomson=1,_xll.TR(I$7,I$6,"Sdate=#1 Period=#2 NULL=BLANK",,$D29,$E$4)/10^6,I29),"NA ")</f>
        <v xml:space="preserve">NA </v>
      </c>
      <c r="J29" s="319" t="str" cm="1">
        <f t="array" ref="J29">IFERROR(IF(Thomson=1,_xll.TR(J$7,J$6,"Sdate=#1 Period=#2 NULL=BLANK",,$D29,$E$4)/10^6,J29),"NA ")</f>
        <v xml:space="preserve">NA </v>
      </c>
      <c r="K29" s="319" t="str" cm="1">
        <f t="array" ref="K29">IFERROR(IF(Thomson=1,_xll.TR(K$7,K$6,"Sdate=#1 Period=#2 NULL=BLANK",,$D29,$E$4)/10^6,K29),"NA ")</f>
        <v xml:space="preserve">NA </v>
      </c>
      <c r="L29" s="319" t="str" cm="1">
        <f t="array" ref="L29">IFERROR(IF(Thomson=1,_xll.TR(L$7,L$6,"Sdate=#1 Period=#2 NULL=BLANK",,$D29,$E$4)/10^6,L29),"NA ")</f>
        <v xml:space="preserve">NA </v>
      </c>
    </row>
    <row r="30" spans="1:40" ht="11.25" customHeight="1">
      <c r="C30" s="198">
        <f t="shared" si="2"/>
        <v>41820</v>
      </c>
      <c r="D30" s="197">
        <f t="shared" si="1"/>
        <v>41865</v>
      </c>
      <c r="E30" s="319" t="str" cm="1">
        <f t="array" ref="E30">IFERROR(IF(Thomson=1,_xll.TR(E$7,E$6,"Sdate=#1 Period=#2 NULL=BLANK",,$D30,$E$4)/10^6,E30),"NA ")</f>
        <v xml:space="preserve">NA </v>
      </c>
      <c r="F30" s="319" t="str" cm="1">
        <f t="array" ref="F30">IFERROR(IF(Thomson=1,_xll.TR(F$7,F$6,"Sdate=#1 Period=#2 NULL=BLANK",,$D30,$E$4)/10^6,F30),"NA ")</f>
        <v xml:space="preserve">NA </v>
      </c>
      <c r="G30" s="319" t="str" cm="1">
        <f t="array" ref="G30">IFERROR(IF(Thomson=1,_xll.TR(G$7,G$6,"Sdate=#1 Period=#2 NULL=BLANK",,$D30,$E$4)/10^6,G30),"NA ")</f>
        <v xml:space="preserve">NA </v>
      </c>
      <c r="H30" s="319" t="str" cm="1">
        <f t="array" ref="H30">IFERROR(IF(Thomson=1,_xll.TR(H$7,H$6,"Sdate=#1 Period=#2 NULL=BLANK",,$D30,$E$4)/10^6,H30),"NA ")</f>
        <v xml:space="preserve">NA </v>
      </c>
      <c r="I30" s="319" t="str" cm="1">
        <f t="array" ref="I30">IFERROR(IF(Thomson=1,_xll.TR(I$7,I$6,"Sdate=#1 Period=#2 NULL=BLANK",,$D30,$E$4)/10^6,I30),"NA ")</f>
        <v xml:space="preserve">NA </v>
      </c>
      <c r="J30" s="319" t="str" cm="1">
        <f t="array" ref="J30">IFERROR(IF(Thomson=1,_xll.TR(J$7,J$6,"Sdate=#1 Period=#2 NULL=BLANK",,$D30,$E$4)/10^6,J30),"NA ")</f>
        <v xml:space="preserve">NA </v>
      </c>
      <c r="K30" s="319" t="str" cm="1">
        <f t="array" ref="K30">IFERROR(IF(Thomson=1,_xll.TR(K$7,K$6,"Sdate=#1 Period=#2 NULL=BLANK",,$D30,$E$4)/10^6,K30),"NA ")</f>
        <v xml:space="preserve">NA </v>
      </c>
      <c r="L30" s="319" t="str" cm="1">
        <f t="array" ref="L30">IFERROR(IF(Thomson=1,_xll.TR(L$7,L$6,"Sdate=#1 Period=#2 NULL=BLANK",,$D30,$E$4)/10^6,L30),"NA ")</f>
        <v xml:space="preserve">NA </v>
      </c>
    </row>
    <row r="31" spans="1:40" ht="11.25" customHeight="1">
      <c r="C31" s="199">
        <f t="shared" si="2"/>
        <v>41912</v>
      </c>
      <c r="D31" s="197">
        <f t="shared" si="1"/>
        <v>41957</v>
      </c>
      <c r="E31" s="319" t="str" cm="1">
        <f t="array" ref="E31">IFERROR(IF(Thomson=1,_xll.TR(E$7,E$6,"Sdate=#1 Period=#2 NULL=BLANK",,$D31,$E$4)/10^6,E31),"NA ")</f>
        <v xml:space="preserve">NA </v>
      </c>
      <c r="F31" s="319" t="str" cm="1">
        <f t="array" ref="F31">IFERROR(IF(Thomson=1,_xll.TR(F$7,F$6,"Sdate=#1 Period=#2 NULL=BLANK",,$D31,$E$4)/10^6,F31),"NA ")</f>
        <v xml:space="preserve">NA </v>
      </c>
      <c r="G31" s="319" t="str" cm="1">
        <f t="array" ref="G31">IFERROR(IF(Thomson=1,_xll.TR(G$7,G$6,"Sdate=#1 Period=#2 NULL=BLANK",,$D31,$E$4)/10^6,G31),"NA ")</f>
        <v xml:space="preserve">NA </v>
      </c>
      <c r="H31" s="319" t="str" cm="1">
        <f t="array" ref="H31">IFERROR(IF(Thomson=1,_xll.TR(H$7,H$6,"Sdate=#1 Period=#2 NULL=BLANK",,$D31,$E$4)/10^6,H31),"NA ")</f>
        <v xml:space="preserve">NA </v>
      </c>
      <c r="I31" s="319" t="str" cm="1">
        <f t="array" ref="I31">IFERROR(IF(Thomson=1,_xll.TR(I$7,I$6,"Sdate=#1 Period=#2 NULL=BLANK",,$D31,$E$4)/10^6,I31),"NA ")</f>
        <v xml:space="preserve">NA </v>
      </c>
      <c r="J31" s="319" t="str" cm="1">
        <f t="array" ref="J31">IFERROR(IF(Thomson=1,_xll.TR(J$7,J$6,"Sdate=#1 Period=#2 NULL=BLANK",,$D31,$E$4)/10^6,J31),"NA ")</f>
        <v xml:space="preserve">NA </v>
      </c>
      <c r="K31" s="319" t="str" cm="1">
        <f t="array" ref="K31">IFERROR(IF(Thomson=1,_xll.TR(K$7,K$6,"Sdate=#1 Period=#2 NULL=BLANK",,$D31,$E$4)/10^6,K31),"NA ")</f>
        <v xml:space="preserve">NA </v>
      </c>
      <c r="L31" s="319" t="str" cm="1">
        <f t="array" ref="L31">IFERROR(IF(Thomson=1,_xll.TR(L$7,L$6,"Sdate=#1 Period=#2 NULL=BLANK",,$D31,$E$4)/10^6,L31),"NA ")</f>
        <v xml:space="preserve">NA </v>
      </c>
    </row>
    <row r="32" spans="1:40" ht="11.25" customHeight="1">
      <c r="C32" s="200">
        <f t="shared" si="2"/>
        <v>42004</v>
      </c>
      <c r="D32" s="197">
        <f t="shared" si="1"/>
        <v>42049</v>
      </c>
      <c r="E32" s="319" t="str" cm="1">
        <f t="array" ref="E32">IFERROR(IF(Thomson=1,_xll.TR(E$7,E$6,"Sdate=#1 Period=#2 NULL=BLANK",,$D32,$E$4)/10^6,E32),"NA ")</f>
        <v xml:space="preserve">NA </v>
      </c>
      <c r="F32" s="319" t="str" cm="1">
        <f t="array" ref="F32">IFERROR(IF(Thomson=1,_xll.TR(F$7,F$6,"Sdate=#1 Period=#2 NULL=BLANK",,$D32,$E$4)/10^6,F32),"NA ")</f>
        <v xml:space="preserve">NA </v>
      </c>
      <c r="G32" s="319" t="str" cm="1">
        <f t="array" ref="G32">IFERROR(IF(Thomson=1,_xll.TR(G$7,G$6,"Sdate=#1 Period=#2 NULL=BLANK",,$D32,$E$4)/10^6,G32),"NA ")</f>
        <v xml:space="preserve">NA </v>
      </c>
      <c r="H32" s="319" t="str" cm="1">
        <f t="array" ref="H32">IFERROR(IF(Thomson=1,_xll.TR(H$7,H$6,"Sdate=#1 Period=#2 NULL=BLANK",,$D32,$E$4)/10^6,H32),"NA ")</f>
        <v xml:space="preserve">NA </v>
      </c>
      <c r="I32" s="319" t="str" cm="1">
        <f t="array" ref="I32">IFERROR(IF(Thomson=1,_xll.TR(I$7,I$6,"Sdate=#1 Period=#2 NULL=BLANK",,$D32,$E$4)/10^6,I32),"NA ")</f>
        <v xml:space="preserve">NA </v>
      </c>
      <c r="J32" s="319" t="str" cm="1">
        <f t="array" ref="J32">IFERROR(IF(Thomson=1,_xll.TR(J$7,J$6,"Sdate=#1 Period=#2 NULL=BLANK",,$D32,$E$4)/10^6,J32),"NA ")</f>
        <v xml:space="preserve">NA </v>
      </c>
      <c r="K32" s="319" t="str" cm="1">
        <f t="array" ref="K32">IFERROR(IF(Thomson=1,_xll.TR(K$7,K$6,"Sdate=#1 Period=#2 NULL=BLANK",,$D32,$E$4)/10^6,K32),"NA ")</f>
        <v xml:space="preserve">NA </v>
      </c>
      <c r="L32" s="319" t="str" cm="1">
        <f t="array" ref="L32">IFERROR(IF(Thomson=1,_xll.TR(L$7,L$6,"Sdate=#1 Period=#2 NULL=BLANK",,$D32,$E$4)/10^6,L32),"NA ")</f>
        <v xml:space="preserve">NA </v>
      </c>
      <c r="P32" s="320">
        <v>42414</v>
      </c>
      <c r="Q32" s="320">
        <v>42505</v>
      </c>
      <c r="R32" s="320">
        <v>42596</v>
      </c>
      <c r="S32" s="320">
        <v>42688</v>
      </c>
      <c r="T32" s="320">
        <v>42780</v>
      </c>
      <c r="U32" s="320">
        <v>42870</v>
      </c>
      <c r="V32" s="320">
        <v>42961</v>
      </c>
      <c r="W32" s="320">
        <v>43053</v>
      </c>
      <c r="X32" s="320">
        <v>43110</v>
      </c>
      <c r="Y32" s="320">
        <f>+EOMONTH(X32,3)</f>
        <v>43220</v>
      </c>
      <c r="Z32" s="320">
        <f t="shared" ref="Z32:AN32" si="3">+EOMONTH(Y32,3)</f>
        <v>43312</v>
      </c>
      <c r="AA32" s="320">
        <f t="shared" si="3"/>
        <v>43404</v>
      </c>
      <c r="AB32" s="320">
        <f t="shared" si="3"/>
        <v>43496</v>
      </c>
      <c r="AC32" s="320">
        <f t="shared" si="3"/>
        <v>43585</v>
      </c>
      <c r="AD32" s="320">
        <f t="shared" si="3"/>
        <v>43677</v>
      </c>
      <c r="AE32" s="320">
        <f t="shared" si="3"/>
        <v>43769</v>
      </c>
      <c r="AF32" s="320">
        <f t="shared" si="3"/>
        <v>43861</v>
      </c>
      <c r="AG32" s="320">
        <f t="shared" si="3"/>
        <v>43951</v>
      </c>
      <c r="AH32" s="320">
        <f t="shared" si="3"/>
        <v>44043</v>
      </c>
      <c r="AI32" s="320">
        <f t="shared" si="3"/>
        <v>44135</v>
      </c>
      <c r="AJ32" s="320">
        <f t="shared" si="3"/>
        <v>44227</v>
      </c>
      <c r="AK32" s="320">
        <f t="shared" si="3"/>
        <v>44316</v>
      </c>
      <c r="AL32" s="320">
        <f t="shared" si="3"/>
        <v>44408</v>
      </c>
      <c r="AM32" s="320">
        <f t="shared" si="3"/>
        <v>44500</v>
      </c>
      <c r="AN32" s="320">
        <f t="shared" si="3"/>
        <v>44592</v>
      </c>
    </row>
    <row r="33" spans="3:40" ht="11.25" customHeight="1">
      <c r="C33" s="196">
        <f t="shared" si="2"/>
        <v>42094</v>
      </c>
      <c r="D33" s="197">
        <f t="shared" si="1"/>
        <v>42139</v>
      </c>
      <c r="E33" s="319" t="str" cm="1">
        <f t="array" ref="E33">IFERROR(IF(Thomson=1,_xll.TR(E$7,E$6,"Sdate=#1 Period=#2 NULL=BLANK",,$D33,$E$4)/10^6,E33),"NA ")</f>
        <v xml:space="preserve">NA </v>
      </c>
      <c r="F33" s="319" t="str" cm="1">
        <f t="array" ref="F33">IFERROR(IF(Thomson=1,_xll.TR(F$7,F$6,"Sdate=#1 Period=#2 NULL=BLANK",,$D33,$E$4)/10^6,F33),"NA ")</f>
        <v xml:space="preserve">NA </v>
      </c>
      <c r="G33" s="319" t="str" cm="1">
        <f t="array" ref="G33">IFERROR(IF(Thomson=1,_xll.TR(G$7,G$6,"Sdate=#1 Period=#2 NULL=BLANK",,$D33,$E$4)/10^6,G33),"NA ")</f>
        <v xml:space="preserve">NA </v>
      </c>
      <c r="H33" s="319" t="str" cm="1">
        <f t="array" ref="H33">IFERROR(IF(Thomson=1,_xll.TR(H$7,H$6,"Sdate=#1 Period=#2 NULL=BLANK",,$D33,$E$4)/10^6,H33),"NA ")</f>
        <v xml:space="preserve">NA </v>
      </c>
      <c r="I33" s="319" t="str" cm="1">
        <f t="array" ref="I33">IFERROR(IF(Thomson=1,_xll.TR(I$7,I$6,"Sdate=#1 Period=#2 NULL=BLANK",,$D33,$E$4)/10^6,I33),"NA ")</f>
        <v xml:space="preserve">NA </v>
      </c>
      <c r="J33" s="319" t="str" cm="1">
        <f t="array" ref="J33">IFERROR(IF(Thomson=1,_xll.TR(J$7,J$6,"Sdate=#1 Period=#2 NULL=BLANK",,$D33,$E$4)/10^6,J33),"NA ")</f>
        <v xml:space="preserve">NA </v>
      </c>
      <c r="K33" s="319" t="str" cm="1">
        <f t="array" ref="K33">IFERROR(IF(Thomson=1,_xll.TR(K$7,K$6,"Sdate=#1 Period=#2 NULL=BLANK",,$D33,$E$4)/10^6,K33),"NA ")</f>
        <v xml:space="preserve">NA </v>
      </c>
      <c r="L33" s="319" t="str" cm="1">
        <f t="array" ref="L33">IFERROR(IF(Thomson=1,_xll.TR(L$7,L$6,"Sdate=#1 Period=#2 NULL=BLANK",,$D33,$E$4)/10^6,L33),"NA ")</f>
        <v xml:space="preserve">NA </v>
      </c>
      <c r="P33" s="35">
        <v>418.79305499999998</v>
      </c>
      <c r="Q33" s="35">
        <v>408.4622675</v>
      </c>
      <c r="R33" s="35">
        <v>421.15900333333303</v>
      </c>
      <c r="S33" s="35">
        <v>428.68121333333301</v>
      </c>
      <c r="T33" s="35">
        <v>440.10625333333303</v>
      </c>
      <c r="U33" s="35">
        <v>425.13781583333304</v>
      </c>
      <c r="V33" s="35">
        <v>437.50591666666696</v>
      </c>
      <c r="W33" s="35">
        <v>455.8153125</v>
      </c>
      <c r="X33" s="35">
        <v>465.94299999999998</v>
      </c>
      <c r="Y33" s="35">
        <v>486.26510500000001</v>
      </c>
      <c r="Z33" s="35">
        <v>509.21266666666696</v>
      </c>
      <c r="AA33" s="35">
        <v>518.82902833333299</v>
      </c>
      <c r="AB33" s="35">
        <v>544.41687833333299</v>
      </c>
      <c r="AC33" s="35">
        <v>575.17589833333307</v>
      </c>
      <c r="AD33" s="35">
        <v>605.68251666666697</v>
      </c>
      <c r="AE33" s="35">
        <v>607.58377083333301</v>
      </c>
      <c r="AF33" s="35">
        <v>615.53220499999998</v>
      </c>
      <c r="AG33" s="35">
        <v>478.2906375</v>
      </c>
      <c r="AH33" s="35">
        <v>480.87855666666701</v>
      </c>
      <c r="AI33" s="35">
        <v>513.56198333333305</v>
      </c>
      <c r="AJ33" s="35">
        <v>536.17822166666701</v>
      </c>
      <c r="AK33" s="35">
        <v>572.49630916666695</v>
      </c>
      <c r="AL33" s="35">
        <v>615.90473999999995</v>
      </c>
      <c r="AM33" s="35">
        <v>611.24283333333301</v>
      </c>
      <c r="AN33" s="35">
        <v>624.65836166666702</v>
      </c>
    </row>
    <row r="34" spans="3:40" ht="11.25" customHeight="1">
      <c r="C34" s="198">
        <f t="shared" si="2"/>
        <v>42185</v>
      </c>
      <c r="D34" s="197">
        <f t="shared" si="1"/>
        <v>42230</v>
      </c>
      <c r="E34" s="319" t="str" cm="1">
        <f t="array" ref="E34">IFERROR(IF(Thomson=1,_xll.TR(E$7,E$6,"Sdate=#1 Period=#2 NULL=BLANK",,$D34,$E$4)/10^6,E34),"NA ")</f>
        <v xml:space="preserve">NA </v>
      </c>
      <c r="F34" s="319" t="str" cm="1">
        <f t="array" ref="F34">IFERROR(IF(Thomson=1,_xll.TR(F$7,F$6,"Sdate=#1 Period=#2 NULL=BLANK",,$D34,$E$4)/10^6,F34),"NA ")</f>
        <v xml:space="preserve">NA </v>
      </c>
      <c r="G34" s="319" t="str" cm="1">
        <f t="array" ref="G34">IFERROR(IF(Thomson=1,_xll.TR(G$7,G$6,"Sdate=#1 Period=#2 NULL=BLANK",,$D34,$E$4)/10^6,G34),"NA ")</f>
        <v xml:space="preserve">NA </v>
      </c>
      <c r="H34" s="319" t="str" cm="1">
        <f t="array" ref="H34">IFERROR(IF(Thomson=1,_xll.TR(H$7,H$6,"Sdate=#1 Period=#2 NULL=BLANK",,$D34,$E$4)/10^6,H34),"NA ")</f>
        <v xml:space="preserve">NA </v>
      </c>
      <c r="I34" s="319" t="str" cm="1">
        <f t="array" ref="I34">IFERROR(IF(Thomson=1,_xll.TR(I$7,I$6,"Sdate=#1 Period=#2 NULL=BLANK",,$D34,$E$4)/10^6,I34),"NA ")</f>
        <v xml:space="preserve">NA </v>
      </c>
      <c r="J34" s="319" t="str" cm="1">
        <f t="array" ref="J34">IFERROR(IF(Thomson=1,_xll.TR(J$7,J$6,"Sdate=#1 Period=#2 NULL=BLANK",,$D34,$E$4)/10^6,J34),"NA ")</f>
        <v xml:space="preserve">NA </v>
      </c>
      <c r="K34" s="319" t="str" cm="1">
        <f t="array" ref="K34">IFERROR(IF(Thomson=1,_xll.TR(K$7,K$6,"Sdate=#1 Period=#2 NULL=BLANK",,$D34,$E$4)/10^6,K34),"NA ")</f>
        <v xml:space="preserve">NA </v>
      </c>
      <c r="L34" s="319" t="str" cm="1">
        <f t="array" ref="L34">IFERROR(IF(Thomson=1,_xll.TR(L$7,L$6,"Sdate=#1 Period=#2 NULL=BLANK",,$D34,$E$4)/10^6,L34),"NA ")</f>
        <v xml:space="preserve">NA </v>
      </c>
      <c r="P34" s="35" t="e">
        <f>+SUM(#REF!)</f>
        <v>#REF!</v>
      </c>
      <c r="X34" s="35" t="e">
        <f>+SUM(#REF!)</f>
        <v>#REF!</v>
      </c>
      <c r="Y34" s="35" t="e">
        <f>+SUM(#REF!)</f>
        <v>#REF!</v>
      </c>
      <c r="Z34" s="35" t="e">
        <f>+SUM(#REF!)</f>
        <v>#REF!</v>
      </c>
      <c r="AA34" s="35" t="e">
        <f>+SUM(#REF!)</f>
        <v>#REF!</v>
      </c>
      <c r="AB34" s="35" t="e">
        <f>+SUM(#REF!)</f>
        <v>#REF!</v>
      </c>
      <c r="AC34" s="35" t="e">
        <f>+SUM(#REF!)</f>
        <v>#REF!</v>
      </c>
      <c r="AD34" s="35" t="e">
        <f>+SUM(#REF!)</f>
        <v>#REF!</v>
      </c>
      <c r="AE34" s="35" t="e">
        <f>+SUM(#REF!)</f>
        <v>#REF!</v>
      </c>
      <c r="AF34" s="35" t="e">
        <f>+SUM(#REF!)</f>
        <v>#REF!</v>
      </c>
      <c r="AG34" s="35" t="e">
        <f>+SUM(#REF!)</f>
        <v>#REF!</v>
      </c>
      <c r="AH34" s="35" t="e">
        <f>+SUM(#REF!)</f>
        <v>#REF!</v>
      </c>
      <c r="AI34" s="35" t="e">
        <f>+SUM(#REF!)</f>
        <v>#REF!</v>
      </c>
      <c r="AJ34" s="35" t="e">
        <f>+SUM(#REF!)</f>
        <v>#REF!</v>
      </c>
      <c r="AK34" s="35" t="e">
        <f>+SUM(#REF!)</f>
        <v>#REF!</v>
      </c>
      <c r="AL34" s="35" t="e">
        <f>+SUM(#REF!)</f>
        <v>#REF!</v>
      </c>
      <c r="AM34" s="35" t="e">
        <f>+SUM(#REF!)</f>
        <v>#REF!</v>
      </c>
      <c r="AN34" s="35" t="e">
        <f>+SUM(#REF!)</f>
        <v>#REF!</v>
      </c>
    </row>
    <row r="35" spans="3:40" ht="11.25" customHeight="1">
      <c r="C35" s="199">
        <f t="shared" si="2"/>
        <v>42277</v>
      </c>
      <c r="D35" s="197">
        <f t="shared" si="1"/>
        <v>42322</v>
      </c>
      <c r="E35" s="319" t="str" cm="1">
        <f t="array" ref="E35">IFERROR(IF(Thomson=1,_xll.TR(E$7,E$6,"Sdate=#1 Period=#2 NULL=BLANK",,$D35,$E$4)/10^6,E35),"NA ")</f>
        <v xml:space="preserve">NA </v>
      </c>
      <c r="F35" s="319" t="str" cm="1">
        <f t="array" ref="F35">IFERROR(IF(Thomson=1,_xll.TR(F$7,F$6,"Sdate=#1 Period=#2 NULL=BLANK",,$D35,$E$4)/10^6,F35),"NA ")</f>
        <v xml:space="preserve">NA </v>
      </c>
      <c r="G35" s="319" t="str" cm="1">
        <f t="array" ref="G35">IFERROR(IF(Thomson=1,_xll.TR(G$7,G$6,"Sdate=#1 Period=#2 NULL=BLANK",,$D35,$E$4)/10^6,G35),"NA ")</f>
        <v xml:space="preserve">NA </v>
      </c>
      <c r="H35" s="319" t="str" cm="1">
        <f t="array" ref="H35">IFERROR(IF(Thomson=1,_xll.TR(H$7,H$6,"Sdate=#1 Period=#2 NULL=BLANK",,$D35,$E$4)/10^6,H35),"NA ")</f>
        <v xml:space="preserve">NA </v>
      </c>
      <c r="I35" s="319" t="str" cm="1">
        <f t="array" ref="I35">IFERROR(IF(Thomson=1,_xll.TR(I$7,I$6,"Sdate=#1 Period=#2 NULL=BLANK",,$D35,$E$4)/10^6,I35),"NA ")</f>
        <v xml:space="preserve">NA </v>
      </c>
      <c r="J35" s="319" t="str" cm="1">
        <f t="array" ref="J35">IFERROR(IF(Thomson=1,_xll.TR(J$7,J$6,"Sdate=#1 Period=#2 NULL=BLANK",,$D35,$E$4)/10^6,J35),"NA ")</f>
        <v xml:space="preserve">NA </v>
      </c>
      <c r="K35" s="319" t="str" cm="1">
        <f t="array" ref="K35">IFERROR(IF(Thomson=1,_xll.TR(K$7,K$6,"Sdate=#1 Period=#2 NULL=BLANK",,$D35,$E$4)/10^6,K35),"NA ")</f>
        <v xml:space="preserve">NA </v>
      </c>
      <c r="L35" s="319" t="str" cm="1">
        <f t="array" ref="L35">IFERROR(IF(Thomson=1,_xll.TR(L$7,L$6,"Sdate=#1 Period=#2 NULL=BLANK",,$D35,$E$4)/10^6,L35),"NA ")</f>
        <v xml:space="preserve">NA </v>
      </c>
      <c r="X35" s="35" t="e">
        <f>+VLOOKUP(X$32,#REF!,2)</f>
        <v>#REF!</v>
      </c>
      <c r="Y35" s="35" t="e">
        <f>+VLOOKUP(Y$32,#REF!,2)</f>
        <v>#REF!</v>
      </c>
      <c r="Z35" s="35" t="e">
        <f>+VLOOKUP(Z$32,#REF!,2)</f>
        <v>#REF!</v>
      </c>
      <c r="AA35" s="35" t="e">
        <f>+VLOOKUP(AA$32,#REF!,2)</f>
        <v>#REF!</v>
      </c>
      <c r="AB35" s="35" t="e">
        <f>+VLOOKUP(AB$32,#REF!,2)</f>
        <v>#REF!</v>
      </c>
      <c r="AC35" s="35" t="e">
        <f>+VLOOKUP(AC$32,#REF!,2)</f>
        <v>#REF!</v>
      </c>
      <c r="AD35" s="35" t="e">
        <f>+VLOOKUP(AD$32,#REF!,2)</f>
        <v>#REF!</v>
      </c>
      <c r="AE35" s="35" t="e">
        <f>+VLOOKUP(AE$32,#REF!,2)</f>
        <v>#REF!</v>
      </c>
      <c r="AF35" s="35" t="e">
        <f>+VLOOKUP(AF$32,#REF!,2)</f>
        <v>#REF!</v>
      </c>
      <c r="AG35" s="35" t="e">
        <f>+VLOOKUP(AG$32,#REF!,2)</f>
        <v>#REF!</v>
      </c>
      <c r="AH35" s="35" t="e">
        <f>+VLOOKUP(AH$32,#REF!,2)</f>
        <v>#REF!</v>
      </c>
      <c r="AI35" s="35" t="e">
        <f>+VLOOKUP(AI$32,#REF!,2)</f>
        <v>#REF!</v>
      </c>
      <c r="AJ35" s="35" t="e">
        <f>+VLOOKUP(AJ$32,#REF!,2)</f>
        <v>#REF!</v>
      </c>
      <c r="AK35" s="35" t="e">
        <f>+VLOOKUP(AK$32,#REF!,2)</f>
        <v>#REF!</v>
      </c>
      <c r="AL35" s="35" t="e">
        <f>+VLOOKUP(AL$32,#REF!,2)</f>
        <v>#REF!</v>
      </c>
      <c r="AM35" s="35" t="e">
        <f>+VLOOKUP(AM$32,#REF!,2)</f>
        <v>#REF!</v>
      </c>
      <c r="AN35" s="35" t="e">
        <f>+VLOOKUP(AN$32,#REF!,2)</f>
        <v>#REF!</v>
      </c>
    </row>
    <row r="36" spans="3:40" ht="11.25" customHeight="1">
      <c r="C36" s="200">
        <f t="shared" si="2"/>
        <v>42369</v>
      </c>
      <c r="D36" s="197">
        <f t="shared" si="1"/>
        <v>42414</v>
      </c>
      <c r="E36" s="319" t="str" cm="1">
        <f t="array" ref="E36">IFERROR(IF(Thomson=1,_xll.TR(E$7,E$6,"Sdate=#1 Period=#2 NULL=BLANK",,$D36,$E$4)/10^6,E36),"NA ")</f>
        <v xml:space="preserve">NA </v>
      </c>
      <c r="F36" s="319" t="str" cm="1">
        <f t="array" ref="F36">IFERROR(IF(Thomson=1,_xll.TR(F$7,F$6,"Sdate=#1 Period=#2 NULL=BLANK",,$D36,$E$4)/10^6,F36),"NA ")</f>
        <v xml:space="preserve">NA </v>
      </c>
      <c r="G36" s="319" t="str" cm="1">
        <f t="array" ref="G36">IFERROR(IF(Thomson=1,_xll.TR(G$7,G$6,"Sdate=#1 Period=#2 NULL=BLANK",,$D36,$E$4)/10^6,G36),"NA ")</f>
        <v xml:space="preserve">NA </v>
      </c>
      <c r="H36" s="319" t="str" cm="1">
        <f t="array" ref="H36">IFERROR(IF(Thomson=1,_xll.TR(H$7,H$6,"Sdate=#1 Period=#2 NULL=BLANK",,$D36,$E$4)/10^6,H36),"NA ")</f>
        <v xml:space="preserve">NA </v>
      </c>
      <c r="I36" s="319" t="str" cm="1">
        <f t="array" ref="I36">IFERROR(IF(Thomson=1,_xll.TR(I$7,I$6,"Sdate=#1 Period=#2 NULL=BLANK",,$D36,$E$4)/10^6,I36),"NA ")</f>
        <v xml:space="preserve">NA </v>
      </c>
      <c r="J36" s="319" t="str" cm="1">
        <f t="array" ref="J36">IFERROR(IF(Thomson=1,_xll.TR(J$7,J$6,"Sdate=#1 Period=#2 NULL=BLANK",,$D36,$E$4)/10^6,J36),"NA ")</f>
        <v xml:space="preserve">NA </v>
      </c>
      <c r="K36" s="319" t="str" cm="1">
        <f t="array" ref="K36">IFERROR(IF(Thomson=1,_xll.TR(K$7,K$6,"Sdate=#1 Period=#2 NULL=BLANK",,$D36,$E$4)/10^6,K36),"NA ")</f>
        <v xml:space="preserve">NA </v>
      </c>
      <c r="L36" s="319" t="str" cm="1">
        <f t="array" ref="L36">IFERROR(IF(Thomson=1,_xll.TR(L$7,L$6,"Sdate=#1 Period=#2 NULL=BLANK",,$D36,$E$4)/10^6,L36),"NA ")</f>
        <v xml:space="preserve">NA </v>
      </c>
    </row>
    <row r="37" spans="3:40" ht="11.25" customHeight="1">
      <c r="C37" s="196">
        <f t="shared" si="2"/>
        <v>42460</v>
      </c>
      <c r="D37" s="197">
        <f t="shared" si="1"/>
        <v>42505</v>
      </c>
      <c r="E37" s="319" t="str" cm="1">
        <f t="array" ref="E37">IFERROR(IF(Thomson=1,_xll.TR(E$7,E$6,"Sdate=#1 Period=#2 NULL=BLANK",,$D37,$E$4)/10^6,E37),"NA ")</f>
        <v xml:space="preserve">NA </v>
      </c>
      <c r="F37" s="319" t="str" cm="1">
        <f t="array" ref="F37">IFERROR(IF(Thomson=1,_xll.TR(F$7,F$6,"Sdate=#1 Period=#2 NULL=BLANK",,$D37,$E$4)/10^6,F37),"NA ")</f>
        <v xml:space="preserve">NA </v>
      </c>
      <c r="G37" s="319" t="str" cm="1">
        <f t="array" ref="G37">IFERROR(IF(Thomson=1,_xll.TR(G$7,G$6,"Sdate=#1 Period=#2 NULL=BLANK",,$D37,$E$4)/10^6,G37),"NA ")</f>
        <v xml:space="preserve">NA </v>
      </c>
      <c r="H37" s="319" t="str" cm="1">
        <f t="array" ref="H37">IFERROR(IF(Thomson=1,_xll.TR(H$7,H$6,"Sdate=#1 Period=#2 NULL=BLANK",,$D37,$E$4)/10^6,H37),"NA ")</f>
        <v xml:space="preserve">NA </v>
      </c>
      <c r="I37" s="319" t="str" cm="1">
        <f t="array" ref="I37">IFERROR(IF(Thomson=1,_xll.TR(I$7,I$6,"Sdate=#1 Period=#2 NULL=BLANK",,$D37,$E$4)/10^6,I37),"NA ")</f>
        <v xml:space="preserve">NA </v>
      </c>
      <c r="J37" s="319" t="str" cm="1">
        <f t="array" ref="J37">IFERROR(IF(Thomson=1,_xll.TR(J$7,J$6,"Sdate=#1 Period=#2 NULL=BLANK",,$D37,$E$4)/10^6,J37),"NA ")</f>
        <v xml:space="preserve">NA </v>
      </c>
      <c r="K37" s="319" t="str" cm="1">
        <f t="array" ref="K37">IFERROR(IF(Thomson=1,_xll.TR(K$7,K$6,"Sdate=#1 Period=#2 NULL=BLANK",,$D37,$E$4)/10^6,K37),"NA ")</f>
        <v xml:space="preserve">NA </v>
      </c>
      <c r="L37" s="319" t="str" cm="1">
        <f t="array" ref="L37">IFERROR(IF(Thomson=1,_xll.TR(L$7,L$6,"Sdate=#1 Period=#2 NULL=BLANK",,$D37,$E$4)/10^6,L37),"NA ")</f>
        <v xml:space="preserve">NA </v>
      </c>
    </row>
    <row r="38" spans="3:40" ht="11.25" customHeight="1">
      <c r="C38" s="198">
        <f t="shared" si="2"/>
        <v>42551</v>
      </c>
      <c r="D38" s="197">
        <f t="shared" si="1"/>
        <v>42596</v>
      </c>
      <c r="E38" s="319" t="str" cm="1">
        <f t="array" ref="E38">IFERROR(IF(Thomson=1,_xll.TR(E$7,E$6,"Sdate=#1 Period=#2 NULL=BLANK",,$D38,$E$4)/10^6,E38),"NA ")</f>
        <v xml:space="preserve">NA </v>
      </c>
      <c r="F38" s="319" t="str" cm="1">
        <f t="array" ref="F38">IFERROR(IF(Thomson=1,_xll.TR(F$7,F$6,"Sdate=#1 Period=#2 NULL=BLANK",,$D38,$E$4)/10^6,F38),"NA ")</f>
        <v xml:space="preserve">NA </v>
      </c>
      <c r="G38" s="319" t="str" cm="1">
        <f t="array" ref="G38">IFERROR(IF(Thomson=1,_xll.TR(G$7,G$6,"Sdate=#1 Period=#2 NULL=BLANK",,$D38,$E$4)/10^6,G38),"NA ")</f>
        <v xml:space="preserve">NA </v>
      </c>
      <c r="H38" s="319" t="str" cm="1">
        <f t="array" ref="H38">IFERROR(IF(Thomson=1,_xll.TR(H$7,H$6,"Sdate=#1 Period=#2 NULL=BLANK",,$D38,$E$4)/10^6,H38),"NA ")</f>
        <v xml:space="preserve">NA </v>
      </c>
      <c r="I38" s="319" t="str" cm="1">
        <f t="array" ref="I38">IFERROR(IF(Thomson=1,_xll.TR(I$7,I$6,"Sdate=#1 Period=#2 NULL=BLANK",,$D38,$E$4)/10^6,I38),"NA ")</f>
        <v xml:space="preserve">NA </v>
      </c>
      <c r="J38" s="319" t="str" cm="1">
        <f t="array" ref="J38">IFERROR(IF(Thomson=1,_xll.TR(J$7,J$6,"Sdate=#1 Period=#2 NULL=BLANK",,$D38,$E$4)/10^6,J38),"NA ")</f>
        <v xml:space="preserve">NA </v>
      </c>
      <c r="K38" s="319" t="str" cm="1">
        <f t="array" ref="K38">IFERROR(IF(Thomson=1,_xll.TR(K$7,K$6,"Sdate=#1 Period=#2 NULL=BLANK",,$D38,$E$4)/10^6,K38),"NA ")</f>
        <v xml:space="preserve">NA </v>
      </c>
      <c r="L38" s="319" t="str" cm="1">
        <f t="array" ref="L38">IFERROR(IF(Thomson=1,_xll.TR(L$7,L$6,"Sdate=#1 Period=#2 NULL=BLANK",,$D38,$E$4)/10^6,L38),"NA ")</f>
        <v xml:space="preserve">NA </v>
      </c>
    </row>
    <row r="39" spans="3:40" ht="11.25" customHeight="1">
      <c r="C39" s="199">
        <f t="shared" si="2"/>
        <v>42643</v>
      </c>
      <c r="D39" s="197">
        <f t="shared" si="1"/>
        <v>42688</v>
      </c>
      <c r="E39" s="319" t="str" cm="1">
        <f t="array" ref="E39">IFERROR(IF(Thomson=1,_xll.TR(E$7,E$6,"Sdate=#1 Period=#2 NULL=BLANK",,$D39,$E$4)/10^6,E39),"NA ")</f>
        <v xml:space="preserve">NA </v>
      </c>
      <c r="F39" s="319" t="str" cm="1">
        <f t="array" ref="F39">IFERROR(IF(Thomson=1,_xll.TR(F$7,F$6,"Sdate=#1 Period=#2 NULL=BLANK",,$D39,$E$4)/10^6,F39),"NA ")</f>
        <v xml:space="preserve">NA </v>
      </c>
      <c r="G39" s="319" t="str" cm="1">
        <f t="array" ref="G39">IFERROR(IF(Thomson=1,_xll.TR(G$7,G$6,"Sdate=#1 Period=#2 NULL=BLANK",,$D39,$E$4)/10^6,G39),"NA ")</f>
        <v xml:space="preserve">NA </v>
      </c>
      <c r="H39" s="319" t="str" cm="1">
        <f t="array" ref="H39">IFERROR(IF(Thomson=1,_xll.TR(H$7,H$6,"Sdate=#1 Period=#2 NULL=BLANK",,$D39,$E$4)/10^6,H39),"NA ")</f>
        <v xml:space="preserve">NA </v>
      </c>
      <c r="I39" s="319" t="str" cm="1">
        <f t="array" ref="I39">IFERROR(IF(Thomson=1,_xll.TR(I$7,I$6,"Sdate=#1 Period=#2 NULL=BLANK",,$D39,$E$4)/10^6,I39),"NA ")</f>
        <v xml:space="preserve">NA </v>
      </c>
      <c r="J39" s="319" t="str" cm="1">
        <f t="array" ref="J39">IFERROR(IF(Thomson=1,_xll.TR(J$7,J$6,"Sdate=#1 Period=#2 NULL=BLANK",,$D39,$E$4)/10^6,J39),"NA ")</f>
        <v xml:space="preserve">NA </v>
      </c>
      <c r="K39" s="319" t="str" cm="1">
        <f t="array" ref="K39">IFERROR(IF(Thomson=1,_xll.TR(K$7,K$6,"Sdate=#1 Period=#2 NULL=BLANK",,$D39,$E$4)/10^6,K39),"NA ")</f>
        <v xml:space="preserve">NA </v>
      </c>
      <c r="L39" s="319" t="str" cm="1">
        <f t="array" ref="L39">IFERROR(IF(Thomson=1,_xll.TR(L$7,L$6,"Sdate=#1 Period=#2 NULL=BLANK",,$D39,$E$4)/10^6,L39),"NA ")</f>
        <v xml:space="preserve">NA </v>
      </c>
    </row>
    <row r="40" spans="3:40" ht="11.25" customHeight="1">
      <c r="C40" s="200">
        <f t="shared" si="2"/>
        <v>42735</v>
      </c>
      <c r="D40" s="197">
        <f t="shared" si="1"/>
        <v>42780</v>
      </c>
      <c r="E40" s="319" t="str" cm="1">
        <f t="array" ref="E40">IFERROR(IF(Thomson=1,_xll.TR(E$7,E$6,"Sdate=#1 Period=#2 NULL=BLANK",,$D40,$E$4)/10^6,E40),"NA ")</f>
        <v xml:space="preserve">NA </v>
      </c>
      <c r="F40" s="319" t="str" cm="1">
        <f t="array" ref="F40">IFERROR(IF(Thomson=1,_xll.TR(F$7,F$6,"Sdate=#1 Period=#2 NULL=BLANK",,$D40,$E$4)/10^6,F40),"NA ")</f>
        <v xml:space="preserve">NA </v>
      </c>
      <c r="G40" s="319" t="str" cm="1">
        <f t="array" ref="G40">IFERROR(IF(Thomson=1,_xll.TR(G$7,G$6,"Sdate=#1 Period=#2 NULL=BLANK",,$D40,$E$4)/10^6,G40),"NA ")</f>
        <v xml:space="preserve">NA </v>
      </c>
      <c r="H40" s="319" t="str" cm="1">
        <f t="array" ref="H40">IFERROR(IF(Thomson=1,_xll.TR(H$7,H$6,"Sdate=#1 Period=#2 NULL=BLANK",,$D40,$E$4)/10^6,H40),"NA ")</f>
        <v xml:space="preserve">NA </v>
      </c>
      <c r="I40" s="319" t="str" cm="1">
        <f t="array" ref="I40">IFERROR(IF(Thomson=1,_xll.TR(I$7,I$6,"Sdate=#1 Period=#2 NULL=BLANK",,$D40,$E$4)/10^6,I40),"NA ")</f>
        <v xml:space="preserve">NA </v>
      </c>
      <c r="J40" s="319" t="str" cm="1">
        <f t="array" ref="J40">IFERROR(IF(Thomson=1,_xll.TR(J$7,J$6,"Sdate=#1 Period=#2 NULL=BLANK",,$D40,$E$4)/10^6,J40),"NA ")</f>
        <v xml:space="preserve">NA </v>
      </c>
      <c r="K40" s="319" t="str" cm="1">
        <f t="array" ref="K40">IFERROR(IF(Thomson=1,_xll.TR(K$7,K$6,"Sdate=#1 Period=#2 NULL=BLANK",,$D40,$E$4)/10^6,K40),"NA ")</f>
        <v xml:space="preserve">NA </v>
      </c>
      <c r="L40" s="319" t="str" cm="1">
        <f t="array" ref="L40">IFERROR(IF(Thomson=1,_xll.TR(L$7,L$6,"Sdate=#1 Period=#2 NULL=BLANK",,$D40,$E$4)/10^6,L40),"NA ")</f>
        <v xml:space="preserve">NA </v>
      </c>
    </row>
    <row r="41" spans="3:40" ht="11.25" customHeight="1">
      <c r="C41" s="196">
        <f t="shared" si="2"/>
        <v>42825</v>
      </c>
      <c r="D41" s="197">
        <f t="shared" si="1"/>
        <v>42870</v>
      </c>
      <c r="E41" s="319" t="str" cm="1">
        <f t="array" ref="E41">IFERROR(IF(Thomson=1,_xll.TR(E$7,E$6,"Sdate=#1 Period=#2 NULL=BLANK",,$D41,$E$4)/10^6,E41),"NA ")</f>
        <v xml:space="preserve">NA </v>
      </c>
      <c r="F41" s="319" t="str" cm="1">
        <f t="array" ref="F41">IFERROR(IF(Thomson=1,_xll.TR(F$7,F$6,"Sdate=#1 Period=#2 NULL=BLANK",,$D41,$E$4)/10^6,F41),"NA ")</f>
        <v xml:space="preserve">NA </v>
      </c>
      <c r="G41" s="319" t="str" cm="1">
        <f t="array" ref="G41">IFERROR(IF(Thomson=1,_xll.TR(G$7,G$6,"Sdate=#1 Period=#2 NULL=BLANK",,$D41,$E$4)/10^6,G41),"NA ")</f>
        <v xml:space="preserve">NA </v>
      </c>
      <c r="H41" s="319" t="str" cm="1">
        <f t="array" ref="H41">IFERROR(IF(Thomson=1,_xll.TR(H$7,H$6,"Sdate=#1 Period=#2 NULL=BLANK",,$D41,$E$4)/10^6,H41),"NA ")</f>
        <v xml:space="preserve">NA </v>
      </c>
      <c r="I41" s="319" t="str" cm="1">
        <f t="array" ref="I41">IFERROR(IF(Thomson=1,_xll.TR(I$7,I$6,"Sdate=#1 Period=#2 NULL=BLANK",,$D41,$E$4)/10^6,I41),"NA ")</f>
        <v xml:space="preserve">NA </v>
      </c>
      <c r="J41" s="319" t="str" cm="1">
        <f t="array" ref="J41">IFERROR(IF(Thomson=1,_xll.TR(J$7,J$6,"Sdate=#1 Period=#2 NULL=BLANK",,$D41,$E$4)/10^6,J41),"NA ")</f>
        <v xml:space="preserve">NA </v>
      </c>
      <c r="K41" s="319" t="str" cm="1">
        <f t="array" ref="K41">IFERROR(IF(Thomson=1,_xll.TR(K$7,K$6,"Sdate=#1 Period=#2 NULL=BLANK",,$D41,$E$4)/10^6,K41),"NA ")</f>
        <v xml:space="preserve">NA </v>
      </c>
      <c r="L41" s="319" t="str" cm="1">
        <f t="array" ref="L41">IFERROR(IF(Thomson=1,_xll.TR(L$7,L$6,"Sdate=#1 Period=#2 NULL=BLANK",,$D41,$E$4)/10^6,L41),"NA ")</f>
        <v xml:space="preserve">NA </v>
      </c>
    </row>
    <row r="42" spans="3:40" ht="11.25" customHeight="1">
      <c r="C42" s="198">
        <f t="shared" si="2"/>
        <v>42916</v>
      </c>
      <c r="D42" s="197">
        <f t="shared" si="1"/>
        <v>42961</v>
      </c>
      <c r="E42" s="319" t="str" cm="1">
        <f t="array" ref="E42">IFERROR(IF(Thomson=1,_xll.TR(E$7,E$6,"Sdate=#1 Period=#2 NULL=BLANK",,$D42,$E$4)/10^6,E42),"NA ")</f>
        <v xml:space="preserve">NA </v>
      </c>
      <c r="F42" s="319" t="str" cm="1">
        <f t="array" ref="F42">IFERROR(IF(Thomson=1,_xll.TR(F$7,F$6,"Sdate=#1 Period=#2 NULL=BLANK",,$D42,$E$4)/10^6,F42),"NA ")</f>
        <v xml:space="preserve">NA </v>
      </c>
      <c r="G42" s="319" t="str" cm="1">
        <f t="array" ref="G42">IFERROR(IF(Thomson=1,_xll.TR(G$7,G$6,"Sdate=#1 Period=#2 NULL=BLANK",,$D42,$E$4)/10^6,G42),"NA ")</f>
        <v xml:space="preserve">NA </v>
      </c>
      <c r="H42" s="319" t="str" cm="1">
        <f t="array" ref="H42">IFERROR(IF(Thomson=1,_xll.TR(H$7,H$6,"Sdate=#1 Period=#2 NULL=BLANK",,$D42,$E$4)/10^6,H42),"NA ")</f>
        <v xml:space="preserve">NA </v>
      </c>
      <c r="I42" s="319" t="str" cm="1">
        <f t="array" ref="I42">IFERROR(IF(Thomson=1,_xll.TR(I$7,I$6,"Sdate=#1 Period=#2 NULL=BLANK",,$D42,$E$4)/10^6,I42),"NA ")</f>
        <v xml:space="preserve">NA </v>
      </c>
      <c r="J42" s="319" t="str" cm="1">
        <f t="array" ref="J42">IFERROR(IF(Thomson=1,_xll.TR(J$7,J$6,"Sdate=#1 Period=#2 NULL=BLANK",,$D42,$E$4)/10^6,J42),"NA ")</f>
        <v xml:space="preserve">NA </v>
      </c>
      <c r="K42" s="319" t="str" cm="1">
        <f t="array" ref="K42">IFERROR(IF(Thomson=1,_xll.TR(K$7,K$6,"Sdate=#1 Period=#2 NULL=BLANK",,$D42,$E$4)/10^6,K42),"NA ")</f>
        <v xml:space="preserve">NA </v>
      </c>
      <c r="L42" s="319" t="str" cm="1">
        <f t="array" ref="L42">IFERROR(IF(Thomson=1,_xll.TR(L$7,L$6,"Sdate=#1 Period=#2 NULL=BLANK",,$D42,$E$4)/10^6,L42),"NA ")</f>
        <v xml:space="preserve">NA </v>
      </c>
    </row>
    <row r="43" spans="3:40" ht="11.25" customHeight="1">
      <c r="C43" s="199">
        <f t="shared" si="2"/>
        <v>43008</v>
      </c>
      <c r="D43" s="197">
        <f t="shared" si="1"/>
        <v>43053</v>
      </c>
      <c r="E43" s="319" t="str" cm="1">
        <f t="array" ref="E43">IFERROR(IF(Thomson=1,_xll.TR(E$7,E$6,"Sdate=#1 Period=#2 NULL=BLANK",,$D43,$E$4)/10^6,E43),"NA ")</f>
        <v xml:space="preserve">NA </v>
      </c>
      <c r="F43" s="319" t="str" cm="1">
        <f t="array" ref="F43">IFERROR(IF(Thomson=1,_xll.TR(F$7,F$6,"Sdate=#1 Period=#2 NULL=BLANK",,$D43,$E$4)/10^6,F43),"NA ")</f>
        <v xml:space="preserve">NA </v>
      </c>
      <c r="G43" s="319" t="str" cm="1">
        <f t="array" ref="G43">IFERROR(IF(Thomson=1,_xll.TR(G$7,G$6,"Sdate=#1 Period=#2 NULL=BLANK",,$D43,$E$4)/10^6,G43),"NA ")</f>
        <v xml:space="preserve">NA </v>
      </c>
      <c r="H43" s="319" t="str" cm="1">
        <f t="array" ref="H43">IFERROR(IF(Thomson=1,_xll.TR(H$7,H$6,"Sdate=#1 Period=#2 NULL=BLANK",,$D43,$E$4)/10^6,H43),"NA ")</f>
        <v xml:space="preserve">NA </v>
      </c>
      <c r="I43" s="319" t="str" cm="1">
        <f t="array" ref="I43">IFERROR(IF(Thomson=1,_xll.TR(I$7,I$6,"Sdate=#1 Period=#2 NULL=BLANK",,$D43,$E$4)/10^6,I43),"NA ")</f>
        <v xml:space="preserve">NA </v>
      </c>
      <c r="J43" s="319" t="str" cm="1">
        <f t="array" ref="J43">IFERROR(IF(Thomson=1,_xll.TR(J$7,J$6,"Sdate=#1 Period=#2 NULL=BLANK",,$D43,$E$4)/10^6,J43),"NA ")</f>
        <v xml:space="preserve">NA </v>
      </c>
      <c r="K43" s="319" t="str" cm="1">
        <f t="array" ref="K43">IFERROR(IF(Thomson=1,_xll.TR(K$7,K$6,"Sdate=#1 Period=#2 NULL=BLANK",,$D43,$E$4)/10^6,K43),"NA ")</f>
        <v xml:space="preserve">NA </v>
      </c>
      <c r="L43" s="319" t="str" cm="1">
        <f t="array" ref="L43">IFERROR(IF(Thomson=1,_xll.TR(L$7,L$6,"Sdate=#1 Period=#2 NULL=BLANK",,$D43,$E$4)/10^6,L43),"NA ")</f>
        <v xml:space="preserve">NA </v>
      </c>
    </row>
    <row r="44" spans="3:40" ht="11.25" customHeight="1">
      <c r="C44" s="200">
        <f t="shared" si="2"/>
        <v>43100</v>
      </c>
      <c r="D44" s="197">
        <f t="shared" si="1"/>
        <v>43145</v>
      </c>
      <c r="E44" s="319" t="str" cm="1">
        <f t="array" ref="E44">IFERROR(IF(Thomson=1,_xll.TR(E$7,E$6,"Sdate=#1 Period=#2 NULL=BLANK",,$D44,$E$4)/10^6,E44),"NA ")</f>
        <v xml:space="preserve">NA </v>
      </c>
      <c r="F44" s="319" t="str" cm="1">
        <f t="array" ref="F44">IFERROR(IF(Thomson=1,_xll.TR(F$7,F$6,"Sdate=#1 Period=#2 NULL=BLANK",,$D44,$E$4)/10^6,F44),"NA ")</f>
        <v xml:space="preserve">NA </v>
      </c>
      <c r="G44" s="319" t="str" cm="1">
        <f t="array" ref="G44">IFERROR(IF(Thomson=1,_xll.TR(G$7,G$6,"Sdate=#1 Period=#2 NULL=BLANK",,$D44,$E$4)/10^6,G44),"NA ")</f>
        <v xml:space="preserve">NA </v>
      </c>
      <c r="H44" s="319" t="str" cm="1">
        <f t="array" ref="H44">IFERROR(IF(Thomson=1,_xll.TR(H$7,H$6,"Sdate=#1 Period=#2 NULL=BLANK",,$D44,$E$4)/10^6,H44),"NA ")</f>
        <v xml:space="preserve">NA </v>
      </c>
      <c r="I44" s="319" t="str" cm="1">
        <f t="array" ref="I44">IFERROR(IF(Thomson=1,_xll.TR(I$7,I$6,"Sdate=#1 Period=#2 NULL=BLANK",,$D44,$E$4)/10^6,I44),"NA ")</f>
        <v xml:space="preserve">NA </v>
      </c>
      <c r="J44" s="319" t="str" cm="1">
        <f t="array" ref="J44">IFERROR(IF(Thomson=1,_xll.TR(J$7,J$6,"Sdate=#1 Period=#2 NULL=BLANK",,$D44,$E$4)/10^6,J44),"NA ")</f>
        <v xml:space="preserve">NA </v>
      </c>
      <c r="K44" s="319" t="str" cm="1">
        <f t="array" ref="K44">IFERROR(IF(Thomson=1,_xll.TR(K$7,K$6,"Sdate=#1 Period=#2 NULL=BLANK",,$D44,$E$4)/10^6,K44),"NA ")</f>
        <v xml:space="preserve">NA </v>
      </c>
      <c r="L44" s="319" t="str" cm="1">
        <f t="array" ref="L44">IFERROR(IF(Thomson=1,_xll.TR(L$7,L$6,"Sdate=#1 Period=#2 NULL=BLANK",,$D44,$E$4)/10^6,L44),"NA ")</f>
        <v xml:space="preserve">NA </v>
      </c>
      <c r="O44" s="35">
        <v>496</v>
      </c>
    </row>
    <row r="45" spans="3:40" ht="11.25" customHeight="1">
      <c r="C45" s="196">
        <f t="shared" si="2"/>
        <v>43190</v>
      </c>
      <c r="D45" s="197">
        <f t="shared" si="1"/>
        <v>43235</v>
      </c>
      <c r="E45" s="319" t="str" cm="1">
        <f t="array" ref="E45">IFERROR(IF(Thomson=1,_xll.TR(E$7,E$6,"Sdate=#1 Period=#2 NULL=BLANK",,$D45,$E$4)/10^6,E45),"NA ")</f>
        <v xml:space="preserve">NA </v>
      </c>
      <c r="F45" s="319" t="str" cm="1">
        <f t="array" ref="F45">IFERROR(IF(Thomson=1,_xll.TR(F$7,F$6,"Sdate=#1 Period=#2 NULL=BLANK",,$D45,$E$4)/10^6,F45),"NA ")</f>
        <v xml:space="preserve">NA </v>
      </c>
      <c r="G45" s="319" t="str" cm="1">
        <f t="array" ref="G45">IFERROR(IF(Thomson=1,_xll.TR(G$7,G$6,"Sdate=#1 Period=#2 NULL=BLANK",,$D45,$E$4)/10^6,G45),"NA ")</f>
        <v xml:space="preserve">NA </v>
      </c>
      <c r="H45" s="319" t="str" cm="1">
        <f t="array" ref="H45">IFERROR(IF(Thomson=1,_xll.TR(H$7,H$6,"Sdate=#1 Period=#2 NULL=BLANK",,$D45,$E$4)/10^6,H45),"NA ")</f>
        <v xml:space="preserve">NA </v>
      </c>
      <c r="I45" s="319" t="str" cm="1">
        <f t="array" ref="I45">IFERROR(IF(Thomson=1,_xll.TR(I$7,I$6,"Sdate=#1 Period=#2 NULL=BLANK",,$D45,$E$4)/10^6,I45),"NA ")</f>
        <v xml:space="preserve">NA </v>
      </c>
      <c r="J45" s="319" t="str" cm="1">
        <f t="array" ref="J45">IFERROR(IF(Thomson=1,_xll.TR(J$7,J$6,"Sdate=#1 Period=#2 NULL=BLANK",,$D45,$E$4)/10^6,J45),"NA ")</f>
        <v xml:space="preserve">NA </v>
      </c>
      <c r="K45" s="319" t="str" cm="1">
        <f t="array" ref="K45">IFERROR(IF(Thomson=1,_xll.TR(K$7,K$6,"Sdate=#1 Period=#2 NULL=BLANK",,$D45,$E$4)/10^6,K45),"NA ")</f>
        <v xml:space="preserve">NA </v>
      </c>
      <c r="L45" s="319" t="str" cm="1">
        <f t="array" ref="L45">IFERROR(IF(Thomson=1,_xll.TR(L$7,L$6,"Sdate=#1 Period=#2 NULL=BLANK",,$D45,$E$4)/10^6,L45),"NA ")</f>
        <v xml:space="preserve">NA </v>
      </c>
      <c r="O45" s="35">
        <v>511</v>
      </c>
    </row>
    <row r="46" spans="3:40" ht="11.25" customHeight="1">
      <c r="C46" s="198">
        <f t="shared" si="2"/>
        <v>43281</v>
      </c>
      <c r="D46" s="197">
        <f t="shared" si="1"/>
        <v>43326</v>
      </c>
      <c r="E46" s="319" t="str" cm="1">
        <f t="array" ref="E46">IFERROR(IF(Thomson=1,_xll.TR(E$7,E$6,"Sdate=#1 Period=#2 NULL=BLANK",,$D46,$E$4)/10^6,E46),"NA ")</f>
        <v xml:space="preserve">NA </v>
      </c>
      <c r="F46" s="319" t="str" cm="1">
        <f t="array" ref="F46">IFERROR(IF(Thomson=1,_xll.TR(F$7,F$6,"Sdate=#1 Period=#2 NULL=BLANK",,$D46,$E$4)/10^6,F46),"NA ")</f>
        <v xml:space="preserve">NA </v>
      </c>
      <c r="G46" s="319" t="str" cm="1">
        <f t="array" ref="G46">IFERROR(IF(Thomson=1,_xll.TR(G$7,G$6,"Sdate=#1 Period=#2 NULL=BLANK",,$D46,$E$4)/10^6,G46),"NA ")</f>
        <v xml:space="preserve">NA </v>
      </c>
      <c r="H46" s="319" t="str" cm="1">
        <f t="array" ref="H46">IFERROR(IF(Thomson=1,_xll.TR(H$7,H$6,"Sdate=#1 Period=#2 NULL=BLANK",,$D46,$E$4)/10^6,H46),"NA ")</f>
        <v xml:space="preserve">NA </v>
      </c>
      <c r="I46" s="319" t="str" cm="1">
        <f t="array" ref="I46">IFERROR(IF(Thomson=1,_xll.TR(I$7,I$6,"Sdate=#1 Period=#2 NULL=BLANK",,$D46,$E$4)/10^6,I46),"NA ")</f>
        <v xml:space="preserve">NA </v>
      </c>
      <c r="J46" s="319" t="str" cm="1">
        <f t="array" ref="J46">IFERROR(IF(Thomson=1,_xll.TR(J$7,J$6,"Sdate=#1 Period=#2 NULL=BLANK",,$D46,$E$4)/10^6,J46),"NA ")</f>
        <v xml:space="preserve">NA </v>
      </c>
      <c r="K46" s="319" t="str" cm="1">
        <f t="array" ref="K46">IFERROR(IF(Thomson=1,_xll.TR(K$7,K$6,"Sdate=#1 Period=#2 NULL=BLANK",,$D46,$E$4)/10^6,K46),"NA ")</f>
        <v xml:space="preserve">NA </v>
      </c>
      <c r="L46" s="319" t="str" cm="1">
        <f t="array" ref="L46">IFERROR(IF(Thomson=1,_xll.TR(L$7,L$6,"Sdate=#1 Period=#2 NULL=BLANK",,$D46,$E$4)/10^6,L46),"NA ")</f>
        <v xml:space="preserve">NA </v>
      </c>
      <c r="O46" s="35">
        <v>523</v>
      </c>
    </row>
    <row r="47" spans="3:40" ht="11.25" customHeight="1">
      <c r="C47" s="199">
        <f t="shared" si="2"/>
        <v>43373</v>
      </c>
      <c r="D47" s="197">
        <f t="shared" si="1"/>
        <v>43418</v>
      </c>
      <c r="E47" s="319" t="str" cm="1">
        <f t="array" ref="E47">IFERROR(IF(Thomson=1,_xll.TR(E$7,E$6,"Sdate=#1 Period=#2 NULL=BLANK",,$D47,$E$4)/10^6,E47),"NA ")</f>
        <v xml:space="preserve">NA </v>
      </c>
      <c r="F47" s="319" t="str" cm="1">
        <f t="array" ref="F47">IFERROR(IF(Thomson=1,_xll.TR(F$7,F$6,"Sdate=#1 Period=#2 NULL=BLANK",,$D47,$E$4)/10^6,F47),"NA ")</f>
        <v xml:space="preserve">NA </v>
      </c>
      <c r="G47" s="319" t="str" cm="1">
        <f t="array" ref="G47">IFERROR(IF(Thomson=1,_xll.TR(G$7,G$6,"Sdate=#1 Period=#2 NULL=BLANK",,$D47,$E$4)/10^6,G47),"NA ")</f>
        <v xml:space="preserve">NA </v>
      </c>
      <c r="H47" s="319" t="str" cm="1">
        <f t="array" ref="H47">IFERROR(IF(Thomson=1,_xll.TR(H$7,H$6,"Sdate=#1 Period=#2 NULL=BLANK",,$D47,$E$4)/10^6,H47),"NA ")</f>
        <v xml:space="preserve">NA </v>
      </c>
      <c r="I47" s="319" t="str" cm="1">
        <f t="array" ref="I47">IFERROR(IF(Thomson=1,_xll.TR(I$7,I$6,"Sdate=#1 Period=#2 NULL=BLANK",,$D47,$E$4)/10^6,I47),"NA ")</f>
        <v xml:space="preserve">NA </v>
      </c>
      <c r="J47" s="319" t="str" cm="1">
        <f t="array" ref="J47">IFERROR(IF(Thomson=1,_xll.TR(J$7,J$6,"Sdate=#1 Period=#2 NULL=BLANK",,$D47,$E$4)/10^6,J47),"NA ")</f>
        <v xml:space="preserve">NA </v>
      </c>
      <c r="K47" s="319" t="str" cm="1">
        <f t="array" ref="K47">IFERROR(IF(Thomson=1,_xll.TR(K$7,K$6,"Sdate=#1 Period=#2 NULL=BLANK",,$D47,$E$4)/10^6,K47),"NA ")</f>
        <v xml:space="preserve">NA </v>
      </c>
      <c r="L47" s="319" t="str" cm="1">
        <f t="array" ref="L47">IFERROR(IF(Thomson=1,_xll.TR(L$7,L$6,"Sdate=#1 Period=#2 NULL=BLANK",,$D47,$E$4)/10^6,L47),"NA ")</f>
        <v xml:space="preserve">NA </v>
      </c>
      <c r="O47" s="35">
        <v>545</v>
      </c>
    </row>
    <row r="48" spans="3:40" ht="11.25" customHeight="1">
      <c r="C48" s="200">
        <f t="shared" si="2"/>
        <v>43465</v>
      </c>
      <c r="D48" s="197">
        <f t="shared" si="1"/>
        <v>43510</v>
      </c>
      <c r="E48" s="319" t="str" cm="1">
        <f t="array" ref="E48">IFERROR(IF(Thomson=1,_xll.TR(E$7,E$6,"Sdate=#1 Period=#2 NULL=BLANK",,$D48,$E$4)/10^6,E48),"NA ")</f>
        <v xml:space="preserve">NA </v>
      </c>
      <c r="F48" s="319" t="str" cm="1">
        <f t="array" ref="F48">IFERROR(IF(Thomson=1,_xll.TR(F$7,F$6,"Sdate=#1 Period=#2 NULL=BLANK",,$D48,$E$4)/10^6,F48),"NA ")</f>
        <v xml:space="preserve">NA </v>
      </c>
      <c r="G48" s="319" t="str" cm="1">
        <f t="array" ref="G48">IFERROR(IF(Thomson=1,_xll.TR(G$7,G$6,"Sdate=#1 Period=#2 NULL=BLANK",,$D48,$E$4)/10^6,G48),"NA ")</f>
        <v xml:space="preserve">NA </v>
      </c>
      <c r="H48" s="319" t="str" cm="1">
        <f t="array" ref="H48">IFERROR(IF(Thomson=1,_xll.TR(H$7,H$6,"Sdate=#1 Period=#2 NULL=BLANK",,$D48,$E$4)/10^6,H48),"NA ")</f>
        <v xml:space="preserve">NA </v>
      </c>
      <c r="I48" s="319" t="str" cm="1">
        <f t="array" ref="I48">IFERROR(IF(Thomson=1,_xll.TR(I$7,I$6,"Sdate=#1 Period=#2 NULL=BLANK",,$D48,$E$4)/10^6,I48),"NA ")</f>
        <v xml:space="preserve">NA </v>
      </c>
      <c r="J48" s="319" t="str" cm="1">
        <f t="array" ref="J48">IFERROR(IF(Thomson=1,_xll.TR(J$7,J$6,"Sdate=#1 Period=#2 NULL=BLANK",,$D48,$E$4)/10^6,J48),"NA ")</f>
        <v xml:space="preserve">NA </v>
      </c>
      <c r="K48" s="319" t="str" cm="1">
        <f t="array" ref="K48">IFERROR(IF(Thomson=1,_xll.TR(K$7,K$6,"Sdate=#1 Period=#2 NULL=BLANK",,$D48,$E$4)/10^6,K48),"NA ")</f>
        <v xml:space="preserve">NA </v>
      </c>
      <c r="L48" s="319" t="str" cm="1">
        <f t="array" ref="L48">IFERROR(IF(Thomson=1,_xll.TR(L$7,L$6,"Sdate=#1 Period=#2 NULL=BLANK",,$D48,$E$4)/10^6,L48),"NA ")</f>
        <v xml:space="preserve">NA </v>
      </c>
      <c r="O48" s="35">
        <v>562</v>
      </c>
    </row>
    <row r="49" spans="3:15" ht="11.25" customHeight="1">
      <c r="C49" s="196">
        <f t="shared" si="2"/>
        <v>43555</v>
      </c>
      <c r="D49" s="197">
        <f t="shared" si="1"/>
        <v>43600</v>
      </c>
      <c r="E49" s="319" t="str" cm="1">
        <f t="array" ref="E49">IFERROR(IF(Thomson=1,_xll.TR(E$7,E$6,"Sdate=#1 Period=#2 NULL=BLANK",,$D49,$E$4)/10^6,E49),"NA ")</f>
        <v xml:space="preserve">NA </v>
      </c>
      <c r="F49" s="319" t="str" cm="1">
        <f t="array" ref="F49">IFERROR(IF(Thomson=1,_xll.TR(F$7,F$6,"Sdate=#1 Period=#2 NULL=BLANK",,$D49,$E$4)/10^6,F49),"NA ")</f>
        <v xml:space="preserve">NA </v>
      </c>
      <c r="G49" s="319" t="str" cm="1">
        <f t="array" ref="G49">IFERROR(IF(Thomson=1,_xll.TR(G$7,G$6,"Sdate=#1 Period=#2 NULL=BLANK",,$D49,$E$4)/10^6,G49),"NA ")</f>
        <v xml:space="preserve">NA </v>
      </c>
      <c r="H49" s="319" t="str" cm="1">
        <f t="array" ref="H49">IFERROR(IF(Thomson=1,_xll.TR(H$7,H$6,"Sdate=#1 Period=#2 NULL=BLANK",,$D49,$E$4)/10^6,H49),"NA ")</f>
        <v xml:space="preserve">NA </v>
      </c>
      <c r="I49" s="319" t="str" cm="1">
        <f t="array" ref="I49">IFERROR(IF(Thomson=1,_xll.TR(I$7,I$6,"Sdate=#1 Period=#2 NULL=BLANK",,$D49,$E$4)/10^6,I49),"NA ")</f>
        <v xml:space="preserve">NA </v>
      </c>
      <c r="J49" s="319" t="str" cm="1">
        <f t="array" ref="J49">IFERROR(IF(Thomson=1,_xll.TR(J$7,J$6,"Sdate=#1 Period=#2 NULL=BLANK",,$D49,$E$4)/10^6,J49),"NA ")</f>
        <v xml:space="preserve">NA </v>
      </c>
      <c r="K49" s="319" t="str" cm="1">
        <f t="array" ref="K49">IFERROR(IF(Thomson=1,_xll.TR(K$7,K$6,"Sdate=#1 Period=#2 NULL=BLANK",,$D49,$E$4)/10^6,K49),"NA ")</f>
        <v xml:space="preserve">NA </v>
      </c>
      <c r="L49" s="319" t="str" cm="1">
        <f t="array" ref="L49">IFERROR(IF(Thomson=1,_xll.TR(L$7,L$6,"Sdate=#1 Period=#2 NULL=BLANK",,$D49,$E$4)/10^6,L49),"NA ")</f>
        <v xml:space="preserve">NA </v>
      </c>
      <c r="O49" s="35">
        <v>574</v>
      </c>
    </row>
    <row r="50" spans="3:15" ht="11.25" customHeight="1">
      <c r="C50" s="198">
        <f t="shared" si="2"/>
        <v>43646</v>
      </c>
      <c r="D50" s="197">
        <f t="shared" si="1"/>
        <v>43691</v>
      </c>
      <c r="E50" s="319" t="str" cm="1">
        <f t="array" ref="E50">IFERROR(IF(Thomson=1,_xll.TR(E$7,E$6,"Sdate=#1 Period=#2 NULL=BLANK",,$D50,$E$4)/10^6,E50),"NA ")</f>
        <v xml:space="preserve">NA </v>
      </c>
      <c r="F50" s="319" t="str" cm="1">
        <f t="array" ref="F50">IFERROR(IF(Thomson=1,_xll.TR(F$7,F$6,"Sdate=#1 Period=#2 NULL=BLANK",,$D50,$E$4)/10^6,F50),"NA ")</f>
        <v xml:space="preserve">NA </v>
      </c>
      <c r="G50" s="319" t="str" cm="1">
        <f t="array" ref="G50">IFERROR(IF(Thomson=1,_xll.TR(G$7,G$6,"Sdate=#1 Period=#2 NULL=BLANK",,$D50,$E$4)/10^6,G50),"NA ")</f>
        <v xml:space="preserve">NA </v>
      </c>
      <c r="H50" s="319" t="str" cm="1">
        <f t="array" ref="H50">IFERROR(IF(Thomson=1,_xll.TR(H$7,H$6,"Sdate=#1 Period=#2 NULL=BLANK",,$D50,$E$4)/10^6,H50),"NA ")</f>
        <v xml:space="preserve">NA </v>
      </c>
      <c r="I50" s="319" t="str" cm="1">
        <f t="array" ref="I50">IFERROR(IF(Thomson=1,_xll.TR(I$7,I$6,"Sdate=#1 Period=#2 NULL=BLANK",,$D50,$E$4)/10^6,I50),"NA ")</f>
        <v xml:space="preserve">NA </v>
      </c>
      <c r="J50" s="319" t="str" cm="1">
        <f t="array" ref="J50">IFERROR(IF(Thomson=1,_xll.TR(J$7,J$6,"Sdate=#1 Period=#2 NULL=BLANK",,$D50,$E$4)/10^6,J50),"NA ")</f>
        <v xml:space="preserve">NA </v>
      </c>
      <c r="K50" s="319" t="str" cm="1">
        <f t="array" ref="K50">IFERROR(IF(Thomson=1,_xll.TR(K$7,K$6,"Sdate=#1 Period=#2 NULL=BLANK",,$D50,$E$4)/10^6,K50),"NA ")</f>
        <v xml:space="preserve">NA </v>
      </c>
      <c r="L50" s="319" t="str" cm="1">
        <f t="array" ref="L50">IFERROR(IF(Thomson=1,_xll.TR(L$7,L$6,"Sdate=#1 Period=#2 NULL=BLANK",,$D50,$E$4)/10^6,L50),"NA ")</f>
        <v xml:space="preserve">NA </v>
      </c>
      <c r="O50" s="35">
        <v>488</v>
      </c>
    </row>
    <row r="51" spans="3:15">
      <c r="C51" s="199">
        <f t="shared" si="2"/>
        <v>43738</v>
      </c>
      <c r="D51" s="197">
        <f t="shared" si="1"/>
        <v>43783</v>
      </c>
      <c r="E51" s="319" t="str" cm="1">
        <f t="array" ref="E51">IFERROR(IF(Thomson=1,_xll.TR(E$7,E$6,"Sdate=#1 Period=#2 NULL=BLANK",,$D51,$E$4)/10^6,E51),"NA ")</f>
        <v xml:space="preserve">NA </v>
      </c>
      <c r="F51" s="319" t="str" cm="1">
        <f t="array" ref="F51">IFERROR(IF(Thomson=1,_xll.TR(F$7,F$6,"Sdate=#1 Period=#2 NULL=BLANK",,$D51,$E$4)/10^6,F51),"NA ")</f>
        <v xml:space="preserve">NA </v>
      </c>
      <c r="G51" s="319" t="str" cm="1">
        <f t="array" ref="G51">IFERROR(IF(Thomson=1,_xll.TR(G$7,G$6,"Sdate=#1 Period=#2 NULL=BLANK",,$D51,$E$4)/10^6,G51),"NA ")</f>
        <v xml:space="preserve">NA </v>
      </c>
      <c r="H51" s="319" t="str" cm="1">
        <f t="array" ref="H51">IFERROR(IF(Thomson=1,_xll.TR(H$7,H$6,"Sdate=#1 Period=#2 NULL=BLANK",,$D51,$E$4)/10^6,H51),"NA ")</f>
        <v xml:space="preserve">NA </v>
      </c>
      <c r="I51" s="319" t="str" cm="1">
        <f t="array" ref="I51">IFERROR(IF(Thomson=1,_xll.TR(I$7,I$6,"Sdate=#1 Period=#2 NULL=BLANK",,$D51,$E$4)/10^6,I51),"NA ")</f>
        <v xml:space="preserve">NA </v>
      </c>
      <c r="J51" s="319" t="str" cm="1">
        <f t="array" ref="J51">IFERROR(IF(Thomson=1,_xll.TR(J$7,J$6,"Sdate=#1 Period=#2 NULL=BLANK",,$D51,$E$4)/10^6,J51),"NA ")</f>
        <v xml:space="preserve">NA </v>
      </c>
      <c r="K51" s="319" t="str" cm="1">
        <f t="array" ref="K51">IFERROR(IF(Thomson=1,_xll.TR(K$7,K$6,"Sdate=#1 Period=#2 NULL=BLANK",,$D51,$E$4)/10^6,K51),"NA ")</f>
        <v xml:space="preserve">NA </v>
      </c>
      <c r="L51" s="319" t="str" cm="1">
        <f t="array" ref="L51">IFERROR(IF(Thomson=1,_xll.TR(L$7,L$6,"Sdate=#1 Period=#2 NULL=BLANK",,$D51,$E$4)/10^6,L51),"NA ")</f>
        <v xml:space="preserve">NA </v>
      </c>
      <c r="O51" s="35">
        <v>475</v>
      </c>
    </row>
    <row r="52" spans="3:15">
      <c r="C52" s="200">
        <f t="shared" si="2"/>
        <v>43830</v>
      </c>
      <c r="D52" s="197">
        <f t="shared" si="1"/>
        <v>43875</v>
      </c>
      <c r="E52" s="319" t="str" cm="1">
        <f t="array" ref="E52">IFERROR(IF(Thomson=1,_xll.TR(E$7,E$6,"Sdate=#1 Period=#2 NULL=BLANK",,$D52,$E$4)/10^6,E52),"NA ")</f>
        <v xml:space="preserve">NA </v>
      </c>
      <c r="F52" s="319" t="str" cm="1">
        <f t="array" ref="F52">IFERROR(IF(Thomson=1,_xll.TR(F$7,F$6,"Sdate=#1 Period=#2 NULL=BLANK",,$D52,$E$4)/10^6,F52),"NA ")</f>
        <v xml:space="preserve">NA </v>
      </c>
      <c r="G52" s="319" t="str" cm="1">
        <f t="array" ref="G52">IFERROR(IF(Thomson=1,_xll.TR(G$7,G$6,"Sdate=#1 Period=#2 NULL=BLANK",,$D52,$E$4)/10^6,G52),"NA ")</f>
        <v xml:space="preserve">NA </v>
      </c>
      <c r="H52" s="319" t="str" cm="1">
        <f t="array" ref="H52">IFERROR(IF(Thomson=1,_xll.TR(H$7,H$6,"Sdate=#1 Period=#2 NULL=BLANK",,$D52,$E$4)/10^6,H52),"NA ")</f>
        <v xml:space="preserve">NA </v>
      </c>
      <c r="I52" s="319" t="str" cm="1">
        <f t="array" ref="I52">IFERROR(IF(Thomson=1,_xll.TR(I$7,I$6,"Sdate=#1 Period=#2 NULL=BLANK",,$D52,$E$4)/10^6,I52),"NA ")</f>
        <v xml:space="preserve">NA </v>
      </c>
      <c r="J52" s="319" t="str" cm="1">
        <f t="array" ref="J52">IFERROR(IF(Thomson=1,_xll.TR(J$7,J$6,"Sdate=#1 Period=#2 NULL=BLANK",,$D52,$E$4)/10^6,J52),"NA ")</f>
        <v xml:space="preserve">NA </v>
      </c>
      <c r="K52" s="319" t="str" cm="1">
        <f t="array" ref="K52">IFERROR(IF(Thomson=1,_xll.TR(K$7,K$6,"Sdate=#1 Period=#2 NULL=BLANK",,$D52,$E$4)/10^6,K52),"NA ")</f>
        <v xml:space="preserve">NA </v>
      </c>
      <c r="L52" s="319" t="str" cm="1">
        <f t="array" ref="L52">IFERROR(IF(Thomson=1,_xll.TR(L$7,L$6,"Sdate=#1 Period=#2 NULL=BLANK",,$D52,$E$4)/10^6,L52),"NA ")</f>
        <v xml:space="preserve">NA </v>
      </c>
      <c r="O52" s="35">
        <v>465</v>
      </c>
    </row>
    <row r="53" spans="3:15">
      <c r="C53" s="196">
        <f t="shared" si="2"/>
        <v>43921</v>
      </c>
      <c r="D53" s="197">
        <f t="shared" si="1"/>
        <v>43966</v>
      </c>
      <c r="E53" s="319" t="str" cm="1">
        <f t="array" ref="E53">IFERROR(IF(Thomson=1,_xll.TR(E$7,E$6,"Sdate=#1 Period=#2 NULL=BLANK",,$D53,$E$4)/10^6,E53),"NA ")</f>
        <v xml:space="preserve">NA </v>
      </c>
      <c r="F53" s="319" t="str" cm="1">
        <f t="array" ref="F53">IFERROR(IF(Thomson=1,_xll.TR(F$7,F$6,"Sdate=#1 Period=#2 NULL=BLANK",,$D53,$E$4)/10^6,F53),"NA ")</f>
        <v xml:space="preserve">NA </v>
      </c>
      <c r="G53" s="319" t="str" cm="1">
        <f t="array" ref="G53">IFERROR(IF(Thomson=1,_xll.TR(G$7,G$6,"Sdate=#1 Period=#2 NULL=BLANK",,$D53,$E$4)/10^6,G53),"NA ")</f>
        <v xml:space="preserve">NA </v>
      </c>
      <c r="H53" s="319" t="str" cm="1">
        <f t="array" ref="H53">IFERROR(IF(Thomson=1,_xll.TR(H$7,H$6,"Sdate=#1 Period=#2 NULL=BLANK",,$D53,$E$4)/10^6,H53),"NA ")</f>
        <v xml:space="preserve">NA </v>
      </c>
      <c r="I53" s="319" t="str" cm="1">
        <f t="array" ref="I53">IFERROR(IF(Thomson=1,_xll.TR(I$7,I$6,"Sdate=#1 Period=#2 NULL=BLANK",,$D53,$E$4)/10^6,I53),"NA ")</f>
        <v xml:space="preserve">NA </v>
      </c>
      <c r="J53" s="319" t="str" cm="1">
        <f t="array" ref="J53">IFERROR(IF(Thomson=1,_xll.TR(J$7,J$6,"Sdate=#1 Period=#2 NULL=BLANK",,$D53,$E$4)/10^6,J53),"NA ")</f>
        <v xml:space="preserve">NA </v>
      </c>
      <c r="K53" s="319" t="str" cm="1">
        <f t="array" ref="K53">IFERROR(IF(Thomson=1,_xll.TR(K$7,K$6,"Sdate=#1 Period=#2 NULL=BLANK",,$D53,$E$4)/10^6,K53),"NA ")</f>
        <v xml:space="preserve">NA </v>
      </c>
      <c r="L53" s="319" t="str" cm="1">
        <f t="array" ref="L53">IFERROR(IF(Thomson=1,_xll.TR(L$7,L$6,"Sdate=#1 Period=#2 NULL=BLANK",,$D53,$E$4)/10^6,L53),"NA ")</f>
        <v xml:space="preserve">NA </v>
      </c>
      <c r="O53" s="35">
        <v>439</v>
      </c>
    </row>
    <row r="54" spans="3:15">
      <c r="C54" s="198">
        <f t="shared" si="2"/>
        <v>44012</v>
      </c>
      <c r="D54" s="197">
        <f t="shared" si="1"/>
        <v>44057</v>
      </c>
      <c r="E54" s="319" t="str" cm="1">
        <f t="array" ref="E54">IFERROR(IF(Thomson=1,_xll.TR(E$7,E$6,"Sdate=#1 Period=#2 NULL=BLANK",,$D54,$E$4)/10^6,E54),"NA ")</f>
        <v xml:space="preserve">NA </v>
      </c>
      <c r="F54" s="319" t="str" cm="1">
        <f t="array" ref="F54">IFERROR(IF(Thomson=1,_xll.TR(F$7,F$6,"Sdate=#1 Period=#2 NULL=BLANK",,$D54,$E$4)/10^6,F54),"NA ")</f>
        <v xml:space="preserve">NA </v>
      </c>
      <c r="G54" s="319" t="str" cm="1">
        <f t="array" ref="G54">IFERROR(IF(Thomson=1,_xll.TR(G$7,G$6,"Sdate=#1 Period=#2 NULL=BLANK",,$D54,$E$4)/10^6,G54),"NA ")</f>
        <v xml:space="preserve">NA </v>
      </c>
      <c r="H54" s="319" t="str" cm="1">
        <f t="array" ref="H54">IFERROR(IF(Thomson=1,_xll.TR(H$7,H$6,"Sdate=#1 Period=#2 NULL=BLANK",,$D54,$E$4)/10^6,H54),"NA ")</f>
        <v xml:space="preserve">NA </v>
      </c>
      <c r="I54" s="319" t="str" cm="1">
        <f t="array" ref="I54">IFERROR(IF(Thomson=1,_xll.TR(I$7,I$6,"Sdate=#1 Period=#2 NULL=BLANK",,$D54,$E$4)/10^6,I54),"NA ")</f>
        <v xml:space="preserve">NA </v>
      </c>
      <c r="J54" s="319" t="str" cm="1">
        <f t="array" ref="J54">IFERROR(IF(Thomson=1,_xll.TR(J$7,J$6,"Sdate=#1 Period=#2 NULL=BLANK",,$D54,$E$4)/10^6,J54),"NA ")</f>
        <v xml:space="preserve">NA </v>
      </c>
      <c r="K54" s="319" t="str" cm="1">
        <f t="array" ref="K54">IFERROR(IF(Thomson=1,_xll.TR(K$7,K$6,"Sdate=#1 Period=#2 NULL=BLANK",,$D54,$E$4)/10^6,K54),"NA ")</f>
        <v xml:space="preserve">NA </v>
      </c>
      <c r="L54" s="319" t="str" cm="1">
        <f t="array" ref="L54">IFERROR(IF(Thomson=1,_xll.TR(L$7,L$6,"Sdate=#1 Period=#2 NULL=BLANK",,$D54,$E$4)/10^6,L54),"NA ")</f>
        <v xml:space="preserve">NA </v>
      </c>
      <c r="O54" s="35">
        <v>528</v>
      </c>
    </row>
    <row r="55" spans="3:15">
      <c r="C55" s="199">
        <f t="shared" si="2"/>
        <v>44104</v>
      </c>
      <c r="D55" s="197">
        <f t="shared" si="1"/>
        <v>44149</v>
      </c>
      <c r="E55" s="319" t="str" cm="1">
        <f t="array" ref="E55">IFERROR(IF(Thomson=1,_xll.TR(E$7,E$6,"Sdate=#1 Period=#2 NULL=BLANK",,$D55,$E$4)/10^6,E55),"NA ")</f>
        <v xml:space="preserve">NA </v>
      </c>
      <c r="F55" s="319" t="str" cm="1">
        <f t="array" ref="F55">IFERROR(IF(Thomson=1,_xll.TR(F$7,F$6,"Sdate=#1 Period=#2 NULL=BLANK",,$D55,$E$4)/10^6,F55),"NA ")</f>
        <v xml:space="preserve">NA </v>
      </c>
      <c r="G55" s="319" t="str" cm="1">
        <f t="array" ref="G55">IFERROR(IF(Thomson=1,_xll.TR(G$7,G$6,"Sdate=#1 Period=#2 NULL=BLANK",,$D55,$E$4)/10^6,G55),"NA ")</f>
        <v xml:space="preserve">NA </v>
      </c>
      <c r="H55" s="319" t="str" cm="1">
        <f t="array" ref="H55">IFERROR(IF(Thomson=1,_xll.TR(H$7,H$6,"Sdate=#1 Period=#2 NULL=BLANK",,$D55,$E$4)/10^6,H55),"NA ")</f>
        <v xml:space="preserve">NA </v>
      </c>
      <c r="I55" s="319" t="str" cm="1">
        <f t="array" ref="I55">IFERROR(IF(Thomson=1,_xll.TR(I$7,I$6,"Sdate=#1 Period=#2 NULL=BLANK",,$D55,$E$4)/10^6,I55),"NA ")</f>
        <v xml:space="preserve">NA </v>
      </c>
      <c r="J55" s="319" t="str" cm="1">
        <f t="array" ref="J55">IFERROR(IF(Thomson=1,_xll.TR(J$7,J$6,"Sdate=#1 Period=#2 NULL=BLANK",,$D55,$E$4)/10^6,J55),"NA ")</f>
        <v xml:space="preserve">NA </v>
      </c>
      <c r="K55" s="319" t="str" cm="1">
        <f t="array" ref="K55">IFERROR(IF(Thomson=1,_xll.TR(K$7,K$6,"Sdate=#1 Period=#2 NULL=BLANK",,$D55,$E$4)/10^6,K55),"NA ")</f>
        <v xml:space="preserve">NA </v>
      </c>
      <c r="L55" s="319" t="str" cm="1">
        <f t="array" ref="L55">IFERROR(IF(Thomson=1,_xll.TR(L$7,L$6,"Sdate=#1 Period=#2 NULL=BLANK",,$D55,$E$4)/10^6,L55),"NA ")</f>
        <v xml:space="preserve">NA </v>
      </c>
      <c r="O55" s="35">
        <v>545</v>
      </c>
    </row>
    <row r="56" spans="3:15">
      <c r="C56" s="200">
        <f t="shared" si="2"/>
        <v>44196</v>
      </c>
      <c r="D56" s="197">
        <f t="shared" si="1"/>
        <v>44241</v>
      </c>
      <c r="E56" s="319" t="str" cm="1">
        <f t="array" ref="E56">IFERROR(IF(Thomson=1,_xll.TR(E$7,E$6,"Sdate=#1 Period=#2 NULL=BLANK",,$D56,$E$4)/10^6,E56),"NA ")</f>
        <v xml:space="preserve">NA </v>
      </c>
      <c r="F56" s="319" t="str" cm="1">
        <f t="array" ref="F56">IFERROR(IF(Thomson=1,_xll.TR(F$7,F$6,"Sdate=#1 Period=#2 NULL=BLANK",,$D56,$E$4)/10^6,F56),"NA ")</f>
        <v xml:space="preserve">NA </v>
      </c>
      <c r="G56" s="319" t="str" cm="1">
        <f t="array" ref="G56">IFERROR(IF(Thomson=1,_xll.TR(G$7,G$6,"Sdate=#1 Period=#2 NULL=BLANK",,$D56,$E$4)/10^6,G56),"NA ")</f>
        <v xml:space="preserve">NA </v>
      </c>
      <c r="H56" s="319" t="str" cm="1">
        <f t="array" ref="H56">IFERROR(IF(Thomson=1,_xll.TR(H$7,H$6,"Sdate=#1 Period=#2 NULL=BLANK",,$D56,$E$4)/10^6,H56),"NA ")</f>
        <v xml:space="preserve">NA </v>
      </c>
      <c r="I56" s="319" t="str" cm="1">
        <f t="array" ref="I56">IFERROR(IF(Thomson=1,_xll.TR(I$7,I$6,"Sdate=#1 Period=#2 NULL=BLANK",,$D56,$E$4)/10^6,I56),"NA ")</f>
        <v xml:space="preserve">NA </v>
      </c>
      <c r="J56" s="319" t="str" cm="1">
        <f t="array" ref="J56">IFERROR(IF(Thomson=1,_xll.TR(J$7,J$6,"Sdate=#1 Period=#2 NULL=BLANK",,$D56,$E$4)/10^6,J56),"NA ")</f>
        <v xml:space="preserve">NA </v>
      </c>
      <c r="K56" s="319" t="str" cm="1">
        <f t="array" ref="K56">IFERROR(IF(Thomson=1,_xll.TR(K$7,K$6,"Sdate=#1 Period=#2 NULL=BLANK",,$D56,$E$4)/10^6,K56),"NA ")</f>
        <v xml:space="preserve">NA </v>
      </c>
      <c r="L56" s="319" t="str" cm="1">
        <f t="array" ref="L56">IFERROR(IF(Thomson=1,_xll.TR(L$7,L$6,"Sdate=#1 Period=#2 NULL=BLANK",,$D56,$E$4)/10^6,L56),"NA ")</f>
        <v xml:space="preserve">NA </v>
      </c>
      <c r="O56" s="35">
        <v>556.30191407648965</v>
      </c>
    </row>
    <row r="57" spans="3:15">
      <c r="C57" s="196">
        <f t="shared" si="2"/>
        <v>44286</v>
      </c>
      <c r="D57" s="197">
        <f t="shared" si="1"/>
        <v>44331</v>
      </c>
      <c r="E57" s="319" t="str" cm="1">
        <f t="array" ref="E57">IFERROR(IF(Thomson=1,_xll.TR(E$7,E$6,"Sdate=#1 Period=#2 NULL=BLANK",,$D57,$E$4)/10^6,E57),"NA ")</f>
        <v xml:space="preserve">NA </v>
      </c>
      <c r="F57" s="319" t="str" cm="1">
        <f t="array" ref="F57">IFERROR(IF(Thomson=1,_xll.TR(F$7,F$6,"Sdate=#1 Period=#2 NULL=BLANK",,$D57,$E$4)/10^6,F57),"NA ")</f>
        <v xml:space="preserve">NA </v>
      </c>
      <c r="G57" s="319" t="str" cm="1">
        <f t="array" ref="G57">IFERROR(IF(Thomson=1,_xll.TR(G$7,G$6,"Sdate=#1 Period=#2 NULL=BLANK",,$D57,$E$4)/10^6,G57),"NA ")</f>
        <v xml:space="preserve">NA </v>
      </c>
      <c r="H57" s="319" t="str" cm="1">
        <f t="array" ref="H57">IFERROR(IF(Thomson=1,_xll.TR(H$7,H$6,"Sdate=#1 Period=#2 NULL=BLANK",,$D57,$E$4)/10^6,H57),"NA ")</f>
        <v xml:space="preserve">NA </v>
      </c>
      <c r="I57" s="319" t="str" cm="1">
        <f t="array" ref="I57">IFERROR(IF(Thomson=1,_xll.TR(I$7,I$6,"Sdate=#1 Period=#2 NULL=BLANK",,$D57,$E$4)/10^6,I57),"NA ")</f>
        <v xml:space="preserve">NA </v>
      </c>
      <c r="J57" s="319" t="str" cm="1">
        <f t="array" ref="J57">IFERROR(IF(Thomson=1,_xll.TR(J$7,J$6,"Sdate=#1 Period=#2 NULL=BLANK",,$D57,$E$4)/10^6,J57),"NA ")</f>
        <v xml:space="preserve">NA </v>
      </c>
      <c r="K57" s="319" t="str" cm="1">
        <f t="array" ref="K57">IFERROR(IF(Thomson=1,_xll.TR(K$7,K$6,"Sdate=#1 Period=#2 NULL=BLANK",,$D57,$E$4)/10^6,K57),"NA ")</f>
        <v xml:space="preserve">NA </v>
      </c>
      <c r="L57" s="319" t="str" cm="1">
        <f t="array" ref="L57">IFERROR(IF(Thomson=1,_xll.TR(L$7,L$6,"Sdate=#1 Period=#2 NULL=BLANK",,$D57,$E$4)/10^6,L57),"NA ")</f>
        <v xml:space="preserve">NA </v>
      </c>
      <c r="O57" s="35">
        <v>569.10504733959829</v>
      </c>
    </row>
    <row r="58" spans="3:15">
      <c r="C58" s="198">
        <f t="shared" si="2"/>
        <v>44377</v>
      </c>
      <c r="D58" s="197">
        <f t="shared" si="1"/>
        <v>44422</v>
      </c>
      <c r="E58" s="319" t="str" cm="1">
        <f t="array" ref="E58">IFERROR(IF(Thomson=1,_xll.TR(E$7,E$6,"Sdate=#1 Period=#2 NULL=BLANK",,$D58,$E$4)/10^6,E58),"NA ")</f>
        <v xml:space="preserve">NA </v>
      </c>
      <c r="F58" s="319" t="str" cm="1">
        <f t="array" ref="F58">IFERROR(IF(Thomson=1,_xll.TR(F$7,F$6,"Sdate=#1 Period=#2 NULL=BLANK",,$D58,$E$4)/10^6,F58),"NA ")</f>
        <v xml:space="preserve">NA </v>
      </c>
      <c r="G58" s="319" t="str" cm="1">
        <f t="array" ref="G58">IFERROR(IF(Thomson=1,_xll.TR(G$7,G$6,"Sdate=#1 Period=#2 NULL=BLANK",,$D58,$E$4)/10^6,G58),"NA ")</f>
        <v xml:space="preserve">NA </v>
      </c>
      <c r="H58" s="319" t="str" cm="1">
        <f t="array" ref="H58">IFERROR(IF(Thomson=1,_xll.TR(H$7,H$6,"Sdate=#1 Period=#2 NULL=BLANK",,$D58,$E$4)/10^6,H58),"NA ")</f>
        <v xml:space="preserve">NA </v>
      </c>
      <c r="I58" s="319" t="str" cm="1">
        <f t="array" ref="I58">IFERROR(IF(Thomson=1,_xll.TR(I$7,I$6,"Sdate=#1 Period=#2 NULL=BLANK",,$D58,$E$4)/10^6,I58),"NA ")</f>
        <v xml:space="preserve">NA </v>
      </c>
      <c r="J58" s="319" t="str" cm="1">
        <f t="array" ref="J58">IFERROR(IF(Thomson=1,_xll.TR(J$7,J$6,"Sdate=#1 Period=#2 NULL=BLANK",,$D58,$E$4)/10^6,J58),"NA ")</f>
        <v xml:space="preserve">NA </v>
      </c>
      <c r="K58" s="319" t="str" cm="1">
        <f t="array" ref="K58">IFERROR(IF(Thomson=1,_xll.TR(K$7,K$6,"Sdate=#1 Period=#2 NULL=BLANK",,$D58,$E$4)/10^6,K58),"NA ")</f>
        <v xml:space="preserve">NA </v>
      </c>
      <c r="L58" s="319" t="str" cm="1">
        <f t="array" ref="L58">IFERROR(IF(Thomson=1,_xll.TR(L$7,L$6,"Sdate=#1 Period=#2 NULL=BLANK",,$D58,$E$4)/10^6,L58),"NA ")</f>
        <v xml:space="preserve">NA </v>
      </c>
      <c r="O58" s="35">
        <v>597.24963446423294</v>
      </c>
    </row>
    <row r="59" spans="3:15">
      <c r="C59" s="199">
        <f t="shared" si="2"/>
        <v>44469</v>
      </c>
      <c r="D59" s="197">
        <f t="shared" si="1"/>
        <v>44514</v>
      </c>
      <c r="E59" s="319" t="str" cm="1">
        <f t="array" ref="E59">IFERROR(IF(Thomson=1,_xll.TR(E$7,E$6,"Sdate=#1 Period=#2 NULL=BLANK",,$D59,$E$4)/10^6,E59),"NA ")</f>
        <v xml:space="preserve">NA </v>
      </c>
      <c r="F59" s="319" t="str" cm="1">
        <f t="array" ref="F59">IFERROR(IF(Thomson=1,_xll.TR(F$7,F$6,"Sdate=#1 Period=#2 NULL=BLANK",,$D59,$E$4)/10^6,F59),"NA ")</f>
        <v xml:space="preserve">NA </v>
      </c>
      <c r="G59" s="319" t="str" cm="1">
        <f t="array" ref="G59">IFERROR(IF(Thomson=1,_xll.TR(G$7,G$6,"Sdate=#1 Period=#2 NULL=BLANK",,$D59,$E$4)/10^6,G59),"NA ")</f>
        <v xml:space="preserve">NA </v>
      </c>
      <c r="H59" s="319" t="str" cm="1">
        <f t="array" ref="H59">IFERROR(IF(Thomson=1,_xll.TR(H$7,H$6,"Sdate=#1 Period=#2 NULL=BLANK",,$D59,$E$4)/10^6,H59),"NA ")</f>
        <v xml:space="preserve">NA </v>
      </c>
      <c r="I59" s="319" t="str" cm="1">
        <f t="array" ref="I59">IFERROR(IF(Thomson=1,_xll.TR(I$7,I$6,"Sdate=#1 Period=#2 NULL=BLANK",,$D59,$E$4)/10^6,I59),"NA ")</f>
        <v xml:space="preserve">NA </v>
      </c>
      <c r="J59" s="319" t="str" cm="1">
        <f t="array" ref="J59">IFERROR(IF(Thomson=1,_xll.TR(J$7,J$6,"Sdate=#1 Period=#2 NULL=BLANK",,$D59,$E$4)/10^6,J59),"NA ")</f>
        <v xml:space="preserve">NA </v>
      </c>
      <c r="K59" s="319" t="str" cm="1">
        <f t="array" ref="K59">IFERROR(IF(Thomson=1,_xll.TR(K$7,K$6,"Sdate=#1 Period=#2 NULL=BLANK",,$D59,$E$4)/10^6,K59),"NA ")</f>
        <v xml:space="preserve">NA </v>
      </c>
      <c r="L59" s="319" t="str" cm="1">
        <f t="array" ref="L59">IFERROR(IF(Thomson=1,_xll.TR(L$7,L$6,"Sdate=#1 Period=#2 NULL=BLANK",,$D59,$E$4)/10^6,L59),"NA ")</f>
        <v xml:space="preserve">NA </v>
      </c>
      <c r="O59" s="35">
        <v>628.2710690727738</v>
      </c>
    </row>
    <row r="60" spans="3:15">
      <c r="C60" s="200">
        <f t="shared" si="2"/>
        <v>44561</v>
      </c>
      <c r="D60" s="197">
        <f ca="1">TODAY()</f>
        <v>45863</v>
      </c>
      <c r="E60" s="319" t="str" cm="1">
        <f t="array" ref="E60">IFERROR(IF(Thomson=1,_xll.TR(E$7,E$6,"Sdate=#1 Period=#2 NULL=BLANK",,$D60,$E$4)/10^6,E60),"NA ")</f>
        <v xml:space="preserve">NA </v>
      </c>
      <c r="F60" s="319" t="str" cm="1">
        <f t="array" ref="F60">IFERROR(IF(Thomson=1,_xll.TR(F$7,F$6,"Sdate=#1 Period=#2 NULL=BLANK",,$D60,$E$4)/10^6,F60),"NA ")</f>
        <v xml:space="preserve">NA </v>
      </c>
      <c r="G60" s="319" t="str" cm="1">
        <f t="array" ref="G60">IFERROR(IF(Thomson=1,_xll.TR(G$7,G$6,"Sdate=#1 Period=#2 NULL=BLANK",,$D60,$E$4)/10^6,G60),"NA ")</f>
        <v xml:space="preserve">NA </v>
      </c>
      <c r="H60" s="319" t="str" cm="1">
        <f t="array" ref="H60">IFERROR(IF(Thomson=1,_xll.TR(H$7,H$6,"Sdate=#1 Period=#2 NULL=BLANK",,$D60,$E$4)/10^6,H60),"NA ")</f>
        <v xml:space="preserve">NA </v>
      </c>
      <c r="I60" s="319" t="str" cm="1">
        <f t="array" ref="I60">IFERROR(IF(Thomson=1,_xll.TR(I$7,I$6,"Sdate=#1 Period=#2 NULL=BLANK",,$D60,$E$4)/10^6,I60),"NA ")</f>
        <v xml:space="preserve">NA </v>
      </c>
      <c r="J60" s="319" t="str" cm="1">
        <f t="array" ref="J60">IFERROR(IF(Thomson=1,_xll.TR(J$7,J$6,"Sdate=#1 Period=#2 NULL=BLANK",,$D60,$E$4)/10^6,J60),"NA ")</f>
        <v xml:space="preserve">NA </v>
      </c>
      <c r="K60" s="319" t="str" cm="1">
        <f t="array" ref="K60">IFERROR(IF(Thomson=1,_xll.TR(K$7,K$6,"Sdate=#1 Period=#2 NULL=BLANK",,$D60,$E$4)/10^6,K60),"NA ")</f>
        <v xml:space="preserve">NA </v>
      </c>
      <c r="L60" s="319" t="str" cm="1">
        <f t="array" ref="L60">IFERROR(IF(Thomson=1,_xll.TR(L$7,L$6,"Sdate=#1 Period=#2 NULL=BLANK",,$D60,$E$4)/10^6,L60),"NA ")</f>
        <v xml:space="preserve">NA </v>
      </c>
      <c r="O60" s="35">
        <v>653.5816120477383</v>
      </c>
    </row>
    <row r="61" spans="3:15">
      <c r="C61" s="198"/>
    </row>
  </sheetData>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9D5B7-AACB-4BA5-8C08-45F872E72F38}">
  <sheetPr codeName="Sheet12"/>
  <dimension ref="A1:T61"/>
  <sheetViews>
    <sheetView showGridLines="0" zoomScaleNormal="100" workbookViewId="0">
      <pane xSplit="4" ySplit="11" topLeftCell="E12" activePane="bottomRight" state="frozen"/>
      <selection pane="topRight"/>
      <selection pane="bottomLeft"/>
      <selection pane="bottomRight"/>
    </sheetView>
  </sheetViews>
  <sheetFormatPr defaultColWidth="15.81640625" defaultRowHeight="10.5" outlineLevelRow="1" outlineLevelCol="1"/>
  <cols>
    <col min="1" max="2" width="1.81640625" style="184" customWidth="1"/>
    <col min="3" max="3" width="12.1796875" style="184" bestFit="1" customWidth="1"/>
    <col min="4" max="4" width="12.81640625" style="184" hidden="1" customWidth="1" outlineLevel="1"/>
    <col min="5" max="5" width="15.81640625" style="187" customWidth="1" collapsed="1"/>
    <col min="6" max="12" width="15.81640625" style="187" customWidth="1"/>
    <col min="13" max="13" width="1.81640625" style="187" customWidth="1"/>
  </cols>
  <sheetData>
    <row r="1" spans="1:13" ht="11.25" customHeight="1">
      <c r="A1" s="183" t="s">
        <v>914</v>
      </c>
      <c r="E1" s="184"/>
      <c r="F1" s="184"/>
      <c r="G1" s="184"/>
      <c r="H1" s="184"/>
      <c r="I1" s="184"/>
      <c r="J1" s="184"/>
      <c r="K1" s="184"/>
      <c r="L1" s="184"/>
      <c r="M1" s="184"/>
    </row>
    <row r="2" spans="1:13" ht="11.25" customHeight="1">
      <c r="A2" s="185" t="s">
        <v>915</v>
      </c>
      <c r="E2" s="184"/>
      <c r="F2" s="184"/>
      <c r="G2" s="184"/>
      <c r="H2" s="184"/>
      <c r="I2" s="184"/>
      <c r="J2" s="184"/>
      <c r="K2" s="184"/>
      <c r="L2" s="184"/>
      <c r="M2" s="184"/>
    </row>
    <row r="3" spans="1:13" ht="11.25" customHeight="1">
      <c r="E3" s="186" t="s">
        <v>500</v>
      </c>
      <c r="F3" s="184"/>
      <c r="H3" s="184"/>
      <c r="I3" s="184"/>
      <c r="J3" s="184"/>
      <c r="K3" s="184"/>
      <c r="L3" s="184"/>
      <c r="M3" s="184"/>
    </row>
    <row r="4" spans="1:13" ht="11.25" customHeight="1">
      <c r="E4" s="186" t="s">
        <v>637</v>
      </c>
      <c r="F4" s="184"/>
      <c r="H4" s="184"/>
      <c r="I4" s="184"/>
      <c r="J4" s="184"/>
      <c r="K4" s="184"/>
      <c r="L4" s="184"/>
      <c r="M4" s="184"/>
    </row>
    <row r="5" spans="1:13" ht="11.25" customHeight="1">
      <c r="E5" s="184"/>
      <c r="F5" s="184"/>
      <c r="G5" s="184"/>
      <c r="H5" s="184"/>
      <c r="I5" s="184"/>
      <c r="J5" s="184"/>
      <c r="K5" s="184"/>
      <c r="L5" s="184"/>
      <c r="M5" s="184"/>
    </row>
    <row r="6" spans="1:13" s="189" customFormat="1" outlineLevel="1">
      <c r="A6" s="185"/>
      <c r="B6" s="185"/>
      <c r="C6" s="185"/>
      <c r="D6" s="188" t="s">
        <v>684</v>
      </c>
      <c r="E6" s="185" t="s">
        <v>933</v>
      </c>
      <c r="F6" s="185" t="str">
        <f>+$E$6</f>
        <v>TR.EVtoEBITDAMean</v>
      </c>
      <c r="G6" s="185" t="str">
        <f t="shared" ref="G6:L6" si="0">+$E$6</f>
        <v>TR.EVtoEBITDAMean</v>
      </c>
      <c r="H6" s="185" t="str">
        <f t="shared" si="0"/>
        <v>TR.EVtoEBITDAMean</v>
      </c>
      <c r="I6" s="185" t="str">
        <f t="shared" si="0"/>
        <v>TR.EVtoEBITDAMean</v>
      </c>
      <c r="J6" s="185" t="str">
        <f t="shared" si="0"/>
        <v>TR.EVtoEBITDAMean</v>
      </c>
      <c r="K6" s="185" t="str">
        <f t="shared" si="0"/>
        <v>TR.EVtoEBITDAMean</v>
      </c>
      <c r="L6" s="185" t="str">
        <f t="shared" si="0"/>
        <v>TR.EVtoEBITDAMean</v>
      </c>
      <c r="M6" s="185"/>
    </row>
    <row r="7" spans="1:13" s="189" customFormat="1" outlineLevel="1">
      <c r="A7" s="185"/>
      <c r="B7" s="185"/>
      <c r="C7" s="185"/>
      <c r="D7" s="188" t="s">
        <v>916</v>
      </c>
      <c r="E7" s="185" t="s">
        <v>501</v>
      </c>
      <c r="F7" s="185" t="s">
        <v>654</v>
      </c>
      <c r="G7" s="185" t="s">
        <v>657</v>
      </c>
      <c r="H7" s="185" t="s">
        <v>660</v>
      </c>
      <c r="I7" s="185" t="s">
        <v>663</v>
      </c>
      <c r="J7" s="185" t="s">
        <v>666</v>
      </c>
      <c r="K7" s="185" t="s">
        <v>934</v>
      </c>
      <c r="L7" s="185" t="s">
        <v>669</v>
      </c>
      <c r="M7" s="185"/>
    </row>
    <row r="8" spans="1:13" ht="11.25" customHeight="1">
      <c r="E8" s="183"/>
      <c r="F8" s="183"/>
      <c r="G8" s="183"/>
      <c r="H8" s="183"/>
      <c r="I8" s="183"/>
      <c r="J8" s="183"/>
      <c r="K8" s="183"/>
      <c r="L8" s="183"/>
      <c r="M8" s="183"/>
    </row>
    <row r="9" spans="1:13" s="36" customFormat="1" ht="11.25" customHeight="1">
      <c r="A9" s="183"/>
      <c r="B9" s="183"/>
      <c r="C9" s="183"/>
      <c r="D9" s="183"/>
      <c r="E9" s="190" t="s">
        <v>925</v>
      </c>
      <c r="F9" s="190"/>
      <c r="G9" s="190"/>
      <c r="H9" s="190"/>
      <c r="I9" s="190"/>
      <c r="J9" s="190"/>
      <c r="K9" s="190"/>
      <c r="L9" s="190"/>
      <c r="M9" s="183"/>
    </row>
    <row r="10" spans="1:13" ht="5.25" customHeight="1">
      <c r="E10" s="1050"/>
      <c r="F10" s="1051"/>
      <c r="G10" s="184"/>
      <c r="H10" s="184"/>
      <c r="I10" s="184"/>
      <c r="J10" s="184"/>
      <c r="K10" s="184"/>
      <c r="L10" s="184"/>
      <c r="M10" s="183"/>
    </row>
    <row r="11" spans="1:13">
      <c r="A11" s="191"/>
      <c r="B11" s="191"/>
      <c r="C11" s="192" t="s">
        <v>926</v>
      </c>
      <c r="D11" s="192" t="s">
        <v>927</v>
      </c>
      <c r="E11" s="192" t="e" cm="1">
        <f t="array" ref="E11">IF(Thomson=1,_xll.TR(E7,"TR.CommonName"),E11)</f>
        <v>#NAME?</v>
      </c>
      <c r="F11" s="192" t="e" cm="1">
        <f t="array" ref="F11">IF(Thomson=1,_xll.TR(F7,"TR.CommonName"),F11)</f>
        <v>#NAME?</v>
      </c>
      <c r="G11" s="192" t="e" cm="1">
        <f t="array" ref="G11">IF(Thomson=1,_xll.TR(G7,"TR.CommonName"),G11)</f>
        <v>#NAME?</v>
      </c>
      <c r="H11" s="192" t="e" cm="1">
        <f t="array" ref="H11">IF(Thomson=1,_xll.TR(H7,"TR.CommonName"),H11)</f>
        <v>#NAME?</v>
      </c>
      <c r="I11" s="192" t="e" cm="1">
        <f t="array" ref="I11">IF(Thomson=1,_xll.TR(I7,"TR.CommonName"),I11)</f>
        <v>#NAME?</v>
      </c>
      <c r="J11" s="192" t="e" cm="1">
        <f t="array" ref="J11">IF(Thomson=1,_xll.TR(J7,"TR.CommonName"),J11)</f>
        <v>#NAME?</v>
      </c>
      <c r="K11" s="192" t="e" cm="1">
        <f t="array" ref="K11">IF(Thomson=1,_xll.TR(K7,"TR.CommonName"),K11)</f>
        <v>#NAME?</v>
      </c>
      <c r="L11" s="192" t="e" cm="1">
        <f t="array" ref="L11">IF(Thomson=1,_xll.TR(L7,"TR.CommonName"),L11)</f>
        <v>#NAME?</v>
      </c>
      <c r="M11" s="183"/>
    </row>
    <row r="12" spans="1:13" ht="5.25" customHeight="1">
      <c r="A12"/>
      <c r="B12"/>
      <c r="C12"/>
      <c r="D12"/>
      <c r="E12"/>
      <c r="F12"/>
      <c r="G12"/>
      <c r="H12"/>
      <c r="I12"/>
      <c r="J12"/>
      <c r="K12"/>
      <c r="L12"/>
      <c r="M12"/>
    </row>
    <row r="13" spans="1:13" ht="11.25" customHeight="1" outlineLevel="1">
      <c r="A13"/>
      <c r="B13"/>
      <c r="C13" t="s">
        <v>929</v>
      </c>
      <c r="D13"/>
      <c r="E13" s="193">
        <v>1</v>
      </c>
      <c r="F13" s="193">
        <v>1</v>
      </c>
      <c r="G13" s="193">
        <v>1</v>
      </c>
      <c r="H13" s="193">
        <v>1</v>
      </c>
      <c r="I13" s="193">
        <v>1</v>
      </c>
      <c r="J13" s="193">
        <v>1</v>
      </c>
      <c r="K13" s="193">
        <v>1</v>
      </c>
      <c r="L13" s="193">
        <v>1</v>
      </c>
      <c r="M13"/>
    </row>
    <row r="14" spans="1:13" ht="11.25" customHeight="1" outlineLevel="1">
      <c r="A14"/>
      <c r="B14"/>
      <c r="C14" t="s">
        <v>930</v>
      </c>
      <c r="D14"/>
      <c r="E14" s="193">
        <v>30</v>
      </c>
      <c r="F14" s="193">
        <v>30</v>
      </c>
      <c r="G14" s="193">
        <v>30</v>
      </c>
      <c r="H14" s="193">
        <v>30</v>
      </c>
      <c r="I14" s="193">
        <v>30</v>
      </c>
      <c r="J14" s="193">
        <v>30</v>
      </c>
      <c r="K14" s="193">
        <v>30</v>
      </c>
      <c r="L14" s="193">
        <v>30</v>
      </c>
      <c r="M14"/>
    </row>
    <row r="15" spans="1:13" ht="11.25" customHeight="1">
      <c r="A15"/>
      <c r="B15"/>
      <c r="C15"/>
      <c r="D15"/>
      <c r="E15"/>
      <c r="F15"/>
      <c r="G15"/>
      <c r="H15"/>
      <c r="I15"/>
      <c r="J15"/>
      <c r="K15"/>
      <c r="L15"/>
      <c r="M15"/>
    </row>
    <row r="16" spans="1:13" s="36" customFormat="1" ht="11.25" customHeight="1">
      <c r="C16" s="194" t="s">
        <v>681</v>
      </c>
      <c r="E16" s="195" t="e">
        <f t="shared" ref="E16:L16" si="1">+AVERAGEIFS(E20:E97,E20:E97,"&lt;"&amp;E$14,E20:E97,"&gt;"&amp;E$13)</f>
        <v>#DIV/0!</v>
      </c>
      <c r="F16" s="195" t="e">
        <f t="shared" si="1"/>
        <v>#DIV/0!</v>
      </c>
      <c r="G16" s="195" t="e">
        <f t="shared" si="1"/>
        <v>#DIV/0!</v>
      </c>
      <c r="H16" s="195" t="e">
        <f t="shared" si="1"/>
        <v>#DIV/0!</v>
      </c>
      <c r="I16" s="195" t="e">
        <f t="shared" si="1"/>
        <v>#DIV/0!</v>
      </c>
      <c r="J16" s="195" t="e">
        <f t="shared" si="1"/>
        <v>#DIV/0!</v>
      </c>
      <c r="K16" s="195" t="e">
        <f t="shared" si="1"/>
        <v>#DIV/0!</v>
      </c>
      <c r="L16" s="195" t="e">
        <f t="shared" si="1"/>
        <v>#DIV/0!</v>
      </c>
    </row>
    <row r="17" spans="1:20" s="36" customFormat="1" ht="11.25" customHeight="1">
      <c r="C17" s="194" t="s">
        <v>931</v>
      </c>
      <c r="E17" s="195" t="e" cm="1">
        <f t="array" ref="E17">+E16-_xlfn.STDEV.P(IF(E20:E94&lt;E$14,IF(E20:E94&gt;E$13,E20:E94)))</f>
        <v>#DIV/0!</v>
      </c>
      <c r="F17" s="195" t="e" cm="1">
        <f t="array" ref="F17">+F16-_xlfn.STDEV.P(IF(F20:F94&lt;F$14,IF(F20:F94&gt;F$13,F20:F94)))</f>
        <v>#DIV/0!</v>
      </c>
      <c r="G17" s="195" t="e" cm="1">
        <f t="array" ref="G17">+G16-_xlfn.STDEV.P(IF(G20:G94&lt;G$14,IF(G20:G94&gt;G$13,G20:G94)))</f>
        <v>#DIV/0!</v>
      </c>
      <c r="H17" s="195" t="e" cm="1">
        <f t="array" ref="H17">+H16-_xlfn.STDEV.P(IF(H20:H94&lt;H$14,IF(H20:H94&gt;H$13,H20:H94)))</f>
        <v>#DIV/0!</v>
      </c>
      <c r="I17" s="195" t="e" cm="1">
        <f t="array" ref="I17">+I16-_xlfn.STDEV.P(IF(I20:I94&lt;I$14,IF(I20:I94&gt;I$13,I20:I94)))</f>
        <v>#DIV/0!</v>
      </c>
      <c r="J17" s="195" t="e" cm="1">
        <f t="array" ref="J17">+J16-_xlfn.STDEV.P(IF(J20:J94&lt;J$14,IF(J20:J94&gt;J$13,J20:J94)))</f>
        <v>#DIV/0!</v>
      </c>
      <c r="K17" s="195" t="e" cm="1">
        <f t="array" ref="K17">+K16-_xlfn.STDEV.P(IF(K20:K94&lt;K$14,IF(K20:K94&gt;K$13,K20:K94)))</f>
        <v>#DIV/0!</v>
      </c>
      <c r="L17" s="195" t="e" cm="1">
        <f t="array" ref="L17">+L16-_xlfn.STDEV.P(IF(L20:L94&lt;L$14,IF(L20:L94&gt;L$13,L20:L94)))</f>
        <v>#DIV/0!</v>
      </c>
    </row>
    <row r="18" spans="1:20" s="36" customFormat="1" ht="11.25" customHeight="1">
      <c r="C18" s="194" t="s">
        <v>932</v>
      </c>
      <c r="E18" s="195" t="e" cm="1">
        <f t="array" ref="E18">+E16+_xlfn.STDEV.P(IF(E20:E94&lt;E$14,IF(E20:E94&gt;E$13,E20:E94)))</f>
        <v>#DIV/0!</v>
      </c>
      <c r="F18" s="195" t="e" cm="1">
        <f t="array" ref="F18">+F16+_xlfn.STDEV.P(IF(F20:F94&lt;F$14,IF(F20:F94&gt;F$13,F20:F94)))</f>
        <v>#DIV/0!</v>
      </c>
      <c r="G18" s="195" t="e" cm="1">
        <f t="array" ref="G18">+G16+_xlfn.STDEV.P(IF(G20:G94&lt;G$14,IF(G20:G94&gt;G$13,G20:G94)))</f>
        <v>#DIV/0!</v>
      </c>
      <c r="H18" s="195" t="e" cm="1">
        <f t="array" ref="H18">+H16+_xlfn.STDEV.P(IF(H20:H94&lt;H$14,IF(H20:H94&gt;H$13,H20:H94)))</f>
        <v>#DIV/0!</v>
      </c>
      <c r="I18" s="195" t="e" cm="1">
        <f t="array" ref="I18">+I16+_xlfn.STDEV.P(IF(I20:I94&lt;I$14,IF(I20:I94&gt;I$13,I20:I94)))</f>
        <v>#DIV/0!</v>
      </c>
      <c r="J18" s="195" t="e" cm="1">
        <f t="array" ref="J18">+J16+_xlfn.STDEV.P(IF(J20:J94&lt;J$14,IF(J20:J94&gt;J$13,J20:J94)))</f>
        <v>#DIV/0!</v>
      </c>
      <c r="K18" s="195" t="e" cm="1">
        <f t="array" ref="K18">+K16+_xlfn.STDEV.P(IF(K20:K94&lt;K$14,IF(K20:K94&gt;K$13,K20:K94)))</f>
        <v>#DIV/0!</v>
      </c>
      <c r="L18" s="195" t="e" cm="1">
        <f t="array" ref="L18">+L16+_xlfn.STDEV.P(IF(L20:L94&lt;L$14,IF(L20:L94&gt;L$13,L20:L94)))</f>
        <v>#DIV/0!</v>
      </c>
    </row>
    <row r="19" spans="1:20" ht="5.25" customHeight="1">
      <c r="A19"/>
      <c r="B19"/>
      <c r="C19"/>
      <c r="D19"/>
      <c r="E19"/>
      <c r="F19"/>
      <c r="G19"/>
      <c r="H19"/>
      <c r="I19"/>
      <c r="J19"/>
      <c r="K19"/>
      <c r="L19"/>
      <c r="M19"/>
      <c r="R19" t="s">
        <v>586</v>
      </c>
      <c r="S19" t="s">
        <v>935</v>
      </c>
      <c r="T19" t="s">
        <v>587</v>
      </c>
    </row>
    <row r="20" spans="1:20" ht="11.25" customHeight="1">
      <c r="C20" s="200">
        <v>40908</v>
      </c>
      <c r="D20" s="197">
        <f>+C20+45</f>
        <v>40953</v>
      </c>
      <c r="E20" s="187" t="e" cm="1">
        <f t="array" ref="E20">IF(Thomson=1,_xll.TR(E$7,E$6,"Sdate=#1 Period=#2 NULL=BLANK",,$D20,"NTM"),E20)</f>
        <v>#NAME?</v>
      </c>
      <c r="F20" s="187" t="e" cm="1">
        <f t="array" ref="F20">IF(Thomson=1,_xll.TR(F$7,F$6,"Sdate=#1 Period=#2 NULL=BLANK",,$D20,$E$4),F20)</f>
        <v>#NAME?</v>
      </c>
      <c r="G20" s="187" t="e" cm="1">
        <f t="array" ref="G20">IF(Thomson=1,_xll.TR(G$7,G$6,"Sdate=#1 Period=#2 NULL=BLANK",,$D20,$E$4),G20)</f>
        <v>#NAME?</v>
      </c>
      <c r="H20" s="187" t="e" cm="1">
        <f t="array" ref="H20">IF(Thomson=1,_xll.TR(H$7,H$6,"Sdate=#1 Period=#2 NULL=BLANK",,$D20,$E$4),H20)</f>
        <v>#NAME?</v>
      </c>
      <c r="I20" s="187" t="e" cm="1">
        <f t="array" ref="I20">IF(Thomson=1,_xll.TR(I$7,I$6,"Sdate=#1 Period=#2 NULL=BLANK",,$D20,$E$4),I20)</f>
        <v>#NAME?</v>
      </c>
      <c r="J20" s="187" t="e" cm="1">
        <f t="array" ref="J20">IF(Thomson=1,_xll.TR(J$7,J$6,"Sdate=#1 Period=#2 NULL=BLANK",,$D20,$E$4),J20)</f>
        <v>#NAME?</v>
      </c>
      <c r="K20" s="187" t="e" cm="1">
        <f t="array" ref="K20">IF(Thomson=1,_xll.TR(K$7,K$6,"Sdate=#1 Period=#2 NULL=BLANK",,$D20,$E$4),K20)</f>
        <v>#NAME?</v>
      </c>
      <c r="L20" s="187" t="e" cm="1">
        <f t="array" ref="L20">IF(Thomson=1,_xll.TR(L$7,L$6,"Sdate=#1 Period=#2 NULL=BLANK",,$D20,$E$4),L20)</f>
        <v>#NAME?</v>
      </c>
      <c r="Q20" s="200">
        <f t="shared" ref="Q20:Q60" si="2">C20</f>
        <v>40908</v>
      </c>
      <c r="R20" s="187" t="e">
        <f t="shared" ref="R20:R60" si="3">E20</f>
        <v>#NAME?</v>
      </c>
      <c r="S20" s="187" t="e">
        <f t="shared" ref="S20:S60" si="4">F20</f>
        <v>#NAME?</v>
      </c>
      <c r="T20" s="187" t="e">
        <f t="shared" ref="T20:T60" si="5">G20</f>
        <v>#NAME?</v>
      </c>
    </row>
    <row r="21" spans="1:20" ht="11.25" customHeight="1">
      <c r="C21" s="196">
        <f>+EOMONTH(C20,3)</f>
        <v>40999</v>
      </c>
      <c r="D21" s="197">
        <f t="shared" ref="D21:D59" si="6">+C21+45</f>
        <v>41044</v>
      </c>
      <c r="E21" s="187" t="e" cm="1">
        <f t="array" ref="E21">IF(Thomson=1,_xll.TR(E$7,E$6,"Sdate=#1 Period=#2 NULL=BLANK",,$D21,"NTM"),E21)</f>
        <v>#NAME?</v>
      </c>
      <c r="F21" s="187" t="e" cm="1">
        <f t="array" ref="F21">IF(Thomson=1,_xll.TR(F$7,F$6,"Sdate=#1 Period=#2 NULL=BLANK",,$D21,"NTM"),F21)</f>
        <v>#NAME?</v>
      </c>
      <c r="G21" s="187" t="e" cm="1">
        <f t="array" ref="G21">IF(Thomson=1,_xll.TR(G$7,G$6,"Sdate=#1 Period=#2 NULL=BLANK",,$D21,"NTM"),G21)</f>
        <v>#NAME?</v>
      </c>
      <c r="H21" s="187" t="e" cm="1">
        <f t="array" ref="H21">IF(Thomson=1,_xll.TR(H$7,H$6,"Sdate=#1 Period=#2 NULL=BLANK",,$D21,"NTM"),H21)</f>
        <v>#NAME?</v>
      </c>
      <c r="I21" s="187" t="e" cm="1">
        <f t="array" ref="I21">IF(Thomson=1,_xll.TR(I$7,I$6,"Sdate=#1 Period=#2 NULL=BLANK",,$D21,"NTM"),I21)</f>
        <v>#NAME?</v>
      </c>
      <c r="J21" s="187" t="e" cm="1">
        <f t="array" ref="J21">IF(Thomson=1,_xll.TR(J$7,J$6,"Sdate=#1 Period=#2 NULL=BLANK",,$D21,"NTM"),J21)</f>
        <v>#NAME?</v>
      </c>
      <c r="K21" s="187" t="e" cm="1">
        <f t="array" ref="K21">IF(Thomson=1,_xll.TR(K$7,K$6,"Sdate=#1 Period=#2 NULL=BLANK",,$D21,"NTM"),K21)</f>
        <v>#NAME?</v>
      </c>
      <c r="L21" s="187" t="e" cm="1">
        <f t="array" ref="L21">IF(Thomson=1,_xll.TR(L$7,L$6,"Sdate=#1 Period=#2 NULL=BLANK",,$D21,"NTM"),L21)</f>
        <v>#NAME?</v>
      </c>
      <c r="Q21" s="196">
        <f t="shared" si="2"/>
        <v>40999</v>
      </c>
      <c r="R21" s="187" t="e">
        <f t="shared" si="3"/>
        <v>#NAME?</v>
      </c>
      <c r="S21" s="187" t="e">
        <f t="shared" si="4"/>
        <v>#NAME?</v>
      </c>
      <c r="T21" s="187" t="e">
        <f t="shared" si="5"/>
        <v>#NAME?</v>
      </c>
    </row>
    <row r="22" spans="1:20" ht="11.25" customHeight="1">
      <c r="C22" s="198">
        <f t="shared" ref="C22:C60" si="7">+EOMONTH(C21,3)</f>
        <v>41090</v>
      </c>
      <c r="D22" s="197">
        <f t="shared" si="6"/>
        <v>41135</v>
      </c>
      <c r="E22" s="187" t="e" cm="1">
        <f t="array" ref="E22">IF(Thomson=1,_xll.TR(E$7,E$6,"Sdate=#1 Period=#2 NULL=BLANK",,$D22,"NTM"),E22)</f>
        <v>#NAME?</v>
      </c>
      <c r="F22" s="187" t="e" cm="1">
        <f t="array" ref="F22">IF(Thomson=1,_xll.TR(F$7,F$6,"Sdate=#1 Period=#2 NULL=BLANK",,$D22,"NTM"),F22)</f>
        <v>#NAME?</v>
      </c>
      <c r="G22" s="187" t="e" cm="1">
        <f t="array" ref="G22">IF(Thomson=1,_xll.TR(G$7,G$6,"Sdate=#1 Period=#2 NULL=BLANK",,$D22,"NTM"),G22)</f>
        <v>#NAME?</v>
      </c>
      <c r="H22" s="187" t="e" cm="1">
        <f t="array" ref="H22">IF(Thomson=1,_xll.TR(H$7,H$6,"Sdate=#1 Period=#2 NULL=BLANK",,$D22,"NTM"),H22)</f>
        <v>#NAME?</v>
      </c>
      <c r="I22" s="187" t="e" cm="1">
        <f t="array" ref="I22">IF(Thomson=1,_xll.TR(I$7,I$6,"Sdate=#1 Period=#2 NULL=BLANK",,$D22,"NTM"),I22)</f>
        <v>#NAME?</v>
      </c>
      <c r="J22" s="187" t="e" cm="1">
        <f t="array" ref="J22">IF(Thomson=1,_xll.TR(J$7,J$6,"Sdate=#1 Period=#2 NULL=BLANK",,$D22,"NTM"),J22)</f>
        <v>#NAME?</v>
      </c>
      <c r="K22" s="187" t="e" cm="1">
        <f t="array" ref="K22">IF(Thomson=1,_xll.TR(K$7,K$6,"Sdate=#1 Period=#2 NULL=BLANK",,$D22,"NTM"),K22)</f>
        <v>#NAME?</v>
      </c>
      <c r="L22" s="187" t="e" cm="1">
        <f t="array" ref="L22">IF(Thomson=1,_xll.TR(L$7,L$6,"Sdate=#1 Period=#2 NULL=BLANK",,$D22,"NTM"),L22)</f>
        <v>#NAME?</v>
      </c>
      <c r="Q22" s="198">
        <f t="shared" si="2"/>
        <v>41090</v>
      </c>
      <c r="R22" s="187" t="e">
        <f t="shared" si="3"/>
        <v>#NAME?</v>
      </c>
      <c r="S22" s="187" t="e">
        <f t="shared" si="4"/>
        <v>#NAME?</v>
      </c>
      <c r="T22" s="187" t="e">
        <f t="shared" si="5"/>
        <v>#NAME?</v>
      </c>
    </row>
    <row r="23" spans="1:20" ht="11.25" customHeight="1">
      <c r="C23" s="199">
        <f t="shared" si="7"/>
        <v>41182</v>
      </c>
      <c r="D23" s="197">
        <f t="shared" si="6"/>
        <v>41227</v>
      </c>
      <c r="E23" s="187" t="e" cm="1">
        <f t="array" ref="E23">IF(Thomson=1,_xll.TR(E$7,E$6,"Sdate=#1 Period=#2 NULL=BLANK",,$D23,"NTM"),E23)</f>
        <v>#NAME?</v>
      </c>
      <c r="F23" s="187" t="e" cm="1">
        <f t="array" ref="F23">IF(Thomson=1,_xll.TR(F$7,F$6,"Sdate=#1 Period=#2 NULL=BLANK",,$D23,"NTM"),F23)</f>
        <v>#NAME?</v>
      </c>
      <c r="G23" s="187" t="e" cm="1">
        <f t="array" ref="G23">IF(Thomson=1,_xll.TR(G$7,G$6,"Sdate=#1 Period=#2 NULL=BLANK",,$D23,"NTM"),G23)</f>
        <v>#NAME?</v>
      </c>
      <c r="H23" s="187" t="e" cm="1">
        <f t="array" ref="H23">IF(Thomson=1,_xll.TR(H$7,H$6,"Sdate=#1 Period=#2 NULL=BLANK",,$D23,"NTM"),H23)</f>
        <v>#NAME?</v>
      </c>
      <c r="I23" s="187" t="e" cm="1">
        <f t="array" ref="I23">IF(Thomson=1,_xll.TR(I$7,I$6,"Sdate=#1 Period=#2 NULL=BLANK",,$D23,"NTM"),I23)</f>
        <v>#NAME?</v>
      </c>
      <c r="J23" s="187" t="e" cm="1">
        <f t="array" ref="J23">IF(Thomson=1,_xll.TR(J$7,J$6,"Sdate=#1 Period=#2 NULL=BLANK",,$D23,"NTM"),J23)</f>
        <v>#NAME?</v>
      </c>
      <c r="K23" s="187" t="e" cm="1">
        <f t="array" ref="K23">IF(Thomson=1,_xll.TR(K$7,K$6,"Sdate=#1 Period=#2 NULL=BLANK",,$D23,"NTM"),K23)</f>
        <v>#NAME?</v>
      </c>
      <c r="L23" s="187" t="e" cm="1">
        <f t="array" ref="L23">IF(Thomson=1,_xll.TR(L$7,L$6,"Sdate=#1 Period=#2 NULL=BLANK",,$D23,"NTM"),L23)</f>
        <v>#NAME?</v>
      </c>
      <c r="Q23" s="199">
        <f t="shared" si="2"/>
        <v>41182</v>
      </c>
      <c r="R23" s="187" t="e">
        <f t="shared" si="3"/>
        <v>#NAME?</v>
      </c>
      <c r="S23" s="187" t="e">
        <f t="shared" si="4"/>
        <v>#NAME?</v>
      </c>
      <c r="T23" s="187" t="e">
        <f t="shared" si="5"/>
        <v>#NAME?</v>
      </c>
    </row>
    <row r="24" spans="1:20" ht="11.25" customHeight="1">
      <c r="C24" s="200">
        <f t="shared" si="7"/>
        <v>41274</v>
      </c>
      <c r="D24" s="197">
        <f t="shared" si="6"/>
        <v>41319</v>
      </c>
      <c r="E24" s="187" t="e" cm="1">
        <f t="array" ref="E24">IF(Thomson=1,_xll.TR(E$7,E$6,"Sdate=#1 Period=#2 NULL=BLANK",,$D24,"NTM"),E24)</f>
        <v>#NAME?</v>
      </c>
      <c r="F24" s="187" t="e" cm="1">
        <f t="array" ref="F24">IF(Thomson=1,_xll.TR(F$7,F$6,"Sdate=#1 Period=#2 NULL=BLANK",,$D24,"NTM"),F24)</f>
        <v>#NAME?</v>
      </c>
      <c r="G24" s="187" t="e" cm="1">
        <f t="array" ref="G24">IF(Thomson=1,_xll.TR(G$7,G$6,"Sdate=#1 Period=#2 NULL=BLANK",,$D24,"NTM"),G24)</f>
        <v>#NAME?</v>
      </c>
      <c r="H24" s="187" t="e" cm="1">
        <f t="array" ref="H24">IF(Thomson=1,_xll.TR(H$7,H$6,"Sdate=#1 Period=#2 NULL=BLANK",,$D24,"NTM"),H24)</f>
        <v>#NAME?</v>
      </c>
      <c r="I24" s="187" t="e" cm="1">
        <f t="array" ref="I24">IF(Thomson=1,_xll.TR(I$7,I$6,"Sdate=#1 Period=#2 NULL=BLANK",,$D24,"NTM"),I24)</f>
        <v>#NAME?</v>
      </c>
      <c r="J24" s="187" t="e" cm="1">
        <f t="array" ref="J24">IF(Thomson=1,_xll.TR(J$7,J$6,"Sdate=#1 Period=#2 NULL=BLANK",,$D24,"NTM"),J24)</f>
        <v>#NAME?</v>
      </c>
      <c r="K24" s="187" t="e" cm="1">
        <f t="array" ref="K24">IF(Thomson=1,_xll.TR(K$7,K$6,"Sdate=#1 Period=#2 NULL=BLANK",,$D24,"NTM"),K24)</f>
        <v>#NAME?</v>
      </c>
      <c r="L24" s="187" t="e" cm="1">
        <f t="array" ref="L24">IF(Thomson=1,_xll.TR(L$7,L$6,"Sdate=#1 Period=#2 NULL=BLANK",,$D24,"NTM"),L24)</f>
        <v>#NAME?</v>
      </c>
      <c r="Q24" s="200">
        <f t="shared" si="2"/>
        <v>41274</v>
      </c>
      <c r="R24" s="187" t="e">
        <f t="shared" si="3"/>
        <v>#NAME?</v>
      </c>
      <c r="S24" s="187" t="e">
        <f t="shared" si="4"/>
        <v>#NAME?</v>
      </c>
      <c r="T24" s="187" t="e">
        <f t="shared" si="5"/>
        <v>#NAME?</v>
      </c>
    </row>
    <row r="25" spans="1:20" ht="11.25" customHeight="1">
      <c r="C25" s="196">
        <f t="shared" si="7"/>
        <v>41364</v>
      </c>
      <c r="D25" s="197">
        <f t="shared" si="6"/>
        <v>41409</v>
      </c>
      <c r="E25" s="187" t="e" cm="1">
        <f t="array" ref="E25">IF(Thomson=1,_xll.TR(E$7,E$6,"Sdate=#1 Period=#2 NULL=BLANK",,$D25,"NTM"),E25)</f>
        <v>#NAME?</v>
      </c>
      <c r="F25" s="187" t="e" cm="1">
        <f t="array" ref="F25">IF(Thomson=1,_xll.TR(F$7,F$6,"Sdate=#1 Period=#2 NULL=BLANK",,$D25,"NTM"),F25)</f>
        <v>#NAME?</v>
      </c>
      <c r="G25" s="187" t="e" cm="1">
        <f t="array" ref="G25">IF(Thomson=1,_xll.TR(G$7,G$6,"Sdate=#1 Period=#2 NULL=BLANK",,$D25,"NTM"),G25)</f>
        <v>#NAME?</v>
      </c>
      <c r="H25" s="187" t="e" cm="1">
        <f t="array" ref="H25">IF(Thomson=1,_xll.TR(H$7,H$6,"Sdate=#1 Period=#2 NULL=BLANK",,$D25,"NTM"),H25)</f>
        <v>#NAME?</v>
      </c>
      <c r="I25" s="187" t="e" cm="1">
        <f t="array" ref="I25">IF(Thomson=1,_xll.TR(I$7,I$6,"Sdate=#1 Period=#2 NULL=BLANK",,$D25,"NTM"),I25)</f>
        <v>#NAME?</v>
      </c>
      <c r="J25" s="187" t="e" cm="1">
        <f t="array" ref="J25">IF(Thomson=1,_xll.TR(J$7,J$6,"Sdate=#1 Period=#2 NULL=BLANK",,$D25,"NTM"),J25)</f>
        <v>#NAME?</v>
      </c>
      <c r="K25" s="187" t="e" cm="1">
        <f t="array" ref="K25">IF(Thomson=1,_xll.TR(K$7,K$6,"Sdate=#1 Period=#2 NULL=BLANK",,$D25,"NTM"),K25)</f>
        <v>#NAME?</v>
      </c>
      <c r="L25" s="187" t="e" cm="1">
        <f t="array" ref="L25">IF(Thomson=1,_xll.TR(L$7,L$6,"Sdate=#1 Period=#2 NULL=BLANK",,$D25,"NTM"),L25)</f>
        <v>#NAME?</v>
      </c>
      <c r="Q25" s="196">
        <f t="shared" si="2"/>
        <v>41364</v>
      </c>
      <c r="R25" s="187" t="e">
        <f t="shared" si="3"/>
        <v>#NAME?</v>
      </c>
      <c r="S25" s="187" t="e">
        <f t="shared" si="4"/>
        <v>#NAME?</v>
      </c>
      <c r="T25" s="187" t="e">
        <f t="shared" si="5"/>
        <v>#NAME?</v>
      </c>
    </row>
    <row r="26" spans="1:20" ht="11.25" customHeight="1">
      <c r="C26" s="198">
        <f t="shared" si="7"/>
        <v>41455</v>
      </c>
      <c r="D26" s="197">
        <f t="shared" si="6"/>
        <v>41500</v>
      </c>
      <c r="E26" s="187" t="e" cm="1">
        <f t="array" ref="E26">IF(Thomson=1,_xll.TR(E$7,E$6,"Sdate=#1 Period=#2 NULL=BLANK",,$D26,"NTM"),E26)</f>
        <v>#NAME?</v>
      </c>
      <c r="F26" s="187" t="e" cm="1">
        <f t="array" ref="F26">IF(Thomson=1,_xll.TR(F$7,F$6,"Sdate=#1 Period=#2 NULL=BLANK",,$D26,"NTM"),F26)</f>
        <v>#NAME?</v>
      </c>
      <c r="G26" s="187" t="e" cm="1">
        <f t="array" ref="G26">IF(Thomson=1,_xll.TR(G$7,G$6,"Sdate=#1 Period=#2 NULL=BLANK",,$D26,"NTM"),G26)</f>
        <v>#NAME?</v>
      </c>
      <c r="H26" s="187" t="e" cm="1">
        <f t="array" ref="H26">IF(Thomson=1,_xll.TR(H$7,H$6,"Sdate=#1 Period=#2 NULL=BLANK",,$D26,"NTM"),H26)</f>
        <v>#NAME?</v>
      </c>
      <c r="I26" s="187" t="e" cm="1">
        <f t="array" ref="I26">IF(Thomson=1,_xll.TR(I$7,I$6,"Sdate=#1 Period=#2 NULL=BLANK",,$D26,"NTM"),I26)</f>
        <v>#NAME?</v>
      </c>
      <c r="J26" s="187" t="e" cm="1">
        <f t="array" ref="J26">IF(Thomson=1,_xll.TR(J$7,J$6,"Sdate=#1 Period=#2 NULL=BLANK",,$D26,"NTM"),J26)</f>
        <v>#NAME?</v>
      </c>
      <c r="K26" s="187" t="e" cm="1">
        <f t="array" ref="K26">IF(Thomson=1,_xll.TR(K$7,K$6,"Sdate=#1 Period=#2 NULL=BLANK",,$D26,"NTM"),K26)</f>
        <v>#NAME?</v>
      </c>
      <c r="L26" s="187" t="e" cm="1">
        <f t="array" ref="L26">IF(Thomson=1,_xll.TR(L$7,L$6,"Sdate=#1 Period=#2 NULL=BLANK",,$D26,"NTM"),L26)</f>
        <v>#NAME?</v>
      </c>
      <c r="Q26" s="198">
        <f t="shared" si="2"/>
        <v>41455</v>
      </c>
      <c r="R26" s="187" t="e">
        <f t="shared" si="3"/>
        <v>#NAME?</v>
      </c>
      <c r="S26" s="187" t="e">
        <f t="shared" si="4"/>
        <v>#NAME?</v>
      </c>
      <c r="T26" s="187" t="e">
        <f t="shared" si="5"/>
        <v>#NAME?</v>
      </c>
    </row>
    <row r="27" spans="1:20" ht="11.25" customHeight="1">
      <c r="C27" s="199">
        <f t="shared" si="7"/>
        <v>41547</v>
      </c>
      <c r="D27" s="197">
        <f t="shared" si="6"/>
        <v>41592</v>
      </c>
      <c r="E27" s="187" t="e" cm="1">
        <f t="array" ref="E27">IF(Thomson=1,_xll.TR(E$7,E$6,"Sdate=#1 Period=#2 NULL=BLANK",,$D27,"NTM"),E27)</f>
        <v>#NAME?</v>
      </c>
      <c r="F27" s="187" t="e" cm="1">
        <f t="array" ref="F27">IF(Thomson=1,_xll.TR(F$7,F$6,"Sdate=#1 Period=#2 NULL=BLANK",,$D27,"NTM"),F27)</f>
        <v>#NAME?</v>
      </c>
      <c r="G27" s="187" t="e" cm="1">
        <f t="array" ref="G27">IF(Thomson=1,_xll.TR(G$7,G$6,"Sdate=#1 Period=#2 NULL=BLANK",,$D27,"NTM"),G27)</f>
        <v>#NAME?</v>
      </c>
      <c r="H27" s="187" t="e" cm="1">
        <f t="array" ref="H27">IF(Thomson=1,_xll.TR(H$7,H$6,"Sdate=#1 Period=#2 NULL=BLANK",,$D27,"NTM"),H27)</f>
        <v>#NAME?</v>
      </c>
      <c r="I27" s="187" t="e" cm="1">
        <f t="array" ref="I27">IF(Thomson=1,_xll.TR(I$7,I$6,"Sdate=#1 Period=#2 NULL=BLANK",,$D27,"NTM"),I27)</f>
        <v>#NAME?</v>
      </c>
      <c r="J27" s="187" t="e" cm="1">
        <f t="array" ref="J27">IF(Thomson=1,_xll.TR(J$7,J$6,"Sdate=#1 Period=#2 NULL=BLANK",,$D27,"NTM"),J27)</f>
        <v>#NAME?</v>
      </c>
      <c r="K27" s="187" t="e" cm="1">
        <f t="array" ref="K27">IF(Thomson=1,_xll.TR(K$7,K$6,"Sdate=#1 Period=#2 NULL=BLANK",,$D27,"NTM"),K27)</f>
        <v>#NAME?</v>
      </c>
      <c r="L27" s="187" t="e" cm="1">
        <f t="array" ref="L27">IF(Thomson=1,_xll.TR(L$7,L$6,"Sdate=#1 Period=#2 NULL=BLANK",,$D27,"NTM"),L27)</f>
        <v>#NAME?</v>
      </c>
      <c r="Q27" s="199">
        <f t="shared" si="2"/>
        <v>41547</v>
      </c>
      <c r="R27" s="187" t="e">
        <f t="shared" si="3"/>
        <v>#NAME?</v>
      </c>
      <c r="S27" s="187" t="e">
        <f t="shared" si="4"/>
        <v>#NAME?</v>
      </c>
      <c r="T27" s="187" t="e">
        <f t="shared" si="5"/>
        <v>#NAME?</v>
      </c>
    </row>
    <row r="28" spans="1:20" ht="11.25" customHeight="1">
      <c r="C28" s="200">
        <f t="shared" si="7"/>
        <v>41639</v>
      </c>
      <c r="D28" s="197">
        <f t="shared" si="6"/>
        <v>41684</v>
      </c>
      <c r="E28" s="187" t="e" cm="1">
        <f t="array" ref="E28">IF(Thomson=1,_xll.TR(E$7,E$6,"Sdate=#1 Period=#2 NULL=BLANK",,$D28,"NTM"),E28)</f>
        <v>#NAME?</v>
      </c>
      <c r="F28" s="187" t="e" cm="1">
        <f t="array" ref="F28">IF(Thomson=1,_xll.TR(F$7,F$6,"Sdate=#1 Period=#2 NULL=BLANK",,$D28,"NTM"),F28)</f>
        <v>#NAME?</v>
      </c>
      <c r="G28" s="187" t="e" cm="1">
        <f t="array" ref="G28">IF(Thomson=1,_xll.TR(G$7,G$6,"Sdate=#1 Period=#2 NULL=BLANK",,$D28,"NTM"),G28)</f>
        <v>#NAME?</v>
      </c>
      <c r="H28" s="187" t="e" cm="1">
        <f t="array" ref="H28">IF(Thomson=1,_xll.TR(H$7,H$6,"Sdate=#1 Period=#2 NULL=BLANK",,$D28,"NTM"),H28)</f>
        <v>#NAME?</v>
      </c>
      <c r="I28" s="187" t="e" cm="1">
        <f t="array" ref="I28">IF(Thomson=1,_xll.TR(I$7,I$6,"Sdate=#1 Period=#2 NULL=BLANK",,$D28,"NTM"),I28)</f>
        <v>#NAME?</v>
      </c>
      <c r="J28" s="187" t="e" cm="1">
        <f t="array" ref="J28">IF(Thomson=1,_xll.TR(J$7,J$6,"Sdate=#1 Period=#2 NULL=BLANK",,$D28,"NTM"),J28)</f>
        <v>#NAME?</v>
      </c>
      <c r="K28" s="187" t="e" cm="1">
        <f t="array" ref="K28">IF(Thomson=1,_xll.TR(K$7,K$6,"Sdate=#1 Period=#2 NULL=BLANK",,$D28,"NTM"),K28)</f>
        <v>#NAME?</v>
      </c>
      <c r="L28" s="187" t="e" cm="1">
        <f t="array" ref="L28">IF(Thomson=1,_xll.TR(L$7,L$6,"Sdate=#1 Period=#2 NULL=BLANK",,$D28,"NTM"),L28)</f>
        <v>#NAME?</v>
      </c>
      <c r="Q28" s="200">
        <f t="shared" si="2"/>
        <v>41639</v>
      </c>
      <c r="R28" s="187" t="e">
        <f t="shared" si="3"/>
        <v>#NAME?</v>
      </c>
      <c r="S28" s="187" t="e">
        <f t="shared" si="4"/>
        <v>#NAME?</v>
      </c>
      <c r="T28" s="187" t="e">
        <f t="shared" si="5"/>
        <v>#NAME?</v>
      </c>
    </row>
    <row r="29" spans="1:20" ht="11.25" customHeight="1">
      <c r="C29" s="196">
        <f t="shared" si="7"/>
        <v>41729</v>
      </c>
      <c r="D29" s="197">
        <f t="shared" si="6"/>
        <v>41774</v>
      </c>
      <c r="E29" s="187" t="e" cm="1">
        <f t="array" ref="E29">IF(Thomson=1,_xll.TR(E$7,E$6,"Sdate=#1 Period=#2 NULL=BLANK",,$D29,"NTM"),E29)</f>
        <v>#NAME?</v>
      </c>
      <c r="F29" s="187" t="e" cm="1">
        <f t="array" ref="F29">IF(Thomson=1,_xll.TR(F$7,F$6,"Sdate=#1 Period=#2 NULL=BLANK",,$D29,"NTM"),F29)</f>
        <v>#NAME?</v>
      </c>
      <c r="G29" s="187" t="e" cm="1">
        <f t="array" ref="G29">IF(Thomson=1,_xll.TR(G$7,G$6,"Sdate=#1 Period=#2 NULL=BLANK",,$D29,"NTM"),G29)</f>
        <v>#NAME?</v>
      </c>
      <c r="H29" s="187" t="e" cm="1">
        <f t="array" ref="H29">IF(Thomson=1,_xll.TR(H$7,H$6,"Sdate=#1 Period=#2 NULL=BLANK",,$D29,"NTM"),H29)</f>
        <v>#NAME?</v>
      </c>
      <c r="I29" s="187" t="e" cm="1">
        <f t="array" ref="I29">IF(Thomson=1,_xll.TR(I$7,I$6,"Sdate=#1 Period=#2 NULL=BLANK",,$D29,"NTM"),I29)</f>
        <v>#NAME?</v>
      </c>
      <c r="J29" s="187" t="e" cm="1">
        <f t="array" ref="J29">IF(Thomson=1,_xll.TR(J$7,J$6,"Sdate=#1 Period=#2 NULL=BLANK",,$D29,"NTM"),J29)</f>
        <v>#NAME?</v>
      </c>
      <c r="K29" s="187" t="e" cm="1">
        <f t="array" ref="K29">IF(Thomson=1,_xll.TR(K$7,K$6,"Sdate=#1 Period=#2 NULL=BLANK",,$D29,"NTM"),K29)</f>
        <v>#NAME?</v>
      </c>
      <c r="L29" s="187" t="e" cm="1">
        <f t="array" ref="L29">IF(Thomson=1,_xll.TR(L$7,L$6,"Sdate=#1 Period=#2 NULL=BLANK",,$D29,"NTM"),L29)</f>
        <v>#NAME?</v>
      </c>
      <c r="Q29" s="196">
        <f t="shared" si="2"/>
        <v>41729</v>
      </c>
      <c r="R29" s="187" t="e">
        <f t="shared" si="3"/>
        <v>#NAME?</v>
      </c>
      <c r="S29" s="187" t="e">
        <f t="shared" si="4"/>
        <v>#NAME?</v>
      </c>
      <c r="T29" s="187" t="e">
        <f t="shared" si="5"/>
        <v>#NAME?</v>
      </c>
    </row>
    <row r="30" spans="1:20" ht="11.25" customHeight="1">
      <c r="C30" s="198">
        <f t="shared" si="7"/>
        <v>41820</v>
      </c>
      <c r="D30" s="197">
        <f t="shared" si="6"/>
        <v>41865</v>
      </c>
      <c r="E30" s="187" t="e" cm="1">
        <f t="array" ref="E30">IF(Thomson=1,_xll.TR(E$7,E$6,"Sdate=#1 Period=#2 NULL=BLANK",,$D30,"NTM"),E30)</f>
        <v>#NAME?</v>
      </c>
      <c r="F30" s="187" t="e" cm="1">
        <f t="array" ref="F30">IF(Thomson=1,_xll.TR(F$7,F$6,"Sdate=#1 Period=#2 NULL=BLANK",,$D30,"NTM"),F30)</f>
        <v>#NAME?</v>
      </c>
      <c r="G30" s="187" t="e" cm="1">
        <f t="array" ref="G30">IF(Thomson=1,_xll.TR(G$7,G$6,"Sdate=#1 Period=#2 NULL=BLANK",,$D30,"NTM"),G30)</f>
        <v>#NAME?</v>
      </c>
      <c r="H30" s="187" t="e" cm="1">
        <f t="array" ref="H30">IF(Thomson=1,_xll.TR(H$7,H$6,"Sdate=#1 Period=#2 NULL=BLANK",,$D30,"NTM"),H30)</f>
        <v>#NAME?</v>
      </c>
      <c r="I30" s="187" t="e" cm="1">
        <f t="array" ref="I30">IF(Thomson=1,_xll.TR(I$7,I$6,"Sdate=#1 Period=#2 NULL=BLANK",,$D30,"NTM"),I30)</f>
        <v>#NAME?</v>
      </c>
      <c r="J30" s="187" t="e" cm="1">
        <f t="array" ref="J30">IF(Thomson=1,_xll.TR(J$7,J$6,"Sdate=#1 Period=#2 NULL=BLANK",,$D30,"NTM"),J30)</f>
        <v>#NAME?</v>
      </c>
      <c r="K30" s="187" t="e" cm="1">
        <f t="array" ref="K30">IF(Thomson=1,_xll.TR(K$7,K$6,"Sdate=#1 Period=#2 NULL=BLANK",,$D30,"NTM"),K30)</f>
        <v>#NAME?</v>
      </c>
      <c r="L30" s="187" t="e" cm="1">
        <f t="array" ref="L30">IF(Thomson=1,_xll.TR(L$7,L$6,"Sdate=#1 Period=#2 NULL=BLANK",,$D30,"NTM"),L30)</f>
        <v>#NAME?</v>
      </c>
      <c r="Q30" s="198">
        <f t="shared" si="2"/>
        <v>41820</v>
      </c>
      <c r="R30" s="187" t="e">
        <f t="shared" si="3"/>
        <v>#NAME?</v>
      </c>
      <c r="S30" s="187" t="e">
        <f t="shared" si="4"/>
        <v>#NAME?</v>
      </c>
      <c r="T30" s="187" t="e">
        <f t="shared" si="5"/>
        <v>#NAME?</v>
      </c>
    </row>
    <row r="31" spans="1:20" ht="11.25" customHeight="1">
      <c r="C31" s="199">
        <f t="shared" si="7"/>
        <v>41912</v>
      </c>
      <c r="D31" s="197">
        <f t="shared" si="6"/>
        <v>41957</v>
      </c>
      <c r="E31" s="187" t="e" cm="1">
        <f t="array" ref="E31">IF(Thomson=1,_xll.TR(E$7,E$6,"Sdate=#1 Period=#2 NULL=BLANK",,$D31,"NTM"),E31)</f>
        <v>#NAME?</v>
      </c>
      <c r="F31" s="187" t="e" cm="1">
        <f t="array" ref="F31">IF(Thomson=1,_xll.TR(F$7,F$6,"Sdate=#1 Period=#2 NULL=BLANK",,$D31,"NTM"),F31)</f>
        <v>#NAME?</v>
      </c>
      <c r="G31" s="187" t="e" cm="1">
        <f t="array" ref="G31">IF(Thomson=1,_xll.TR(G$7,G$6,"Sdate=#1 Period=#2 NULL=BLANK",,$D31,"NTM"),G31)</f>
        <v>#NAME?</v>
      </c>
      <c r="H31" s="187" t="e" cm="1">
        <f t="array" ref="H31">IF(Thomson=1,_xll.TR(H$7,H$6,"Sdate=#1 Period=#2 NULL=BLANK",,$D31,"NTM"),H31)</f>
        <v>#NAME?</v>
      </c>
      <c r="I31" s="187" t="e" cm="1">
        <f t="array" ref="I31">IF(Thomson=1,_xll.TR(I$7,I$6,"Sdate=#1 Period=#2 NULL=BLANK",,$D31,"NTM"),I31)</f>
        <v>#NAME?</v>
      </c>
      <c r="J31" s="187" t="e" cm="1">
        <f t="array" ref="J31">IF(Thomson=1,_xll.TR(J$7,J$6,"Sdate=#1 Period=#2 NULL=BLANK",,$D31,"NTM"),J31)</f>
        <v>#NAME?</v>
      </c>
      <c r="K31" s="187" t="e" cm="1">
        <f t="array" ref="K31">IF(Thomson=1,_xll.TR(K$7,K$6,"Sdate=#1 Period=#2 NULL=BLANK",,$D31,"NTM"),K31)</f>
        <v>#NAME?</v>
      </c>
      <c r="L31" s="187" t="e" cm="1">
        <f t="array" ref="L31">IF(Thomson=1,_xll.TR(L$7,L$6,"Sdate=#1 Period=#2 NULL=BLANK",,$D31,"NTM"),L31)</f>
        <v>#NAME?</v>
      </c>
      <c r="Q31" s="199">
        <f t="shared" si="2"/>
        <v>41912</v>
      </c>
      <c r="R31" s="187" t="e">
        <f t="shared" si="3"/>
        <v>#NAME?</v>
      </c>
      <c r="S31" s="187" t="e">
        <f t="shared" si="4"/>
        <v>#NAME?</v>
      </c>
      <c r="T31" s="187" t="e">
        <f t="shared" si="5"/>
        <v>#NAME?</v>
      </c>
    </row>
    <row r="32" spans="1:20" ht="11.25" customHeight="1">
      <c r="C32" s="200">
        <f t="shared" si="7"/>
        <v>42004</v>
      </c>
      <c r="D32" s="197">
        <f t="shared" si="6"/>
        <v>42049</v>
      </c>
      <c r="E32" s="187" t="e" cm="1">
        <f t="array" ref="E32">IF(Thomson=1,_xll.TR(E$7,E$6,"Sdate=#1 Period=#2 NULL=BLANK",,$D32,"NTM"),E32)</f>
        <v>#NAME?</v>
      </c>
      <c r="F32" s="187" t="e" cm="1">
        <f t="array" ref="F32">IF(Thomson=1,_xll.TR(F$7,F$6,"Sdate=#1 Period=#2 NULL=BLANK",,$D32,"NTM"),F32)</f>
        <v>#NAME?</v>
      </c>
      <c r="G32" s="187" t="e" cm="1">
        <f t="array" ref="G32">IF(Thomson=1,_xll.TR(G$7,G$6,"Sdate=#1 Period=#2 NULL=BLANK",,$D32,"NTM"),G32)</f>
        <v>#NAME?</v>
      </c>
      <c r="H32" s="187" t="e" cm="1">
        <f t="array" ref="H32">IF(Thomson=1,_xll.TR(H$7,H$6,"Sdate=#1 Period=#2 NULL=BLANK",,$D32,"NTM"),H32)</f>
        <v>#NAME?</v>
      </c>
      <c r="I32" s="187" t="e" cm="1">
        <f t="array" ref="I32">IF(Thomson=1,_xll.TR(I$7,I$6,"Sdate=#1 Period=#2 NULL=BLANK",,$D32,"NTM"),I32)</f>
        <v>#NAME?</v>
      </c>
      <c r="J32" s="187" t="e" cm="1">
        <f t="array" ref="J32">IF(Thomson=1,_xll.TR(J$7,J$6,"Sdate=#1 Period=#2 NULL=BLANK",,$D32,"NTM"),J32)</f>
        <v>#NAME?</v>
      </c>
      <c r="K32" s="187" t="e" cm="1">
        <f t="array" ref="K32">IF(Thomson=1,_xll.TR(K$7,K$6,"Sdate=#1 Period=#2 NULL=BLANK",,$D32,"NTM"),K32)</f>
        <v>#NAME?</v>
      </c>
      <c r="L32" s="187" t="e" cm="1">
        <f t="array" ref="L32">IF(Thomson=1,_xll.TR(L$7,L$6,"Sdate=#1 Period=#2 NULL=BLANK",,$D32,"NTM"),L32)</f>
        <v>#NAME?</v>
      </c>
      <c r="Q32" s="200">
        <f t="shared" si="2"/>
        <v>42004</v>
      </c>
      <c r="R32" s="187" t="e">
        <f t="shared" si="3"/>
        <v>#NAME?</v>
      </c>
      <c r="S32" s="187" t="e">
        <f t="shared" si="4"/>
        <v>#NAME?</v>
      </c>
      <c r="T32" s="187" t="e">
        <f t="shared" si="5"/>
        <v>#NAME?</v>
      </c>
    </row>
    <row r="33" spans="3:20" ht="11.25" customHeight="1">
      <c r="C33" s="196">
        <f t="shared" si="7"/>
        <v>42094</v>
      </c>
      <c r="D33" s="197">
        <f t="shared" si="6"/>
        <v>42139</v>
      </c>
      <c r="E33" s="187" t="e" cm="1">
        <f t="array" ref="E33">IF(Thomson=1,_xll.TR(E$7,E$6,"Sdate=#1 Period=#2 NULL=BLANK",,$D33,"NTM"),E33)</f>
        <v>#NAME?</v>
      </c>
      <c r="F33" s="187" t="e" cm="1">
        <f t="array" ref="F33">IF(Thomson=1,_xll.TR(F$7,F$6,"Sdate=#1 Period=#2 NULL=BLANK",,$D33,"NTM"),F33)</f>
        <v>#NAME?</v>
      </c>
      <c r="G33" s="187" t="e" cm="1">
        <f t="array" ref="G33">IF(Thomson=1,_xll.TR(G$7,G$6,"Sdate=#1 Period=#2 NULL=BLANK",,$D33,"NTM"),G33)</f>
        <v>#NAME?</v>
      </c>
      <c r="H33" s="187" t="e" cm="1">
        <f t="array" ref="H33">IF(Thomson=1,_xll.TR(H$7,H$6,"Sdate=#1 Period=#2 NULL=BLANK",,$D33,"NTM"),H33)</f>
        <v>#NAME?</v>
      </c>
      <c r="I33" s="187" t="e" cm="1">
        <f t="array" ref="I33">IF(Thomson=1,_xll.TR(I$7,I$6,"Sdate=#1 Period=#2 NULL=BLANK",,$D33,"NTM"),I33)</f>
        <v>#NAME?</v>
      </c>
      <c r="J33" s="187" t="e" cm="1">
        <f t="array" ref="J33">IF(Thomson=1,_xll.TR(J$7,J$6,"Sdate=#1 Period=#2 NULL=BLANK",,$D33,"NTM"),J33)</f>
        <v>#NAME?</v>
      </c>
      <c r="K33" s="187" t="e" cm="1">
        <f t="array" ref="K33">IF(Thomson=1,_xll.TR(K$7,K$6,"Sdate=#1 Period=#2 NULL=BLANK",,$D33,"NTM"),K33)</f>
        <v>#NAME?</v>
      </c>
      <c r="L33" s="187" t="e" cm="1">
        <f t="array" ref="L33">IF(Thomson=1,_xll.TR(L$7,L$6,"Sdate=#1 Period=#2 NULL=BLANK",,$D33,"NTM"),L33)</f>
        <v>#NAME?</v>
      </c>
      <c r="Q33" s="196">
        <f t="shared" si="2"/>
        <v>42094</v>
      </c>
      <c r="R33" s="187" t="e">
        <f t="shared" si="3"/>
        <v>#NAME?</v>
      </c>
      <c r="S33" s="187" t="e">
        <f t="shared" si="4"/>
        <v>#NAME?</v>
      </c>
      <c r="T33" s="187" t="e">
        <f t="shared" si="5"/>
        <v>#NAME?</v>
      </c>
    </row>
    <row r="34" spans="3:20" ht="11.25" customHeight="1">
      <c r="C34" s="198">
        <f t="shared" si="7"/>
        <v>42185</v>
      </c>
      <c r="D34" s="197">
        <f t="shared" si="6"/>
        <v>42230</v>
      </c>
      <c r="E34" s="187" t="e" cm="1">
        <f t="array" ref="E34">IF(Thomson=1,_xll.TR(E$7,E$6,"Sdate=#1 Period=#2 NULL=BLANK",,$D34,"NTM"),E34)</f>
        <v>#NAME?</v>
      </c>
      <c r="F34" s="187" t="e" cm="1">
        <f t="array" ref="F34">IF(Thomson=1,_xll.TR(F$7,F$6,"Sdate=#1 Period=#2 NULL=BLANK",,$D34,"NTM"),F34)</f>
        <v>#NAME?</v>
      </c>
      <c r="G34" s="187" t="e" cm="1">
        <f t="array" ref="G34">IF(Thomson=1,_xll.TR(G$7,G$6,"Sdate=#1 Period=#2 NULL=BLANK",,$D34,"NTM"),G34)</f>
        <v>#NAME?</v>
      </c>
      <c r="H34" s="187" t="e" cm="1">
        <f t="array" ref="H34">IF(Thomson=1,_xll.TR(H$7,H$6,"Sdate=#1 Period=#2 NULL=BLANK",,$D34,"NTM"),H34)</f>
        <v>#NAME?</v>
      </c>
      <c r="I34" s="187" t="e" cm="1">
        <f t="array" ref="I34">IF(Thomson=1,_xll.TR(I$7,I$6,"Sdate=#1 Period=#2 NULL=BLANK",,$D34,"NTM"),I34)</f>
        <v>#NAME?</v>
      </c>
      <c r="J34" s="187" t="e" cm="1">
        <f t="array" ref="J34">IF(Thomson=1,_xll.TR(J$7,J$6,"Sdate=#1 Period=#2 NULL=BLANK",,$D34,"NTM"),J34)</f>
        <v>#NAME?</v>
      </c>
      <c r="K34" s="187" t="e" cm="1">
        <f t="array" ref="K34">IF(Thomson=1,_xll.TR(K$7,K$6,"Sdate=#1 Period=#2 NULL=BLANK",,$D34,"NTM"),K34)</f>
        <v>#NAME?</v>
      </c>
      <c r="L34" s="187" t="e" cm="1">
        <f t="array" ref="L34">IF(Thomson=1,_xll.TR(L$7,L$6,"Sdate=#1 Period=#2 NULL=BLANK",,$D34,"NTM"),L34)</f>
        <v>#NAME?</v>
      </c>
      <c r="Q34" s="198">
        <f t="shared" si="2"/>
        <v>42185</v>
      </c>
      <c r="R34" s="187" t="e">
        <f t="shared" si="3"/>
        <v>#NAME?</v>
      </c>
      <c r="S34" s="187" t="e">
        <f t="shared" si="4"/>
        <v>#NAME?</v>
      </c>
      <c r="T34" s="187" t="e">
        <f t="shared" si="5"/>
        <v>#NAME?</v>
      </c>
    </row>
    <row r="35" spans="3:20" ht="11.25" customHeight="1">
      <c r="C35" s="199">
        <f t="shared" si="7"/>
        <v>42277</v>
      </c>
      <c r="D35" s="197">
        <f t="shared" si="6"/>
        <v>42322</v>
      </c>
      <c r="E35" s="187" t="e" cm="1">
        <f t="array" ref="E35">IF(Thomson=1,_xll.TR(E$7,E$6,"Sdate=#1 Period=#2 NULL=BLANK",,$D35,"NTM"),E35)</f>
        <v>#NAME?</v>
      </c>
      <c r="F35" s="187" t="e" cm="1">
        <f t="array" ref="F35">IF(Thomson=1,_xll.TR(F$7,F$6,"Sdate=#1 Period=#2 NULL=BLANK",,$D35,"NTM"),F35)</f>
        <v>#NAME?</v>
      </c>
      <c r="G35" s="187" t="e" cm="1">
        <f t="array" ref="G35">IF(Thomson=1,_xll.TR(G$7,G$6,"Sdate=#1 Period=#2 NULL=BLANK",,$D35,"NTM"),G35)</f>
        <v>#NAME?</v>
      </c>
      <c r="H35" s="187" t="e" cm="1">
        <f t="array" ref="H35">IF(Thomson=1,_xll.TR(H$7,H$6,"Sdate=#1 Period=#2 NULL=BLANK",,$D35,"NTM"),H35)</f>
        <v>#NAME?</v>
      </c>
      <c r="I35" s="187" t="e" cm="1">
        <f t="array" ref="I35">IF(Thomson=1,_xll.TR(I$7,I$6,"Sdate=#1 Period=#2 NULL=BLANK",,$D35,"NTM"),I35)</f>
        <v>#NAME?</v>
      </c>
      <c r="J35" s="187" t="e" cm="1">
        <f t="array" ref="J35">IF(Thomson=1,_xll.TR(J$7,J$6,"Sdate=#1 Period=#2 NULL=BLANK",,$D35,"NTM"),J35)</f>
        <v>#NAME?</v>
      </c>
      <c r="K35" s="187" t="e" cm="1">
        <f t="array" ref="K35">IF(Thomson=1,_xll.TR(K$7,K$6,"Sdate=#1 Period=#2 NULL=BLANK",,$D35,"NTM"),K35)</f>
        <v>#NAME?</v>
      </c>
      <c r="L35" s="187" t="e" cm="1">
        <f t="array" ref="L35">IF(Thomson=1,_xll.TR(L$7,L$6,"Sdate=#1 Period=#2 NULL=BLANK",,$D35,"NTM"),L35)</f>
        <v>#NAME?</v>
      </c>
      <c r="Q35" s="199">
        <f t="shared" si="2"/>
        <v>42277</v>
      </c>
      <c r="R35" s="187" t="e">
        <f t="shared" si="3"/>
        <v>#NAME?</v>
      </c>
      <c r="S35" s="187" t="e">
        <f t="shared" si="4"/>
        <v>#NAME?</v>
      </c>
      <c r="T35" s="187" t="e">
        <f t="shared" si="5"/>
        <v>#NAME?</v>
      </c>
    </row>
    <row r="36" spans="3:20" ht="11.25" customHeight="1">
      <c r="C36" s="200">
        <f t="shared" si="7"/>
        <v>42369</v>
      </c>
      <c r="D36" s="197">
        <f t="shared" si="6"/>
        <v>42414</v>
      </c>
      <c r="E36" s="187" t="e" cm="1">
        <f t="array" ref="E36">IF(Thomson=1,_xll.TR(E$7,E$6,"Sdate=#1 Period=#2 NULL=BLANK",,$D36,"NTM"),E36)</f>
        <v>#NAME?</v>
      </c>
      <c r="F36" s="187" t="e" cm="1">
        <f t="array" ref="F36">IF(Thomson=1,_xll.TR(F$7,F$6,"Sdate=#1 Period=#2 NULL=BLANK",,$D36,"NTM"),F36)</f>
        <v>#NAME?</v>
      </c>
      <c r="G36" s="187" t="e" cm="1">
        <f t="array" ref="G36">IF(Thomson=1,_xll.TR(G$7,G$6,"Sdate=#1 Period=#2 NULL=BLANK",,$D36,"NTM"),G36)</f>
        <v>#NAME?</v>
      </c>
      <c r="H36" s="187" t="e" cm="1">
        <f t="array" ref="H36">IF(Thomson=1,_xll.TR(H$7,H$6,"Sdate=#1 Period=#2 NULL=BLANK",,$D36,"NTM"),H36)</f>
        <v>#NAME?</v>
      </c>
      <c r="I36" s="187" t="e" cm="1">
        <f t="array" ref="I36">IF(Thomson=1,_xll.TR(I$7,I$6,"Sdate=#1 Period=#2 NULL=BLANK",,$D36,"NTM"),I36)</f>
        <v>#NAME?</v>
      </c>
      <c r="J36" s="187" t="e" cm="1">
        <f t="array" ref="J36">IF(Thomson=1,_xll.TR(J$7,J$6,"Sdate=#1 Period=#2 NULL=BLANK",,$D36,"NTM"),J36)</f>
        <v>#NAME?</v>
      </c>
      <c r="K36" s="187" t="e" cm="1">
        <f t="array" ref="K36">IF(Thomson=1,_xll.TR(K$7,K$6,"Sdate=#1 Period=#2 NULL=BLANK",,$D36,"NTM"),K36)</f>
        <v>#NAME?</v>
      </c>
      <c r="L36" s="187" t="e" cm="1">
        <f t="array" ref="L36">IF(Thomson=1,_xll.TR(L$7,L$6,"Sdate=#1 Period=#2 NULL=BLANK",,$D36,"NTM"),L36)</f>
        <v>#NAME?</v>
      </c>
      <c r="Q36" s="200">
        <f t="shared" si="2"/>
        <v>42369</v>
      </c>
      <c r="R36" s="187" t="e">
        <f t="shared" si="3"/>
        <v>#NAME?</v>
      </c>
      <c r="S36" s="187" t="e">
        <f t="shared" si="4"/>
        <v>#NAME?</v>
      </c>
      <c r="T36" s="187" t="e">
        <f t="shared" si="5"/>
        <v>#NAME?</v>
      </c>
    </row>
    <row r="37" spans="3:20" ht="11.25" customHeight="1">
      <c r="C37" s="196">
        <f t="shared" si="7"/>
        <v>42460</v>
      </c>
      <c r="D37" s="197">
        <f t="shared" si="6"/>
        <v>42505</v>
      </c>
      <c r="E37" s="187" t="e" cm="1">
        <f t="array" ref="E37">IF(Thomson=1,_xll.TR(E$7,E$6,"Sdate=#1 Period=#2 NULL=BLANK",,$D37,"NTM"),E37)</f>
        <v>#NAME?</v>
      </c>
      <c r="F37" s="187" t="e" cm="1">
        <f t="array" ref="F37">IF(Thomson=1,_xll.TR(F$7,F$6,"Sdate=#1 Period=#2 NULL=BLANK",,$D37,"NTM"),F37)</f>
        <v>#NAME?</v>
      </c>
      <c r="G37" s="187" t="e" cm="1">
        <f t="array" ref="G37">IF(Thomson=1,_xll.TR(G$7,G$6,"Sdate=#1 Period=#2 NULL=BLANK",,$D37,"NTM"),G37)</f>
        <v>#NAME?</v>
      </c>
      <c r="H37" s="187" t="e" cm="1">
        <f t="array" ref="H37">IF(Thomson=1,_xll.TR(H$7,H$6,"Sdate=#1 Period=#2 NULL=BLANK",,$D37,"NTM"),H37)</f>
        <v>#NAME?</v>
      </c>
      <c r="I37" s="187" t="e" cm="1">
        <f t="array" ref="I37">IF(Thomson=1,_xll.TR(I$7,I$6,"Sdate=#1 Period=#2 NULL=BLANK",,$D37,"NTM"),I37)</f>
        <v>#NAME?</v>
      </c>
      <c r="J37" s="187" t="e" cm="1">
        <f t="array" ref="J37">IF(Thomson=1,_xll.TR(J$7,J$6,"Sdate=#1 Period=#2 NULL=BLANK",,$D37,"NTM"),J37)</f>
        <v>#NAME?</v>
      </c>
      <c r="K37" s="187" t="e" cm="1">
        <f t="array" ref="K37">IF(Thomson=1,_xll.TR(K$7,K$6,"Sdate=#1 Period=#2 NULL=BLANK",,$D37,"NTM"),K37)</f>
        <v>#NAME?</v>
      </c>
      <c r="L37" s="187" t="e" cm="1">
        <f t="array" ref="L37">IF(Thomson=1,_xll.TR(L$7,L$6,"Sdate=#1 Period=#2 NULL=BLANK",,$D37,"NTM"),L37)</f>
        <v>#NAME?</v>
      </c>
      <c r="Q37" s="196">
        <f t="shared" si="2"/>
        <v>42460</v>
      </c>
      <c r="R37" s="187" t="e">
        <f t="shared" si="3"/>
        <v>#NAME?</v>
      </c>
      <c r="S37" s="187" t="e">
        <f t="shared" si="4"/>
        <v>#NAME?</v>
      </c>
      <c r="T37" s="187" t="e">
        <f t="shared" si="5"/>
        <v>#NAME?</v>
      </c>
    </row>
    <row r="38" spans="3:20" ht="11.25" customHeight="1">
      <c r="C38" s="198">
        <f t="shared" si="7"/>
        <v>42551</v>
      </c>
      <c r="D38" s="197">
        <f t="shared" si="6"/>
        <v>42596</v>
      </c>
      <c r="E38" s="187" t="e" cm="1">
        <f t="array" ref="E38">IF(Thomson=1,_xll.TR(E$7,E$6,"Sdate=#1 Period=#2 NULL=BLANK",,$D38,"NTM"),E38)</f>
        <v>#NAME?</v>
      </c>
      <c r="F38" s="187" t="e" cm="1">
        <f t="array" ref="F38">IF(Thomson=1,_xll.TR(F$7,F$6,"Sdate=#1 Period=#2 NULL=BLANK",,$D38,"NTM"),F38)</f>
        <v>#NAME?</v>
      </c>
      <c r="G38" s="187" t="e" cm="1">
        <f t="array" ref="G38">IF(Thomson=1,_xll.TR(G$7,G$6,"Sdate=#1 Period=#2 NULL=BLANK",,$D38,"NTM"),G38)</f>
        <v>#NAME?</v>
      </c>
      <c r="H38" s="187" t="e" cm="1">
        <f t="array" ref="H38">IF(Thomson=1,_xll.TR(H$7,H$6,"Sdate=#1 Period=#2 NULL=BLANK",,$D38,"NTM"),H38)</f>
        <v>#NAME?</v>
      </c>
      <c r="I38" s="187" t="e" cm="1">
        <f t="array" ref="I38">IF(Thomson=1,_xll.TR(I$7,I$6,"Sdate=#1 Period=#2 NULL=BLANK",,$D38,"NTM"),I38)</f>
        <v>#NAME?</v>
      </c>
      <c r="J38" s="187" t="e" cm="1">
        <f t="array" ref="J38">IF(Thomson=1,_xll.TR(J$7,J$6,"Sdate=#1 Period=#2 NULL=BLANK",,$D38,"NTM"),J38)</f>
        <v>#NAME?</v>
      </c>
      <c r="K38" s="187" t="e" cm="1">
        <f t="array" ref="K38">IF(Thomson=1,_xll.TR(K$7,K$6,"Sdate=#1 Period=#2 NULL=BLANK",,$D38,"NTM"),K38)</f>
        <v>#NAME?</v>
      </c>
      <c r="L38" s="187" t="e" cm="1">
        <f t="array" ref="L38">IF(Thomson=1,_xll.TR(L$7,L$6,"Sdate=#1 Period=#2 NULL=BLANK",,$D38,"NTM"),L38)</f>
        <v>#NAME?</v>
      </c>
      <c r="Q38" s="198">
        <f t="shared" si="2"/>
        <v>42551</v>
      </c>
      <c r="R38" s="187" t="e">
        <f t="shared" si="3"/>
        <v>#NAME?</v>
      </c>
      <c r="S38" s="187" t="e">
        <f t="shared" si="4"/>
        <v>#NAME?</v>
      </c>
      <c r="T38" s="187" t="e">
        <f t="shared" si="5"/>
        <v>#NAME?</v>
      </c>
    </row>
    <row r="39" spans="3:20" ht="11.25" customHeight="1">
      <c r="C39" s="199">
        <f t="shared" si="7"/>
        <v>42643</v>
      </c>
      <c r="D39" s="197">
        <f t="shared" si="6"/>
        <v>42688</v>
      </c>
      <c r="E39" s="187" t="e" cm="1">
        <f t="array" ref="E39">IF(Thomson=1,_xll.TR(E$7,E$6,"Sdate=#1 Period=#2 NULL=BLANK",,$D39,"NTM"),E39)</f>
        <v>#NAME?</v>
      </c>
      <c r="F39" s="187" t="e" cm="1">
        <f t="array" ref="F39">IF(Thomson=1,_xll.TR(F$7,F$6,"Sdate=#1 Period=#2 NULL=BLANK",,$D39,"NTM"),F39)</f>
        <v>#NAME?</v>
      </c>
      <c r="G39" s="187" t="e" cm="1">
        <f t="array" ref="G39">IF(Thomson=1,_xll.TR(G$7,G$6,"Sdate=#1 Period=#2 NULL=BLANK",,$D39,"NTM"),G39)</f>
        <v>#NAME?</v>
      </c>
      <c r="H39" s="187" t="e" cm="1">
        <f t="array" ref="H39">IF(Thomson=1,_xll.TR(H$7,H$6,"Sdate=#1 Period=#2 NULL=BLANK",,$D39,"NTM"),H39)</f>
        <v>#NAME?</v>
      </c>
      <c r="I39" s="187" t="e" cm="1">
        <f t="array" ref="I39">IF(Thomson=1,_xll.TR(I$7,I$6,"Sdate=#1 Period=#2 NULL=BLANK",,$D39,"NTM"),I39)</f>
        <v>#NAME?</v>
      </c>
      <c r="J39" s="187" t="e" cm="1">
        <f t="array" ref="J39">IF(Thomson=1,_xll.TR(J$7,J$6,"Sdate=#1 Period=#2 NULL=BLANK",,$D39,"NTM"),J39)</f>
        <v>#NAME?</v>
      </c>
      <c r="K39" s="187" t="e" cm="1">
        <f t="array" ref="K39">IF(Thomson=1,_xll.TR(K$7,K$6,"Sdate=#1 Period=#2 NULL=BLANK",,$D39,"NTM"),K39)</f>
        <v>#NAME?</v>
      </c>
      <c r="L39" s="187" t="e" cm="1">
        <f t="array" ref="L39">IF(Thomson=1,_xll.TR(L$7,L$6,"Sdate=#1 Period=#2 NULL=BLANK",,$D39,"NTM"),L39)</f>
        <v>#NAME?</v>
      </c>
      <c r="Q39" s="199">
        <f t="shared" si="2"/>
        <v>42643</v>
      </c>
      <c r="R39" s="187" t="e">
        <f t="shared" si="3"/>
        <v>#NAME?</v>
      </c>
      <c r="S39" s="187" t="e">
        <f t="shared" si="4"/>
        <v>#NAME?</v>
      </c>
      <c r="T39" s="187" t="e">
        <f t="shared" si="5"/>
        <v>#NAME?</v>
      </c>
    </row>
    <row r="40" spans="3:20" ht="11.25" customHeight="1">
      <c r="C40" s="200">
        <f t="shared" si="7"/>
        <v>42735</v>
      </c>
      <c r="D40" s="197">
        <f t="shared" si="6"/>
        <v>42780</v>
      </c>
      <c r="E40" s="187" t="e" cm="1">
        <f t="array" ref="E40">IF(Thomson=1,_xll.TR(E$7,E$6,"Sdate=#1 Period=#2 NULL=BLANK",,$D40,"NTM"),E40)</f>
        <v>#NAME?</v>
      </c>
      <c r="F40" s="187" t="e" cm="1">
        <f t="array" ref="F40">IF(Thomson=1,_xll.TR(F$7,F$6,"Sdate=#1 Period=#2 NULL=BLANK",,$D40,"NTM"),F40)</f>
        <v>#NAME?</v>
      </c>
      <c r="G40" s="187" t="e" cm="1">
        <f t="array" ref="G40">IF(Thomson=1,_xll.TR(G$7,G$6,"Sdate=#1 Period=#2 NULL=BLANK",,$D40,"NTM"),G40)</f>
        <v>#NAME?</v>
      </c>
      <c r="H40" s="187" t="e" cm="1">
        <f t="array" ref="H40">IF(Thomson=1,_xll.TR(H$7,H$6,"Sdate=#1 Period=#2 NULL=BLANK",,$D40,"NTM"),H40)</f>
        <v>#NAME?</v>
      </c>
      <c r="I40" s="187" t="e" cm="1">
        <f t="array" ref="I40">IF(Thomson=1,_xll.TR(I$7,I$6,"Sdate=#1 Period=#2 NULL=BLANK",,$D40,"NTM"),I40)</f>
        <v>#NAME?</v>
      </c>
      <c r="J40" s="187" t="e" cm="1">
        <f t="array" ref="J40">IF(Thomson=1,_xll.TR(J$7,J$6,"Sdate=#1 Period=#2 NULL=BLANK",,$D40,"NTM"),J40)</f>
        <v>#NAME?</v>
      </c>
      <c r="K40" s="187" t="e" cm="1">
        <f t="array" ref="K40">IF(Thomson=1,_xll.TR(K$7,K$6,"Sdate=#1 Period=#2 NULL=BLANK",,$D40,"NTM"),K40)</f>
        <v>#NAME?</v>
      </c>
      <c r="L40" s="187" t="e" cm="1">
        <f t="array" ref="L40">IF(Thomson=1,_xll.TR(L$7,L$6,"Sdate=#1 Period=#2 NULL=BLANK",,$D40,"NTM"),L40)</f>
        <v>#NAME?</v>
      </c>
      <c r="Q40" s="200">
        <f t="shared" si="2"/>
        <v>42735</v>
      </c>
      <c r="R40" s="187" t="e">
        <f t="shared" si="3"/>
        <v>#NAME?</v>
      </c>
      <c r="S40" s="187" t="e">
        <f t="shared" si="4"/>
        <v>#NAME?</v>
      </c>
      <c r="T40" s="187" t="e">
        <f t="shared" si="5"/>
        <v>#NAME?</v>
      </c>
    </row>
    <row r="41" spans="3:20" ht="11.25" customHeight="1">
      <c r="C41" s="196">
        <f t="shared" si="7"/>
        <v>42825</v>
      </c>
      <c r="D41" s="197">
        <f t="shared" si="6"/>
        <v>42870</v>
      </c>
      <c r="E41" s="187" t="e" cm="1">
        <f t="array" ref="E41">IF(Thomson=1,_xll.TR(E$7,E$6,"Sdate=#1 Period=#2 NULL=BLANK",,$D41,"NTM"),E41)</f>
        <v>#NAME?</v>
      </c>
      <c r="F41" s="187" t="e" cm="1">
        <f t="array" ref="F41">IF(Thomson=1,_xll.TR(F$7,F$6,"Sdate=#1 Period=#2 NULL=BLANK",,$D41,"NTM"),F41)</f>
        <v>#NAME?</v>
      </c>
      <c r="G41" s="187" t="e" cm="1">
        <f t="array" ref="G41">IF(Thomson=1,_xll.TR(G$7,G$6,"Sdate=#1 Period=#2 NULL=BLANK",,$D41,"NTM"),G41)</f>
        <v>#NAME?</v>
      </c>
      <c r="H41" s="187" t="e" cm="1">
        <f t="array" ref="H41">IF(Thomson=1,_xll.TR(H$7,H$6,"Sdate=#1 Period=#2 NULL=BLANK",,$D41,"NTM"),H41)</f>
        <v>#NAME?</v>
      </c>
      <c r="I41" s="187" t="e" cm="1">
        <f t="array" ref="I41">IF(Thomson=1,_xll.TR(I$7,I$6,"Sdate=#1 Period=#2 NULL=BLANK",,$D41,"NTM"),I41)</f>
        <v>#NAME?</v>
      </c>
      <c r="J41" s="187" t="e" cm="1">
        <f t="array" ref="J41">IF(Thomson=1,_xll.TR(J$7,J$6,"Sdate=#1 Period=#2 NULL=BLANK",,$D41,"NTM"),J41)</f>
        <v>#NAME?</v>
      </c>
      <c r="K41" s="187" t="e" cm="1">
        <f t="array" ref="K41">IF(Thomson=1,_xll.TR(K$7,K$6,"Sdate=#1 Period=#2 NULL=BLANK",,$D41,"NTM"),K41)</f>
        <v>#NAME?</v>
      </c>
      <c r="L41" s="187" t="e" cm="1">
        <f t="array" ref="L41">IF(Thomson=1,_xll.TR(L$7,L$6,"Sdate=#1 Period=#2 NULL=BLANK",,$D41,"NTM"),L41)</f>
        <v>#NAME?</v>
      </c>
      <c r="Q41" s="196">
        <f t="shared" si="2"/>
        <v>42825</v>
      </c>
      <c r="R41" s="187" t="e">
        <f t="shared" si="3"/>
        <v>#NAME?</v>
      </c>
      <c r="S41" s="187" t="e">
        <f t="shared" si="4"/>
        <v>#NAME?</v>
      </c>
      <c r="T41" s="187" t="e">
        <f t="shared" si="5"/>
        <v>#NAME?</v>
      </c>
    </row>
    <row r="42" spans="3:20" ht="11.25" customHeight="1">
      <c r="C42" s="198">
        <f t="shared" si="7"/>
        <v>42916</v>
      </c>
      <c r="D42" s="197">
        <f t="shared" si="6"/>
        <v>42961</v>
      </c>
      <c r="E42" s="187" t="e" cm="1">
        <f t="array" ref="E42">IF(Thomson=1,_xll.TR(E$7,E$6,"Sdate=#1 Period=#2 NULL=BLANK",,$D42,"NTM"),E42)</f>
        <v>#NAME?</v>
      </c>
      <c r="F42" s="187" t="e" cm="1">
        <f t="array" ref="F42">IF(Thomson=1,_xll.TR(F$7,F$6,"Sdate=#1 Period=#2 NULL=BLANK",,$D42,"NTM"),F42)</f>
        <v>#NAME?</v>
      </c>
      <c r="G42" s="187" t="e" cm="1">
        <f t="array" ref="G42">IF(Thomson=1,_xll.TR(G$7,G$6,"Sdate=#1 Period=#2 NULL=BLANK",,$D42,"NTM"),G42)</f>
        <v>#NAME?</v>
      </c>
      <c r="H42" s="187" t="e" cm="1">
        <f t="array" ref="H42">IF(Thomson=1,_xll.TR(H$7,H$6,"Sdate=#1 Period=#2 NULL=BLANK",,$D42,"NTM"),H42)</f>
        <v>#NAME?</v>
      </c>
      <c r="I42" s="187" t="e" cm="1">
        <f t="array" ref="I42">IF(Thomson=1,_xll.TR(I$7,I$6,"Sdate=#1 Period=#2 NULL=BLANK",,$D42,"NTM"),I42)</f>
        <v>#NAME?</v>
      </c>
      <c r="J42" s="187" t="e" cm="1">
        <f t="array" ref="J42">IF(Thomson=1,_xll.TR(J$7,J$6,"Sdate=#1 Period=#2 NULL=BLANK",,$D42,"NTM"),J42)</f>
        <v>#NAME?</v>
      </c>
      <c r="K42" s="187" t="e" cm="1">
        <f t="array" ref="K42">IF(Thomson=1,_xll.TR(K$7,K$6,"Sdate=#1 Period=#2 NULL=BLANK",,$D42,"NTM"),K42)</f>
        <v>#NAME?</v>
      </c>
      <c r="L42" s="187" t="e" cm="1">
        <f t="array" ref="L42">IF(Thomson=1,_xll.TR(L$7,L$6,"Sdate=#1 Period=#2 NULL=BLANK",,$D42,"NTM"),L42)</f>
        <v>#NAME?</v>
      </c>
      <c r="Q42" s="198">
        <f t="shared" si="2"/>
        <v>42916</v>
      </c>
      <c r="R42" s="187" t="e">
        <f t="shared" si="3"/>
        <v>#NAME?</v>
      </c>
      <c r="S42" s="187" t="e">
        <f t="shared" si="4"/>
        <v>#NAME?</v>
      </c>
      <c r="T42" s="187" t="e">
        <f t="shared" si="5"/>
        <v>#NAME?</v>
      </c>
    </row>
    <row r="43" spans="3:20" ht="11.25" customHeight="1">
      <c r="C43" s="199">
        <f t="shared" si="7"/>
        <v>43008</v>
      </c>
      <c r="D43" s="197">
        <f t="shared" si="6"/>
        <v>43053</v>
      </c>
      <c r="E43" s="187" t="e" cm="1">
        <f t="array" ref="E43">IF(Thomson=1,_xll.TR(E$7,E$6,"Sdate=#1 Period=#2 NULL=BLANK",,$D43,"NTM"),E43)</f>
        <v>#NAME?</v>
      </c>
      <c r="F43" s="187" t="e" cm="1">
        <f t="array" ref="F43">IF(Thomson=1,_xll.TR(F$7,F$6,"Sdate=#1 Period=#2 NULL=BLANK",,$D43,"NTM"),F43)</f>
        <v>#NAME?</v>
      </c>
      <c r="G43" s="187" t="e" cm="1">
        <f t="array" ref="G43">IF(Thomson=1,_xll.TR(G$7,G$6,"Sdate=#1 Period=#2 NULL=BLANK",,$D43,"NTM"),G43)</f>
        <v>#NAME?</v>
      </c>
      <c r="H43" s="187" t="e" cm="1">
        <f t="array" ref="H43">IF(Thomson=1,_xll.TR(H$7,H$6,"Sdate=#1 Period=#2 NULL=BLANK",,$D43,"NTM"),H43)</f>
        <v>#NAME?</v>
      </c>
      <c r="I43" s="187" t="e" cm="1">
        <f t="array" ref="I43">IF(Thomson=1,_xll.TR(I$7,I$6,"Sdate=#1 Period=#2 NULL=BLANK",,$D43,"NTM"),I43)</f>
        <v>#NAME?</v>
      </c>
      <c r="J43" s="187" t="e" cm="1">
        <f t="array" ref="J43">IF(Thomson=1,_xll.TR(J$7,J$6,"Sdate=#1 Period=#2 NULL=BLANK",,$D43,"NTM"),J43)</f>
        <v>#NAME?</v>
      </c>
      <c r="K43" s="187" t="e" cm="1">
        <f t="array" ref="K43">IF(Thomson=1,_xll.TR(K$7,K$6,"Sdate=#1 Period=#2 NULL=BLANK",,$D43,"NTM"),K43)</f>
        <v>#NAME?</v>
      </c>
      <c r="L43" s="187" t="e" cm="1">
        <f t="array" ref="L43">IF(Thomson=1,_xll.TR(L$7,L$6,"Sdate=#1 Period=#2 NULL=BLANK",,$D43,"NTM"),L43)</f>
        <v>#NAME?</v>
      </c>
      <c r="Q43" s="199">
        <f t="shared" si="2"/>
        <v>43008</v>
      </c>
      <c r="R43" s="187" t="e">
        <f t="shared" si="3"/>
        <v>#NAME?</v>
      </c>
      <c r="S43" s="187" t="e">
        <f t="shared" si="4"/>
        <v>#NAME?</v>
      </c>
      <c r="T43" s="187" t="e">
        <f t="shared" si="5"/>
        <v>#NAME?</v>
      </c>
    </row>
    <row r="44" spans="3:20" ht="11.25" customHeight="1">
      <c r="C44" s="200">
        <f t="shared" si="7"/>
        <v>43100</v>
      </c>
      <c r="D44" s="197">
        <f t="shared" si="6"/>
        <v>43145</v>
      </c>
      <c r="E44" s="187" t="e" cm="1">
        <f t="array" ref="E44">IF(Thomson=1,_xll.TR(E$7,E$6,"Sdate=#1 Period=#2 NULL=BLANK",,$D44,"NTM"),E44)</f>
        <v>#NAME?</v>
      </c>
      <c r="F44" s="187" t="e" cm="1">
        <f t="array" ref="F44">IF(Thomson=1,_xll.TR(F$7,F$6,"Sdate=#1 Period=#2 NULL=BLANK",,$D44,"NTM"),F44)</f>
        <v>#NAME?</v>
      </c>
      <c r="G44" s="187" t="e" cm="1">
        <f t="array" ref="G44">IF(Thomson=1,_xll.TR(G$7,G$6,"Sdate=#1 Period=#2 NULL=BLANK",,$D44,"NTM"),G44)</f>
        <v>#NAME?</v>
      </c>
      <c r="H44" s="187" t="e" cm="1">
        <f t="array" ref="H44">IF(Thomson=1,_xll.TR(H$7,H$6,"Sdate=#1 Period=#2 NULL=BLANK",,$D44,"NTM"),H44)</f>
        <v>#NAME?</v>
      </c>
      <c r="I44" s="187" t="e" cm="1">
        <f t="array" ref="I44">IF(Thomson=1,_xll.TR(I$7,I$6,"Sdate=#1 Period=#2 NULL=BLANK",,$D44,"NTM"),I44)</f>
        <v>#NAME?</v>
      </c>
      <c r="J44" s="187" t="e" cm="1">
        <f t="array" ref="J44">IF(Thomson=1,_xll.TR(J$7,J$6,"Sdate=#1 Period=#2 NULL=BLANK",,$D44,"NTM"),J44)</f>
        <v>#NAME?</v>
      </c>
      <c r="K44" s="187" t="e" cm="1">
        <f t="array" ref="K44">IF(Thomson=1,_xll.TR(K$7,K$6,"Sdate=#1 Period=#2 NULL=BLANK",,$D44,"NTM"),K44)</f>
        <v>#NAME?</v>
      </c>
      <c r="L44" s="187" t="e" cm="1">
        <f t="array" ref="L44">IF(Thomson=1,_xll.TR(L$7,L$6,"Sdate=#1 Period=#2 NULL=BLANK",,$D44,"NTM"),L44)</f>
        <v>#NAME?</v>
      </c>
      <c r="Q44" s="200">
        <f t="shared" si="2"/>
        <v>43100</v>
      </c>
      <c r="R44" s="187" t="e">
        <f t="shared" si="3"/>
        <v>#NAME?</v>
      </c>
      <c r="S44" s="187" t="e">
        <f t="shared" si="4"/>
        <v>#NAME?</v>
      </c>
      <c r="T44" s="187" t="e">
        <f t="shared" si="5"/>
        <v>#NAME?</v>
      </c>
    </row>
    <row r="45" spans="3:20" ht="11.25" customHeight="1">
      <c r="C45" s="196">
        <f t="shared" si="7"/>
        <v>43190</v>
      </c>
      <c r="D45" s="197">
        <f t="shared" si="6"/>
        <v>43235</v>
      </c>
      <c r="E45" s="187" t="e" cm="1">
        <f t="array" ref="E45">IF(Thomson=1,_xll.TR(E$7,E$6,"Sdate=#1 Period=#2 NULL=BLANK",,$D45,"NTM"),E45)</f>
        <v>#NAME?</v>
      </c>
      <c r="F45" s="187" t="e" cm="1">
        <f t="array" ref="F45">IF(Thomson=1,_xll.TR(F$7,F$6,"Sdate=#1 Period=#2 NULL=BLANK",,$D45,"NTM"),F45)</f>
        <v>#NAME?</v>
      </c>
      <c r="G45" s="187" t="e" cm="1">
        <f t="array" ref="G45">IF(Thomson=1,_xll.TR(G$7,G$6,"Sdate=#1 Period=#2 NULL=BLANK",,$D45,"NTM"),G45)</f>
        <v>#NAME?</v>
      </c>
      <c r="H45" s="187" t="e" cm="1">
        <f t="array" ref="H45">IF(Thomson=1,_xll.TR(H$7,H$6,"Sdate=#1 Period=#2 NULL=BLANK",,$D45,"NTM"),H45)</f>
        <v>#NAME?</v>
      </c>
      <c r="I45" s="187" t="e" cm="1">
        <f t="array" ref="I45">IF(Thomson=1,_xll.TR(I$7,I$6,"Sdate=#1 Period=#2 NULL=BLANK",,$D45,"NTM"),I45)</f>
        <v>#NAME?</v>
      </c>
      <c r="J45" s="187" t="e" cm="1">
        <f t="array" ref="J45">IF(Thomson=1,_xll.TR(J$7,J$6,"Sdate=#1 Period=#2 NULL=BLANK",,$D45,"NTM"),J45)</f>
        <v>#NAME?</v>
      </c>
      <c r="K45" s="187" t="e" cm="1">
        <f t="array" ref="K45">IF(Thomson=1,_xll.TR(K$7,K$6,"Sdate=#1 Period=#2 NULL=BLANK",,$D45,"NTM"),K45)</f>
        <v>#NAME?</v>
      </c>
      <c r="L45" s="187" t="e" cm="1">
        <f t="array" ref="L45">IF(Thomson=1,_xll.TR(L$7,L$6,"Sdate=#1 Period=#2 NULL=BLANK",,$D45,"NTM"),L45)</f>
        <v>#NAME?</v>
      </c>
      <c r="Q45" s="196">
        <f t="shared" si="2"/>
        <v>43190</v>
      </c>
      <c r="R45" s="187" t="e">
        <f t="shared" si="3"/>
        <v>#NAME?</v>
      </c>
      <c r="S45" s="187" t="e">
        <f t="shared" si="4"/>
        <v>#NAME?</v>
      </c>
      <c r="T45" s="187" t="e">
        <f t="shared" si="5"/>
        <v>#NAME?</v>
      </c>
    </row>
    <row r="46" spans="3:20" ht="11.25" customHeight="1">
      <c r="C46" s="198">
        <f t="shared" si="7"/>
        <v>43281</v>
      </c>
      <c r="D46" s="197">
        <f t="shared" si="6"/>
        <v>43326</v>
      </c>
      <c r="E46" s="187" t="e" cm="1">
        <f t="array" ref="E46">IF(Thomson=1,_xll.TR(E$7,E$6,"Sdate=#1 Period=#2 NULL=BLANK",,$D46,"NTM"),E46)</f>
        <v>#NAME?</v>
      </c>
      <c r="F46" s="187" t="e" cm="1">
        <f t="array" ref="F46">IF(Thomson=1,_xll.TR(F$7,F$6,"Sdate=#1 Period=#2 NULL=BLANK",,$D46,"NTM"),F46)</f>
        <v>#NAME?</v>
      </c>
      <c r="G46" s="187" t="e" cm="1">
        <f t="array" ref="G46">IF(Thomson=1,_xll.TR(G$7,G$6,"Sdate=#1 Period=#2 NULL=BLANK",,$D46,"NTM"),G46)</f>
        <v>#NAME?</v>
      </c>
      <c r="H46" s="187" t="e" cm="1">
        <f t="array" ref="H46">IF(Thomson=1,_xll.TR(H$7,H$6,"Sdate=#1 Period=#2 NULL=BLANK",,$D46,"NTM"),H46)</f>
        <v>#NAME?</v>
      </c>
      <c r="I46" s="187" t="e" cm="1">
        <f t="array" ref="I46">IF(Thomson=1,_xll.TR(I$7,I$6,"Sdate=#1 Period=#2 NULL=BLANK",,$D46,"NTM"),I46)</f>
        <v>#NAME?</v>
      </c>
      <c r="J46" s="187" t="e" cm="1">
        <f t="array" ref="J46">IF(Thomson=1,_xll.TR(J$7,J$6,"Sdate=#1 Period=#2 NULL=BLANK",,$D46,"NTM"),J46)</f>
        <v>#NAME?</v>
      </c>
      <c r="K46" s="187" t="e" cm="1">
        <f t="array" ref="K46">IF(Thomson=1,_xll.TR(K$7,K$6,"Sdate=#1 Period=#2 NULL=BLANK",,$D46,"NTM"),K46)</f>
        <v>#NAME?</v>
      </c>
      <c r="L46" s="187" t="e" cm="1">
        <f t="array" ref="L46">IF(Thomson=1,_xll.TR(L$7,L$6,"Sdate=#1 Period=#2 NULL=BLANK",,$D46,"NTM"),L46)</f>
        <v>#NAME?</v>
      </c>
      <c r="Q46" s="198">
        <f t="shared" si="2"/>
        <v>43281</v>
      </c>
      <c r="R46" s="187" t="e">
        <f t="shared" si="3"/>
        <v>#NAME?</v>
      </c>
      <c r="S46" s="187" t="e">
        <f t="shared" si="4"/>
        <v>#NAME?</v>
      </c>
      <c r="T46" s="187" t="e">
        <f t="shared" si="5"/>
        <v>#NAME?</v>
      </c>
    </row>
    <row r="47" spans="3:20" ht="11.25" customHeight="1">
      <c r="C47" s="199">
        <f t="shared" si="7"/>
        <v>43373</v>
      </c>
      <c r="D47" s="197">
        <f t="shared" si="6"/>
        <v>43418</v>
      </c>
      <c r="E47" s="187" t="e" cm="1">
        <f t="array" ref="E47">IF(Thomson=1,_xll.TR(E$7,E$6,"Sdate=#1 Period=#2 NULL=BLANK",,$D47,"NTM"),E47)</f>
        <v>#NAME?</v>
      </c>
      <c r="F47" s="187" t="e" cm="1">
        <f t="array" ref="F47">IF(Thomson=1,_xll.TR(F$7,F$6,"Sdate=#1 Period=#2 NULL=BLANK",,$D47,"NTM"),F47)</f>
        <v>#NAME?</v>
      </c>
      <c r="G47" s="187" t="e" cm="1">
        <f t="array" ref="G47">IF(Thomson=1,_xll.TR(G$7,G$6,"Sdate=#1 Period=#2 NULL=BLANK",,$D47,"NTM"),G47)</f>
        <v>#NAME?</v>
      </c>
      <c r="H47" s="187" t="e" cm="1">
        <f t="array" ref="H47">IF(Thomson=1,_xll.TR(H$7,H$6,"Sdate=#1 Period=#2 NULL=BLANK",,$D47,"NTM"),H47)</f>
        <v>#NAME?</v>
      </c>
      <c r="I47" s="187" t="e" cm="1">
        <f t="array" ref="I47">IF(Thomson=1,_xll.TR(I$7,I$6,"Sdate=#1 Period=#2 NULL=BLANK",,$D47,"NTM"),I47)</f>
        <v>#NAME?</v>
      </c>
      <c r="J47" s="187" t="e" cm="1">
        <f t="array" ref="J47">IF(Thomson=1,_xll.TR(J$7,J$6,"Sdate=#1 Period=#2 NULL=BLANK",,$D47,"NTM"),J47)</f>
        <v>#NAME?</v>
      </c>
      <c r="K47" s="187" t="e" cm="1">
        <f t="array" ref="K47">IF(Thomson=1,_xll.TR(K$7,K$6,"Sdate=#1 Period=#2 NULL=BLANK",,$D47,"NTM"),K47)</f>
        <v>#NAME?</v>
      </c>
      <c r="L47" s="187" t="e" cm="1">
        <f t="array" ref="L47">IF(Thomson=1,_xll.TR(L$7,L$6,"Sdate=#1 Period=#2 NULL=BLANK",,$D47,"NTM"),L47)</f>
        <v>#NAME?</v>
      </c>
      <c r="Q47" s="199">
        <f t="shared" si="2"/>
        <v>43373</v>
      </c>
      <c r="R47" s="187" t="e">
        <f t="shared" si="3"/>
        <v>#NAME?</v>
      </c>
      <c r="S47" s="187" t="e">
        <f t="shared" si="4"/>
        <v>#NAME?</v>
      </c>
      <c r="T47" s="187" t="e">
        <f t="shared" si="5"/>
        <v>#NAME?</v>
      </c>
    </row>
    <row r="48" spans="3:20" ht="11.25" customHeight="1">
      <c r="C48" s="200">
        <f t="shared" si="7"/>
        <v>43465</v>
      </c>
      <c r="D48" s="197">
        <f t="shared" si="6"/>
        <v>43510</v>
      </c>
      <c r="E48" s="187" t="e" cm="1">
        <f t="array" ref="E48">IF(Thomson=1,_xll.TR(E$7,E$6,"Sdate=#1 Period=#2 NULL=BLANK",,$D48,"NTM"),E48)</f>
        <v>#NAME?</v>
      </c>
      <c r="F48" s="187" t="e" cm="1">
        <f t="array" ref="F48">IF(Thomson=1,_xll.TR(F$7,F$6,"Sdate=#1 Period=#2 NULL=BLANK",,$D48,"NTM"),F48)</f>
        <v>#NAME?</v>
      </c>
      <c r="G48" s="187" t="e" cm="1">
        <f t="array" ref="G48">IF(Thomson=1,_xll.TR(G$7,G$6,"Sdate=#1 Period=#2 NULL=BLANK",,$D48,"NTM"),G48)</f>
        <v>#NAME?</v>
      </c>
      <c r="H48" s="187" t="e" cm="1">
        <f t="array" ref="H48">IF(Thomson=1,_xll.TR(H$7,H$6,"Sdate=#1 Period=#2 NULL=BLANK",,$D48,"NTM"),H48)</f>
        <v>#NAME?</v>
      </c>
      <c r="I48" s="187" t="e" cm="1">
        <f t="array" ref="I48">IF(Thomson=1,_xll.TR(I$7,I$6,"Sdate=#1 Period=#2 NULL=BLANK",,$D48,"NTM"),I48)</f>
        <v>#NAME?</v>
      </c>
      <c r="J48" s="187" t="e" cm="1">
        <f t="array" ref="J48">IF(Thomson=1,_xll.TR(J$7,J$6,"Sdate=#1 Period=#2 NULL=BLANK",,$D48,"NTM"),J48)</f>
        <v>#NAME?</v>
      </c>
      <c r="K48" s="187" t="e" cm="1">
        <f t="array" ref="K48">IF(Thomson=1,_xll.TR(K$7,K$6,"Sdate=#1 Period=#2 NULL=BLANK",,$D48,"NTM"),K48)</f>
        <v>#NAME?</v>
      </c>
      <c r="L48" s="187" t="e" cm="1">
        <f t="array" ref="L48">IF(Thomson=1,_xll.TR(L$7,L$6,"Sdate=#1 Period=#2 NULL=BLANK",,$D48,"NTM"),L48)</f>
        <v>#NAME?</v>
      </c>
      <c r="Q48" s="200">
        <f t="shared" si="2"/>
        <v>43465</v>
      </c>
      <c r="R48" s="187" t="e">
        <f t="shared" si="3"/>
        <v>#NAME?</v>
      </c>
      <c r="S48" s="187" t="e">
        <f t="shared" si="4"/>
        <v>#NAME?</v>
      </c>
      <c r="T48" s="187" t="e">
        <f t="shared" si="5"/>
        <v>#NAME?</v>
      </c>
    </row>
    <row r="49" spans="3:20" ht="11.25" customHeight="1">
      <c r="C49" s="196">
        <f t="shared" si="7"/>
        <v>43555</v>
      </c>
      <c r="D49" s="197">
        <f t="shared" si="6"/>
        <v>43600</v>
      </c>
      <c r="E49" s="187" t="e" cm="1">
        <f t="array" ref="E49">IF(Thomson=1,_xll.TR(E$7,E$6,"Sdate=#1 Period=#2 NULL=BLANK",,$D49,"NTM"),E49)</f>
        <v>#NAME?</v>
      </c>
      <c r="F49" s="187" t="e" cm="1">
        <f t="array" ref="F49">IF(Thomson=1,_xll.TR(F$7,F$6,"Sdate=#1 Period=#2 NULL=BLANK",,$D49,"NTM"),F49)</f>
        <v>#NAME?</v>
      </c>
      <c r="G49" s="187" t="e" cm="1">
        <f t="array" ref="G49">IF(Thomson=1,_xll.TR(G$7,G$6,"Sdate=#1 Period=#2 NULL=BLANK",,$D49,"NTM"),G49)</f>
        <v>#NAME?</v>
      </c>
      <c r="H49" s="187" t="e" cm="1">
        <f t="array" ref="H49">IF(Thomson=1,_xll.TR(H$7,H$6,"Sdate=#1 Period=#2 NULL=BLANK",,$D49,"NTM"),H49)</f>
        <v>#NAME?</v>
      </c>
      <c r="I49" s="187" t="e" cm="1">
        <f t="array" ref="I49">IF(Thomson=1,_xll.TR(I$7,I$6,"Sdate=#1 Period=#2 NULL=BLANK",,$D49,"NTM"),I49)</f>
        <v>#NAME?</v>
      </c>
      <c r="J49" s="187" t="e" cm="1">
        <f t="array" ref="J49">IF(Thomson=1,_xll.TR(J$7,J$6,"Sdate=#1 Period=#2 NULL=BLANK",,$D49,"NTM"),J49)</f>
        <v>#NAME?</v>
      </c>
      <c r="K49" s="187" t="e" cm="1">
        <f t="array" ref="K49">IF(Thomson=1,_xll.TR(K$7,K$6,"Sdate=#1 Period=#2 NULL=BLANK",,$D49,"NTM"),K49)</f>
        <v>#NAME?</v>
      </c>
      <c r="L49" s="187" t="e" cm="1">
        <f t="array" ref="L49">IF(Thomson=1,_xll.TR(L$7,L$6,"Sdate=#1 Period=#2 NULL=BLANK",,$D49,"NTM"),L49)</f>
        <v>#NAME?</v>
      </c>
      <c r="Q49" s="196">
        <f t="shared" si="2"/>
        <v>43555</v>
      </c>
      <c r="R49" s="187" t="e">
        <f t="shared" si="3"/>
        <v>#NAME?</v>
      </c>
      <c r="S49" s="187" t="e">
        <f t="shared" si="4"/>
        <v>#NAME?</v>
      </c>
      <c r="T49" s="187" t="e">
        <f t="shared" si="5"/>
        <v>#NAME?</v>
      </c>
    </row>
    <row r="50" spans="3:20" ht="11.25" customHeight="1">
      <c r="C50" s="198">
        <f t="shared" si="7"/>
        <v>43646</v>
      </c>
      <c r="D50" s="197">
        <f t="shared" si="6"/>
        <v>43691</v>
      </c>
      <c r="E50" s="187" t="e" cm="1">
        <f t="array" ref="E50">IF(Thomson=1,_xll.TR(E$7,E$6,"Sdate=#1 Period=#2 NULL=BLANK",,$D50,"NTM"),E50)</f>
        <v>#NAME?</v>
      </c>
      <c r="F50" s="187" t="e" cm="1">
        <f t="array" ref="F50">IF(Thomson=1,_xll.TR(F$7,F$6,"Sdate=#1 Period=#2 NULL=BLANK",,$D50,"NTM"),F50)</f>
        <v>#NAME?</v>
      </c>
      <c r="G50" s="187" t="e" cm="1">
        <f t="array" ref="G50">IF(Thomson=1,_xll.TR(G$7,G$6,"Sdate=#1 Period=#2 NULL=BLANK",,$D50,"NTM"),G50)</f>
        <v>#NAME?</v>
      </c>
      <c r="H50" s="187" t="e" cm="1">
        <f t="array" ref="H50">IF(Thomson=1,_xll.TR(H$7,H$6,"Sdate=#1 Period=#2 NULL=BLANK",,$D50,"NTM"),H50)</f>
        <v>#NAME?</v>
      </c>
      <c r="I50" s="187" t="e" cm="1">
        <f t="array" ref="I50">IF(Thomson=1,_xll.TR(I$7,I$6,"Sdate=#1 Period=#2 NULL=BLANK",,$D50,"NTM"),I50)</f>
        <v>#NAME?</v>
      </c>
      <c r="J50" s="187" t="e" cm="1">
        <f t="array" ref="J50">IF(Thomson=1,_xll.TR(J$7,J$6,"Sdate=#1 Period=#2 NULL=BLANK",,$D50,"NTM"),J50)</f>
        <v>#NAME?</v>
      </c>
      <c r="K50" s="187" t="e" cm="1">
        <f t="array" ref="K50">IF(Thomson=1,_xll.TR(K$7,K$6,"Sdate=#1 Period=#2 NULL=BLANK",,$D50,"NTM"),K50)</f>
        <v>#NAME?</v>
      </c>
      <c r="L50" s="187" t="e" cm="1">
        <f t="array" ref="L50">IF(Thomson=1,_xll.TR(L$7,L$6,"Sdate=#1 Period=#2 NULL=BLANK",,$D50,"NTM"),L50)</f>
        <v>#NAME?</v>
      </c>
      <c r="Q50" s="198">
        <f t="shared" si="2"/>
        <v>43646</v>
      </c>
      <c r="R50" s="187" t="e">
        <f t="shared" si="3"/>
        <v>#NAME?</v>
      </c>
      <c r="S50" s="187" t="e">
        <f t="shared" si="4"/>
        <v>#NAME?</v>
      </c>
      <c r="T50" s="187" t="e">
        <f t="shared" si="5"/>
        <v>#NAME?</v>
      </c>
    </row>
    <row r="51" spans="3:20">
      <c r="C51" s="199">
        <f t="shared" si="7"/>
        <v>43738</v>
      </c>
      <c r="D51" s="197">
        <f t="shared" si="6"/>
        <v>43783</v>
      </c>
      <c r="E51" s="187" t="e" cm="1">
        <f t="array" ref="E51">IF(Thomson=1,_xll.TR(E$7,E$6,"Sdate=#1 Period=#2 NULL=BLANK",,$D51,"NTM"),E51)</f>
        <v>#NAME?</v>
      </c>
      <c r="F51" s="187" t="e" cm="1">
        <f t="array" ref="F51">IF(Thomson=1,_xll.TR(F$7,F$6,"Sdate=#1 Period=#2 NULL=BLANK",,$D51,"NTM"),F51)</f>
        <v>#NAME?</v>
      </c>
      <c r="G51" s="187" t="e" cm="1">
        <f t="array" ref="G51">IF(Thomson=1,_xll.TR(G$7,G$6,"Sdate=#1 Period=#2 NULL=BLANK",,$D51,"NTM"),G51)</f>
        <v>#NAME?</v>
      </c>
      <c r="H51" s="187" t="e" cm="1">
        <f t="array" ref="H51">IF(Thomson=1,_xll.TR(H$7,H$6,"Sdate=#1 Period=#2 NULL=BLANK",,$D51,"NTM"),H51)</f>
        <v>#NAME?</v>
      </c>
      <c r="I51" s="187" t="e" cm="1">
        <f t="array" ref="I51">IF(Thomson=1,_xll.TR(I$7,I$6,"Sdate=#1 Period=#2 NULL=BLANK",,$D51,"NTM"),I51)</f>
        <v>#NAME?</v>
      </c>
      <c r="J51" s="187" t="e" cm="1">
        <f t="array" ref="J51">IF(Thomson=1,_xll.TR(J$7,J$6,"Sdate=#1 Period=#2 NULL=BLANK",,$D51,"NTM"),J51)</f>
        <v>#NAME?</v>
      </c>
      <c r="K51" s="187" t="e" cm="1">
        <f t="array" ref="K51">IF(Thomson=1,_xll.TR(K$7,K$6,"Sdate=#1 Period=#2 NULL=BLANK",,$D51,"NTM"),K51)</f>
        <v>#NAME?</v>
      </c>
      <c r="L51" s="187" t="e" cm="1">
        <f t="array" ref="L51">IF(Thomson=1,_xll.TR(L$7,L$6,"Sdate=#1 Period=#2 NULL=BLANK",,$D51,"NTM"),L51)</f>
        <v>#NAME?</v>
      </c>
      <c r="Q51" s="199">
        <f t="shared" si="2"/>
        <v>43738</v>
      </c>
      <c r="R51" s="187" t="e">
        <f t="shared" si="3"/>
        <v>#NAME?</v>
      </c>
      <c r="S51" s="187" t="e">
        <f t="shared" si="4"/>
        <v>#NAME?</v>
      </c>
      <c r="T51" s="187" t="e">
        <f t="shared" si="5"/>
        <v>#NAME?</v>
      </c>
    </row>
    <row r="52" spans="3:20">
      <c r="C52" s="200">
        <f t="shared" si="7"/>
        <v>43830</v>
      </c>
      <c r="D52" s="197">
        <f t="shared" si="6"/>
        <v>43875</v>
      </c>
      <c r="E52" s="187" t="e" cm="1">
        <f t="array" ref="E52">IF(Thomson=1,_xll.TR(E$7,E$6,"Sdate=#1 Period=#2 NULL=BLANK",,$D52,"NTM"),E52)</f>
        <v>#NAME?</v>
      </c>
      <c r="F52" s="187" t="e" cm="1">
        <f t="array" ref="F52">IF(Thomson=1,_xll.TR(F$7,F$6,"Sdate=#1 Period=#2 NULL=BLANK",,$D52,"NTM"),F52)</f>
        <v>#NAME?</v>
      </c>
      <c r="G52" s="187" t="e" cm="1">
        <f t="array" ref="G52">IF(Thomson=1,_xll.TR(G$7,G$6,"Sdate=#1 Period=#2 NULL=BLANK",,$D52,"NTM"),G52)</f>
        <v>#NAME?</v>
      </c>
      <c r="H52" s="187" t="e" cm="1">
        <f t="array" ref="H52">IF(Thomson=1,_xll.TR(H$7,H$6,"Sdate=#1 Period=#2 NULL=BLANK",,$D52,"NTM"),H52)</f>
        <v>#NAME?</v>
      </c>
      <c r="I52" s="187" t="e" cm="1">
        <f t="array" ref="I52">IF(Thomson=1,_xll.TR(I$7,I$6,"Sdate=#1 Period=#2 NULL=BLANK",,$D52,"NTM"),I52)</f>
        <v>#NAME?</v>
      </c>
      <c r="J52" s="187" t="e" cm="1">
        <f t="array" ref="J52">IF(Thomson=1,_xll.TR(J$7,J$6,"Sdate=#1 Period=#2 NULL=BLANK",,$D52,"NTM"),J52)</f>
        <v>#NAME?</v>
      </c>
      <c r="K52" s="187" t="e" cm="1">
        <f t="array" ref="K52">IF(Thomson=1,_xll.TR(K$7,K$6,"Sdate=#1 Period=#2 NULL=BLANK",,$D52,"NTM"),K52)</f>
        <v>#NAME?</v>
      </c>
      <c r="L52" s="187" t="e" cm="1">
        <f t="array" ref="L52">IF(Thomson=1,_xll.TR(L$7,L$6,"Sdate=#1 Period=#2 NULL=BLANK",,$D52,"NTM"),L52)</f>
        <v>#NAME?</v>
      </c>
      <c r="Q52" s="200">
        <f t="shared" si="2"/>
        <v>43830</v>
      </c>
      <c r="R52" s="187" t="e">
        <f t="shared" si="3"/>
        <v>#NAME?</v>
      </c>
      <c r="S52" s="187" t="e">
        <f t="shared" si="4"/>
        <v>#NAME?</v>
      </c>
      <c r="T52" s="187" t="e">
        <f t="shared" si="5"/>
        <v>#NAME?</v>
      </c>
    </row>
    <row r="53" spans="3:20">
      <c r="C53" s="196">
        <f t="shared" si="7"/>
        <v>43921</v>
      </c>
      <c r="D53" s="197">
        <f t="shared" si="6"/>
        <v>43966</v>
      </c>
      <c r="E53" s="187" t="e" cm="1">
        <f t="array" ref="E53">IF(Thomson=1,_xll.TR(E$7,E$6,"Sdate=#1 Period=#2 NULL=BLANK",,$D53,"NTM"),E53)</f>
        <v>#NAME?</v>
      </c>
      <c r="F53" s="187" t="e" cm="1">
        <f t="array" ref="F53">IF(Thomson=1,_xll.TR(F$7,F$6,"Sdate=#1 Period=#2 NULL=BLANK",,$D53,"NTM"),F53)</f>
        <v>#NAME?</v>
      </c>
      <c r="G53" s="187" t="e" cm="1">
        <f t="array" ref="G53">IF(Thomson=1,_xll.TR(G$7,G$6,"Sdate=#1 Period=#2 NULL=BLANK",,$D53,"NTM"),G53)</f>
        <v>#NAME?</v>
      </c>
      <c r="H53" s="187" t="e" cm="1">
        <f t="array" ref="H53">IF(Thomson=1,_xll.TR(H$7,H$6,"Sdate=#1 Period=#2 NULL=BLANK",,$D53,"NTM"),H53)</f>
        <v>#NAME?</v>
      </c>
      <c r="I53" s="187" t="e" cm="1">
        <f t="array" ref="I53">IF(Thomson=1,_xll.TR(I$7,I$6,"Sdate=#1 Period=#2 NULL=BLANK",,$D53,"NTM"),I53)</f>
        <v>#NAME?</v>
      </c>
      <c r="J53" s="187" t="e" cm="1">
        <f t="array" ref="J53">IF(Thomson=1,_xll.TR(J$7,J$6,"Sdate=#1 Period=#2 NULL=BLANK",,$D53,"NTM"),J53)</f>
        <v>#NAME?</v>
      </c>
      <c r="K53" s="187" t="e" cm="1">
        <f t="array" ref="K53">IF(Thomson=1,_xll.TR(K$7,K$6,"Sdate=#1 Period=#2 NULL=BLANK",,$D53,"NTM"),K53)</f>
        <v>#NAME?</v>
      </c>
      <c r="L53" s="187" t="e" cm="1">
        <f t="array" ref="L53">IF(Thomson=1,_xll.TR(L$7,L$6,"Sdate=#1 Period=#2 NULL=BLANK",,$D53,"NTM"),L53)</f>
        <v>#NAME?</v>
      </c>
      <c r="Q53" s="196">
        <f t="shared" si="2"/>
        <v>43921</v>
      </c>
      <c r="R53" s="187" t="e">
        <f t="shared" si="3"/>
        <v>#NAME?</v>
      </c>
      <c r="S53" s="187" t="e">
        <f t="shared" si="4"/>
        <v>#NAME?</v>
      </c>
      <c r="T53" s="187" t="e">
        <f t="shared" si="5"/>
        <v>#NAME?</v>
      </c>
    </row>
    <row r="54" spans="3:20">
      <c r="C54" s="198">
        <f t="shared" si="7"/>
        <v>44012</v>
      </c>
      <c r="D54" s="197">
        <f t="shared" si="6"/>
        <v>44057</v>
      </c>
      <c r="E54" s="187" t="e" cm="1">
        <f t="array" ref="E54">IF(Thomson=1,_xll.TR(E$7,E$6,"Sdate=#1 Period=#2 NULL=BLANK",,$D54,"NTM"),E54)</f>
        <v>#NAME?</v>
      </c>
      <c r="F54" s="187" t="e" cm="1">
        <f t="array" ref="F54">IF(Thomson=1,_xll.TR(F$7,F$6,"Sdate=#1 Period=#2 NULL=BLANK",,$D54,"NTM"),F54)</f>
        <v>#NAME?</v>
      </c>
      <c r="G54" s="187" t="e" cm="1">
        <f t="array" ref="G54">IF(Thomson=1,_xll.TR(G$7,G$6,"Sdate=#1 Period=#2 NULL=BLANK",,$D54,"NTM"),G54)</f>
        <v>#NAME?</v>
      </c>
      <c r="H54" s="187" t="e" cm="1">
        <f t="array" ref="H54">IF(Thomson=1,_xll.TR(H$7,H$6,"Sdate=#1 Period=#2 NULL=BLANK",,$D54,"NTM"),H54)</f>
        <v>#NAME?</v>
      </c>
      <c r="I54" s="187" t="e" cm="1">
        <f t="array" ref="I54">IF(Thomson=1,_xll.TR(I$7,I$6,"Sdate=#1 Period=#2 NULL=BLANK",,$D54,"NTM"),I54)</f>
        <v>#NAME?</v>
      </c>
      <c r="J54" s="187" t="e" cm="1">
        <f t="array" ref="J54">IF(Thomson=1,_xll.TR(J$7,J$6,"Sdate=#1 Period=#2 NULL=BLANK",,$D54,"NTM"),J54)</f>
        <v>#NAME?</v>
      </c>
      <c r="K54" s="187" t="e" cm="1">
        <f t="array" ref="K54">IF(Thomson=1,_xll.TR(K$7,K$6,"Sdate=#1 Period=#2 NULL=BLANK",,$D54,"NTM"),K54)</f>
        <v>#NAME?</v>
      </c>
      <c r="L54" s="187" t="e" cm="1">
        <f t="array" ref="L54">IF(Thomson=1,_xll.TR(L$7,L$6,"Sdate=#1 Period=#2 NULL=BLANK",,$D54,"NTM"),L54)</f>
        <v>#NAME?</v>
      </c>
      <c r="Q54" s="198">
        <f t="shared" si="2"/>
        <v>44012</v>
      </c>
      <c r="R54" s="187" t="e">
        <f t="shared" si="3"/>
        <v>#NAME?</v>
      </c>
      <c r="S54" s="187" t="e">
        <f t="shared" si="4"/>
        <v>#NAME?</v>
      </c>
      <c r="T54" s="187" t="e">
        <f t="shared" si="5"/>
        <v>#NAME?</v>
      </c>
    </row>
    <row r="55" spans="3:20">
      <c r="C55" s="199">
        <f t="shared" si="7"/>
        <v>44104</v>
      </c>
      <c r="D55" s="197">
        <f t="shared" si="6"/>
        <v>44149</v>
      </c>
      <c r="E55" s="187" t="e" cm="1">
        <f t="array" ref="E55">IF(Thomson=1,_xll.TR(E$7,E$6,"Sdate=#1 Period=#2 NULL=BLANK",,$D55,"NTM"),E55)</f>
        <v>#NAME?</v>
      </c>
      <c r="F55" s="187" t="e" cm="1">
        <f t="array" ref="F55">IF(Thomson=1,_xll.TR(F$7,F$6,"Sdate=#1 Period=#2 NULL=BLANK",,$D55,"NTM"),F55)</f>
        <v>#NAME?</v>
      </c>
      <c r="G55" s="187" t="e" cm="1">
        <f t="array" ref="G55">IF(Thomson=1,_xll.TR(G$7,G$6,"Sdate=#1 Period=#2 NULL=BLANK",,$D55,"NTM"),G55)</f>
        <v>#NAME?</v>
      </c>
      <c r="H55" s="187" t="e" cm="1">
        <f t="array" ref="H55">IF(Thomson=1,_xll.TR(H$7,H$6,"Sdate=#1 Period=#2 NULL=BLANK",,$D55,"NTM"),H55)</f>
        <v>#NAME?</v>
      </c>
      <c r="I55" s="187" t="e" cm="1">
        <f t="array" ref="I55">IF(Thomson=1,_xll.TR(I$7,I$6,"Sdate=#1 Period=#2 NULL=BLANK",,$D55,"NTM"),I55)</f>
        <v>#NAME?</v>
      </c>
      <c r="J55" s="187" t="e" cm="1">
        <f t="array" ref="J55">IF(Thomson=1,_xll.TR(J$7,J$6,"Sdate=#1 Period=#2 NULL=BLANK",,$D55,"NTM"),J55)</f>
        <v>#NAME?</v>
      </c>
      <c r="K55" s="187" t="e" cm="1">
        <f t="array" ref="K55">IF(Thomson=1,_xll.TR(K$7,K$6,"Sdate=#1 Period=#2 NULL=BLANK",,$D55,"NTM"),K55)</f>
        <v>#NAME?</v>
      </c>
      <c r="L55" s="187" t="e" cm="1">
        <f t="array" ref="L55">IF(Thomson=1,_xll.TR(L$7,L$6,"Sdate=#1 Period=#2 NULL=BLANK",,$D55,"NTM"),L55)</f>
        <v>#NAME?</v>
      </c>
      <c r="Q55" s="199">
        <f t="shared" si="2"/>
        <v>44104</v>
      </c>
      <c r="R55" s="187" t="e">
        <f t="shared" si="3"/>
        <v>#NAME?</v>
      </c>
      <c r="S55" s="187" t="e">
        <f t="shared" si="4"/>
        <v>#NAME?</v>
      </c>
      <c r="T55" s="187" t="e">
        <f t="shared" si="5"/>
        <v>#NAME?</v>
      </c>
    </row>
    <row r="56" spans="3:20">
      <c r="C56" s="200">
        <f t="shared" si="7"/>
        <v>44196</v>
      </c>
      <c r="D56" s="197">
        <f t="shared" si="6"/>
        <v>44241</v>
      </c>
      <c r="E56" s="187" t="e" cm="1">
        <f t="array" ref="E56">IF(Thomson=1,_xll.TR(E$7,E$6,"Sdate=#1 Period=#2 NULL=BLANK",,$D56,"NTM"),E56)</f>
        <v>#NAME?</v>
      </c>
      <c r="F56" s="187" t="e" cm="1">
        <f t="array" ref="F56">IF(Thomson=1,_xll.TR(F$7,F$6,"Sdate=#1 Period=#2 NULL=BLANK",,$D56,"NTM"),F56)</f>
        <v>#NAME?</v>
      </c>
      <c r="G56" s="187" t="e" cm="1">
        <f t="array" ref="G56">IF(Thomson=1,_xll.TR(G$7,G$6,"Sdate=#1 Period=#2 NULL=BLANK",,$D56,"NTM"),G56)</f>
        <v>#NAME?</v>
      </c>
      <c r="H56" s="187" t="e" cm="1">
        <f t="array" ref="H56">IF(Thomson=1,_xll.TR(H$7,H$6,"Sdate=#1 Period=#2 NULL=BLANK",,$D56,"NTM"),H56)</f>
        <v>#NAME?</v>
      </c>
      <c r="I56" s="187" t="e" cm="1">
        <f t="array" ref="I56">IF(Thomson=1,_xll.TR(I$7,I$6,"Sdate=#1 Period=#2 NULL=BLANK",,$D56,"NTM"),I56)</f>
        <v>#NAME?</v>
      </c>
      <c r="J56" s="187" t="e" cm="1">
        <f t="array" ref="J56">IF(Thomson=1,_xll.TR(J$7,J$6,"Sdate=#1 Period=#2 NULL=BLANK",,$D56,"NTM"),J56)</f>
        <v>#NAME?</v>
      </c>
      <c r="K56" s="187" t="e" cm="1">
        <f t="array" ref="K56">IF(Thomson=1,_xll.TR(K$7,K$6,"Sdate=#1 Period=#2 NULL=BLANK",,$D56,"NTM"),K56)</f>
        <v>#NAME?</v>
      </c>
      <c r="L56" s="187" t="e" cm="1">
        <f t="array" ref="L56">IF(Thomson=1,_xll.TR(L$7,L$6,"Sdate=#1 Period=#2 NULL=BLANK",,$D56,"NTM"),L56)</f>
        <v>#NAME?</v>
      </c>
      <c r="Q56" s="200">
        <f t="shared" si="2"/>
        <v>44196</v>
      </c>
      <c r="R56" s="187" t="e">
        <f t="shared" si="3"/>
        <v>#NAME?</v>
      </c>
      <c r="S56" s="187" t="e">
        <f t="shared" si="4"/>
        <v>#NAME?</v>
      </c>
      <c r="T56" s="187" t="e">
        <f t="shared" si="5"/>
        <v>#NAME?</v>
      </c>
    </row>
    <row r="57" spans="3:20">
      <c r="C57" s="196">
        <f t="shared" si="7"/>
        <v>44286</v>
      </c>
      <c r="D57" s="197">
        <f t="shared" si="6"/>
        <v>44331</v>
      </c>
      <c r="E57" s="187" t="e" cm="1">
        <f t="array" ref="E57">IF(Thomson=1,_xll.TR(E$7,E$6,"Sdate=#1 Period=#2 NULL=BLANK",,$D57,"NTM"),E57)</f>
        <v>#NAME?</v>
      </c>
      <c r="F57" s="187" t="e" cm="1">
        <f t="array" ref="F57">IF(Thomson=1,_xll.TR(F$7,F$6,"Sdate=#1 Period=#2 NULL=BLANK",,$D57,"NTM"),F57)</f>
        <v>#NAME?</v>
      </c>
      <c r="G57" s="187" t="e" cm="1">
        <f t="array" ref="G57">IF(Thomson=1,_xll.TR(G$7,G$6,"Sdate=#1 Period=#2 NULL=BLANK",,$D57,"NTM"),G57)</f>
        <v>#NAME?</v>
      </c>
      <c r="H57" s="187" t="e" cm="1">
        <f t="array" ref="H57">IF(Thomson=1,_xll.TR(H$7,H$6,"Sdate=#1 Period=#2 NULL=BLANK",,$D57,"NTM"),H57)</f>
        <v>#NAME?</v>
      </c>
      <c r="I57" s="187" t="e" cm="1">
        <f t="array" ref="I57">IF(Thomson=1,_xll.TR(I$7,I$6,"Sdate=#1 Period=#2 NULL=BLANK",,$D57,"NTM"),I57)</f>
        <v>#NAME?</v>
      </c>
      <c r="J57" s="187" t="e" cm="1">
        <f t="array" ref="J57">IF(Thomson=1,_xll.TR(J$7,J$6,"Sdate=#1 Period=#2 NULL=BLANK",,$D57,"NTM"),J57)</f>
        <v>#NAME?</v>
      </c>
      <c r="K57" s="187" t="e" cm="1">
        <f t="array" ref="K57">IF(Thomson=1,_xll.TR(K$7,K$6,"Sdate=#1 Period=#2 NULL=BLANK",,$D57,"NTM"),K57)</f>
        <v>#NAME?</v>
      </c>
      <c r="L57" s="187" t="e" cm="1">
        <f t="array" ref="L57">IF(Thomson=1,_xll.TR(L$7,L$6,"Sdate=#1 Period=#2 NULL=BLANK",,$D57,"NTM"),L57)</f>
        <v>#NAME?</v>
      </c>
      <c r="Q57" s="196">
        <f t="shared" si="2"/>
        <v>44286</v>
      </c>
      <c r="R57" s="187" t="e">
        <f t="shared" si="3"/>
        <v>#NAME?</v>
      </c>
      <c r="S57" s="187" t="e">
        <f t="shared" si="4"/>
        <v>#NAME?</v>
      </c>
      <c r="T57" s="187" t="e">
        <f t="shared" si="5"/>
        <v>#NAME?</v>
      </c>
    </row>
    <row r="58" spans="3:20">
      <c r="C58" s="198">
        <f t="shared" si="7"/>
        <v>44377</v>
      </c>
      <c r="D58" s="197">
        <f t="shared" si="6"/>
        <v>44422</v>
      </c>
      <c r="E58" s="187" t="e" cm="1">
        <f t="array" ref="E58">IF(Thomson=1,_xll.TR(E$7,E$6,"Sdate=#1 Period=#2 NULL=BLANK",,$D58,"NTM"),E58)</f>
        <v>#NAME?</v>
      </c>
      <c r="F58" s="187" t="e" cm="1">
        <f t="array" ref="F58">IF(Thomson=1,_xll.TR(F$7,F$6,"Sdate=#1 Period=#2 NULL=BLANK",,$D58,"NTM"),F58)</f>
        <v>#NAME?</v>
      </c>
      <c r="G58" s="187" t="e" cm="1">
        <f t="array" ref="G58">IF(Thomson=1,_xll.TR(G$7,G$6,"Sdate=#1 Period=#2 NULL=BLANK",,$D58,"NTM"),G58)</f>
        <v>#NAME?</v>
      </c>
      <c r="H58" s="187" t="e" cm="1">
        <f t="array" ref="H58">IF(Thomson=1,_xll.TR(H$7,H$6,"Sdate=#1 Period=#2 NULL=BLANK",,$D58,"NTM"),H58)</f>
        <v>#NAME?</v>
      </c>
      <c r="I58" s="187" t="e" cm="1">
        <f t="array" ref="I58">IF(Thomson=1,_xll.TR(I$7,I$6,"Sdate=#1 Period=#2 NULL=BLANK",,$D58,"NTM"),I58)</f>
        <v>#NAME?</v>
      </c>
      <c r="J58" s="187" t="e" cm="1">
        <f t="array" ref="J58">IF(Thomson=1,_xll.TR(J$7,J$6,"Sdate=#1 Period=#2 NULL=BLANK",,$D58,"NTM"),J58)</f>
        <v>#NAME?</v>
      </c>
      <c r="K58" s="187" t="e" cm="1">
        <f t="array" ref="K58">IF(Thomson=1,_xll.TR(K$7,K$6,"Sdate=#1 Period=#2 NULL=BLANK",,$D58,"NTM"),K58)</f>
        <v>#NAME?</v>
      </c>
      <c r="L58" s="187" t="e" cm="1">
        <f t="array" ref="L58">IF(Thomson=1,_xll.TR(L$7,L$6,"Sdate=#1 Period=#2 NULL=BLANK",,$D58,"NTM"),L58)</f>
        <v>#NAME?</v>
      </c>
      <c r="Q58" s="198">
        <f t="shared" si="2"/>
        <v>44377</v>
      </c>
      <c r="R58" s="187" t="e">
        <f t="shared" si="3"/>
        <v>#NAME?</v>
      </c>
      <c r="S58" s="187" t="e">
        <f t="shared" si="4"/>
        <v>#NAME?</v>
      </c>
      <c r="T58" s="187" t="e">
        <f t="shared" si="5"/>
        <v>#NAME?</v>
      </c>
    </row>
    <row r="59" spans="3:20">
      <c r="C59" s="199">
        <f t="shared" si="7"/>
        <v>44469</v>
      </c>
      <c r="D59" s="197">
        <f t="shared" si="6"/>
        <v>44514</v>
      </c>
      <c r="E59" s="187" t="e" cm="1">
        <f t="array" ref="E59">IF(Thomson=1,_xll.TR(E$7,E$6,"Sdate=#1 Period=#2 NULL=BLANK",,$D59,"NTM"),E59)</f>
        <v>#NAME?</v>
      </c>
      <c r="F59" s="187" t="e" cm="1">
        <f t="array" ref="F59">IF(Thomson=1,_xll.TR(F$7,F$6,"Sdate=#1 Period=#2 NULL=BLANK",,$D59,"NTM"),F59)</f>
        <v>#NAME?</v>
      </c>
      <c r="G59" s="187" t="e" cm="1">
        <f t="array" ref="G59">IF(Thomson=1,_xll.TR(G$7,G$6,"Sdate=#1 Period=#2 NULL=BLANK",,$D59,"NTM"),G59)</f>
        <v>#NAME?</v>
      </c>
      <c r="H59" s="187" t="e" cm="1">
        <f t="array" ref="H59">IF(Thomson=1,_xll.TR(H$7,H$6,"Sdate=#1 Period=#2 NULL=BLANK",,$D59,"NTM"),H59)</f>
        <v>#NAME?</v>
      </c>
      <c r="I59" s="187" t="e" cm="1">
        <f t="array" ref="I59">IF(Thomson=1,_xll.TR(I$7,I$6,"Sdate=#1 Period=#2 NULL=BLANK",,$D59,"NTM"),I59)</f>
        <v>#NAME?</v>
      </c>
      <c r="J59" s="187" t="e" cm="1">
        <f t="array" ref="J59">IF(Thomson=1,_xll.TR(J$7,J$6,"Sdate=#1 Period=#2 NULL=BLANK",,$D59,"NTM"),J59)</f>
        <v>#NAME?</v>
      </c>
      <c r="K59" s="187" t="e" cm="1">
        <f t="array" ref="K59">IF(Thomson=1,_xll.TR(K$7,K$6,"Sdate=#1 Period=#2 NULL=BLANK",,$D59,"NTM"),K59)</f>
        <v>#NAME?</v>
      </c>
      <c r="L59" s="187" t="e" cm="1">
        <f t="array" ref="L59">IF(Thomson=1,_xll.TR(L$7,L$6,"Sdate=#1 Period=#2 NULL=BLANK",,$D59,"NTM"),L59)</f>
        <v>#NAME?</v>
      </c>
      <c r="Q59" s="199">
        <f t="shared" si="2"/>
        <v>44469</v>
      </c>
      <c r="R59" s="187" t="e">
        <f t="shared" si="3"/>
        <v>#NAME?</v>
      </c>
      <c r="S59" s="187" t="e">
        <f t="shared" si="4"/>
        <v>#NAME?</v>
      </c>
      <c r="T59" s="187" t="e">
        <f t="shared" si="5"/>
        <v>#NAME?</v>
      </c>
    </row>
    <row r="60" spans="3:20">
      <c r="C60" s="200">
        <f t="shared" si="7"/>
        <v>44561</v>
      </c>
      <c r="D60" s="321">
        <v>44607</v>
      </c>
      <c r="E60" s="187" t="e" cm="1">
        <f t="array" ref="E60">IF(Thomson=1,_xll.TR(E$7,E$6,"Sdate=#1 Period=#2 NULL=BLANK",,$D60,"NTM"),E60)</f>
        <v>#NAME?</v>
      </c>
      <c r="F60" s="187" t="e" cm="1">
        <f t="array" ref="F60">IF(Thomson=1,_xll.TR(F$7,F$6,"Sdate=#1 Period=#2 NULL=BLANK",,$D60,"NTM"),F60)</f>
        <v>#NAME?</v>
      </c>
      <c r="G60" s="187" t="e" cm="1">
        <f t="array" ref="G60">IF(Thomson=1,_xll.TR(G$7,G$6,"Sdate=#1 Period=#2 NULL=BLANK",,$D60,"NTM"),G60)</f>
        <v>#NAME?</v>
      </c>
      <c r="H60" s="187" t="e" cm="1">
        <f t="array" ref="H60">IF(Thomson=1,_xll.TR(H$7,H$6,"Sdate=#1 Period=#2 NULL=BLANK",,$D60,"NTM"),H60)</f>
        <v>#NAME?</v>
      </c>
      <c r="I60" s="187" t="e" cm="1">
        <f t="array" ref="I60">IF(Thomson=1,_xll.TR(I$7,I$6,"Sdate=#1 Period=#2 NULL=BLANK",,$D60,"NTM"),I60)</f>
        <v>#NAME?</v>
      </c>
      <c r="J60" s="187" t="e" cm="1">
        <f t="array" ref="J60">IF(Thomson=1,_xll.TR(J$7,J$6,"Sdate=#1 Period=#2 NULL=BLANK",,$D60,"NTM"),J60)</f>
        <v>#NAME?</v>
      </c>
      <c r="K60" s="187" t="e" cm="1">
        <f t="array" ref="K60">IF(Thomson=1,_xll.TR(K$7,K$6,"Sdate=#1 Period=#2 NULL=BLANK",,$D60,"NTM"),K60)</f>
        <v>#NAME?</v>
      </c>
      <c r="L60" s="187" t="e" cm="1">
        <f t="array" ref="L60">IF(Thomson=1,_xll.TR(L$7,L$6,"Sdate=#1 Period=#2 NULL=BLANK",,$D60,"NTM"),L60)</f>
        <v>#NAME?</v>
      </c>
      <c r="Q60" s="200">
        <f t="shared" si="2"/>
        <v>44561</v>
      </c>
      <c r="R60" s="187" t="e">
        <f t="shared" si="3"/>
        <v>#NAME?</v>
      </c>
      <c r="S60" s="187" t="e">
        <f t="shared" si="4"/>
        <v>#NAME?</v>
      </c>
      <c r="T60" s="187" t="e">
        <f t="shared" si="5"/>
        <v>#NAME?</v>
      </c>
    </row>
    <row r="61" spans="3:20">
      <c r="C61" s="198"/>
    </row>
  </sheetData>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91E13-4647-44A7-8F3B-02A46052B775}">
  <dimension ref="B1:X3660"/>
  <sheetViews>
    <sheetView showGridLines="0" showZeros="0" zoomScaleNormal="100" zoomScaleSheetLayoutView="100" workbookViewId="0"/>
  </sheetViews>
  <sheetFormatPr defaultColWidth="12.81640625" defaultRowHeight="10.15"/>
  <cols>
    <col min="1" max="1" width="5" style="805" customWidth="1"/>
    <col min="2" max="2" width="13" style="805" bestFit="1" customWidth="1"/>
    <col min="3" max="3" width="32.1796875" style="805" bestFit="1" customWidth="1"/>
    <col min="4" max="5" width="19.6328125" style="805" customWidth="1"/>
    <col min="6" max="6" width="19.6328125" style="806" customWidth="1"/>
    <col min="7" max="12" width="19.6328125" style="805" customWidth="1"/>
    <col min="13" max="13" width="26.6328125" style="805" bestFit="1" customWidth="1"/>
    <col min="14" max="19" width="19.6328125" style="805" customWidth="1"/>
    <col min="20" max="23" width="20" style="805" bestFit="1" customWidth="1"/>
    <col min="24" max="16384" width="12.81640625" style="805"/>
  </cols>
  <sheetData>
    <row r="1" spans="2:24" ht="13.5" customHeight="1">
      <c r="C1" s="805" t="s">
        <v>500</v>
      </c>
      <c r="D1" s="805" t="s">
        <v>500</v>
      </c>
      <c r="E1" s="805" t="s">
        <v>500</v>
      </c>
      <c r="F1" s="806" t="s">
        <v>500</v>
      </c>
      <c r="G1" s="805" t="s">
        <v>500</v>
      </c>
      <c r="H1" s="805" t="s">
        <v>500</v>
      </c>
      <c r="I1" s="805" t="s">
        <v>500</v>
      </c>
      <c r="J1" s="805" t="s">
        <v>500</v>
      </c>
      <c r="K1" s="805" t="s">
        <v>500</v>
      </c>
    </row>
    <row r="2" spans="2:24">
      <c r="C2" s="807" t="s">
        <v>936</v>
      </c>
      <c r="D2" s="808"/>
      <c r="E2" s="808"/>
      <c r="F2" s="809"/>
      <c r="G2" s="808"/>
      <c r="H2" s="808"/>
      <c r="I2" s="808"/>
      <c r="J2" s="808"/>
      <c r="K2" s="808"/>
    </row>
    <row r="3" spans="2:24" ht="6" customHeight="1">
      <c r="C3" s="810"/>
      <c r="D3" s="811"/>
      <c r="E3" s="811"/>
      <c r="F3" s="812"/>
      <c r="G3" s="811"/>
      <c r="H3" s="811"/>
      <c r="I3" s="811"/>
      <c r="J3" s="811"/>
      <c r="K3" s="811"/>
    </row>
    <row r="4" spans="2:24" ht="12" customHeight="1" thickBot="1">
      <c r="B4" s="813"/>
      <c r="C4" s="814" t="s">
        <v>937</v>
      </c>
      <c r="D4" s="815" cm="1">
        <f t="array" aca="1" ref="D4" ca="1">_xlfn.SINGLE(IFERROR(_xll.TR(D$5,"AVG(TR.Volume(SDate=0D,EDate=0D-249D))"),D4))</f>
        <v>42574772.916000001</v>
      </c>
      <c r="E4" s="815" cm="1">
        <f t="array" aca="1" ref="E4" ca="1">_xlfn.SINGLE(IFERROR(_xll.TR(E$5,"AVG(TR.Volume(SDate=0D,EDate=0D-249D))"),E4))</f>
        <v>9578056.852</v>
      </c>
      <c r="F4" s="815" cm="1">
        <f t="array" aca="1" ref="F4" ca="1">_xlfn.SINGLE(IFERROR(_xll.TR(F$5,"AVG(TR.Volume(SDate=0D,EDate=0D-249D))"),F4))</f>
        <v>10998198.872</v>
      </c>
      <c r="G4" s="815" cm="1">
        <f t="array" aca="1" ref="G4" ca="1">_xlfn.SINGLE(IFERROR(_xll.TR(G$5,"AVG(TR.Volume(SDate=0D,EDate=0D-249D))"),G4))</f>
        <v>34223274.228</v>
      </c>
      <c r="H4" s="815" cm="1">
        <f t="array" aca="1" ref="H4" ca="1">_xlfn.SINGLE(IFERROR(_xll.TR(H$5,"AVG(TR.Volume(SDate=0D,EDate=0D-249D))"),H4))</f>
        <v>989090.98400000005</v>
      </c>
      <c r="I4" s="815" cm="1">
        <f t="array" aca="1" ref="I4" ca="1">_xlfn.SINGLE(IFERROR(_xll.TR(I$5,"AVG(TR.Volume(SDate=0D,EDate=0D-249D))"),I4))</f>
        <v>5298789.1639999999</v>
      </c>
      <c r="J4" s="815" cm="1">
        <f t="array" aca="1" ref="J4" ca="1">_xlfn.SINGLE(IFERROR(_xll.TR(J$5,"AVG(TR.Volume(SDate=0D,EDate=0D-249D))"),J4))</f>
        <v>0</v>
      </c>
      <c r="K4" s="815" cm="1">
        <f t="array" aca="1" ref="K4" ca="1">_xlfn.SINGLE(IFERROR(_xll.TR(K$5,"AVG(TR.Volume(SDate=0D,EDate=0D-249D))"),K4))</f>
        <v>960127021.08000004</v>
      </c>
      <c r="L4" s="816"/>
      <c r="M4" s="816"/>
      <c r="N4" s="816"/>
      <c r="O4" s="816"/>
      <c r="P4" s="816"/>
      <c r="Q4" s="816"/>
      <c r="R4" s="817"/>
    </row>
    <row r="5" spans="2:24" ht="10.5" thickBot="1">
      <c r="C5" s="818" t="s">
        <v>926</v>
      </c>
      <c r="D5" s="818" t="s">
        <v>501</v>
      </c>
      <c r="E5" s="818" t="s">
        <v>654</v>
      </c>
      <c r="F5" s="819" t="s">
        <v>657</v>
      </c>
      <c r="G5" s="818" t="s">
        <v>666</v>
      </c>
      <c r="H5" s="818" t="s">
        <v>669</v>
      </c>
      <c r="I5" s="818" t="s">
        <v>672</v>
      </c>
      <c r="J5" s="818" t="s">
        <v>938</v>
      </c>
      <c r="K5" s="818" t="s">
        <v>939</v>
      </c>
      <c r="N5" s="820"/>
      <c r="O5" s="820"/>
      <c r="P5" s="820"/>
      <c r="Q5" s="820"/>
      <c r="T5" s="821"/>
      <c r="U5" s="821"/>
      <c r="V5" s="821"/>
      <c r="W5" s="821"/>
      <c r="X5" s="821"/>
    </row>
    <row r="6" spans="2:24" ht="40.5">
      <c r="C6" s="822" t="s">
        <v>601</v>
      </c>
      <c r="D6" s="823" t="str" cm="1">
        <f t="array" aca="1" ref="D6" ca="1">_xlfn.SINGLE(IFERROR(_xll.TR(D$5,"TR.CommonName"),D6))</f>
        <v>Intel Corp</v>
      </c>
      <c r="E6" s="823" t="str" cm="1">
        <f t="array" aca="1" ref="E6" ca="1">_xlfn.SINGLE(IFERROR(_xll.TR(E$5,"TR.CommonName"),E6))</f>
        <v>NVIDIA Corp</v>
      </c>
      <c r="F6" s="824" t="str" cm="1">
        <f t="array" aca="1" ref="F6" ca="1">_xlfn.SINGLE(IFERROR(_xll.TR(F$5,"TR.CommonName"),F6))</f>
        <v>Advanced Micro Devices Inc</v>
      </c>
      <c r="G6" s="823" t="str" cm="1">
        <f t="array" aca="1" ref="G6" ca="1">_xlfn.SINGLE(IFERROR(_xll.TR(G$5,"TR.CommonName"),G6))</f>
        <v>Taiwan Semiconductor Manufacturing Co Ltd</v>
      </c>
      <c r="H6" s="823" t="str" cm="1">
        <f t="array" aca="1" ref="H6" ca="1">_xlfn.SINGLE(IFERROR(_xll.TR(H$5,"TR.CommonName"),H6))</f>
        <v>Broadcom Inc</v>
      </c>
      <c r="I6" s="823" t="str" cm="1">
        <f t="array" aca="1" ref="I6" ca="1">_xlfn.SINGLE(IFERROR(_xll.TR(I$5,"TR.CommonName"),I6))</f>
        <v>Micron Technology Inc</v>
      </c>
      <c r="J6" s="823" t="str" cm="1">
        <f t="array" aca="1" ref="J6" ca="1">_xlfn.SINGLE(IFERROR(_xll.TR(J$5,"TR.CommonName"),J6))</f>
        <v>Standard &amp; Poor's Corp</v>
      </c>
      <c r="K6" s="823" t="str" cm="1">
        <f t="array" aca="1" ref="K6" ca="1">_xlfn.SINGLE(IFERROR(_xll.TR(K$5,"TR.CommonName"),K6))</f>
        <v>NASDAQ Stock Exchange</v>
      </c>
      <c r="N6" s="820"/>
      <c r="O6" s="820"/>
      <c r="P6" s="820"/>
      <c r="Q6" s="820"/>
      <c r="T6" s="821"/>
      <c r="U6" s="821"/>
      <c r="V6" s="821"/>
      <c r="W6" s="821"/>
    </row>
    <row r="7" spans="2:24">
      <c r="B7" s="805" t="str">
        <f ca="1">TEXT(C7,"DDD")</f>
        <v>Tue</v>
      </c>
      <c r="C7" s="825">
        <f ca="1">IFERROR(_xll.TR(D$5,"TR.PriceClose().calcdate","sdate=#2 Edate=#1 frq=#3 curn=#4 Null='#N/A'",C7:C10485,StartDate,EndDate,Frqcy,C1),C7)</f>
        <v>44607</v>
      </c>
      <c r="D7" s="826" t="e">
        <f>IF(PriceSw=1,IFERROR(_xll.TR(D$5,"TR.PriceClose()","sdate=#2 Edate=#1 frq=#3 curn=#4 Null='#N/A'",D7:D1048576,StartDate,EndDate,Frqcy,D1),D7),D7)</f>
        <v>#NAME?</v>
      </c>
      <c r="E7" s="826" t="e">
        <f>IF(PriceSw=1,IFERROR(_xll.TR(E$5,"TR.PriceClose()","sdate=#2 Edate=#1 frq=#3 curn=#4 Null='#N/A'",E7:E1048576,StartDate,EndDate,Frqcy,E1),E7),E7)</f>
        <v>#NAME?</v>
      </c>
      <c r="F7" s="826" t="e">
        <f>IF(PriceSw=1,IFERROR(_xll.TR(F$5,"TR.PriceClose()","sdate=#2 Edate=#1 frq=#3 curn=#4 Null='#N/A'",F7:F1048576,StartDate,EndDate,Frqcy,F1),F7),F7)</f>
        <v>#NAME?</v>
      </c>
      <c r="G7" s="826" t="e">
        <f>IF(PriceSw=1,IFERROR(_xll.TR(G$5,"TR.PriceClose()","sdate=#2 Edate=#1 frq=#3 curn=#4 Null='#N/A'",G7:G1048576,StartDate,EndDate,Frqcy,G1),G7),G7)</f>
        <v>#NAME?</v>
      </c>
      <c r="H7" s="826" t="e">
        <f>IF(PriceSw=1,IFERROR(_xll.TR(H$5,"TR.PriceClose()","sdate=#2 Edate=#1 frq=#3 curn=#4 Null='#N/A'",H7:H1048576,StartDate,EndDate,Frqcy,H1),H7),H7)</f>
        <v>#NAME?</v>
      </c>
      <c r="I7" s="826" t="e">
        <f>IF(PriceSw=1,IFERROR(_xll.TR(I$5,"TR.PriceClose()","sdate=#2 Edate=#1 frq=#3 curn=#4 Null='#N/A'",I7:I1048576,StartDate,EndDate,Frqcy,I1),I7),I7)</f>
        <v>#NAME?</v>
      </c>
      <c r="J7" s="826" t="e">
        <f>IF(PriceSw=1,IFERROR(_xll.TR(J$5,"TR.PriceClose()","sdate=#2 Edate=#1 frq=#3 curn=#4 Null='#N/A'",J7:J1048576,StartDate,EndDate,Frqcy,J1),J7),J7)</f>
        <v>#NAME?</v>
      </c>
      <c r="K7" s="826" t="e">
        <f>IF(PriceSw=1,IFERROR(_xll.TR(K$5,"TR.PriceClose()","sdate=#2 Edate=#1 frq=#3 curn=#4 Null='#N/A'",K7:K1048576,StartDate,EndDate,Frqcy,K1),K7),K7)</f>
        <v>#NAME?</v>
      </c>
      <c r="M7" s="820" t="s">
        <v>940</v>
      </c>
      <c r="N7" s="827">
        <f ca="1">MAX(C:C)</f>
        <v>44607</v>
      </c>
      <c r="O7" s="820"/>
      <c r="P7" s="828" t="s">
        <v>941</v>
      </c>
      <c r="Q7" s="829"/>
      <c r="T7" s="830"/>
      <c r="U7" s="830"/>
      <c r="V7" s="821"/>
      <c r="W7" s="830"/>
    </row>
    <row r="8" spans="2:24">
      <c r="B8" s="805" t="str">
        <f t="shared" ref="B8:B71" si="0">TEXT(C8,"DDD")</f>
        <v>Mon</v>
      </c>
      <c r="C8" s="825">
        <v>44606</v>
      </c>
      <c r="D8" s="831">
        <v>47.58</v>
      </c>
      <c r="E8" s="831">
        <v>242.67</v>
      </c>
      <c r="F8" s="832">
        <v>114.27</v>
      </c>
      <c r="G8" s="832">
        <v>22.859398550204599</v>
      </c>
      <c r="H8" s="831">
        <v>578.58000000000004</v>
      </c>
      <c r="I8" s="832">
        <v>89.86</v>
      </c>
      <c r="J8" s="832">
        <v>4401.67</v>
      </c>
      <c r="K8" s="832">
        <v>13790.919</v>
      </c>
      <c r="M8" s="820" t="s">
        <v>942</v>
      </c>
      <c r="N8" s="833">
        <f ca="1">N7-31</f>
        <v>44576</v>
      </c>
      <c r="O8" s="820"/>
      <c r="P8" s="834"/>
      <c r="Q8" s="835"/>
      <c r="T8" s="821"/>
      <c r="U8" s="821"/>
      <c r="V8" s="821"/>
      <c r="W8" s="821"/>
    </row>
    <row r="9" spans="2:24">
      <c r="B9" s="805" t="str">
        <f t="shared" si="0"/>
        <v>Sun</v>
      </c>
      <c r="C9" s="836">
        <v>44605</v>
      </c>
      <c r="D9" s="831">
        <v>47.63</v>
      </c>
      <c r="E9" s="831">
        <v>239.49</v>
      </c>
      <c r="F9" s="832">
        <v>113.18</v>
      </c>
      <c r="G9" s="832">
        <v>23.303337754992299</v>
      </c>
      <c r="H9" s="831">
        <v>573.41999999999996</v>
      </c>
      <c r="I9" s="832">
        <v>89.76</v>
      </c>
      <c r="J9" s="832">
        <v>4418.6400000000003</v>
      </c>
      <c r="K9" s="832">
        <v>13791.154</v>
      </c>
      <c r="M9" s="820" t="s">
        <v>943</v>
      </c>
      <c r="N9" s="833">
        <f ca="1">+DATE(YEAR(N7),1,1)</f>
        <v>44562</v>
      </c>
      <c r="O9" s="820"/>
      <c r="P9" s="837" t="s">
        <v>944</v>
      </c>
      <c r="Q9" s="838">
        <v>40954</v>
      </c>
      <c r="S9" s="839">
        <v>0</v>
      </c>
      <c r="T9" s="821"/>
      <c r="U9" s="821"/>
      <c r="V9" s="821"/>
      <c r="W9" s="821"/>
      <c r="X9" s="821"/>
    </row>
    <row r="10" spans="2:24">
      <c r="B10" s="805" t="str">
        <f t="shared" si="0"/>
        <v>Sat</v>
      </c>
      <c r="C10" s="825">
        <v>44604</v>
      </c>
      <c r="D10" s="831">
        <v>47.63</v>
      </c>
      <c r="E10" s="831">
        <v>239.49</v>
      </c>
      <c r="F10" s="832">
        <v>113.18</v>
      </c>
      <c r="G10" s="832">
        <v>23.303337754992299</v>
      </c>
      <c r="H10" s="831">
        <v>573.41999999999996</v>
      </c>
      <c r="I10" s="832">
        <v>89.76</v>
      </c>
      <c r="J10" s="832">
        <v>4418.6400000000003</v>
      </c>
      <c r="K10" s="832">
        <v>13791.154</v>
      </c>
      <c r="M10" s="820" t="s">
        <v>945</v>
      </c>
      <c r="N10" s="833">
        <f ca="1">N7-365</f>
        <v>44242</v>
      </c>
      <c r="O10" s="820"/>
      <c r="P10" s="837" t="s">
        <v>946</v>
      </c>
      <c r="Q10" s="838">
        <v>44607</v>
      </c>
      <c r="V10" s="821"/>
    </row>
    <row r="11" spans="2:24">
      <c r="B11" s="805" t="str">
        <f t="shared" si="0"/>
        <v>Fri</v>
      </c>
      <c r="C11" s="825">
        <v>44603</v>
      </c>
      <c r="D11" s="831">
        <v>47.63</v>
      </c>
      <c r="E11" s="831">
        <v>239.49</v>
      </c>
      <c r="F11" s="832">
        <v>113.18</v>
      </c>
      <c r="G11" s="832">
        <v>23.303337754992299</v>
      </c>
      <c r="H11" s="831">
        <v>573.41999999999996</v>
      </c>
      <c r="I11" s="832">
        <v>89.76</v>
      </c>
      <c r="J11" s="832">
        <v>4418.6400000000003</v>
      </c>
      <c r="K11" s="832">
        <v>13791.154</v>
      </c>
      <c r="M11" s="820" t="s">
        <v>947</v>
      </c>
      <c r="N11" s="833">
        <f ca="1">N7-(365*2)</f>
        <v>43877</v>
      </c>
      <c r="O11" s="820"/>
      <c r="P11" s="840"/>
      <c r="Q11" s="835"/>
      <c r="V11" s="821"/>
    </row>
    <row r="12" spans="2:24">
      <c r="B12" s="805" t="str">
        <f t="shared" si="0"/>
        <v>Thu</v>
      </c>
      <c r="C12" s="825">
        <v>44602</v>
      </c>
      <c r="D12" s="831">
        <v>48.86</v>
      </c>
      <c r="E12" s="831">
        <v>258.24</v>
      </c>
      <c r="F12" s="832">
        <v>125.77</v>
      </c>
      <c r="G12" s="832">
        <v>23.304247908362999</v>
      </c>
      <c r="H12" s="831">
        <v>591.36</v>
      </c>
      <c r="I12" s="832">
        <v>91.02</v>
      </c>
      <c r="J12" s="832">
        <v>4504.08</v>
      </c>
      <c r="K12" s="832">
        <v>14185.641</v>
      </c>
      <c r="M12" s="820" t="s">
        <v>948</v>
      </c>
      <c r="N12" s="833">
        <f ca="1">N7-(365*5)-1</f>
        <v>42781</v>
      </c>
      <c r="P12" s="841" t="s">
        <v>949</v>
      </c>
      <c r="Q12" s="842" t="s">
        <v>950</v>
      </c>
      <c r="V12" s="821"/>
      <c r="W12" s="843"/>
    </row>
    <row r="13" spans="2:24">
      <c r="B13" s="805" t="str">
        <f t="shared" si="0"/>
        <v>Wed</v>
      </c>
      <c r="C13" s="825">
        <v>44601</v>
      </c>
      <c r="D13" s="831">
        <v>49.91</v>
      </c>
      <c r="E13" s="831">
        <v>267.05</v>
      </c>
      <c r="F13" s="832">
        <v>132.85</v>
      </c>
      <c r="G13" s="832">
        <v>22.784536750413899</v>
      </c>
      <c r="H13" s="831">
        <v>611.34</v>
      </c>
      <c r="I13" s="832">
        <v>88.12</v>
      </c>
      <c r="J13" s="832">
        <v>4587.18</v>
      </c>
      <c r="K13" s="832">
        <v>14490.373</v>
      </c>
      <c r="M13" s="820" t="s">
        <v>951</v>
      </c>
      <c r="N13" s="833">
        <f ca="1">N7-(365*10)-2</f>
        <v>40955</v>
      </c>
    </row>
    <row r="14" spans="2:24">
      <c r="B14" s="805" t="str">
        <f t="shared" si="0"/>
        <v>Tue</v>
      </c>
      <c r="C14" s="825">
        <v>44600</v>
      </c>
      <c r="D14" s="831">
        <v>48.81</v>
      </c>
      <c r="E14" s="831">
        <v>251.08</v>
      </c>
      <c r="F14" s="832">
        <v>128.22999999999999</v>
      </c>
      <c r="G14" s="832">
        <v>22.581805106076999</v>
      </c>
      <c r="H14" s="831">
        <v>600.22</v>
      </c>
      <c r="I14" s="832">
        <v>84.12</v>
      </c>
      <c r="J14" s="832">
        <v>4521.54</v>
      </c>
      <c r="K14" s="832">
        <v>14194.455</v>
      </c>
    </row>
    <row r="15" spans="2:24">
      <c r="B15" s="805" t="str">
        <f t="shared" si="0"/>
        <v>Mon</v>
      </c>
      <c r="C15" s="825">
        <v>44599</v>
      </c>
      <c r="D15" s="831">
        <v>48.18</v>
      </c>
      <c r="E15" s="831">
        <v>247.28</v>
      </c>
      <c r="F15" s="832">
        <v>123.67</v>
      </c>
      <c r="G15" s="832">
        <v>22.805631374802498</v>
      </c>
      <c r="H15" s="831">
        <v>587.63</v>
      </c>
      <c r="I15" s="832">
        <v>80.87</v>
      </c>
      <c r="J15" s="832">
        <v>4483.87</v>
      </c>
      <c r="K15" s="832">
        <v>14015.668</v>
      </c>
    </row>
    <row r="16" spans="2:24">
      <c r="B16" s="805" t="str">
        <f t="shared" si="0"/>
        <v>Sun</v>
      </c>
      <c r="C16" s="825">
        <v>44598</v>
      </c>
      <c r="D16" s="831">
        <v>48.01</v>
      </c>
      <c r="E16" s="831">
        <v>243.19</v>
      </c>
      <c r="F16" s="832">
        <v>123.6</v>
      </c>
      <c r="G16" s="832">
        <v>22.926354493349201</v>
      </c>
      <c r="H16" s="831">
        <v>590.16</v>
      </c>
      <c r="I16" s="832">
        <v>81.17</v>
      </c>
      <c r="J16" s="832">
        <v>4500.53</v>
      </c>
      <c r="K16" s="832">
        <v>14098.007</v>
      </c>
      <c r="N16" s="844" t="str">
        <f t="shared" ref="N16:U16" si="1">D5</f>
        <v>INTC.O</v>
      </c>
      <c r="O16" s="844" t="str">
        <f t="shared" si="1"/>
        <v>NVDA.OQ</v>
      </c>
      <c r="P16" s="844" t="str">
        <f t="shared" si="1"/>
        <v>AMD.OQ</v>
      </c>
      <c r="Q16" s="844" t="str">
        <f t="shared" si="1"/>
        <v>2330.TW</v>
      </c>
      <c r="R16" s="844" t="str">
        <f t="shared" si="1"/>
        <v>AVGO.OQ</v>
      </c>
      <c r="S16" s="844" t="str">
        <f t="shared" si="1"/>
        <v>MU.OQ</v>
      </c>
      <c r="T16" s="844" t="str">
        <f t="shared" si="1"/>
        <v>.SPX</v>
      </c>
      <c r="U16" s="844" t="str">
        <f t="shared" si="1"/>
        <v>.IXIC</v>
      </c>
    </row>
    <row r="17" spans="2:21">
      <c r="B17" s="805" t="str">
        <f t="shared" si="0"/>
        <v>Sat</v>
      </c>
      <c r="C17" s="825">
        <v>44597</v>
      </c>
      <c r="D17" s="831">
        <v>48.01</v>
      </c>
      <c r="E17" s="831">
        <v>243.19</v>
      </c>
      <c r="F17" s="832">
        <v>123.6</v>
      </c>
      <c r="G17" s="832">
        <v>22.926354493349201</v>
      </c>
      <c r="H17" s="831">
        <v>590.16</v>
      </c>
      <c r="I17" s="832">
        <v>81.17</v>
      </c>
      <c r="J17" s="832">
        <v>4500.53</v>
      </c>
      <c r="K17" s="832">
        <v>14098.007</v>
      </c>
      <c r="M17" s="820" t="s">
        <v>940</v>
      </c>
      <c r="N17" s="845">
        <f ca="1">IFERROR(_xll.TR(D$5,"TR.PriceClose()","sdate=#1 curn=#2 Null='#N/A'",,$N7,D$1),N17)</f>
        <v>48.44</v>
      </c>
      <c r="O17" s="846">
        <f ca="1">IFERROR(_xll.TR(E$5,"TR.PriceClose()","sdate=#1 curn=#2 Null='#N/A'",,$N7,E$1),O17)</f>
        <v>264.95</v>
      </c>
      <c r="P17" s="846">
        <f ca="1">IFERROR(_xll.TR(F$5,"TR.PriceClose()","sdate=#1 curn=#2 Null='#N/A'",,$N7,F$1),P17)</f>
        <v>121.47</v>
      </c>
      <c r="Q17" s="846">
        <f ca="1">IFERROR(_xll.TR(G$5,"TR.PriceClose()","sdate=#1 curn=#2 Null='#N/A'",,$N7,G$1),Q17)</f>
        <v>22.733802614566901</v>
      </c>
      <c r="R17" s="846">
        <f ca="1">IFERROR(_xll.TR(H$5,"TR.PriceClose()","sdate=#1 curn=#2 Null='#N/A'",,$N7,H$1),R17)</f>
        <v>602.77</v>
      </c>
      <c r="S17" s="846">
        <f ca="1">IFERROR(_xll.TR(I$5,"TR.PriceClose()","sdate=#1 curn=#2 Null='#N/A'",,$N7,I$1),S17)</f>
        <v>96</v>
      </c>
      <c r="T17" s="846">
        <f ca="1">IFERROR(_xll.TR(J$5,"TR.PriceClose()","sdate=#1 curn=#2 Null='#N/A'",,$N7,J$1),T17)</f>
        <v>4471.07</v>
      </c>
      <c r="U17" s="846">
        <f ca="1">IFERROR(_xll.TR(K$5,"TR.PriceClose()","sdate=#1 curn=#2 Null='#N/A'",,$N7,K$1),U17)</f>
        <v>14139.757</v>
      </c>
    </row>
    <row r="18" spans="2:21">
      <c r="B18" s="805" t="str">
        <f t="shared" si="0"/>
        <v>Fri</v>
      </c>
      <c r="C18" s="825">
        <v>44596</v>
      </c>
      <c r="D18" s="831">
        <v>48.01</v>
      </c>
      <c r="E18" s="831">
        <v>243.19</v>
      </c>
      <c r="F18" s="832">
        <v>123.6</v>
      </c>
      <c r="G18" s="832">
        <v>22.926354493349201</v>
      </c>
      <c r="H18" s="831">
        <v>590.16</v>
      </c>
      <c r="I18" s="832">
        <v>81.17</v>
      </c>
      <c r="J18" s="832">
        <v>4500.53</v>
      </c>
      <c r="K18" s="832">
        <v>14098.007</v>
      </c>
      <c r="M18" s="820" t="s">
        <v>942</v>
      </c>
      <c r="N18" s="846">
        <f t="shared" ref="N18:U18" ca="1" si="2">_xlfn.XLOOKUP($N$8,$C:$C,D:D)</f>
        <v>55.7</v>
      </c>
      <c r="O18" s="846">
        <f t="shared" ca="1" si="2"/>
        <v>269.42</v>
      </c>
      <c r="P18" s="846">
        <f t="shared" ca="1" si="2"/>
        <v>136.88</v>
      </c>
      <c r="Q18" s="846">
        <f t="shared" ca="1" si="2"/>
        <v>24.400871459695001</v>
      </c>
      <c r="R18" s="846">
        <f t="shared" ca="1" si="2"/>
        <v>596.37</v>
      </c>
      <c r="S18" s="846">
        <f t="shared" ca="1" si="2"/>
        <v>97.36</v>
      </c>
      <c r="T18" s="846">
        <f t="shared" ca="1" si="2"/>
        <v>4662.8500000000004</v>
      </c>
      <c r="U18" s="846">
        <f t="shared" ca="1" si="2"/>
        <v>14893.753000000001</v>
      </c>
    </row>
    <row r="19" spans="2:21">
      <c r="B19" s="805" t="str">
        <f t="shared" si="0"/>
        <v>Thu</v>
      </c>
      <c r="C19" s="825">
        <v>44595</v>
      </c>
      <c r="D19" s="831">
        <v>48.28</v>
      </c>
      <c r="E19" s="831">
        <v>239.48</v>
      </c>
      <c r="F19" s="832">
        <v>120.08</v>
      </c>
      <c r="G19" s="832">
        <v>22.926354493349201</v>
      </c>
      <c r="H19" s="831">
        <v>580.85</v>
      </c>
      <c r="I19" s="832">
        <v>81.97</v>
      </c>
      <c r="J19" s="832">
        <v>4477.4399999999996</v>
      </c>
      <c r="K19" s="832">
        <v>13878.817999999999</v>
      </c>
      <c r="M19" s="820" t="s">
        <v>943</v>
      </c>
      <c r="N19" s="846">
        <f t="shared" ref="N19:U19" ca="1" si="3">_xlfn.XLOOKUP($N$9,$C:$C,D:D)</f>
        <v>51.5</v>
      </c>
      <c r="O19" s="846">
        <f t="shared" ca="1" si="3"/>
        <v>294.11</v>
      </c>
      <c r="P19" s="846">
        <f t="shared" ca="1" si="3"/>
        <v>143.9</v>
      </c>
      <c r="Q19" s="846">
        <f t="shared" ca="1" si="3"/>
        <v>22.1845465695116</v>
      </c>
      <c r="R19" s="846">
        <f t="shared" ca="1" si="3"/>
        <v>665.41</v>
      </c>
      <c r="S19" s="846">
        <f t="shared" ca="1" si="3"/>
        <v>93.15</v>
      </c>
      <c r="T19" s="846">
        <f t="shared" ca="1" si="3"/>
        <v>4766.18</v>
      </c>
      <c r="U19" s="846">
        <f t="shared" ca="1" si="3"/>
        <v>15644.971</v>
      </c>
    </row>
    <row r="20" spans="2:21">
      <c r="B20" s="805" t="str">
        <f t="shared" si="0"/>
        <v>Wed</v>
      </c>
      <c r="C20" s="825">
        <v>44594</v>
      </c>
      <c r="D20" s="831">
        <v>49.51</v>
      </c>
      <c r="E20" s="831">
        <v>252.42</v>
      </c>
      <c r="F20" s="832">
        <v>122.76</v>
      </c>
      <c r="G20" s="832">
        <v>22.926354493349201</v>
      </c>
      <c r="H20" s="831">
        <v>603.42999999999995</v>
      </c>
      <c r="I20" s="832">
        <v>84.51</v>
      </c>
      <c r="J20" s="832">
        <v>4589.38</v>
      </c>
      <c r="K20" s="832">
        <v>14417.547</v>
      </c>
      <c r="M20" s="820" t="s">
        <v>945</v>
      </c>
      <c r="N20" s="846">
        <f ca="1">IFERROR(_xll.TR(D$5,"TR.PriceClose()","sdate=#1 curn=#2 Null='#N/A'",,$N10,D$1),N20)</f>
        <v>61.81</v>
      </c>
      <c r="O20" s="846">
        <f ca="1">IFERROR(_xll.TR(E$5,"TR.PriceClose()","sdate=#1 curn=#2 Null='#N/A'",,$N10,E$1),O20)</f>
        <v>149.61250000000001</v>
      </c>
      <c r="P20" s="846">
        <f ca="1">IFERROR(_xll.TR(F$5,"TR.PriceClose()","sdate=#1 curn=#2 Null='#N/A'",,$N10,F$1),P20)</f>
        <v>93.77</v>
      </c>
      <c r="Q20" s="846">
        <f ca="1">IFERROR(_xll.TR(G$5,"TR.PriceClose()","sdate=#1 curn=#2 Null='#N/A'",,$N10,G$1),Q20)</f>
        <v>22.592407235289901</v>
      </c>
      <c r="R20" s="846">
        <f ca="1">IFERROR(_xll.TR(H$5,"TR.PriceClose()","sdate=#1 curn=#2 Null='#N/A'",,$N10,H$1),R20)</f>
        <v>486.32</v>
      </c>
      <c r="S20" s="846">
        <f ca="1">IFERROR(_xll.TR(I$5,"TR.PriceClose()","sdate=#1 curn=#2 Null='#N/A'",,$N10,I$1),S20)</f>
        <v>88.01</v>
      </c>
      <c r="T20" s="846">
        <f ca="1">IFERROR(_xll.TR(J$5,"TR.PriceClose()","sdate=#1 curn=#2 Null='#N/A'",,$N10,J$1),T20)</f>
        <v>3934.83</v>
      </c>
      <c r="U20" s="846">
        <f ca="1">IFERROR(_xll.TR(K$5,"TR.PriceClose()","sdate=#1 curn=#2 Null='#N/A'",,$N10,K$1),U20)</f>
        <v>14095.47</v>
      </c>
    </row>
    <row r="21" spans="2:21">
      <c r="B21" s="805" t="str">
        <f t="shared" si="0"/>
        <v>Tue</v>
      </c>
      <c r="C21" s="825">
        <v>44593</v>
      </c>
      <c r="D21" s="831">
        <v>48.95</v>
      </c>
      <c r="E21" s="831">
        <v>246.38</v>
      </c>
      <c r="F21" s="832">
        <v>116.78</v>
      </c>
      <c r="G21" s="832">
        <v>22.926354493349201</v>
      </c>
      <c r="H21" s="831">
        <v>592.72</v>
      </c>
      <c r="I21" s="832">
        <v>81.45</v>
      </c>
      <c r="J21" s="832">
        <v>4546.54</v>
      </c>
      <c r="K21" s="832">
        <v>14346.003000000001</v>
      </c>
      <c r="M21" s="820" t="s">
        <v>947</v>
      </c>
      <c r="N21" s="846">
        <f ca="1">IFERROR(_xll.TR(D$5,"TR.PriceClose()","sdate=#1 curn=#2 Null='#N/A'",,$N11,D$1),N21)</f>
        <v>67.27</v>
      </c>
      <c r="O21" s="846">
        <f ca="1">IFERROR(_xll.TR(E$5,"TR.PriceClose()","sdate=#1 curn=#2 Null='#N/A'",,$N11,E$1),O21)</f>
        <v>72.447500000000005</v>
      </c>
      <c r="P21" s="846">
        <f ca="1">IFERROR(_xll.TR(F$5,"TR.PriceClose()","sdate=#1 curn=#2 Null='#N/A'",,$N11,F$1),P21)</f>
        <v>55.31</v>
      </c>
      <c r="Q21" s="846">
        <f ca="1">IFERROR(_xll.TR(G$5,"TR.PriceClose()","sdate=#1 curn=#2 Null='#N/A'",,$N11,G$1),Q21)</f>
        <v>11.1577404742872</v>
      </c>
      <c r="R21" s="846">
        <f ca="1">IFERROR(_xll.TR(H$5,"TR.PriceClose()","sdate=#1 curn=#2 Null='#N/A'",,$N11,H$1),R21)</f>
        <v>317.77</v>
      </c>
      <c r="S21" s="846">
        <f ca="1">IFERROR(_xll.TR(I$5,"TR.PriceClose()","sdate=#1 curn=#2 Null='#N/A'",,$N11,I$1),S21)</f>
        <v>58.5</v>
      </c>
      <c r="T21" s="846">
        <f ca="1">IFERROR(_xll.TR(J$5,"TR.PriceClose()","sdate=#1 curn=#2 Null='#N/A'",,$N11,J$1),T21)</f>
        <v>3380.16</v>
      </c>
      <c r="U21" s="846">
        <f ca="1">IFERROR(_xll.TR(K$5,"TR.PriceClose()","sdate=#1 curn=#2 Null='#N/A'",,$N11,K$1),U21)</f>
        <v>9731.1759999999995</v>
      </c>
    </row>
    <row r="22" spans="2:21">
      <c r="B22" s="805" t="str">
        <f t="shared" si="0"/>
        <v>Mon</v>
      </c>
      <c r="C22" s="825">
        <v>44592</v>
      </c>
      <c r="D22" s="831">
        <v>48.82</v>
      </c>
      <c r="E22" s="831">
        <v>244.86</v>
      </c>
      <c r="F22" s="832">
        <v>114.25</v>
      </c>
      <c r="G22" s="832">
        <v>22.926354493349201</v>
      </c>
      <c r="H22" s="831">
        <v>585.88</v>
      </c>
      <c r="I22" s="832">
        <v>82.27</v>
      </c>
      <c r="J22" s="832">
        <v>4515.55</v>
      </c>
      <c r="K22" s="832">
        <v>14239.883</v>
      </c>
      <c r="M22" s="820" t="s">
        <v>948</v>
      </c>
      <c r="N22" s="846">
        <f ca="1">IFERROR(_xll.TR(D$5,"TR.PriceClose()","sdate=#1 curn=#2 Null='#N/A'",,$N12,D$1),N22)</f>
        <v>36.049999999999997</v>
      </c>
      <c r="O22" s="846">
        <f ca="1">IFERROR(_xll.TR(E$5,"TR.PriceClose()","sdate=#1 curn=#2 Null='#N/A'",,$N12,E$1),O22)</f>
        <v>27.25</v>
      </c>
      <c r="P22" s="846">
        <f ca="1">IFERROR(_xll.TR(F$5,"TR.PriceClose()","sdate=#1 curn=#2 Null='#N/A'",,$N12,F$1),P22)</f>
        <v>13.3</v>
      </c>
      <c r="Q22" s="846">
        <f ca="1">IFERROR(_xll.TR(G$5,"TR.PriceClose()","sdate=#1 curn=#2 Null='#N/A'",,$N12,G$1),Q22)</f>
        <v>6.1473410310619601</v>
      </c>
      <c r="R22" s="846">
        <f ca="1">IFERROR(_xll.TR(H$5,"TR.PriceClose()","sdate=#1 curn=#2 Null='#N/A'",,$N12,H$1),R22)</f>
        <v>205.99</v>
      </c>
      <c r="S22" s="846">
        <f ca="1">IFERROR(_xll.TR(I$5,"TR.PriceClose()","sdate=#1 curn=#2 Null='#N/A'",,$N12,I$1),S22)</f>
        <v>23.02</v>
      </c>
      <c r="T22" s="846">
        <f ca="1">IFERROR(_xll.TR(J$5,"TR.PriceClose()","sdate=#1 curn=#2 Null='#N/A'",,$N12,J$1),T22)</f>
        <v>2349.25</v>
      </c>
      <c r="U22" s="846">
        <f ca="1">IFERROR(_xll.TR(K$5,"TR.PriceClose()","sdate=#1 curn=#2 Null='#N/A'",,$N12,K$1),U22)</f>
        <v>5819.44</v>
      </c>
    </row>
    <row r="23" spans="2:21">
      <c r="B23" s="805" t="str">
        <f t="shared" si="0"/>
        <v>Sun</v>
      </c>
      <c r="C23" s="825">
        <v>44591</v>
      </c>
      <c r="D23" s="831">
        <v>47.73</v>
      </c>
      <c r="E23" s="831">
        <v>228.4</v>
      </c>
      <c r="F23" s="832">
        <v>105.24</v>
      </c>
      <c r="G23" s="832">
        <v>22.926354493349201</v>
      </c>
      <c r="H23" s="831">
        <v>560.1</v>
      </c>
      <c r="I23" s="832">
        <v>79.27</v>
      </c>
      <c r="J23" s="832">
        <v>4431.8500000000004</v>
      </c>
      <c r="K23" s="832">
        <v>13770.573</v>
      </c>
      <c r="M23" s="820" t="s">
        <v>951</v>
      </c>
      <c r="N23" s="846">
        <f ca="1">IFERROR(_xll.TR(D$5,"TR.PriceClose()","sdate=#1 curn=#2 Null='#N/A'",,$N13,D$1),N23)</f>
        <v>26.824999999999999</v>
      </c>
      <c r="O23" s="846">
        <f ca="1">IFERROR(_xll.TR(E$5,"TR.PriceClose()","sdate=#1 curn=#2 Null='#N/A'",,$N13,E$1),O23)</f>
        <v>4.1124999999999998</v>
      </c>
      <c r="P23" s="846">
        <f ca="1">IFERROR(_xll.TR(F$5,"TR.PriceClose()","sdate=#1 curn=#2 Null='#N/A'",,$N13,F$1),P23)</f>
        <v>7.59</v>
      </c>
      <c r="Q23" s="846">
        <f ca="1">IFERROR(_xll.TR(G$5,"TR.PriceClose()","sdate=#1 curn=#2 Null='#N/A'",,$N13,G$1),Q23)</f>
        <v>2.6585836691841398</v>
      </c>
      <c r="R23" s="846">
        <f ca="1">IFERROR(_xll.TR(H$5,"TR.PriceClose()","sdate=#1 curn=#2 Null='#N/A'",,$N13,H$1),R23)</f>
        <v>35.86</v>
      </c>
      <c r="S23" s="846">
        <f ca="1">IFERROR(_xll.TR(I$5,"TR.PriceClose()","sdate=#1 curn=#2 Null='#N/A'",,$N13,I$1),S23)</f>
        <v>8.4600000000000009</v>
      </c>
      <c r="T23" s="846">
        <f ca="1">IFERROR(_xll.TR(J$5,"TR.PriceClose()","sdate=#1 curn=#2 Null='#N/A'",,$N13,J$1),T23)</f>
        <v>1358.04</v>
      </c>
      <c r="U23" s="846">
        <f ca="1">IFERROR(_xll.TR(K$5,"TR.PriceClose()","sdate=#1 curn=#2 Null='#N/A'",,$N13,K$1),U23)</f>
        <v>2959.85</v>
      </c>
    </row>
    <row r="24" spans="2:21">
      <c r="B24" s="805" t="str">
        <f t="shared" si="0"/>
        <v>Sat</v>
      </c>
      <c r="C24" s="825">
        <v>44590</v>
      </c>
      <c r="D24" s="831">
        <v>47.73</v>
      </c>
      <c r="E24" s="831">
        <v>228.4</v>
      </c>
      <c r="F24" s="832">
        <v>105.24</v>
      </c>
      <c r="G24" s="832">
        <v>22.926354493349201</v>
      </c>
      <c r="H24" s="831">
        <v>560.1</v>
      </c>
      <c r="I24" s="832">
        <v>79.27</v>
      </c>
      <c r="J24" s="832">
        <v>4431.8500000000004</v>
      </c>
      <c r="K24" s="832">
        <v>13770.573</v>
      </c>
    </row>
    <row r="25" spans="2:21">
      <c r="B25" s="805" t="str">
        <f t="shared" si="0"/>
        <v>Fri</v>
      </c>
      <c r="C25" s="825">
        <v>44589</v>
      </c>
      <c r="D25" s="831">
        <v>47.73</v>
      </c>
      <c r="E25" s="831">
        <v>228.4</v>
      </c>
      <c r="F25" s="832">
        <v>105.24</v>
      </c>
      <c r="G25" s="832">
        <v>22.926354493349201</v>
      </c>
      <c r="H25" s="831">
        <v>560.1</v>
      </c>
      <c r="I25" s="832">
        <v>79.27</v>
      </c>
      <c r="J25" s="832">
        <v>4431.8500000000004</v>
      </c>
      <c r="K25" s="832">
        <v>13770.573</v>
      </c>
    </row>
    <row r="26" spans="2:21" ht="10.5" customHeight="1">
      <c r="B26" s="805" t="str">
        <f t="shared" si="0"/>
        <v>Thu</v>
      </c>
      <c r="C26" s="825">
        <v>44588</v>
      </c>
      <c r="D26" s="831">
        <v>48.05</v>
      </c>
      <c r="E26" s="831">
        <v>219.44</v>
      </c>
      <c r="F26" s="832">
        <v>102.6</v>
      </c>
      <c r="G26" s="832">
        <v>22.926354493349201</v>
      </c>
      <c r="H26" s="831">
        <v>542.30999999999995</v>
      </c>
      <c r="I26" s="832">
        <v>78.72</v>
      </c>
      <c r="J26" s="832">
        <v>4326.51</v>
      </c>
      <c r="K26" s="832">
        <v>13352.782999999999</v>
      </c>
      <c r="M26" s="847" t="s">
        <v>952</v>
      </c>
      <c r="N26" s="848" t="str">
        <f ca="1">D6</f>
        <v>Intel Corp</v>
      </c>
      <c r="O26" s="848" t="str">
        <f t="shared" ref="O26:U26" ca="1" si="4">E6</f>
        <v>NVIDIA Corp</v>
      </c>
      <c r="P26" s="848" t="str">
        <f t="shared" ca="1" si="4"/>
        <v>Advanced Micro Devices Inc</v>
      </c>
      <c r="Q26" s="848" t="str">
        <f t="shared" ca="1" si="4"/>
        <v>Taiwan Semiconductor Manufacturing Co Ltd</v>
      </c>
      <c r="R26" s="848" t="str">
        <f t="shared" ca="1" si="4"/>
        <v>Broadcom Inc</v>
      </c>
      <c r="S26" s="848" t="str">
        <f t="shared" ca="1" si="4"/>
        <v>Micron Technology Inc</v>
      </c>
      <c r="T26" s="848" t="str">
        <f t="shared" ca="1" si="4"/>
        <v>Standard &amp; Poor's Corp</v>
      </c>
      <c r="U26" s="848" t="str">
        <f t="shared" ca="1" si="4"/>
        <v>NASDAQ Stock Exchange</v>
      </c>
    </row>
    <row r="27" spans="2:21">
      <c r="B27" s="805" t="str">
        <f t="shared" si="0"/>
        <v>Wed</v>
      </c>
      <c r="C27" s="825">
        <v>44587</v>
      </c>
      <c r="D27" s="831">
        <v>51.69</v>
      </c>
      <c r="E27" s="831">
        <v>227.72</v>
      </c>
      <c r="F27" s="832">
        <v>110.71</v>
      </c>
      <c r="G27" s="832">
        <v>22.926354493349201</v>
      </c>
      <c r="H27" s="831">
        <v>557.12</v>
      </c>
      <c r="I27" s="832">
        <v>81.97</v>
      </c>
      <c r="J27" s="832">
        <v>4349.93</v>
      </c>
      <c r="K27" s="832">
        <v>13542.119000000001</v>
      </c>
      <c r="M27" s="849" t="s">
        <v>953</v>
      </c>
      <c r="N27" s="850">
        <f t="shared" ref="N27:U32" ca="1" si="5">N$17/N18-1</f>
        <v>-0.13034111310592467</v>
      </c>
      <c r="O27" s="851">
        <f t="shared" ca="1" si="5"/>
        <v>-1.6591195902308731E-2</v>
      </c>
      <c r="P27" s="851">
        <f t="shared" ca="1" si="5"/>
        <v>-0.11258036236119229</v>
      </c>
      <c r="Q27" s="851">
        <f t="shared" ca="1" si="5"/>
        <v>-6.8320053563731942E-2</v>
      </c>
      <c r="R27" s="851">
        <f t="shared" ca="1" si="5"/>
        <v>1.0731592803125523E-2</v>
      </c>
      <c r="S27" s="851">
        <f t="shared" ca="1" si="5"/>
        <v>-1.396877567789645E-2</v>
      </c>
      <c r="T27" s="851">
        <f t="shared" ca="1" si="5"/>
        <v>-4.1129352220208859E-2</v>
      </c>
      <c r="U27" s="851">
        <f t="shared" ca="1" si="5"/>
        <v>-5.0624983508186339E-2</v>
      </c>
    </row>
    <row r="28" spans="2:21">
      <c r="B28" s="805" t="str">
        <f t="shared" si="0"/>
        <v>Tue</v>
      </c>
      <c r="C28" s="825">
        <v>44586</v>
      </c>
      <c r="D28" s="831">
        <v>51</v>
      </c>
      <c r="E28" s="831">
        <v>223.24</v>
      </c>
      <c r="F28" s="832">
        <v>111.13</v>
      </c>
      <c r="G28" s="832">
        <v>23.1299390177895</v>
      </c>
      <c r="H28" s="831">
        <v>534.14</v>
      </c>
      <c r="I28" s="832">
        <v>80.72</v>
      </c>
      <c r="J28" s="832">
        <v>4356.45</v>
      </c>
      <c r="K28" s="832">
        <v>13539.295</v>
      </c>
      <c r="M28" s="852" t="s">
        <v>943</v>
      </c>
      <c r="N28" s="853">
        <f t="shared" ca="1" si="5"/>
        <v>-5.9417475728155367E-2</v>
      </c>
      <c r="O28" s="854">
        <f t="shared" ca="1" si="5"/>
        <v>-9.9146577811023207E-2</v>
      </c>
      <c r="P28" s="854">
        <f t="shared" ca="1" si="5"/>
        <v>-0.15587213342599027</v>
      </c>
      <c r="Q28" s="854">
        <f t="shared" ca="1" si="5"/>
        <v>2.4758497692720427E-2</v>
      </c>
      <c r="R28" s="854">
        <f t="shared" ca="1" si="5"/>
        <v>-9.4137449091537539E-2</v>
      </c>
      <c r="S28" s="854">
        <f t="shared" ca="1" si="5"/>
        <v>3.0595813204508771E-2</v>
      </c>
      <c r="T28" s="854">
        <f t="shared" ca="1" si="5"/>
        <v>-6.1917510459109981E-2</v>
      </c>
      <c r="U28" s="854">
        <f t="shared" ca="1" si="5"/>
        <v>-9.6210724839311035E-2</v>
      </c>
    </row>
    <row r="29" spans="2:21">
      <c r="B29" s="805" t="str">
        <f t="shared" si="0"/>
        <v>Mon</v>
      </c>
      <c r="C29" s="825">
        <v>44585</v>
      </c>
      <c r="D29" s="831">
        <v>51.94</v>
      </c>
      <c r="E29" s="831">
        <v>233.72</v>
      </c>
      <c r="F29" s="832">
        <v>116.53</v>
      </c>
      <c r="G29" s="832">
        <v>23.590188215743702</v>
      </c>
      <c r="H29" s="831">
        <v>541.58000000000004</v>
      </c>
      <c r="I29" s="832">
        <v>82.95</v>
      </c>
      <c r="J29" s="832">
        <v>4410.13</v>
      </c>
      <c r="K29" s="832">
        <v>13855.129000000001</v>
      </c>
      <c r="M29" s="852" t="s">
        <v>945</v>
      </c>
      <c r="N29" s="850">
        <f t="shared" ca="1" si="5"/>
        <v>-0.21630804077010202</v>
      </c>
      <c r="O29" s="854">
        <f t="shared" ca="1" si="5"/>
        <v>0.77090817946361412</v>
      </c>
      <c r="P29" s="854">
        <f t="shared" ca="1" si="5"/>
        <v>0.29540364722192614</v>
      </c>
      <c r="Q29" s="854">
        <f t="shared" ca="1" si="5"/>
        <v>6.2585353479347461E-3</v>
      </c>
      <c r="R29" s="854">
        <f t="shared" ca="1" si="5"/>
        <v>0.23945139003125515</v>
      </c>
      <c r="S29" s="854">
        <f t="shared" ca="1" si="5"/>
        <v>9.0785138052493997E-2</v>
      </c>
      <c r="T29" s="854">
        <f t="shared" ca="1" si="5"/>
        <v>0.13628034756266461</v>
      </c>
      <c r="U29" s="854">
        <f t="shared" ca="1" si="5"/>
        <v>3.1419314148446453E-3</v>
      </c>
    </row>
    <row r="30" spans="2:21">
      <c r="B30" s="805" t="str">
        <f t="shared" si="0"/>
        <v>Sun</v>
      </c>
      <c r="C30" s="825">
        <v>44584</v>
      </c>
      <c r="D30" s="831">
        <v>52.04</v>
      </c>
      <c r="E30" s="831">
        <v>233.74</v>
      </c>
      <c r="F30" s="832">
        <v>118.81</v>
      </c>
      <c r="G30" s="832">
        <v>23.147479416437999</v>
      </c>
      <c r="H30" s="831">
        <v>533.23</v>
      </c>
      <c r="I30" s="832">
        <v>81.93</v>
      </c>
      <c r="J30" s="832">
        <v>4397.9399999999996</v>
      </c>
      <c r="K30" s="832">
        <v>13768.922</v>
      </c>
      <c r="M30" s="852" t="s">
        <v>947</v>
      </c>
      <c r="N30" s="853">
        <f t="shared" ca="1" si="5"/>
        <v>-0.27991675338189381</v>
      </c>
      <c r="O30" s="854">
        <f t="shared" ca="1" si="5"/>
        <v>2.6571310259153176</v>
      </c>
      <c r="P30" s="854">
        <f t="shared" ca="1" si="5"/>
        <v>1.1961670583981197</v>
      </c>
      <c r="Q30" s="854">
        <f t="shared" ca="1" si="5"/>
        <v>1.0374916110440564</v>
      </c>
      <c r="R30" s="854">
        <f t="shared" ca="1" si="5"/>
        <v>0.89687509834156787</v>
      </c>
      <c r="S30" s="854">
        <f t="shared" ca="1" si="5"/>
        <v>0.64102564102564097</v>
      </c>
      <c r="T30" s="854">
        <f t="shared" ca="1" si="5"/>
        <v>0.32273916027643668</v>
      </c>
      <c r="U30" s="854">
        <f t="shared" ca="1" si="5"/>
        <v>0.45303681692736841</v>
      </c>
    </row>
    <row r="31" spans="2:21">
      <c r="B31" s="805" t="str">
        <f t="shared" si="0"/>
        <v>Sat</v>
      </c>
      <c r="C31" s="825">
        <v>44583</v>
      </c>
      <c r="D31" s="831">
        <v>52.04</v>
      </c>
      <c r="E31" s="831">
        <v>233.74</v>
      </c>
      <c r="F31" s="832">
        <v>118.81</v>
      </c>
      <c r="G31" s="832">
        <v>23.147479416437999</v>
      </c>
      <c r="H31" s="831">
        <v>533.23</v>
      </c>
      <c r="I31" s="832">
        <v>81.93</v>
      </c>
      <c r="J31" s="832">
        <v>4397.9399999999996</v>
      </c>
      <c r="K31" s="832">
        <v>13768.922</v>
      </c>
      <c r="M31" s="852" t="s">
        <v>948</v>
      </c>
      <c r="N31" s="850">
        <f t="shared" ca="1" si="5"/>
        <v>0.34368932038834954</v>
      </c>
      <c r="O31" s="854">
        <f ca="1">O$17/O22-1</f>
        <v>8.7229357798165132</v>
      </c>
      <c r="P31" s="854">
        <f t="shared" ca="1" si="5"/>
        <v>8.1330827067669169</v>
      </c>
      <c r="Q31" s="854">
        <f t="shared" ca="1" si="5"/>
        <v>2.6981521766394683</v>
      </c>
      <c r="R31" s="854">
        <f t="shared" ca="1" si="5"/>
        <v>1.9262100101946693</v>
      </c>
      <c r="S31" s="854">
        <f t="shared" ca="1" si="5"/>
        <v>3.1702867072111207</v>
      </c>
      <c r="T31" s="854">
        <f t="shared" ca="1" si="5"/>
        <v>0.90319037990848128</v>
      </c>
      <c r="U31" s="854">
        <f t="shared" ca="1" si="5"/>
        <v>1.4297453019534525</v>
      </c>
    </row>
    <row r="32" spans="2:21">
      <c r="B32" s="805" t="str">
        <f t="shared" si="0"/>
        <v>Fri</v>
      </c>
      <c r="C32" s="825">
        <v>44582</v>
      </c>
      <c r="D32" s="831">
        <v>52.04</v>
      </c>
      <c r="E32" s="831">
        <v>233.74</v>
      </c>
      <c r="F32" s="832">
        <v>118.81</v>
      </c>
      <c r="G32" s="832">
        <v>23.147479416437999</v>
      </c>
      <c r="H32" s="831">
        <v>533.23</v>
      </c>
      <c r="I32" s="832">
        <v>81.93</v>
      </c>
      <c r="J32" s="832">
        <v>4397.9399999999996</v>
      </c>
      <c r="K32" s="832">
        <v>13768.922</v>
      </c>
      <c r="M32" s="852" t="s">
        <v>951</v>
      </c>
      <c r="N32" s="853">
        <f t="shared" ca="1" si="5"/>
        <v>0.8057781919850886</v>
      </c>
      <c r="O32" s="854">
        <f t="shared" ca="1" si="5"/>
        <v>63.425531914893611</v>
      </c>
      <c r="P32" s="854">
        <f t="shared" ca="1" si="5"/>
        <v>15.003952569169961</v>
      </c>
      <c r="Q32" s="854">
        <f t="shared" ca="1" si="5"/>
        <v>7.5510954114689941</v>
      </c>
      <c r="R32" s="854">
        <f t="shared" ca="1" si="5"/>
        <v>15.808979364194087</v>
      </c>
      <c r="S32" s="854">
        <f t="shared" ca="1" si="5"/>
        <v>10.347517730496453</v>
      </c>
      <c r="T32" s="854">
        <f t="shared" ca="1" si="5"/>
        <v>2.2922962504786311</v>
      </c>
      <c r="U32" s="854">
        <f t="shared" ca="1" si="5"/>
        <v>3.7771870196124802</v>
      </c>
    </row>
    <row r="33" spans="2:19">
      <c r="B33" s="805" t="str">
        <f t="shared" si="0"/>
        <v>Thu</v>
      </c>
      <c r="C33" s="825">
        <v>44581</v>
      </c>
      <c r="D33" s="831">
        <v>52.04</v>
      </c>
      <c r="E33" s="831">
        <v>241.5</v>
      </c>
      <c r="F33" s="832">
        <v>121.89</v>
      </c>
      <c r="G33" s="832">
        <v>23.567317090830102</v>
      </c>
      <c r="H33" s="831">
        <v>547.72</v>
      </c>
      <c r="I33" s="832">
        <v>85.07</v>
      </c>
      <c r="J33" s="832">
        <v>4482.7299999999996</v>
      </c>
      <c r="K33" s="832">
        <v>14154.02</v>
      </c>
      <c r="M33" s="855"/>
      <c r="N33" s="856"/>
      <c r="O33" s="857"/>
      <c r="P33" s="857"/>
      <c r="Q33" s="857"/>
      <c r="R33" s="857"/>
      <c r="S33" s="857"/>
    </row>
    <row r="34" spans="2:19">
      <c r="B34" s="805" t="str">
        <f t="shared" si="0"/>
        <v>Wed</v>
      </c>
      <c r="C34" s="825">
        <v>44580</v>
      </c>
      <c r="D34" s="831">
        <v>53.62</v>
      </c>
      <c r="E34" s="831">
        <v>250.67</v>
      </c>
      <c r="F34" s="832">
        <v>128.27000000000001</v>
      </c>
      <c r="G34" s="832">
        <v>23.675922238714101</v>
      </c>
      <c r="H34" s="831">
        <v>563.97</v>
      </c>
      <c r="I34" s="832">
        <v>90</v>
      </c>
      <c r="J34" s="832">
        <v>4532.76</v>
      </c>
      <c r="K34" s="832">
        <v>14340.254999999999</v>
      </c>
      <c r="M34" s="858"/>
      <c r="N34" s="859"/>
      <c r="O34" s="860"/>
      <c r="P34" s="860"/>
      <c r="Q34" s="860"/>
      <c r="R34" s="860"/>
      <c r="S34" s="860"/>
    </row>
    <row r="35" spans="2:19">
      <c r="B35" s="805" t="str">
        <f t="shared" si="0"/>
        <v>Tue</v>
      </c>
      <c r="C35" s="825">
        <v>44579</v>
      </c>
      <c r="D35" s="831">
        <v>54.76</v>
      </c>
      <c r="E35" s="831">
        <v>259.02999999999997</v>
      </c>
      <c r="F35" s="832">
        <v>131.93</v>
      </c>
      <c r="G35" s="832">
        <v>24.037763253449501</v>
      </c>
      <c r="H35" s="831">
        <v>577.79</v>
      </c>
      <c r="I35" s="832">
        <v>92.87</v>
      </c>
      <c r="J35" s="832">
        <v>4577.1099999999997</v>
      </c>
      <c r="K35" s="832">
        <v>14506.897000000001</v>
      </c>
    </row>
    <row r="36" spans="2:19">
      <c r="B36" s="805" t="str">
        <f t="shared" si="0"/>
        <v>Mon</v>
      </c>
      <c r="C36" s="825">
        <v>44578</v>
      </c>
      <c r="D36" s="831">
        <v>55.7</v>
      </c>
      <c r="E36" s="831">
        <v>269.42</v>
      </c>
      <c r="F36" s="832">
        <v>136.88</v>
      </c>
      <c r="G36" s="832">
        <v>24.829140613639701</v>
      </c>
      <c r="H36" s="831">
        <v>596.37</v>
      </c>
      <c r="I36" s="832">
        <v>97.36</v>
      </c>
      <c r="J36" s="832">
        <v>4662.8500000000004</v>
      </c>
      <c r="K36" s="832">
        <v>14893.753000000001</v>
      </c>
    </row>
    <row r="37" spans="2:19">
      <c r="B37" s="805" t="str">
        <f t="shared" si="0"/>
        <v>Sun</v>
      </c>
      <c r="C37" s="825">
        <v>44577</v>
      </c>
      <c r="D37" s="831">
        <v>55.7</v>
      </c>
      <c r="E37" s="831">
        <v>269.42</v>
      </c>
      <c r="F37" s="832">
        <v>136.88</v>
      </c>
      <c r="G37" s="832">
        <v>24.400871459695001</v>
      </c>
      <c r="H37" s="831">
        <v>596.37</v>
      </c>
      <c r="I37" s="832">
        <v>97.36</v>
      </c>
      <c r="J37" s="832">
        <v>4662.8500000000004</v>
      </c>
      <c r="K37" s="832">
        <v>14893.753000000001</v>
      </c>
    </row>
    <row r="38" spans="2:19">
      <c r="B38" s="805" t="str">
        <f t="shared" si="0"/>
        <v>Sat</v>
      </c>
      <c r="C38" s="825">
        <v>44576</v>
      </c>
      <c r="D38" s="831">
        <v>55.7</v>
      </c>
      <c r="E38" s="831">
        <v>269.42</v>
      </c>
      <c r="F38" s="832">
        <v>136.88</v>
      </c>
      <c r="G38" s="832">
        <v>24.400871459695001</v>
      </c>
      <c r="H38" s="831">
        <v>596.37</v>
      </c>
      <c r="I38" s="832">
        <v>97.36</v>
      </c>
      <c r="J38" s="832">
        <v>4662.8500000000004</v>
      </c>
      <c r="K38" s="832">
        <v>14893.753000000001</v>
      </c>
    </row>
    <row r="39" spans="2:19">
      <c r="B39" s="805" t="str">
        <f t="shared" si="0"/>
        <v>Fri</v>
      </c>
      <c r="C39" s="825">
        <v>44575</v>
      </c>
      <c r="D39" s="831">
        <v>55.7</v>
      </c>
      <c r="E39" s="831">
        <v>269.42</v>
      </c>
      <c r="F39" s="832">
        <v>136.88</v>
      </c>
      <c r="G39" s="832">
        <v>24.400871459695001</v>
      </c>
      <c r="H39" s="831">
        <v>596.37</v>
      </c>
      <c r="I39" s="832">
        <v>97.36</v>
      </c>
      <c r="J39" s="832">
        <v>4662.8500000000004</v>
      </c>
      <c r="K39" s="832">
        <v>14893.753000000001</v>
      </c>
    </row>
    <row r="40" spans="2:19">
      <c r="B40" s="805" t="str">
        <f t="shared" si="0"/>
        <v>Thu</v>
      </c>
      <c r="C40" s="825">
        <v>44574</v>
      </c>
      <c r="D40" s="831">
        <v>54.94</v>
      </c>
      <c r="E40" s="831">
        <v>265.75</v>
      </c>
      <c r="F40" s="832">
        <v>132.74</v>
      </c>
      <c r="G40" s="832">
        <v>23.918943368916199</v>
      </c>
      <c r="H40" s="831">
        <v>597.19000000000005</v>
      </c>
      <c r="I40" s="832">
        <v>95.62</v>
      </c>
      <c r="J40" s="832">
        <v>4659.03</v>
      </c>
      <c r="K40" s="832">
        <v>14806.812</v>
      </c>
    </row>
    <row r="41" spans="2:19">
      <c r="B41" s="805" t="str">
        <f t="shared" si="0"/>
        <v>Wed</v>
      </c>
      <c r="C41" s="825">
        <v>44573</v>
      </c>
      <c r="D41" s="831">
        <v>55.74</v>
      </c>
      <c r="E41" s="831">
        <v>279.99</v>
      </c>
      <c r="F41" s="832">
        <v>137.47</v>
      </c>
      <c r="G41" s="832">
        <v>23.8723912178537</v>
      </c>
      <c r="H41" s="831">
        <v>622</v>
      </c>
      <c r="I41" s="832">
        <v>95.11</v>
      </c>
      <c r="J41" s="832">
        <v>4726.3500000000004</v>
      </c>
      <c r="K41" s="832">
        <v>15188.392</v>
      </c>
    </row>
    <row r="42" spans="2:19">
      <c r="B42" s="805" t="str">
        <f t="shared" si="0"/>
        <v>Tue</v>
      </c>
      <c r="C42" s="825">
        <v>44572</v>
      </c>
      <c r="D42" s="831">
        <v>55.91</v>
      </c>
      <c r="E42" s="831">
        <v>278.17</v>
      </c>
      <c r="F42" s="832">
        <v>137.31</v>
      </c>
      <c r="G42" s="832">
        <v>23.5315380444605</v>
      </c>
      <c r="H42" s="831">
        <v>622.04999999999995</v>
      </c>
      <c r="I42" s="832">
        <v>94.2</v>
      </c>
      <c r="J42" s="832">
        <v>4713.07</v>
      </c>
      <c r="K42" s="832">
        <v>15153.449000000001</v>
      </c>
    </row>
    <row r="43" spans="2:19">
      <c r="B43" s="805" t="str">
        <f t="shared" si="0"/>
        <v>Mon</v>
      </c>
      <c r="C43" s="825">
        <v>44571</v>
      </c>
      <c r="D43" s="831">
        <v>55.21</v>
      </c>
      <c r="E43" s="831">
        <v>274</v>
      </c>
      <c r="F43" s="832">
        <v>132</v>
      </c>
      <c r="G43" s="832">
        <v>23.249927682962099</v>
      </c>
      <c r="H43" s="831">
        <v>621.16</v>
      </c>
      <c r="I43" s="832">
        <v>93.89</v>
      </c>
      <c r="J43" s="832">
        <v>4670.29</v>
      </c>
      <c r="K43" s="832">
        <v>14942.828</v>
      </c>
    </row>
    <row r="44" spans="2:19">
      <c r="B44" s="805" t="str">
        <f t="shared" si="0"/>
        <v>Sun</v>
      </c>
      <c r="C44" s="825">
        <v>44570</v>
      </c>
      <c r="D44" s="831">
        <v>53.44</v>
      </c>
      <c r="E44" s="831">
        <v>272.47000000000003</v>
      </c>
      <c r="F44" s="832">
        <v>132</v>
      </c>
      <c r="G44" s="832">
        <v>22.966853830827699</v>
      </c>
      <c r="H44" s="831">
        <v>619.15</v>
      </c>
      <c r="I44" s="832">
        <v>94.45</v>
      </c>
      <c r="J44" s="832">
        <v>4677.03</v>
      </c>
      <c r="K44" s="832">
        <v>14935.902</v>
      </c>
    </row>
    <row r="45" spans="2:19">
      <c r="B45" s="805" t="str">
        <f t="shared" si="0"/>
        <v>Sat</v>
      </c>
      <c r="C45" s="825">
        <v>44569</v>
      </c>
      <c r="D45" s="831">
        <v>53.44</v>
      </c>
      <c r="E45" s="831">
        <v>272.47000000000003</v>
      </c>
      <c r="F45" s="832">
        <v>132</v>
      </c>
      <c r="G45" s="832">
        <v>22.966853830827699</v>
      </c>
      <c r="H45" s="831">
        <v>619.15</v>
      </c>
      <c r="I45" s="832">
        <v>94.45</v>
      </c>
      <c r="J45" s="832">
        <v>4677.03</v>
      </c>
      <c r="K45" s="832">
        <v>14935.902</v>
      </c>
    </row>
    <row r="46" spans="2:19">
      <c r="B46" s="805" t="str">
        <f t="shared" si="0"/>
        <v>Fri</v>
      </c>
      <c r="C46" s="825">
        <v>44568</v>
      </c>
      <c r="D46" s="831">
        <v>53.44</v>
      </c>
      <c r="E46" s="831">
        <v>272.47000000000003</v>
      </c>
      <c r="F46" s="832">
        <v>132</v>
      </c>
      <c r="G46" s="832">
        <v>22.966853830827699</v>
      </c>
      <c r="H46" s="831">
        <v>619.15</v>
      </c>
      <c r="I46" s="832">
        <v>94.45</v>
      </c>
      <c r="J46" s="832">
        <v>4677.03</v>
      </c>
      <c r="K46" s="832">
        <v>14935.902</v>
      </c>
    </row>
    <row r="47" spans="2:19">
      <c r="B47" s="805" t="str">
        <f t="shared" si="0"/>
        <v>Thu</v>
      </c>
      <c r="C47" s="825">
        <v>44567</v>
      </c>
      <c r="D47" s="831">
        <v>54.01</v>
      </c>
      <c r="E47" s="831">
        <v>281.77999999999997</v>
      </c>
      <c r="F47" s="832">
        <v>136.22999999999999</v>
      </c>
      <c r="G47" s="832">
        <v>23.2801937606189</v>
      </c>
      <c r="H47" s="831">
        <v>637.03</v>
      </c>
      <c r="I47" s="832">
        <v>95.65</v>
      </c>
      <c r="J47" s="832">
        <v>4696.05</v>
      </c>
      <c r="K47" s="832">
        <v>15080.865</v>
      </c>
    </row>
    <row r="48" spans="2:19">
      <c r="B48" s="805" t="str">
        <f t="shared" si="0"/>
        <v>Wed</v>
      </c>
      <c r="C48" s="825">
        <v>44566</v>
      </c>
      <c r="D48" s="831">
        <v>53.87</v>
      </c>
      <c r="E48" s="831">
        <v>276.04000000000002</v>
      </c>
      <c r="F48" s="832">
        <v>136.15</v>
      </c>
      <c r="G48" s="832">
        <v>23.5439003187482</v>
      </c>
      <c r="H48" s="831">
        <v>643</v>
      </c>
      <c r="I48" s="832">
        <v>94.4</v>
      </c>
      <c r="J48" s="832">
        <v>4700.58</v>
      </c>
      <c r="K48" s="832">
        <v>15100.174000000001</v>
      </c>
    </row>
    <row r="49" spans="2:11">
      <c r="B49" s="805" t="str">
        <f t="shared" si="0"/>
        <v>Tue</v>
      </c>
      <c r="C49" s="825">
        <v>44565</v>
      </c>
      <c r="D49" s="831">
        <v>53.14</v>
      </c>
      <c r="E49" s="831">
        <v>292.89999999999998</v>
      </c>
      <c r="F49" s="832">
        <v>144.41999999999999</v>
      </c>
      <c r="G49" s="832">
        <v>23.828550671994201</v>
      </c>
      <c r="H49" s="831">
        <v>670.92</v>
      </c>
      <c r="I49" s="832">
        <v>96.34</v>
      </c>
      <c r="J49" s="832">
        <v>4793.54</v>
      </c>
      <c r="K49" s="832">
        <v>15622.718000000001</v>
      </c>
    </row>
    <row r="50" spans="2:11">
      <c r="B50" s="805" t="str">
        <f t="shared" si="0"/>
        <v>Mon</v>
      </c>
      <c r="C50" s="825">
        <v>44564</v>
      </c>
      <c r="D50" s="831">
        <v>53.21</v>
      </c>
      <c r="E50" s="831">
        <v>301.20999999999998</v>
      </c>
      <c r="F50" s="832">
        <v>150.24</v>
      </c>
      <c r="G50" s="832">
        <v>22.831711111915201</v>
      </c>
      <c r="H50" s="831">
        <v>663.32</v>
      </c>
      <c r="I50" s="832">
        <v>95.75</v>
      </c>
      <c r="J50" s="832">
        <v>4796.5600000000004</v>
      </c>
      <c r="K50" s="832">
        <v>15832.799000000001</v>
      </c>
    </row>
    <row r="51" spans="2:11">
      <c r="B51" s="805" t="str">
        <f t="shared" si="0"/>
        <v>Sun</v>
      </c>
      <c r="C51" s="825">
        <v>44563</v>
      </c>
      <c r="D51" s="831">
        <v>51.5</v>
      </c>
      <c r="E51" s="831">
        <v>294.11</v>
      </c>
      <c r="F51" s="832">
        <v>143.9</v>
      </c>
      <c r="G51" s="832">
        <v>22.1845465695116</v>
      </c>
      <c r="H51" s="831">
        <v>665.41</v>
      </c>
      <c r="I51" s="832">
        <v>93.15</v>
      </c>
      <c r="J51" s="832">
        <v>4766.18</v>
      </c>
      <c r="K51" s="832">
        <v>15644.971</v>
      </c>
    </row>
    <row r="52" spans="2:11">
      <c r="B52" s="805" t="str">
        <f t="shared" si="0"/>
        <v>Sat</v>
      </c>
      <c r="C52" s="825">
        <v>44562</v>
      </c>
      <c r="D52" s="831">
        <v>51.5</v>
      </c>
      <c r="E52" s="831">
        <v>294.11</v>
      </c>
      <c r="F52" s="832">
        <v>143.9</v>
      </c>
      <c r="G52" s="832">
        <v>22.1845465695116</v>
      </c>
      <c r="H52" s="831">
        <v>665.41</v>
      </c>
      <c r="I52" s="832">
        <v>93.15</v>
      </c>
      <c r="J52" s="832">
        <v>4766.18</v>
      </c>
      <c r="K52" s="832">
        <v>15644.971</v>
      </c>
    </row>
    <row r="53" spans="2:11">
      <c r="B53" s="805" t="str">
        <f t="shared" si="0"/>
        <v>Fri</v>
      </c>
      <c r="C53" s="825">
        <v>44561</v>
      </c>
      <c r="D53" s="831">
        <v>51.5</v>
      </c>
      <c r="E53" s="831">
        <v>294.11</v>
      </c>
      <c r="F53" s="832">
        <v>143.9</v>
      </c>
      <c r="G53" s="832">
        <v>22.1845465695116</v>
      </c>
      <c r="H53" s="831">
        <v>665.41</v>
      </c>
      <c r="I53" s="832">
        <v>93.15</v>
      </c>
      <c r="J53" s="832">
        <v>4766.18</v>
      </c>
      <c r="K53" s="832">
        <v>15644.971</v>
      </c>
    </row>
    <row r="54" spans="2:11">
      <c r="B54" s="805" t="str">
        <f t="shared" si="0"/>
        <v>Thu</v>
      </c>
      <c r="C54" s="825">
        <v>44560</v>
      </c>
      <c r="D54" s="831">
        <v>51.74</v>
      </c>
      <c r="E54" s="831">
        <v>295.86</v>
      </c>
      <c r="F54" s="832">
        <v>145.15</v>
      </c>
      <c r="G54" s="832">
        <v>22.1845465695116</v>
      </c>
      <c r="H54" s="831">
        <v>665.08</v>
      </c>
      <c r="I54" s="832">
        <v>93.89</v>
      </c>
      <c r="J54" s="832">
        <v>4778.7299999999996</v>
      </c>
      <c r="K54" s="832">
        <v>15741.564</v>
      </c>
    </row>
    <row r="55" spans="2:11">
      <c r="B55" s="805" t="str">
        <f t="shared" si="0"/>
        <v>Wed</v>
      </c>
      <c r="C55" s="825">
        <v>44559</v>
      </c>
      <c r="D55" s="831">
        <v>51.83</v>
      </c>
      <c r="E55" s="831">
        <v>300.01</v>
      </c>
      <c r="F55" s="832">
        <v>148.26</v>
      </c>
      <c r="G55" s="832">
        <v>22.289766970618</v>
      </c>
      <c r="H55" s="831">
        <v>672.61</v>
      </c>
      <c r="I55" s="832">
        <v>96.17</v>
      </c>
      <c r="J55" s="832">
        <v>4793.0600000000004</v>
      </c>
      <c r="K55" s="832">
        <v>15766.216</v>
      </c>
    </row>
    <row r="56" spans="2:11">
      <c r="B56" s="805" t="str">
        <f t="shared" si="0"/>
        <v>Tue</v>
      </c>
      <c r="C56" s="825">
        <v>44558</v>
      </c>
      <c r="D56" s="831">
        <v>51.76</v>
      </c>
      <c r="E56" s="831">
        <v>303.22000000000003</v>
      </c>
      <c r="F56" s="832">
        <v>153.15</v>
      </c>
      <c r="G56" s="832">
        <v>22.258414766558101</v>
      </c>
      <c r="H56" s="831">
        <v>669</v>
      </c>
      <c r="I56" s="832">
        <v>92.94</v>
      </c>
      <c r="J56" s="832">
        <v>4786.3500000000004</v>
      </c>
      <c r="K56" s="832">
        <v>15781.723</v>
      </c>
    </row>
    <row r="57" spans="2:11">
      <c r="B57" s="805" t="str">
        <f t="shared" si="0"/>
        <v>Mon</v>
      </c>
      <c r="C57" s="825">
        <v>44557</v>
      </c>
      <c r="D57" s="831">
        <v>51.94</v>
      </c>
      <c r="E57" s="831">
        <v>309.45</v>
      </c>
      <c r="F57" s="832">
        <v>154.36000000000001</v>
      </c>
      <c r="G57" s="832">
        <v>21.887528442951599</v>
      </c>
      <c r="H57" s="831">
        <v>674.28</v>
      </c>
      <c r="I57" s="832">
        <v>94.43</v>
      </c>
      <c r="J57" s="832">
        <v>4791.1899999999996</v>
      </c>
      <c r="K57" s="832">
        <v>15871.262000000001</v>
      </c>
    </row>
    <row r="58" spans="2:11">
      <c r="B58" s="805" t="str">
        <f t="shared" si="0"/>
        <v>Sun</v>
      </c>
      <c r="C58" s="825">
        <v>44556</v>
      </c>
      <c r="D58" s="831">
        <v>51.31</v>
      </c>
      <c r="E58" s="831">
        <v>296.39999999999998</v>
      </c>
      <c r="F58" s="832">
        <v>146.13999999999999</v>
      </c>
      <c r="G58" s="832">
        <v>21.822386010549899</v>
      </c>
      <c r="H58" s="831">
        <v>664.8</v>
      </c>
      <c r="I58" s="832">
        <v>94.42</v>
      </c>
      <c r="J58" s="832">
        <v>4725.79</v>
      </c>
      <c r="K58" s="832">
        <v>15653.374</v>
      </c>
    </row>
    <row r="59" spans="2:11">
      <c r="B59" s="805" t="str">
        <f t="shared" si="0"/>
        <v>Sat</v>
      </c>
      <c r="C59" s="825">
        <v>44555</v>
      </c>
      <c r="D59" s="831">
        <v>51.31</v>
      </c>
      <c r="E59" s="831">
        <v>296.39999999999998</v>
      </c>
      <c r="F59" s="832">
        <v>146.13999999999999</v>
      </c>
      <c r="G59" s="832">
        <v>21.822386010549899</v>
      </c>
      <c r="H59" s="831">
        <v>664.8</v>
      </c>
      <c r="I59" s="832">
        <v>94.42</v>
      </c>
      <c r="J59" s="832">
        <v>4725.79</v>
      </c>
      <c r="K59" s="832">
        <v>15653.374</v>
      </c>
    </row>
    <row r="60" spans="2:11">
      <c r="B60" s="805" t="str">
        <f t="shared" si="0"/>
        <v>Fri</v>
      </c>
      <c r="C60" s="825">
        <v>44554</v>
      </c>
      <c r="D60" s="831">
        <v>51.31</v>
      </c>
      <c r="E60" s="831">
        <v>296.39999999999998</v>
      </c>
      <c r="F60" s="832">
        <v>146.13999999999999</v>
      </c>
      <c r="G60" s="832">
        <v>21.822386010549899</v>
      </c>
      <c r="H60" s="831">
        <v>664.8</v>
      </c>
      <c r="I60" s="832">
        <v>94.42</v>
      </c>
      <c r="J60" s="832">
        <v>4725.79</v>
      </c>
      <c r="K60" s="832">
        <v>15653.374</v>
      </c>
    </row>
    <row r="61" spans="2:11">
      <c r="B61" s="805" t="str">
        <f t="shared" si="0"/>
        <v>Thu</v>
      </c>
      <c r="C61" s="825">
        <v>44553</v>
      </c>
      <c r="D61" s="831">
        <v>51.31</v>
      </c>
      <c r="E61" s="831">
        <v>296.39999999999998</v>
      </c>
      <c r="F61" s="832">
        <v>146.13999999999999</v>
      </c>
      <c r="G61" s="832">
        <v>21.882786263676699</v>
      </c>
      <c r="H61" s="831">
        <v>664.8</v>
      </c>
      <c r="I61" s="832">
        <v>94.42</v>
      </c>
      <c r="J61" s="832">
        <v>4725.79</v>
      </c>
      <c r="K61" s="832">
        <v>15653.374</v>
      </c>
    </row>
    <row r="62" spans="2:11">
      <c r="B62" s="805" t="str">
        <f t="shared" si="0"/>
        <v>Wed</v>
      </c>
      <c r="C62" s="825">
        <v>44552</v>
      </c>
      <c r="D62" s="831">
        <v>50.97</v>
      </c>
      <c r="E62" s="831">
        <v>294</v>
      </c>
      <c r="F62" s="832">
        <v>143.88</v>
      </c>
      <c r="G62" s="832">
        <v>21.612275772638899</v>
      </c>
      <c r="H62" s="831">
        <v>655.20000000000005</v>
      </c>
      <c r="I62" s="832">
        <v>90.34</v>
      </c>
      <c r="J62" s="832">
        <v>4696.5600000000004</v>
      </c>
      <c r="K62" s="832">
        <v>15521.892</v>
      </c>
    </row>
    <row r="63" spans="2:11">
      <c r="B63" s="805" t="str">
        <f t="shared" si="0"/>
        <v>Tue</v>
      </c>
      <c r="C63" s="825">
        <v>44551</v>
      </c>
      <c r="D63" s="831">
        <v>50.77</v>
      </c>
      <c r="E63" s="831">
        <v>290.75</v>
      </c>
      <c r="F63" s="832">
        <v>144.25</v>
      </c>
      <c r="G63" s="832">
        <v>21.477137820628101</v>
      </c>
      <c r="H63" s="831">
        <v>646.24</v>
      </c>
      <c r="I63" s="832">
        <v>90.68</v>
      </c>
      <c r="J63" s="832">
        <v>4649.2299999999996</v>
      </c>
      <c r="K63" s="832">
        <v>15341.087</v>
      </c>
    </row>
    <row r="64" spans="2:11">
      <c r="B64" s="805" t="str">
        <f t="shared" si="0"/>
        <v>Mon</v>
      </c>
      <c r="C64" s="825">
        <v>44550</v>
      </c>
      <c r="D64" s="831">
        <v>49.6</v>
      </c>
      <c r="E64" s="831">
        <v>277.19</v>
      </c>
      <c r="F64" s="832">
        <v>135.80000000000001</v>
      </c>
      <c r="G64" s="832">
        <v>21.467547386559499</v>
      </c>
      <c r="H64" s="831">
        <v>645.03</v>
      </c>
      <c r="I64" s="832">
        <v>82.03</v>
      </c>
      <c r="J64" s="832">
        <v>4568.0200000000004</v>
      </c>
      <c r="K64" s="832">
        <v>14980.944</v>
      </c>
    </row>
    <row r="65" spans="2:11">
      <c r="B65" s="805" t="str">
        <f t="shared" si="0"/>
        <v>Sun</v>
      </c>
      <c r="C65" s="825">
        <v>44549</v>
      </c>
      <c r="D65" s="831">
        <v>50.62</v>
      </c>
      <c r="E65" s="831">
        <v>278.01</v>
      </c>
      <c r="F65" s="832">
        <v>137.75</v>
      </c>
      <c r="G65" s="832">
        <v>21.812562886301599</v>
      </c>
      <c r="H65" s="831">
        <v>634.96</v>
      </c>
      <c r="I65" s="832">
        <v>83</v>
      </c>
      <c r="J65" s="832">
        <v>4620.6400000000003</v>
      </c>
      <c r="K65" s="832">
        <v>15169.682000000001</v>
      </c>
    </row>
    <row r="66" spans="2:11">
      <c r="B66" s="805" t="str">
        <f t="shared" si="0"/>
        <v>Sat</v>
      </c>
      <c r="C66" s="825">
        <v>44548</v>
      </c>
      <c r="D66" s="831">
        <v>50.62</v>
      </c>
      <c r="E66" s="831">
        <v>278.01</v>
      </c>
      <c r="F66" s="832">
        <v>137.75</v>
      </c>
      <c r="G66" s="832">
        <v>21.812562886301599</v>
      </c>
      <c r="H66" s="831">
        <v>634.96</v>
      </c>
      <c r="I66" s="832">
        <v>83</v>
      </c>
      <c r="J66" s="832">
        <v>4620.6400000000003</v>
      </c>
      <c r="K66" s="832">
        <v>15169.682000000001</v>
      </c>
    </row>
    <row r="67" spans="2:11">
      <c r="B67" s="805" t="str">
        <f t="shared" si="0"/>
        <v>Fri</v>
      </c>
      <c r="C67" s="825">
        <v>44547</v>
      </c>
      <c r="D67" s="831">
        <v>50.62</v>
      </c>
      <c r="E67" s="831">
        <v>278.01</v>
      </c>
      <c r="F67" s="832">
        <v>137.75</v>
      </c>
      <c r="G67" s="832">
        <v>21.812562886301599</v>
      </c>
      <c r="H67" s="831">
        <v>634.96</v>
      </c>
      <c r="I67" s="832">
        <v>83</v>
      </c>
      <c r="J67" s="832">
        <v>4620.6400000000003</v>
      </c>
      <c r="K67" s="832">
        <v>15169.682000000001</v>
      </c>
    </row>
    <row r="68" spans="2:11">
      <c r="B68" s="805" t="str">
        <f t="shared" si="0"/>
        <v>Thu</v>
      </c>
      <c r="C68" s="825">
        <v>44546</v>
      </c>
      <c r="D68" s="831">
        <v>50.83</v>
      </c>
      <c r="E68" s="831">
        <v>283.87</v>
      </c>
      <c r="F68" s="832">
        <v>138.63999999999999</v>
      </c>
      <c r="G68" s="832">
        <v>21.756329113924</v>
      </c>
      <c r="H68" s="831">
        <v>620.67999999999995</v>
      </c>
      <c r="I68" s="832">
        <v>82.69</v>
      </c>
      <c r="J68" s="832">
        <v>4668.67</v>
      </c>
      <c r="K68" s="832">
        <v>15180.434999999999</v>
      </c>
    </row>
    <row r="69" spans="2:11">
      <c r="B69" s="805" t="str">
        <f t="shared" si="0"/>
        <v>Wed</v>
      </c>
      <c r="C69" s="825">
        <v>44545</v>
      </c>
      <c r="D69" s="831">
        <v>50.67</v>
      </c>
      <c r="E69" s="831">
        <v>304.58999999999997</v>
      </c>
      <c r="F69" s="832">
        <v>146.5</v>
      </c>
      <c r="G69" s="832">
        <v>21.5974946906159</v>
      </c>
      <c r="H69" s="831">
        <v>639.86</v>
      </c>
      <c r="I69" s="832">
        <v>85.66</v>
      </c>
      <c r="J69" s="832">
        <v>4709.8500000000004</v>
      </c>
      <c r="K69" s="832">
        <v>15565.583000000001</v>
      </c>
    </row>
    <row r="70" spans="2:11">
      <c r="B70" s="805" t="str">
        <f t="shared" si="0"/>
        <v>Tue</v>
      </c>
      <c r="C70" s="825">
        <v>44544</v>
      </c>
      <c r="D70" s="831">
        <v>49.7</v>
      </c>
      <c r="E70" s="831">
        <v>283.37</v>
      </c>
      <c r="F70" s="832">
        <v>135.6</v>
      </c>
      <c r="G70" s="832">
        <v>21.521989077321098</v>
      </c>
      <c r="H70" s="831">
        <v>614.91</v>
      </c>
      <c r="I70" s="832">
        <v>83.29</v>
      </c>
      <c r="J70" s="832">
        <v>4634.09</v>
      </c>
      <c r="K70" s="832">
        <v>15237.64</v>
      </c>
    </row>
    <row r="71" spans="2:11">
      <c r="B71" s="805" t="str">
        <f t="shared" si="0"/>
        <v>Mon</v>
      </c>
      <c r="C71" s="825">
        <v>44543</v>
      </c>
      <c r="D71" s="831">
        <v>50</v>
      </c>
      <c r="E71" s="831">
        <v>281.61</v>
      </c>
      <c r="F71" s="832">
        <v>133.80000000000001</v>
      </c>
      <c r="G71" s="832">
        <v>21.614817478870702</v>
      </c>
      <c r="H71" s="831">
        <v>621.66</v>
      </c>
      <c r="I71" s="832">
        <v>84.35</v>
      </c>
      <c r="J71" s="832">
        <v>4668.97</v>
      </c>
      <c r="K71" s="832">
        <v>15413.281999999999</v>
      </c>
    </row>
    <row r="72" spans="2:11">
      <c r="B72" s="805" t="str">
        <f t="shared" ref="B72:B135" si="6">TEXT(C72,"DDD")</f>
        <v>Sun</v>
      </c>
      <c r="C72" s="825">
        <v>44542</v>
      </c>
      <c r="D72" s="831">
        <v>50.59</v>
      </c>
      <c r="E72" s="831">
        <v>301.98</v>
      </c>
      <c r="F72" s="832">
        <v>138.55000000000001</v>
      </c>
      <c r="G72" s="832">
        <v>21.894904458598699</v>
      </c>
      <c r="H72" s="831">
        <v>631.67999999999995</v>
      </c>
      <c r="I72" s="832">
        <v>85.54</v>
      </c>
      <c r="J72" s="832">
        <v>4712.0200000000004</v>
      </c>
      <c r="K72" s="832">
        <v>15630.601000000001</v>
      </c>
    </row>
    <row r="73" spans="2:11">
      <c r="B73" s="805" t="str">
        <f t="shared" si="6"/>
        <v>Sat</v>
      </c>
      <c r="C73" s="825">
        <v>44541</v>
      </c>
      <c r="D73" s="831">
        <v>50.59</v>
      </c>
      <c r="E73" s="831">
        <v>301.98</v>
      </c>
      <c r="F73" s="832">
        <v>138.55000000000001</v>
      </c>
      <c r="G73" s="832">
        <v>21.894904458598699</v>
      </c>
      <c r="H73" s="831">
        <v>631.67999999999995</v>
      </c>
      <c r="I73" s="832">
        <v>85.54</v>
      </c>
      <c r="J73" s="832">
        <v>4712.0200000000004</v>
      </c>
      <c r="K73" s="832">
        <v>15630.601000000001</v>
      </c>
    </row>
    <row r="74" spans="2:11">
      <c r="B74" s="805" t="str">
        <f t="shared" si="6"/>
        <v>Fri</v>
      </c>
      <c r="C74" s="825">
        <v>44540</v>
      </c>
      <c r="D74" s="831">
        <v>50.59</v>
      </c>
      <c r="E74" s="831">
        <v>301.98</v>
      </c>
      <c r="F74" s="832">
        <v>138.55000000000001</v>
      </c>
      <c r="G74" s="832">
        <v>21.894904458598699</v>
      </c>
      <c r="H74" s="831">
        <v>631.67999999999995</v>
      </c>
      <c r="I74" s="832">
        <v>85.54</v>
      </c>
      <c r="J74" s="832">
        <v>4712.0200000000004</v>
      </c>
      <c r="K74" s="832">
        <v>15630.601000000001</v>
      </c>
    </row>
    <row r="75" spans="2:11">
      <c r="B75" s="805" t="str">
        <f t="shared" si="6"/>
        <v>Thu</v>
      </c>
      <c r="C75" s="825">
        <v>44539</v>
      </c>
      <c r="D75" s="831">
        <v>50.48</v>
      </c>
      <c r="E75" s="831">
        <v>304.89999999999998</v>
      </c>
      <c r="F75" s="832">
        <v>138.1</v>
      </c>
      <c r="G75" s="832">
        <v>21.9217595096449</v>
      </c>
      <c r="H75" s="831">
        <v>583.41999999999996</v>
      </c>
      <c r="I75" s="832">
        <v>84.93</v>
      </c>
      <c r="J75" s="832">
        <v>4667.45</v>
      </c>
      <c r="K75" s="832">
        <v>15517.37</v>
      </c>
    </row>
    <row r="76" spans="2:11">
      <c r="B76" s="805" t="str">
        <f t="shared" si="6"/>
        <v>Wed</v>
      </c>
      <c r="C76" s="825">
        <v>44538</v>
      </c>
      <c r="D76" s="831">
        <v>51.75</v>
      </c>
      <c r="E76" s="831">
        <v>318.26</v>
      </c>
      <c r="F76" s="832">
        <v>145.24</v>
      </c>
      <c r="G76" s="832">
        <v>21.7179551931888</v>
      </c>
      <c r="H76" s="831">
        <v>588.55999999999995</v>
      </c>
      <c r="I76" s="832">
        <v>86.02</v>
      </c>
      <c r="J76" s="832">
        <v>4701.21</v>
      </c>
      <c r="K76" s="832">
        <v>15786.987999999999</v>
      </c>
    </row>
    <row r="77" spans="2:11">
      <c r="B77" s="805" t="str">
        <f t="shared" si="6"/>
        <v>Tue</v>
      </c>
      <c r="C77" s="825">
        <v>44537</v>
      </c>
      <c r="D77" s="831">
        <v>52.57</v>
      </c>
      <c r="E77" s="831">
        <v>324.27</v>
      </c>
      <c r="F77" s="832">
        <v>144.85</v>
      </c>
      <c r="G77" s="832">
        <v>21.882548037059699</v>
      </c>
      <c r="H77" s="831">
        <v>590.4</v>
      </c>
      <c r="I77" s="832">
        <v>85.83</v>
      </c>
      <c r="J77" s="832">
        <v>4686.75</v>
      </c>
      <c r="K77" s="832">
        <v>15686.915999999999</v>
      </c>
    </row>
    <row r="78" spans="2:11">
      <c r="B78" s="805" t="str">
        <f t="shared" si="6"/>
        <v>Mon</v>
      </c>
      <c r="C78" s="825">
        <v>44536</v>
      </c>
      <c r="D78" s="831">
        <v>50.99</v>
      </c>
      <c r="E78" s="831">
        <v>300.37</v>
      </c>
      <c r="F78" s="832">
        <v>139.06</v>
      </c>
      <c r="G78" s="832">
        <v>21.6504889402086</v>
      </c>
      <c r="H78" s="831">
        <v>564.98</v>
      </c>
      <c r="I78" s="832">
        <v>82.45</v>
      </c>
      <c r="J78" s="832">
        <v>4591.67</v>
      </c>
      <c r="K78" s="832">
        <v>15225.152</v>
      </c>
    </row>
    <row r="79" spans="2:11">
      <c r="B79" s="805" t="str">
        <f t="shared" si="6"/>
        <v>Sun</v>
      </c>
      <c r="C79" s="825">
        <v>44535</v>
      </c>
      <c r="D79" s="831">
        <v>49.25</v>
      </c>
      <c r="E79" s="831">
        <v>306.93</v>
      </c>
      <c r="F79" s="832">
        <v>144.01</v>
      </c>
      <c r="G79" s="832">
        <v>21.984379519814901</v>
      </c>
      <c r="H79" s="831">
        <v>558.12</v>
      </c>
      <c r="I79" s="832">
        <v>81.62</v>
      </c>
      <c r="J79" s="832">
        <v>4538.43</v>
      </c>
      <c r="K79" s="832">
        <v>15085.472</v>
      </c>
    </row>
    <row r="80" spans="2:11">
      <c r="B80" s="805" t="str">
        <f t="shared" si="6"/>
        <v>Sat</v>
      </c>
      <c r="C80" s="825">
        <v>44534</v>
      </c>
      <c r="D80" s="831">
        <v>49.25</v>
      </c>
      <c r="E80" s="831">
        <v>306.93</v>
      </c>
      <c r="F80" s="832">
        <v>144.01</v>
      </c>
      <c r="G80" s="832">
        <v>21.984379519814901</v>
      </c>
      <c r="H80" s="831">
        <v>558.12</v>
      </c>
      <c r="I80" s="832">
        <v>81.62</v>
      </c>
      <c r="J80" s="832">
        <v>4538.43</v>
      </c>
      <c r="K80" s="832">
        <v>15085.472</v>
      </c>
    </row>
    <row r="81" spans="2:11">
      <c r="B81" s="805" t="str">
        <f t="shared" si="6"/>
        <v>Fri</v>
      </c>
      <c r="C81" s="825">
        <v>44533</v>
      </c>
      <c r="D81" s="831">
        <v>49.25</v>
      </c>
      <c r="E81" s="831">
        <v>306.93</v>
      </c>
      <c r="F81" s="832">
        <v>144.01</v>
      </c>
      <c r="G81" s="832">
        <v>21.984379519814901</v>
      </c>
      <c r="H81" s="831">
        <v>558.12</v>
      </c>
      <c r="I81" s="832">
        <v>81.62</v>
      </c>
      <c r="J81" s="832">
        <v>4538.43</v>
      </c>
      <c r="K81" s="832">
        <v>15085.472</v>
      </c>
    </row>
    <row r="82" spans="2:11">
      <c r="B82" s="805" t="str">
        <f t="shared" si="6"/>
        <v>Thu</v>
      </c>
      <c r="C82" s="825">
        <v>44532</v>
      </c>
      <c r="D82" s="831">
        <v>49.5</v>
      </c>
      <c r="E82" s="831">
        <v>321.26</v>
      </c>
      <c r="F82" s="832">
        <v>150.68</v>
      </c>
      <c r="G82" s="832">
        <v>22.159766511728499</v>
      </c>
      <c r="H82" s="831">
        <v>552.45000000000005</v>
      </c>
      <c r="I82" s="832">
        <v>82.88</v>
      </c>
      <c r="J82" s="832">
        <v>4577.1000000000004</v>
      </c>
      <c r="K82" s="832">
        <v>15381.32</v>
      </c>
    </row>
    <row r="83" spans="2:11">
      <c r="B83" s="805" t="str">
        <f t="shared" si="6"/>
        <v>Wed</v>
      </c>
      <c r="C83" s="825">
        <v>44531</v>
      </c>
      <c r="D83" s="831">
        <v>48.6</v>
      </c>
      <c r="E83" s="831">
        <v>314.35000000000002</v>
      </c>
      <c r="F83" s="832">
        <v>149.11000000000001</v>
      </c>
      <c r="G83" s="832">
        <v>21.670820240546099</v>
      </c>
      <c r="H83" s="831">
        <v>554.76</v>
      </c>
      <c r="I83" s="832">
        <v>85.15</v>
      </c>
      <c r="J83" s="832">
        <v>4513.04</v>
      </c>
      <c r="K83" s="832">
        <v>15254.052</v>
      </c>
    </row>
    <row r="84" spans="2:11">
      <c r="B84" s="805" t="str">
        <f t="shared" si="6"/>
        <v>Tue</v>
      </c>
      <c r="C84" s="825">
        <v>44530</v>
      </c>
      <c r="D84" s="831">
        <v>49.2</v>
      </c>
      <c r="E84" s="831">
        <v>326.76</v>
      </c>
      <c r="F84" s="832">
        <v>158.37</v>
      </c>
      <c r="G84" s="832">
        <v>21.572317938323401</v>
      </c>
      <c r="H84" s="831">
        <v>553.67999999999995</v>
      </c>
      <c r="I84" s="832">
        <v>84</v>
      </c>
      <c r="J84" s="832">
        <v>4567</v>
      </c>
      <c r="K84" s="832">
        <v>15537.691000000001</v>
      </c>
    </row>
    <row r="85" spans="2:11">
      <c r="B85" s="805" t="str">
        <f t="shared" si="6"/>
        <v>Mon</v>
      </c>
      <c r="C85" s="825">
        <v>44529</v>
      </c>
      <c r="D85" s="831">
        <v>50</v>
      </c>
      <c r="E85" s="831">
        <v>333.76</v>
      </c>
      <c r="F85" s="832">
        <v>161.91</v>
      </c>
      <c r="G85" s="832">
        <v>21.3616714697406</v>
      </c>
      <c r="H85" s="831">
        <v>564.34</v>
      </c>
      <c r="I85" s="832">
        <v>86.14</v>
      </c>
      <c r="J85" s="832">
        <v>4655.2700000000004</v>
      </c>
      <c r="K85" s="832">
        <v>15782.834000000001</v>
      </c>
    </row>
    <row r="86" spans="2:11">
      <c r="B86" s="805" t="str">
        <f t="shared" si="6"/>
        <v>Sun</v>
      </c>
      <c r="C86" s="825">
        <v>44528</v>
      </c>
      <c r="D86" s="831">
        <v>48.78</v>
      </c>
      <c r="E86" s="831">
        <v>315.02999999999997</v>
      </c>
      <c r="F86" s="832">
        <v>154.81</v>
      </c>
      <c r="G86" s="832">
        <v>21.398054069579601</v>
      </c>
      <c r="H86" s="831">
        <v>546.59</v>
      </c>
      <c r="I86" s="832">
        <v>83.42</v>
      </c>
      <c r="J86" s="832">
        <v>4594.62</v>
      </c>
      <c r="K86" s="832">
        <v>15491.656999999999</v>
      </c>
    </row>
    <row r="87" spans="2:11">
      <c r="B87" s="805" t="str">
        <f t="shared" si="6"/>
        <v>Sat</v>
      </c>
      <c r="C87" s="825">
        <v>44527</v>
      </c>
      <c r="D87" s="831">
        <v>48.78</v>
      </c>
      <c r="E87" s="831">
        <v>315.02999999999997</v>
      </c>
      <c r="F87" s="832">
        <v>154.81</v>
      </c>
      <c r="G87" s="832">
        <v>21.398054069579601</v>
      </c>
      <c r="H87" s="831">
        <v>546.59</v>
      </c>
      <c r="I87" s="832">
        <v>83.42</v>
      </c>
      <c r="J87" s="832">
        <v>4594.62</v>
      </c>
      <c r="K87" s="832">
        <v>15491.656999999999</v>
      </c>
    </row>
    <row r="88" spans="2:11">
      <c r="B88" s="805" t="str">
        <f t="shared" si="6"/>
        <v>Fri</v>
      </c>
      <c r="C88" s="825">
        <v>44526</v>
      </c>
      <c r="D88" s="831">
        <v>48.78</v>
      </c>
      <c r="E88" s="831">
        <v>315.02999999999997</v>
      </c>
      <c r="F88" s="832">
        <v>154.81</v>
      </c>
      <c r="G88" s="832">
        <v>21.398054069579601</v>
      </c>
      <c r="H88" s="831">
        <v>546.59</v>
      </c>
      <c r="I88" s="832">
        <v>83.42</v>
      </c>
      <c r="J88" s="832">
        <v>4594.62</v>
      </c>
      <c r="K88" s="832">
        <v>15491.656999999999</v>
      </c>
    </row>
    <row r="89" spans="2:11">
      <c r="B89" s="805" t="str">
        <f t="shared" si="6"/>
        <v>Thu</v>
      </c>
      <c r="C89" s="825">
        <v>44525</v>
      </c>
      <c r="D89" s="831">
        <v>49.76</v>
      </c>
      <c r="E89" s="831">
        <v>326.74</v>
      </c>
      <c r="F89" s="832">
        <v>157.80000000000001</v>
      </c>
      <c r="G89" s="832">
        <v>21.696891191709799</v>
      </c>
      <c r="H89" s="831">
        <v>558.73</v>
      </c>
      <c r="I89" s="832">
        <v>86.21</v>
      </c>
      <c r="J89" s="832">
        <v>4701.46</v>
      </c>
      <c r="K89" s="832">
        <v>15845.226000000001</v>
      </c>
    </row>
    <row r="90" spans="2:11">
      <c r="B90" s="805" t="str">
        <f t="shared" si="6"/>
        <v>Wed</v>
      </c>
      <c r="C90" s="825">
        <v>44524</v>
      </c>
      <c r="D90" s="831">
        <v>49.76</v>
      </c>
      <c r="E90" s="831">
        <v>326.74</v>
      </c>
      <c r="F90" s="832">
        <v>157.80000000000001</v>
      </c>
      <c r="G90" s="832">
        <v>21.6937688876097</v>
      </c>
      <c r="H90" s="831">
        <v>558.73</v>
      </c>
      <c r="I90" s="832">
        <v>86.21</v>
      </c>
      <c r="J90" s="832">
        <v>4701.46</v>
      </c>
      <c r="K90" s="832">
        <v>15845.226000000001</v>
      </c>
    </row>
    <row r="91" spans="2:11">
      <c r="B91" s="805" t="str">
        <f t="shared" si="6"/>
        <v>Tue</v>
      </c>
      <c r="C91" s="825">
        <v>44523</v>
      </c>
      <c r="D91" s="831">
        <v>49.1</v>
      </c>
      <c r="E91" s="831">
        <v>317.45999999999998</v>
      </c>
      <c r="F91" s="832">
        <v>149.91999999999999</v>
      </c>
      <c r="G91" s="832">
        <v>22.028651644949999</v>
      </c>
      <c r="H91" s="831">
        <v>555.12</v>
      </c>
      <c r="I91" s="832">
        <v>85.41</v>
      </c>
      <c r="J91" s="832">
        <v>4690.7</v>
      </c>
      <c r="K91" s="832">
        <v>15775.138000000001</v>
      </c>
    </row>
    <row r="92" spans="2:11">
      <c r="B92" s="805" t="str">
        <f t="shared" si="6"/>
        <v>Mon</v>
      </c>
      <c r="C92" s="825">
        <v>44522</v>
      </c>
      <c r="D92" s="831">
        <v>49.83</v>
      </c>
      <c r="E92" s="831">
        <v>319.56</v>
      </c>
      <c r="F92" s="832">
        <v>152.52000000000001</v>
      </c>
      <c r="G92" s="832">
        <v>22.122302158273399</v>
      </c>
      <c r="H92" s="831">
        <v>553.28</v>
      </c>
      <c r="I92" s="832">
        <v>83.86</v>
      </c>
      <c r="J92" s="832">
        <v>4682.9399999999996</v>
      </c>
      <c r="K92" s="832">
        <v>15854.757</v>
      </c>
    </row>
    <row r="93" spans="2:11">
      <c r="B93" s="805" t="str">
        <f t="shared" si="6"/>
        <v>Sun</v>
      </c>
      <c r="C93" s="825">
        <v>44521</v>
      </c>
      <c r="D93" s="831">
        <v>49.52</v>
      </c>
      <c r="E93" s="831">
        <v>329.85</v>
      </c>
      <c r="F93" s="832">
        <v>155.41</v>
      </c>
      <c r="G93" s="832">
        <v>22.241416540704002</v>
      </c>
      <c r="H93" s="831">
        <v>568.72</v>
      </c>
      <c r="I93" s="832">
        <v>83.03</v>
      </c>
      <c r="J93" s="832">
        <v>4697.96</v>
      </c>
      <c r="K93" s="832">
        <v>16057.437</v>
      </c>
    </row>
    <row r="94" spans="2:11">
      <c r="B94" s="805" t="str">
        <f t="shared" si="6"/>
        <v>Sat</v>
      </c>
      <c r="C94" s="825">
        <v>44520</v>
      </c>
      <c r="D94" s="831">
        <v>49.52</v>
      </c>
      <c r="E94" s="831">
        <v>329.85</v>
      </c>
      <c r="F94" s="832">
        <v>155.41</v>
      </c>
      <c r="G94" s="832">
        <v>22.241416540704002</v>
      </c>
      <c r="H94" s="831">
        <v>568.72</v>
      </c>
      <c r="I94" s="832">
        <v>83.03</v>
      </c>
      <c r="J94" s="832">
        <v>4697.96</v>
      </c>
      <c r="K94" s="832">
        <v>16057.437</v>
      </c>
    </row>
    <row r="95" spans="2:11">
      <c r="B95" s="805" t="str">
        <f t="shared" si="6"/>
        <v>Fri</v>
      </c>
      <c r="C95" s="825">
        <v>44519</v>
      </c>
      <c r="D95" s="831">
        <v>49.52</v>
      </c>
      <c r="E95" s="831">
        <v>329.85</v>
      </c>
      <c r="F95" s="832">
        <v>155.41</v>
      </c>
      <c r="G95" s="832">
        <v>22.241416540704002</v>
      </c>
      <c r="H95" s="831">
        <v>568.72</v>
      </c>
      <c r="I95" s="832">
        <v>83.03</v>
      </c>
      <c r="J95" s="832">
        <v>4697.96</v>
      </c>
      <c r="K95" s="832">
        <v>16057.437</v>
      </c>
    </row>
    <row r="96" spans="2:11">
      <c r="B96" s="805" t="str">
        <f t="shared" si="6"/>
        <v>Thu</v>
      </c>
      <c r="C96" s="825">
        <v>44518</v>
      </c>
      <c r="D96" s="831">
        <v>49.68</v>
      </c>
      <c r="E96" s="831">
        <v>316.75</v>
      </c>
      <c r="F96" s="832">
        <v>155.02000000000001</v>
      </c>
      <c r="G96" s="832">
        <v>22.061469804937701</v>
      </c>
      <c r="H96" s="831">
        <v>574.80999999999995</v>
      </c>
      <c r="I96" s="832">
        <v>77.02</v>
      </c>
      <c r="J96" s="832">
        <v>4704.54</v>
      </c>
      <c r="K96" s="832">
        <v>15993.71</v>
      </c>
    </row>
    <row r="97" spans="2:11">
      <c r="B97" s="805" t="str">
        <f t="shared" si="6"/>
        <v>Wed</v>
      </c>
      <c r="C97" s="825">
        <v>44517</v>
      </c>
      <c r="D97" s="831">
        <v>50.23</v>
      </c>
      <c r="E97" s="831">
        <v>292.61</v>
      </c>
      <c r="F97" s="832">
        <v>151.34</v>
      </c>
      <c r="G97" s="832">
        <v>21.966941553530901</v>
      </c>
      <c r="H97" s="831">
        <v>569.64</v>
      </c>
      <c r="I97" s="832">
        <v>75.459999999999994</v>
      </c>
      <c r="J97" s="832">
        <v>4688.67</v>
      </c>
      <c r="K97" s="832">
        <v>15921.571</v>
      </c>
    </row>
    <row r="98" spans="2:11">
      <c r="B98" s="805" t="str">
        <f t="shared" si="6"/>
        <v>Tue</v>
      </c>
      <c r="C98" s="825">
        <v>44516</v>
      </c>
      <c r="D98" s="831">
        <v>50.61</v>
      </c>
      <c r="E98" s="831">
        <v>302.02999999999997</v>
      </c>
      <c r="F98" s="832">
        <v>152.44999999999999</v>
      </c>
      <c r="G98" s="832">
        <v>21.919580293938001</v>
      </c>
      <c r="H98" s="831">
        <v>568.77</v>
      </c>
      <c r="I98" s="832">
        <v>76.81</v>
      </c>
      <c r="J98" s="832">
        <v>4700.8999999999996</v>
      </c>
      <c r="K98" s="832">
        <v>15973.855</v>
      </c>
    </row>
    <row r="99" spans="2:11">
      <c r="B99" s="805" t="str">
        <f t="shared" si="6"/>
        <v>Mon</v>
      </c>
      <c r="C99" s="825">
        <v>44515</v>
      </c>
      <c r="D99" s="831">
        <v>50.32</v>
      </c>
      <c r="E99" s="831">
        <v>300.25</v>
      </c>
      <c r="F99" s="832">
        <v>146.49</v>
      </c>
      <c r="G99" s="832">
        <v>21.909909909909899</v>
      </c>
      <c r="H99" s="831">
        <v>565.77</v>
      </c>
      <c r="I99" s="832">
        <v>76.78</v>
      </c>
      <c r="J99" s="832">
        <v>4682.8</v>
      </c>
      <c r="K99" s="832">
        <v>15853.846</v>
      </c>
    </row>
    <row r="100" spans="2:11">
      <c r="B100" s="805" t="str">
        <f t="shared" si="6"/>
        <v>Sun</v>
      </c>
      <c r="C100" s="825">
        <v>44514</v>
      </c>
      <c r="D100" s="831">
        <v>50.31</v>
      </c>
      <c r="E100" s="831">
        <v>303.89999999999998</v>
      </c>
      <c r="F100" s="832">
        <v>147.88999999999999</v>
      </c>
      <c r="G100" s="832">
        <v>21.741477988553299</v>
      </c>
      <c r="H100" s="831">
        <v>563.22</v>
      </c>
      <c r="I100" s="832">
        <v>77.3</v>
      </c>
      <c r="J100" s="832">
        <v>4682.8500000000004</v>
      </c>
      <c r="K100" s="832">
        <v>15860.958000000001</v>
      </c>
    </row>
    <row r="101" spans="2:11">
      <c r="B101" s="805" t="str">
        <f t="shared" si="6"/>
        <v>Sat</v>
      </c>
      <c r="C101" s="825">
        <v>44513</v>
      </c>
      <c r="D101" s="831">
        <v>50.31</v>
      </c>
      <c r="E101" s="831">
        <v>303.89999999999998</v>
      </c>
      <c r="F101" s="832">
        <v>147.88999999999999</v>
      </c>
      <c r="G101" s="832">
        <v>21.741477988553299</v>
      </c>
      <c r="H101" s="831">
        <v>563.22</v>
      </c>
      <c r="I101" s="832">
        <v>77.3</v>
      </c>
      <c r="J101" s="832">
        <v>4682.8500000000004</v>
      </c>
      <c r="K101" s="832">
        <v>15860.958000000001</v>
      </c>
    </row>
    <row r="102" spans="2:11">
      <c r="B102" s="805" t="str">
        <f t="shared" si="6"/>
        <v>Fri</v>
      </c>
      <c r="C102" s="825">
        <v>44512</v>
      </c>
      <c r="D102" s="831">
        <v>50.31</v>
      </c>
      <c r="E102" s="831">
        <v>303.89999999999998</v>
      </c>
      <c r="F102" s="832">
        <v>147.88999999999999</v>
      </c>
      <c r="G102" s="832">
        <v>21.741477988553299</v>
      </c>
      <c r="H102" s="831">
        <v>563.22</v>
      </c>
      <c r="I102" s="832">
        <v>77.3</v>
      </c>
      <c r="J102" s="832">
        <v>4682.8500000000004</v>
      </c>
      <c r="K102" s="832">
        <v>15860.958000000001</v>
      </c>
    </row>
    <row r="103" spans="2:11">
      <c r="B103" s="805" t="str">
        <f t="shared" si="6"/>
        <v>Thu</v>
      </c>
      <c r="C103" s="825">
        <v>44511</v>
      </c>
      <c r="D103" s="831">
        <v>50.53</v>
      </c>
      <c r="E103" s="831">
        <v>303.89999999999998</v>
      </c>
      <c r="F103" s="832">
        <v>146.01</v>
      </c>
      <c r="G103" s="832">
        <v>21.7766278568348</v>
      </c>
      <c r="H103" s="831">
        <v>555.4</v>
      </c>
      <c r="I103" s="832">
        <v>74.55</v>
      </c>
      <c r="J103" s="832">
        <v>4649.2700000000004</v>
      </c>
      <c r="K103" s="832">
        <v>15704.281000000001</v>
      </c>
    </row>
    <row r="104" spans="2:11">
      <c r="B104" s="805" t="str">
        <f t="shared" si="6"/>
        <v>Wed</v>
      </c>
      <c r="C104" s="825">
        <v>44510</v>
      </c>
      <c r="D104" s="831">
        <v>50.76</v>
      </c>
      <c r="E104" s="831">
        <v>294.58999999999997</v>
      </c>
      <c r="F104" s="832">
        <v>139.87</v>
      </c>
      <c r="G104" s="832">
        <v>22.027858762552601</v>
      </c>
      <c r="H104" s="831">
        <v>548.77</v>
      </c>
      <c r="I104" s="832">
        <v>73.41</v>
      </c>
      <c r="J104" s="832">
        <v>4646.71</v>
      </c>
      <c r="K104" s="832">
        <v>15622.705</v>
      </c>
    </row>
    <row r="105" spans="2:11">
      <c r="B105" s="805" t="str">
        <f t="shared" si="6"/>
        <v>Tue</v>
      </c>
      <c r="C105" s="825">
        <v>44509</v>
      </c>
      <c r="D105" s="831">
        <v>51.2</v>
      </c>
      <c r="E105" s="831">
        <v>306.57</v>
      </c>
      <c r="F105" s="832">
        <v>148.91999999999999</v>
      </c>
      <c r="G105" s="832">
        <v>22.0077081007096</v>
      </c>
      <c r="H105" s="831">
        <v>557.79999999999995</v>
      </c>
      <c r="I105" s="832">
        <v>75.59</v>
      </c>
      <c r="J105" s="832">
        <v>4685.25</v>
      </c>
      <c r="K105" s="832">
        <v>15886.543</v>
      </c>
    </row>
    <row r="106" spans="2:11">
      <c r="B106" s="805" t="str">
        <f t="shared" si="6"/>
        <v>Mon</v>
      </c>
      <c r="C106" s="825">
        <v>44508</v>
      </c>
      <c r="D106" s="831">
        <v>51.55</v>
      </c>
      <c r="E106" s="831">
        <v>308.04000000000002</v>
      </c>
      <c r="F106" s="832">
        <v>150.16</v>
      </c>
      <c r="G106" s="832">
        <v>21.632887738967899</v>
      </c>
      <c r="H106" s="831">
        <v>558.95000000000005</v>
      </c>
      <c r="I106" s="832">
        <v>74.56</v>
      </c>
      <c r="J106" s="832">
        <v>4701.7</v>
      </c>
      <c r="K106" s="832">
        <v>15982.357</v>
      </c>
    </row>
    <row r="107" spans="2:11">
      <c r="B107" s="805" t="str">
        <f t="shared" si="6"/>
        <v>Sun</v>
      </c>
      <c r="C107" s="825">
        <v>44507</v>
      </c>
      <c r="D107" s="831">
        <v>50.92</v>
      </c>
      <c r="E107" s="831">
        <v>297.52</v>
      </c>
      <c r="F107" s="832">
        <v>136.34</v>
      </c>
      <c r="G107" s="832">
        <v>21.559468199784401</v>
      </c>
      <c r="H107" s="831">
        <v>558.91999999999996</v>
      </c>
      <c r="I107" s="832">
        <v>72.92</v>
      </c>
      <c r="J107" s="832">
        <v>4697.53</v>
      </c>
      <c r="K107" s="832">
        <v>15971.588</v>
      </c>
    </row>
    <row r="108" spans="2:11">
      <c r="B108" s="805" t="str">
        <f t="shared" si="6"/>
        <v>Sat</v>
      </c>
      <c r="C108" s="825">
        <v>44506</v>
      </c>
      <c r="D108" s="831">
        <v>50.92</v>
      </c>
      <c r="E108" s="831">
        <v>297.52</v>
      </c>
      <c r="F108" s="832">
        <v>136.34</v>
      </c>
      <c r="G108" s="832">
        <v>21.559468199784401</v>
      </c>
      <c r="H108" s="831">
        <v>558.91999999999996</v>
      </c>
      <c r="I108" s="832">
        <v>72.92</v>
      </c>
      <c r="J108" s="832">
        <v>4697.53</v>
      </c>
      <c r="K108" s="832">
        <v>15971.588</v>
      </c>
    </row>
    <row r="109" spans="2:11">
      <c r="B109" s="805" t="str">
        <f t="shared" si="6"/>
        <v>Fri</v>
      </c>
      <c r="C109" s="825">
        <v>44505</v>
      </c>
      <c r="D109" s="831">
        <v>50.92</v>
      </c>
      <c r="E109" s="831">
        <v>297.52</v>
      </c>
      <c r="F109" s="832">
        <v>136.34</v>
      </c>
      <c r="G109" s="832">
        <v>21.559468199784401</v>
      </c>
      <c r="H109" s="831">
        <v>558.91999999999996</v>
      </c>
      <c r="I109" s="832">
        <v>72.92</v>
      </c>
      <c r="J109" s="832">
        <v>4697.53</v>
      </c>
      <c r="K109" s="832">
        <v>15971.588</v>
      </c>
    </row>
    <row r="110" spans="2:11">
      <c r="B110" s="805" t="str">
        <f t="shared" si="6"/>
        <v>Thu</v>
      </c>
      <c r="C110" s="825">
        <v>44504</v>
      </c>
      <c r="D110" s="831">
        <v>50.31</v>
      </c>
      <c r="E110" s="831">
        <v>298.01</v>
      </c>
      <c r="F110" s="832">
        <v>137.5</v>
      </c>
      <c r="G110" s="832">
        <v>21.057540536662401</v>
      </c>
      <c r="H110" s="831">
        <v>548.62</v>
      </c>
      <c r="I110" s="832">
        <v>72.239999999999995</v>
      </c>
      <c r="J110" s="832">
        <v>4680.0600000000004</v>
      </c>
      <c r="K110" s="832">
        <v>15940.308000000001</v>
      </c>
    </row>
    <row r="111" spans="2:11">
      <c r="B111" s="805" t="str">
        <f t="shared" si="6"/>
        <v>Wed</v>
      </c>
      <c r="C111" s="825">
        <v>44503</v>
      </c>
      <c r="D111" s="831">
        <v>50.39</v>
      </c>
      <c r="E111" s="831">
        <v>265.98</v>
      </c>
      <c r="F111" s="832">
        <v>130.53</v>
      </c>
      <c r="G111" s="832">
        <v>21.2987947472567</v>
      </c>
      <c r="H111" s="831">
        <v>542.37</v>
      </c>
      <c r="I111" s="832">
        <v>71.25</v>
      </c>
      <c r="J111" s="832">
        <v>4660.57</v>
      </c>
      <c r="K111" s="832">
        <v>15811.584000000001</v>
      </c>
    </row>
    <row r="112" spans="2:11">
      <c r="B112" s="805" t="str">
        <f t="shared" si="6"/>
        <v>Tue</v>
      </c>
      <c r="C112" s="825">
        <v>44502</v>
      </c>
      <c r="D112" s="831">
        <v>49.86</v>
      </c>
      <c r="E112" s="831">
        <v>264.01</v>
      </c>
      <c r="F112" s="832">
        <v>127.63</v>
      </c>
      <c r="G112" s="832">
        <v>21.231574794677801</v>
      </c>
      <c r="H112" s="831">
        <v>537.07000000000005</v>
      </c>
      <c r="I112" s="832">
        <v>70.760000000000005</v>
      </c>
      <c r="J112" s="832">
        <v>4630.6499999999996</v>
      </c>
      <c r="K112" s="832">
        <v>15649.602999999999</v>
      </c>
    </row>
    <row r="113" spans="2:11">
      <c r="B113" s="805" t="str">
        <f t="shared" si="6"/>
        <v>Mon</v>
      </c>
      <c r="C113" s="825">
        <v>44501</v>
      </c>
      <c r="D113" s="831">
        <v>49.55</v>
      </c>
      <c r="E113" s="831">
        <v>258.27</v>
      </c>
      <c r="F113" s="832">
        <v>125.23</v>
      </c>
      <c r="G113" s="832">
        <v>21.1872014938773</v>
      </c>
      <c r="H113" s="831">
        <v>528.04999999999995</v>
      </c>
      <c r="I113" s="832">
        <v>70.7</v>
      </c>
      <c r="J113" s="832">
        <v>4613.67</v>
      </c>
      <c r="K113" s="832">
        <v>15595.915000000001</v>
      </c>
    </row>
    <row r="114" spans="2:11">
      <c r="B114" s="805" t="str">
        <f t="shared" si="6"/>
        <v>Sun</v>
      </c>
      <c r="C114" s="825">
        <v>44500</v>
      </c>
      <c r="D114" s="831">
        <v>49</v>
      </c>
      <c r="E114" s="831">
        <v>255.67</v>
      </c>
      <c r="F114" s="832">
        <v>120.23</v>
      </c>
      <c r="G114" s="832">
        <v>21.206239666451001</v>
      </c>
      <c r="H114" s="831">
        <v>531.66999999999996</v>
      </c>
      <c r="I114" s="832">
        <v>69.099999999999994</v>
      </c>
      <c r="J114" s="832">
        <v>4605.38</v>
      </c>
      <c r="K114" s="832">
        <v>15498.388000000001</v>
      </c>
    </row>
    <row r="115" spans="2:11">
      <c r="B115" s="805" t="str">
        <f t="shared" si="6"/>
        <v>Sat</v>
      </c>
      <c r="C115" s="825">
        <v>44499</v>
      </c>
      <c r="D115" s="831">
        <v>49</v>
      </c>
      <c r="E115" s="831">
        <v>255.67</v>
      </c>
      <c r="F115" s="832">
        <v>120.23</v>
      </c>
      <c r="G115" s="832">
        <v>21.206239666451001</v>
      </c>
      <c r="H115" s="831">
        <v>531.66999999999996</v>
      </c>
      <c r="I115" s="832">
        <v>69.099999999999994</v>
      </c>
      <c r="J115" s="832">
        <v>4605.38</v>
      </c>
      <c r="K115" s="832">
        <v>15498.388000000001</v>
      </c>
    </row>
    <row r="116" spans="2:11">
      <c r="B116" s="805" t="str">
        <f t="shared" si="6"/>
        <v>Fri</v>
      </c>
      <c r="C116" s="825">
        <v>44498</v>
      </c>
      <c r="D116" s="831">
        <v>49</v>
      </c>
      <c r="E116" s="831">
        <v>255.67</v>
      </c>
      <c r="F116" s="832">
        <v>120.23</v>
      </c>
      <c r="G116" s="832">
        <v>21.206239666451001</v>
      </c>
      <c r="H116" s="831">
        <v>531.66999999999996</v>
      </c>
      <c r="I116" s="832">
        <v>69.099999999999994</v>
      </c>
      <c r="J116" s="832">
        <v>4605.38</v>
      </c>
      <c r="K116" s="832">
        <v>15498.388000000001</v>
      </c>
    </row>
    <row r="117" spans="2:11">
      <c r="B117" s="805" t="str">
        <f t="shared" si="6"/>
        <v>Thu</v>
      </c>
      <c r="C117" s="825">
        <v>44497</v>
      </c>
      <c r="D117" s="831">
        <v>48.08</v>
      </c>
      <c r="E117" s="831">
        <v>249.41</v>
      </c>
      <c r="F117" s="832">
        <v>121.16</v>
      </c>
      <c r="G117" s="832">
        <v>21.4113498146749</v>
      </c>
      <c r="H117" s="831">
        <v>529.57000000000005</v>
      </c>
      <c r="I117" s="832">
        <v>69.58</v>
      </c>
      <c r="J117" s="832">
        <v>4596.42</v>
      </c>
      <c r="K117" s="832">
        <v>15448.118</v>
      </c>
    </row>
    <row r="118" spans="2:11">
      <c r="B118" s="805" t="str">
        <f t="shared" si="6"/>
        <v>Wed</v>
      </c>
      <c r="C118" s="825">
        <v>44496</v>
      </c>
      <c r="D118" s="831">
        <v>47.89</v>
      </c>
      <c r="E118" s="831">
        <v>244.51</v>
      </c>
      <c r="F118" s="832">
        <v>122.28</v>
      </c>
      <c r="G118" s="832">
        <v>21.547537681211601</v>
      </c>
      <c r="H118" s="831">
        <v>523.11</v>
      </c>
      <c r="I118" s="832">
        <v>68.239999999999995</v>
      </c>
      <c r="J118" s="832">
        <v>4551.68</v>
      </c>
      <c r="K118" s="832">
        <v>15235.838</v>
      </c>
    </row>
    <row r="119" spans="2:11">
      <c r="B119" s="805" t="str">
        <f t="shared" si="6"/>
        <v>Tue</v>
      </c>
      <c r="C119" s="825">
        <v>44495</v>
      </c>
      <c r="D119" s="831">
        <v>48.28</v>
      </c>
      <c r="E119" s="831">
        <v>247.17</v>
      </c>
      <c r="F119" s="832">
        <v>122.93</v>
      </c>
      <c r="G119" s="832">
        <v>21.5560673672089</v>
      </c>
      <c r="H119" s="831">
        <v>533.87</v>
      </c>
      <c r="I119" s="832">
        <v>68.94</v>
      </c>
      <c r="J119" s="832">
        <v>4574.79</v>
      </c>
      <c r="K119" s="832">
        <v>15235.715</v>
      </c>
    </row>
    <row r="120" spans="2:11">
      <c r="B120" s="805" t="str">
        <f t="shared" si="6"/>
        <v>Mon</v>
      </c>
      <c r="C120" s="825">
        <v>44494</v>
      </c>
      <c r="D120" s="831">
        <v>49.41</v>
      </c>
      <c r="E120" s="831">
        <v>231.66</v>
      </c>
      <c r="F120" s="832">
        <v>122.36</v>
      </c>
      <c r="G120" s="832">
        <v>21.275832376578599</v>
      </c>
      <c r="H120" s="831">
        <v>522.07000000000005</v>
      </c>
      <c r="I120" s="832">
        <v>68.760000000000005</v>
      </c>
      <c r="J120" s="832">
        <v>4566.4799999999996</v>
      </c>
      <c r="K120" s="832">
        <v>15226.706</v>
      </c>
    </row>
    <row r="121" spans="2:11">
      <c r="B121" s="805" t="str">
        <f t="shared" si="6"/>
        <v>Sun</v>
      </c>
      <c r="C121" s="825">
        <v>44493</v>
      </c>
      <c r="D121" s="831">
        <v>49.46</v>
      </c>
      <c r="E121" s="831">
        <v>227.26</v>
      </c>
      <c r="F121" s="832">
        <v>119.82</v>
      </c>
      <c r="G121" s="832">
        <v>21.5308429325008</v>
      </c>
      <c r="H121" s="831">
        <v>515.41</v>
      </c>
      <c r="I121" s="832">
        <v>67.510000000000005</v>
      </c>
      <c r="J121" s="832">
        <v>4544.8999999999996</v>
      </c>
      <c r="K121" s="832">
        <v>15090.2</v>
      </c>
    </row>
    <row r="122" spans="2:11">
      <c r="B122" s="805" t="str">
        <f t="shared" si="6"/>
        <v>Sat</v>
      </c>
      <c r="C122" s="825">
        <v>44492</v>
      </c>
      <c r="D122" s="831">
        <v>49.46</v>
      </c>
      <c r="E122" s="831">
        <v>227.26</v>
      </c>
      <c r="F122" s="832">
        <v>119.82</v>
      </c>
      <c r="G122" s="832">
        <v>21.5308429325008</v>
      </c>
      <c r="H122" s="831">
        <v>515.41</v>
      </c>
      <c r="I122" s="832">
        <v>67.510000000000005</v>
      </c>
      <c r="J122" s="832">
        <v>4544.8999999999996</v>
      </c>
      <c r="K122" s="832">
        <v>15090.2</v>
      </c>
    </row>
    <row r="123" spans="2:11">
      <c r="B123" s="805" t="str">
        <f t="shared" si="6"/>
        <v>Fri</v>
      </c>
      <c r="C123" s="825">
        <v>44491</v>
      </c>
      <c r="D123" s="831">
        <v>49.46</v>
      </c>
      <c r="E123" s="831">
        <v>227.26</v>
      </c>
      <c r="F123" s="832">
        <v>119.82</v>
      </c>
      <c r="G123" s="832">
        <v>21.5308429325008</v>
      </c>
      <c r="H123" s="831">
        <v>515.41</v>
      </c>
      <c r="I123" s="832">
        <v>67.510000000000005</v>
      </c>
      <c r="J123" s="832">
        <v>4544.8999999999996</v>
      </c>
      <c r="K123" s="832">
        <v>15090.2</v>
      </c>
    </row>
    <row r="124" spans="2:11">
      <c r="B124" s="805" t="str">
        <f t="shared" si="6"/>
        <v>Thu</v>
      </c>
      <c r="C124" s="825">
        <v>44490</v>
      </c>
      <c r="D124" s="831">
        <v>56</v>
      </c>
      <c r="E124" s="831">
        <v>226.92</v>
      </c>
      <c r="F124" s="832">
        <v>119.33</v>
      </c>
      <c r="G124" s="832">
        <v>21.3857691341634</v>
      </c>
      <c r="H124" s="831">
        <v>514.15</v>
      </c>
      <c r="I124" s="832">
        <v>68.64</v>
      </c>
      <c r="J124" s="832">
        <v>4549.78</v>
      </c>
      <c r="K124" s="832">
        <v>15215.7</v>
      </c>
    </row>
    <row r="125" spans="2:11">
      <c r="B125" s="805" t="str">
        <f t="shared" si="6"/>
        <v>Wed</v>
      </c>
      <c r="C125" s="825">
        <v>44489</v>
      </c>
      <c r="D125" s="831">
        <v>55.37</v>
      </c>
      <c r="E125" s="831">
        <v>221.03</v>
      </c>
      <c r="F125" s="832">
        <v>116.39</v>
      </c>
      <c r="G125" s="832">
        <v>21.456763545030501</v>
      </c>
      <c r="H125" s="831">
        <v>509.39</v>
      </c>
      <c r="I125" s="832">
        <v>68.27</v>
      </c>
      <c r="J125" s="832">
        <v>4536.1899999999996</v>
      </c>
      <c r="K125" s="832">
        <v>15121.678</v>
      </c>
    </row>
    <row r="126" spans="2:11">
      <c r="B126" s="805" t="str">
        <f t="shared" si="6"/>
        <v>Tue</v>
      </c>
      <c r="C126" s="825">
        <v>44488</v>
      </c>
      <c r="D126" s="831">
        <v>55.21</v>
      </c>
      <c r="E126" s="831">
        <v>222.9</v>
      </c>
      <c r="F126" s="832">
        <v>116.33</v>
      </c>
      <c r="G126" s="832">
        <v>21.537798836958899</v>
      </c>
      <c r="H126" s="831">
        <v>510.39</v>
      </c>
      <c r="I126" s="832">
        <v>67.569999999999993</v>
      </c>
      <c r="J126" s="832">
        <v>4519.63</v>
      </c>
      <c r="K126" s="832">
        <v>15129.09</v>
      </c>
    </row>
    <row r="127" spans="2:11">
      <c r="B127" s="805" t="str">
        <f t="shared" si="6"/>
        <v>Mon</v>
      </c>
      <c r="C127" s="825">
        <v>44487</v>
      </c>
      <c r="D127" s="831">
        <v>54.47</v>
      </c>
      <c r="E127" s="831">
        <v>222.22</v>
      </c>
      <c r="F127" s="832">
        <v>116.43</v>
      </c>
      <c r="G127" s="832">
        <v>21.078203708334801</v>
      </c>
      <c r="H127" s="831">
        <v>503.36</v>
      </c>
      <c r="I127" s="832">
        <v>67.260000000000005</v>
      </c>
      <c r="J127" s="832">
        <v>4486.46</v>
      </c>
      <c r="K127" s="832">
        <v>15021.808999999999</v>
      </c>
    </row>
    <row r="128" spans="2:11">
      <c r="B128" s="805" t="str">
        <f t="shared" si="6"/>
        <v>Sun</v>
      </c>
      <c r="C128" s="825">
        <v>44486</v>
      </c>
      <c r="D128" s="831">
        <v>54.46</v>
      </c>
      <c r="E128" s="831">
        <v>218.62</v>
      </c>
      <c r="F128" s="832">
        <v>112.12</v>
      </c>
      <c r="G128" s="832">
        <v>21.465369204350299</v>
      </c>
      <c r="H128" s="831">
        <v>503.25</v>
      </c>
      <c r="I128" s="832">
        <v>67.680000000000007</v>
      </c>
      <c r="J128" s="832">
        <v>4471.37</v>
      </c>
      <c r="K128" s="832">
        <v>14897.34</v>
      </c>
    </row>
    <row r="129" spans="2:11">
      <c r="B129" s="805" t="str">
        <f t="shared" si="6"/>
        <v>Sat</v>
      </c>
      <c r="C129" s="825">
        <v>44485</v>
      </c>
      <c r="D129" s="831">
        <v>54.46</v>
      </c>
      <c r="E129" s="831">
        <v>218.62</v>
      </c>
      <c r="F129" s="832">
        <v>112.12</v>
      </c>
      <c r="G129" s="832">
        <v>21.465369204350299</v>
      </c>
      <c r="H129" s="831">
        <v>503.25</v>
      </c>
      <c r="I129" s="832">
        <v>67.680000000000007</v>
      </c>
      <c r="J129" s="832">
        <v>4471.37</v>
      </c>
      <c r="K129" s="832">
        <v>14897.34</v>
      </c>
    </row>
    <row r="130" spans="2:11">
      <c r="B130" s="805" t="str">
        <f t="shared" si="6"/>
        <v>Fri</v>
      </c>
      <c r="C130" s="825">
        <v>44484</v>
      </c>
      <c r="D130" s="831">
        <v>54.46</v>
      </c>
      <c r="E130" s="831">
        <v>218.62</v>
      </c>
      <c r="F130" s="832">
        <v>112.12</v>
      </c>
      <c r="G130" s="832">
        <v>21.465369204350299</v>
      </c>
      <c r="H130" s="831">
        <v>503.25</v>
      </c>
      <c r="I130" s="832">
        <v>67.680000000000007</v>
      </c>
      <c r="J130" s="832">
        <v>4471.37</v>
      </c>
      <c r="K130" s="832">
        <v>14897.34</v>
      </c>
    </row>
    <row r="131" spans="2:11">
      <c r="B131" s="805" t="str">
        <f t="shared" si="6"/>
        <v>Thu</v>
      </c>
      <c r="C131" s="825">
        <v>44483</v>
      </c>
      <c r="D131" s="831">
        <v>53.9</v>
      </c>
      <c r="E131" s="831">
        <v>217.46</v>
      </c>
      <c r="F131" s="832">
        <v>111.99</v>
      </c>
      <c r="G131" s="832">
        <v>20.442383160898999</v>
      </c>
      <c r="H131" s="831">
        <v>497.6</v>
      </c>
      <c r="I131" s="832">
        <v>67.8</v>
      </c>
      <c r="J131" s="832">
        <v>4438.26</v>
      </c>
      <c r="K131" s="832">
        <v>14823.429</v>
      </c>
    </row>
    <row r="132" spans="2:11">
      <c r="B132" s="805" t="str">
        <f t="shared" si="6"/>
        <v>Wed</v>
      </c>
      <c r="C132" s="825">
        <v>44482</v>
      </c>
      <c r="D132" s="831">
        <v>52.26</v>
      </c>
      <c r="E132" s="831">
        <v>209.39</v>
      </c>
      <c r="F132" s="832">
        <v>109.16</v>
      </c>
      <c r="G132" s="832">
        <v>20.362313672348598</v>
      </c>
      <c r="H132" s="831">
        <v>485.01</v>
      </c>
      <c r="I132" s="832">
        <v>66.38</v>
      </c>
      <c r="J132" s="832">
        <v>4363.8</v>
      </c>
      <c r="K132" s="832">
        <v>14571.635</v>
      </c>
    </row>
    <row r="133" spans="2:11">
      <c r="B133" s="805" t="str">
        <f t="shared" si="6"/>
        <v>Tue</v>
      </c>
      <c r="C133" s="825">
        <v>44481</v>
      </c>
      <c r="D133" s="831">
        <v>52.17</v>
      </c>
      <c r="E133" s="831">
        <v>206.71</v>
      </c>
      <c r="F133" s="832">
        <v>105.04</v>
      </c>
      <c r="G133" s="832">
        <v>20.437904315063602</v>
      </c>
      <c r="H133" s="831">
        <v>485.28</v>
      </c>
      <c r="I133" s="832">
        <v>66.72</v>
      </c>
      <c r="J133" s="832">
        <v>4350.6499999999996</v>
      </c>
      <c r="K133" s="832">
        <v>14465.924999999999</v>
      </c>
    </row>
    <row r="134" spans="2:11">
      <c r="B134" s="805" t="str">
        <f t="shared" si="6"/>
        <v>Mon</v>
      </c>
      <c r="C134" s="825">
        <v>44480</v>
      </c>
      <c r="D134" s="831">
        <v>53.44</v>
      </c>
      <c r="E134" s="831">
        <v>206.95</v>
      </c>
      <c r="F134" s="832">
        <v>104.68</v>
      </c>
      <c r="G134" s="832">
        <v>20.4837732891596</v>
      </c>
      <c r="H134" s="831">
        <v>492.34</v>
      </c>
      <c r="I134" s="832">
        <v>69.22</v>
      </c>
      <c r="J134" s="832">
        <v>4361.1899999999996</v>
      </c>
      <c r="K134" s="832">
        <v>14486.2</v>
      </c>
    </row>
    <row r="135" spans="2:11">
      <c r="B135" s="805" t="str">
        <f t="shared" si="6"/>
        <v>Sun</v>
      </c>
      <c r="C135" s="825">
        <v>44479</v>
      </c>
      <c r="D135" s="831">
        <v>53.81</v>
      </c>
      <c r="E135" s="831">
        <v>208.31</v>
      </c>
      <c r="F135" s="832">
        <v>105.06</v>
      </c>
      <c r="G135" s="832">
        <v>20.4837732891596</v>
      </c>
      <c r="H135" s="831">
        <v>492.85</v>
      </c>
      <c r="I135" s="832">
        <v>70.12</v>
      </c>
      <c r="J135" s="832">
        <v>4391.34</v>
      </c>
      <c r="K135" s="832">
        <v>14579.537</v>
      </c>
    </row>
    <row r="136" spans="2:11">
      <c r="B136" s="805" t="str">
        <f t="shared" ref="B136:B199" si="7">TEXT(C136,"DDD")</f>
        <v>Sat</v>
      </c>
      <c r="C136" s="825">
        <v>44478</v>
      </c>
      <c r="D136" s="831">
        <v>53.81</v>
      </c>
      <c r="E136" s="831">
        <v>208.31</v>
      </c>
      <c r="F136" s="832">
        <v>105.06</v>
      </c>
      <c r="G136" s="832">
        <v>20.4837732891596</v>
      </c>
      <c r="H136" s="831">
        <v>492.85</v>
      </c>
      <c r="I136" s="832">
        <v>70.12</v>
      </c>
      <c r="J136" s="832">
        <v>4391.34</v>
      </c>
      <c r="K136" s="832">
        <v>14579.537</v>
      </c>
    </row>
    <row r="137" spans="2:11">
      <c r="B137" s="805" t="str">
        <f t="shared" si="7"/>
        <v>Fri</v>
      </c>
      <c r="C137" s="825">
        <v>44477</v>
      </c>
      <c r="D137" s="831">
        <v>53.81</v>
      </c>
      <c r="E137" s="831">
        <v>208.31</v>
      </c>
      <c r="F137" s="832">
        <v>105.06</v>
      </c>
      <c r="G137" s="832">
        <v>20.4837732891596</v>
      </c>
      <c r="H137" s="831">
        <v>492.85</v>
      </c>
      <c r="I137" s="832">
        <v>70.12</v>
      </c>
      <c r="J137" s="832">
        <v>4391.34</v>
      </c>
      <c r="K137" s="832">
        <v>14579.537</v>
      </c>
    </row>
    <row r="138" spans="2:11">
      <c r="B138" s="805" t="str">
        <f t="shared" si="7"/>
        <v>Thu</v>
      </c>
      <c r="C138" s="825">
        <v>44476</v>
      </c>
      <c r="D138" s="831">
        <v>54.18</v>
      </c>
      <c r="E138" s="831">
        <v>210.75</v>
      </c>
      <c r="F138" s="832">
        <v>106.45</v>
      </c>
      <c r="G138" s="832">
        <v>20.720205773078</v>
      </c>
      <c r="H138" s="831">
        <v>493.92</v>
      </c>
      <c r="I138" s="832">
        <v>70.540000000000006</v>
      </c>
      <c r="J138" s="832">
        <v>4399.76</v>
      </c>
      <c r="K138" s="832">
        <v>14654.016</v>
      </c>
    </row>
    <row r="139" spans="2:11">
      <c r="B139" s="805" t="str">
        <f t="shared" si="7"/>
        <v>Wed</v>
      </c>
      <c r="C139" s="825">
        <v>44475</v>
      </c>
      <c r="D139" s="831">
        <v>53.98</v>
      </c>
      <c r="E139" s="831">
        <v>207</v>
      </c>
      <c r="F139" s="832">
        <v>103.64</v>
      </c>
      <c r="G139" s="832">
        <v>20.411810967326801</v>
      </c>
      <c r="H139" s="831">
        <v>488.78</v>
      </c>
      <c r="I139" s="832">
        <v>69.94</v>
      </c>
      <c r="J139" s="832">
        <v>4363.55</v>
      </c>
      <c r="K139" s="832">
        <v>14501.911</v>
      </c>
    </row>
    <row r="140" spans="2:11">
      <c r="B140" s="805" t="str">
        <f t="shared" si="7"/>
        <v>Tue</v>
      </c>
      <c r="C140" s="825">
        <v>44474</v>
      </c>
      <c r="D140" s="831">
        <v>53.95</v>
      </c>
      <c r="E140" s="831">
        <v>204.51</v>
      </c>
      <c r="F140" s="832">
        <v>101.81</v>
      </c>
      <c r="G140" s="832">
        <v>20.497384075109299</v>
      </c>
      <c r="H140" s="831">
        <v>485.42</v>
      </c>
      <c r="I140" s="832">
        <v>70.5</v>
      </c>
      <c r="J140" s="832">
        <v>4345.72</v>
      </c>
      <c r="K140" s="832">
        <v>14433.83</v>
      </c>
    </row>
    <row r="141" spans="2:11">
      <c r="B141" s="805" t="str">
        <f t="shared" si="7"/>
        <v>Mon</v>
      </c>
      <c r="C141" s="825">
        <v>44473</v>
      </c>
      <c r="D141" s="831">
        <v>53.47</v>
      </c>
      <c r="E141" s="831">
        <v>197.32</v>
      </c>
      <c r="F141" s="832">
        <v>100.34</v>
      </c>
      <c r="G141" s="832">
        <v>20.481237467774299</v>
      </c>
      <c r="H141" s="831">
        <v>475.95</v>
      </c>
      <c r="I141" s="832">
        <v>70.62</v>
      </c>
      <c r="J141" s="832">
        <v>4300.46</v>
      </c>
      <c r="K141" s="832">
        <v>14255.485000000001</v>
      </c>
    </row>
    <row r="142" spans="2:11">
      <c r="B142" s="805" t="str">
        <f t="shared" si="7"/>
        <v>Sun</v>
      </c>
      <c r="C142" s="825">
        <v>44472</v>
      </c>
      <c r="D142" s="831">
        <v>53.86</v>
      </c>
      <c r="E142" s="831">
        <v>207.42</v>
      </c>
      <c r="F142" s="832">
        <v>102.45</v>
      </c>
      <c r="G142" s="832">
        <v>20.6817035382287</v>
      </c>
      <c r="H142" s="831">
        <v>487.35</v>
      </c>
      <c r="I142" s="832">
        <v>70.989999999999995</v>
      </c>
      <c r="J142" s="832">
        <v>4357.04</v>
      </c>
      <c r="K142" s="832">
        <v>14566.697</v>
      </c>
    </row>
    <row r="143" spans="2:11">
      <c r="B143" s="805" t="str">
        <f t="shared" si="7"/>
        <v>Sat</v>
      </c>
      <c r="C143" s="825">
        <v>44471</v>
      </c>
      <c r="D143" s="831">
        <v>53.86</v>
      </c>
      <c r="E143" s="831">
        <v>207.42</v>
      </c>
      <c r="F143" s="832">
        <v>102.45</v>
      </c>
      <c r="G143" s="832">
        <v>20.6817035382287</v>
      </c>
      <c r="H143" s="831">
        <v>487.35</v>
      </c>
      <c r="I143" s="832">
        <v>70.989999999999995</v>
      </c>
      <c r="J143" s="832">
        <v>4357.04</v>
      </c>
      <c r="K143" s="832">
        <v>14566.697</v>
      </c>
    </row>
    <row r="144" spans="2:11">
      <c r="B144" s="805" t="str">
        <f t="shared" si="7"/>
        <v>Fri</v>
      </c>
      <c r="C144" s="825">
        <v>44470</v>
      </c>
      <c r="D144" s="831">
        <v>53.86</v>
      </c>
      <c r="E144" s="831">
        <v>207.42</v>
      </c>
      <c r="F144" s="832">
        <v>102.45</v>
      </c>
      <c r="G144" s="832">
        <v>20.6817035382287</v>
      </c>
      <c r="H144" s="831">
        <v>487.35</v>
      </c>
      <c r="I144" s="832">
        <v>70.989999999999995</v>
      </c>
      <c r="J144" s="832">
        <v>4357.04</v>
      </c>
      <c r="K144" s="832">
        <v>14566.697</v>
      </c>
    </row>
    <row r="145" spans="2:11">
      <c r="B145" s="805" t="str">
        <f t="shared" si="7"/>
        <v>Thu</v>
      </c>
      <c r="C145" s="825">
        <v>44469</v>
      </c>
      <c r="D145" s="831">
        <v>53.28</v>
      </c>
      <c r="E145" s="831">
        <v>207.16</v>
      </c>
      <c r="F145" s="832">
        <v>102.9</v>
      </c>
      <c r="G145" s="832">
        <v>20.855807263574299</v>
      </c>
      <c r="H145" s="831">
        <v>484.93</v>
      </c>
      <c r="I145" s="832">
        <v>70.98</v>
      </c>
      <c r="J145" s="832">
        <v>4307.54</v>
      </c>
      <c r="K145" s="832">
        <v>14448.581</v>
      </c>
    </row>
    <row r="146" spans="2:11">
      <c r="B146" s="805" t="str">
        <f t="shared" si="7"/>
        <v>Wed</v>
      </c>
      <c r="C146" s="825">
        <v>44468</v>
      </c>
      <c r="D146" s="831">
        <v>53.49</v>
      </c>
      <c r="E146" s="831">
        <v>205.17</v>
      </c>
      <c r="F146" s="832">
        <v>100.35</v>
      </c>
      <c r="G146" s="832">
        <v>20.8183776022972</v>
      </c>
      <c r="H146" s="831">
        <v>489.48</v>
      </c>
      <c r="I146" s="832">
        <v>71.64</v>
      </c>
      <c r="J146" s="832">
        <v>4359.46</v>
      </c>
      <c r="K146" s="832">
        <v>14512.441000000001</v>
      </c>
    </row>
    <row r="147" spans="2:11">
      <c r="B147" s="805" t="str">
        <f t="shared" si="7"/>
        <v>Tue</v>
      </c>
      <c r="C147" s="825">
        <v>44467</v>
      </c>
      <c r="D147" s="831">
        <v>54</v>
      </c>
      <c r="E147" s="831">
        <v>206.99</v>
      </c>
      <c r="F147" s="832">
        <v>101.52</v>
      </c>
      <c r="G147" s="832">
        <v>21.381519743709699</v>
      </c>
      <c r="H147" s="831">
        <v>491.02</v>
      </c>
      <c r="I147" s="832">
        <v>73.099999999999994</v>
      </c>
      <c r="J147" s="832">
        <v>4352.63</v>
      </c>
      <c r="K147" s="832">
        <v>14546.683000000001</v>
      </c>
    </row>
    <row r="148" spans="2:11">
      <c r="B148" s="805" t="str">
        <f t="shared" si="7"/>
        <v>Mon</v>
      </c>
      <c r="C148" s="825">
        <v>44466</v>
      </c>
      <c r="D148" s="831">
        <v>54.66</v>
      </c>
      <c r="E148" s="831">
        <v>216.6</v>
      </c>
      <c r="F148" s="832">
        <v>108.16</v>
      </c>
      <c r="G148" s="832">
        <v>21.720305960456098</v>
      </c>
      <c r="H148" s="831">
        <v>504.85</v>
      </c>
      <c r="I148" s="832">
        <v>75.180000000000007</v>
      </c>
      <c r="J148" s="832">
        <v>4443.1099999999997</v>
      </c>
      <c r="K148" s="832">
        <v>14969.97</v>
      </c>
    </row>
    <row r="149" spans="2:11">
      <c r="B149" s="805" t="str">
        <f t="shared" si="7"/>
        <v>Sun</v>
      </c>
      <c r="C149" s="825">
        <v>44465</v>
      </c>
      <c r="D149" s="831">
        <v>54.22</v>
      </c>
      <c r="E149" s="831">
        <v>220.81</v>
      </c>
      <c r="F149" s="832">
        <v>105.8</v>
      </c>
      <c r="G149" s="832">
        <v>21.561204254551999</v>
      </c>
      <c r="H149" s="831">
        <v>504.92</v>
      </c>
      <c r="I149" s="832">
        <v>74.05</v>
      </c>
      <c r="J149" s="832">
        <v>4455.4799999999996</v>
      </c>
      <c r="K149" s="832">
        <v>15047.699000000001</v>
      </c>
    </row>
    <row r="150" spans="2:11">
      <c r="B150" s="805" t="str">
        <f t="shared" si="7"/>
        <v>Sat</v>
      </c>
      <c r="C150" s="825">
        <v>44464</v>
      </c>
      <c r="D150" s="831">
        <v>54.22</v>
      </c>
      <c r="E150" s="831">
        <v>220.81</v>
      </c>
      <c r="F150" s="832">
        <v>105.8</v>
      </c>
      <c r="G150" s="832">
        <v>21.561204254551999</v>
      </c>
      <c r="H150" s="831">
        <v>504.92</v>
      </c>
      <c r="I150" s="832">
        <v>74.05</v>
      </c>
      <c r="J150" s="832">
        <v>4455.4799999999996</v>
      </c>
      <c r="K150" s="832">
        <v>15047.699000000001</v>
      </c>
    </row>
    <row r="151" spans="2:11">
      <c r="B151" s="805" t="str">
        <f t="shared" si="7"/>
        <v>Fri</v>
      </c>
      <c r="C151" s="825">
        <v>44463</v>
      </c>
      <c r="D151" s="831">
        <v>54.22</v>
      </c>
      <c r="E151" s="831">
        <v>220.81</v>
      </c>
      <c r="F151" s="832">
        <v>105.8</v>
      </c>
      <c r="G151" s="832">
        <v>21.561204254551999</v>
      </c>
      <c r="H151" s="831">
        <v>504.92</v>
      </c>
      <c r="I151" s="832">
        <v>74.05</v>
      </c>
      <c r="J151" s="832">
        <v>4455.4799999999996</v>
      </c>
      <c r="K151" s="832">
        <v>15047.699000000001</v>
      </c>
    </row>
    <row r="152" spans="2:11">
      <c r="B152" s="805" t="str">
        <f t="shared" si="7"/>
        <v>Thu</v>
      </c>
      <c r="C152" s="825">
        <v>44462</v>
      </c>
      <c r="D152" s="831">
        <v>54.03</v>
      </c>
      <c r="E152" s="831">
        <v>224.82</v>
      </c>
      <c r="F152" s="832">
        <v>106.15</v>
      </c>
      <c r="G152" s="832">
        <v>21.1891891891892</v>
      </c>
      <c r="H152" s="831">
        <v>504.3</v>
      </c>
      <c r="I152" s="832">
        <v>74.040000000000006</v>
      </c>
      <c r="J152" s="832">
        <v>4448.9799999999996</v>
      </c>
      <c r="K152" s="832">
        <v>15052.244000000001</v>
      </c>
    </row>
    <row r="153" spans="2:11">
      <c r="B153" s="805" t="str">
        <f t="shared" si="7"/>
        <v>Wed</v>
      </c>
      <c r="C153" s="825">
        <v>44461</v>
      </c>
      <c r="D153" s="831">
        <v>53.5</v>
      </c>
      <c r="E153" s="831">
        <v>219.41</v>
      </c>
      <c r="F153" s="832">
        <v>104.38</v>
      </c>
      <c r="G153" s="832">
        <v>21.107989337944002</v>
      </c>
      <c r="H153" s="831">
        <v>500.59</v>
      </c>
      <c r="I153" s="832">
        <v>73.97</v>
      </c>
      <c r="J153" s="832">
        <v>4395.6400000000003</v>
      </c>
      <c r="K153" s="832">
        <v>14896.847</v>
      </c>
    </row>
    <row r="154" spans="2:11">
      <c r="B154" s="805" t="str">
        <f t="shared" si="7"/>
        <v>Tue</v>
      </c>
      <c r="C154" s="825">
        <v>44460</v>
      </c>
      <c r="D154" s="831">
        <v>52.87</v>
      </c>
      <c r="E154" s="831">
        <v>212.46</v>
      </c>
      <c r="F154" s="832">
        <v>102.82</v>
      </c>
      <c r="G154" s="832">
        <v>21.596717298970599</v>
      </c>
      <c r="H154" s="831">
        <v>490.99</v>
      </c>
      <c r="I154" s="832">
        <v>72.14</v>
      </c>
      <c r="J154" s="832">
        <v>4354.1899999999996</v>
      </c>
      <c r="K154" s="832">
        <v>14746.397999999999</v>
      </c>
    </row>
    <row r="155" spans="2:11">
      <c r="B155" s="805" t="str">
        <f t="shared" si="7"/>
        <v>Mon</v>
      </c>
      <c r="C155" s="825">
        <v>44459</v>
      </c>
      <c r="D155" s="831">
        <v>52.98</v>
      </c>
      <c r="E155" s="831">
        <v>211.13</v>
      </c>
      <c r="F155" s="832">
        <v>101.55</v>
      </c>
      <c r="G155" s="832">
        <v>21.596717298970599</v>
      </c>
      <c r="H155" s="831">
        <v>494.82</v>
      </c>
      <c r="I155" s="832">
        <v>72.37</v>
      </c>
      <c r="J155" s="832">
        <v>4357.7299999999996</v>
      </c>
      <c r="K155" s="832">
        <v>14713.903</v>
      </c>
    </row>
    <row r="156" spans="2:11">
      <c r="B156" s="805" t="str">
        <f t="shared" si="7"/>
        <v>Sun</v>
      </c>
      <c r="C156" s="825">
        <v>44458</v>
      </c>
      <c r="D156" s="831">
        <v>54.26</v>
      </c>
      <c r="E156" s="831">
        <v>219</v>
      </c>
      <c r="F156" s="832">
        <v>103.88</v>
      </c>
      <c r="G156" s="832">
        <v>21.596717298970599</v>
      </c>
      <c r="H156" s="831">
        <v>506</v>
      </c>
      <c r="I156" s="832">
        <v>74.3</v>
      </c>
      <c r="J156" s="832">
        <v>4432.99</v>
      </c>
      <c r="K156" s="832">
        <v>15043.968000000001</v>
      </c>
    </row>
    <row r="157" spans="2:11">
      <c r="B157" s="805" t="str">
        <f t="shared" si="7"/>
        <v>Sat</v>
      </c>
      <c r="C157" s="825">
        <v>44457</v>
      </c>
      <c r="D157" s="831">
        <v>54.26</v>
      </c>
      <c r="E157" s="831">
        <v>219</v>
      </c>
      <c r="F157" s="832">
        <v>103.88</v>
      </c>
      <c r="G157" s="832">
        <v>21.596717298970599</v>
      </c>
      <c r="H157" s="831">
        <v>506</v>
      </c>
      <c r="I157" s="832">
        <v>74.3</v>
      </c>
      <c r="J157" s="832">
        <v>4432.99</v>
      </c>
      <c r="K157" s="832">
        <v>15043.968000000001</v>
      </c>
    </row>
    <row r="158" spans="2:11">
      <c r="B158" s="805" t="str">
        <f t="shared" si="7"/>
        <v>Fri</v>
      </c>
      <c r="C158" s="825">
        <v>44456</v>
      </c>
      <c r="D158" s="831">
        <v>54.26</v>
      </c>
      <c r="E158" s="831">
        <v>219</v>
      </c>
      <c r="F158" s="832">
        <v>103.88</v>
      </c>
      <c r="G158" s="832">
        <v>21.596717298970599</v>
      </c>
      <c r="H158" s="831">
        <v>506</v>
      </c>
      <c r="I158" s="832">
        <v>74.3</v>
      </c>
      <c r="J158" s="832">
        <v>4432.99</v>
      </c>
      <c r="K158" s="832">
        <v>15043.968000000001</v>
      </c>
    </row>
    <row r="159" spans="2:11">
      <c r="B159" s="805" t="str">
        <f t="shared" si="7"/>
        <v>Thu</v>
      </c>
      <c r="C159" s="825">
        <v>44455</v>
      </c>
      <c r="D159" s="831">
        <v>54.83</v>
      </c>
      <c r="E159" s="831">
        <v>222.42</v>
      </c>
      <c r="F159" s="832">
        <v>106.22</v>
      </c>
      <c r="G159" s="832">
        <v>21.620842492162399</v>
      </c>
      <c r="H159" s="831">
        <v>507.35</v>
      </c>
      <c r="I159" s="832">
        <v>74.63</v>
      </c>
      <c r="J159" s="832">
        <v>4473.75</v>
      </c>
      <c r="K159" s="832">
        <v>15181.924000000001</v>
      </c>
    </row>
    <row r="160" spans="2:11">
      <c r="B160" s="805" t="str">
        <f t="shared" si="7"/>
        <v>Wed</v>
      </c>
      <c r="C160" s="825">
        <v>44454</v>
      </c>
      <c r="D160" s="831">
        <v>55.12</v>
      </c>
      <c r="E160" s="831">
        <v>223.41</v>
      </c>
      <c r="F160" s="832">
        <v>105.6</v>
      </c>
      <c r="G160" s="832">
        <v>21.941873915558102</v>
      </c>
      <c r="H160" s="831">
        <v>509.74</v>
      </c>
      <c r="I160" s="832">
        <v>73.819999999999993</v>
      </c>
      <c r="J160" s="832">
        <v>4480.7</v>
      </c>
      <c r="K160" s="832">
        <v>15161.529</v>
      </c>
    </row>
    <row r="161" spans="2:11">
      <c r="B161" s="805" t="str">
        <f t="shared" si="7"/>
        <v>Tue</v>
      </c>
      <c r="C161" s="825">
        <v>44453</v>
      </c>
      <c r="D161" s="831">
        <v>54.52</v>
      </c>
      <c r="E161" s="831">
        <v>222.42</v>
      </c>
      <c r="F161" s="832">
        <v>105.73</v>
      </c>
      <c r="G161" s="832">
        <v>22.134758431429201</v>
      </c>
      <c r="H161" s="831">
        <v>501.87</v>
      </c>
      <c r="I161" s="832">
        <v>73.489999999999995</v>
      </c>
      <c r="J161" s="832">
        <v>4443.05</v>
      </c>
      <c r="K161" s="832">
        <v>15037.759</v>
      </c>
    </row>
    <row r="162" spans="2:11">
      <c r="B162" s="805" t="str">
        <f t="shared" si="7"/>
        <v>Mon</v>
      </c>
      <c r="C162" s="825">
        <v>44452</v>
      </c>
      <c r="D162" s="831">
        <v>54.99</v>
      </c>
      <c r="E162" s="831">
        <v>221.52</v>
      </c>
      <c r="F162" s="832">
        <v>104.8</v>
      </c>
      <c r="G162" s="832">
        <v>22.2149978326831</v>
      </c>
      <c r="H162" s="831">
        <v>498.96</v>
      </c>
      <c r="I162" s="832">
        <v>74.349999999999994</v>
      </c>
      <c r="J162" s="832">
        <v>4468.7299999999996</v>
      </c>
      <c r="K162" s="832">
        <v>15105.582</v>
      </c>
    </row>
    <row r="163" spans="2:11">
      <c r="B163" s="805" t="str">
        <f t="shared" si="7"/>
        <v>Sun</v>
      </c>
      <c r="C163" s="825">
        <v>44451</v>
      </c>
      <c r="D163" s="831">
        <v>53.84</v>
      </c>
      <c r="E163" s="831">
        <v>224.78</v>
      </c>
      <c r="F163" s="832">
        <v>105.2</v>
      </c>
      <c r="G163" s="832">
        <v>22.4865333863562</v>
      </c>
      <c r="H163" s="831">
        <v>498.15</v>
      </c>
      <c r="I163" s="832">
        <v>73.5</v>
      </c>
      <c r="J163" s="832">
        <v>4458.58</v>
      </c>
      <c r="K163" s="832">
        <v>15115.494000000001</v>
      </c>
    </row>
    <row r="164" spans="2:11">
      <c r="B164" s="805" t="str">
        <f t="shared" si="7"/>
        <v>Sat</v>
      </c>
      <c r="C164" s="825">
        <v>44450</v>
      </c>
      <c r="D164" s="831">
        <v>53.84</v>
      </c>
      <c r="E164" s="831">
        <v>224.78</v>
      </c>
      <c r="F164" s="832">
        <v>105.2</v>
      </c>
      <c r="G164" s="832">
        <v>22.4865333863562</v>
      </c>
      <c r="H164" s="831">
        <v>498.15</v>
      </c>
      <c r="I164" s="832">
        <v>73.5</v>
      </c>
      <c r="J164" s="832">
        <v>4458.58</v>
      </c>
      <c r="K164" s="832">
        <v>15115.494000000001</v>
      </c>
    </row>
    <row r="165" spans="2:11">
      <c r="B165" s="805" t="str">
        <f t="shared" si="7"/>
        <v>Fri</v>
      </c>
      <c r="C165" s="825">
        <v>44449</v>
      </c>
      <c r="D165" s="831">
        <v>53.84</v>
      </c>
      <c r="E165" s="831">
        <v>224.78</v>
      </c>
      <c r="F165" s="832">
        <v>105.2</v>
      </c>
      <c r="G165" s="832">
        <v>22.4865333863562</v>
      </c>
      <c r="H165" s="831">
        <v>498.15</v>
      </c>
      <c r="I165" s="832">
        <v>73.5</v>
      </c>
      <c r="J165" s="832">
        <v>4458.58</v>
      </c>
      <c r="K165" s="832">
        <v>15115.494000000001</v>
      </c>
    </row>
    <row r="166" spans="2:11">
      <c r="B166" s="805" t="str">
        <f t="shared" si="7"/>
        <v>Thu</v>
      </c>
      <c r="C166" s="825">
        <v>44448</v>
      </c>
      <c r="D166" s="831">
        <v>53.4</v>
      </c>
      <c r="E166" s="831">
        <v>221.77</v>
      </c>
      <c r="F166" s="832">
        <v>106.15</v>
      </c>
      <c r="G166" s="832">
        <v>22.370798698951901</v>
      </c>
      <c r="H166" s="831">
        <v>493.49</v>
      </c>
      <c r="I166" s="832">
        <v>72.87</v>
      </c>
      <c r="J166" s="832">
        <v>4493.28</v>
      </c>
      <c r="K166" s="832">
        <v>15248.254000000001</v>
      </c>
    </row>
    <row r="167" spans="2:11">
      <c r="B167" s="805" t="str">
        <f t="shared" si="7"/>
        <v>Wed</v>
      </c>
      <c r="C167" s="825">
        <v>44447</v>
      </c>
      <c r="D167" s="831">
        <v>53.57</v>
      </c>
      <c r="E167" s="831">
        <v>223.39</v>
      </c>
      <c r="F167" s="832">
        <v>106.17</v>
      </c>
      <c r="G167" s="832">
        <v>22.341731032989198</v>
      </c>
      <c r="H167" s="831">
        <v>494.38</v>
      </c>
      <c r="I167" s="832">
        <v>72.27</v>
      </c>
      <c r="J167" s="832">
        <v>4514.07</v>
      </c>
      <c r="K167" s="832">
        <v>15286.637000000001</v>
      </c>
    </row>
    <row r="168" spans="2:11">
      <c r="B168" s="805" t="str">
        <f t="shared" si="7"/>
        <v>Tue</v>
      </c>
      <c r="C168" s="825">
        <v>44446</v>
      </c>
      <c r="D168" s="831">
        <v>53.65</v>
      </c>
      <c r="E168" s="831">
        <v>226.62</v>
      </c>
      <c r="F168" s="832">
        <v>109.15</v>
      </c>
      <c r="G168" s="832">
        <v>22.552036199094999</v>
      </c>
      <c r="H168" s="831">
        <v>496.59</v>
      </c>
      <c r="I168" s="832">
        <v>73.64</v>
      </c>
      <c r="J168" s="832">
        <v>4520.03</v>
      </c>
      <c r="K168" s="832">
        <v>15374.326999999999</v>
      </c>
    </row>
    <row r="169" spans="2:11">
      <c r="B169" s="805" t="str">
        <f t="shared" si="7"/>
        <v>Mon</v>
      </c>
      <c r="C169" s="825">
        <v>44445</v>
      </c>
      <c r="D169" s="831">
        <v>53.51</v>
      </c>
      <c r="E169" s="831">
        <v>228.43</v>
      </c>
      <c r="F169" s="832">
        <v>109.92</v>
      </c>
      <c r="G169" s="832">
        <v>22.908800464711</v>
      </c>
      <c r="H169" s="831">
        <v>497.68</v>
      </c>
      <c r="I169" s="832">
        <v>73.81</v>
      </c>
      <c r="J169" s="832">
        <v>4535.43</v>
      </c>
      <c r="K169" s="832">
        <v>15363.516</v>
      </c>
    </row>
    <row r="170" spans="2:11">
      <c r="B170" s="805" t="str">
        <f t="shared" si="7"/>
        <v>Sun</v>
      </c>
      <c r="C170" s="825">
        <v>44444</v>
      </c>
      <c r="D170" s="831">
        <v>53.51</v>
      </c>
      <c r="E170" s="831">
        <v>228.43</v>
      </c>
      <c r="F170" s="832">
        <v>109.92</v>
      </c>
      <c r="G170" s="832">
        <v>22.4580722280581</v>
      </c>
      <c r="H170" s="831">
        <v>497.68</v>
      </c>
      <c r="I170" s="832">
        <v>73.81</v>
      </c>
      <c r="J170" s="832">
        <v>4535.43</v>
      </c>
      <c r="K170" s="832">
        <v>15363.516</v>
      </c>
    </row>
    <row r="171" spans="2:11">
      <c r="B171" s="805" t="str">
        <f t="shared" si="7"/>
        <v>Sat</v>
      </c>
      <c r="C171" s="825">
        <v>44443</v>
      </c>
      <c r="D171" s="831">
        <v>53.51</v>
      </c>
      <c r="E171" s="831">
        <v>228.43</v>
      </c>
      <c r="F171" s="832">
        <v>109.92</v>
      </c>
      <c r="G171" s="832">
        <v>22.4580722280581</v>
      </c>
      <c r="H171" s="831">
        <v>497.68</v>
      </c>
      <c r="I171" s="832">
        <v>73.81</v>
      </c>
      <c r="J171" s="832">
        <v>4535.43</v>
      </c>
      <c r="K171" s="832">
        <v>15363.516</v>
      </c>
    </row>
    <row r="172" spans="2:11">
      <c r="B172" s="805" t="str">
        <f t="shared" si="7"/>
        <v>Fri</v>
      </c>
      <c r="C172" s="825">
        <v>44442</v>
      </c>
      <c r="D172" s="831">
        <v>53.51</v>
      </c>
      <c r="E172" s="831">
        <v>228.43</v>
      </c>
      <c r="F172" s="832">
        <v>109.92</v>
      </c>
      <c r="G172" s="832">
        <v>22.4580722280581</v>
      </c>
      <c r="H172" s="831">
        <v>497.68</v>
      </c>
      <c r="I172" s="832">
        <v>73.81</v>
      </c>
      <c r="J172" s="832">
        <v>4535.43</v>
      </c>
      <c r="K172" s="832">
        <v>15363.516</v>
      </c>
    </row>
    <row r="173" spans="2:11">
      <c r="B173" s="805" t="str">
        <f t="shared" si="7"/>
        <v>Thu</v>
      </c>
      <c r="C173" s="825">
        <v>44441</v>
      </c>
      <c r="D173" s="831">
        <v>53.73</v>
      </c>
      <c r="E173" s="831">
        <v>223.96</v>
      </c>
      <c r="F173" s="832">
        <v>109.2</v>
      </c>
      <c r="G173" s="832">
        <v>21.937908851060801</v>
      </c>
      <c r="H173" s="831">
        <v>491.9</v>
      </c>
      <c r="I173" s="832">
        <v>73.989999999999995</v>
      </c>
      <c r="J173" s="832">
        <v>4536.95</v>
      </c>
      <c r="K173" s="832">
        <v>15331.177</v>
      </c>
    </row>
    <row r="174" spans="2:11">
      <c r="B174" s="805" t="str">
        <f t="shared" si="7"/>
        <v>Wed</v>
      </c>
      <c r="C174" s="825">
        <v>44440</v>
      </c>
      <c r="D174" s="831">
        <v>53.67</v>
      </c>
      <c r="E174" s="831">
        <v>224.41</v>
      </c>
      <c r="F174" s="832">
        <v>109.99</v>
      </c>
      <c r="G174" s="832">
        <v>22.118784729739499</v>
      </c>
      <c r="H174" s="831">
        <v>493.16</v>
      </c>
      <c r="I174" s="832">
        <v>73.72</v>
      </c>
      <c r="J174" s="832">
        <v>4524.09</v>
      </c>
      <c r="K174" s="832">
        <v>15309.380999999999</v>
      </c>
    </row>
    <row r="175" spans="2:11">
      <c r="B175" s="805" t="str">
        <f t="shared" si="7"/>
        <v>Tue</v>
      </c>
      <c r="C175" s="825">
        <v>44439</v>
      </c>
      <c r="D175" s="831">
        <v>54.06</v>
      </c>
      <c r="E175" s="831">
        <v>223.85</v>
      </c>
      <c r="F175" s="832">
        <v>110.72</v>
      </c>
      <c r="G175" s="832">
        <v>22.205345195472098</v>
      </c>
      <c r="H175" s="831">
        <v>497.21</v>
      </c>
      <c r="I175" s="832">
        <v>73.7</v>
      </c>
      <c r="J175" s="832">
        <v>4522.68</v>
      </c>
      <c r="K175" s="832">
        <v>15259.235000000001</v>
      </c>
    </row>
    <row r="176" spans="2:11">
      <c r="B176" s="805" t="str">
        <f t="shared" si="7"/>
        <v>Mon</v>
      </c>
      <c r="C176" s="825">
        <v>44438</v>
      </c>
      <c r="D176" s="831">
        <v>53.94</v>
      </c>
      <c r="E176" s="831">
        <v>226.88</v>
      </c>
      <c r="F176" s="832">
        <v>111.32</v>
      </c>
      <c r="G176" s="832">
        <v>21.792378070744199</v>
      </c>
      <c r="H176" s="831">
        <v>498.89</v>
      </c>
      <c r="I176" s="832">
        <v>73.16</v>
      </c>
      <c r="J176" s="832">
        <v>4528.79</v>
      </c>
      <c r="K176" s="832">
        <v>15265.89</v>
      </c>
    </row>
    <row r="177" spans="2:11">
      <c r="B177" s="805" t="str">
        <f t="shared" si="7"/>
        <v>Sun</v>
      </c>
      <c r="C177" s="825">
        <v>44437</v>
      </c>
      <c r="D177" s="831">
        <v>53.89</v>
      </c>
      <c r="E177" s="831">
        <v>226.36</v>
      </c>
      <c r="F177" s="832">
        <v>111.4</v>
      </c>
      <c r="G177" s="832">
        <v>21.4918732732948</v>
      </c>
      <c r="H177" s="831">
        <v>495.94</v>
      </c>
      <c r="I177" s="832">
        <v>74</v>
      </c>
      <c r="J177" s="832">
        <v>4509.37</v>
      </c>
      <c r="K177" s="832">
        <v>15129.501</v>
      </c>
    </row>
    <row r="178" spans="2:11">
      <c r="B178" s="805" t="str">
        <f t="shared" si="7"/>
        <v>Sat</v>
      </c>
      <c r="C178" s="825">
        <v>44436</v>
      </c>
      <c r="D178" s="831">
        <v>53.89</v>
      </c>
      <c r="E178" s="831">
        <v>226.36</v>
      </c>
      <c r="F178" s="832">
        <v>111.4</v>
      </c>
      <c r="G178" s="832">
        <v>21.4918732732948</v>
      </c>
      <c r="H178" s="831">
        <v>495.94</v>
      </c>
      <c r="I178" s="832">
        <v>74</v>
      </c>
      <c r="J178" s="832">
        <v>4509.37</v>
      </c>
      <c r="K178" s="832">
        <v>15129.501</v>
      </c>
    </row>
    <row r="179" spans="2:11">
      <c r="B179" s="805" t="str">
        <f t="shared" si="7"/>
        <v>Fri</v>
      </c>
      <c r="C179" s="825">
        <v>44435</v>
      </c>
      <c r="D179" s="831">
        <v>53.89</v>
      </c>
      <c r="E179" s="831">
        <v>226.36</v>
      </c>
      <c r="F179" s="832">
        <v>111.4</v>
      </c>
      <c r="G179" s="832">
        <v>21.4918732732948</v>
      </c>
      <c r="H179" s="831">
        <v>495.94</v>
      </c>
      <c r="I179" s="832">
        <v>74</v>
      </c>
      <c r="J179" s="832">
        <v>4509.37</v>
      </c>
      <c r="K179" s="832">
        <v>15129.501</v>
      </c>
    </row>
    <row r="180" spans="2:11">
      <c r="B180" s="805" t="str">
        <f t="shared" si="7"/>
        <v>Thu</v>
      </c>
      <c r="C180" s="825">
        <v>44434</v>
      </c>
      <c r="D180" s="831">
        <v>53.13</v>
      </c>
      <c r="E180" s="831">
        <v>220.68</v>
      </c>
      <c r="F180" s="832">
        <v>107.27</v>
      </c>
      <c r="G180" s="832">
        <v>21.265170228761701</v>
      </c>
      <c r="H180" s="831">
        <v>485.74</v>
      </c>
      <c r="I180" s="832">
        <v>72.77</v>
      </c>
      <c r="J180" s="832">
        <v>4470</v>
      </c>
      <c r="K180" s="832">
        <v>14945.807000000001</v>
      </c>
    </row>
    <row r="181" spans="2:11">
      <c r="B181" s="805" t="str">
        <f t="shared" si="7"/>
        <v>Wed</v>
      </c>
      <c r="C181" s="825">
        <v>44433</v>
      </c>
      <c r="D181" s="831">
        <v>53.81</v>
      </c>
      <c r="E181" s="831">
        <v>222.13</v>
      </c>
      <c r="F181" s="832">
        <v>108.3</v>
      </c>
      <c r="G181" s="832">
        <v>20.9707484944078</v>
      </c>
      <c r="H181" s="831">
        <v>483.41</v>
      </c>
      <c r="I181" s="832">
        <v>74.040000000000006</v>
      </c>
      <c r="J181" s="832">
        <v>4496.1899999999996</v>
      </c>
      <c r="K181" s="832">
        <v>15041.859</v>
      </c>
    </row>
    <row r="182" spans="2:11">
      <c r="B182" s="805" t="str">
        <f t="shared" si="7"/>
        <v>Tue</v>
      </c>
      <c r="C182" s="825">
        <v>44432</v>
      </c>
      <c r="D182" s="831">
        <v>53.81</v>
      </c>
      <c r="E182" s="831">
        <v>217.93</v>
      </c>
      <c r="F182" s="832">
        <v>107.65</v>
      </c>
      <c r="G182" s="832">
        <v>20.491509636741402</v>
      </c>
      <c r="H182" s="831">
        <v>481.43</v>
      </c>
      <c r="I182" s="832">
        <v>71.98</v>
      </c>
      <c r="J182" s="832">
        <v>4486.2299999999996</v>
      </c>
      <c r="K182" s="832">
        <v>15019.8</v>
      </c>
    </row>
    <row r="183" spans="2:11">
      <c r="B183" s="805" t="str">
        <f t="shared" si="7"/>
        <v>Mon</v>
      </c>
      <c r="C183" s="825">
        <v>44431</v>
      </c>
      <c r="D183" s="831">
        <v>53.23</v>
      </c>
      <c r="E183" s="831">
        <v>219.58</v>
      </c>
      <c r="F183" s="832">
        <v>108.77</v>
      </c>
      <c r="G183" s="832">
        <v>20.265673672526798</v>
      </c>
      <c r="H183" s="831">
        <v>482.45</v>
      </c>
      <c r="I183" s="832">
        <v>71.739999999999995</v>
      </c>
      <c r="J183" s="832">
        <v>4479.53</v>
      </c>
      <c r="K183" s="832">
        <v>14942.652</v>
      </c>
    </row>
    <row r="184" spans="2:11">
      <c r="B184" s="805" t="str">
        <f t="shared" si="7"/>
        <v>Sun</v>
      </c>
      <c r="C184" s="825">
        <v>44430</v>
      </c>
      <c r="D184" s="831">
        <v>52.01</v>
      </c>
      <c r="E184" s="831">
        <v>208.16</v>
      </c>
      <c r="F184" s="832">
        <v>104.65</v>
      </c>
      <c r="G184" s="832">
        <v>19.737547824221402</v>
      </c>
      <c r="H184" s="831">
        <v>475.17</v>
      </c>
      <c r="I184" s="832">
        <v>70.23</v>
      </c>
      <c r="J184" s="832">
        <v>4441.67</v>
      </c>
      <c r="K184" s="832">
        <v>14714.663</v>
      </c>
    </row>
    <row r="185" spans="2:11">
      <c r="B185" s="805" t="str">
        <f t="shared" si="7"/>
        <v>Sat</v>
      </c>
      <c r="C185" s="825">
        <v>44429</v>
      </c>
      <c r="D185" s="831">
        <v>52.01</v>
      </c>
      <c r="E185" s="831">
        <v>208.16</v>
      </c>
      <c r="F185" s="832">
        <v>104.65</v>
      </c>
      <c r="G185" s="832">
        <v>19.737547824221402</v>
      </c>
      <c r="H185" s="831">
        <v>475.17</v>
      </c>
      <c r="I185" s="832">
        <v>70.23</v>
      </c>
      <c r="J185" s="832">
        <v>4441.67</v>
      </c>
      <c r="K185" s="832">
        <v>14714.663</v>
      </c>
    </row>
    <row r="186" spans="2:11">
      <c r="B186" s="805" t="str">
        <f t="shared" si="7"/>
        <v>Fri</v>
      </c>
      <c r="C186" s="825">
        <v>44428</v>
      </c>
      <c r="D186" s="831">
        <v>52.01</v>
      </c>
      <c r="E186" s="831">
        <v>208.16</v>
      </c>
      <c r="F186" s="832">
        <v>104.65</v>
      </c>
      <c r="G186" s="832">
        <v>19.737547824221402</v>
      </c>
      <c r="H186" s="831">
        <v>475.17</v>
      </c>
      <c r="I186" s="832">
        <v>70.23</v>
      </c>
      <c r="J186" s="832">
        <v>4441.67</v>
      </c>
      <c r="K186" s="832">
        <v>14714.663</v>
      </c>
    </row>
    <row r="187" spans="2:11">
      <c r="B187" s="805" t="str">
        <f t="shared" si="7"/>
        <v>Thu</v>
      </c>
      <c r="C187" s="825">
        <v>44427</v>
      </c>
      <c r="D187" s="831">
        <v>52.44</v>
      </c>
      <c r="E187" s="831">
        <v>197.98</v>
      </c>
      <c r="F187" s="832">
        <v>103.7</v>
      </c>
      <c r="G187" s="832">
        <v>19.945052984621999</v>
      </c>
      <c r="H187" s="831">
        <v>473.53</v>
      </c>
      <c r="I187" s="832">
        <v>70.28</v>
      </c>
      <c r="J187" s="832">
        <v>4405.8</v>
      </c>
      <c r="K187" s="832">
        <v>14541.788</v>
      </c>
    </row>
    <row r="188" spans="2:11">
      <c r="B188" s="805" t="str">
        <f t="shared" si="7"/>
        <v>Wed</v>
      </c>
      <c r="C188" s="825">
        <v>44426</v>
      </c>
      <c r="D188" s="831">
        <v>52.19</v>
      </c>
      <c r="E188" s="831">
        <v>190.4</v>
      </c>
      <c r="F188" s="832">
        <v>103.44</v>
      </c>
      <c r="G188" s="832">
        <v>20.625224577793698</v>
      </c>
      <c r="H188" s="831">
        <v>468.97</v>
      </c>
      <c r="I188" s="832">
        <v>70.62</v>
      </c>
      <c r="J188" s="832">
        <v>4400.2700000000004</v>
      </c>
      <c r="K188" s="832">
        <v>14525.914000000001</v>
      </c>
    </row>
    <row r="189" spans="2:11">
      <c r="B189" s="805" t="str">
        <f t="shared" si="7"/>
        <v>Tue</v>
      </c>
      <c r="C189" s="825">
        <v>44425</v>
      </c>
      <c r="D189" s="831">
        <v>52.69</v>
      </c>
      <c r="E189" s="831">
        <v>194.58</v>
      </c>
      <c r="F189" s="832">
        <v>107.56</v>
      </c>
      <c r="G189" s="832">
        <v>20.781082049444599</v>
      </c>
      <c r="H189" s="831">
        <v>478.69</v>
      </c>
      <c r="I189" s="832">
        <v>70.78</v>
      </c>
      <c r="J189" s="832">
        <v>4448.08</v>
      </c>
      <c r="K189" s="832">
        <v>14656.181</v>
      </c>
    </row>
    <row r="190" spans="2:11">
      <c r="B190" s="805" t="str">
        <f t="shared" si="7"/>
        <v>Mon</v>
      </c>
      <c r="C190" s="825">
        <v>44424</v>
      </c>
      <c r="D190" s="831">
        <v>53.47</v>
      </c>
      <c r="E190" s="831">
        <v>199.5</v>
      </c>
      <c r="F190" s="832">
        <v>107.48</v>
      </c>
      <c r="G190" s="832">
        <v>20.983795048686702</v>
      </c>
      <c r="H190" s="831">
        <v>488.14</v>
      </c>
      <c r="I190" s="832">
        <v>70.930000000000007</v>
      </c>
      <c r="J190" s="832">
        <v>4479.71</v>
      </c>
      <c r="K190" s="832">
        <v>14793.762000000001</v>
      </c>
    </row>
    <row r="191" spans="2:11">
      <c r="B191" s="805" t="str">
        <f t="shared" si="7"/>
        <v>Sun</v>
      </c>
      <c r="C191" s="825">
        <v>44423</v>
      </c>
      <c r="D191" s="831">
        <v>53.49</v>
      </c>
      <c r="E191" s="831">
        <v>201.88</v>
      </c>
      <c r="F191" s="832">
        <v>110.55</v>
      </c>
      <c r="G191" s="832">
        <v>20.893268124280802</v>
      </c>
      <c r="H191" s="831">
        <v>486.16</v>
      </c>
      <c r="I191" s="832">
        <v>70.92</v>
      </c>
      <c r="J191" s="832">
        <v>4468</v>
      </c>
      <c r="K191" s="832">
        <v>14822.897999999999</v>
      </c>
    </row>
    <row r="192" spans="2:11">
      <c r="B192" s="805" t="str">
        <f t="shared" si="7"/>
        <v>Sat</v>
      </c>
      <c r="C192" s="825">
        <v>44422</v>
      </c>
      <c r="D192" s="831">
        <v>53.49</v>
      </c>
      <c r="E192" s="831">
        <v>201.88</v>
      </c>
      <c r="F192" s="832">
        <v>110.55</v>
      </c>
      <c r="G192" s="832">
        <v>20.893268124280802</v>
      </c>
      <c r="H192" s="831">
        <v>486.16</v>
      </c>
      <c r="I192" s="832">
        <v>70.92</v>
      </c>
      <c r="J192" s="832">
        <v>4468</v>
      </c>
      <c r="K192" s="832">
        <v>14822.897999999999</v>
      </c>
    </row>
    <row r="193" spans="2:11">
      <c r="B193" s="805" t="str">
        <f t="shared" si="7"/>
        <v>Fri</v>
      </c>
      <c r="C193" s="825">
        <v>44421</v>
      </c>
      <c r="D193" s="831">
        <v>53.49</v>
      </c>
      <c r="E193" s="831">
        <v>201.88</v>
      </c>
      <c r="F193" s="832">
        <v>110.55</v>
      </c>
      <c r="G193" s="832">
        <v>20.893268124280802</v>
      </c>
      <c r="H193" s="831">
        <v>486.16</v>
      </c>
      <c r="I193" s="832">
        <v>70.92</v>
      </c>
      <c r="J193" s="832">
        <v>4468</v>
      </c>
      <c r="K193" s="832">
        <v>14822.897999999999</v>
      </c>
    </row>
    <row r="194" spans="2:11">
      <c r="B194" s="805" t="str">
        <f t="shared" si="7"/>
        <v>Thu</v>
      </c>
      <c r="C194" s="825">
        <v>44420</v>
      </c>
      <c r="D194" s="831">
        <v>53.54</v>
      </c>
      <c r="E194" s="831">
        <v>199.05</v>
      </c>
      <c r="F194" s="832">
        <v>106.5</v>
      </c>
      <c r="G194" s="832">
        <v>21.092793895327901</v>
      </c>
      <c r="H194" s="831">
        <v>484.26</v>
      </c>
      <c r="I194" s="832">
        <v>70.25</v>
      </c>
      <c r="J194" s="832">
        <v>4460.83</v>
      </c>
      <c r="K194" s="832">
        <v>14816.262000000001</v>
      </c>
    </row>
    <row r="195" spans="2:11">
      <c r="B195" s="805" t="str">
        <f t="shared" si="7"/>
        <v>Wed</v>
      </c>
      <c r="C195" s="825">
        <v>44419</v>
      </c>
      <c r="D195" s="831">
        <v>54.14</v>
      </c>
      <c r="E195" s="831">
        <v>196.99</v>
      </c>
      <c r="F195" s="832">
        <v>107.68</v>
      </c>
      <c r="G195" s="832">
        <v>21.222258192151401</v>
      </c>
      <c r="H195" s="831">
        <v>483.55</v>
      </c>
      <c r="I195" s="832">
        <v>75.03</v>
      </c>
      <c r="J195" s="832">
        <v>4447.7</v>
      </c>
      <c r="K195" s="832">
        <v>14765.135</v>
      </c>
    </row>
    <row r="196" spans="2:11">
      <c r="B196" s="805" t="str">
        <f t="shared" si="7"/>
        <v>Tue</v>
      </c>
      <c r="C196" s="825">
        <v>44418</v>
      </c>
      <c r="D196" s="831">
        <v>53.94</v>
      </c>
      <c r="E196" s="831">
        <v>199.36</v>
      </c>
      <c r="F196" s="832">
        <v>106.48</v>
      </c>
      <c r="G196" s="832">
        <v>21.221587848755799</v>
      </c>
      <c r="H196" s="831">
        <v>482.26</v>
      </c>
      <c r="I196" s="832">
        <v>75.91</v>
      </c>
      <c r="J196" s="832">
        <v>4436.75</v>
      </c>
      <c r="K196" s="832">
        <v>14788.087</v>
      </c>
    </row>
    <row r="197" spans="2:11">
      <c r="B197" s="805" t="str">
        <f t="shared" si="7"/>
        <v>Mon</v>
      </c>
      <c r="C197" s="825">
        <v>44417</v>
      </c>
      <c r="D197" s="831">
        <v>54.05</v>
      </c>
      <c r="E197" s="831">
        <v>202.95</v>
      </c>
      <c r="F197" s="832">
        <v>107.58</v>
      </c>
      <c r="G197" s="832">
        <v>21.3905665803854</v>
      </c>
      <c r="H197" s="831">
        <v>484.68</v>
      </c>
      <c r="I197" s="832">
        <v>80.209999999999994</v>
      </c>
      <c r="J197" s="832">
        <v>4432.3500000000004</v>
      </c>
      <c r="K197" s="832">
        <v>14860.177</v>
      </c>
    </row>
    <row r="198" spans="2:11">
      <c r="B198" s="805" t="str">
        <f t="shared" si="7"/>
        <v>Sun</v>
      </c>
      <c r="C198" s="825">
        <v>44416</v>
      </c>
      <c r="D198" s="831">
        <v>53.92</v>
      </c>
      <c r="E198" s="831">
        <v>203.66</v>
      </c>
      <c r="F198" s="832">
        <v>110.11</v>
      </c>
      <c r="G198" s="832">
        <v>21.255934397928399</v>
      </c>
      <c r="H198" s="831">
        <v>485.43</v>
      </c>
      <c r="I198" s="832">
        <v>82</v>
      </c>
      <c r="J198" s="832">
        <v>4436.5200000000004</v>
      </c>
      <c r="K198" s="832">
        <v>14835.762000000001</v>
      </c>
    </row>
    <row r="199" spans="2:11">
      <c r="B199" s="805" t="str">
        <f t="shared" si="7"/>
        <v>Sat</v>
      </c>
      <c r="C199" s="825">
        <v>44415</v>
      </c>
      <c r="D199" s="831">
        <v>53.92</v>
      </c>
      <c r="E199" s="831">
        <v>203.66</v>
      </c>
      <c r="F199" s="832">
        <v>110.11</v>
      </c>
      <c r="G199" s="832">
        <v>21.255934397928399</v>
      </c>
      <c r="H199" s="831">
        <v>485.43</v>
      </c>
      <c r="I199" s="832">
        <v>82</v>
      </c>
      <c r="J199" s="832">
        <v>4436.5200000000004</v>
      </c>
      <c r="K199" s="832">
        <v>14835.762000000001</v>
      </c>
    </row>
    <row r="200" spans="2:11">
      <c r="B200" s="805" t="str">
        <f t="shared" ref="B200:B263" si="8">TEXT(C200,"DDD")</f>
        <v>Fri</v>
      </c>
      <c r="C200" s="825">
        <v>44414</v>
      </c>
      <c r="D200" s="831">
        <v>53.92</v>
      </c>
      <c r="E200" s="831">
        <v>203.66</v>
      </c>
      <c r="F200" s="832">
        <v>110.11</v>
      </c>
      <c r="G200" s="832">
        <v>21.255934397928399</v>
      </c>
      <c r="H200" s="831">
        <v>485.43</v>
      </c>
      <c r="I200" s="832">
        <v>82</v>
      </c>
      <c r="J200" s="832">
        <v>4436.5200000000004</v>
      </c>
      <c r="K200" s="832">
        <v>14835.762000000001</v>
      </c>
    </row>
    <row r="201" spans="2:11">
      <c r="B201" s="805" t="str">
        <f t="shared" si="8"/>
        <v>Thu</v>
      </c>
      <c r="C201" s="825">
        <v>44413</v>
      </c>
      <c r="D201" s="831">
        <v>53.89</v>
      </c>
      <c r="E201" s="831">
        <v>206.37</v>
      </c>
      <c r="F201" s="832">
        <v>112.35</v>
      </c>
      <c r="G201" s="832">
        <v>21.470514067509601</v>
      </c>
      <c r="H201" s="831">
        <v>487.67</v>
      </c>
      <c r="I201" s="832">
        <v>81.489999999999995</v>
      </c>
      <c r="J201" s="832">
        <v>4429.1000000000004</v>
      </c>
      <c r="K201" s="832">
        <v>14895.117</v>
      </c>
    </row>
    <row r="202" spans="2:11">
      <c r="B202" s="805" t="str">
        <f t="shared" si="8"/>
        <v>Wed</v>
      </c>
      <c r="C202" s="825">
        <v>44412</v>
      </c>
      <c r="D202" s="831">
        <v>53.9</v>
      </c>
      <c r="E202" s="831">
        <v>202.74</v>
      </c>
      <c r="F202" s="832">
        <v>118.77</v>
      </c>
      <c r="G202" s="832">
        <v>21.459691066863499</v>
      </c>
      <c r="H202" s="831">
        <v>487.8</v>
      </c>
      <c r="I202" s="832">
        <v>81.98</v>
      </c>
      <c r="J202" s="832">
        <v>4402.66</v>
      </c>
      <c r="K202" s="832">
        <v>14780.532999999999</v>
      </c>
    </row>
    <row r="203" spans="2:11">
      <c r="B203" s="805" t="str">
        <f t="shared" si="8"/>
        <v>Tue</v>
      </c>
      <c r="C203" s="825">
        <v>44411</v>
      </c>
      <c r="D203" s="831">
        <v>54.06</v>
      </c>
      <c r="E203" s="831">
        <v>198.15</v>
      </c>
      <c r="F203" s="832">
        <v>112.56</v>
      </c>
      <c r="G203" s="832">
        <v>21.304831247085801</v>
      </c>
      <c r="H203" s="831">
        <v>486.79</v>
      </c>
      <c r="I203" s="832">
        <v>80.86</v>
      </c>
      <c r="J203" s="832">
        <v>4423.1499999999996</v>
      </c>
      <c r="K203" s="832">
        <v>14761.295</v>
      </c>
    </row>
    <row r="204" spans="2:11">
      <c r="B204" s="805" t="str">
        <f t="shared" si="8"/>
        <v>Mon</v>
      </c>
      <c r="C204" s="825">
        <v>44410</v>
      </c>
      <c r="D204" s="831">
        <v>53.68</v>
      </c>
      <c r="E204" s="831">
        <v>197.5</v>
      </c>
      <c r="F204" s="832">
        <v>108.63</v>
      </c>
      <c r="G204" s="832">
        <v>21.125751933543398</v>
      </c>
      <c r="H204" s="831">
        <v>484.68</v>
      </c>
      <c r="I204" s="832">
        <v>77.64</v>
      </c>
      <c r="J204" s="832">
        <v>4387.16</v>
      </c>
      <c r="K204" s="832">
        <v>14681.069</v>
      </c>
    </row>
    <row r="205" spans="2:11">
      <c r="B205" s="805" t="str">
        <f t="shared" si="8"/>
        <v>Sun</v>
      </c>
      <c r="C205" s="825">
        <v>44409</v>
      </c>
      <c r="D205" s="831">
        <v>53.72</v>
      </c>
      <c r="E205" s="831">
        <v>194.99</v>
      </c>
      <c r="F205" s="832">
        <v>106.19</v>
      </c>
      <c r="G205" s="832">
        <v>20.766201217329002</v>
      </c>
      <c r="H205" s="831">
        <v>485.4</v>
      </c>
      <c r="I205" s="832">
        <v>77.58</v>
      </c>
      <c r="J205" s="832">
        <v>4395.26</v>
      </c>
      <c r="K205" s="832">
        <v>14672.678</v>
      </c>
    </row>
    <row r="206" spans="2:11">
      <c r="B206" s="805" t="str">
        <f t="shared" si="8"/>
        <v>Sat</v>
      </c>
      <c r="C206" s="825">
        <v>44408</v>
      </c>
      <c r="D206" s="831">
        <v>53.72</v>
      </c>
      <c r="E206" s="831">
        <v>194.99</v>
      </c>
      <c r="F206" s="832">
        <v>106.19</v>
      </c>
      <c r="G206" s="832">
        <v>20.766201217329002</v>
      </c>
      <c r="H206" s="831">
        <v>485.4</v>
      </c>
      <c r="I206" s="832">
        <v>77.58</v>
      </c>
      <c r="J206" s="832">
        <v>4395.26</v>
      </c>
      <c r="K206" s="832">
        <v>14672.678</v>
      </c>
    </row>
    <row r="207" spans="2:11">
      <c r="B207" s="805" t="str">
        <f t="shared" si="8"/>
        <v>Fri</v>
      </c>
      <c r="C207" s="825">
        <v>44407</v>
      </c>
      <c r="D207" s="831">
        <v>53.72</v>
      </c>
      <c r="E207" s="831">
        <v>194.99</v>
      </c>
      <c r="F207" s="832">
        <v>106.19</v>
      </c>
      <c r="G207" s="832">
        <v>20.766201217329002</v>
      </c>
      <c r="H207" s="831">
        <v>485.4</v>
      </c>
      <c r="I207" s="832">
        <v>77.58</v>
      </c>
      <c r="J207" s="832">
        <v>4395.26</v>
      </c>
      <c r="K207" s="832">
        <v>14672.678</v>
      </c>
    </row>
    <row r="208" spans="2:11">
      <c r="B208" s="805" t="str">
        <f t="shared" si="8"/>
        <v>Thu</v>
      </c>
      <c r="C208" s="825">
        <v>44406</v>
      </c>
      <c r="D208" s="831">
        <v>53.7</v>
      </c>
      <c r="E208" s="831">
        <v>196.62</v>
      </c>
      <c r="F208" s="832">
        <v>102.95</v>
      </c>
      <c r="G208" s="832">
        <v>20.9020507672451</v>
      </c>
      <c r="H208" s="831">
        <v>484.11</v>
      </c>
      <c r="I208" s="832">
        <v>77.08</v>
      </c>
      <c r="J208" s="832">
        <v>4419.1499999999996</v>
      </c>
      <c r="K208" s="832">
        <v>14778.263999999999</v>
      </c>
    </row>
    <row r="209" spans="2:11">
      <c r="B209" s="805" t="str">
        <f t="shared" si="8"/>
        <v>Wed</v>
      </c>
      <c r="C209" s="825">
        <v>44405</v>
      </c>
      <c r="D209" s="831">
        <v>53.07</v>
      </c>
      <c r="E209" s="831">
        <v>195.03</v>
      </c>
      <c r="F209" s="832">
        <v>97.93</v>
      </c>
      <c r="G209" s="832">
        <v>20.7252031356266</v>
      </c>
      <c r="H209" s="831">
        <v>477.65</v>
      </c>
      <c r="I209" s="832">
        <v>75.55</v>
      </c>
      <c r="J209" s="832">
        <v>4400.6400000000003</v>
      </c>
      <c r="K209" s="832">
        <v>14762.584000000001</v>
      </c>
    </row>
    <row r="210" spans="2:11">
      <c r="B210" s="805" t="str">
        <f t="shared" si="8"/>
        <v>Tue</v>
      </c>
      <c r="C210" s="825">
        <v>44404</v>
      </c>
      <c r="D210" s="831">
        <v>53.18</v>
      </c>
      <c r="E210" s="831">
        <v>192.08</v>
      </c>
      <c r="F210" s="832">
        <v>91.03</v>
      </c>
      <c r="G210" s="832">
        <v>20.695807314897401</v>
      </c>
      <c r="H210" s="831">
        <v>475.36</v>
      </c>
      <c r="I210" s="832">
        <v>74.22</v>
      </c>
      <c r="J210" s="832">
        <v>4401.46</v>
      </c>
      <c r="K210" s="832">
        <v>14660.575999999999</v>
      </c>
    </row>
    <row r="211" spans="2:11">
      <c r="B211" s="805" t="str">
        <f t="shared" si="8"/>
        <v>Mon</v>
      </c>
      <c r="C211" s="825">
        <v>44403</v>
      </c>
      <c r="D211" s="831">
        <v>54.31</v>
      </c>
      <c r="E211" s="831">
        <v>192.94</v>
      </c>
      <c r="F211" s="832">
        <v>91.82</v>
      </c>
      <c r="G211" s="832">
        <v>20.684736091298099</v>
      </c>
      <c r="H211" s="831">
        <v>482.24</v>
      </c>
      <c r="I211" s="832">
        <v>76.3</v>
      </c>
      <c r="J211" s="832">
        <v>4422.3</v>
      </c>
      <c r="K211" s="832">
        <v>14840.713</v>
      </c>
    </row>
    <row r="212" spans="2:11">
      <c r="B212" s="805" t="str">
        <f t="shared" si="8"/>
        <v>Sun</v>
      </c>
      <c r="C212" s="825">
        <v>44402</v>
      </c>
      <c r="D212" s="831">
        <v>53</v>
      </c>
      <c r="E212" s="831">
        <v>195.58</v>
      </c>
      <c r="F212" s="832">
        <v>92.15</v>
      </c>
      <c r="G212" s="832">
        <v>20.866773675762399</v>
      </c>
      <c r="H212" s="831">
        <v>483.15</v>
      </c>
      <c r="I212" s="832">
        <v>75.94</v>
      </c>
      <c r="J212" s="832">
        <v>4411.79</v>
      </c>
      <c r="K212" s="832">
        <v>14836.991</v>
      </c>
    </row>
    <row r="213" spans="2:11">
      <c r="B213" s="805" t="str">
        <f t="shared" si="8"/>
        <v>Sat</v>
      </c>
      <c r="C213" s="825">
        <v>44401</v>
      </c>
      <c r="D213" s="831">
        <v>53</v>
      </c>
      <c r="E213" s="831">
        <v>195.58</v>
      </c>
      <c r="F213" s="832">
        <v>92.15</v>
      </c>
      <c r="G213" s="832">
        <v>20.866773675762399</v>
      </c>
      <c r="H213" s="831">
        <v>483.15</v>
      </c>
      <c r="I213" s="832">
        <v>75.94</v>
      </c>
      <c r="J213" s="832">
        <v>4411.79</v>
      </c>
      <c r="K213" s="832">
        <v>14836.991</v>
      </c>
    </row>
    <row r="214" spans="2:11">
      <c r="B214" s="805" t="str">
        <f t="shared" si="8"/>
        <v>Fri</v>
      </c>
      <c r="C214" s="825">
        <v>44400</v>
      </c>
      <c r="D214" s="831">
        <v>53</v>
      </c>
      <c r="E214" s="831">
        <v>195.58</v>
      </c>
      <c r="F214" s="832">
        <v>92.15</v>
      </c>
      <c r="G214" s="832">
        <v>20.866773675762399</v>
      </c>
      <c r="H214" s="831">
        <v>483.15</v>
      </c>
      <c r="I214" s="832">
        <v>75.94</v>
      </c>
      <c r="J214" s="832">
        <v>4411.79</v>
      </c>
      <c r="K214" s="832">
        <v>14836.991</v>
      </c>
    </row>
    <row r="215" spans="2:11">
      <c r="B215" s="805" t="str">
        <f t="shared" si="8"/>
        <v>Thu</v>
      </c>
      <c r="C215" s="825">
        <v>44399</v>
      </c>
      <c r="D215" s="831">
        <v>55.96</v>
      </c>
      <c r="E215" s="831">
        <v>195.94</v>
      </c>
      <c r="F215" s="832">
        <v>91.21</v>
      </c>
      <c r="G215" s="832">
        <v>21.087561549989299</v>
      </c>
      <c r="H215" s="831">
        <v>476.33</v>
      </c>
      <c r="I215" s="832">
        <v>75.53</v>
      </c>
      <c r="J215" s="832">
        <v>4367.4799999999996</v>
      </c>
      <c r="K215" s="832">
        <v>14684.597</v>
      </c>
    </row>
    <row r="216" spans="2:11">
      <c r="B216" s="805" t="str">
        <f t="shared" si="8"/>
        <v>Wed</v>
      </c>
      <c r="C216" s="825">
        <v>44398</v>
      </c>
      <c r="D216" s="831">
        <v>56.23</v>
      </c>
      <c r="E216" s="831">
        <v>194.1</v>
      </c>
      <c r="F216" s="832">
        <v>89.41</v>
      </c>
      <c r="G216" s="832">
        <v>20.895842263180501</v>
      </c>
      <c r="H216" s="831">
        <v>479.02</v>
      </c>
      <c r="I216" s="832">
        <v>77.19</v>
      </c>
      <c r="J216" s="832">
        <v>4358.6899999999996</v>
      </c>
      <c r="K216" s="832">
        <v>14631.954</v>
      </c>
    </row>
    <row r="217" spans="2:11">
      <c r="B217" s="805" t="str">
        <f t="shared" si="8"/>
        <v>Tue</v>
      </c>
      <c r="C217" s="825">
        <v>44397</v>
      </c>
      <c r="D217" s="831">
        <v>55.24</v>
      </c>
      <c r="E217" s="831">
        <v>186.12</v>
      </c>
      <c r="F217" s="832">
        <v>87.11</v>
      </c>
      <c r="G217" s="832">
        <v>20.730010347165202</v>
      </c>
      <c r="H217" s="831">
        <v>468.59</v>
      </c>
      <c r="I217" s="832">
        <v>75.39</v>
      </c>
      <c r="J217" s="832">
        <v>4323.0600000000004</v>
      </c>
      <c r="K217" s="832">
        <v>14498.878000000001</v>
      </c>
    </row>
    <row r="218" spans="2:11">
      <c r="B218" s="805" t="str">
        <f t="shared" si="8"/>
        <v>Mon</v>
      </c>
      <c r="C218" s="825">
        <v>44396</v>
      </c>
      <c r="D218" s="831">
        <v>54.64</v>
      </c>
      <c r="E218" s="831">
        <v>187.79750000000001</v>
      </c>
      <c r="F218" s="832">
        <v>86.58</v>
      </c>
      <c r="G218" s="832">
        <v>20.722067934202101</v>
      </c>
      <c r="H218" s="831">
        <v>465.67</v>
      </c>
      <c r="I218" s="832">
        <v>74.58</v>
      </c>
      <c r="J218" s="832">
        <v>4258.49</v>
      </c>
      <c r="K218" s="832">
        <v>14274.984</v>
      </c>
    </row>
    <row r="219" spans="2:11">
      <c r="B219" s="805" t="str">
        <f t="shared" si="8"/>
        <v>Sun</v>
      </c>
      <c r="C219" s="825">
        <v>44395</v>
      </c>
      <c r="D219" s="831">
        <v>54.97</v>
      </c>
      <c r="E219" s="831">
        <v>181.61</v>
      </c>
      <c r="F219" s="832">
        <v>85.89</v>
      </c>
      <c r="G219" s="832">
        <v>21.056771056771101</v>
      </c>
      <c r="H219" s="831">
        <v>468.07</v>
      </c>
      <c r="I219" s="832">
        <v>75.010000000000005</v>
      </c>
      <c r="J219" s="832">
        <v>4327.16</v>
      </c>
      <c r="K219" s="832">
        <v>14427.236999999999</v>
      </c>
    </row>
    <row r="220" spans="2:11">
      <c r="B220" s="805" t="str">
        <f t="shared" si="8"/>
        <v>Sat</v>
      </c>
      <c r="C220" s="825">
        <v>44394</v>
      </c>
      <c r="D220" s="831">
        <v>54.97</v>
      </c>
      <c r="E220" s="831">
        <v>181.61</v>
      </c>
      <c r="F220" s="832">
        <v>85.89</v>
      </c>
      <c r="G220" s="832">
        <v>21.056771056771101</v>
      </c>
      <c r="H220" s="831">
        <v>468.07</v>
      </c>
      <c r="I220" s="832">
        <v>75.010000000000005</v>
      </c>
      <c r="J220" s="832">
        <v>4327.16</v>
      </c>
      <c r="K220" s="832">
        <v>14427.236999999999</v>
      </c>
    </row>
    <row r="221" spans="2:11">
      <c r="B221" s="805" t="str">
        <f t="shared" si="8"/>
        <v>Fri</v>
      </c>
      <c r="C221" s="825">
        <v>44393</v>
      </c>
      <c r="D221" s="831">
        <v>54.97</v>
      </c>
      <c r="E221" s="831">
        <v>181.61</v>
      </c>
      <c r="F221" s="832">
        <v>85.89</v>
      </c>
      <c r="G221" s="832">
        <v>21.056771056771101</v>
      </c>
      <c r="H221" s="831">
        <v>468.07</v>
      </c>
      <c r="I221" s="832">
        <v>75.010000000000005</v>
      </c>
      <c r="J221" s="832">
        <v>4327.16</v>
      </c>
      <c r="K221" s="832">
        <v>14427.236999999999</v>
      </c>
    </row>
    <row r="222" spans="2:11">
      <c r="B222" s="805" t="str">
        <f t="shared" si="8"/>
        <v>Thu</v>
      </c>
      <c r="C222" s="825">
        <v>44392</v>
      </c>
      <c r="D222" s="831">
        <v>55.81</v>
      </c>
      <c r="E222" s="831">
        <v>189.66249999999999</v>
      </c>
      <c r="F222" s="832">
        <v>86.93</v>
      </c>
      <c r="G222" s="832">
        <v>22.008746146677201</v>
      </c>
      <c r="H222" s="831">
        <v>477.34</v>
      </c>
      <c r="I222" s="832">
        <v>76.92</v>
      </c>
      <c r="J222" s="832">
        <v>4360.03</v>
      </c>
      <c r="K222" s="832">
        <v>14543.133</v>
      </c>
    </row>
    <row r="223" spans="2:11">
      <c r="B223" s="805" t="str">
        <f t="shared" si="8"/>
        <v>Wed</v>
      </c>
      <c r="C223" s="825">
        <v>44391</v>
      </c>
      <c r="D223" s="831">
        <v>56.52</v>
      </c>
      <c r="E223" s="831">
        <v>198.41499999999999</v>
      </c>
      <c r="F223" s="832">
        <v>89.05</v>
      </c>
      <c r="G223" s="832">
        <v>21.918689884506701</v>
      </c>
      <c r="H223" s="831">
        <v>481.59</v>
      </c>
      <c r="I223" s="832">
        <v>78.489999999999995</v>
      </c>
      <c r="J223" s="832">
        <v>4374.3</v>
      </c>
      <c r="K223" s="832">
        <v>14644.951999999999</v>
      </c>
    </row>
    <row r="224" spans="2:11">
      <c r="B224" s="805" t="str">
        <f t="shared" si="8"/>
        <v>Tue</v>
      </c>
      <c r="C224" s="825">
        <v>44390</v>
      </c>
      <c r="D224" s="831">
        <v>56.87</v>
      </c>
      <c r="E224" s="831">
        <v>202.5</v>
      </c>
      <c r="F224" s="832">
        <v>90.26</v>
      </c>
      <c r="G224" s="832">
        <v>21.6407002032158</v>
      </c>
      <c r="H224" s="831">
        <v>484.01</v>
      </c>
      <c r="I224" s="832">
        <v>78.45</v>
      </c>
      <c r="J224" s="832">
        <v>4369.21</v>
      </c>
      <c r="K224" s="832">
        <v>14677.654</v>
      </c>
    </row>
    <row r="225" spans="2:11">
      <c r="B225" s="805" t="str">
        <f t="shared" si="8"/>
        <v>Mon</v>
      </c>
      <c r="C225" s="825">
        <v>44389</v>
      </c>
      <c r="D225" s="831">
        <v>56.73</v>
      </c>
      <c r="E225" s="831">
        <v>205.125</v>
      </c>
      <c r="F225" s="832">
        <v>90.81</v>
      </c>
      <c r="G225" s="832">
        <v>21.1891660115772</v>
      </c>
      <c r="H225" s="831">
        <v>485.75</v>
      </c>
      <c r="I225" s="832">
        <v>79.56</v>
      </c>
      <c r="J225" s="832">
        <v>4384.63</v>
      </c>
      <c r="K225" s="832">
        <v>14733.24</v>
      </c>
    </row>
    <row r="226" spans="2:11">
      <c r="B226" s="805" t="str">
        <f t="shared" si="8"/>
        <v>Sun</v>
      </c>
      <c r="C226" s="825">
        <v>44388</v>
      </c>
      <c r="D226" s="831">
        <v>55.99</v>
      </c>
      <c r="E226" s="831">
        <v>200.5025</v>
      </c>
      <c r="F226" s="832">
        <v>90.9</v>
      </c>
      <c r="G226" s="832">
        <v>20.8937068441201</v>
      </c>
      <c r="H226" s="831">
        <v>480.18</v>
      </c>
      <c r="I226" s="832">
        <v>78.739999999999995</v>
      </c>
      <c r="J226" s="832">
        <v>4369.55</v>
      </c>
      <c r="K226" s="832">
        <v>14701.919</v>
      </c>
    </row>
    <row r="227" spans="2:11">
      <c r="B227" s="805" t="str">
        <f t="shared" si="8"/>
        <v>Sat</v>
      </c>
      <c r="C227" s="825">
        <v>44387</v>
      </c>
      <c r="D227" s="831">
        <v>55.99</v>
      </c>
      <c r="E227" s="831">
        <v>200.5025</v>
      </c>
      <c r="F227" s="832">
        <v>90.9</v>
      </c>
      <c r="G227" s="832">
        <v>20.8937068441201</v>
      </c>
      <c r="H227" s="831">
        <v>480.18</v>
      </c>
      <c r="I227" s="832">
        <v>78.739999999999995</v>
      </c>
      <c r="J227" s="832">
        <v>4369.55</v>
      </c>
      <c r="K227" s="832">
        <v>14701.919</v>
      </c>
    </row>
    <row r="228" spans="2:11">
      <c r="B228" s="805" t="str">
        <f t="shared" si="8"/>
        <v>Fri</v>
      </c>
      <c r="C228" s="825">
        <v>44386</v>
      </c>
      <c r="D228" s="831">
        <v>55.99</v>
      </c>
      <c r="E228" s="831">
        <v>200.5025</v>
      </c>
      <c r="F228" s="832">
        <v>90.9</v>
      </c>
      <c r="G228" s="832">
        <v>20.8937068441201</v>
      </c>
      <c r="H228" s="831">
        <v>480.18</v>
      </c>
      <c r="I228" s="832">
        <v>78.739999999999995</v>
      </c>
      <c r="J228" s="832">
        <v>4369.55</v>
      </c>
      <c r="K228" s="832">
        <v>14701.919</v>
      </c>
    </row>
    <row r="229" spans="2:11">
      <c r="B229" s="805" t="str">
        <f t="shared" si="8"/>
        <v>Thu</v>
      </c>
      <c r="C229" s="825">
        <v>44385</v>
      </c>
      <c r="D229" s="831">
        <v>55.39</v>
      </c>
      <c r="E229" s="831">
        <v>199.0275</v>
      </c>
      <c r="F229" s="832">
        <v>89.74</v>
      </c>
      <c r="G229" s="832">
        <v>20.9865086729959</v>
      </c>
      <c r="H229" s="831">
        <v>470.5</v>
      </c>
      <c r="I229" s="832">
        <v>77.11</v>
      </c>
      <c r="J229" s="832">
        <v>4320.82</v>
      </c>
      <c r="K229" s="832">
        <v>14559.785</v>
      </c>
    </row>
    <row r="230" spans="2:11">
      <c r="B230" s="805" t="str">
        <f t="shared" si="8"/>
        <v>Wed</v>
      </c>
      <c r="C230" s="825">
        <v>44384</v>
      </c>
      <c r="D230" s="831">
        <v>55.96</v>
      </c>
      <c r="E230" s="831">
        <v>203.7175</v>
      </c>
      <c r="F230" s="832">
        <v>90.54</v>
      </c>
      <c r="G230" s="832">
        <v>21.2120129986073</v>
      </c>
      <c r="H230" s="831">
        <v>469.54</v>
      </c>
      <c r="I230" s="832">
        <v>78.22</v>
      </c>
      <c r="J230" s="832">
        <v>4358.13</v>
      </c>
      <c r="K230" s="832">
        <v>14665.063</v>
      </c>
    </row>
    <row r="231" spans="2:11">
      <c r="B231" s="805" t="str">
        <f t="shared" si="8"/>
        <v>Tue</v>
      </c>
      <c r="C231" s="825">
        <v>44383</v>
      </c>
      <c r="D231" s="831">
        <v>56.09</v>
      </c>
      <c r="E231" s="831">
        <v>206.98500000000001</v>
      </c>
      <c r="F231" s="832">
        <v>94.47</v>
      </c>
      <c r="G231" s="832">
        <v>21.1504108610218</v>
      </c>
      <c r="H231" s="831">
        <v>473.28</v>
      </c>
      <c r="I231" s="832">
        <v>81.08</v>
      </c>
      <c r="J231" s="832">
        <v>4343.54</v>
      </c>
      <c r="K231" s="832">
        <v>14663.64</v>
      </c>
    </row>
    <row r="232" spans="2:11">
      <c r="B232" s="805" t="str">
        <f t="shared" si="8"/>
        <v>Mon</v>
      </c>
      <c r="C232" s="825">
        <v>44382</v>
      </c>
      <c r="D232" s="831">
        <v>56.76</v>
      </c>
      <c r="E232" s="831">
        <v>204.87</v>
      </c>
      <c r="F232" s="832">
        <v>94.7</v>
      </c>
      <c r="G232" s="832">
        <v>21.1926704199089</v>
      </c>
      <c r="H232" s="831">
        <v>468.17</v>
      </c>
      <c r="I232" s="832">
        <v>80.33</v>
      </c>
      <c r="J232" s="832">
        <v>4352.34</v>
      </c>
      <c r="K232" s="832">
        <v>14639.325000000001</v>
      </c>
    </row>
    <row r="233" spans="2:11">
      <c r="B233" s="805" t="str">
        <f t="shared" si="8"/>
        <v>Sun</v>
      </c>
      <c r="C233" s="825">
        <v>44381</v>
      </c>
      <c r="D233" s="831">
        <v>56.76</v>
      </c>
      <c r="E233" s="831">
        <v>204.87</v>
      </c>
      <c r="F233" s="832">
        <v>94.7</v>
      </c>
      <c r="G233" s="832">
        <v>21.079046424090301</v>
      </c>
      <c r="H233" s="831">
        <v>468.17</v>
      </c>
      <c r="I233" s="832">
        <v>80.33</v>
      </c>
      <c r="J233" s="832">
        <v>4352.34</v>
      </c>
      <c r="K233" s="832">
        <v>14639.325000000001</v>
      </c>
    </row>
    <row r="234" spans="2:11">
      <c r="B234" s="805" t="str">
        <f t="shared" si="8"/>
        <v>Sat</v>
      </c>
      <c r="C234" s="825">
        <v>44380</v>
      </c>
      <c r="D234" s="831">
        <v>56.76</v>
      </c>
      <c r="E234" s="831">
        <v>204.87</v>
      </c>
      <c r="F234" s="832">
        <v>94.7</v>
      </c>
      <c r="G234" s="832">
        <v>21.079046424090301</v>
      </c>
      <c r="H234" s="831">
        <v>468.17</v>
      </c>
      <c r="I234" s="832">
        <v>80.33</v>
      </c>
      <c r="J234" s="832">
        <v>4352.34</v>
      </c>
      <c r="K234" s="832">
        <v>14639.325000000001</v>
      </c>
    </row>
    <row r="235" spans="2:11">
      <c r="B235" s="805" t="str">
        <f t="shared" si="8"/>
        <v>Fri</v>
      </c>
      <c r="C235" s="825">
        <v>44379</v>
      </c>
      <c r="D235" s="831">
        <v>56.76</v>
      </c>
      <c r="E235" s="831">
        <v>204.87</v>
      </c>
      <c r="F235" s="832">
        <v>94.7</v>
      </c>
      <c r="G235" s="832">
        <v>21.079046424090301</v>
      </c>
      <c r="H235" s="831">
        <v>468.17</v>
      </c>
      <c r="I235" s="832">
        <v>80.33</v>
      </c>
      <c r="J235" s="832">
        <v>4352.34</v>
      </c>
      <c r="K235" s="832">
        <v>14639.325000000001</v>
      </c>
    </row>
    <row r="236" spans="2:11">
      <c r="B236" s="805" t="str">
        <f t="shared" si="8"/>
        <v>Thu</v>
      </c>
      <c r="C236" s="825">
        <v>44378</v>
      </c>
      <c r="D236" s="831">
        <v>56.01</v>
      </c>
      <c r="E236" s="831">
        <v>202.12</v>
      </c>
      <c r="F236" s="832">
        <v>93.31</v>
      </c>
      <c r="G236" s="832">
        <v>21.238494323269201</v>
      </c>
      <c r="H236" s="831">
        <v>469.64</v>
      </c>
      <c r="I236" s="832">
        <v>80.11</v>
      </c>
      <c r="J236" s="832">
        <v>4319.9399999999996</v>
      </c>
      <c r="K236" s="832">
        <v>14522.376</v>
      </c>
    </row>
    <row r="237" spans="2:11">
      <c r="B237" s="805" t="str">
        <f t="shared" si="8"/>
        <v>Wed</v>
      </c>
      <c r="C237" s="825">
        <v>44377</v>
      </c>
      <c r="D237" s="831">
        <v>56.14</v>
      </c>
      <c r="E237" s="831">
        <v>200.02500000000001</v>
      </c>
      <c r="F237" s="832">
        <v>93.93</v>
      </c>
      <c r="G237" s="832">
        <v>21.3162325798015</v>
      </c>
      <c r="H237" s="831">
        <v>476.84</v>
      </c>
      <c r="I237" s="832">
        <v>84.98</v>
      </c>
      <c r="J237" s="832">
        <v>4297.5</v>
      </c>
      <c r="K237" s="832">
        <v>14503.953</v>
      </c>
    </row>
    <row r="238" spans="2:11">
      <c r="B238" s="805" t="str">
        <f t="shared" si="8"/>
        <v>Tue</v>
      </c>
      <c r="C238" s="825">
        <v>44376</v>
      </c>
      <c r="D238" s="831">
        <v>56.75</v>
      </c>
      <c r="E238" s="831">
        <v>200.26750000000001</v>
      </c>
      <c r="F238" s="832">
        <v>89.52</v>
      </c>
      <c r="G238" s="832">
        <v>21.299445140504702</v>
      </c>
      <c r="H238" s="831">
        <v>477.15</v>
      </c>
      <c r="I238" s="832">
        <v>82.93</v>
      </c>
      <c r="J238" s="832">
        <v>4291.8</v>
      </c>
      <c r="K238" s="832">
        <v>14528.334999999999</v>
      </c>
    </row>
    <row r="239" spans="2:11">
      <c r="B239" s="805" t="str">
        <f t="shared" si="8"/>
        <v>Mon</v>
      </c>
      <c r="C239" s="825">
        <v>44375</v>
      </c>
      <c r="D239" s="831">
        <v>57.48</v>
      </c>
      <c r="E239" s="831">
        <v>199.85</v>
      </c>
      <c r="F239" s="832">
        <v>87.08</v>
      </c>
      <c r="G239" s="832">
        <v>21.158328850636501</v>
      </c>
      <c r="H239" s="831">
        <v>472.8</v>
      </c>
      <c r="I239" s="832">
        <v>83.38</v>
      </c>
      <c r="J239" s="832">
        <v>4290.6099999999997</v>
      </c>
      <c r="K239" s="832">
        <v>14500.508</v>
      </c>
    </row>
    <row r="240" spans="2:11">
      <c r="B240" s="805" t="str">
        <f t="shared" si="8"/>
        <v>Sun</v>
      </c>
      <c r="C240" s="825">
        <v>44374</v>
      </c>
      <c r="D240" s="831">
        <v>55.91</v>
      </c>
      <c r="E240" s="831">
        <v>190.31</v>
      </c>
      <c r="F240" s="832">
        <v>85.62</v>
      </c>
      <c r="G240" s="832">
        <v>21.187352118735198</v>
      </c>
      <c r="H240" s="831">
        <v>462.2</v>
      </c>
      <c r="I240" s="832">
        <v>82.03</v>
      </c>
      <c r="J240" s="832">
        <v>4280.7</v>
      </c>
      <c r="K240" s="832">
        <v>14360.388000000001</v>
      </c>
    </row>
    <row r="241" spans="2:11">
      <c r="B241" s="805" t="str">
        <f t="shared" si="8"/>
        <v>Sat</v>
      </c>
      <c r="C241" s="825">
        <v>44373</v>
      </c>
      <c r="D241" s="831">
        <v>55.91</v>
      </c>
      <c r="E241" s="831">
        <v>190.31</v>
      </c>
      <c r="F241" s="832">
        <v>85.62</v>
      </c>
      <c r="G241" s="832">
        <v>21.187352118735198</v>
      </c>
      <c r="H241" s="831">
        <v>462.2</v>
      </c>
      <c r="I241" s="832">
        <v>82.03</v>
      </c>
      <c r="J241" s="832">
        <v>4280.7</v>
      </c>
      <c r="K241" s="832">
        <v>14360.388000000001</v>
      </c>
    </row>
    <row r="242" spans="2:11">
      <c r="B242" s="805" t="str">
        <f t="shared" si="8"/>
        <v>Fri</v>
      </c>
      <c r="C242" s="825">
        <v>44372</v>
      </c>
      <c r="D242" s="831">
        <v>55.91</v>
      </c>
      <c r="E242" s="831">
        <v>190.31</v>
      </c>
      <c r="F242" s="832">
        <v>85.62</v>
      </c>
      <c r="G242" s="832">
        <v>21.187352118735198</v>
      </c>
      <c r="H242" s="831">
        <v>462.2</v>
      </c>
      <c r="I242" s="832">
        <v>82.03</v>
      </c>
      <c r="J242" s="832">
        <v>4280.7</v>
      </c>
      <c r="K242" s="832">
        <v>14360.388000000001</v>
      </c>
    </row>
    <row r="243" spans="2:11">
      <c r="B243" s="805" t="str">
        <f t="shared" si="8"/>
        <v>Thu</v>
      </c>
      <c r="C243" s="825">
        <v>44371</v>
      </c>
      <c r="D243" s="831">
        <v>56.07</v>
      </c>
      <c r="E243" s="831">
        <v>192.05500000000001</v>
      </c>
      <c r="F243" s="832">
        <v>86.1</v>
      </c>
      <c r="G243" s="832">
        <v>21.140891500645001</v>
      </c>
      <c r="H243" s="831">
        <v>470.06</v>
      </c>
      <c r="I243" s="832">
        <v>80.58</v>
      </c>
      <c r="J243" s="832">
        <v>4266.49</v>
      </c>
      <c r="K243" s="832">
        <v>14369.709000000001</v>
      </c>
    </row>
    <row r="244" spans="2:11">
      <c r="B244" s="805" t="str">
        <f t="shared" si="8"/>
        <v>Wed</v>
      </c>
      <c r="C244" s="825">
        <v>44370</v>
      </c>
      <c r="D244" s="831">
        <v>55.26</v>
      </c>
      <c r="E244" s="831">
        <v>190.57249999999999</v>
      </c>
      <c r="F244" s="832">
        <v>83.82</v>
      </c>
      <c r="G244" s="832">
        <v>21.275834942430102</v>
      </c>
      <c r="H244" s="831">
        <v>466.66</v>
      </c>
      <c r="I244" s="832">
        <v>79.02</v>
      </c>
      <c r="J244" s="832">
        <v>4241.84</v>
      </c>
      <c r="K244" s="832">
        <v>14271.733</v>
      </c>
    </row>
    <row r="245" spans="2:11">
      <c r="B245" s="805" t="str">
        <f t="shared" si="8"/>
        <v>Tue</v>
      </c>
      <c r="C245" s="825">
        <v>44369</v>
      </c>
      <c r="D245" s="831">
        <v>55.87</v>
      </c>
      <c r="E245" s="831">
        <v>188.86750000000001</v>
      </c>
      <c r="F245" s="832">
        <v>83.58</v>
      </c>
      <c r="G245" s="832">
        <v>20.646544025718899</v>
      </c>
      <c r="H245" s="831">
        <v>464.45</v>
      </c>
      <c r="I245" s="832">
        <v>77.66</v>
      </c>
      <c r="J245" s="832">
        <v>4246.4399999999996</v>
      </c>
      <c r="K245" s="832">
        <v>14253.268</v>
      </c>
    </row>
    <row r="246" spans="2:11">
      <c r="B246" s="805" t="str">
        <f t="shared" si="8"/>
        <v>Mon</v>
      </c>
      <c r="C246" s="825">
        <v>44368</v>
      </c>
      <c r="D246" s="831">
        <v>55.87</v>
      </c>
      <c r="E246" s="831">
        <v>184.27250000000001</v>
      </c>
      <c r="F246" s="832">
        <v>82.59</v>
      </c>
      <c r="G246" s="832">
        <v>20.898304477183899</v>
      </c>
      <c r="H246" s="831">
        <v>464.61</v>
      </c>
      <c r="I246" s="832">
        <v>77.069999999999993</v>
      </c>
      <c r="J246" s="832">
        <v>4224.79</v>
      </c>
      <c r="K246" s="832">
        <v>14141.48</v>
      </c>
    </row>
    <row r="247" spans="2:11">
      <c r="B247" s="805" t="str">
        <f t="shared" si="8"/>
        <v>Sun</v>
      </c>
      <c r="C247" s="825">
        <v>44367</v>
      </c>
      <c r="D247" s="831">
        <v>55.67</v>
      </c>
      <c r="E247" s="831">
        <v>186.38749999999999</v>
      </c>
      <c r="F247" s="832">
        <v>84.65</v>
      </c>
      <c r="G247" s="832">
        <v>21.697671908171699</v>
      </c>
      <c r="H247" s="831">
        <v>463.5</v>
      </c>
      <c r="I247" s="832">
        <v>76.95</v>
      </c>
      <c r="J247" s="832">
        <v>4166.45</v>
      </c>
      <c r="K247" s="832">
        <v>14030.376</v>
      </c>
    </row>
    <row r="248" spans="2:11">
      <c r="B248" s="805" t="str">
        <f t="shared" si="8"/>
        <v>Sat</v>
      </c>
      <c r="C248" s="825">
        <v>44366</v>
      </c>
      <c r="D248" s="831">
        <v>55.67</v>
      </c>
      <c r="E248" s="831">
        <v>186.38749999999999</v>
      </c>
      <c r="F248" s="832">
        <v>84.65</v>
      </c>
      <c r="G248" s="832">
        <v>21.697671908171699</v>
      </c>
      <c r="H248" s="831">
        <v>463.5</v>
      </c>
      <c r="I248" s="832">
        <v>76.95</v>
      </c>
      <c r="J248" s="832">
        <v>4166.45</v>
      </c>
      <c r="K248" s="832">
        <v>14030.376</v>
      </c>
    </row>
    <row r="249" spans="2:11">
      <c r="B249" s="805" t="str">
        <f t="shared" si="8"/>
        <v>Fri</v>
      </c>
      <c r="C249" s="825">
        <v>44365</v>
      </c>
      <c r="D249" s="831">
        <v>55.67</v>
      </c>
      <c r="E249" s="831">
        <v>186.38749999999999</v>
      </c>
      <c r="F249" s="832">
        <v>84.65</v>
      </c>
      <c r="G249" s="832">
        <v>21.697671908171699</v>
      </c>
      <c r="H249" s="831">
        <v>463.5</v>
      </c>
      <c r="I249" s="832">
        <v>76.95</v>
      </c>
      <c r="J249" s="832">
        <v>4166.45</v>
      </c>
      <c r="K249" s="832">
        <v>14030.376</v>
      </c>
    </row>
    <row r="250" spans="2:11">
      <c r="B250" s="805" t="str">
        <f t="shared" si="8"/>
        <v>Thu</v>
      </c>
      <c r="C250" s="825">
        <v>44364</v>
      </c>
      <c r="D250" s="831">
        <v>57.18</v>
      </c>
      <c r="E250" s="831">
        <v>186.57249999999999</v>
      </c>
      <c r="F250" s="832">
        <v>84.56</v>
      </c>
      <c r="G250" s="832">
        <v>21.822110190853401</v>
      </c>
      <c r="H250" s="831">
        <v>471.17</v>
      </c>
      <c r="I250" s="832">
        <v>80.64</v>
      </c>
      <c r="J250" s="832">
        <v>4221.8599999999997</v>
      </c>
      <c r="K250" s="832">
        <v>14161.35</v>
      </c>
    </row>
    <row r="251" spans="2:11">
      <c r="B251" s="805" t="str">
        <f t="shared" si="8"/>
        <v>Wed</v>
      </c>
      <c r="C251" s="825">
        <v>44363</v>
      </c>
      <c r="D251" s="831">
        <v>57.22</v>
      </c>
      <c r="E251" s="831">
        <v>178.10249999999999</v>
      </c>
      <c r="F251" s="832">
        <v>80.11</v>
      </c>
      <c r="G251" s="832">
        <v>21.786100108030201</v>
      </c>
      <c r="H251" s="831">
        <v>465.75</v>
      </c>
      <c r="I251" s="832">
        <v>80.489999999999995</v>
      </c>
      <c r="J251" s="832">
        <v>4223.7</v>
      </c>
      <c r="K251" s="832">
        <v>14039.683999999999</v>
      </c>
    </row>
    <row r="252" spans="2:11">
      <c r="B252" s="805" t="str">
        <f t="shared" si="8"/>
        <v>Tue</v>
      </c>
      <c r="C252" s="825">
        <v>44362</v>
      </c>
      <c r="D252" s="831">
        <v>57.99</v>
      </c>
      <c r="E252" s="831">
        <v>177.88499999999999</v>
      </c>
      <c r="F252" s="832">
        <v>80.47</v>
      </c>
      <c r="G252" s="832">
        <v>22.017353579175701</v>
      </c>
      <c r="H252" s="831">
        <v>470.74</v>
      </c>
      <c r="I252" s="832">
        <v>82.18</v>
      </c>
      <c r="J252" s="832">
        <v>4246.59</v>
      </c>
      <c r="K252" s="832">
        <v>14072.856</v>
      </c>
    </row>
    <row r="253" spans="2:11">
      <c r="B253" s="805" t="str">
        <f t="shared" si="8"/>
        <v>Mon</v>
      </c>
      <c r="C253" s="825">
        <v>44361</v>
      </c>
      <c r="D253" s="831">
        <v>58.19</v>
      </c>
      <c r="E253" s="831">
        <v>180.1875</v>
      </c>
      <c r="F253" s="832">
        <v>81.55</v>
      </c>
      <c r="G253" s="832">
        <v>21.779240982598299</v>
      </c>
      <c r="H253" s="831">
        <v>475.83</v>
      </c>
      <c r="I253" s="832">
        <v>80.489999999999995</v>
      </c>
      <c r="J253" s="832">
        <v>4255.1499999999996</v>
      </c>
      <c r="K253" s="832">
        <v>14174.143</v>
      </c>
    </row>
    <row r="254" spans="2:11">
      <c r="B254" s="805" t="str">
        <f t="shared" si="8"/>
        <v>Sun</v>
      </c>
      <c r="C254" s="825">
        <v>44360</v>
      </c>
      <c r="D254" s="831">
        <v>57.85</v>
      </c>
      <c r="E254" s="831">
        <v>178.2525</v>
      </c>
      <c r="F254" s="832">
        <v>81.31</v>
      </c>
      <c r="G254" s="832">
        <v>21.779240982598299</v>
      </c>
      <c r="H254" s="831">
        <v>470.7</v>
      </c>
      <c r="I254" s="832">
        <v>79.34</v>
      </c>
      <c r="J254" s="832">
        <v>4247.4399999999996</v>
      </c>
      <c r="K254" s="832">
        <v>14069.423000000001</v>
      </c>
    </row>
    <row r="255" spans="2:11">
      <c r="B255" s="805" t="str">
        <f t="shared" si="8"/>
        <v>Sat</v>
      </c>
      <c r="C255" s="825">
        <v>44359</v>
      </c>
      <c r="D255" s="831">
        <v>57.85</v>
      </c>
      <c r="E255" s="831">
        <v>178.2525</v>
      </c>
      <c r="F255" s="832">
        <v>81.31</v>
      </c>
      <c r="G255" s="832">
        <v>21.779240982598299</v>
      </c>
      <c r="H255" s="831">
        <v>470.7</v>
      </c>
      <c r="I255" s="832">
        <v>79.34</v>
      </c>
      <c r="J255" s="832">
        <v>4247.4399999999996</v>
      </c>
      <c r="K255" s="832">
        <v>14069.423000000001</v>
      </c>
    </row>
    <row r="256" spans="2:11">
      <c r="B256" s="805" t="str">
        <f t="shared" si="8"/>
        <v>Fri</v>
      </c>
      <c r="C256" s="825">
        <v>44358</v>
      </c>
      <c r="D256" s="831">
        <v>57.85</v>
      </c>
      <c r="E256" s="831">
        <v>178.2525</v>
      </c>
      <c r="F256" s="832">
        <v>81.31</v>
      </c>
      <c r="G256" s="832">
        <v>21.779240982598299</v>
      </c>
      <c r="H256" s="831">
        <v>470.7</v>
      </c>
      <c r="I256" s="832">
        <v>79.34</v>
      </c>
      <c r="J256" s="832">
        <v>4247.4399999999996</v>
      </c>
      <c r="K256" s="832">
        <v>14069.423000000001</v>
      </c>
    </row>
    <row r="257" spans="2:11">
      <c r="B257" s="805" t="str">
        <f t="shared" si="8"/>
        <v>Thu</v>
      </c>
      <c r="C257" s="825">
        <v>44357</v>
      </c>
      <c r="D257" s="831">
        <v>57.38</v>
      </c>
      <c r="E257" s="831">
        <v>174.25</v>
      </c>
      <c r="F257" s="832">
        <v>81.56</v>
      </c>
      <c r="G257" s="832">
        <v>21.650341562149901</v>
      </c>
      <c r="H257" s="831">
        <v>468.67</v>
      </c>
      <c r="I257" s="832">
        <v>79.28</v>
      </c>
      <c r="J257" s="832">
        <v>4239.18</v>
      </c>
      <c r="K257" s="832">
        <v>14020.333000000001</v>
      </c>
    </row>
    <row r="258" spans="2:11">
      <c r="B258" s="805" t="str">
        <f t="shared" si="8"/>
        <v>Wed</v>
      </c>
      <c r="C258" s="825">
        <v>44356</v>
      </c>
      <c r="D258" s="831">
        <v>57</v>
      </c>
      <c r="E258" s="831">
        <v>173.58250000000001</v>
      </c>
      <c r="F258" s="832">
        <v>79.959999999999994</v>
      </c>
      <c r="G258" s="832">
        <v>21.1491266060344</v>
      </c>
      <c r="H258" s="831">
        <v>463.93</v>
      </c>
      <c r="I258" s="832">
        <v>78.66</v>
      </c>
      <c r="J258" s="832">
        <v>4219.55</v>
      </c>
      <c r="K258" s="832">
        <v>13911.75</v>
      </c>
    </row>
    <row r="259" spans="2:11">
      <c r="B259" s="805" t="str">
        <f t="shared" si="8"/>
        <v>Tue</v>
      </c>
      <c r="C259" s="825">
        <v>44355</v>
      </c>
      <c r="D259" s="831">
        <v>57</v>
      </c>
      <c r="E259" s="831">
        <v>174.57</v>
      </c>
      <c r="F259" s="832">
        <v>80.89</v>
      </c>
      <c r="G259" s="832">
        <v>21.266608896591599</v>
      </c>
      <c r="H259" s="831">
        <v>463.53</v>
      </c>
      <c r="I259" s="832">
        <v>80.53</v>
      </c>
      <c r="J259" s="832">
        <v>4227.26</v>
      </c>
      <c r="K259" s="832">
        <v>13924.911</v>
      </c>
    </row>
    <row r="260" spans="2:11">
      <c r="B260" s="805" t="str">
        <f t="shared" si="8"/>
        <v>Mon</v>
      </c>
      <c r="C260" s="825">
        <v>44354</v>
      </c>
      <c r="D260" s="831">
        <v>57.09</v>
      </c>
      <c r="E260" s="831">
        <v>176.19</v>
      </c>
      <c r="F260" s="832">
        <v>81.349999999999994</v>
      </c>
      <c r="G260" s="832">
        <v>21.3648994911401</v>
      </c>
      <c r="H260" s="831">
        <v>463.78</v>
      </c>
      <c r="I260" s="832">
        <v>84.04</v>
      </c>
      <c r="J260" s="832">
        <v>4226.5200000000004</v>
      </c>
      <c r="K260" s="832">
        <v>13881.721</v>
      </c>
    </row>
    <row r="261" spans="2:11">
      <c r="B261" s="805" t="str">
        <f t="shared" si="8"/>
        <v>Sun</v>
      </c>
      <c r="C261" s="825">
        <v>44353</v>
      </c>
      <c r="D261" s="831">
        <v>57.37</v>
      </c>
      <c r="E261" s="831">
        <v>175.7825</v>
      </c>
      <c r="F261" s="832">
        <v>81.58</v>
      </c>
      <c r="G261" s="832">
        <v>21.608076699593301</v>
      </c>
      <c r="H261" s="831">
        <v>475</v>
      </c>
      <c r="I261" s="832">
        <v>83.76</v>
      </c>
      <c r="J261" s="832">
        <v>4229.8900000000003</v>
      </c>
      <c r="K261" s="832">
        <v>13814.489</v>
      </c>
    </row>
    <row r="262" spans="2:11">
      <c r="B262" s="805" t="str">
        <f t="shared" si="8"/>
        <v>Sat</v>
      </c>
      <c r="C262" s="825">
        <v>44352</v>
      </c>
      <c r="D262" s="831">
        <v>57.37</v>
      </c>
      <c r="E262" s="831">
        <v>175.7825</v>
      </c>
      <c r="F262" s="832">
        <v>81.58</v>
      </c>
      <c r="G262" s="832">
        <v>21.608076699593301</v>
      </c>
      <c r="H262" s="831">
        <v>475</v>
      </c>
      <c r="I262" s="832">
        <v>83.76</v>
      </c>
      <c r="J262" s="832">
        <v>4229.8900000000003</v>
      </c>
      <c r="K262" s="832">
        <v>13814.489</v>
      </c>
    </row>
    <row r="263" spans="2:11">
      <c r="B263" s="805" t="str">
        <f t="shared" si="8"/>
        <v>Fri</v>
      </c>
      <c r="C263" s="825">
        <v>44351</v>
      </c>
      <c r="D263" s="831">
        <v>57.37</v>
      </c>
      <c r="E263" s="831">
        <v>175.7825</v>
      </c>
      <c r="F263" s="832">
        <v>81.58</v>
      </c>
      <c r="G263" s="832">
        <v>21.608076699593301</v>
      </c>
      <c r="H263" s="831">
        <v>475</v>
      </c>
      <c r="I263" s="832">
        <v>83.76</v>
      </c>
      <c r="J263" s="832">
        <v>4229.8900000000003</v>
      </c>
      <c r="K263" s="832">
        <v>13814.489</v>
      </c>
    </row>
    <row r="264" spans="2:11">
      <c r="B264" s="805" t="str">
        <f t="shared" ref="B264:B327" si="9">TEXT(C264,"DDD")</f>
        <v>Thu</v>
      </c>
      <c r="C264" s="825">
        <v>44350</v>
      </c>
      <c r="D264" s="831">
        <v>56.24</v>
      </c>
      <c r="E264" s="831">
        <v>169.69749999999999</v>
      </c>
      <c r="F264" s="832">
        <v>80.28</v>
      </c>
      <c r="G264" s="832">
        <v>21.512362389460399</v>
      </c>
      <c r="H264" s="831">
        <v>464.8</v>
      </c>
      <c r="I264" s="832">
        <v>82.03</v>
      </c>
      <c r="J264" s="832">
        <v>4192.8500000000004</v>
      </c>
      <c r="K264" s="832">
        <v>13614.507</v>
      </c>
    </row>
    <row r="265" spans="2:11">
      <c r="B265" s="805" t="str">
        <f t="shared" si="9"/>
        <v>Wed</v>
      </c>
      <c r="C265" s="825">
        <v>44349</v>
      </c>
      <c r="D265" s="831">
        <v>57.48</v>
      </c>
      <c r="E265" s="831">
        <v>167.7825</v>
      </c>
      <c r="F265" s="832">
        <v>81.97</v>
      </c>
      <c r="G265" s="832">
        <v>21.5049877114356</v>
      </c>
      <c r="H265" s="831">
        <v>473.73</v>
      </c>
      <c r="I265" s="832">
        <v>84.34</v>
      </c>
      <c r="J265" s="832">
        <v>4208.12</v>
      </c>
      <c r="K265" s="832">
        <v>13756.326999999999</v>
      </c>
    </row>
    <row r="266" spans="2:11">
      <c r="B266" s="805" t="str">
        <f t="shared" si="9"/>
        <v>Tue</v>
      </c>
      <c r="C266" s="825">
        <v>44348</v>
      </c>
      <c r="D266" s="831">
        <v>56.89</v>
      </c>
      <c r="E266" s="831">
        <v>162.64500000000001</v>
      </c>
      <c r="F266" s="832">
        <v>80.81</v>
      </c>
      <c r="G266" s="832">
        <v>21.687883074021698</v>
      </c>
      <c r="H266" s="831">
        <v>468.31</v>
      </c>
      <c r="I266" s="832">
        <v>84.15</v>
      </c>
      <c r="J266" s="832">
        <v>4202.04</v>
      </c>
      <c r="K266" s="832">
        <v>13736.477999999999</v>
      </c>
    </row>
    <row r="267" spans="2:11">
      <c r="B267" s="805" t="str">
        <f t="shared" si="9"/>
        <v>Mon</v>
      </c>
      <c r="C267" s="825">
        <v>44347</v>
      </c>
      <c r="D267" s="831">
        <v>57.12</v>
      </c>
      <c r="E267" s="831">
        <v>162.44499999999999</v>
      </c>
      <c r="F267" s="832">
        <v>80.08</v>
      </c>
      <c r="G267" s="832">
        <v>21.690161313762498</v>
      </c>
      <c r="H267" s="831">
        <v>472.33</v>
      </c>
      <c r="I267" s="832">
        <v>84.14</v>
      </c>
      <c r="J267" s="832">
        <v>4204.1099999999997</v>
      </c>
      <c r="K267" s="832">
        <v>13748.739</v>
      </c>
    </row>
    <row r="268" spans="2:11">
      <c r="B268" s="805" t="str">
        <f t="shared" si="9"/>
        <v>Sun</v>
      </c>
      <c r="C268" s="825">
        <v>44346</v>
      </c>
      <c r="D268" s="831">
        <v>57.12</v>
      </c>
      <c r="E268" s="831">
        <v>162.44499999999999</v>
      </c>
      <c r="F268" s="832">
        <v>80.08</v>
      </c>
      <c r="G268" s="832">
        <v>21.301946059140001</v>
      </c>
      <c r="H268" s="831">
        <v>472.33</v>
      </c>
      <c r="I268" s="832">
        <v>84.14</v>
      </c>
      <c r="J268" s="832">
        <v>4204.1099999999997</v>
      </c>
      <c r="K268" s="832">
        <v>13748.739</v>
      </c>
    </row>
    <row r="269" spans="2:11">
      <c r="B269" s="805" t="str">
        <f t="shared" si="9"/>
        <v>Sat</v>
      </c>
      <c r="C269" s="825">
        <v>44345</v>
      </c>
      <c r="D269" s="831">
        <v>57.12</v>
      </c>
      <c r="E269" s="831">
        <v>162.44499999999999</v>
      </c>
      <c r="F269" s="832">
        <v>80.08</v>
      </c>
      <c r="G269" s="832">
        <v>21.301946059140001</v>
      </c>
      <c r="H269" s="831">
        <v>472.33</v>
      </c>
      <c r="I269" s="832">
        <v>84.14</v>
      </c>
      <c r="J269" s="832">
        <v>4204.1099999999997</v>
      </c>
      <c r="K269" s="832">
        <v>13748.739</v>
      </c>
    </row>
    <row r="270" spans="2:11">
      <c r="B270" s="805" t="str">
        <f t="shared" si="9"/>
        <v>Fri</v>
      </c>
      <c r="C270" s="825">
        <v>44344</v>
      </c>
      <c r="D270" s="831">
        <v>57.12</v>
      </c>
      <c r="E270" s="831">
        <v>162.44499999999999</v>
      </c>
      <c r="F270" s="832">
        <v>80.08</v>
      </c>
      <c r="G270" s="832">
        <v>21.301946059140001</v>
      </c>
      <c r="H270" s="831">
        <v>472.33</v>
      </c>
      <c r="I270" s="832">
        <v>84.14</v>
      </c>
      <c r="J270" s="832">
        <v>4204.1099999999997</v>
      </c>
      <c r="K270" s="832">
        <v>13748.739</v>
      </c>
    </row>
    <row r="271" spans="2:11">
      <c r="B271" s="805" t="str">
        <f t="shared" si="9"/>
        <v>Thu</v>
      </c>
      <c r="C271" s="825">
        <v>44343</v>
      </c>
      <c r="D271" s="831">
        <v>57.73</v>
      </c>
      <c r="E271" s="831">
        <v>154.88</v>
      </c>
      <c r="F271" s="832">
        <v>78.42</v>
      </c>
      <c r="G271" s="832">
        <v>20.9292289988493</v>
      </c>
      <c r="H271" s="831">
        <v>467.68</v>
      </c>
      <c r="I271" s="832">
        <v>83.93</v>
      </c>
      <c r="J271" s="832">
        <v>4200.88</v>
      </c>
      <c r="K271" s="832">
        <v>13736.276</v>
      </c>
    </row>
    <row r="272" spans="2:11">
      <c r="B272" s="805" t="str">
        <f t="shared" si="9"/>
        <v>Wed</v>
      </c>
      <c r="C272" s="825">
        <v>44342</v>
      </c>
      <c r="D272" s="831">
        <v>56.92</v>
      </c>
      <c r="E272" s="831">
        <v>157</v>
      </c>
      <c r="F272" s="832">
        <v>78.34</v>
      </c>
      <c r="G272" s="832">
        <v>21.0674157303371</v>
      </c>
      <c r="H272" s="831">
        <v>460.49</v>
      </c>
      <c r="I272" s="832">
        <v>82.24</v>
      </c>
      <c r="J272" s="832">
        <v>4195.99</v>
      </c>
      <c r="K272" s="832">
        <v>13737.995999999999</v>
      </c>
    </row>
    <row r="273" spans="2:11">
      <c r="B273" s="805" t="str">
        <f t="shared" si="9"/>
        <v>Tue</v>
      </c>
      <c r="C273" s="825">
        <v>44341</v>
      </c>
      <c r="D273" s="831">
        <v>56.87</v>
      </c>
      <c r="E273" s="831">
        <v>156.47749999999999</v>
      </c>
      <c r="F273" s="832">
        <v>77.86</v>
      </c>
      <c r="G273" s="832">
        <v>20.905048766494598</v>
      </c>
      <c r="H273" s="831">
        <v>459.54</v>
      </c>
      <c r="I273" s="832">
        <v>81.23</v>
      </c>
      <c r="J273" s="832">
        <v>4188.13</v>
      </c>
      <c r="K273" s="832">
        <v>13657.174000000001</v>
      </c>
    </row>
    <row r="274" spans="2:11">
      <c r="B274" s="805" t="str">
        <f t="shared" si="9"/>
        <v>Mon</v>
      </c>
      <c r="C274" s="825">
        <v>44340</v>
      </c>
      <c r="D274" s="831">
        <v>56.96</v>
      </c>
      <c r="E274" s="831">
        <v>156.12</v>
      </c>
      <c r="F274" s="832">
        <v>77.44</v>
      </c>
      <c r="G274" s="832">
        <v>20.336555674901501</v>
      </c>
      <c r="H274" s="831">
        <v>459.19</v>
      </c>
      <c r="I274" s="832">
        <v>82.9</v>
      </c>
      <c r="J274" s="832">
        <v>4197.05</v>
      </c>
      <c r="K274" s="832">
        <v>13661.17</v>
      </c>
    </row>
    <row r="275" spans="2:11">
      <c r="B275" s="805" t="str">
        <f t="shared" si="9"/>
        <v>Sun</v>
      </c>
      <c r="C275" s="825">
        <v>44339</v>
      </c>
      <c r="D275" s="831">
        <v>56.08</v>
      </c>
      <c r="E275" s="831">
        <v>149.91749999999999</v>
      </c>
      <c r="F275" s="832">
        <v>77.17</v>
      </c>
      <c r="G275" s="832">
        <v>20.492829297950699</v>
      </c>
      <c r="H275" s="831">
        <v>451.24</v>
      </c>
      <c r="I275" s="832">
        <v>80.72</v>
      </c>
      <c r="J275" s="832">
        <v>4155.8599999999997</v>
      </c>
      <c r="K275" s="832">
        <v>13470.99</v>
      </c>
    </row>
    <row r="276" spans="2:11">
      <c r="B276" s="805" t="str">
        <f t="shared" si="9"/>
        <v>Sat</v>
      </c>
      <c r="C276" s="825">
        <v>44338</v>
      </c>
      <c r="D276" s="831">
        <v>56.08</v>
      </c>
      <c r="E276" s="831">
        <v>149.91749999999999</v>
      </c>
      <c r="F276" s="832">
        <v>77.17</v>
      </c>
      <c r="G276" s="832">
        <v>20.492829297950699</v>
      </c>
      <c r="H276" s="831">
        <v>451.24</v>
      </c>
      <c r="I276" s="832">
        <v>80.72</v>
      </c>
      <c r="J276" s="832">
        <v>4155.8599999999997</v>
      </c>
      <c r="K276" s="832">
        <v>13470.99</v>
      </c>
    </row>
    <row r="277" spans="2:11">
      <c r="B277" s="805" t="str">
        <f t="shared" si="9"/>
        <v>Fri</v>
      </c>
      <c r="C277" s="825">
        <v>44337</v>
      </c>
      <c r="D277" s="831">
        <v>56.08</v>
      </c>
      <c r="E277" s="831">
        <v>149.91749999999999</v>
      </c>
      <c r="F277" s="832">
        <v>77.17</v>
      </c>
      <c r="G277" s="832">
        <v>20.492829297950699</v>
      </c>
      <c r="H277" s="831">
        <v>451.24</v>
      </c>
      <c r="I277" s="832">
        <v>80.72</v>
      </c>
      <c r="J277" s="832">
        <v>4155.8599999999997</v>
      </c>
      <c r="K277" s="832">
        <v>13470.99</v>
      </c>
    </row>
    <row r="278" spans="2:11">
      <c r="B278" s="805" t="str">
        <f t="shared" si="9"/>
        <v>Thu</v>
      </c>
      <c r="C278" s="825">
        <v>44336</v>
      </c>
      <c r="D278" s="831">
        <v>55.95</v>
      </c>
      <c r="E278" s="831">
        <v>146.125</v>
      </c>
      <c r="F278" s="832">
        <v>78.06</v>
      </c>
      <c r="G278" s="832">
        <v>20.291307304154898</v>
      </c>
      <c r="H278" s="831">
        <v>455</v>
      </c>
      <c r="I278" s="832">
        <v>81.13</v>
      </c>
      <c r="J278" s="832">
        <v>4159.12</v>
      </c>
      <c r="K278" s="832">
        <v>13535.74</v>
      </c>
    </row>
    <row r="279" spans="2:11">
      <c r="B279" s="805" t="str">
        <f t="shared" si="9"/>
        <v>Wed</v>
      </c>
      <c r="C279" s="825">
        <v>44335</v>
      </c>
      <c r="D279" s="831">
        <v>55.36</v>
      </c>
      <c r="E279" s="831">
        <v>140.6575</v>
      </c>
      <c r="F279" s="832">
        <v>76.23</v>
      </c>
      <c r="G279" s="832">
        <v>20.258682292410999</v>
      </c>
      <c r="H279" s="831">
        <v>441.72</v>
      </c>
      <c r="I279" s="832">
        <v>79.930000000000007</v>
      </c>
      <c r="J279" s="832">
        <v>4115.68</v>
      </c>
      <c r="K279" s="832">
        <v>13299.74</v>
      </c>
    </row>
    <row r="280" spans="2:11">
      <c r="B280" s="805" t="str">
        <f t="shared" si="9"/>
        <v>Tue</v>
      </c>
      <c r="C280" s="825">
        <v>44334</v>
      </c>
      <c r="D280" s="831">
        <v>54.84</v>
      </c>
      <c r="E280" s="831">
        <v>140.1575</v>
      </c>
      <c r="F280" s="832">
        <v>74.44</v>
      </c>
      <c r="G280" s="832">
        <v>20.4651162790698</v>
      </c>
      <c r="H280" s="831">
        <v>433.74</v>
      </c>
      <c r="I280" s="832">
        <v>78.88</v>
      </c>
      <c r="J280" s="832">
        <v>4127.83</v>
      </c>
      <c r="K280" s="832">
        <v>13303.64</v>
      </c>
    </row>
    <row r="281" spans="2:11">
      <c r="B281" s="805" t="str">
        <f t="shared" si="9"/>
        <v>Mon</v>
      </c>
      <c r="C281" s="825">
        <v>44333</v>
      </c>
      <c r="D281" s="831">
        <v>55.33</v>
      </c>
      <c r="E281" s="831">
        <v>141.655</v>
      </c>
      <c r="F281" s="832">
        <v>74.650000000000006</v>
      </c>
      <c r="G281" s="832">
        <v>19.535976087111202</v>
      </c>
      <c r="H281" s="831">
        <v>439.94</v>
      </c>
      <c r="I281" s="832">
        <v>80.39</v>
      </c>
      <c r="J281" s="832">
        <v>4163.29</v>
      </c>
      <c r="K281" s="832">
        <v>13379.05</v>
      </c>
    </row>
    <row r="282" spans="2:11">
      <c r="B282" s="805" t="str">
        <f t="shared" si="9"/>
        <v>Sun</v>
      </c>
      <c r="C282" s="825">
        <v>44332</v>
      </c>
      <c r="D282" s="831">
        <v>55.35</v>
      </c>
      <c r="E282" s="831">
        <v>142.43</v>
      </c>
      <c r="F282" s="832">
        <v>74.59</v>
      </c>
      <c r="G282" s="832">
        <v>19.9227412547393</v>
      </c>
      <c r="H282" s="831">
        <v>441.62</v>
      </c>
      <c r="I282" s="832">
        <v>79.7</v>
      </c>
      <c r="J282" s="832">
        <v>4173.8500000000004</v>
      </c>
      <c r="K282" s="832">
        <v>13429.98</v>
      </c>
    </row>
    <row r="283" spans="2:11">
      <c r="B283" s="805" t="str">
        <f t="shared" si="9"/>
        <v>Sat</v>
      </c>
      <c r="C283" s="825">
        <v>44331</v>
      </c>
      <c r="D283" s="831">
        <v>55.35</v>
      </c>
      <c r="E283" s="831">
        <v>142.43</v>
      </c>
      <c r="F283" s="832">
        <v>74.59</v>
      </c>
      <c r="G283" s="832">
        <v>19.9227412547393</v>
      </c>
      <c r="H283" s="831">
        <v>441.62</v>
      </c>
      <c r="I283" s="832">
        <v>79.7</v>
      </c>
      <c r="J283" s="832">
        <v>4173.8500000000004</v>
      </c>
      <c r="K283" s="832">
        <v>13429.98</v>
      </c>
    </row>
    <row r="284" spans="2:11">
      <c r="B284" s="805" t="str">
        <f t="shared" si="9"/>
        <v>Fri</v>
      </c>
      <c r="C284" s="825">
        <v>44330</v>
      </c>
      <c r="D284" s="831">
        <v>55.35</v>
      </c>
      <c r="E284" s="831">
        <v>142.43</v>
      </c>
      <c r="F284" s="832">
        <v>74.59</v>
      </c>
      <c r="G284" s="832">
        <v>19.9227412547393</v>
      </c>
      <c r="H284" s="831">
        <v>441.62</v>
      </c>
      <c r="I284" s="832">
        <v>79.7</v>
      </c>
      <c r="J284" s="832">
        <v>4173.8500000000004</v>
      </c>
      <c r="K284" s="832">
        <v>13429.98</v>
      </c>
    </row>
    <row r="285" spans="2:11">
      <c r="B285" s="805" t="str">
        <f t="shared" si="9"/>
        <v>Thu</v>
      </c>
      <c r="C285" s="825">
        <v>44329</v>
      </c>
      <c r="D285" s="831">
        <v>54.01</v>
      </c>
      <c r="E285" s="831">
        <v>136.6525</v>
      </c>
      <c r="F285" s="832">
        <v>73.09</v>
      </c>
      <c r="G285" s="832">
        <v>19.576965749257401</v>
      </c>
      <c r="H285" s="831">
        <v>430.6</v>
      </c>
      <c r="I285" s="832">
        <v>77.19</v>
      </c>
      <c r="J285" s="832">
        <v>4112.5</v>
      </c>
      <c r="K285" s="832">
        <v>13124.99</v>
      </c>
    </row>
    <row r="286" spans="2:11">
      <c r="B286" s="805" t="str">
        <f t="shared" si="9"/>
        <v>Wed</v>
      </c>
      <c r="C286" s="825">
        <v>44328</v>
      </c>
      <c r="D286" s="831">
        <v>53.62</v>
      </c>
      <c r="E286" s="831">
        <v>137.58500000000001</v>
      </c>
      <c r="F286" s="832">
        <v>74.64</v>
      </c>
      <c r="G286" s="832">
        <v>19.984298051530899</v>
      </c>
      <c r="H286" s="831">
        <v>422.38</v>
      </c>
      <c r="I286" s="832">
        <v>76.8</v>
      </c>
      <c r="J286" s="832">
        <v>4063.04</v>
      </c>
      <c r="K286" s="832">
        <v>13031.68</v>
      </c>
    </row>
    <row r="287" spans="2:11">
      <c r="B287" s="805" t="str">
        <f t="shared" si="9"/>
        <v>Tue</v>
      </c>
      <c r="C287" s="825">
        <v>44327</v>
      </c>
      <c r="D287" s="831">
        <v>55.04</v>
      </c>
      <c r="E287" s="831">
        <v>143.0625</v>
      </c>
      <c r="F287" s="832">
        <v>76.83</v>
      </c>
      <c r="G287" s="832">
        <v>20.441039593327101</v>
      </c>
      <c r="H287" s="831">
        <v>440.07</v>
      </c>
      <c r="I287" s="832">
        <v>80.680000000000007</v>
      </c>
      <c r="J287" s="832">
        <v>4152.1000000000004</v>
      </c>
      <c r="K287" s="832">
        <v>13389.43</v>
      </c>
    </row>
    <row r="288" spans="2:11">
      <c r="B288" s="805" t="str">
        <f t="shared" si="9"/>
        <v>Mon</v>
      </c>
      <c r="C288" s="825">
        <v>44326</v>
      </c>
      <c r="D288" s="831">
        <v>55.97</v>
      </c>
      <c r="E288" s="831">
        <v>142.6575</v>
      </c>
      <c r="F288" s="832">
        <v>75.989999999999995</v>
      </c>
      <c r="G288" s="832">
        <v>21.2214015492704</v>
      </c>
      <c r="H288" s="831">
        <v>436.1</v>
      </c>
      <c r="I288" s="832">
        <v>80.849999999999994</v>
      </c>
      <c r="J288" s="832">
        <v>4188.43</v>
      </c>
      <c r="K288" s="832">
        <v>13401.86</v>
      </c>
    </row>
    <row r="289" spans="2:11">
      <c r="B289" s="805" t="str">
        <f t="shared" si="9"/>
        <v>Sun</v>
      </c>
      <c r="C289" s="825">
        <v>44325</v>
      </c>
      <c r="D289" s="831">
        <v>57.67</v>
      </c>
      <c r="E289" s="831">
        <v>148.1225</v>
      </c>
      <c r="F289" s="832">
        <v>78.81</v>
      </c>
      <c r="G289" s="832">
        <v>21.544437650613201</v>
      </c>
      <c r="H289" s="831">
        <v>452.58</v>
      </c>
      <c r="I289" s="832">
        <v>85.98</v>
      </c>
      <c r="J289" s="832">
        <v>4232.6000000000004</v>
      </c>
      <c r="K289" s="832">
        <v>13752.24</v>
      </c>
    </row>
    <row r="290" spans="2:11">
      <c r="B290" s="805" t="str">
        <f t="shared" si="9"/>
        <v>Sat</v>
      </c>
      <c r="C290" s="825">
        <v>44324</v>
      </c>
      <c r="D290" s="831">
        <v>57.67</v>
      </c>
      <c r="E290" s="831">
        <v>148.1225</v>
      </c>
      <c r="F290" s="832">
        <v>78.81</v>
      </c>
      <c r="G290" s="832">
        <v>21.544437650613201</v>
      </c>
      <c r="H290" s="831">
        <v>452.58</v>
      </c>
      <c r="I290" s="832">
        <v>85.98</v>
      </c>
      <c r="J290" s="832">
        <v>4232.6000000000004</v>
      </c>
      <c r="K290" s="832">
        <v>13752.24</v>
      </c>
    </row>
    <row r="291" spans="2:11">
      <c r="B291" s="805" t="str">
        <f t="shared" si="9"/>
        <v>Fri</v>
      </c>
      <c r="C291" s="825">
        <v>44323</v>
      </c>
      <c r="D291" s="831">
        <v>57.67</v>
      </c>
      <c r="E291" s="831">
        <v>148.1225</v>
      </c>
      <c r="F291" s="832">
        <v>78.81</v>
      </c>
      <c r="G291" s="832">
        <v>21.544437650613201</v>
      </c>
      <c r="H291" s="831">
        <v>452.58</v>
      </c>
      <c r="I291" s="832">
        <v>85.98</v>
      </c>
      <c r="J291" s="832">
        <v>4232.6000000000004</v>
      </c>
      <c r="K291" s="832">
        <v>13752.24</v>
      </c>
    </row>
    <row r="292" spans="2:11">
      <c r="B292" s="805" t="str">
        <f t="shared" si="9"/>
        <v>Thu</v>
      </c>
      <c r="C292" s="825">
        <v>44322</v>
      </c>
      <c r="D292" s="831">
        <v>57.19</v>
      </c>
      <c r="E292" s="831">
        <v>145.22999999999999</v>
      </c>
      <c r="F292" s="832">
        <v>77.89</v>
      </c>
      <c r="G292" s="832">
        <v>21.000286204922698</v>
      </c>
      <c r="H292" s="831">
        <v>448.58</v>
      </c>
      <c r="I292" s="832">
        <v>84.8</v>
      </c>
      <c r="J292" s="832">
        <v>4201.62</v>
      </c>
      <c r="K292" s="832">
        <v>13632.84</v>
      </c>
    </row>
    <row r="293" spans="2:11">
      <c r="B293" s="805" t="str">
        <f t="shared" si="9"/>
        <v>Wed</v>
      </c>
      <c r="C293" s="825">
        <v>44321</v>
      </c>
      <c r="D293" s="831">
        <v>56.85</v>
      </c>
      <c r="E293" s="831">
        <v>144.58500000000001</v>
      </c>
      <c r="F293" s="832">
        <v>77.83</v>
      </c>
      <c r="G293" s="832">
        <v>20.930232558139501</v>
      </c>
      <c r="H293" s="831">
        <v>443.83</v>
      </c>
      <c r="I293" s="832">
        <v>85.15</v>
      </c>
      <c r="J293" s="832">
        <v>4167.59</v>
      </c>
      <c r="K293" s="832">
        <v>13582.42</v>
      </c>
    </row>
    <row r="294" spans="2:11">
      <c r="B294" s="805" t="str">
        <f t="shared" si="9"/>
        <v>Tue</v>
      </c>
      <c r="C294" s="825">
        <v>44320</v>
      </c>
      <c r="D294" s="831">
        <v>56.9</v>
      </c>
      <c r="E294" s="831">
        <v>143.51249999999999</v>
      </c>
      <c r="F294" s="832">
        <v>78.61</v>
      </c>
      <c r="G294" s="832">
        <v>21.139607253997202</v>
      </c>
      <c r="H294" s="831">
        <v>444.54</v>
      </c>
      <c r="I294" s="832">
        <v>84.41</v>
      </c>
      <c r="J294" s="832">
        <v>4164.66</v>
      </c>
      <c r="K294" s="832">
        <v>13633.5</v>
      </c>
    </row>
    <row r="295" spans="2:11">
      <c r="B295" s="805" t="str">
        <f t="shared" si="9"/>
        <v>Mon</v>
      </c>
      <c r="C295" s="825">
        <v>44319</v>
      </c>
      <c r="D295" s="831">
        <v>57.26</v>
      </c>
      <c r="E295" s="831">
        <v>148.36750000000001</v>
      </c>
      <c r="F295" s="832">
        <v>78.55</v>
      </c>
      <c r="G295" s="832">
        <v>21.0692274616597</v>
      </c>
      <c r="H295" s="831">
        <v>450.14</v>
      </c>
      <c r="I295" s="832">
        <v>85.02</v>
      </c>
      <c r="J295" s="832">
        <v>4192.66</v>
      </c>
      <c r="K295" s="832">
        <v>13895.12</v>
      </c>
    </row>
    <row r="296" spans="2:11">
      <c r="B296" s="805" t="str">
        <f t="shared" si="9"/>
        <v>Sun</v>
      </c>
      <c r="C296" s="825">
        <v>44318</v>
      </c>
      <c r="D296" s="831">
        <v>57.53</v>
      </c>
      <c r="E296" s="831">
        <v>150.095</v>
      </c>
      <c r="F296" s="832">
        <v>81.62</v>
      </c>
      <c r="G296" s="832">
        <v>21.5393452039058</v>
      </c>
      <c r="H296" s="831">
        <v>456.2</v>
      </c>
      <c r="I296" s="832">
        <v>86.07</v>
      </c>
      <c r="J296" s="832">
        <v>4181.17</v>
      </c>
      <c r="K296" s="832">
        <v>13962.68</v>
      </c>
    </row>
    <row r="297" spans="2:11">
      <c r="B297" s="805" t="str">
        <f t="shared" si="9"/>
        <v>Sat</v>
      </c>
      <c r="C297" s="825">
        <v>44317</v>
      </c>
      <c r="D297" s="831">
        <v>57.53</v>
      </c>
      <c r="E297" s="831">
        <v>150.095</v>
      </c>
      <c r="F297" s="832">
        <v>81.62</v>
      </c>
      <c r="G297" s="832">
        <v>21.5393452039058</v>
      </c>
      <c r="H297" s="831">
        <v>456.2</v>
      </c>
      <c r="I297" s="832">
        <v>86.07</v>
      </c>
      <c r="J297" s="832">
        <v>4181.17</v>
      </c>
      <c r="K297" s="832">
        <v>13962.68</v>
      </c>
    </row>
    <row r="298" spans="2:11">
      <c r="B298" s="805" t="str">
        <f t="shared" si="9"/>
        <v>Fri</v>
      </c>
      <c r="C298" s="825">
        <v>44316</v>
      </c>
      <c r="D298" s="831">
        <v>57.53</v>
      </c>
      <c r="E298" s="831">
        <v>150.095</v>
      </c>
      <c r="F298" s="832">
        <v>81.62</v>
      </c>
      <c r="G298" s="832">
        <v>21.5393452039058</v>
      </c>
      <c r="H298" s="831">
        <v>456.2</v>
      </c>
      <c r="I298" s="832">
        <v>86.07</v>
      </c>
      <c r="J298" s="832">
        <v>4181.17</v>
      </c>
      <c r="K298" s="832">
        <v>13962.68</v>
      </c>
    </row>
    <row r="299" spans="2:11">
      <c r="B299" s="805" t="str">
        <f t="shared" si="9"/>
        <v>Thu</v>
      </c>
      <c r="C299" s="825">
        <v>44315</v>
      </c>
      <c r="D299" s="831">
        <v>58.28</v>
      </c>
      <c r="E299" s="831">
        <v>153.2475</v>
      </c>
      <c r="F299" s="832">
        <v>83.91</v>
      </c>
      <c r="G299" s="832">
        <v>21.5393452039058</v>
      </c>
      <c r="H299" s="831">
        <v>466.29</v>
      </c>
      <c r="I299" s="832">
        <v>88.06</v>
      </c>
      <c r="J299" s="832">
        <v>4211.47</v>
      </c>
      <c r="K299" s="832">
        <v>14082.55</v>
      </c>
    </row>
    <row r="300" spans="2:11">
      <c r="B300" s="805" t="str">
        <f t="shared" si="9"/>
        <v>Wed</v>
      </c>
      <c r="C300" s="825">
        <v>44314</v>
      </c>
      <c r="D300" s="831">
        <v>57.62</v>
      </c>
      <c r="E300" s="831">
        <v>152.76750000000001</v>
      </c>
      <c r="F300" s="832">
        <v>84.02</v>
      </c>
      <c r="G300" s="832">
        <v>21.6111430212522</v>
      </c>
      <c r="H300" s="831">
        <v>459.2</v>
      </c>
      <c r="I300" s="832">
        <v>86.03</v>
      </c>
      <c r="J300" s="832">
        <v>4183.18</v>
      </c>
      <c r="K300" s="832">
        <v>14051.03</v>
      </c>
    </row>
    <row r="301" spans="2:11">
      <c r="B301" s="805" t="str">
        <f t="shared" si="9"/>
        <v>Tue</v>
      </c>
      <c r="C301" s="825">
        <v>44313</v>
      </c>
      <c r="D301" s="831">
        <v>57.97</v>
      </c>
      <c r="E301" s="831">
        <v>153.8175</v>
      </c>
      <c r="F301" s="832">
        <v>85.21</v>
      </c>
      <c r="G301" s="832">
        <v>21.848137535816601</v>
      </c>
      <c r="H301" s="831">
        <v>466.35</v>
      </c>
      <c r="I301" s="832">
        <v>89.46</v>
      </c>
      <c r="J301" s="832">
        <v>4186.72</v>
      </c>
      <c r="K301" s="832">
        <v>14090.22</v>
      </c>
    </row>
    <row r="302" spans="2:11">
      <c r="B302" s="805" t="str">
        <f t="shared" si="9"/>
        <v>Mon</v>
      </c>
      <c r="C302" s="825">
        <v>44312</v>
      </c>
      <c r="D302" s="831">
        <v>58.76</v>
      </c>
      <c r="E302" s="831">
        <v>154.78</v>
      </c>
      <c r="F302" s="832">
        <v>85.41</v>
      </c>
      <c r="G302" s="832">
        <v>21.9156427390961</v>
      </c>
      <c r="H302" s="831">
        <v>471.85</v>
      </c>
      <c r="I302" s="832">
        <v>87.84</v>
      </c>
      <c r="J302" s="832">
        <v>4187.62</v>
      </c>
      <c r="K302" s="832">
        <v>14138.78</v>
      </c>
    </row>
    <row r="303" spans="2:11">
      <c r="B303" s="805" t="str">
        <f t="shared" si="9"/>
        <v>Sun</v>
      </c>
      <c r="C303" s="825">
        <v>44311</v>
      </c>
      <c r="D303" s="831">
        <v>59.24</v>
      </c>
      <c r="E303" s="831">
        <v>152.6525</v>
      </c>
      <c r="F303" s="832">
        <v>82.76</v>
      </c>
      <c r="G303" s="832">
        <v>21.4754566210046</v>
      </c>
      <c r="H303" s="831">
        <v>466.13</v>
      </c>
      <c r="I303" s="832">
        <v>86.03</v>
      </c>
      <c r="J303" s="832">
        <v>4180.17</v>
      </c>
      <c r="K303" s="832">
        <v>14016.81</v>
      </c>
    </row>
    <row r="304" spans="2:11">
      <c r="B304" s="805" t="str">
        <f t="shared" si="9"/>
        <v>Sat</v>
      </c>
      <c r="C304" s="825">
        <v>44310</v>
      </c>
      <c r="D304" s="831">
        <v>59.24</v>
      </c>
      <c r="E304" s="831">
        <v>152.6525</v>
      </c>
      <c r="F304" s="832">
        <v>82.76</v>
      </c>
      <c r="G304" s="832">
        <v>21.4754566210046</v>
      </c>
      <c r="H304" s="831">
        <v>466.13</v>
      </c>
      <c r="I304" s="832">
        <v>86.03</v>
      </c>
      <c r="J304" s="832">
        <v>4180.17</v>
      </c>
      <c r="K304" s="832">
        <v>14016.81</v>
      </c>
    </row>
    <row r="305" spans="2:11">
      <c r="B305" s="805" t="str">
        <f t="shared" si="9"/>
        <v>Fri</v>
      </c>
      <c r="C305" s="825">
        <v>44309</v>
      </c>
      <c r="D305" s="831">
        <v>59.24</v>
      </c>
      <c r="E305" s="831">
        <v>152.6525</v>
      </c>
      <c r="F305" s="832">
        <v>82.76</v>
      </c>
      <c r="G305" s="832">
        <v>21.4754566210046</v>
      </c>
      <c r="H305" s="831">
        <v>466.13</v>
      </c>
      <c r="I305" s="832">
        <v>86.03</v>
      </c>
      <c r="J305" s="832">
        <v>4180.17</v>
      </c>
      <c r="K305" s="832">
        <v>14016.81</v>
      </c>
    </row>
    <row r="306" spans="2:11">
      <c r="B306" s="805" t="str">
        <f t="shared" si="9"/>
        <v>Thu</v>
      </c>
      <c r="C306" s="825">
        <v>44308</v>
      </c>
      <c r="D306" s="831">
        <v>62.57</v>
      </c>
      <c r="E306" s="831">
        <v>148.5025</v>
      </c>
      <c r="F306" s="832">
        <v>79.06</v>
      </c>
      <c r="G306" s="832">
        <v>21.042512283700098</v>
      </c>
      <c r="H306" s="831">
        <v>455.11</v>
      </c>
      <c r="I306" s="832">
        <v>84.71</v>
      </c>
      <c r="J306" s="832">
        <v>4134.9799999999996</v>
      </c>
      <c r="K306" s="832">
        <v>13818.41</v>
      </c>
    </row>
    <row r="307" spans="2:11">
      <c r="B307" s="805" t="str">
        <f t="shared" si="9"/>
        <v>Wed</v>
      </c>
      <c r="C307" s="825">
        <v>44307</v>
      </c>
      <c r="D307" s="831">
        <v>63.7</v>
      </c>
      <c r="E307" s="831">
        <v>153.60499999999999</v>
      </c>
      <c r="F307" s="832">
        <v>81.61</v>
      </c>
      <c r="G307" s="832">
        <v>21.074365455128</v>
      </c>
      <c r="H307" s="831">
        <v>459.79</v>
      </c>
      <c r="I307" s="832">
        <v>89.49</v>
      </c>
      <c r="J307" s="832">
        <v>4173.42</v>
      </c>
      <c r="K307" s="832">
        <v>13950.22</v>
      </c>
    </row>
    <row r="308" spans="2:11">
      <c r="B308" s="805" t="str">
        <f t="shared" si="9"/>
        <v>Tue</v>
      </c>
      <c r="C308" s="825">
        <v>44306</v>
      </c>
      <c r="D308" s="831">
        <v>62.7</v>
      </c>
      <c r="E308" s="831">
        <v>151.71250000000001</v>
      </c>
      <c r="F308" s="832">
        <v>79.27</v>
      </c>
      <c r="G308" s="832">
        <v>21.415104407527298</v>
      </c>
      <c r="H308" s="831">
        <v>457.26</v>
      </c>
      <c r="I308" s="832">
        <v>87.48</v>
      </c>
      <c r="J308" s="832">
        <v>4134.9399999999996</v>
      </c>
      <c r="K308" s="832">
        <v>13786.27</v>
      </c>
    </row>
    <row r="309" spans="2:11">
      <c r="B309" s="805" t="str">
        <f t="shared" si="9"/>
        <v>Mon</v>
      </c>
      <c r="C309" s="825">
        <v>44305</v>
      </c>
      <c r="D309" s="831">
        <v>63.63</v>
      </c>
      <c r="E309" s="831">
        <v>153.61750000000001</v>
      </c>
      <c r="F309" s="832">
        <v>81.11</v>
      </c>
      <c r="G309" s="832">
        <v>21.432379598364999</v>
      </c>
      <c r="H309" s="831">
        <v>462</v>
      </c>
      <c r="I309" s="832">
        <v>88.41</v>
      </c>
      <c r="J309" s="832">
        <v>4163.26</v>
      </c>
      <c r="K309" s="832">
        <v>13914.77</v>
      </c>
    </row>
    <row r="310" spans="2:11">
      <c r="B310" s="805" t="str">
        <f t="shared" si="9"/>
        <v>Sun</v>
      </c>
      <c r="C310" s="825">
        <v>44304</v>
      </c>
      <c r="D310" s="831">
        <v>64.75</v>
      </c>
      <c r="E310" s="831">
        <v>159.125</v>
      </c>
      <c r="F310" s="832">
        <v>82.15</v>
      </c>
      <c r="G310" s="832">
        <v>21.531944934698199</v>
      </c>
      <c r="H310" s="831">
        <v>478.79</v>
      </c>
      <c r="I310" s="832">
        <v>90.66</v>
      </c>
      <c r="J310" s="832">
        <v>4185.47</v>
      </c>
      <c r="K310" s="832">
        <v>14052.34</v>
      </c>
    </row>
    <row r="311" spans="2:11">
      <c r="B311" s="805" t="str">
        <f t="shared" si="9"/>
        <v>Sat</v>
      </c>
      <c r="C311" s="825">
        <v>44303</v>
      </c>
      <c r="D311" s="831">
        <v>64.75</v>
      </c>
      <c r="E311" s="831">
        <v>159.125</v>
      </c>
      <c r="F311" s="832">
        <v>82.15</v>
      </c>
      <c r="G311" s="832">
        <v>21.531944934698199</v>
      </c>
      <c r="H311" s="831">
        <v>478.79</v>
      </c>
      <c r="I311" s="832">
        <v>90.66</v>
      </c>
      <c r="J311" s="832">
        <v>4185.47</v>
      </c>
      <c r="K311" s="832">
        <v>14052.34</v>
      </c>
    </row>
    <row r="312" spans="2:11">
      <c r="B312" s="805" t="str">
        <f t="shared" si="9"/>
        <v>Fri</v>
      </c>
      <c r="C312" s="825">
        <v>44302</v>
      </c>
      <c r="D312" s="831">
        <v>64.75</v>
      </c>
      <c r="E312" s="831">
        <v>159.125</v>
      </c>
      <c r="F312" s="832">
        <v>82.15</v>
      </c>
      <c r="G312" s="832">
        <v>21.531944934698199</v>
      </c>
      <c r="H312" s="831">
        <v>478.79</v>
      </c>
      <c r="I312" s="832">
        <v>90.66</v>
      </c>
      <c r="J312" s="832">
        <v>4185.47</v>
      </c>
      <c r="K312" s="832">
        <v>14052.34</v>
      </c>
    </row>
    <row r="313" spans="2:11">
      <c r="B313" s="805" t="str">
        <f t="shared" si="9"/>
        <v>Thu</v>
      </c>
      <c r="C313" s="825">
        <v>44301</v>
      </c>
      <c r="D313" s="831">
        <v>65.02</v>
      </c>
      <c r="E313" s="831">
        <v>161.3725</v>
      </c>
      <c r="F313" s="832">
        <v>83.01</v>
      </c>
      <c r="G313" s="832">
        <v>21.858888339572001</v>
      </c>
      <c r="H313" s="831">
        <v>480</v>
      </c>
      <c r="I313" s="832">
        <v>90.27</v>
      </c>
      <c r="J313" s="832">
        <v>4170.42</v>
      </c>
      <c r="K313" s="832">
        <v>14038.76</v>
      </c>
    </row>
    <row r="314" spans="2:11">
      <c r="B314" s="805" t="str">
        <f t="shared" si="9"/>
        <v>Wed</v>
      </c>
      <c r="C314" s="825">
        <v>44300</v>
      </c>
      <c r="D314" s="831">
        <v>64.19</v>
      </c>
      <c r="E314" s="831">
        <v>152.77000000000001</v>
      </c>
      <c r="F314" s="832">
        <v>78.55</v>
      </c>
      <c r="G314" s="832">
        <v>21.518230723251602</v>
      </c>
      <c r="H314" s="831">
        <v>477.3</v>
      </c>
      <c r="I314" s="832">
        <v>90.67</v>
      </c>
      <c r="J314" s="832">
        <v>4124.66</v>
      </c>
      <c r="K314" s="832">
        <v>13857.84</v>
      </c>
    </row>
    <row r="315" spans="2:11">
      <c r="B315" s="805" t="str">
        <f t="shared" si="9"/>
        <v>Tue</v>
      </c>
      <c r="C315" s="825">
        <v>44299</v>
      </c>
      <c r="D315" s="831">
        <v>65.22</v>
      </c>
      <c r="E315" s="831">
        <v>156.79499999999999</v>
      </c>
      <c r="F315" s="832">
        <v>80.19</v>
      </c>
      <c r="G315" s="832">
        <v>21.296068147418101</v>
      </c>
      <c r="H315" s="831">
        <v>484.96</v>
      </c>
      <c r="I315" s="832">
        <v>92.15</v>
      </c>
      <c r="J315" s="832">
        <v>4141.59</v>
      </c>
      <c r="K315" s="832">
        <v>13996.1</v>
      </c>
    </row>
    <row r="316" spans="2:11">
      <c r="B316" s="805" t="str">
        <f t="shared" si="9"/>
        <v>Mon</v>
      </c>
      <c r="C316" s="825">
        <v>44298</v>
      </c>
      <c r="D316" s="831">
        <v>65.405000000000001</v>
      </c>
      <c r="E316" s="831">
        <v>152.09</v>
      </c>
      <c r="F316" s="832">
        <v>78.58</v>
      </c>
      <c r="G316" s="832">
        <v>21.275099342406001</v>
      </c>
      <c r="H316" s="831">
        <v>483.67</v>
      </c>
      <c r="I316" s="832">
        <v>95.59</v>
      </c>
      <c r="J316" s="832">
        <v>4127.99</v>
      </c>
      <c r="K316" s="832">
        <v>13850</v>
      </c>
    </row>
    <row r="317" spans="2:11">
      <c r="B317" s="805" t="str">
        <f t="shared" si="9"/>
        <v>Sun</v>
      </c>
      <c r="C317" s="825">
        <v>44297</v>
      </c>
      <c r="D317" s="831">
        <v>68.260000000000005</v>
      </c>
      <c r="E317" s="831">
        <v>144</v>
      </c>
      <c r="F317" s="832">
        <v>82.76</v>
      </c>
      <c r="G317" s="832">
        <v>21.447155614935699</v>
      </c>
      <c r="H317" s="831">
        <v>485.09</v>
      </c>
      <c r="I317" s="832">
        <v>95.3</v>
      </c>
      <c r="J317" s="832">
        <v>4128.8</v>
      </c>
      <c r="K317" s="832">
        <v>13900.19</v>
      </c>
    </row>
    <row r="318" spans="2:11">
      <c r="B318" s="805" t="str">
        <f t="shared" si="9"/>
        <v>Sat</v>
      </c>
      <c r="C318" s="825">
        <v>44296</v>
      </c>
      <c r="D318" s="831">
        <v>68.260000000000005</v>
      </c>
      <c r="E318" s="831">
        <v>144</v>
      </c>
      <c r="F318" s="832">
        <v>82.76</v>
      </c>
      <c r="G318" s="832">
        <v>21.447155614935699</v>
      </c>
      <c r="H318" s="831">
        <v>485.09</v>
      </c>
      <c r="I318" s="832">
        <v>95.3</v>
      </c>
      <c r="J318" s="832">
        <v>4128.8</v>
      </c>
      <c r="K318" s="832">
        <v>13900.19</v>
      </c>
    </row>
    <row r="319" spans="2:11">
      <c r="B319" s="805" t="str">
        <f t="shared" si="9"/>
        <v>Fri</v>
      </c>
      <c r="C319" s="825">
        <v>44295</v>
      </c>
      <c r="D319" s="831">
        <v>68.260000000000005</v>
      </c>
      <c r="E319" s="831">
        <v>144</v>
      </c>
      <c r="F319" s="832">
        <v>82.76</v>
      </c>
      <c r="G319" s="832">
        <v>21.447155614935699</v>
      </c>
      <c r="H319" s="831">
        <v>485.09</v>
      </c>
      <c r="I319" s="832">
        <v>95.3</v>
      </c>
      <c r="J319" s="832">
        <v>4128.8</v>
      </c>
      <c r="K319" s="832">
        <v>13900.19</v>
      </c>
    </row>
    <row r="320" spans="2:11">
      <c r="B320" s="805" t="str">
        <f t="shared" si="9"/>
        <v>Thu</v>
      </c>
      <c r="C320" s="825">
        <v>44294</v>
      </c>
      <c r="D320" s="831">
        <v>67.05</v>
      </c>
      <c r="E320" s="831">
        <v>143.16999999999999</v>
      </c>
      <c r="F320" s="832">
        <v>83.35</v>
      </c>
      <c r="G320" s="832">
        <v>21.562489007703402</v>
      </c>
      <c r="H320" s="831">
        <v>485.48</v>
      </c>
      <c r="I320" s="832">
        <v>95.29</v>
      </c>
      <c r="J320" s="832">
        <v>4097.17</v>
      </c>
      <c r="K320" s="832">
        <v>13829.31</v>
      </c>
    </row>
    <row r="321" spans="2:11">
      <c r="B321" s="805" t="str">
        <f t="shared" si="9"/>
        <v>Wed</v>
      </c>
      <c r="C321" s="825">
        <v>44293</v>
      </c>
      <c r="D321" s="831">
        <v>66.25</v>
      </c>
      <c r="E321" s="831">
        <v>141.435</v>
      </c>
      <c r="F321" s="832">
        <v>82.2</v>
      </c>
      <c r="G321" s="832">
        <v>21.4366038796739</v>
      </c>
      <c r="H321" s="831">
        <v>482.46</v>
      </c>
      <c r="I321" s="832">
        <v>93.96</v>
      </c>
      <c r="J321" s="832">
        <v>4079.95</v>
      </c>
      <c r="K321" s="832">
        <v>13688.84</v>
      </c>
    </row>
    <row r="322" spans="2:11">
      <c r="B322" s="805" t="str">
        <f t="shared" si="9"/>
        <v>Tue</v>
      </c>
      <c r="C322" s="825">
        <v>44292</v>
      </c>
      <c r="D322" s="831">
        <v>65.56</v>
      </c>
      <c r="E322" s="831">
        <v>138.61500000000001</v>
      </c>
      <c r="F322" s="832">
        <v>81.44</v>
      </c>
      <c r="G322" s="832">
        <v>21.453189843145498</v>
      </c>
      <c r="H322" s="831">
        <v>483.87</v>
      </c>
      <c r="I322" s="832">
        <v>93.49</v>
      </c>
      <c r="J322" s="832">
        <v>4073.94</v>
      </c>
      <c r="K322" s="832">
        <v>13698.38</v>
      </c>
    </row>
    <row r="323" spans="2:11">
      <c r="B323" s="805" t="str">
        <f t="shared" si="9"/>
        <v>Mon</v>
      </c>
      <c r="C323" s="825">
        <v>44291</v>
      </c>
      <c r="D323" s="831">
        <v>66.540000000000006</v>
      </c>
      <c r="E323" s="831">
        <v>139.875</v>
      </c>
      <c r="F323" s="832">
        <v>81.430000000000007</v>
      </c>
      <c r="G323" s="832">
        <v>21.139867261298601</v>
      </c>
      <c r="H323" s="831">
        <v>488.48</v>
      </c>
      <c r="I323" s="832">
        <v>93.75</v>
      </c>
      <c r="J323" s="832">
        <v>4077.91</v>
      </c>
      <c r="K323" s="832">
        <v>13705.59</v>
      </c>
    </row>
    <row r="324" spans="2:11">
      <c r="B324" s="805" t="str">
        <f t="shared" si="9"/>
        <v>Sun</v>
      </c>
      <c r="C324" s="825">
        <v>44290</v>
      </c>
      <c r="D324" s="831">
        <v>64.55</v>
      </c>
      <c r="E324" s="831">
        <v>138.11750000000001</v>
      </c>
      <c r="F324" s="832">
        <v>81.09</v>
      </c>
      <c r="G324" s="832">
        <v>21.139867261298601</v>
      </c>
      <c r="H324" s="831">
        <v>475.95</v>
      </c>
      <c r="I324" s="832">
        <v>92.41</v>
      </c>
      <c r="J324" s="832">
        <v>4019.87</v>
      </c>
      <c r="K324" s="832">
        <v>13480.11</v>
      </c>
    </row>
    <row r="325" spans="2:11">
      <c r="B325" s="805" t="str">
        <f t="shared" si="9"/>
        <v>Sat</v>
      </c>
      <c r="C325" s="825">
        <v>44289</v>
      </c>
      <c r="D325" s="831">
        <v>64.55</v>
      </c>
      <c r="E325" s="831">
        <v>138.11750000000001</v>
      </c>
      <c r="F325" s="832">
        <v>81.09</v>
      </c>
      <c r="G325" s="832">
        <v>21.139867261298601</v>
      </c>
      <c r="H325" s="831">
        <v>475.95</v>
      </c>
      <c r="I325" s="832">
        <v>92.41</v>
      </c>
      <c r="J325" s="832">
        <v>4019.87</v>
      </c>
      <c r="K325" s="832">
        <v>13480.11</v>
      </c>
    </row>
    <row r="326" spans="2:11">
      <c r="B326" s="805" t="str">
        <f t="shared" si="9"/>
        <v>Fri</v>
      </c>
      <c r="C326" s="825">
        <v>44288</v>
      </c>
      <c r="D326" s="831">
        <v>64.55</v>
      </c>
      <c r="E326" s="831">
        <v>138.11750000000001</v>
      </c>
      <c r="F326" s="832">
        <v>81.09</v>
      </c>
      <c r="G326" s="832">
        <v>21.139867261298601</v>
      </c>
      <c r="H326" s="831">
        <v>475.95</v>
      </c>
      <c r="I326" s="832">
        <v>92.41</v>
      </c>
      <c r="J326" s="832">
        <v>4019.87</v>
      </c>
      <c r="K326" s="832">
        <v>13480.11</v>
      </c>
    </row>
    <row r="327" spans="2:11">
      <c r="B327" s="805" t="str">
        <f t="shared" si="9"/>
        <v>Thu</v>
      </c>
      <c r="C327" s="825">
        <v>44287</v>
      </c>
      <c r="D327" s="831">
        <v>64.55</v>
      </c>
      <c r="E327" s="831">
        <v>138.11750000000001</v>
      </c>
      <c r="F327" s="832">
        <v>81.09</v>
      </c>
      <c r="G327" s="832">
        <v>21.139867261298601</v>
      </c>
      <c r="H327" s="831">
        <v>475.95</v>
      </c>
      <c r="I327" s="832">
        <v>92.41</v>
      </c>
      <c r="J327" s="832">
        <v>4019.87</v>
      </c>
      <c r="K327" s="832">
        <v>13480.11</v>
      </c>
    </row>
    <row r="328" spans="2:11">
      <c r="B328" s="805" t="str">
        <f t="shared" ref="B328:B391" si="10">TEXT(C328,"DDD")</f>
        <v>Wed</v>
      </c>
      <c r="C328" s="825">
        <v>44286</v>
      </c>
      <c r="D328" s="831">
        <v>64</v>
      </c>
      <c r="E328" s="831">
        <v>133.48249999999999</v>
      </c>
      <c r="F328" s="832">
        <v>78.5</v>
      </c>
      <c r="G328" s="832">
        <v>20.637041203768799</v>
      </c>
      <c r="H328" s="831">
        <v>463.66</v>
      </c>
      <c r="I328" s="832">
        <v>88.21</v>
      </c>
      <c r="J328" s="832">
        <v>3972.89</v>
      </c>
      <c r="K328" s="832">
        <v>13246.87</v>
      </c>
    </row>
    <row r="329" spans="2:11">
      <c r="B329" s="805" t="str">
        <f t="shared" si="10"/>
        <v>Tue</v>
      </c>
      <c r="C329" s="825">
        <v>44285</v>
      </c>
      <c r="D329" s="831">
        <v>63.77</v>
      </c>
      <c r="E329" s="831">
        <v>128.7175</v>
      </c>
      <c r="F329" s="832">
        <v>76</v>
      </c>
      <c r="G329" s="832">
        <v>20.947368421052602</v>
      </c>
      <c r="H329" s="831">
        <v>456.16</v>
      </c>
      <c r="I329" s="832">
        <v>86.54</v>
      </c>
      <c r="J329" s="832">
        <v>3958.55</v>
      </c>
      <c r="K329" s="832">
        <v>13045.39</v>
      </c>
    </row>
    <row r="330" spans="2:11">
      <c r="B330" s="805" t="str">
        <f t="shared" si="10"/>
        <v>Mon</v>
      </c>
      <c r="C330" s="825">
        <v>44284</v>
      </c>
      <c r="D330" s="831">
        <v>64.5</v>
      </c>
      <c r="E330" s="831">
        <v>129.48249999999999</v>
      </c>
      <c r="F330" s="832">
        <v>77.14</v>
      </c>
      <c r="G330" s="832">
        <v>21.008698092031398</v>
      </c>
      <c r="H330" s="831">
        <v>472.62</v>
      </c>
      <c r="I330" s="832">
        <v>86.59</v>
      </c>
      <c r="J330" s="832">
        <v>3971.09</v>
      </c>
      <c r="K330" s="832">
        <v>13059.65</v>
      </c>
    </row>
    <row r="331" spans="2:11">
      <c r="B331" s="805" t="str">
        <f t="shared" si="10"/>
        <v>Sun</v>
      </c>
      <c r="C331" s="825">
        <v>44283</v>
      </c>
      <c r="D331" s="831">
        <v>64.87</v>
      </c>
      <c r="E331" s="831">
        <v>128.39250000000001</v>
      </c>
      <c r="F331" s="832">
        <v>77.41</v>
      </c>
      <c r="G331" s="832">
        <v>20.627928116914902</v>
      </c>
      <c r="H331" s="831">
        <v>482.04</v>
      </c>
      <c r="I331" s="832">
        <v>87.99</v>
      </c>
      <c r="J331" s="832">
        <v>3974.54</v>
      </c>
      <c r="K331" s="832">
        <v>13138.72</v>
      </c>
    </row>
    <row r="332" spans="2:11">
      <c r="B332" s="805" t="str">
        <f t="shared" si="10"/>
        <v>Sat</v>
      </c>
      <c r="C332" s="825">
        <v>44282</v>
      </c>
      <c r="D332" s="831">
        <v>64.87</v>
      </c>
      <c r="E332" s="831">
        <v>128.39250000000001</v>
      </c>
      <c r="F332" s="832">
        <v>77.41</v>
      </c>
      <c r="G332" s="832">
        <v>20.627928116914902</v>
      </c>
      <c r="H332" s="831">
        <v>482.04</v>
      </c>
      <c r="I332" s="832">
        <v>87.99</v>
      </c>
      <c r="J332" s="832">
        <v>3974.54</v>
      </c>
      <c r="K332" s="832">
        <v>13138.72</v>
      </c>
    </row>
    <row r="333" spans="2:11">
      <c r="B333" s="805" t="str">
        <f t="shared" si="10"/>
        <v>Fri</v>
      </c>
      <c r="C333" s="825">
        <v>44281</v>
      </c>
      <c r="D333" s="831">
        <v>64.87</v>
      </c>
      <c r="E333" s="831">
        <v>128.39250000000001</v>
      </c>
      <c r="F333" s="832">
        <v>77.41</v>
      </c>
      <c r="G333" s="832">
        <v>20.627928116914902</v>
      </c>
      <c r="H333" s="831">
        <v>482.04</v>
      </c>
      <c r="I333" s="832">
        <v>87.99</v>
      </c>
      <c r="J333" s="832">
        <v>3974.54</v>
      </c>
      <c r="K333" s="832">
        <v>13138.72</v>
      </c>
    </row>
    <row r="334" spans="2:11">
      <c r="B334" s="805" t="str">
        <f t="shared" si="10"/>
        <v>Thu</v>
      </c>
      <c r="C334" s="825">
        <v>44280</v>
      </c>
      <c r="D334" s="831">
        <v>62.02</v>
      </c>
      <c r="E334" s="831">
        <v>125.35250000000001</v>
      </c>
      <c r="F334" s="832">
        <v>76.22</v>
      </c>
      <c r="G334" s="832">
        <v>20.097165425885201</v>
      </c>
      <c r="H334" s="831">
        <v>461.7</v>
      </c>
      <c r="I334" s="832">
        <v>84.09</v>
      </c>
      <c r="J334" s="832">
        <v>3909.52</v>
      </c>
      <c r="K334" s="832">
        <v>12977.68</v>
      </c>
    </row>
    <row r="335" spans="2:11">
      <c r="B335" s="805" t="str">
        <f t="shared" si="10"/>
        <v>Wed</v>
      </c>
      <c r="C335" s="825">
        <v>44279</v>
      </c>
      <c r="D335" s="831">
        <v>62.04</v>
      </c>
      <c r="E335" s="831">
        <v>126.43</v>
      </c>
      <c r="F335" s="832">
        <v>76.48</v>
      </c>
      <c r="G335" s="832">
        <v>20.218329881708701</v>
      </c>
      <c r="H335" s="831">
        <v>457.27</v>
      </c>
      <c r="I335" s="832">
        <v>83</v>
      </c>
      <c r="J335" s="832">
        <v>3889.14</v>
      </c>
      <c r="K335" s="832">
        <v>12961.89</v>
      </c>
    </row>
    <row r="336" spans="2:11">
      <c r="B336" s="805" t="str">
        <f t="shared" si="10"/>
        <v>Tue</v>
      </c>
      <c r="C336" s="825">
        <v>44278</v>
      </c>
      <c r="D336" s="831">
        <v>63.48</v>
      </c>
      <c r="E336" s="831">
        <v>130.70750000000001</v>
      </c>
      <c r="F336" s="832">
        <v>78.38</v>
      </c>
      <c r="G336" s="832">
        <v>20.857473928157599</v>
      </c>
      <c r="H336" s="831">
        <v>464.06</v>
      </c>
      <c r="I336" s="832">
        <v>85.4</v>
      </c>
      <c r="J336" s="832">
        <v>3910.52</v>
      </c>
      <c r="K336" s="832">
        <v>13227.7</v>
      </c>
    </row>
    <row r="337" spans="2:11">
      <c r="B337" s="805" t="str">
        <f t="shared" si="10"/>
        <v>Mon</v>
      </c>
      <c r="C337" s="825">
        <v>44277</v>
      </c>
      <c r="D337" s="831">
        <v>65.63</v>
      </c>
      <c r="E337" s="831">
        <v>131.86250000000001</v>
      </c>
      <c r="F337" s="832">
        <v>80.3</v>
      </c>
      <c r="G337" s="832">
        <v>20.895732760139499</v>
      </c>
      <c r="H337" s="831">
        <v>475.28</v>
      </c>
      <c r="I337" s="832">
        <v>91.28</v>
      </c>
      <c r="J337" s="832">
        <v>3940.59</v>
      </c>
      <c r="K337" s="832">
        <v>13377.54</v>
      </c>
    </row>
    <row r="338" spans="2:11">
      <c r="B338" s="805" t="str">
        <f t="shared" si="10"/>
        <v>Sun</v>
      </c>
      <c r="C338" s="825">
        <v>44276</v>
      </c>
      <c r="D338" s="831">
        <v>63.76</v>
      </c>
      <c r="E338" s="831">
        <v>128.45750000000001</v>
      </c>
      <c r="F338" s="832">
        <v>79.06</v>
      </c>
      <c r="G338" s="832">
        <v>20.820122595645699</v>
      </c>
      <c r="H338" s="831">
        <v>474.46</v>
      </c>
      <c r="I338" s="832">
        <v>90.51</v>
      </c>
      <c r="J338" s="832">
        <v>3913.1</v>
      </c>
      <c r="K338" s="832">
        <v>13215.24</v>
      </c>
    </row>
    <row r="339" spans="2:11">
      <c r="B339" s="805" t="str">
        <f t="shared" si="10"/>
        <v>Sat</v>
      </c>
      <c r="C339" s="825">
        <v>44275</v>
      </c>
      <c r="D339" s="831">
        <v>63.76</v>
      </c>
      <c r="E339" s="831">
        <v>128.45750000000001</v>
      </c>
      <c r="F339" s="832">
        <v>79.06</v>
      </c>
      <c r="G339" s="832">
        <v>20.820122595645699</v>
      </c>
      <c r="H339" s="831">
        <v>474.46</v>
      </c>
      <c r="I339" s="832">
        <v>90.51</v>
      </c>
      <c r="J339" s="832">
        <v>3913.1</v>
      </c>
      <c r="K339" s="832">
        <v>13215.24</v>
      </c>
    </row>
    <row r="340" spans="2:11">
      <c r="B340" s="805" t="str">
        <f t="shared" si="10"/>
        <v>Fri</v>
      </c>
      <c r="C340" s="825">
        <v>44274</v>
      </c>
      <c r="D340" s="831">
        <v>63.76</v>
      </c>
      <c r="E340" s="831">
        <v>128.45750000000001</v>
      </c>
      <c r="F340" s="832">
        <v>79.06</v>
      </c>
      <c r="G340" s="832">
        <v>20.820122595645699</v>
      </c>
      <c r="H340" s="831">
        <v>474.46</v>
      </c>
      <c r="I340" s="832">
        <v>90.51</v>
      </c>
      <c r="J340" s="832">
        <v>3913.1</v>
      </c>
      <c r="K340" s="832">
        <v>13215.24</v>
      </c>
    </row>
    <row r="341" spans="2:11">
      <c r="B341" s="805" t="str">
        <f t="shared" si="10"/>
        <v>Thu</v>
      </c>
      <c r="C341" s="825">
        <v>44273</v>
      </c>
      <c r="D341" s="831">
        <v>63.725000000000001</v>
      </c>
      <c r="E341" s="831">
        <v>127.22499999999999</v>
      </c>
      <c r="F341" s="832">
        <v>78.12</v>
      </c>
      <c r="G341" s="832">
        <v>21.179285111173701</v>
      </c>
      <c r="H341" s="831">
        <v>464.15</v>
      </c>
      <c r="I341" s="832">
        <v>89.82</v>
      </c>
      <c r="J341" s="832">
        <v>3915.46</v>
      </c>
      <c r="K341" s="832">
        <v>13116.17</v>
      </c>
    </row>
    <row r="342" spans="2:11">
      <c r="B342" s="805" t="str">
        <f t="shared" si="10"/>
        <v>Wed</v>
      </c>
      <c r="C342" s="825">
        <v>44272</v>
      </c>
      <c r="D342" s="831">
        <v>65.78</v>
      </c>
      <c r="E342" s="831">
        <v>133.41249999999999</v>
      </c>
      <c r="F342" s="832">
        <v>82.63</v>
      </c>
      <c r="G342" s="832">
        <v>21.378260715676198</v>
      </c>
      <c r="H342" s="831">
        <v>483.59</v>
      </c>
      <c r="I342" s="832">
        <v>94.76</v>
      </c>
      <c r="J342" s="832">
        <v>3974.12</v>
      </c>
      <c r="K342" s="832">
        <v>13525.2</v>
      </c>
    </row>
    <row r="343" spans="2:11">
      <c r="B343" s="805" t="str">
        <f t="shared" si="10"/>
        <v>Tue</v>
      </c>
      <c r="C343" s="825">
        <v>44271</v>
      </c>
      <c r="D343" s="831">
        <v>64.78</v>
      </c>
      <c r="E343" s="831">
        <v>132.91249999999999</v>
      </c>
      <c r="F343" s="832">
        <v>82.75</v>
      </c>
      <c r="G343" s="832">
        <v>21.718334809565999</v>
      </c>
      <c r="H343" s="831">
        <v>478.18</v>
      </c>
      <c r="I343" s="832">
        <v>91.43</v>
      </c>
      <c r="J343" s="832">
        <v>3962.71</v>
      </c>
      <c r="K343" s="832">
        <v>13471.57</v>
      </c>
    </row>
    <row r="344" spans="2:11">
      <c r="B344" s="805" t="str">
        <f t="shared" si="10"/>
        <v>Mon</v>
      </c>
      <c r="C344" s="825">
        <v>44270</v>
      </c>
      <c r="D344" s="831">
        <v>63.79</v>
      </c>
      <c r="E344" s="831">
        <v>131.91249999999999</v>
      </c>
      <c r="F344" s="832">
        <v>82.5</v>
      </c>
      <c r="G344" s="832">
        <v>21.6482426303855</v>
      </c>
      <c r="H344" s="831">
        <v>470.77</v>
      </c>
      <c r="I344" s="832">
        <v>88.85</v>
      </c>
      <c r="J344" s="832">
        <v>3968.94</v>
      </c>
      <c r="K344" s="832">
        <v>13459.71</v>
      </c>
    </row>
    <row r="345" spans="2:11">
      <c r="B345" s="805" t="str">
        <f t="shared" si="10"/>
        <v>Sun</v>
      </c>
      <c r="C345" s="825">
        <v>44269</v>
      </c>
      <c r="D345" s="831">
        <v>62.9</v>
      </c>
      <c r="E345" s="831">
        <v>128.56</v>
      </c>
      <c r="F345" s="832">
        <v>81.05</v>
      </c>
      <c r="G345" s="832">
        <v>21.804751589190001</v>
      </c>
      <c r="H345" s="831">
        <v>451.17</v>
      </c>
      <c r="I345" s="832">
        <v>87.77</v>
      </c>
      <c r="J345" s="832">
        <v>3943.34</v>
      </c>
      <c r="K345" s="832">
        <v>13319.86</v>
      </c>
    </row>
    <row r="346" spans="2:11">
      <c r="B346" s="805" t="str">
        <f t="shared" si="10"/>
        <v>Sat</v>
      </c>
      <c r="C346" s="825">
        <v>44268</v>
      </c>
      <c r="D346" s="831">
        <v>62.9</v>
      </c>
      <c r="E346" s="831">
        <v>128.56</v>
      </c>
      <c r="F346" s="832">
        <v>81.05</v>
      </c>
      <c r="G346" s="832">
        <v>21.804751589190001</v>
      </c>
      <c r="H346" s="831">
        <v>451.17</v>
      </c>
      <c r="I346" s="832">
        <v>87.77</v>
      </c>
      <c r="J346" s="832">
        <v>3943.34</v>
      </c>
      <c r="K346" s="832">
        <v>13319.86</v>
      </c>
    </row>
    <row r="347" spans="2:11">
      <c r="B347" s="805" t="str">
        <f t="shared" si="10"/>
        <v>Fri</v>
      </c>
      <c r="C347" s="825">
        <v>44267</v>
      </c>
      <c r="D347" s="831">
        <v>62.9</v>
      </c>
      <c r="E347" s="831">
        <v>128.56</v>
      </c>
      <c r="F347" s="832">
        <v>81.05</v>
      </c>
      <c r="G347" s="832">
        <v>21.804751589190001</v>
      </c>
      <c r="H347" s="831">
        <v>451.17</v>
      </c>
      <c r="I347" s="832">
        <v>87.77</v>
      </c>
      <c r="J347" s="832">
        <v>3943.34</v>
      </c>
      <c r="K347" s="832">
        <v>13319.86</v>
      </c>
    </row>
    <row r="348" spans="2:11">
      <c r="B348" s="805" t="str">
        <f t="shared" si="10"/>
        <v>Thu</v>
      </c>
      <c r="C348" s="825">
        <v>44266</v>
      </c>
      <c r="D348" s="831">
        <v>63.31</v>
      </c>
      <c r="E348" s="831">
        <v>129.935</v>
      </c>
      <c r="F348" s="832">
        <v>81.23</v>
      </c>
      <c r="G348" s="832">
        <v>21.677226454047101</v>
      </c>
      <c r="H348" s="831">
        <v>453.69</v>
      </c>
      <c r="I348" s="832">
        <v>89.31</v>
      </c>
      <c r="J348" s="832">
        <v>3939.34</v>
      </c>
      <c r="K348" s="832">
        <v>13398.67</v>
      </c>
    </row>
    <row r="349" spans="2:11">
      <c r="B349" s="805" t="str">
        <f t="shared" si="10"/>
        <v>Wed</v>
      </c>
      <c r="C349" s="825">
        <v>44265</v>
      </c>
      <c r="D349" s="831">
        <v>62.25</v>
      </c>
      <c r="E349" s="831">
        <v>124.6825</v>
      </c>
      <c r="F349" s="832">
        <v>77.52</v>
      </c>
      <c r="G349" s="832">
        <v>21.132743362831899</v>
      </c>
      <c r="H349" s="831">
        <v>437.59</v>
      </c>
      <c r="I349" s="832">
        <v>85.41</v>
      </c>
      <c r="J349" s="832">
        <v>3898.81</v>
      </c>
      <c r="K349" s="832">
        <v>13068.83</v>
      </c>
    </row>
    <row r="350" spans="2:11">
      <c r="B350" s="805" t="str">
        <f t="shared" si="10"/>
        <v>Tue</v>
      </c>
      <c r="C350" s="825">
        <v>44264</v>
      </c>
      <c r="D350" s="831">
        <v>62.67</v>
      </c>
      <c r="E350" s="831">
        <v>125.2025</v>
      </c>
      <c r="F350" s="832">
        <v>78.53</v>
      </c>
      <c r="G350" s="832">
        <v>21.069405099150099</v>
      </c>
      <c r="H350" s="831">
        <v>443.6</v>
      </c>
      <c r="I350" s="832">
        <v>89.3</v>
      </c>
      <c r="J350" s="832">
        <v>3875.44</v>
      </c>
      <c r="K350" s="832">
        <v>13073.82</v>
      </c>
    </row>
    <row r="351" spans="2:11">
      <c r="B351" s="805" t="str">
        <f t="shared" si="10"/>
        <v>Mon</v>
      </c>
      <c r="C351" s="825">
        <v>44263</v>
      </c>
      <c r="D351" s="831">
        <v>59.85</v>
      </c>
      <c r="E351" s="831">
        <v>115.9325</v>
      </c>
      <c r="F351" s="832">
        <v>73.959999999999994</v>
      </c>
      <c r="G351" s="832">
        <v>21.150921373748801</v>
      </c>
      <c r="H351" s="831">
        <v>421.25</v>
      </c>
      <c r="I351" s="832">
        <v>85.05</v>
      </c>
      <c r="J351" s="832">
        <v>3821.35</v>
      </c>
      <c r="K351" s="832">
        <v>12609.16</v>
      </c>
    </row>
    <row r="352" spans="2:11">
      <c r="B352" s="805" t="str">
        <f t="shared" si="10"/>
        <v>Sun</v>
      </c>
      <c r="C352" s="825">
        <v>44262</v>
      </c>
      <c r="D352" s="831">
        <v>60.74</v>
      </c>
      <c r="E352" s="831">
        <v>124.61499999999999</v>
      </c>
      <c r="F352" s="832">
        <v>78.52</v>
      </c>
      <c r="G352" s="832">
        <v>21.5080699996421</v>
      </c>
      <c r="H352" s="831">
        <v>450.14</v>
      </c>
      <c r="I352" s="832">
        <v>88.93</v>
      </c>
      <c r="J352" s="832">
        <v>3841.94</v>
      </c>
      <c r="K352" s="832">
        <v>12920.15</v>
      </c>
    </row>
    <row r="353" spans="2:11">
      <c r="B353" s="805" t="str">
        <f t="shared" si="10"/>
        <v>Sat</v>
      </c>
      <c r="C353" s="825">
        <v>44261</v>
      </c>
      <c r="D353" s="831">
        <v>60.74</v>
      </c>
      <c r="E353" s="831">
        <v>124.61499999999999</v>
      </c>
      <c r="F353" s="832">
        <v>78.52</v>
      </c>
      <c r="G353" s="832">
        <v>21.5080699996421</v>
      </c>
      <c r="H353" s="831">
        <v>450.14</v>
      </c>
      <c r="I353" s="832">
        <v>88.93</v>
      </c>
      <c r="J353" s="832">
        <v>3841.94</v>
      </c>
      <c r="K353" s="832">
        <v>12920.15</v>
      </c>
    </row>
    <row r="354" spans="2:11">
      <c r="B354" s="805" t="str">
        <f t="shared" si="10"/>
        <v>Fri</v>
      </c>
      <c r="C354" s="825">
        <v>44260</v>
      </c>
      <c r="D354" s="831">
        <v>60.74</v>
      </c>
      <c r="E354" s="831">
        <v>124.61499999999999</v>
      </c>
      <c r="F354" s="832">
        <v>78.52</v>
      </c>
      <c r="G354" s="832">
        <v>21.5080699996421</v>
      </c>
      <c r="H354" s="831">
        <v>450.14</v>
      </c>
      <c r="I354" s="832">
        <v>88.93</v>
      </c>
      <c r="J354" s="832">
        <v>3841.94</v>
      </c>
      <c r="K354" s="832">
        <v>12920.15</v>
      </c>
    </row>
    <row r="355" spans="2:11">
      <c r="B355" s="805" t="str">
        <f t="shared" si="10"/>
        <v>Thu</v>
      </c>
      <c r="C355" s="825">
        <v>44259</v>
      </c>
      <c r="D355" s="831">
        <v>58.33</v>
      </c>
      <c r="E355" s="831">
        <v>123.7025</v>
      </c>
      <c r="F355" s="832">
        <v>77.75</v>
      </c>
      <c r="G355" s="832">
        <v>21.558217949637701</v>
      </c>
      <c r="H355" s="831">
        <v>443.59</v>
      </c>
      <c r="I355" s="832">
        <v>84.33</v>
      </c>
      <c r="J355" s="832">
        <v>3768.47</v>
      </c>
      <c r="K355" s="832">
        <v>12723.47</v>
      </c>
    </row>
    <row r="356" spans="2:11">
      <c r="B356" s="805" t="str">
        <f t="shared" si="10"/>
        <v>Wed</v>
      </c>
      <c r="C356" s="825">
        <v>44258</v>
      </c>
      <c r="D356" s="831">
        <v>59.9</v>
      </c>
      <c r="E356" s="831">
        <v>128.04750000000001</v>
      </c>
      <c r="F356" s="832">
        <v>80.86</v>
      </c>
      <c r="G356" s="832">
        <v>22.388596933266101</v>
      </c>
      <c r="H356" s="831">
        <v>463.06</v>
      </c>
      <c r="I356" s="832">
        <v>89.11</v>
      </c>
      <c r="J356" s="832">
        <v>3819.72</v>
      </c>
      <c r="K356" s="832">
        <v>12997.75</v>
      </c>
    </row>
    <row r="357" spans="2:11">
      <c r="B357" s="805" t="str">
        <f t="shared" si="10"/>
        <v>Tue</v>
      </c>
      <c r="C357" s="825">
        <v>44257</v>
      </c>
      <c r="D357" s="831">
        <v>61.24</v>
      </c>
      <c r="E357" s="831">
        <v>134.0625</v>
      </c>
      <c r="F357" s="832">
        <v>84.13</v>
      </c>
      <c r="G357" s="832">
        <v>21.881287726358099</v>
      </c>
      <c r="H357" s="831">
        <v>480.51</v>
      </c>
      <c r="I357" s="832">
        <v>91.09</v>
      </c>
      <c r="J357" s="832">
        <v>3870.29</v>
      </c>
      <c r="K357" s="832">
        <v>13358.79</v>
      </c>
    </row>
    <row r="358" spans="2:11">
      <c r="B358" s="805" t="str">
        <f t="shared" si="10"/>
        <v>Mon</v>
      </c>
      <c r="C358" s="825">
        <v>44256</v>
      </c>
      <c r="D358" s="831">
        <v>62.88</v>
      </c>
      <c r="E358" s="831">
        <v>138.41749999999999</v>
      </c>
      <c r="F358" s="832">
        <v>86.39</v>
      </c>
      <c r="G358" s="832">
        <v>21.747712183743001</v>
      </c>
      <c r="H358" s="831">
        <v>489.58</v>
      </c>
      <c r="I358" s="832">
        <v>94.76</v>
      </c>
      <c r="J358" s="832">
        <v>3901.82</v>
      </c>
      <c r="K358" s="832">
        <v>13588.83</v>
      </c>
    </row>
    <row r="359" spans="2:11">
      <c r="B359" s="805" t="str">
        <f t="shared" si="10"/>
        <v>Sun</v>
      </c>
      <c r="C359" s="825">
        <v>44255</v>
      </c>
      <c r="D359" s="831">
        <v>60.78</v>
      </c>
      <c r="E359" s="831">
        <v>137.14500000000001</v>
      </c>
      <c r="F359" s="832">
        <v>84.51</v>
      </c>
      <c r="G359" s="832">
        <v>21.747712183743001</v>
      </c>
      <c r="H359" s="831">
        <v>469.87</v>
      </c>
      <c r="I359" s="832">
        <v>91.53</v>
      </c>
      <c r="J359" s="832">
        <v>3811.15</v>
      </c>
      <c r="K359" s="832">
        <v>13192.35</v>
      </c>
    </row>
    <row r="360" spans="2:11">
      <c r="B360" s="805" t="str">
        <f t="shared" si="10"/>
        <v>Sat</v>
      </c>
      <c r="C360" s="825">
        <v>44254</v>
      </c>
      <c r="D360" s="831">
        <v>60.78</v>
      </c>
      <c r="E360" s="831">
        <v>137.14500000000001</v>
      </c>
      <c r="F360" s="832">
        <v>84.51</v>
      </c>
      <c r="G360" s="832">
        <v>21.747712183743001</v>
      </c>
      <c r="H360" s="831">
        <v>469.87</v>
      </c>
      <c r="I360" s="832">
        <v>91.53</v>
      </c>
      <c r="J360" s="832">
        <v>3811.15</v>
      </c>
      <c r="K360" s="832">
        <v>13192.35</v>
      </c>
    </row>
    <row r="361" spans="2:11">
      <c r="B361" s="805" t="str">
        <f t="shared" si="10"/>
        <v>Fri</v>
      </c>
      <c r="C361" s="825">
        <v>44253</v>
      </c>
      <c r="D361" s="831">
        <v>60.78</v>
      </c>
      <c r="E361" s="831">
        <v>137.14500000000001</v>
      </c>
      <c r="F361" s="832">
        <v>84.51</v>
      </c>
      <c r="G361" s="832">
        <v>21.747712183743001</v>
      </c>
      <c r="H361" s="831">
        <v>469.87</v>
      </c>
      <c r="I361" s="832">
        <v>91.53</v>
      </c>
      <c r="J361" s="832">
        <v>3811.15</v>
      </c>
      <c r="K361" s="832">
        <v>13192.35</v>
      </c>
    </row>
    <row r="362" spans="2:11">
      <c r="B362" s="805" t="str">
        <f t="shared" si="10"/>
        <v>Thu</v>
      </c>
      <c r="C362" s="825">
        <v>44252</v>
      </c>
      <c r="D362" s="831">
        <v>60.4</v>
      </c>
      <c r="E362" s="831">
        <v>133.07499999999999</v>
      </c>
      <c r="F362" s="832">
        <v>82.42</v>
      </c>
      <c r="G362" s="832">
        <v>22.789262130347399</v>
      </c>
      <c r="H362" s="831">
        <v>457.16</v>
      </c>
      <c r="I362" s="832">
        <v>88.12</v>
      </c>
      <c r="J362" s="832">
        <v>3829.34</v>
      </c>
      <c r="K362" s="832">
        <v>13119.43</v>
      </c>
    </row>
    <row r="363" spans="2:11">
      <c r="B363" s="805" t="str">
        <f t="shared" si="10"/>
        <v>Wed</v>
      </c>
      <c r="C363" s="825">
        <v>44251</v>
      </c>
      <c r="D363" s="831">
        <v>63.19</v>
      </c>
      <c r="E363" s="831">
        <v>144.99</v>
      </c>
      <c r="F363" s="832">
        <v>86.94</v>
      </c>
      <c r="G363" s="832">
        <v>22.467467107628199</v>
      </c>
      <c r="H363" s="831">
        <v>480.88</v>
      </c>
      <c r="I363" s="832">
        <v>92.52</v>
      </c>
      <c r="J363" s="832">
        <v>3925.43</v>
      </c>
      <c r="K363" s="832">
        <v>13597.97</v>
      </c>
    </row>
    <row r="364" spans="2:11">
      <c r="B364" s="805" t="str">
        <f t="shared" si="10"/>
        <v>Tue</v>
      </c>
      <c r="C364" s="825">
        <v>44250</v>
      </c>
      <c r="D364" s="831">
        <v>61.12</v>
      </c>
      <c r="E364" s="831">
        <v>141.41999999999999</v>
      </c>
      <c r="F364" s="832">
        <v>84.74</v>
      </c>
      <c r="G364" s="832">
        <v>23.019464195934798</v>
      </c>
      <c r="H364" s="831">
        <v>471.9</v>
      </c>
      <c r="I364" s="832">
        <v>88.23</v>
      </c>
      <c r="J364" s="832">
        <v>3881.37</v>
      </c>
      <c r="K364" s="832">
        <v>13465.2</v>
      </c>
    </row>
    <row r="365" spans="2:11">
      <c r="B365" s="805" t="str">
        <f t="shared" si="10"/>
        <v>Mon</v>
      </c>
      <c r="C365" s="825">
        <v>44249</v>
      </c>
      <c r="D365" s="831">
        <v>60.71</v>
      </c>
      <c r="E365" s="831">
        <v>143.5575</v>
      </c>
      <c r="F365" s="832">
        <v>85.37</v>
      </c>
      <c r="G365" s="832">
        <v>23.307515777395299</v>
      </c>
      <c r="H365" s="831">
        <v>476.36</v>
      </c>
      <c r="I365" s="832">
        <v>86.28</v>
      </c>
      <c r="J365" s="832">
        <v>3876.5</v>
      </c>
      <c r="K365" s="832">
        <v>13533.05</v>
      </c>
    </row>
    <row r="366" spans="2:11">
      <c r="B366" s="805" t="str">
        <f t="shared" si="10"/>
        <v>Sun</v>
      </c>
      <c r="C366" s="825">
        <v>44248</v>
      </c>
      <c r="D366" s="831">
        <v>63.01</v>
      </c>
      <c r="E366" s="831">
        <v>149.26499999999999</v>
      </c>
      <c r="F366" s="832">
        <v>89.58</v>
      </c>
      <c r="G366" s="832">
        <v>23.352435530086002</v>
      </c>
      <c r="H366" s="831">
        <v>489.96</v>
      </c>
      <c r="I366" s="832">
        <v>90.96</v>
      </c>
      <c r="J366" s="832">
        <v>3906.71</v>
      </c>
      <c r="K366" s="832">
        <v>13874.47</v>
      </c>
    </row>
    <row r="367" spans="2:11">
      <c r="B367" s="805" t="str">
        <f t="shared" si="10"/>
        <v>Sat</v>
      </c>
      <c r="C367" s="825">
        <v>44247</v>
      </c>
      <c r="D367" s="831">
        <v>63.01</v>
      </c>
      <c r="E367" s="831">
        <v>149.26499999999999</v>
      </c>
      <c r="F367" s="832">
        <v>89.58</v>
      </c>
      <c r="G367" s="832">
        <v>23.352435530086002</v>
      </c>
      <c r="H367" s="831">
        <v>489.96</v>
      </c>
      <c r="I367" s="832">
        <v>90.96</v>
      </c>
      <c r="J367" s="832">
        <v>3906.71</v>
      </c>
      <c r="K367" s="832">
        <v>13874.47</v>
      </c>
    </row>
    <row r="368" spans="2:11">
      <c r="B368" s="805" t="str">
        <f t="shared" si="10"/>
        <v>Fri</v>
      </c>
      <c r="C368" s="825">
        <v>44246</v>
      </c>
      <c r="D368" s="831">
        <v>63.01</v>
      </c>
      <c r="E368" s="831">
        <v>149.26499999999999</v>
      </c>
      <c r="F368" s="832">
        <v>89.58</v>
      </c>
      <c r="G368" s="832">
        <v>23.352435530086002</v>
      </c>
      <c r="H368" s="831">
        <v>489.96</v>
      </c>
      <c r="I368" s="832">
        <v>90.96</v>
      </c>
      <c r="J368" s="832">
        <v>3906.71</v>
      </c>
      <c r="K368" s="832">
        <v>13874.47</v>
      </c>
    </row>
    <row r="369" spans="2:18">
      <c r="B369" s="805" t="str">
        <f t="shared" si="10"/>
        <v>Thu</v>
      </c>
      <c r="C369" s="825">
        <v>44245</v>
      </c>
      <c r="D369" s="831">
        <v>61.61</v>
      </c>
      <c r="E369" s="831">
        <v>148.29</v>
      </c>
      <c r="F369" s="832">
        <v>88.64</v>
      </c>
      <c r="G369" s="832">
        <v>23.6593059936909</v>
      </c>
      <c r="H369" s="831">
        <v>483.26</v>
      </c>
      <c r="I369" s="832">
        <v>88.534999999999997</v>
      </c>
      <c r="J369" s="832">
        <v>3913.97</v>
      </c>
      <c r="K369" s="832">
        <v>13865.356</v>
      </c>
    </row>
    <row r="370" spans="2:18">
      <c r="B370" s="805" t="str">
        <f t="shared" si="10"/>
        <v>Wed</v>
      </c>
      <c r="C370" s="825">
        <v>44244</v>
      </c>
      <c r="D370" s="831">
        <v>61.85</v>
      </c>
      <c r="E370" s="831">
        <v>149.06</v>
      </c>
      <c r="F370" s="832">
        <v>89.94</v>
      </c>
      <c r="G370" s="832">
        <v>23.6938031591738</v>
      </c>
      <c r="H370" s="831">
        <v>482.48</v>
      </c>
      <c r="I370" s="832">
        <v>86.05</v>
      </c>
      <c r="J370" s="832">
        <v>3931.33</v>
      </c>
      <c r="K370" s="832">
        <v>13965.5</v>
      </c>
    </row>
    <row r="371" spans="2:18">
      <c r="B371" s="805" t="str">
        <f t="shared" si="10"/>
        <v>Tue</v>
      </c>
      <c r="C371" s="825">
        <v>44243</v>
      </c>
      <c r="D371" s="831">
        <v>62.47</v>
      </c>
      <c r="E371" s="831">
        <v>153.30250000000001</v>
      </c>
      <c r="F371" s="832">
        <v>91.46</v>
      </c>
      <c r="G371" s="832">
        <v>22.592407235289901</v>
      </c>
      <c r="H371" s="831">
        <v>489.13</v>
      </c>
      <c r="I371" s="832">
        <v>87.74</v>
      </c>
      <c r="J371" s="832">
        <v>3932.59</v>
      </c>
      <c r="K371" s="832">
        <v>14047.5</v>
      </c>
    </row>
    <row r="372" spans="2:18">
      <c r="B372" s="805" t="str">
        <f t="shared" si="10"/>
        <v>Mon</v>
      </c>
      <c r="C372" s="825">
        <v>44242</v>
      </c>
      <c r="D372" s="831">
        <v>61.81</v>
      </c>
      <c r="E372" s="831">
        <v>149.61250000000001</v>
      </c>
      <c r="F372" s="832">
        <v>93.77</v>
      </c>
      <c r="G372" s="832">
        <v>22.592407235289901</v>
      </c>
      <c r="H372" s="831">
        <v>486.32</v>
      </c>
      <c r="I372" s="832">
        <v>88.01</v>
      </c>
      <c r="J372" s="832">
        <v>3934.83</v>
      </c>
      <c r="K372" s="832">
        <v>14095.47</v>
      </c>
    </row>
    <row r="373" spans="2:18">
      <c r="B373" s="805" t="str">
        <f t="shared" si="10"/>
        <v>Sun</v>
      </c>
      <c r="C373" s="825">
        <v>44241</v>
      </c>
      <c r="D373" s="831">
        <v>61.81</v>
      </c>
      <c r="E373" s="831">
        <v>149.61250000000001</v>
      </c>
      <c r="F373" s="832">
        <v>93.77</v>
      </c>
      <c r="G373" s="832">
        <v>22.592407235289901</v>
      </c>
      <c r="H373" s="831">
        <v>486.32</v>
      </c>
      <c r="I373" s="832">
        <v>88.01</v>
      </c>
      <c r="J373" s="832">
        <v>3934.83</v>
      </c>
      <c r="K373" s="832">
        <v>14095.47</v>
      </c>
    </row>
    <row r="374" spans="2:18">
      <c r="B374" s="805" t="str">
        <f t="shared" si="10"/>
        <v>Sat</v>
      </c>
      <c r="C374" s="825">
        <v>44240</v>
      </c>
      <c r="D374" s="831">
        <v>61.81</v>
      </c>
      <c r="E374" s="831">
        <v>149.61250000000001</v>
      </c>
      <c r="F374" s="832">
        <v>93.77</v>
      </c>
      <c r="G374" s="832">
        <v>22.592407235289901</v>
      </c>
      <c r="H374" s="831">
        <v>486.32</v>
      </c>
      <c r="I374" s="832">
        <v>88.01</v>
      </c>
      <c r="J374" s="832">
        <v>3934.83</v>
      </c>
      <c r="K374" s="832">
        <v>14095.47</v>
      </c>
    </row>
    <row r="375" spans="2:18">
      <c r="B375" s="805" t="str">
        <f t="shared" si="10"/>
        <v>Fri</v>
      </c>
      <c r="C375" s="825">
        <v>44239</v>
      </c>
      <c r="D375" s="831">
        <v>61.81</v>
      </c>
      <c r="E375" s="831">
        <v>149.61250000000001</v>
      </c>
      <c r="F375" s="832">
        <v>93.77</v>
      </c>
      <c r="G375" s="832">
        <v>22.592407235289901</v>
      </c>
      <c r="H375" s="831">
        <v>486.32</v>
      </c>
      <c r="I375" s="832">
        <v>88.01</v>
      </c>
      <c r="J375" s="832">
        <v>3934.83</v>
      </c>
      <c r="K375" s="832">
        <v>14095.47</v>
      </c>
      <c r="R375" s="820"/>
    </row>
    <row r="376" spans="2:18">
      <c r="B376" s="805" t="str">
        <f t="shared" si="10"/>
        <v>Thu</v>
      </c>
      <c r="C376" s="825">
        <v>44238</v>
      </c>
      <c r="D376" s="831">
        <v>60.66</v>
      </c>
      <c r="E376" s="831">
        <v>152.50749999999999</v>
      </c>
      <c r="F376" s="832">
        <v>92.66</v>
      </c>
      <c r="G376" s="832">
        <v>22.592407235289901</v>
      </c>
      <c r="H376" s="831">
        <v>478.39</v>
      </c>
      <c r="I376" s="832">
        <v>86.48</v>
      </c>
      <c r="J376" s="832">
        <v>3916.38</v>
      </c>
      <c r="K376" s="832">
        <v>14025.77</v>
      </c>
      <c r="R376" s="820"/>
    </row>
    <row r="377" spans="2:18">
      <c r="B377" s="805" t="str">
        <f t="shared" si="10"/>
        <v>Wed</v>
      </c>
      <c r="C377" s="825">
        <v>44237</v>
      </c>
      <c r="D377" s="831">
        <v>58.86</v>
      </c>
      <c r="E377" s="831">
        <v>147.64250000000001</v>
      </c>
      <c r="F377" s="832">
        <v>92.35</v>
      </c>
      <c r="G377" s="832">
        <v>22.592407235289901</v>
      </c>
      <c r="H377" s="831">
        <v>470.05</v>
      </c>
      <c r="I377" s="832">
        <v>82.35</v>
      </c>
      <c r="J377" s="832">
        <v>3909.88</v>
      </c>
      <c r="K377" s="832">
        <v>13972.53</v>
      </c>
      <c r="R377" s="820"/>
    </row>
    <row r="378" spans="2:18">
      <c r="B378" s="805" t="str">
        <f t="shared" si="10"/>
        <v>Tue</v>
      </c>
      <c r="C378" s="825">
        <v>44236</v>
      </c>
      <c r="D378" s="831">
        <v>58.78</v>
      </c>
      <c r="E378" s="831">
        <v>142.63249999999999</v>
      </c>
      <c r="F378" s="832">
        <v>90.91</v>
      </c>
      <c r="G378" s="832">
        <v>22.592407235289901</v>
      </c>
      <c r="H378" s="831">
        <v>474.63</v>
      </c>
      <c r="I378" s="832">
        <v>83.32</v>
      </c>
      <c r="J378" s="832">
        <v>3911.23</v>
      </c>
      <c r="K378" s="832">
        <v>14007.697</v>
      </c>
      <c r="R378" s="820"/>
    </row>
    <row r="379" spans="2:18">
      <c r="B379" s="805" t="str">
        <f t="shared" si="10"/>
        <v>Mon</v>
      </c>
      <c r="C379" s="825">
        <v>44235</v>
      </c>
      <c r="D379" s="831">
        <v>59.16</v>
      </c>
      <c r="E379" s="831">
        <v>144.38749999999999</v>
      </c>
      <c r="F379" s="832">
        <v>91.47</v>
      </c>
      <c r="G379" s="832">
        <v>22.592407235289901</v>
      </c>
      <c r="H379" s="831">
        <v>472.7</v>
      </c>
      <c r="I379" s="832">
        <v>84.01</v>
      </c>
      <c r="J379" s="832">
        <v>3915.59</v>
      </c>
      <c r="K379" s="832">
        <v>13987.642</v>
      </c>
      <c r="R379" s="820"/>
    </row>
    <row r="380" spans="2:18">
      <c r="B380" s="805" t="str">
        <f t="shared" si="10"/>
        <v>Sun</v>
      </c>
      <c r="C380" s="825">
        <v>44234</v>
      </c>
      <c r="D380" s="831">
        <v>58.18</v>
      </c>
      <c r="E380" s="831">
        <v>135.91</v>
      </c>
      <c r="F380" s="832">
        <v>87.9</v>
      </c>
      <c r="G380" s="832">
        <v>22.592407235289901</v>
      </c>
      <c r="H380" s="831">
        <v>466.01</v>
      </c>
      <c r="I380" s="832">
        <v>81.099999999999994</v>
      </c>
      <c r="J380" s="832">
        <v>3886.83</v>
      </c>
      <c r="K380" s="832">
        <v>13856.296</v>
      </c>
      <c r="R380" s="820"/>
    </row>
    <row r="381" spans="2:18">
      <c r="B381" s="805" t="str">
        <f t="shared" si="10"/>
        <v>Sat</v>
      </c>
      <c r="C381" s="825">
        <v>44233</v>
      </c>
      <c r="D381" s="831">
        <v>58.18</v>
      </c>
      <c r="E381" s="831">
        <v>135.91</v>
      </c>
      <c r="F381" s="832">
        <v>87.9</v>
      </c>
      <c r="G381" s="832">
        <v>22.592407235289901</v>
      </c>
      <c r="H381" s="831">
        <v>466.01</v>
      </c>
      <c r="I381" s="832">
        <v>81.099999999999994</v>
      </c>
      <c r="J381" s="832">
        <v>3886.83</v>
      </c>
      <c r="K381" s="832">
        <v>13856.296</v>
      </c>
      <c r="R381" s="820"/>
    </row>
    <row r="382" spans="2:18">
      <c r="B382" s="805" t="str">
        <f t="shared" si="10"/>
        <v>Fri</v>
      </c>
      <c r="C382" s="825">
        <v>44232</v>
      </c>
      <c r="D382" s="831">
        <v>58.18</v>
      </c>
      <c r="E382" s="831">
        <v>135.91</v>
      </c>
      <c r="F382" s="832">
        <v>87.9</v>
      </c>
      <c r="G382" s="832">
        <v>22.592407235289901</v>
      </c>
      <c r="H382" s="831">
        <v>466.01</v>
      </c>
      <c r="I382" s="832">
        <v>81.099999999999994</v>
      </c>
      <c r="J382" s="832">
        <v>3886.83</v>
      </c>
      <c r="K382" s="832">
        <v>13856.296</v>
      </c>
    </row>
    <row r="383" spans="2:18">
      <c r="B383" s="805" t="str">
        <f t="shared" si="10"/>
        <v>Thu</v>
      </c>
      <c r="C383" s="825">
        <v>44231</v>
      </c>
      <c r="D383" s="831">
        <v>58.79</v>
      </c>
      <c r="E383" s="831">
        <v>136.64250000000001</v>
      </c>
      <c r="F383" s="832">
        <v>87.84</v>
      </c>
      <c r="G383" s="832">
        <v>22.4144710971294</v>
      </c>
      <c r="H383" s="831">
        <v>470.63</v>
      </c>
      <c r="I383" s="832">
        <v>81.25</v>
      </c>
      <c r="J383" s="832">
        <v>3871.74</v>
      </c>
      <c r="K383" s="832">
        <v>13777.743</v>
      </c>
    </row>
    <row r="384" spans="2:18">
      <c r="B384" s="805" t="str">
        <f t="shared" si="10"/>
        <v>Wed</v>
      </c>
      <c r="C384" s="825">
        <v>44230</v>
      </c>
      <c r="D384" s="831">
        <v>57.68</v>
      </c>
      <c r="E384" s="831">
        <v>135.30500000000001</v>
      </c>
      <c r="F384" s="832">
        <v>87.89</v>
      </c>
      <c r="G384" s="832">
        <v>22.553161022409999</v>
      </c>
      <c r="H384" s="831">
        <v>465.19</v>
      </c>
      <c r="I384" s="832">
        <v>79.11</v>
      </c>
      <c r="J384" s="832">
        <v>3830.17</v>
      </c>
      <c r="K384" s="832">
        <v>13610.543</v>
      </c>
    </row>
    <row r="385" spans="2:11">
      <c r="B385" s="805" t="str">
        <f t="shared" si="10"/>
        <v>Tue</v>
      </c>
      <c r="C385" s="825">
        <v>44229</v>
      </c>
      <c r="D385" s="831">
        <v>58</v>
      </c>
      <c r="E385" s="831">
        <v>135.5675</v>
      </c>
      <c r="F385" s="832">
        <v>88.86</v>
      </c>
      <c r="G385" s="832">
        <v>22.623948451762999</v>
      </c>
      <c r="H385" s="831">
        <v>476.88</v>
      </c>
      <c r="I385" s="832">
        <v>81.62</v>
      </c>
      <c r="J385" s="832">
        <v>3826.31</v>
      </c>
      <c r="K385" s="832">
        <v>13612.777</v>
      </c>
    </row>
    <row r="386" spans="2:11">
      <c r="B386" s="805" t="str">
        <f t="shared" si="10"/>
        <v>Mon</v>
      </c>
      <c r="C386" s="825">
        <v>44228</v>
      </c>
      <c r="D386" s="831">
        <v>56.69</v>
      </c>
      <c r="E386" s="831">
        <v>132.37</v>
      </c>
      <c r="F386" s="832">
        <v>87.66</v>
      </c>
      <c r="G386" s="832">
        <v>21.815195658383299</v>
      </c>
      <c r="H386" s="831">
        <v>466.74</v>
      </c>
      <c r="I386" s="832">
        <v>80.430000000000007</v>
      </c>
      <c r="J386" s="832">
        <v>3773.86</v>
      </c>
      <c r="K386" s="832">
        <v>13403.394</v>
      </c>
    </row>
    <row r="387" spans="2:11">
      <c r="B387" s="805" t="str">
        <f t="shared" si="10"/>
        <v>Sun</v>
      </c>
      <c r="C387" s="825">
        <v>44227</v>
      </c>
      <c r="D387" s="831">
        <v>55.51</v>
      </c>
      <c r="E387" s="831">
        <v>129.89750000000001</v>
      </c>
      <c r="F387" s="832">
        <v>85.64</v>
      </c>
      <c r="G387" s="832">
        <v>21.106389057533701</v>
      </c>
      <c r="H387" s="831">
        <v>450.5</v>
      </c>
      <c r="I387" s="832">
        <v>78.27</v>
      </c>
      <c r="J387" s="832">
        <v>3714.24</v>
      </c>
      <c r="K387" s="832">
        <v>13070.695</v>
      </c>
    </row>
    <row r="388" spans="2:11">
      <c r="B388" s="805" t="str">
        <f t="shared" si="10"/>
        <v>Sat</v>
      </c>
      <c r="C388" s="825">
        <v>44226</v>
      </c>
      <c r="D388" s="831">
        <v>55.51</v>
      </c>
      <c r="E388" s="831">
        <v>129.89750000000001</v>
      </c>
      <c r="F388" s="832">
        <v>85.64</v>
      </c>
      <c r="G388" s="832">
        <v>21.106389057533701</v>
      </c>
      <c r="H388" s="831">
        <v>450.5</v>
      </c>
      <c r="I388" s="832">
        <v>78.27</v>
      </c>
      <c r="J388" s="832">
        <v>3714.24</v>
      </c>
      <c r="K388" s="832">
        <v>13070.695</v>
      </c>
    </row>
    <row r="389" spans="2:11">
      <c r="B389" s="805" t="str">
        <f t="shared" si="10"/>
        <v>Fri</v>
      </c>
      <c r="C389" s="825">
        <v>44225</v>
      </c>
      <c r="D389" s="831">
        <v>55.51</v>
      </c>
      <c r="E389" s="831">
        <v>129.89750000000001</v>
      </c>
      <c r="F389" s="832">
        <v>85.64</v>
      </c>
      <c r="G389" s="832">
        <v>21.106389057533701</v>
      </c>
      <c r="H389" s="831">
        <v>450.5</v>
      </c>
      <c r="I389" s="832">
        <v>78.27</v>
      </c>
      <c r="J389" s="832">
        <v>3714.24</v>
      </c>
      <c r="K389" s="832">
        <v>13070.695</v>
      </c>
    </row>
    <row r="390" spans="2:11">
      <c r="B390" s="805" t="str">
        <f t="shared" si="10"/>
        <v>Thu</v>
      </c>
      <c r="C390" s="825">
        <v>44224</v>
      </c>
      <c r="D390" s="831">
        <v>56.064999999999998</v>
      </c>
      <c r="E390" s="831">
        <v>130.51</v>
      </c>
      <c r="F390" s="832">
        <v>87.52</v>
      </c>
      <c r="G390" s="832">
        <v>21.4719542693819</v>
      </c>
      <c r="H390" s="831">
        <v>451.74</v>
      </c>
      <c r="I390" s="832">
        <v>78.39</v>
      </c>
      <c r="J390" s="832">
        <v>3787.38</v>
      </c>
      <c r="K390" s="832">
        <v>13337.157999999999</v>
      </c>
    </row>
    <row r="391" spans="2:11">
      <c r="B391" s="805" t="str">
        <f t="shared" si="10"/>
        <v>Wed</v>
      </c>
      <c r="C391" s="825">
        <v>44223</v>
      </c>
      <c r="D391" s="831">
        <v>53.59</v>
      </c>
      <c r="E391" s="831">
        <v>129.17750000000001</v>
      </c>
      <c r="F391" s="832">
        <v>88.84</v>
      </c>
      <c r="G391" s="832">
        <v>21.985486004361402</v>
      </c>
      <c r="H391" s="831">
        <v>444.7</v>
      </c>
      <c r="I391" s="832">
        <v>75.09</v>
      </c>
      <c r="J391" s="832">
        <v>3750.77</v>
      </c>
      <c r="K391" s="832">
        <v>13270.598</v>
      </c>
    </row>
    <row r="392" spans="2:11">
      <c r="B392" s="805" t="str">
        <f t="shared" ref="B392:B455" si="11">TEXT(C392,"DDD")</f>
        <v>Tue</v>
      </c>
      <c r="C392" s="825">
        <v>44222</v>
      </c>
      <c r="D392" s="831">
        <v>55.21</v>
      </c>
      <c r="E392" s="831">
        <v>134.35249999999999</v>
      </c>
      <c r="F392" s="832">
        <v>94.71</v>
      </c>
      <c r="G392" s="832">
        <v>22.038075508090099</v>
      </c>
      <c r="H392" s="831">
        <v>463.87</v>
      </c>
      <c r="I392" s="832">
        <v>79.510000000000005</v>
      </c>
      <c r="J392" s="832">
        <v>3849.62</v>
      </c>
      <c r="K392" s="832">
        <v>13626.065000000001</v>
      </c>
    </row>
    <row r="393" spans="2:11">
      <c r="B393" s="805" t="str">
        <f t="shared" si="11"/>
        <v>Mon</v>
      </c>
      <c r="C393" s="825">
        <v>44221</v>
      </c>
      <c r="D393" s="831">
        <v>55.44</v>
      </c>
      <c r="E393" s="831">
        <v>136.5325</v>
      </c>
      <c r="F393" s="832">
        <v>94.13</v>
      </c>
      <c r="G393" s="832">
        <v>22.620876961012002</v>
      </c>
      <c r="H393" s="831">
        <v>464.79</v>
      </c>
      <c r="I393" s="832">
        <v>81.28</v>
      </c>
      <c r="J393" s="832">
        <v>3855.36</v>
      </c>
      <c r="K393" s="832">
        <v>13635.992</v>
      </c>
    </row>
    <row r="394" spans="2:11">
      <c r="B394" s="805" t="str">
        <f t="shared" si="11"/>
        <v>Sun</v>
      </c>
      <c r="C394" s="825">
        <v>44220</v>
      </c>
      <c r="D394" s="831">
        <v>56.66</v>
      </c>
      <c r="E394" s="831">
        <v>137.125</v>
      </c>
      <c r="F394" s="832">
        <v>92.79</v>
      </c>
      <c r="G394" s="832">
        <v>23.2183743560389</v>
      </c>
      <c r="H394" s="831">
        <v>465.02</v>
      </c>
      <c r="I394" s="832">
        <v>82.28</v>
      </c>
      <c r="J394" s="832">
        <v>3841.47</v>
      </c>
      <c r="K394" s="832">
        <v>13543.062</v>
      </c>
    </row>
    <row r="395" spans="2:11">
      <c r="B395" s="805" t="str">
        <f t="shared" si="11"/>
        <v>Sat</v>
      </c>
      <c r="C395" s="825">
        <v>44219</v>
      </c>
      <c r="D395" s="831">
        <v>56.66</v>
      </c>
      <c r="E395" s="831">
        <v>137.125</v>
      </c>
      <c r="F395" s="832">
        <v>92.79</v>
      </c>
      <c r="G395" s="832">
        <v>23.2183743560389</v>
      </c>
      <c r="H395" s="831">
        <v>465.02</v>
      </c>
      <c r="I395" s="832">
        <v>82.28</v>
      </c>
      <c r="J395" s="832">
        <v>3841.47</v>
      </c>
      <c r="K395" s="832">
        <v>13543.062</v>
      </c>
    </row>
    <row r="396" spans="2:11">
      <c r="B396" s="805" t="str">
        <f t="shared" si="11"/>
        <v>Fri</v>
      </c>
      <c r="C396" s="825">
        <v>44218</v>
      </c>
      <c r="D396" s="831">
        <v>56.66</v>
      </c>
      <c r="E396" s="831">
        <v>137.125</v>
      </c>
      <c r="F396" s="832">
        <v>92.79</v>
      </c>
      <c r="G396" s="832">
        <v>23.2183743560389</v>
      </c>
      <c r="H396" s="831">
        <v>465.02</v>
      </c>
      <c r="I396" s="832">
        <v>82.28</v>
      </c>
      <c r="J396" s="832">
        <v>3841.47</v>
      </c>
      <c r="K396" s="832">
        <v>13543.062</v>
      </c>
    </row>
    <row r="397" spans="2:11">
      <c r="B397" s="805" t="str">
        <f t="shared" si="11"/>
        <v>Thu</v>
      </c>
      <c r="C397" s="825">
        <v>44217</v>
      </c>
      <c r="D397" s="831">
        <v>62.46</v>
      </c>
      <c r="E397" s="831">
        <v>138.67500000000001</v>
      </c>
      <c r="F397" s="832">
        <v>91.53</v>
      </c>
      <c r="G397" s="832">
        <v>24.079573508891201</v>
      </c>
      <c r="H397" s="831">
        <v>466.82</v>
      </c>
      <c r="I397" s="832">
        <v>85.01</v>
      </c>
      <c r="J397" s="832">
        <v>3853.07</v>
      </c>
      <c r="K397" s="832">
        <v>13530.915000000001</v>
      </c>
    </row>
    <row r="398" spans="2:11">
      <c r="B398" s="805" t="str">
        <f t="shared" si="11"/>
        <v>Wed</v>
      </c>
      <c r="C398" s="825">
        <v>44216</v>
      </c>
      <c r="D398" s="831">
        <v>58.67</v>
      </c>
      <c r="E398" s="831">
        <v>133.6575</v>
      </c>
      <c r="F398" s="832">
        <v>88.75</v>
      </c>
      <c r="G398" s="832">
        <v>23.1360629358126</v>
      </c>
      <c r="H398" s="831">
        <v>461.88</v>
      </c>
      <c r="I398" s="832">
        <v>83.5</v>
      </c>
      <c r="J398" s="832">
        <v>3851.85</v>
      </c>
      <c r="K398" s="832">
        <v>13457.248</v>
      </c>
    </row>
    <row r="399" spans="2:11">
      <c r="B399" s="805" t="str">
        <f t="shared" si="11"/>
        <v>Tue</v>
      </c>
      <c r="C399" s="825">
        <v>44215</v>
      </c>
      <c r="D399" s="831">
        <v>57.99</v>
      </c>
      <c r="E399" s="831">
        <v>130.2525</v>
      </c>
      <c r="F399" s="832">
        <v>89.45</v>
      </c>
      <c r="G399" s="832">
        <v>22.3944567469105</v>
      </c>
      <c r="H399" s="831">
        <v>459.27</v>
      </c>
      <c r="I399" s="832">
        <v>85.5</v>
      </c>
      <c r="J399" s="832">
        <v>3798.91</v>
      </c>
      <c r="K399" s="832">
        <v>13197.179</v>
      </c>
    </row>
    <row r="400" spans="2:11">
      <c r="B400" s="805" t="str">
        <f t="shared" si="11"/>
        <v>Mon</v>
      </c>
      <c r="C400" s="825">
        <v>44214</v>
      </c>
      <c r="D400" s="831">
        <v>57.58</v>
      </c>
      <c r="E400" s="831">
        <v>128.595</v>
      </c>
      <c r="F400" s="832">
        <v>88.21</v>
      </c>
      <c r="G400" s="832">
        <v>21.696393466061402</v>
      </c>
      <c r="H400" s="831">
        <v>445.85</v>
      </c>
      <c r="I400" s="832">
        <v>80.72</v>
      </c>
      <c r="J400" s="832">
        <v>3768.25</v>
      </c>
      <c r="K400" s="832">
        <v>12998.502</v>
      </c>
    </row>
    <row r="401" spans="2:11">
      <c r="B401" s="805" t="str">
        <f t="shared" si="11"/>
        <v>Sun</v>
      </c>
      <c r="C401" s="825">
        <v>44213</v>
      </c>
      <c r="D401" s="831">
        <v>57.58</v>
      </c>
      <c r="E401" s="831">
        <v>128.595</v>
      </c>
      <c r="F401" s="832">
        <v>88.21</v>
      </c>
      <c r="G401" s="832">
        <v>21.479628305932799</v>
      </c>
      <c r="H401" s="831">
        <v>445.85</v>
      </c>
      <c r="I401" s="832">
        <v>80.72</v>
      </c>
      <c r="J401" s="832">
        <v>3768.25</v>
      </c>
      <c r="K401" s="832">
        <v>12998.502</v>
      </c>
    </row>
    <row r="402" spans="2:11">
      <c r="B402" s="805" t="str">
        <f t="shared" si="11"/>
        <v>Sat</v>
      </c>
      <c r="C402" s="825">
        <v>44212</v>
      </c>
      <c r="D402" s="831">
        <v>57.58</v>
      </c>
      <c r="E402" s="831">
        <v>128.595</v>
      </c>
      <c r="F402" s="832">
        <v>88.21</v>
      </c>
      <c r="G402" s="832">
        <v>21.479628305932799</v>
      </c>
      <c r="H402" s="831">
        <v>445.85</v>
      </c>
      <c r="I402" s="832">
        <v>80.72</v>
      </c>
      <c r="J402" s="832">
        <v>3768.25</v>
      </c>
      <c r="K402" s="832">
        <v>12998.502</v>
      </c>
    </row>
    <row r="403" spans="2:11">
      <c r="B403" s="805" t="str">
        <f t="shared" si="11"/>
        <v>Fri</v>
      </c>
      <c r="C403" s="825">
        <v>44211</v>
      </c>
      <c r="D403" s="831">
        <v>57.58</v>
      </c>
      <c r="E403" s="831">
        <v>128.595</v>
      </c>
      <c r="F403" s="832">
        <v>88.21</v>
      </c>
      <c r="G403" s="832">
        <v>21.479628305932799</v>
      </c>
      <c r="H403" s="831">
        <v>445.85</v>
      </c>
      <c r="I403" s="832">
        <v>80.72</v>
      </c>
      <c r="J403" s="832">
        <v>3768.25</v>
      </c>
      <c r="K403" s="832">
        <v>12998.502</v>
      </c>
    </row>
    <row r="404" spans="2:11">
      <c r="B404" s="805" t="str">
        <f t="shared" si="11"/>
        <v>Thu</v>
      </c>
      <c r="C404" s="825">
        <v>44210</v>
      </c>
      <c r="D404" s="831">
        <v>59.25</v>
      </c>
      <c r="E404" s="831">
        <v>132.0025</v>
      </c>
      <c r="F404" s="832">
        <v>90.79</v>
      </c>
      <c r="G404" s="832">
        <v>21.1549456832476</v>
      </c>
      <c r="H404" s="831">
        <v>452.07</v>
      </c>
      <c r="I404" s="832">
        <v>81.3</v>
      </c>
      <c r="J404" s="832">
        <v>3795.54</v>
      </c>
      <c r="K404" s="832">
        <v>13112.637000000001</v>
      </c>
    </row>
    <row r="405" spans="2:11">
      <c r="B405" s="805" t="str">
        <f t="shared" si="11"/>
        <v>Wed</v>
      </c>
      <c r="C405" s="825">
        <v>44209</v>
      </c>
      <c r="D405" s="831">
        <v>56.95</v>
      </c>
      <c r="E405" s="831">
        <v>135.3175</v>
      </c>
      <c r="F405" s="832">
        <v>91.78</v>
      </c>
      <c r="G405" s="832">
        <v>21.6187243165982</v>
      </c>
      <c r="H405" s="831">
        <v>451.21</v>
      </c>
      <c r="I405" s="832">
        <v>79.91</v>
      </c>
      <c r="J405" s="832">
        <v>3809.84</v>
      </c>
      <c r="K405" s="832">
        <v>13128.950999999999</v>
      </c>
    </row>
    <row r="406" spans="2:11">
      <c r="B406" s="805" t="str">
        <f t="shared" si="11"/>
        <v>Tue</v>
      </c>
      <c r="C406" s="825">
        <v>44208</v>
      </c>
      <c r="D406" s="831">
        <v>53.24</v>
      </c>
      <c r="E406" s="831">
        <v>134.8475</v>
      </c>
      <c r="F406" s="832">
        <v>95.355000000000004</v>
      </c>
      <c r="G406" s="832">
        <v>21.122230164403099</v>
      </c>
      <c r="H406" s="831">
        <v>449.39</v>
      </c>
      <c r="I406" s="832">
        <v>79.459999999999994</v>
      </c>
      <c r="J406" s="832">
        <v>3801.19</v>
      </c>
      <c r="K406" s="832">
        <v>13072.433999999999</v>
      </c>
    </row>
    <row r="407" spans="2:11">
      <c r="B407" s="805" t="str">
        <f t="shared" si="11"/>
        <v>Mon</v>
      </c>
      <c r="C407" s="825">
        <v>44207</v>
      </c>
      <c r="D407" s="831">
        <v>51.54</v>
      </c>
      <c r="E407" s="831">
        <v>136.215</v>
      </c>
      <c r="F407" s="832">
        <v>97.25</v>
      </c>
      <c r="G407" s="832">
        <v>20.843743307873499</v>
      </c>
      <c r="H407" s="831">
        <v>445.76</v>
      </c>
      <c r="I407" s="832">
        <v>78.67</v>
      </c>
      <c r="J407" s="832">
        <v>3799.61</v>
      </c>
      <c r="K407" s="832">
        <v>13036.431</v>
      </c>
    </row>
    <row r="408" spans="2:11">
      <c r="B408" s="805" t="str">
        <f t="shared" si="11"/>
        <v>Sun</v>
      </c>
      <c r="C408" s="825">
        <v>44206</v>
      </c>
      <c r="D408" s="831">
        <v>51.65</v>
      </c>
      <c r="E408" s="831">
        <v>132.76750000000001</v>
      </c>
      <c r="F408" s="832">
        <v>94.58</v>
      </c>
      <c r="G408" s="832">
        <v>20.712806228126599</v>
      </c>
      <c r="H408" s="831">
        <v>445.64</v>
      </c>
      <c r="I408" s="832">
        <v>77.42</v>
      </c>
      <c r="J408" s="832">
        <v>3824.68</v>
      </c>
      <c r="K408" s="832">
        <v>13201.975</v>
      </c>
    </row>
    <row r="409" spans="2:11">
      <c r="B409" s="805" t="str">
        <f t="shared" si="11"/>
        <v>Sat</v>
      </c>
      <c r="C409" s="825">
        <v>44205</v>
      </c>
      <c r="D409" s="831">
        <v>51.65</v>
      </c>
      <c r="E409" s="831">
        <v>132.76750000000001</v>
      </c>
      <c r="F409" s="832">
        <v>94.58</v>
      </c>
      <c r="G409" s="832">
        <v>20.712806228126599</v>
      </c>
      <c r="H409" s="831">
        <v>445.64</v>
      </c>
      <c r="I409" s="832">
        <v>77.42</v>
      </c>
      <c r="J409" s="832">
        <v>3824.68</v>
      </c>
      <c r="K409" s="832">
        <v>13201.975</v>
      </c>
    </row>
    <row r="410" spans="2:11">
      <c r="B410" s="805" t="str">
        <f t="shared" si="11"/>
        <v>Fri</v>
      </c>
      <c r="C410" s="825">
        <v>44204</v>
      </c>
      <c r="D410" s="831">
        <v>51.65</v>
      </c>
      <c r="E410" s="831">
        <v>132.76750000000001</v>
      </c>
      <c r="F410" s="832">
        <v>94.58</v>
      </c>
      <c r="G410" s="832">
        <v>20.712806228126599</v>
      </c>
      <c r="H410" s="831">
        <v>445.64</v>
      </c>
      <c r="I410" s="832">
        <v>77.42</v>
      </c>
      <c r="J410" s="832">
        <v>3824.68</v>
      </c>
      <c r="K410" s="832">
        <v>13201.975</v>
      </c>
    </row>
    <row r="411" spans="2:11">
      <c r="B411" s="805" t="str">
        <f t="shared" si="11"/>
        <v>Thu</v>
      </c>
      <c r="C411" s="825">
        <v>44203</v>
      </c>
      <c r="D411" s="831">
        <v>52.19</v>
      </c>
      <c r="E411" s="831">
        <v>133.44</v>
      </c>
      <c r="F411" s="832">
        <v>95.16</v>
      </c>
      <c r="G411" s="832">
        <v>20.1562555741857</v>
      </c>
      <c r="H411" s="831">
        <v>443.39</v>
      </c>
      <c r="I411" s="832">
        <v>79.11</v>
      </c>
      <c r="J411" s="832">
        <v>3803.79</v>
      </c>
      <c r="K411" s="832">
        <v>13067.48</v>
      </c>
    </row>
    <row r="412" spans="2:11">
      <c r="B412" s="805" t="str">
        <f t="shared" si="11"/>
        <v>Wed</v>
      </c>
      <c r="C412" s="825">
        <v>44202</v>
      </c>
      <c r="D412" s="831">
        <v>51.1</v>
      </c>
      <c r="E412" s="831">
        <v>126.145</v>
      </c>
      <c r="F412" s="832">
        <v>90.33</v>
      </c>
      <c r="G412" s="832">
        <v>19.609243847555099</v>
      </c>
      <c r="H412" s="831">
        <v>425.46</v>
      </c>
      <c r="I412" s="832">
        <v>77.11</v>
      </c>
      <c r="J412" s="832">
        <v>3748.14</v>
      </c>
      <c r="K412" s="832">
        <v>12740.794</v>
      </c>
    </row>
    <row r="413" spans="2:11">
      <c r="B413" s="805" t="str">
        <f t="shared" si="11"/>
        <v>Tue</v>
      </c>
      <c r="C413" s="825">
        <v>44201</v>
      </c>
      <c r="D413" s="831">
        <v>50.61</v>
      </c>
      <c r="E413" s="831">
        <v>134.04750000000001</v>
      </c>
      <c r="F413" s="832">
        <v>92.77</v>
      </c>
      <c r="G413" s="832">
        <v>19.3841421980616</v>
      </c>
      <c r="H413" s="831">
        <v>428.1</v>
      </c>
      <c r="I413" s="832">
        <v>77.260000000000005</v>
      </c>
      <c r="J413" s="832">
        <v>3726.86</v>
      </c>
      <c r="K413" s="832">
        <v>12818.96</v>
      </c>
    </row>
    <row r="414" spans="2:11">
      <c r="B414" s="805" t="str">
        <f t="shared" si="11"/>
        <v>Mon</v>
      </c>
      <c r="C414" s="825">
        <v>44200</v>
      </c>
      <c r="D414" s="831">
        <v>49.67</v>
      </c>
      <c r="E414" s="831">
        <v>131.13499999999999</v>
      </c>
      <c r="F414" s="832">
        <v>92.3</v>
      </c>
      <c r="G414" s="832">
        <v>19.0883190883191</v>
      </c>
      <c r="H414" s="831">
        <v>425.22</v>
      </c>
      <c r="I414" s="832">
        <v>74.05</v>
      </c>
      <c r="J414" s="832">
        <v>3700.65</v>
      </c>
      <c r="K414" s="832">
        <v>12698.447</v>
      </c>
    </row>
    <row r="415" spans="2:11">
      <c r="B415" s="805" t="str">
        <f t="shared" si="11"/>
        <v>Sun</v>
      </c>
      <c r="C415" s="825">
        <v>44199</v>
      </c>
      <c r="D415" s="831">
        <v>49.82</v>
      </c>
      <c r="E415" s="831">
        <v>130.55000000000001</v>
      </c>
      <c r="F415" s="832">
        <v>91.71</v>
      </c>
      <c r="G415" s="832">
        <v>18.878005342831699</v>
      </c>
      <c r="H415" s="831">
        <v>437.85</v>
      </c>
      <c r="I415" s="832">
        <v>75.180000000000007</v>
      </c>
      <c r="J415" s="832">
        <v>3756.07</v>
      </c>
      <c r="K415" s="832">
        <v>12888.281999999999</v>
      </c>
    </row>
    <row r="416" spans="2:11">
      <c r="B416" s="805" t="str">
        <f t="shared" si="11"/>
        <v>Sat</v>
      </c>
      <c r="C416" s="825">
        <v>44198</v>
      </c>
      <c r="D416" s="831">
        <v>49.82</v>
      </c>
      <c r="E416" s="831">
        <v>130.55000000000001</v>
      </c>
      <c r="F416" s="832">
        <v>91.71</v>
      </c>
      <c r="G416" s="832">
        <v>18.878005342831699</v>
      </c>
      <c r="H416" s="831">
        <v>437.85</v>
      </c>
      <c r="I416" s="832">
        <v>75.180000000000007</v>
      </c>
      <c r="J416" s="832">
        <v>3756.07</v>
      </c>
      <c r="K416" s="832">
        <v>12888.281999999999</v>
      </c>
    </row>
    <row r="417" spans="2:11">
      <c r="B417" s="805" t="str">
        <f t="shared" si="11"/>
        <v>Fri</v>
      </c>
      <c r="C417" s="825">
        <v>44197</v>
      </c>
      <c r="D417" s="831">
        <v>49.82</v>
      </c>
      <c r="E417" s="831">
        <v>130.55000000000001</v>
      </c>
      <c r="F417" s="832">
        <v>91.71</v>
      </c>
      <c r="G417" s="832">
        <v>18.878005342831699</v>
      </c>
      <c r="H417" s="831">
        <v>437.85</v>
      </c>
      <c r="I417" s="832">
        <v>75.180000000000007</v>
      </c>
      <c r="J417" s="832">
        <v>3756.07</v>
      </c>
      <c r="K417" s="832">
        <v>12888.281999999999</v>
      </c>
    </row>
    <row r="418" spans="2:11">
      <c r="B418" s="805" t="str">
        <f t="shared" si="11"/>
        <v>Thu</v>
      </c>
      <c r="C418" s="825">
        <v>44196</v>
      </c>
      <c r="D418" s="831">
        <v>49.82</v>
      </c>
      <c r="E418" s="831">
        <v>130.55000000000001</v>
      </c>
      <c r="F418" s="832">
        <v>91.71</v>
      </c>
      <c r="G418" s="832">
        <v>18.878005342831699</v>
      </c>
      <c r="H418" s="831">
        <v>437.85</v>
      </c>
      <c r="I418" s="832">
        <v>75.180000000000007</v>
      </c>
      <c r="J418" s="832">
        <v>3756.07</v>
      </c>
      <c r="K418" s="832">
        <v>12888.281999999999</v>
      </c>
    </row>
    <row r="419" spans="2:11">
      <c r="B419" s="805" t="str">
        <f t="shared" si="11"/>
        <v>Wed</v>
      </c>
      <c r="C419" s="825">
        <v>44195</v>
      </c>
      <c r="D419" s="831">
        <v>48.75</v>
      </c>
      <c r="E419" s="831">
        <v>131.45750000000001</v>
      </c>
      <c r="F419" s="832">
        <v>92.29</v>
      </c>
      <c r="G419" s="832">
        <v>18.677291970543202</v>
      </c>
      <c r="H419" s="831">
        <v>434.83</v>
      </c>
      <c r="I419" s="832">
        <v>71.92</v>
      </c>
      <c r="J419" s="832">
        <v>3732.04</v>
      </c>
      <c r="K419" s="832">
        <v>12870.002</v>
      </c>
    </row>
    <row r="420" spans="2:11">
      <c r="B420" s="805" t="str">
        <f t="shared" si="11"/>
        <v>Tue</v>
      </c>
      <c r="C420" s="825">
        <v>44194</v>
      </c>
      <c r="D420" s="831">
        <v>49.39</v>
      </c>
      <c r="E420" s="831">
        <v>129.4325</v>
      </c>
      <c r="F420" s="832">
        <v>90.62</v>
      </c>
      <c r="G420" s="832">
        <v>18.3313162952944</v>
      </c>
      <c r="H420" s="831">
        <v>429.04</v>
      </c>
      <c r="I420" s="832">
        <v>70.209999999999994</v>
      </c>
      <c r="J420" s="832">
        <v>3727.04</v>
      </c>
      <c r="K420" s="832">
        <v>12850.221</v>
      </c>
    </row>
    <row r="421" spans="2:11">
      <c r="B421" s="805" t="str">
        <f t="shared" si="11"/>
        <v>Mon</v>
      </c>
      <c r="C421" s="825">
        <v>44193</v>
      </c>
      <c r="D421" s="831">
        <v>47.07</v>
      </c>
      <c r="E421" s="831">
        <v>129</v>
      </c>
      <c r="F421" s="832">
        <v>91.6</v>
      </c>
      <c r="G421" s="832">
        <v>18.315669677786499</v>
      </c>
      <c r="H421" s="831">
        <v>431.88</v>
      </c>
      <c r="I421" s="832">
        <v>70.66</v>
      </c>
      <c r="J421" s="832">
        <v>3735.36</v>
      </c>
      <c r="K421" s="832">
        <v>12899.423000000001</v>
      </c>
    </row>
    <row r="422" spans="2:11">
      <c r="B422" s="805" t="str">
        <f t="shared" si="11"/>
        <v>Sun</v>
      </c>
      <c r="C422" s="825">
        <v>44192</v>
      </c>
      <c r="D422" s="831">
        <v>47.07</v>
      </c>
      <c r="E422" s="831">
        <v>129.9375</v>
      </c>
      <c r="F422" s="832">
        <v>91.81</v>
      </c>
      <c r="G422" s="832">
        <v>18.170180990648198</v>
      </c>
      <c r="H422" s="831">
        <v>431.46</v>
      </c>
      <c r="I422" s="832">
        <v>70.58</v>
      </c>
      <c r="J422" s="832">
        <v>3703.06</v>
      </c>
      <c r="K422" s="832">
        <v>12804.734</v>
      </c>
    </row>
    <row r="423" spans="2:11">
      <c r="B423" s="805" t="str">
        <f t="shared" si="11"/>
        <v>Sat</v>
      </c>
      <c r="C423" s="825">
        <v>44191</v>
      </c>
      <c r="D423" s="831">
        <v>47.07</v>
      </c>
      <c r="E423" s="831">
        <v>129.9375</v>
      </c>
      <c r="F423" s="832">
        <v>91.81</v>
      </c>
      <c r="G423" s="832">
        <v>18.170180990648198</v>
      </c>
      <c r="H423" s="831">
        <v>431.46</v>
      </c>
      <c r="I423" s="832">
        <v>70.58</v>
      </c>
      <c r="J423" s="832">
        <v>3703.06</v>
      </c>
      <c r="K423" s="832">
        <v>12804.734</v>
      </c>
    </row>
    <row r="424" spans="2:11">
      <c r="B424" s="805" t="str">
        <f t="shared" si="11"/>
        <v>Fri</v>
      </c>
      <c r="C424" s="825">
        <v>44190</v>
      </c>
      <c r="D424" s="831">
        <v>47.07</v>
      </c>
      <c r="E424" s="831">
        <v>129.9375</v>
      </c>
      <c r="F424" s="832">
        <v>91.81</v>
      </c>
      <c r="G424" s="832">
        <v>18.170180990648198</v>
      </c>
      <c r="H424" s="831">
        <v>431.46</v>
      </c>
      <c r="I424" s="832">
        <v>70.58</v>
      </c>
      <c r="J424" s="832">
        <v>3703.06</v>
      </c>
      <c r="K424" s="832">
        <v>12804.734</v>
      </c>
    </row>
    <row r="425" spans="2:11">
      <c r="B425" s="805" t="str">
        <f t="shared" si="11"/>
        <v>Thu</v>
      </c>
      <c r="C425" s="825">
        <v>44189</v>
      </c>
      <c r="D425" s="831">
        <v>47.07</v>
      </c>
      <c r="E425" s="831">
        <v>129.9375</v>
      </c>
      <c r="F425" s="832">
        <v>91.81</v>
      </c>
      <c r="G425" s="832">
        <v>18.1455916886074</v>
      </c>
      <c r="H425" s="831">
        <v>431.46</v>
      </c>
      <c r="I425" s="832">
        <v>70.58</v>
      </c>
      <c r="J425" s="832">
        <v>3703.06</v>
      </c>
      <c r="K425" s="832">
        <v>12804.734</v>
      </c>
    </row>
    <row r="426" spans="2:11">
      <c r="B426" s="805" t="str">
        <f t="shared" si="11"/>
        <v>Wed</v>
      </c>
      <c r="C426" s="825">
        <v>44188</v>
      </c>
      <c r="D426" s="831">
        <v>46.57</v>
      </c>
      <c r="E426" s="831">
        <v>130.0925</v>
      </c>
      <c r="F426" s="832">
        <v>91.55</v>
      </c>
      <c r="G426" s="832">
        <v>18.0919883415085</v>
      </c>
      <c r="H426" s="831">
        <v>425.46</v>
      </c>
      <c r="I426" s="832">
        <v>69.95</v>
      </c>
      <c r="J426" s="832">
        <v>3690.01</v>
      </c>
      <c r="K426" s="832">
        <v>12771.114</v>
      </c>
    </row>
    <row r="427" spans="2:11">
      <c r="B427" s="805" t="str">
        <f t="shared" si="11"/>
        <v>Tue</v>
      </c>
      <c r="C427" s="825">
        <v>44187</v>
      </c>
      <c r="D427" s="831">
        <v>46.17</v>
      </c>
      <c r="E427" s="831">
        <v>132.7825</v>
      </c>
      <c r="F427" s="832">
        <v>93.16</v>
      </c>
      <c r="G427" s="832">
        <v>18.090059352454102</v>
      </c>
      <c r="H427" s="831">
        <v>433.1</v>
      </c>
      <c r="I427" s="832">
        <v>70.44</v>
      </c>
      <c r="J427" s="832">
        <v>3687.26</v>
      </c>
      <c r="K427" s="832">
        <v>12807.918</v>
      </c>
    </row>
    <row r="428" spans="2:11">
      <c r="B428" s="805" t="str">
        <f t="shared" si="11"/>
        <v>Mon</v>
      </c>
      <c r="C428" s="825">
        <v>44186</v>
      </c>
      <c r="D428" s="831">
        <v>46.36</v>
      </c>
      <c r="E428" s="831">
        <v>133.32249999999999</v>
      </c>
      <c r="F428" s="832">
        <v>93.23</v>
      </c>
      <c r="G428" s="832">
        <v>18.338842094039901</v>
      </c>
      <c r="H428" s="831">
        <v>428.88</v>
      </c>
      <c r="I428" s="832">
        <v>71.47</v>
      </c>
      <c r="J428" s="832">
        <v>3694.92</v>
      </c>
      <c r="K428" s="832">
        <v>12742.516</v>
      </c>
    </row>
    <row r="429" spans="2:11">
      <c r="B429" s="805" t="str">
        <f t="shared" si="11"/>
        <v>Sun</v>
      </c>
      <c r="C429" s="825">
        <v>44185</v>
      </c>
      <c r="D429" s="831">
        <v>47.46</v>
      </c>
      <c r="E429" s="831">
        <v>132.72</v>
      </c>
      <c r="F429" s="832">
        <v>95.92</v>
      </c>
      <c r="G429" s="832">
        <v>18.114655111174301</v>
      </c>
      <c r="H429" s="831">
        <v>434.56</v>
      </c>
      <c r="I429" s="832">
        <v>71.459999999999994</v>
      </c>
      <c r="J429" s="832">
        <v>3709.41</v>
      </c>
      <c r="K429" s="832">
        <v>12755.638000000001</v>
      </c>
    </row>
    <row r="430" spans="2:11">
      <c r="B430" s="805" t="str">
        <f t="shared" si="11"/>
        <v>Sat</v>
      </c>
      <c r="C430" s="825">
        <v>44184</v>
      </c>
      <c r="D430" s="831">
        <v>47.46</v>
      </c>
      <c r="E430" s="831">
        <v>132.72</v>
      </c>
      <c r="F430" s="832">
        <v>95.92</v>
      </c>
      <c r="G430" s="832">
        <v>18.114655111174301</v>
      </c>
      <c r="H430" s="831">
        <v>434.56</v>
      </c>
      <c r="I430" s="832">
        <v>71.459999999999994</v>
      </c>
      <c r="J430" s="832">
        <v>3709.41</v>
      </c>
      <c r="K430" s="832">
        <v>12755.638000000001</v>
      </c>
    </row>
    <row r="431" spans="2:11">
      <c r="B431" s="805" t="str">
        <f t="shared" si="11"/>
        <v>Fri</v>
      </c>
      <c r="C431" s="825">
        <v>44183</v>
      </c>
      <c r="D431" s="831">
        <v>47.46</v>
      </c>
      <c r="E431" s="831">
        <v>132.72</v>
      </c>
      <c r="F431" s="832">
        <v>95.92</v>
      </c>
      <c r="G431" s="832">
        <v>18.114655111174301</v>
      </c>
      <c r="H431" s="831">
        <v>434.56</v>
      </c>
      <c r="I431" s="832">
        <v>71.459999999999994</v>
      </c>
      <c r="J431" s="832">
        <v>3709.41</v>
      </c>
      <c r="K431" s="832">
        <v>12755.638000000001</v>
      </c>
    </row>
    <row r="432" spans="2:11">
      <c r="B432" s="805" t="str">
        <f t="shared" si="11"/>
        <v>Thu</v>
      </c>
      <c r="C432" s="825">
        <v>44182</v>
      </c>
      <c r="D432" s="831">
        <v>50.65</v>
      </c>
      <c r="E432" s="831">
        <v>133.41249999999999</v>
      </c>
      <c r="F432" s="832">
        <v>96.84</v>
      </c>
      <c r="G432" s="832">
        <v>18.048745825339299</v>
      </c>
      <c r="H432" s="831">
        <v>426.1</v>
      </c>
      <c r="I432" s="832">
        <v>72.260000000000005</v>
      </c>
      <c r="J432" s="832">
        <v>3722.48</v>
      </c>
      <c r="K432" s="832">
        <v>12764.745000000001</v>
      </c>
    </row>
    <row r="433" spans="2:11">
      <c r="B433" s="805" t="str">
        <f t="shared" si="11"/>
        <v>Wed</v>
      </c>
      <c r="C433" s="825">
        <v>44181</v>
      </c>
      <c r="D433" s="831">
        <v>51.12</v>
      </c>
      <c r="E433" s="831">
        <v>132.42500000000001</v>
      </c>
      <c r="F433" s="832">
        <v>96.85</v>
      </c>
      <c r="G433" s="832">
        <v>18.199267763836101</v>
      </c>
      <c r="H433" s="831">
        <v>424.9</v>
      </c>
      <c r="I433" s="832">
        <v>72.989999999999995</v>
      </c>
      <c r="J433" s="832">
        <v>3701.17</v>
      </c>
      <c r="K433" s="832">
        <v>12658.188</v>
      </c>
    </row>
    <row r="434" spans="2:11">
      <c r="B434" s="805" t="str">
        <f t="shared" si="11"/>
        <v>Tue</v>
      </c>
      <c r="C434" s="825">
        <v>44180</v>
      </c>
      <c r="D434" s="831">
        <v>50.664999999999999</v>
      </c>
      <c r="E434" s="831">
        <v>133.60499999999999</v>
      </c>
      <c r="F434" s="832">
        <v>97.12</v>
      </c>
      <c r="G434" s="832">
        <v>17.920000000000002</v>
      </c>
      <c r="H434" s="831">
        <v>418.06</v>
      </c>
      <c r="I434" s="832">
        <v>73.150000000000006</v>
      </c>
      <c r="J434" s="832">
        <v>3694.62</v>
      </c>
      <c r="K434" s="832">
        <v>12595.06</v>
      </c>
    </row>
    <row r="435" spans="2:11">
      <c r="B435" s="805" t="str">
        <f t="shared" si="11"/>
        <v>Mon</v>
      </c>
      <c r="C435" s="825">
        <v>44179</v>
      </c>
      <c r="D435" s="831">
        <v>50.47</v>
      </c>
      <c r="E435" s="831">
        <v>133.08750000000001</v>
      </c>
      <c r="F435" s="832">
        <v>94.78</v>
      </c>
      <c r="G435" s="832">
        <v>18.069289322046</v>
      </c>
      <c r="H435" s="831">
        <v>411.8</v>
      </c>
      <c r="I435" s="832">
        <v>71.540000000000006</v>
      </c>
      <c r="J435" s="832">
        <v>3647.49</v>
      </c>
      <c r="K435" s="832">
        <v>12440.04</v>
      </c>
    </row>
    <row r="436" spans="2:11">
      <c r="B436" s="805" t="str">
        <f t="shared" si="11"/>
        <v>Sun</v>
      </c>
      <c r="C436" s="825">
        <v>44178</v>
      </c>
      <c r="D436" s="831">
        <v>49.73</v>
      </c>
      <c r="E436" s="831">
        <v>130.13249999999999</v>
      </c>
      <c r="F436" s="832">
        <v>91.65</v>
      </c>
      <c r="G436" s="832">
        <v>18.312808318841601</v>
      </c>
      <c r="H436" s="831">
        <v>405.82</v>
      </c>
      <c r="I436" s="832">
        <v>70.53</v>
      </c>
      <c r="J436" s="832">
        <v>3663.46</v>
      </c>
      <c r="K436" s="832">
        <v>12377.871999999999</v>
      </c>
    </row>
    <row r="437" spans="2:11">
      <c r="B437" s="805" t="str">
        <f t="shared" si="11"/>
        <v>Sat</v>
      </c>
      <c r="C437" s="825">
        <v>44177</v>
      </c>
      <c r="D437" s="831">
        <v>49.73</v>
      </c>
      <c r="E437" s="831">
        <v>130.13249999999999</v>
      </c>
      <c r="F437" s="832">
        <v>91.65</v>
      </c>
      <c r="G437" s="832">
        <v>18.312808318841601</v>
      </c>
      <c r="H437" s="831">
        <v>405.82</v>
      </c>
      <c r="I437" s="832">
        <v>70.53</v>
      </c>
      <c r="J437" s="832">
        <v>3663.46</v>
      </c>
      <c r="K437" s="832">
        <v>12377.871999999999</v>
      </c>
    </row>
    <row r="438" spans="2:11">
      <c r="B438" s="805" t="str">
        <f t="shared" si="11"/>
        <v>Fri</v>
      </c>
      <c r="C438" s="825">
        <v>44176</v>
      </c>
      <c r="D438" s="831">
        <v>49.73</v>
      </c>
      <c r="E438" s="831">
        <v>130.13249999999999</v>
      </c>
      <c r="F438" s="832">
        <v>91.65</v>
      </c>
      <c r="G438" s="832">
        <v>18.312808318841601</v>
      </c>
      <c r="H438" s="831">
        <v>405.82</v>
      </c>
      <c r="I438" s="832">
        <v>70.53</v>
      </c>
      <c r="J438" s="832">
        <v>3663.46</v>
      </c>
      <c r="K438" s="832">
        <v>12377.871999999999</v>
      </c>
    </row>
    <row r="439" spans="2:11">
      <c r="B439" s="805" t="str">
        <f t="shared" si="11"/>
        <v>Thu</v>
      </c>
      <c r="C439" s="825">
        <v>44175</v>
      </c>
      <c r="D439" s="831">
        <v>50.26</v>
      </c>
      <c r="E439" s="831">
        <v>129.7225</v>
      </c>
      <c r="F439" s="832">
        <v>91.66</v>
      </c>
      <c r="G439" s="832">
        <v>18.1721384205856</v>
      </c>
      <c r="H439" s="831">
        <v>410.04</v>
      </c>
      <c r="I439" s="832">
        <v>71.28</v>
      </c>
      <c r="J439" s="832">
        <v>3668.1</v>
      </c>
      <c r="K439" s="832">
        <v>12405.808000000001</v>
      </c>
    </row>
    <row r="440" spans="2:11">
      <c r="B440" s="805" t="str">
        <f t="shared" si="11"/>
        <v>Wed</v>
      </c>
      <c r="C440" s="825">
        <v>44174</v>
      </c>
      <c r="D440" s="831">
        <v>50.07</v>
      </c>
      <c r="E440" s="831">
        <v>129.3075</v>
      </c>
      <c r="F440" s="832">
        <v>89.83</v>
      </c>
      <c r="G440" s="832">
        <v>18.407079646017699</v>
      </c>
      <c r="H440" s="831">
        <v>416.22</v>
      </c>
      <c r="I440" s="832">
        <v>71.41</v>
      </c>
      <c r="J440" s="832">
        <v>3672.82</v>
      </c>
      <c r="K440" s="832">
        <v>12338.953</v>
      </c>
    </row>
    <row r="441" spans="2:11">
      <c r="B441" s="805" t="str">
        <f t="shared" si="11"/>
        <v>Tue</v>
      </c>
      <c r="C441" s="825">
        <v>44173</v>
      </c>
      <c r="D441" s="831">
        <v>50.69</v>
      </c>
      <c r="E441" s="831">
        <v>133.5</v>
      </c>
      <c r="F441" s="832">
        <v>92.92</v>
      </c>
      <c r="G441" s="832">
        <v>18.554583761198302</v>
      </c>
      <c r="H441" s="831">
        <v>423.41</v>
      </c>
      <c r="I441" s="832">
        <v>73.19</v>
      </c>
      <c r="J441" s="832">
        <v>3702.25</v>
      </c>
      <c r="K441" s="832">
        <v>12582.773999999999</v>
      </c>
    </row>
    <row r="442" spans="2:11">
      <c r="B442" s="805" t="str">
        <f t="shared" si="11"/>
        <v>Mon</v>
      </c>
      <c r="C442" s="825">
        <v>44172</v>
      </c>
      <c r="D442" s="831">
        <v>50.2</v>
      </c>
      <c r="E442" s="831">
        <v>136.0675</v>
      </c>
      <c r="F442" s="832">
        <v>94.07</v>
      </c>
      <c r="G442" s="832">
        <v>18.211451247165499</v>
      </c>
      <c r="H442" s="831">
        <v>420.89</v>
      </c>
      <c r="I442" s="832">
        <v>72.61</v>
      </c>
      <c r="J442" s="832">
        <v>3691.96</v>
      </c>
      <c r="K442" s="832">
        <v>12519.946</v>
      </c>
    </row>
    <row r="443" spans="2:11">
      <c r="B443" s="805" t="str">
        <f t="shared" si="11"/>
        <v>Sun</v>
      </c>
      <c r="C443" s="825">
        <v>44171</v>
      </c>
      <c r="D443" s="831">
        <v>51.984999999999999</v>
      </c>
      <c r="E443" s="831">
        <v>135.58250000000001</v>
      </c>
      <c r="F443" s="832">
        <v>94.04</v>
      </c>
      <c r="G443" s="832">
        <v>17.8362469415978</v>
      </c>
      <c r="H443" s="831">
        <v>411.68</v>
      </c>
      <c r="I443" s="832">
        <v>73.34</v>
      </c>
      <c r="J443" s="832">
        <v>3699.12</v>
      </c>
      <c r="K443" s="832">
        <v>12464.232</v>
      </c>
    </row>
    <row r="444" spans="2:11">
      <c r="B444" s="805" t="str">
        <f t="shared" si="11"/>
        <v>Sat</v>
      </c>
      <c r="C444" s="825">
        <v>44170</v>
      </c>
      <c r="D444" s="831">
        <v>51.984999999999999</v>
      </c>
      <c r="E444" s="831">
        <v>135.58250000000001</v>
      </c>
      <c r="F444" s="832">
        <v>94.04</v>
      </c>
      <c r="G444" s="832">
        <v>17.8362469415978</v>
      </c>
      <c r="H444" s="831">
        <v>411.68</v>
      </c>
      <c r="I444" s="832">
        <v>73.34</v>
      </c>
      <c r="J444" s="832">
        <v>3699.12</v>
      </c>
      <c r="K444" s="832">
        <v>12464.232</v>
      </c>
    </row>
    <row r="445" spans="2:11">
      <c r="B445" s="805" t="str">
        <f t="shared" si="11"/>
        <v>Fri</v>
      </c>
      <c r="C445" s="825">
        <v>44169</v>
      </c>
      <c r="D445" s="831">
        <v>51.984999999999999</v>
      </c>
      <c r="E445" s="831">
        <v>135.58250000000001</v>
      </c>
      <c r="F445" s="832">
        <v>94.04</v>
      </c>
      <c r="G445" s="832">
        <v>17.8362469415978</v>
      </c>
      <c r="H445" s="831">
        <v>411.68</v>
      </c>
      <c r="I445" s="832">
        <v>73.34</v>
      </c>
      <c r="J445" s="832">
        <v>3699.12</v>
      </c>
      <c r="K445" s="832">
        <v>12464.232</v>
      </c>
    </row>
    <row r="446" spans="2:11">
      <c r="B446" s="805" t="str">
        <f t="shared" si="11"/>
        <v>Thu</v>
      </c>
      <c r="C446" s="825">
        <v>44168</v>
      </c>
      <c r="D446" s="831">
        <v>50.99</v>
      </c>
      <c r="E446" s="831">
        <v>133.96</v>
      </c>
      <c r="F446" s="832">
        <v>92.31</v>
      </c>
      <c r="G446" s="832">
        <v>17.492608756863302</v>
      </c>
      <c r="H446" s="831">
        <v>399.8</v>
      </c>
      <c r="I446" s="832">
        <v>69.900000000000006</v>
      </c>
      <c r="J446" s="832">
        <v>3666.72</v>
      </c>
      <c r="K446" s="832">
        <v>12377.182000000001</v>
      </c>
    </row>
    <row r="447" spans="2:11">
      <c r="B447" s="805" t="str">
        <f t="shared" si="11"/>
        <v>Wed</v>
      </c>
      <c r="C447" s="825">
        <v>44167</v>
      </c>
      <c r="D447" s="831">
        <v>49.9</v>
      </c>
      <c r="E447" s="831">
        <v>135.44499999999999</v>
      </c>
      <c r="F447" s="832">
        <v>93.74</v>
      </c>
      <c r="G447" s="832">
        <v>17.520452231312099</v>
      </c>
      <c r="H447" s="831">
        <v>403.73</v>
      </c>
      <c r="I447" s="832">
        <v>69.11</v>
      </c>
      <c r="J447" s="832">
        <v>3669.01</v>
      </c>
      <c r="K447" s="832">
        <v>12349.366</v>
      </c>
    </row>
    <row r="448" spans="2:11">
      <c r="B448" s="805" t="str">
        <f t="shared" si="11"/>
        <v>Tue</v>
      </c>
      <c r="C448" s="825">
        <v>44166</v>
      </c>
      <c r="D448" s="831">
        <v>49.56</v>
      </c>
      <c r="E448" s="831">
        <v>133.9</v>
      </c>
      <c r="F448" s="832">
        <v>92.63</v>
      </c>
      <c r="G448" s="832">
        <v>17.185143618700199</v>
      </c>
      <c r="H448" s="831">
        <v>404.57</v>
      </c>
      <c r="I448" s="832">
        <v>67.08</v>
      </c>
      <c r="J448" s="832">
        <v>3662.45</v>
      </c>
      <c r="K448" s="832">
        <v>12355.106</v>
      </c>
    </row>
    <row r="449" spans="2:11">
      <c r="B449" s="805" t="str">
        <f t="shared" si="11"/>
        <v>Mon</v>
      </c>
      <c r="C449" s="825">
        <v>44165</v>
      </c>
      <c r="D449" s="831">
        <v>48.35</v>
      </c>
      <c r="E449" s="831">
        <v>134.01499999999999</v>
      </c>
      <c r="F449" s="832">
        <v>92.66</v>
      </c>
      <c r="G449" s="832">
        <v>16.814809630459099</v>
      </c>
      <c r="H449" s="831">
        <v>401.58</v>
      </c>
      <c r="I449" s="832">
        <v>64.09</v>
      </c>
      <c r="J449" s="832">
        <v>3621.63</v>
      </c>
      <c r="K449" s="832">
        <v>12198.736999999999</v>
      </c>
    </row>
    <row r="450" spans="2:11">
      <c r="B450" s="805" t="str">
        <f t="shared" si="11"/>
        <v>Sun</v>
      </c>
      <c r="C450" s="825">
        <v>44164</v>
      </c>
      <c r="D450" s="831">
        <v>47.45</v>
      </c>
      <c r="E450" s="831">
        <v>132.61250000000001</v>
      </c>
      <c r="F450" s="832">
        <v>87.19</v>
      </c>
      <c r="G450" s="832">
        <v>17.1554869492001</v>
      </c>
      <c r="H450" s="831">
        <v>394.95</v>
      </c>
      <c r="I450" s="832">
        <v>64.23</v>
      </c>
      <c r="J450" s="832">
        <v>3638.35</v>
      </c>
      <c r="K450" s="832">
        <v>12205.846</v>
      </c>
    </row>
    <row r="451" spans="2:11">
      <c r="B451" s="805" t="str">
        <f t="shared" si="11"/>
        <v>Sat</v>
      </c>
      <c r="C451" s="825">
        <v>44163</v>
      </c>
      <c r="D451" s="831">
        <v>47.45</v>
      </c>
      <c r="E451" s="831">
        <v>132.61250000000001</v>
      </c>
      <c r="F451" s="832">
        <v>87.19</v>
      </c>
      <c r="G451" s="832">
        <v>17.1554869492001</v>
      </c>
      <c r="H451" s="831">
        <v>394.95</v>
      </c>
      <c r="I451" s="832">
        <v>64.23</v>
      </c>
      <c r="J451" s="832">
        <v>3638.35</v>
      </c>
      <c r="K451" s="832">
        <v>12205.846</v>
      </c>
    </row>
    <row r="452" spans="2:11">
      <c r="B452" s="805" t="str">
        <f t="shared" si="11"/>
        <v>Fri</v>
      </c>
      <c r="C452" s="825">
        <v>44162</v>
      </c>
      <c r="D452" s="831">
        <v>47.45</v>
      </c>
      <c r="E452" s="831">
        <v>132.61250000000001</v>
      </c>
      <c r="F452" s="832">
        <v>87.19</v>
      </c>
      <c r="G452" s="832">
        <v>17.1554869492001</v>
      </c>
      <c r="H452" s="831">
        <v>394.95</v>
      </c>
      <c r="I452" s="832">
        <v>64.23</v>
      </c>
      <c r="J452" s="832">
        <v>3638.35</v>
      </c>
      <c r="K452" s="832">
        <v>12205.846</v>
      </c>
    </row>
    <row r="453" spans="2:11">
      <c r="B453" s="805" t="str">
        <f t="shared" si="11"/>
        <v>Thu</v>
      </c>
      <c r="C453" s="825">
        <v>44161</v>
      </c>
      <c r="D453" s="831">
        <v>47.05</v>
      </c>
      <c r="E453" s="831">
        <v>132.3475</v>
      </c>
      <c r="F453" s="832">
        <v>86.71</v>
      </c>
      <c r="G453" s="832">
        <v>17.158496789360999</v>
      </c>
      <c r="H453" s="831">
        <v>390.83</v>
      </c>
      <c r="I453" s="832">
        <v>63.43</v>
      </c>
      <c r="J453" s="832">
        <v>3629.65</v>
      </c>
      <c r="K453" s="832">
        <v>12094.402</v>
      </c>
    </row>
    <row r="454" spans="2:11">
      <c r="B454" s="805" t="str">
        <f t="shared" si="11"/>
        <v>Wed</v>
      </c>
      <c r="C454" s="825">
        <v>44160</v>
      </c>
      <c r="D454" s="831">
        <v>47.05</v>
      </c>
      <c r="E454" s="831">
        <v>132.3475</v>
      </c>
      <c r="F454" s="832">
        <v>86.71</v>
      </c>
      <c r="G454" s="832">
        <v>17.0997191011236</v>
      </c>
      <c r="H454" s="831">
        <v>390.83</v>
      </c>
      <c r="I454" s="832">
        <v>63.43</v>
      </c>
      <c r="J454" s="832">
        <v>3629.65</v>
      </c>
      <c r="K454" s="832">
        <v>12094.402</v>
      </c>
    </row>
    <row r="455" spans="2:11">
      <c r="B455" s="805" t="str">
        <f t="shared" si="11"/>
        <v>Tue</v>
      </c>
      <c r="C455" s="825">
        <v>44159</v>
      </c>
      <c r="D455" s="831">
        <v>47.01</v>
      </c>
      <c r="E455" s="831">
        <v>129.57749999999999</v>
      </c>
      <c r="F455" s="832">
        <v>85.07</v>
      </c>
      <c r="G455" s="832">
        <v>17.271642210208501</v>
      </c>
      <c r="H455" s="831">
        <v>392.23</v>
      </c>
      <c r="I455" s="832">
        <v>63.95</v>
      </c>
      <c r="J455" s="832">
        <v>3635.41</v>
      </c>
      <c r="K455" s="832">
        <v>12037.325999999999</v>
      </c>
    </row>
    <row r="456" spans="2:11">
      <c r="B456" s="805" t="str">
        <f t="shared" ref="B456:B519" si="12">TEXT(C456,"DDD")</f>
        <v>Mon</v>
      </c>
      <c r="C456" s="825">
        <v>44158</v>
      </c>
      <c r="D456" s="831">
        <v>46.06</v>
      </c>
      <c r="E456" s="831">
        <v>131.4</v>
      </c>
      <c r="F456" s="832">
        <v>85.31</v>
      </c>
      <c r="G456" s="832">
        <v>17.405784399649399</v>
      </c>
      <c r="H456" s="831">
        <v>387</v>
      </c>
      <c r="I456" s="832">
        <v>64.180000000000007</v>
      </c>
      <c r="J456" s="832">
        <v>3577.59</v>
      </c>
      <c r="K456" s="832">
        <v>11880.634</v>
      </c>
    </row>
    <row r="457" spans="2:11">
      <c r="B457" s="805" t="str">
        <f t="shared" si="12"/>
        <v>Sun</v>
      </c>
      <c r="C457" s="825">
        <v>44157</v>
      </c>
      <c r="D457" s="831">
        <v>45.39</v>
      </c>
      <c r="E457" s="831">
        <v>130.8775</v>
      </c>
      <c r="F457" s="832">
        <v>84.64</v>
      </c>
      <c r="G457" s="832">
        <v>17.107800175284801</v>
      </c>
      <c r="H457" s="831">
        <v>383.33</v>
      </c>
      <c r="I457" s="832">
        <v>61.4</v>
      </c>
      <c r="J457" s="832">
        <v>3557.54</v>
      </c>
      <c r="K457" s="832">
        <v>11854.97</v>
      </c>
    </row>
    <row r="458" spans="2:11">
      <c r="B458" s="805" t="str">
        <f t="shared" si="12"/>
        <v>Sat</v>
      </c>
      <c r="C458" s="825">
        <v>44156</v>
      </c>
      <c r="D458" s="831">
        <v>45.39</v>
      </c>
      <c r="E458" s="831">
        <v>130.8775</v>
      </c>
      <c r="F458" s="832">
        <v>84.64</v>
      </c>
      <c r="G458" s="832">
        <v>17.107800175284801</v>
      </c>
      <c r="H458" s="831">
        <v>383.33</v>
      </c>
      <c r="I458" s="832">
        <v>61.4</v>
      </c>
      <c r="J458" s="832">
        <v>3557.54</v>
      </c>
      <c r="K458" s="832">
        <v>11854.97</v>
      </c>
    </row>
    <row r="459" spans="2:11">
      <c r="B459" s="805" t="str">
        <f t="shared" si="12"/>
        <v>Fri</v>
      </c>
      <c r="C459" s="825">
        <v>44155</v>
      </c>
      <c r="D459" s="831">
        <v>45.39</v>
      </c>
      <c r="E459" s="831">
        <v>130.8775</v>
      </c>
      <c r="F459" s="832">
        <v>84.64</v>
      </c>
      <c r="G459" s="832">
        <v>17.107800175284801</v>
      </c>
      <c r="H459" s="831">
        <v>383.33</v>
      </c>
      <c r="I459" s="832">
        <v>61.4</v>
      </c>
      <c r="J459" s="832">
        <v>3557.54</v>
      </c>
      <c r="K459" s="832">
        <v>11854.97</v>
      </c>
    </row>
    <row r="460" spans="2:11">
      <c r="B460" s="805" t="str">
        <f t="shared" si="12"/>
        <v>Thu</v>
      </c>
      <c r="C460" s="825">
        <v>44154</v>
      </c>
      <c r="D460" s="831">
        <v>45.62</v>
      </c>
      <c r="E460" s="831">
        <v>134.4025</v>
      </c>
      <c r="F460" s="832">
        <v>85.54</v>
      </c>
      <c r="G460" s="832">
        <v>17.186349128406601</v>
      </c>
      <c r="H460" s="831">
        <v>384.33</v>
      </c>
      <c r="I460" s="832">
        <v>61.83</v>
      </c>
      <c r="J460" s="832">
        <v>3581.87</v>
      </c>
      <c r="K460" s="832">
        <v>11904.714</v>
      </c>
    </row>
    <row r="461" spans="2:11">
      <c r="B461" s="805" t="str">
        <f t="shared" si="12"/>
        <v>Wed</v>
      </c>
      <c r="C461" s="825">
        <v>44153</v>
      </c>
      <c r="D461" s="831">
        <v>45.06</v>
      </c>
      <c r="E461" s="831">
        <v>134.28749999999999</v>
      </c>
      <c r="F461" s="832">
        <v>82.54</v>
      </c>
      <c r="G461" s="832">
        <v>17.4410443571028</v>
      </c>
      <c r="H461" s="831">
        <v>380.62</v>
      </c>
      <c r="I461" s="832">
        <v>60.74</v>
      </c>
      <c r="J461" s="832">
        <v>3567.79</v>
      </c>
      <c r="K461" s="832">
        <v>11801.602999999999</v>
      </c>
    </row>
    <row r="462" spans="2:11">
      <c r="B462" s="805" t="str">
        <f t="shared" si="12"/>
        <v>Tue</v>
      </c>
      <c r="C462" s="825">
        <v>44152</v>
      </c>
      <c r="D462" s="831">
        <v>45.53</v>
      </c>
      <c r="E462" s="831">
        <v>134.2225</v>
      </c>
      <c r="F462" s="832">
        <v>83.36</v>
      </c>
      <c r="G462" s="832">
        <v>17.028515309880401</v>
      </c>
      <c r="H462" s="831">
        <v>380.6</v>
      </c>
      <c r="I462" s="832">
        <v>61.99</v>
      </c>
      <c r="J462" s="832">
        <v>3609.53</v>
      </c>
      <c r="K462" s="832">
        <v>11899.343000000001</v>
      </c>
    </row>
    <row r="463" spans="2:11">
      <c r="B463" s="805" t="str">
        <f t="shared" si="12"/>
        <v>Mon</v>
      </c>
      <c r="C463" s="825">
        <v>44151</v>
      </c>
      <c r="D463" s="831">
        <v>46.19</v>
      </c>
      <c r="E463" s="831">
        <v>135.1525</v>
      </c>
      <c r="F463" s="832">
        <v>83.73</v>
      </c>
      <c r="G463" s="832">
        <v>16.994978756276598</v>
      </c>
      <c r="H463" s="831">
        <v>380.81</v>
      </c>
      <c r="I463" s="832">
        <v>61.86</v>
      </c>
      <c r="J463" s="832">
        <v>3626.91</v>
      </c>
      <c r="K463" s="832">
        <v>11924.129000000001</v>
      </c>
    </row>
    <row r="464" spans="2:11">
      <c r="B464" s="805" t="str">
        <f t="shared" si="12"/>
        <v>Sun</v>
      </c>
      <c r="C464" s="825">
        <v>44150</v>
      </c>
      <c r="D464" s="831">
        <v>45.46</v>
      </c>
      <c r="E464" s="831">
        <v>132.97</v>
      </c>
      <c r="F464" s="832">
        <v>81.430000000000007</v>
      </c>
      <c r="G464" s="832">
        <v>16.233880319055501</v>
      </c>
      <c r="H464" s="831">
        <v>373.5</v>
      </c>
      <c r="I464" s="832">
        <v>57.93</v>
      </c>
      <c r="J464" s="832">
        <v>3585.15</v>
      </c>
      <c r="K464" s="832">
        <v>11829.286</v>
      </c>
    </row>
    <row r="465" spans="2:11">
      <c r="B465" s="805" t="str">
        <f t="shared" si="12"/>
        <v>Sat</v>
      </c>
      <c r="C465" s="825">
        <v>44149</v>
      </c>
      <c r="D465" s="831">
        <v>45.46</v>
      </c>
      <c r="E465" s="831">
        <v>132.97</v>
      </c>
      <c r="F465" s="832">
        <v>81.430000000000007</v>
      </c>
      <c r="G465" s="832">
        <v>16.233880319055501</v>
      </c>
      <c r="H465" s="831">
        <v>373.5</v>
      </c>
      <c r="I465" s="832">
        <v>57.93</v>
      </c>
      <c r="J465" s="832">
        <v>3585.15</v>
      </c>
      <c r="K465" s="832">
        <v>11829.286</v>
      </c>
    </row>
    <row r="466" spans="2:11">
      <c r="B466" s="805" t="str">
        <f t="shared" si="12"/>
        <v>Fri</v>
      </c>
      <c r="C466" s="825">
        <v>44148</v>
      </c>
      <c r="D466" s="831">
        <v>45.46</v>
      </c>
      <c r="E466" s="831">
        <v>132.97</v>
      </c>
      <c r="F466" s="832">
        <v>81.430000000000007</v>
      </c>
      <c r="G466" s="832">
        <v>16.233880319055501</v>
      </c>
      <c r="H466" s="831">
        <v>373.5</v>
      </c>
      <c r="I466" s="832">
        <v>57.93</v>
      </c>
      <c r="J466" s="832">
        <v>3585.15</v>
      </c>
      <c r="K466" s="832">
        <v>11829.286</v>
      </c>
    </row>
    <row r="467" spans="2:11">
      <c r="B467" s="805" t="str">
        <f t="shared" si="12"/>
        <v>Thu</v>
      </c>
      <c r="C467" s="825">
        <v>44147</v>
      </c>
      <c r="D467" s="831">
        <v>44.95</v>
      </c>
      <c r="E467" s="831">
        <v>134.5675</v>
      </c>
      <c r="F467" s="832">
        <v>81.84</v>
      </c>
      <c r="G467" s="832">
        <v>16.0645387583304</v>
      </c>
      <c r="H467" s="831">
        <v>370.2</v>
      </c>
      <c r="I467" s="832">
        <v>56.25</v>
      </c>
      <c r="J467" s="832">
        <v>3537.01</v>
      </c>
      <c r="K467" s="832">
        <v>11709.589</v>
      </c>
    </row>
    <row r="468" spans="2:11">
      <c r="B468" s="805" t="str">
        <f t="shared" si="12"/>
        <v>Wed</v>
      </c>
      <c r="C468" s="825">
        <v>44146</v>
      </c>
      <c r="D468" s="831">
        <v>46.35</v>
      </c>
      <c r="E468" s="831">
        <v>134.18</v>
      </c>
      <c r="F468" s="832">
        <v>81.28</v>
      </c>
      <c r="G468" s="832">
        <v>16.028338945005601</v>
      </c>
      <c r="H468" s="831">
        <v>375.92</v>
      </c>
      <c r="I468" s="832">
        <v>56.36</v>
      </c>
      <c r="J468" s="832">
        <v>3572.66</v>
      </c>
      <c r="K468" s="832">
        <v>11786.431</v>
      </c>
    </row>
    <row r="469" spans="2:11">
      <c r="B469" s="805" t="str">
        <f t="shared" si="12"/>
        <v>Tue</v>
      </c>
      <c r="C469" s="825">
        <v>44145</v>
      </c>
      <c r="D469" s="831">
        <v>45.44</v>
      </c>
      <c r="E469" s="831">
        <v>127.7</v>
      </c>
      <c r="F469" s="832">
        <v>77.989999999999995</v>
      </c>
      <c r="G469" s="832">
        <v>15.7764018609858</v>
      </c>
      <c r="H469" s="831">
        <v>363.13</v>
      </c>
      <c r="I469" s="832">
        <v>55.41</v>
      </c>
      <c r="J469" s="832">
        <v>3545.53</v>
      </c>
      <c r="K469" s="832">
        <v>11553.856</v>
      </c>
    </row>
    <row r="470" spans="2:11">
      <c r="B470" s="805" t="str">
        <f t="shared" si="12"/>
        <v>Mon</v>
      </c>
      <c r="C470" s="825">
        <v>44144</v>
      </c>
      <c r="D470" s="831">
        <v>45.6</v>
      </c>
      <c r="E470" s="831">
        <v>136.3075</v>
      </c>
      <c r="F470" s="832">
        <v>83.12</v>
      </c>
      <c r="G470" s="832">
        <v>16.0163482027457</v>
      </c>
      <c r="H470" s="831">
        <v>375.54</v>
      </c>
      <c r="I470" s="832">
        <v>55.96</v>
      </c>
      <c r="J470" s="832">
        <v>3550.5</v>
      </c>
      <c r="K470" s="832">
        <v>11713.782999999999</v>
      </c>
    </row>
    <row r="471" spans="2:11">
      <c r="B471" s="805" t="str">
        <f t="shared" si="12"/>
        <v>Sun</v>
      </c>
      <c r="C471" s="825">
        <v>44143</v>
      </c>
      <c r="D471" s="831">
        <v>45.39</v>
      </c>
      <c r="E471" s="831">
        <v>145.62</v>
      </c>
      <c r="F471" s="832">
        <v>85.88</v>
      </c>
      <c r="G471" s="832">
        <v>15.8399551930549</v>
      </c>
      <c r="H471" s="831">
        <v>380.62</v>
      </c>
      <c r="I471" s="832">
        <v>55.16</v>
      </c>
      <c r="J471" s="832">
        <v>3509.44</v>
      </c>
      <c r="K471" s="832">
        <v>11895.23</v>
      </c>
    </row>
    <row r="472" spans="2:11">
      <c r="B472" s="805" t="str">
        <f t="shared" si="12"/>
        <v>Sat</v>
      </c>
      <c r="C472" s="825">
        <v>44142</v>
      </c>
      <c r="D472" s="831">
        <v>45.39</v>
      </c>
      <c r="E472" s="831">
        <v>145.62</v>
      </c>
      <c r="F472" s="832">
        <v>85.88</v>
      </c>
      <c r="G472" s="832">
        <v>15.8399551930549</v>
      </c>
      <c r="H472" s="831">
        <v>380.62</v>
      </c>
      <c r="I472" s="832">
        <v>55.16</v>
      </c>
      <c r="J472" s="832">
        <v>3509.44</v>
      </c>
      <c r="K472" s="832">
        <v>11895.23</v>
      </c>
    </row>
    <row r="473" spans="2:11">
      <c r="B473" s="805" t="str">
        <f t="shared" si="12"/>
        <v>Fri</v>
      </c>
      <c r="C473" s="825">
        <v>44141</v>
      </c>
      <c r="D473" s="831">
        <v>45.39</v>
      </c>
      <c r="E473" s="831">
        <v>145.62</v>
      </c>
      <c r="F473" s="832">
        <v>85.88</v>
      </c>
      <c r="G473" s="832">
        <v>15.8399551930549</v>
      </c>
      <c r="H473" s="831">
        <v>380.62</v>
      </c>
      <c r="I473" s="832">
        <v>55.16</v>
      </c>
      <c r="J473" s="832">
        <v>3509.44</v>
      </c>
      <c r="K473" s="832">
        <v>11895.23</v>
      </c>
    </row>
    <row r="474" spans="2:11">
      <c r="B474" s="805" t="str">
        <f t="shared" si="12"/>
        <v>Thu</v>
      </c>
      <c r="C474" s="825">
        <v>44140</v>
      </c>
      <c r="D474" s="831">
        <v>45.68</v>
      </c>
      <c r="E474" s="831">
        <v>141.6</v>
      </c>
      <c r="F474" s="832">
        <v>83</v>
      </c>
      <c r="G474" s="832">
        <v>15.819010873377801</v>
      </c>
      <c r="H474" s="831">
        <v>380.87</v>
      </c>
      <c r="I474" s="832">
        <v>54.58</v>
      </c>
      <c r="J474" s="832">
        <v>3510.45</v>
      </c>
      <c r="K474" s="832">
        <v>11890.927</v>
      </c>
    </row>
    <row r="475" spans="2:11">
      <c r="B475" s="805" t="str">
        <f t="shared" si="12"/>
        <v>Wed</v>
      </c>
      <c r="C475" s="825">
        <v>44139</v>
      </c>
      <c r="D475" s="831">
        <v>45.7</v>
      </c>
      <c r="E475" s="831">
        <v>137.9425</v>
      </c>
      <c r="F475" s="832">
        <v>81.349999999999994</v>
      </c>
      <c r="G475" s="832">
        <v>15.7607172877557</v>
      </c>
      <c r="H475" s="831">
        <v>364.63</v>
      </c>
      <c r="I475" s="832">
        <v>51.96</v>
      </c>
      <c r="J475" s="832">
        <v>3443.44</v>
      </c>
      <c r="K475" s="832">
        <v>11590.781000000001</v>
      </c>
    </row>
    <row r="476" spans="2:11">
      <c r="B476" s="805" t="str">
        <f t="shared" si="12"/>
        <v>Tue</v>
      </c>
      <c r="C476" s="825">
        <v>44138</v>
      </c>
      <c r="D476" s="831">
        <v>44.85</v>
      </c>
      <c r="E476" s="831">
        <v>130.19499999999999</v>
      </c>
      <c r="F476" s="832">
        <v>76.58</v>
      </c>
      <c r="G476" s="832">
        <v>15.4163462210725</v>
      </c>
      <c r="H476" s="831">
        <v>353.76</v>
      </c>
      <c r="I476" s="832">
        <v>51.08</v>
      </c>
      <c r="J476" s="832">
        <v>3369.16</v>
      </c>
      <c r="K476" s="832">
        <v>11160.572</v>
      </c>
    </row>
    <row r="477" spans="2:11">
      <c r="B477" s="805" t="str">
        <f t="shared" si="12"/>
        <v>Mon</v>
      </c>
      <c r="C477" s="825">
        <v>44137</v>
      </c>
      <c r="D477" s="831">
        <v>44.46</v>
      </c>
      <c r="E477" s="831">
        <v>125.8075</v>
      </c>
      <c r="F477" s="832">
        <v>74.7</v>
      </c>
      <c r="G477" s="832">
        <v>15.2480655439235</v>
      </c>
      <c r="H477" s="831">
        <v>351.25</v>
      </c>
      <c r="I477" s="832">
        <v>49.71</v>
      </c>
      <c r="J477" s="832">
        <v>3310.24</v>
      </c>
      <c r="K477" s="832">
        <v>10957.611000000001</v>
      </c>
    </row>
    <row r="478" spans="2:11">
      <c r="B478" s="805" t="str">
        <f t="shared" si="12"/>
        <v>Sun</v>
      </c>
      <c r="C478" s="825">
        <v>44136</v>
      </c>
      <c r="D478" s="831">
        <v>44.28</v>
      </c>
      <c r="E478" s="831">
        <v>125.34</v>
      </c>
      <c r="F478" s="832">
        <v>75.290000000000006</v>
      </c>
      <c r="G478" s="832">
        <v>15.113350125944599</v>
      </c>
      <c r="H478" s="831">
        <v>349.63</v>
      </c>
      <c r="I478" s="832">
        <v>50.34</v>
      </c>
      <c r="J478" s="832">
        <v>3269.96</v>
      </c>
      <c r="K478" s="832">
        <v>10911.591</v>
      </c>
    </row>
    <row r="479" spans="2:11">
      <c r="B479" s="805" t="str">
        <f t="shared" si="12"/>
        <v>Sat</v>
      </c>
      <c r="C479" s="825">
        <v>44135</v>
      </c>
      <c r="D479" s="831">
        <v>44.28</v>
      </c>
      <c r="E479" s="831">
        <v>125.34</v>
      </c>
      <c r="F479" s="832">
        <v>75.290000000000006</v>
      </c>
      <c r="G479" s="832">
        <v>15.113350125944599</v>
      </c>
      <c r="H479" s="831">
        <v>349.63</v>
      </c>
      <c r="I479" s="832">
        <v>50.34</v>
      </c>
      <c r="J479" s="832">
        <v>3269.96</v>
      </c>
      <c r="K479" s="832">
        <v>10911.591</v>
      </c>
    </row>
    <row r="480" spans="2:11">
      <c r="B480" s="805" t="str">
        <f t="shared" si="12"/>
        <v>Fri</v>
      </c>
      <c r="C480" s="825">
        <v>44134</v>
      </c>
      <c r="D480" s="831">
        <v>44.28</v>
      </c>
      <c r="E480" s="831">
        <v>125.34</v>
      </c>
      <c r="F480" s="832">
        <v>75.290000000000006</v>
      </c>
      <c r="G480" s="832">
        <v>15.113350125944599</v>
      </c>
      <c r="H480" s="831">
        <v>349.63</v>
      </c>
      <c r="I480" s="832">
        <v>50.34</v>
      </c>
      <c r="J480" s="832">
        <v>3269.96</v>
      </c>
      <c r="K480" s="832">
        <v>10911.591</v>
      </c>
    </row>
    <row r="481" spans="2:11">
      <c r="B481" s="805" t="str">
        <f t="shared" si="12"/>
        <v>Thu</v>
      </c>
      <c r="C481" s="825">
        <v>44133</v>
      </c>
      <c r="D481" s="831">
        <v>44.11</v>
      </c>
      <c r="E481" s="831">
        <v>130.24</v>
      </c>
      <c r="F481" s="832">
        <v>78.02</v>
      </c>
      <c r="G481" s="832">
        <v>15.281323215721899</v>
      </c>
      <c r="H481" s="831">
        <v>355.01</v>
      </c>
      <c r="I481" s="832">
        <v>50.48</v>
      </c>
      <c r="J481" s="832">
        <v>3310.11</v>
      </c>
      <c r="K481" s="832">
        <v>11185.593000000001</v>
      </c>
    </row>
    <row r="482" spans="2:11">
      <c r="B482" s="805" t="str">
        <f t="shared" si="12"/>
        <v>Wed</v>
      </c>
      <c r="C482" s="825">
        <v>44132</v>
      </c>
      <c r="D482" s="831">
        <v>44.25</v>
      </c>
      <c r="E482" s="831">
        <v>126.27</v>
      </c>
      <c r="F482" s="832">
        <v>76.400000000000006</v>
      </c>
      <c r="G482" s="832">
        <v>15.526104136797599</v>
      </c>
      <c r="H482" s="831">
        <v>347.21</v>
      </c>
      <c r="I482" s="832">
        <v>50</v>
      </c>
      <c r="J482" s="832">
        <v>3271.03</v>
      </c>
      <c r="K482" s="832">
        <v>11004.868</v>
      </c>
    </row>
    <row r="483" spans="2:11">
      <c r="B483" s="805" t="str">
        <f t="shared" si="12"/>
        <v>Tue</v>
      </c>
      <c r="C483" s="825">
        <v>44131</v>
      </c>
      <c r="D483" s="831">
        <v>45.64</v>
      </c>
      <c r="E483" s="831">
        <v>133.9675</v>
      </c>
      <c r="F483" s="832">
        <v>78.88</v>
      </c>
      <c r="G483" s="832">
        <v>15.6353842386932</v>
      </c>
      <c r="H483" s="831">
        <v>359.6</v>
      </c>
      <c r="I483" s="832">
        <v>51.96</v>
      </c>
      <c r="J483" s="832">
        <v>3390.68</v>
      </c>
      <c r="K483" s="832">
        <v>11431.351000000001</v>
      </c>
    </row>
    <row r="484" spans="2:11">
      <c r="B484" s="805" t="str">
        <f t="shared" si="12"/>
        <v>Mon</v>
      </c>
      <c r="C484" s="825">
        <v>44130</v>
      </c>
      <c r="D484" s="831">
        <v>46.72</v>
      </c>
      <c r="E484" s="831">
        <v>131.41249999999999</v>
      </c>
      <c r="F484" s="832">
        <v>82.23</v>
      </c>
      <c r="G484" s="832">
        <v>15.734815902653899</v>
      </c>
      <c r="H484" s="831">
        <v>363.04</v>
      </c>
      <c r="I484" s="832">
        <v>52.14</v>
      </c>
      <c r="J484" s="832">
        <v>3400.97</v>
      </c>
      <c r="K484" s="832">
        <v>11358.937</v>
      </c>
    </row>
    <row r="485" spans="2:11">
      <c r="B485" s="805" t="str">
        <f t="shared" si="12"/>
        <v>Sun</v>
      </c>
      <c r="C485" s="825">
        <v>44129</v>
      </c>
      <c r="D485" s="831">
        <v>48.2</v>
      </c>
      <c r="E485" s="831">
        <v>135.9025</v>
      </c>
      <c r="F485" s="832">
        <v>81.96</v>
      </c>
      <c r="G485" s="832">
        <v>15.794255363757101</v>
      </c>
      <c r="H485" s="831">
        <v>372.72</v>
      </c>
      <c r="I485" s="832">
        <v>52.85</v>
      </c>
      <c r="J485" s="832">
        <v>3465.39</v>
      </c>
      <c r="K485" s="832">
        <v>11548.281999999999</v>
      </c>
    </row>
    <row r="486" spans="2:11">
      <c r="B486" s="805" t="str">
        <f t="shared" si="12"/>
        <v>Sat</v>
      </c>
      <c r="C486" s="825">
        <v>44128</v>
      </c>
      <c r="D486" s="831">
        <v>48.2</v>
      </c>
      <c r="E486" s="831">
        <v>135.9025</v>
      </c>
      <c r="F486" s="832">
        <v>81.96</v>
      </c>
      <c r="G486" s="832">
        <v>15.794255363757101</v>
      </c>
      <c r="H486" s="831">
        <v>372.72</v>
      </c>
      <c r="I486" s="832">
        <v>52.85</v>
      </c>
      <c r="J486" s="832">
        <v>3465.39</v>
      </c>
      <c r="K486" s="832">
        <v>11548.281999999999</v>
      </c>
    </row>
    <row r="487" spans="2:11">
      <c r="B487" s="805" t="str">
        <f t="shared" si="12"/>
        <v>Fri</v>
      </c>
      <c r="C487" s="825">
        <v>44127</v>
      </c>
      <c r="D487" s="831">
        <v>48.2</v>
      </c>
      <c r="E487" s="831">
        <v>135.9025</v>
      </c>
      <c r="F487" s="832">
        <v>81.96</v>
      </c>
      <c r="G487" s="832">
        <v>15.794255363757101</v>
      </c>
      <c r="H487" s="831">
        <v>372.72</v>
      </c>
      <c r="I487" s="832">
        <v>52.85</v>
      </c>
      <c r="J487" s="832">
        <v>3465.39</v>
      </c>
      <c r="K487" s="832">
        <v>11548.281999999999</v>
      </c>
    </row>
    <row r="488" spans="2:11">
      <c r="B488" s="805" t="str">
        <f t="shared" si="12"/>
        <v>Thu</v>
      </c>
      <c r="C488" s="825">
        <v>44126</v>
      </c>
      <c r="D488" s="831">
        <v>53.9</v>
      </c>
      <c r="E488" s="831">
        <v>133.61000000000001</v>
      </c>
      <c r="F488" s="832">
        <v>79.42</v>
      </c>
      <c r="G488" s="832">
        <v>15.846480688190001</v>
      </c>
      <c r="H488" s="831">
        <v>373.37</v>
      </c>
      <c r="I488" s="832">
        <v>54.38</v>
      </c>
      <c r="J488" s="832">
        <v>3453.49</v>
      </c>
      <c r="K488" s="832">
        <v>11506.005999999999</v>
      </c>
    </row>
    <row r="489" spans="2:11">
      <c r="B489" s="805" t="str">
        <f t="shared" si="12"/>
        <v>Wed</v>
      </c>
      <c r="C489" s="825">
        <v>44125</v>
      </c>
      <c r="D489" s="831">
        <v>53.5</v>
      </c>
      <c r="E489" s="831">
        <v>135.2475</v>
      </c>
      <c r="F489" s="832">
        <v>79.2</v>
      </c>
      <c r="G489" s="832">
        <v>15.796080619290001</v>
      </c>
      <c r="H489" s="831">
        <v>372.05</v>
      </c>
      <c r="I489" s="832">
        <v>53.31</v>
      </c>
      <c r="J489" s="832">
        <v>3435.56</v>
      </c>
      <c r="K489" s="832">
        <v>11484.694</v>
      </c>
    </row>
    <row r="490" spans="2:11">
      <c r="B490" s="805" t="str">
        <f t="shared" si="12"/>
        <v>Tue</v>
      </c>
      <c r="C490" s="825">
        <v>44124</v>
      </c>
      <c r="D490" s="831">
        <v>53.43</v>
      </c>
      <c r="E490" s="831">
        <v>136.45500000000001</v>
      </c>
      <c r="F490" s="832">
        <v>81.56</v>
      </c>
      <c r="G490" s="832">
        <v>15.714285714285699</v>
      </c>
      <c r="H490" s="831">
        <v>376.99</v>
      </c>
      <c r="I490" s="832">
        <v>53.53</v>
      </c>
      <c r="J490" s="832">
        <v>3443.12</v>
      </c>
      <c r="K490" s="832">
        <v>11516.494000000001</v>
      </c>
    </row>
    <row r="491" spans="2:11">
      <c r="B491" s="805" t="str">
        <f t="shared" si="12"/>
        <v>Mon</v>
      </c>
      <c r="C491" s="825">
        <v>44123</v>
      </c>
      <c r="D491" s="831">
        <v>54.58</v>
      </c>
      <c r="E491" s="831">
        <v>134.97749999999999</v>
      </c>
      <c r="F491" s="832">
        <v>82</v>
      </c>
      <c r="G491" s="832">
        <v>15.924675415085799</v>
      </c>
      <c r="H491" s="831">
        <v>375.77</v>
      </c>
      <c r="I491" s="832">
        <v>52.63</v>
      </c>
      <c r="J491" s="832">
        <v>3426.92</v>
      </c>
      <c r="K491" s="832">
        <v>11478.983</v>
      </c>
    </row>
    <row r="492" spans="2:11">
      <c r="B492" s="805" t="str">
        <f t="shared" si="12"/>
        <v>Sun</v>
      </c>
      <c r="C492" s="825">
        <v>44122</v>
      </c>
      <c r="D492" s="831">
        <v>54.16</v>
      </c>
      <c r="E492" s="831">
        <v>138.11500000000001</v>
      </c>
      <c r="F492" s="832">
        <v>83.17</v>
      </c>
      <c r="G492" s="832">
        <v>15.6000277951497</v>
      </c>
      <c r="H492" s="831">
        <v>378.65</v>
      </c>
      <c r="I492" s="832">
        <v>51.61</v>
      </c>
      <c r="J492" s="832">
        <v>3483.81</v>
      </c>
      <c r="K492" s="832">
        <v>11671.657999999999</v>
      </c>
    </row>
    <row r="493" spans="2:11">
      <c r="B493" s="805" t="str">
        <f t="shared" si="12"/>
        <v>Sat</v>
      </c>
      <c r="C493" s="825">
        <v>44121</v>
      </c>
      <c r="D493" s="831">
        <v>54.16</v>
      </c>
      <c r="E493" s="831">
        <v>138.11500000000001</v>
      </c>
      <c r="F493" s="832">
        <v>83.17</v>
      </c>
      <c r="G493" s="832">
        <v>15.6000277951497</v>
      </c>
      <c r="H493" s="831">
        <v>378.65</v>
      </c>
      <c r="I493" s="832">
        <v>51.61</v>
      </c>
      <c r="J493" s="832">
        <v>3483.81</v>
      </c>
      <c r="K493" s="832">
        <v>11671.657999999999</v>
      </c>
    </row>
    <row r="494" spans="2:11">
      <c r="B494" s="805" t="str">
        <f t="shared" si="12"/>
        <v>Fri</v>
      </c>
      <c r="C494" s="825">
        <v>44120</v>
      </c>
      <c r="D494" s="831">
        <v>54.16</v>
      </c>
      <c r="E494" s="831">
        <v>138.11500000000001</v>
      </c>
      <c r="F494" s="832">
        <v>83.17</v>
      </c>
      <c r="G494" s="832">
        <v>15.6000277951497</v>
      </c>
      <c r="H494" s="831">
        <v>378.65</v>
      </c>
      <c r="I494" s="832">
        <v>51.61</v>
      </c>
      <c r="J494" s="832">
        <v>3483.81</v>
      </c>
      <c r="K494" s="832">
        <v>11671.657999999999</v>
      </c>
    </row>
    <row r="495" spans="2:11">
      <c r="B495" s="805" t="str">
        <f t="shared" si="12"/>
        <v>Thu</v>
      </c>
      <c r="C495" s="825">
        <v>44119</v>
      </c>
      <c r="D495" s="831">
        <v>53.85</v>
      </c>
      <c r="E495" s="831">
        <v>139.69999999999999</v>
      </c>
      <c r="F495" s="832">
        <v>83.13</v>
      </c>
      <c r="G495" s="832">
        <v>15.7587142558965</v>
      </c>
      <c r="H495" s="831">
        <v>379.93</v>
      </c>
      <c r="I495" s="832">
        <v>51.94</v>
      </c>
      <c r="J495" s="832">
        <v>3483.34</v>
      </c>
      <c r="K495" s="832">
        <v>11713.973</v>
      </c>
    </row>
    <row r="496" spans="2:11">
      <c r="B496" s="805" t="str">
        <f t="shared" si="12"/>
        <v>Wed</v>
      </c>
      <c r="C496" s="825">
        <v>44118</v>
      </c>
      <c r="D496" s="831">
        <v>53.55</v>
      </c>
      <c r="E496" s="831">
        <v>140.95249999999999</v>
      </c>
      <c r="F496" s="832">
        <v>84.21</v>
      </c>
      <c r="G496" s="832">
        <v>15.9635516293952</v>
      </c>
      <c r="H496" s="831">
        <v>380.3</v>
      </c>
      <c r="I496" s="832">
        <v>51.63</v>
      </c>
      <c r="J496" s="832">
        <v>3488.67</v>
      </c>
      <c r="K496" s="832">
        <v>11768.832</v>
      </c>
    </row>
    <row r="497" spans="2:11">
      <c r="B497" s="805" t="str">
        <f t="shared" si="12"/>
        <v>Tue</v>
      </c>
      <c r="C497" s="825">
        <v>44117</v>
      </c>
      <c r="D497" s="831">
        <v>53.83</v>
      </c>
      <c r="E497" s="831">
        <v>142.48249999999999</v>
      </c>
      <c r="F497" s="832">
        <v>85.28</v>
      </c>
      <c r="G497" s="832">
        <v>16.074037993180699</v>
      </c>
      <c r="H497" s="831">
        <v>381.49</v>
      </c>
      <c r="I497" s="832">
        <v>51.85</v>
      </c>
      <c r="J497" s="832">
        <v>3511.93</v>
      </c>
      <c r="K497" s="832">
        <v>11863.999</v>
      </c>
    </row>
    <row r="498" spans="2:11">
      <c r="B498" s="805" t="str">
        <f t="shared" si="12"/>
        <v>Mon</v>
      </c>
      <c r="C498" s="825">
        <v>44116</v>
      </c>
      <c r="D498" s="831">
        <v>53.88</v>
      </c>
      <c r="E498" s="831">
        <v>142.26</v>
      </c>
      <c r="F498" s="832">
        <v>84.29</v>
      </c>
      <c r="G498" s="832">
        <v>16.084478478268501</v>
      </c>
      <c r="H498" s="831">
        <v>382.43</v>
      </c>
      <c r="I498" s="832">
        <v>50.68</v>
      </c>
      <c r="J498" s="832">
        <v>3534.22</v>
      </c>
      <c r="K498" s="832">
        <v>11876.362999999999</v>
      </c>
    </row>
    <row r="499" spans="2:11">
      <c r="B499" s="805" t="str">
        <f t="shared" si="12"/>
        <v>Sun</v>
      </c>
      <c r="C499" s="825">
        <v>44115</v>
      </c>
      <c r="D499" s="831">
        <v>52.82</v>
      </c>
      <c r="E499" s="831">
        <v>137.6275</v>
      </c>
      <c r="F499" s="832">
        <v>83.1</v>
      </c>
      <c r="G499" s="832">
        <v>15.8181437251205</v>
      </c>
      <c r="H499" s="831">
        <v>376.7</v>
      </c>
      <c r="I499" s="832">
        <v>49.89</v>
      </c>
      <c r="J499" s="832">
        <v>3477.13</v>
      </c>
      <c r="K499" s="832">
        <v>11580.045</v>
      </c>
    </row>
    <row r="500" spans="2:11">
      <c r="B500" s="805" t="str">
        <f t="shared" si="12"/>
        <v>Sat</v>
      </c>
      <c r="C500" s="825">
        <v>44114</v>
      </c>
      <c r="D500" s="831">
        <v>52.82</v>
      </c>
      <c r="E500" s="831">
        <v>137.6275</v>
      </c>
      <c r="F500" s="832">
        <v>83.1</v>
      </c>
      <c r="G500" s="832">
        <v>15.8181437251205</v>
      </c>
      <c r="H500" s="831">
        <v>376.7</v>
      </c>
      <c r="I500" s="832">
        <v>49.89</v>
      </c>
      <c r="J500" s="832">
        <v>3477.13</v>
      </c>
      <c r="K500" s="832">
        <v>11580.045</v>
      </c>
    </row>
    <row r="501" spans="2:11">
      <c r="B501" s="805" t="str">
        <f t="shared" si="12"/>
        <v>Fri</v>
      </c>
      <c r="C501" s="825">
        <v>44113</v>
      </c>
      <c r="D501" s="831">
        <v>52.82</v>
      </c>
      <c r="E501" s="831">
        <v>137.6275</v>
      </c>
      <c r="F501" s="832">
        <v>83.1</v>
      </c>
      <c r="G501" s="832">
        <v>15.8181437251205</v>
      </c>
      <c r="H501" s="831">
        <v>376.7</v>
      </c>
      <c r="I501" s="832">
        <v>49.89</v>
      </c>
      <c r="J501" s="832">
        <v>3477.13</v>
      </c>
      <c r="K501" s="832">
        <v>11580.045</v>
      </c>
    </row>
    <row r="502" spans="2:11">
      <c r="B502" s="805" t="str">
        <f t="shared" si="12"/>
        <v>Thu</v>
      </c>
      <c r="C502" s="825">
        <v>44112</v>
      </c>
      <c r="D502" s="831">
        <v>53.37</v>
      </c>
      <c r="E502" s="831">
        <v>138.38749999999999</v>
      </c>
      <c r="F502" s="832">
        <v>86.51</v>
      </c>
      <c r="G502" s="832">
        <v>15.8181437251205</v>
      </c>
      <c r="H502" s="831">
        <v>373.33</v>
      </c>
      <c r="I502" s="832">
        <v>49.9</v>
      </c>
      <c r="J502" s="832">
        <v>3446.83</v>
      </c>
      <c r="K502" s="832">
        <v>11421.08</v>
      </c>
    </row>
    <row r="503" spans="2:11">
      <c r="B503" s="805" t="str">
        <f t="shared" si="12"/>
        <v>Wed</v>
      </c>
      <c r="C503" s="825">
        <v>44111</v>
      </c>
      <c r="D503" s="831">
        <v>52.67</v>
      </c>
      <c r="E503" s="831">
        <v>139.63999999999999</v>
      </c>
      <c r="F503" s="832">
        <v>86.69</v>
      </c>
      <c r="G503" s="832">
        <v>15.455465233925301</v>
      </c>
      <c r="H503" s="831">
        <v>366.74</v>
      </c>
      <c r="I503" s="832">
        <v>48.41</v>
      </c>
      <c r="J503" s="832">
        <v>3419.45</v>
      </c>
      <c r="K503" s="832">
        <v>11364.699000000001</v>
      </c>
    </row>
    <row r="504" spans="2:11">
      <c r="B504" s="805" t="str">
        <f t="shared" si="12"/>
        <v>Tue</v>
      </c>
      <c r="C504" s="825">
        <v>44110</v>
      </c>
      <c r="D504" s="831">
        <v>51.37</v>
      </c>
      <c r="E504" s="831">
        <v>137.36500000000001</v>
      </c>
      <c r="F504" s="832">
        <v>84.48</v>
      </c>
      <c r="G504" s="832">
        <v>15.251414095846201</v>
      </c>
      <c r="H504" s="831">
        <v>363.98</v>
      </c>
      <c r="I504" s="832">
        <v>47.32</v>
      </c>
      <c r="J504" s="832">
        <v>3360.95</v>
      </c>
      <c r="K504" s="832">
        <v>11154.700999999999</v>
      </c>
    </row>
    <row r="505" spans="2:11">
      <c r="B505" s="805" t="str">
        <f t="shared" si="12"/>
        <v>Mon</v>
      </c>
      <c r="C505" s="825">
        <v>44109</v>
      </c>
      <c r="D505" s="831">
        <v>51.69</v>
      </c>
      <c r="E505" s="831">
        <v>136.42500000000001</v>
      </c>
      <c r="F505" s="832">
        <v>86.15</v>
      </c>
      <c r="G505" s="832">
        <v>15.0529026868996</v>
      </c>
      <c r="H505" s="831">
        <v>366.1</v>
      </c>
      <c r="I505" s="832">
        <v>47.6</v>
      </c>
      <c r="J505" s="832">
        <v>3408.63</v>
      </c>
      <c r="K505" s="832">
        <v>11332.584000000001</v>
      </c>
    </row>
    <row r="506" spans="2:11">
      <c r="B506" s="805" t="str">
        <f t="shared" si="12"/>
        <v>Sun</v>
      </c>
      <c r="C506" s="825">
        <v>44108</v>
      </c>
      <c r="D506" s="831">
        <v>51.01</v>
      </c>
      <c r="E506" s="831">
        <v>130.6225</v>
      </c>
      <c r="F506" s="832">
        <v>81.8</v>
      </c>
      <c r="G506" s="832">
        <v>14.970784496767299</v>
      </c>
      <c r="H506" s="831">
        <v>356.83</v>
      </c>
      <c r="I506" s="832">
        <v>46.55</v>
      </c>
      <c r="J506" s="832">
        <v>3348.44</v>
      </c>
      <c r="K506" s="832">
        <v>11075.112999999999</v>
      </c>
    </row>
    <row r="507" spans="2:11">
      <c r="B507" s="805" t="str">
        <f t="shared" si="12"/>
        <v>Sat</v>
      </c>
      <c r="C507" s="825">
        <v>44107</v>
      </c>
      <c r="D507" s="831">
        <v>51.01</v>
      </c>
      <c r="E507" s="831">
        <v>130.6225</v>
      </c>
      <c r="F507" s="832">
        <v>81.8</v>
      </c>
      <c r="G507" s="832">
        <v>14.970784496767299</v>
      </c>
      <c r="H507" s="831">
        <v>356.83</v>
      </c>
      <c r="I507" s="832">
        <v>46.55</v>
      </c>
      <c r="J507" s="832">
        <v>3348.44</v>
      </c>
      <c r="K507" s="832">
        <v>11075.112999999999</v>
      </c>
    </row>
    <row r="508" spans="2:11">
      <c r="B508" s="805" t="str">
        <f t="shared" si="12"/>
        <v>Fri</v>
      </c>
      <c r="C508" s="825">
        <v>44106</v>
      </c>
      <c r="D508" s="831">
        <v>51.01</v>
      </c>
      <c r="E508" s="831">
        <v>130.6225</v>
      </c>
      <c r="F508" s="832">
        <v>81.8</v>
      </c>
      <c r="G508" s="832">
        <v>14.970784496767299</v>
      </c>
      <c r="H508" s="831">
        <v>356.83</v>
      </c>
      <c r="I508" s="832">
        <v>46.55</v>
      </c>
      <c r="J508" s="832">
        <v>3348.44</v>
      </c>
      <c r="K508" s="832">
        <v>11075.112999999999</v>
      </c>
    </row>
    <row r="509" spans="2:11">
      <c r="B509" s="805" t="str">
        <f t="shared" si="12"/>
        <v>Thu</v>
      </c>
      <c r="C509" s="825">
        <v>44105</v>
      </c>
      <c r="D509" s="831">
        <v>52.24</v>
      </c>
      <c r="E509" s="831">
        <v>136.14500000000001</v>
      </c>
      <c r="F509" s="832">
        <v>84.86</v>
      </c>
      <c r="G509" s="832">
        <v>14.970784496767299</v>
      </c>
      <c r="H509" s="831">
        <v>368.6</v>
      </c>
      <c r="I509" s="832">
        <v>47.92</v>
      </c>
      <c r="J509" s="832">
        <v>3380.8</v>
      </c>
      <c r="K509" s="832">
        <v>11326.606</v>
      </c>
    </row>
    <row r="510" spans="2:11">
      <c r="B510" s="805" t="str">
        <f t="shared" si="12"/>
        <v>Wed</v>
      </c>
      <c r="C510" s="825">
        <v>44104</v>
      </c>
      <c r="D510" s="831">
        <v>51.78</v>
      </c>
      <c r="E510" s="831">
        <v>135.30500000000001</v>
      </c>
      <c r="F510" s="832">
        <v>81.99</v>
      </c>
      <c r="G510" s="832">
        <v>14.970784496767299</v>
      </c>
      <c r="H510" s="831">
        <v>364.32</v>
      </c>
      <c r="I510" s="832">
        <v>46.96</v>
      </c>
      <c r="J510" s="832">
        <v>3363</v>
      </c>
      <c r="K510" s="832">
        <v>11167.68</v>
      </c>
    </row>
    <row r="511" spans="2:11">
      <c r="B511" s="805" t="str">
        <f t="shared" si="12"/>
        <v>Tue</v>
      </c>
      <c r="C511" s="825">
        <v>44103</v>
      </c>
      <c r="D511" s="831">
        <v>51.19</v>
      </c>
      <c r="E511" s="831">
        <v>132.25749999999999</v>
      </c>
      <c r="F511" s="832">
        <v>81.77</v>
      </c>
      <c r="G511" s="832">
        <v>14.8625814683265</v>
      </c>
      <c r="H511" s="831">
        <v>364.26</v>
      </c>
      <c r="I511" s="832">
        <v>50.71</v>
      </c>
      <c r="J511" s="832">
        <v>3335.47</v>
      </c>
      <c r="K511" s="832">
        <v>11085.42</v>
      </c>
    </row>
    <row r="512" spans="2:11">
      <c r="B512" s="805" t="str">
        <f t="shared" si="12"/>
        <v>Mon</v>
      </c>
      <c r="C512" s="825">
        <v>44102</v>
      </c>
      <c r="D512" s="831">
        <v>51.43</v>
      </c>
      <c r="E512" s="831">
        <v>130.35</v>
      </c>
      <c r="F512" s="832">
        <v>79.48</v>
      </c>
      <c r="G512" s="832">
        <v>14.831236681102601</v>
      </c>
      <c r="H512" s="831">
        <v>367.3</v>
      </c>
      <c r="I512" s="832">
        <v>49.72</v>
      </c>
      <c r="J512" s="832">
        <v>3351.6</v>
      </c>
      <c r="K512" s="832">
        <v>11117.697</v>
      </c>
    </row>
    <row r="513" spans="2:11">
      <c r="B513" s="805" t="str">
        <f t="shared" si="12"/>
        <v>Sun</v>
      </c>
      <c r="C513" s="825">
        <v>44101</v>
      </c>
      <c r="D513" s="831">
        <v>49.94</v>
      </c>
      <c r="E513" s="831">
        <v>128.73750000000001</v>
      </c>
      <c r="F513" s="832">
        <v>78.055000000000007</v>
      </c>
      <c r="G513" s="832">
        <v>14.4942399070181</v>
      </c>
      <c r="H513" s="831">
        <v>356.8</v>
      </c>
      <c r="I513" s="832">
        <v>49.14</v>
      </c>
      <c r="J513" s="832">
        <v>3298.46</v>
      </c>
      <c r="K513" s="832">
        <v>10913.731</v>
      </c>
    </row>
    <row r="514" spans="2:11">
      <c r="B514" s="805" t="str">
        <f t="shared" si="12"/>
        <v>Sat</v>
      </c>
      <c r="C514" s="825">
        <v>44100</v>
      </c>
      <c r="D514" s="831">
        <v>49.94</v>
      </c>
      <c r="E514" s="831">
        <v>128.73750000000001</v>
      </c>
      <c r="F514" s="832">
        <v>78.055000000000007</v>
      </c>
      <c r="G514" s="832">
        <v>14.4942399070181</v>
      </c>
      <c r="H514" s="831">
        <v>356.8</v>
      </c>
      <c r="I514" s="832">
        <v>49.14</v>
      </c>
      <c r="J514" s="832">
        <v>3298.46</v>
      </c>
      <c r="K514" s="832">
        <v>10913.731</v>
      </c>
    </row>
    <row r="515" spans="2:11">
      <c r="B515" s="805" t="str">
        <f t="shared" si="12"/>
        <v>Fri</v>
      </c>
      <c r="C515" s="825">
        <v>44099</v>
      </c>
      <c r="D515" s="831">
        <v>49.94</v>
      </c>
      <c r="E515" s="831">
        <v>128.73750000000001</v>
      </c>
      <c r="F515" s="832">
        <v>78.055000000000007</v>
      </c>
      <c r="G515" s="832">
        <v>14.4942399070181</v>
      </c>
      <c r="H515" s="831">
        <v>356.8</v>
      </c>
      <c r="I515" s="832">
        <v>49.14</v>
      </c>
      <c r="J515" s="832">
        <v>3298.46</v>
      </c>
      <c r="K515" s="832">
        <v>10913.731</v>
      </c>
    </row>
    <row r="516" spans="2:11">
      <c r="B516" s="805" t="str">
        <f t="shared" si="12"/>
        <v>Thu</v>
      </c>
      <c r="C516" s="825">
        <v>44098</v>
      </c>
      <c r="D516" s="831">
        <v>49.16</v>
      </c>
      <c r="E516" s="831">
        <v>123.48</v>
      </c>
      <c r="F516" s="832">
        <v>75.819999999999993</v>
      </c>
      <c r="G516" s="832">
        <v>14.4556079557105</v>
      </c>
      <c r="H516" s="831">
        <v>352.52</v>
      </c>
      <c r="I516" s="832">
        <v>49.47</v>
      </c>
      <c r="J516" s="832">
        <v>3246.59</v>
      </c>
      <c r="K516" s="832">
        <v>10672.431</v>
      </c>
    </row>
    <row r="517" spans="2:11">
      <c r="B517" s="805" t="str">
        <f t="shared" si="12"/>
        <v>Wed</v>
      </c>
      <c r="C517" s="825">
        <v>44097</v>
      </c>
      <c r="D517" s="831">
        <v>48.82</v>
      </c>
      <c r="E517" s="831">
        <v>121.2375</v>
      </c>
      <c r="F517" s="832">
        <v>74.73</v>
      </c>
      <c r="G517" s="832">
        <v>14.8708449109808</v>
      </c>
      <c r="H517" s="831">
        <v>351.59</v>
      </c>
      <c r="I517" s="832">
        <v>49.85</v>
      </c>
      <c r="J517" s="832">
        <v>3236.92</v>
      </c>
      <c r="K517" s="832">
        <v>10633.15</v>
      </c>
    </row>
    <row r="518" spans="2:11">
      <c r="B518" s="805" t="str">
        <f t="shared" si="12"/>
        <v>Tue</v>
      </c>
      <c r="C518" s="825">
        <v>44096</v>
      </c>
      <c r="D518" s="831">
        <v>49.95</v>
      </c>
      <c r="E518" s="831">
        <v>126.3775</v>
      </c>
      <c r="F518" s="832">
        <v>77.7</v>
      </c>
      <c r="G518" s="832">
        <v>15.052356020942399</v>
      </c>
      <c r="H518" s="831">
        <v>361.59</v>
      </c>
      <c r="I518" s="832">
        <v>49.7</v>
      </c>
      <c r="J518" s="832">
        <v>3315.57</v>
      </c>
      <c r="K518" s="832">
        <v>10963.772000000001</v>
      </c>
    </row>
    <row r="519" spans="2:11">
      <c r="B519" s="805" t="str">
        <f t="shared" si="12"/>
        <v>Mon</v>
      </c>
      <c r="C519" s="825">
        <v>44095</v>
      </c>
      <c r="D519" s="831">
        <v>49.72</v>
      </c>
      <c r="E519" s="831">
        <v>125.1725</v>
      </c>
      <c r="F519" s="832">
        <v>77.94</v>
      </c>
      <c r="G519" s="832">
        <v>15.1917964299278</v>
      </c>
      <c r="H519" s="831">
        <v>351.79</v>
      </c>
      <c r="I519" s="832">
        <v>49.15</v>
      </c>
      <c r="J519" s="832">
        <v>3281.06</v>
      </c>
      <c r="K519" s="832">
        <v>10778.937</v>
      </c>
    </row>
    <row r="520" spans="2:11">
      <c r="B520" s="805" t="str">
        <f t="shared" ref="B520:B583" si="13">TEXT(C520,"DDD")</f>
        <v>Sun</v>
      </c>
      <c r="C520" s="825">
        <v>44094</v>
      </c>
      <c r="D520" s="831">
        <v>49.89</v>
      </c>
      <c r="E520" s="831">
        <v>121.8925</v>
      </c>
      <c r="F520" s="832">
        <v>74.930000000000007</v>
      </c>
      <c r="G520" s="832">
        <v>15.3182680696912</v>
      </c>
      <c r="H520" s="831">
        <v>359.73</v>
      </c>
      <c r="I520" s="832">
        <v>50.74</v>
      </c>
      <c r="J520" s="832">
        <v>3319.47</v>
      </c>
      <c r="K520" s="832">
        <v>10793.281999999999</v>
      </c>
    </row>
    <row r="521" spans="2:11">
      <c r="B521" s="805" t="str">
        <f t="shared" si="13"/>
        <v>Sat</v>
      </c>
      <c r="C521" s="825">
        <v>44093</v>
      </c>
      <c r="D521" s="831">
        <v>49.89</v>
      </c>
      <c r="E521" s="831">
        <v>121.8925</v>
      </c>
      <c r="F521" s="832">
        <v>74.930000000000007</v>
      </c>
      <c r="G521" s="832">
        <v>15.3182680696912</v>
      </c>
      <c r="H521" s="831">
        <v>359.73</v>
      </c>
      <c r="I521" s="832">
        <v>50.74</v>
      </c>
      <c r="J521" s="832">
        <v>3319.47</v>
      </c>
      <c r="K521" s="832">
        <v>10793.281999999999</v>
      </c>
    </row>
    <row r="522" spans="2:11">
      <c r="B522" s="805" t="str">
        <f t="shared" si="13"/>
        <v>Fri</v>
      </c>
      <c r="C522" s="825">
        <v>44092</v>
      </c>
      <c r="D522" s="831">
        <v>49.89</v>
      </c>
      <c r="E522" s="831">
        <v>121.8925</v>
      </c>
      <c r="F522" s="832">
        <v>74.930000000000007</v>
      </c>
      <c r="G522" s="832">
        <v>15.3182680696912</v>
      </c>
      <c r="H522" s="831">
        <v>359.73</v>
      </c>
      <c r="I522" s="832">
        <v>50.74</v>
      </c>
      <c r="J522" s="832">
        <v>3319.47</v>
      </c>
      <c r="K522" s="832">
        <v>10793.281999999999</v>
      </c>
    </row>
    <row r="523" spans="2:11">
      <c r="B523" s="805" t="str">
        <f t="shared" si="13"/>
        <v>Thu</v>
      </c>
      <c r="C523" s="825">
        <v>44091</v>
      </c>
      <c r="D523" s="831">
        <v>50.32</v>
      </c>
      <c r="E523" s="831">
        <v>124.63500000000001</v>
      </c>
      <c r="F523" s="832">
        <v>76.55</v>
      </c>
      <c r="G523" s="832">
        <v>15.3986129231614</v>
      </c>
      <c r="H523" s="831">
        <v>365.92</v>
      </c>
      <c r="I523" s="832">
        <v>50.98</v>
      </c>
      <c r="J523" s="832">
        <v>3357.01</v>
      </c>
      <c r="K523" s="832">
        <v>10910.277</v>
      </c>
    </row>
    <row r="524" spans="2:11">
      <c r="B524" s="805" t="str">
        <f t="shared" si="13"/>
        <v>Wed</v>
      </c>
      <c r="C524" s="825">
        <v>44090</v>
      </c>
      <c r="D524" s="831">
        <v>50.37</v>
      </c>
      <c r="E524" s="831">
        <v>125.145</v>
      </c>
      <c r="F524" s="832">
        <v>76.66</v>
      </c>
      <c r="G524" s="832">
        <v>15.6666894711637</v>
      </c>
      <c r="H524" s="831">
        <v>367.04</v>
      </c>
      <c r="I524" s="832">
        <v>50.21</v>
      </c>
      <c r="J524" s="832">
        <v>3385.49</v>
      </c>
      <c r="K524" s="832">
        <v>11050.468999999999</v>
      </c>
    </row>
    <row r="525" spans="2:11">
      <c r="B525" s="805" t="str">
        <f t="shared" si="13"/>
        <v>Tue</v>
      </c>
      <c r="C525" s="825">
        <v>44089</v>
      </c>
      <c r="D525" s="831">
        <v>50</v>
      </c>
      <c r="E525" s="831">
        <v>129.91</v>
      </c>
      <c r="F525" s="832">
        <v>78.930000000000007</v>
      </c>
      <c r="G525" s="832">
        <v>15.2308587466201</v>
      </c>
      <c r="H525" s="831">
        <v>366.91</v>
      </c>
      <c r="I525" s="832">
        <v>49.05</v>
      </c>
      <c r="J525" s="832">
        <v>3401.2</v>
      </c>
      <c r="K525" s="832">
        <v>11190.324000000001</v>
      </c>
    </row>
    <row r="526" spans="2:11">
      <c r="B526" s="805" t="str">
        <f t="shared" si="13"/>
        <v>Mon</v>
      </c>
      <c r="C526" s="825">
        <v>44088</v>
      </c>
      <c r="D526" s="831">
        <v>49.41</v>
      </c>
      <c r="E526" s="831">
        <v>128.7225</v>
      </c>
      <c r="F526" s="832">
        <v>77.900000000000006</v>
      </c>
      <c r="G526" s="832">
        <v>15.0795007693623</v>
      </c>
      <c r="H526" s="831">
        <v>362.2</v>
      </c>
      <c r="I526" s="832">
        <v>49.03</v>
      </c>
      <c r="J526" s="832">
        <v>3383.54</v>
      </c>
      <c r="K526" s="832">
        <v>11056.651</v>
      </c>
    </row>
    <row r="527" spans="2:11">
      <c r="B527" s="805" t="str">
        <f t="shared" si="13"/>
        <v>Sun</v>
      </c>
      <c r="C527" s="825">
        <v>44087</v>
      </c>
      <c r="D527" s="831">
        <v>49.28</v>
      </c>
      <c r="E527" s="831">
        <v>121.645</v>
      </c>
      <c r="F527" s="832">
        <v>76.34</v>
      </c>
      <c r="G527" s="832">
        <v>14.9021883855109</v>
      </c>
      <c r="H527" s="831">
        <v>359.7</v>
      </c>
      <c r="I527" s="832">
        <v>46.09</v>
      </c>
      <c r="J527" s="832">
        <v>3340.97</v>
      </c>
      <c r="K527" s="832">
        <v>10853.545</v>
      </c>
    </row>
    <row r="528" spans="2:11">
      <c r="B528" s="805" t="str">
        <f t="shared" si="13"/>
        <v>Sat</v>
      </c>
      <c r="C528" s="825">
        <v>44086</v>
      </c>
      <c r="D528" s="831">
        <v>49.28</v>
      </c>
      <c r="E528" s="831">
        <v>121.645</v>
      </c>
      <c r="F528" s="832">
        <v>76.34</v>
      </c>
      <c r="G528" s="832">
        <v>14.9021883855109</v>
      </c>
      <c r="H528" s="831">
        <v>359.7</v>
      </c>
      <c r="I528" s="832">
        <v>46.09</v>
      </c>
      <c r="J528" s="832">
        <v>3340.97</v>
      </c>
      <c r="K528" s="832">
        <v>10853.545</v>
      </c>
    </row>
    <row r="529" spans="2:11">
      <c r="B529" s="805" t="str">
        <f t="shared" si="13"/>
        <v>Fri</v>
      </c>
      <c r="C529" s="825">
        <v>44085</v>
      </c>
      <c r="D529" s="831">
        <v>49.28</v>
      </c>
      <c r="E529" s="831">
        <v>121.645</v>
      </c>
      <c r="F529" s="832">
        <v>76.34</v>
      </c>
      <c r="G529" s="832">
        <v>14.9021883855109</v>
      </c>
      <c r="H529" s="831">
        <v>359.7</v>
      </c>
      <c r="I529" s="832">
        <v>46.09</v>
      </c>
      <c r="J529" s="832">
        <v>3340.97</v>
      </c>
      <c r="K529" s="832">
        <v>10853.545</v>
      </c>
    </row>
    <row r="530" spans="2:11">
      <c r="B530" s="805" t="str">
        <f t="shared" si="13"/>
        <v>Thu</v>
      </c>
      <c r="C530" s="825">
        <v>44084</v>
      </c>
      <c r="D530" s="831">
        <v>48.96</v>
      </c>
      <c r="E530" s="831">
        <v>123.11750000000001</v>
      </c>
      <c r="F530" s="832">
        <v>78.98</v>
      </c>
      <c r="G530" s="832">
        <v>14.8570647904642</v>
      </c>
      <c r="H530" s="831">
        <v>357.08</v>
      </c>
      <c r="I530" s="832">
        <v>44.87</v>
      </c>
      <c r="J530" s="832">
        <v>3339.19</v>
      </c>
      <c r="K530" s="832">
        <v>10919.593000000001</v>
      </c>
    </row>
    <row r="531" spans="2:11">
      <c r="B531" s="805" t="str">
        <f t="shared" si="13"/>
        <v>Wed</v>
      </c>
      <c r="C531" s="825">
        <v>44083</v>
      </c>
      <c r="D531" s="831">
        <v>49.62</v>
      </c>
      <c r="E531" s="831">
        <v>127.15</v>
      </c>
      <c r="F531" s="832">
        <v>81.91</v>
      </c>
      <c r="G531" s="832">
        <v>14.584827680431699</v>
      </c>
      <c r="H531" s="831">
        <v>360.03</v>
      </c>
      <c r="I531" s="832">
        <v>45.15</v>
      </c>
      <c r="J531" s="832">
        <v>3398.96</v>
      </c>
      <c r="K531" s="832">
        <v>11141.564</v>
      </c>
    </row>
    <row r="532" spans="2:11">
      <c r="B532" s="805" t="str">
        <f t="shared" si="13"/>
        <v>Tue</v>
      </c>
      <c r="C532" s="825">
        <v>44082</v>
      </c>
      <c r="D532" s="831">
        <v>48.91</v>
      </c>
      <c r="E532" s="831">
        <v>119.13</v>
      </c>
      <c r="F532" s="832">
        <v>78.69</v>
      </c>
      <c r="G532" s="832">
        <v>14.7310137398318</v>
      </c>
      <c r="H532" s="831">
        <v>350.54</v>
      </c>
      <c r="I532" s="832">
        <v>45.03</v>
      </c>
      <c r="J532" s="832">
        <v>3331.84</v>
      </c>
      <c r="K532" s="832">
        <v>10847.69</v>
      </c>
    </row>
    <row r="533" spans="2:11">
      <c r="B533" s="805" t="str">
        <f t="shared" si="13"/>
        <v>Mon</v>
      </c>
      <c r="C533" s="825">
        <v>44081</v>
      </c>
      <c r="D533" s="831">
        <v>50.08</v>
      </c>
      <c r="E533" s="831">
        <v>126.22499999999999</v>
      </c>
      <c r="F533" s="832">
        <v>82.01</v>
      </c>
      <c r="G533" s="832">
        <v>14.535280469496399</v>
      </c>
      <c r="H533" s="831">
        <v>362.95</v>
      </c>
      <c r="I533" s="832">
        <v>46.48</v>
      </c>
      <c r="J533" s="832">
        <v>3426.96</v>
      </c>
      <c r="K533" s="832">
        <v>11313.134</v>
      </c>
    </row>
    <row r="534" spans="2:11">
      <c r="B534" s="805" t="str">
        <f t="shared" si="13"/>
        <v>Sun</v>
      </c>
      <c r="C534" s="825">
        <v>44080</v>
      </c>
      <c r="D534" s="831">
        <v>50.08</v>
      </c>
      <c r="E534" s="831">
        <v>126.22499999999999</v>
      </c>
      <c r="F534" s="832">
        <v>82.01</v>
      </c>
      <c r="G534" s="832">
        <v>14.629654890192301</v>
      </c>
      <c r="H534" s="831">
        <v>362.95</v>
      </c>
      <c r="I534" s="832">
        <v>46.48</v>
      </c>
      <c r="J534" s="832">
        <v>3426.96</v>
      </c>
      <c r="K534" s="832">
        <v>11313.134</v>
      </c>
    </row>
    <row r="535" spans="2:11">
      <c r="B535" s="805" t="str">
        <f t="shared" si="13"/>
        <v>Sat</v>
      </c>
      <c r="C535" s="825">
        <v>44079</v>
      </c>
      <c r="D535" s="831">
        <v>50.08</v>
      </c>
      <c r="E535" s="831">
        <v>126.22499999999999</v>
      </c>
      <c r="F535" s="832">
        <v>82.01</v>
      </c>
      <c r="G535" s="832">
        <v>14.629654890192301</v>
      </c>
      <c r="H535" s="831">
        <v>362.95</v>
      </c>
      <c r="I535" s="832">
        <v>46.48</v>
      </c>
      <c r="J535" s="832">
        <v>3426.96</v>
      </c>
      <c r="K535" s="832">
        <v>11313.134</v>
      </c>
    </row>
    <row r="536" spans="2:11">
      <c r="B536" s="805" t="str">
        <f t="shared" si="13"/>
        <v>Fri</v>
      </c>
      <c r="C536" s="825">
        <v>44078</v>
      </c>
      <c r="D536" s="831">
        <v>50.08</v>
      </c>
      <c r="E536" s="831">
        <v>126.22499999999999</v>
      </c>
      <c r="F536" s="832">
        <v>82.01</v>
      </c>
      <c r="G536" s="832">
        <v>14.629654890192301</v>
      </c>
      <c r="H536" s="831">
        <v>362.95</v>
      </c>
      <c r="I536" s="832">
        <v>46.48</v>
      </c>
      <c r="J536" s="832">
        <v>3426.96</v>
      </c>
      <c r="K536" s="832">
        <v>11313.134</v>
      </c>
    </row>
    <row r="537" spans="2:11">
      <c r="B537" s="805" t="str">
        <f t="shared" si="13"/>
        <v>Thu</v>
      </c>
      <c r="C537" s="825">
        <v>44077</v>
      </c>
      <c r="D537" s="831">
        <v>50.39</v>
      </c>
      <c r="E537" s="831">
        <v>130.155</v>
      </c>
      <c r="F537" s="832">
        <v>82.54</v>
      </c>
      <c r="G537" s="832">
        <v>14.859246131824699</v>
      </c>
      <c r="H537" s="831">
        <v>352.09</v>
      </c>
      <c r="I537" s="832">
        <v>46.33</v>
      </c>
      <c r="J537" s="832">
        <v>3455.06</v>
      </c>
      <c r="K537" s="832">
        <v>11458.101000000001</v>
      </c>
    </row>
    <row r="538" spans="2:11">
      <c r="B538" s="805" t="str">
        <f t="shared" si="13"/>
        <v>Wed</v>
      </c>
      <c r="C538" s="825">
        <v>44076</v>
      </c>
      <c r="D538" s="831">
        <v>52.25</v>
      </c>
      <c r="E538" s="831">
        <v>143.465</v>
      </c>
      <c r="F538" s="832">
        <v>90.22</v>
      </c>
      <c r="G538" s="832">
        <v>14.7494635010389</v>
      </c>
      <c r="H538" s="831">
        <v>375.01</v>
      </c>
      <c r="I538" s="832">
        <v>47.83</v>
      </c>
      <c r="J538" s="832">
        <v>3580.84</v>
      </c>
      <c r="K538" s="832">
        <v>12056.442999999999</v>
      </c>
    </row>
    <row r="539" spans="2:11">
      <c r="B539" s="805" t="str">
        <f t="shared" si="13"/>
        <v>Tue</v>
      </c>
      <c r="C539" s="825">
        <v>44075</v>
      </c>
      <c r="D539" s="831">
        <v>50.79</v>
      </c>
      <c r="E539" s="831">
        <v>138.21</v>
      </c>
      <c r="F539" s="832">
        <v>92.18</v>
      </c>
      <c r="G539" s="832">
        <v>14.8196095799407</v>
      </c>
      <c r="H539" s="831">
        <v>359.54</v>
      </c>
      <c r="I539" s="832">
        <v>45.76</v>
      </c>
      <c r="J539" s="832">
        <v>3526.65</v>
      </c>
      <c r="K539" s="832">
        <v>11939.666999999999</v>
      </c>
    </row>
    <row r="540" spans="2:11">
      <c r="B540" s="805" t="str">
        <f t="shared" si="13"/>
        <v>Mon</v>
      </c>
      <c r="C540" s="825">
        <v>44074</v>
      </c>
      <c r="D540" s="831">
        <v>50.95</v>
      </c>
      <c r="E540" s="831">
        <v>133.745</v>
      </c>
      <c r="F540" s="832">
        <v>90.82</v>
      </c>
      <c r="G540" s="832">
        <v>14.5240933083603</v>
      </c>
      <c r="H540" s="831">
        <v>347.15</v>
      </c>
      <c r="I540" s="832">
        <v>45.51</v>
      </c>
      <c r="J540" s="832">
        <v>3500.31</v>
      </c>
      <c r="K540" s="832">
        <v>11775.456</v>
      </c>
    </row>
    <row r="541" spans="2:11">
      <c r="B541" s="805" t="str">
        <f t="shared" si="13"/>
        <v>Sun</v>
      </c>
      <c r="C541" s="825">
        <v>44073</v>
      </c>
      <c r="D541" s="831">
        <v>50.43</v>
      </c>
      <c r="E541" s="831">
        <v>131.47749999999999</v>
      </c>
      <c r="F541" s="832">
        <v>85.55</v>
      </c>
      <c r="G541" s="832">
        <v>14.827186583952599</v>
      </c>
      <c r="H541" s="831">
        <v>344.82</v>
      </c>
      <c r="I541" s="832">
        <v>45.69</v>
      </c>
      <c r="J541" s="832">
        <v>3508.01</v>
      </c>
      <c r="K541" s="832">
        <v>11695.633</v>
      </c>
    </row>
    <row r="542" spans="2:11">
      <c r="B542" s="805" t="str">
        <f t="shared" si="13"/>
        <v>Sat</v>
      </c>
      <c r="C542" s="825">
        <v>44072</v>
      </c>
      <c r="D542" s="831">
        <v>50.43</v>
      </c>
      <c r="E542" s="831">
        <v>131.47749999999999</v>
      </c>
      <c r="F542" s="832">
        <v>85.55</v>
      </c>
      <c r="G542" s="832">
        <v>14.827186583952599</v>
      </c>
      <c r="H542" s="831">
        <v>344.82</v>
      </c>
      <c r="I542" s="832">
        <v>45.69</v>
      </c>
      <c r="J542" s="832">
        <v>3508.01</v>
      </c>
      <c r="K542" s="832">
        <v>11695.633</v>
      </c>
    </row>
    <row r="543" spans="2:11">
      <c r="B543" s="805" t="str">
        <f t="shared" si="13"/>
        <v>Fri</v>
      </c>
      <c r="C543" s="825">
        <v>44071</v>
      </c>
      <c r="D543" s="831">
        <v>50.43</v>
      </c>
      <c r="E543" s="831">
        <v>131.47749999999999</v>
      </c>
      <c r="F543" s="832">
        <v>85.55</v>
      </c>
      <c r="G543" s="832">
        <v>14.827186583952599</v>
      </c>
      <c r="H543" s="831">
        <v>344.82</v>
      </c>
      <c r="I543" s="832">
        <v>45.69</v>
      </c>
      <c r="J543" s="832">
        <v>3508.01</v>
      </c>
      <c r="K543" s="832">
        <v>11695.633</v>
      </c>
    </row>
    <row r="544" spans="2:11">
      <c r="B544" s="805" t="str">
        <f t="shared" si="13"/>
        <v>Thu</v>
      </c>
      <c r="C544" s="825">
        <v>44070</v>
      </c>
      <c r="D544" s="831">
        <v>49.4</v>
      </c>
      <c r="E544" s="831">
        <v>126.2825</v>
      </c>
      <c r="F544" s="832">
        <v>83.8</v>
      </c>
      <c r="G544" s="832">
        <v>15.113350125944599</v>
      </c>
      <c r="H544" s="831">
        <v>339.14</v>
      </c>
      <c r="I544" s="832">
        <v>44.62</v>
      </c>
      <c r="J544" s="832">
        <v>3484.55</v>
      </c>
      <c r="K544" s="832">
        <v>11625.337</v>
      </c>
    </row>
    <row r="545" spans="2:11">
      <c r="B545" s="805" t="str">
        <f t="shared" si="13"/>
        <v>Wed</v>
      </c>
      <c r="C545" s="825">
        <v>44069</v>
      </c>
      <c r="D545" s="831">
        <v>49.55</v>
      </c>
      <c r="E545" s="831">
        <v>127.73</v>
      </c>
      <c r="F545" s="832">
        <v>86.02</v>
      </c>
      <c r="G545" s="832">
        <v>15.0606514924356</v>
      </c>
      <c r="H545" s="831">
        <v>339.67</v>
      </c>
      <c r="I545" s="832">
        <v>44.96</v>
      </c>
      <c r="J545" s="832">
        <v>3478.73</v>
      </c>
      <c r="K545" s="832">
        <v>11665.06</v>
      </c>
    </row>
    <row r="546" spans="2:11">
      <c r="B546" s="805" t="str">
        <f t="shared" si="13"/>
        <v>Tue</v>
      </c>
      <c r="C546" s="825">
        <v>44068</v>
      </c>
      <c r="D546" s="831">
        <v>49.43</v>
      </c>
      <c r="E546" s="831">
        <v>127.5</v>
      </c>
      <c r="F546" s="832">
        <v>86.35</v>
      </c>
      <c r="G546" s="832">
        <v>14.800054499625301</v>
      </c>
      <c r="H546" s="831">
        <v>336.14</v>
      </c>
      <c r="I546" s="832">
        <v>45.1</v>
      </c>
      <c r="J546" s="832">
        <v>3443.62</v>
      </c>
      <c r="K546" s="832">
        <v>11466.472</v>
      </c>
    </row>
    <row r="547" spans="2:11">
      <c r="B547" s="805" t="str">
        <f t="shared" si="13"/>
        <v>Mon</v>
      </c>
      <c r="C547" s="825">
        <v>44067</v>
      </c>
      <c r="D547" s="831">
        <v>49.14</v>
      </c>
      <c r="E547" s="831">
        <v>127.2025</v>
      </c>
      <c r="F547" s="832">
        <v>83.08</v>
      </c>
      <c r="G547" s="832">
        <v>14.575174527498699</v>
      </c>
      <c r="H547" s="831">
        <v>334</v>
      </c>
      <c r="I547" s="832">
        <v>43.76</v>
      </c>
      <c r="J547" s="832">
        <v>3431.28</v>
      </c>
      <c r="K547" s="832">
        <v>11379.718000000001</v>
      </c>
    </row>
    <row r="548" spans="2:11">
      <c r="B548" s="805" t="str">
        <f t="shared" si="13"/>
        <v>Sun</v>
      </c>
      <c r="C548" s="825">
        <v>44066</v>
      </c>
      <c r="D548" s="831">
        <v>49.28</v>
      </c>
      <c r="E548" s="831">
        <v>126.83499999999999</v>
      </c>
      <c r="F548" s="832">
        <v>83.81</v>
      </c>
      <c r="G548" s="832">
        <v>14.4427054980947</v>
      </c>
      <c r="H548" s="831">
        <v>330.02</v>
      </c>
      <c r="I548" s="832">
        <v>42.66</v>
      </c>
      <c r="J548" s="832">
        <v>3397.16</v>
      </c>
      <c r="K548" s="832">
        <v>11311.800999999999</v>
      </c>
    </row>
    <row r="549" spans="2:11">
      <c r="B549" s="805" t="str">
        <f t="shared" si="13"/>
        <v>Sat</v>
      </c>
      <c r="C549" s="825">
        <v>44065</v>
      </c>
      <c r="D549" s="831">
        <v>49.28</v>
      </c>
      <c r="E549" s="831">
        <v>126.83499999999999</v>
      </c>
      <c r="F549" s="832">
        <v>83.81</v>
      </c>
      <c r="G549" s="832">
        <v>14.4427054980947</v>
      </c>
      <c r="H549" s="831">
        <v>330.02</v>
      </c>
      <c r="I549" s="832">
        <v>42.66</v>
      </c>
      <c r="J549" s="832">
        <v>3397.16</v>
      </c>
      <c r="K549" s="832">
        <v>11311.800999999999</v>
      </c>
    </row>
    <row r="550" spans="2:11">
      <c r="B550" s="805" t="str">
        <f t="shared" si="13"/>
        <v>Fri</v>
      </c>
      <c r="C550" s="825">
        <v>44064</v>
      </c>
      <c r="D550" s="831">
        <v>49.28</v>
      </c>
      <c r="E550" s="831">
        <v>126.83499999999999</v>
      </c>
      <c r="F550" s="832">
        <v>83.81</v>
      </c>
      <c r="G550" s="832">
        <v>14.4427054980947</v>
      </c>
      <c r="H550" s="831">
        <v>330.02</v>
      </c>
      <c r="I550" s="832">
        <v>42.66</v>
      </c>
      <c r="J550" s="832">
        <v>3397.16</v>
      </c>
      <c r="K550" s="832">
        <v>11311.800999999999</v>
      </c>
    </row>
    <row r="551" spans="2:11">
      <c r="B551" s="805" t="str">
        <f t="shared" si="13"/>
        <v>Thu</v>
      </c>
      <c r="C551" s="825">
        <v>44063</v>
      </c>
      <c r="D551" s="831">
        <v>49.17</v>
      </c>
      <c r="E551" s="831">
        <v>121.41</v>
      </c>
      <c r="F551" s="832">
        <v>82.77</v>
      </c>
      <c r="G551" s="832">
        <v>14.119007927057501</v>
      </c>
      <c r="H551" s="831">
        <v>328.83</v>
      </c>
      <c r="I551" s="832">
        <v>42.984999999999999</v>
      </c>
      <c r="J551" s="832">
        <v>3385.51</v>
      </c>
      <c r="K551" s="832">
        <v>11264.954</v>
      </c>
    </row>
    <row r="552" spans="2:11">
      <c r="B552" s="805" t="str">
        <f t="shared" si="13"/>
        <v>Wed</v>
      </c>
      <c r="C552" s="825">
        <v>44062</v>
      </c>
      <c r="D552" s="831">
        <v>48.33</v>
      </c>
      <c r="E552" s="831">
        <v>121.38500000000001</v>
      </c>
      <c r="F552" s="832">
        <v>81.09</v>
      </c>
      <c r="G552" s="832">
        <v>14.550219529628</v>
      </c>
      <c r="H552" s="831">
        <v>329.21</v>
      </c>
      <c r="I552" s="832">
        <v>44.05</v>
      </c>
      <c r="J552" s="832">
        <v>3374.85</v>
      </c>
      <c r="K552" s="832">
        <v>11146.460999999999</v>
      </c>
    </row>
    <row r="553" spans="2:11">
      <c r="B553" s="805" t="str">
        <f t="shared" si="13"/>
        <v>Tue</v>
      </c>
      <c r="C553" s="825">
        <v>44061</v>
      </c>
      <c r="D553" s="831">
        <v>48.65</v>
      </c>
      <c r="E553" s="831">
        <v>122.6075</v>
      </c>
      <c r="F553" s="832">
        <v>81.66</v>
      </c>
      <c r="G553" s="832">
        <v>14.7374153364419</v>
      </c>
      <c r="H553" s="831">
        <v>328.64</v>
      </c>
      <c r="I553" s="832">
        <v>44.4</v>
      </c>
      <c r="J553" s="832">
        <v>3389.78</v>
      </c>
      <c r="K553" s="832">
        <v>11210.843000000001</v>
      </c>
    </row>
    <row r="554" spans="2:11">
      <c r="B554" s="805" t="str">
        <f t="shared" si="13"/>
        <v>Mon</v>
      </c>
      <c r="C554" s="825">
        <v>44060</v>
      </c>
      <c r="D554" s="831">
        <v>48.93</v>
      </c>
      <c r="E554" s="831">
        <v>123.37</v>
      </c>
      <c r="F554" s="832">
        <v>82.42</v>
      </c>
      <c r="G554" s="832">
        <v>14.802967399441901</v>
      </c>
      <c r="H554" s="831">
        <v>330.32</v>
      </c>
      <c r="I554" s="832">
        <v>45.22</v>
      </c>
      <c r="J554" s="832">
        <v>3381.99</v>
      </c>
      <c r="K554" s="832">
        <v>11129.725</v>
      </c>
    </row>
    <row r="555" spans="2:11">
      <c r="B555" s="805" t="str">
        <f t="shared" si="13"/>
        <v>Sun</v>
      </c>
      <c r="C555" s="825">
        <v>44059</v>
      </c>
      <c r="D555" s="831">
        <v>48.89</v>
      </c>
      <c r="E555" s="831">
        <v>115.64</v>
      </c>
      <c r="F555" s="832">
        <v>81.3</v>
      </c>
      <c r="G555" s="832">
        <v>14.5277626565052</v>
      </c>
      <c r="H555" s="831">
        <v>327.82</v>
      </c>
      <c r="I555" s="832">
        <v>45.6</v>
      </c>
      <c r="J555" s="832">
        <v>3372.85</v>
      </c>
      <c r="K555" s="832">
        <v>11019.300999999999</v>
      </c>
    </row>
    <row r="556" spans="2:11">
      <c r="B556" s="805" t="str">
        <f t="shared" si="13"/>
        <v>Sat</v>
      </c>
      <c r="C556" s="825">
        <v>44058</v>
      </c>
      <c r="D556" s="831">
        <v>48.89</v>
      </c>
      <c r="E556" s="831">
        <v>115.64</v>
      </c>
      <c r="F556" s="832">
        <v>81.3</v>
      </c>
      <c r="G556" s="832">
        <v>14.5277626565052</v>
      </c>
      <c r="H556" s="831">
        <v>327.82</v>
      </c>
      <c r="I556" s="832">
        <v>45.6</v>
      </c>
      <c r="J556" s="832">
        <v>3372.85</v>
      </c>
      <c r="K556" s="832">
        <v>11019.300999999999</v>
      </c>
    </row>
    <row r="557" spans="2:11">
      <c r="B557" s="805" t="str">
        <f t="shared" si="13"/>
        <v>Fri</v>
      </c>
      <c r="C557" s="825">
        <v>44057</v>
      </c>
      <c r="D557" s="831">
        <v>48.89</v>
      </c>
      <c r="E557" s="831">
        <v>115.64</v>
      </c>
      <c r="F557" s="832">
        <v>81.3</v>
      </c>
      <c r="G557" s="832">
        <v>14.5277626565052</v>
      </c>
      <c r="H557" s="831">
        <v>327.82</v>
      </c>
      <c r="I557" s="832">
        <v>45.6</v>
      </c>
      <c r="J557" s="832">
        <v>3372.85</v>
      </c>
      <c r="K557" s="832">
        <v>11019.300999999999</v>
      </c>
    </row>
    <row r="558" spans="2:11">
      <c r="B558" s="805" t="str">
        <f t="shared" si="13"/>
        <v>Thu</v>
      </c>
      <c r="C558" s="825">
        <v>44056</v>
      </c>
      <c r="D558" s="831">
        <v>48.56</v>
      </c>
      <c r="E558" s="831">
        <v>114.43</v>
      </c>
      <c r="F558" s="832">
        <v>81.84</v>
      </c>
      <c r="G558" s="832">
        <v>14.576962283384299</v>
      </c>
      <c r="H558" s="831">
        <v>329.42</v>
      </c>
      <c r="I558" s="832">
        <v>46.14</v>
      </c>
      <c r="J558" s="832">
        <v>3373.43</v>
      </c>
      <c r="K558" s="832">
        <v>11042.504000000001</v>
      </c>
    </row>
    <row r="559" spans="2:11">
      <c r="B559" s="805" t="str">
        <f t="shared" si="13"/>
        <v>Wed</v>
      </c>
      <c r="C559" s="825">
        <v>44055</v>
      </c>
      <c r="D559" s="831">
        <v>49.19</v>
      </c>
      <c r="E559" s="831">
        <v>114.4025</v>
      </c>
      <c r="F559" s="832">
        <v>82.61</v>
      </c>
      <c r="G559" s="832">
        <v>14.274034203175001</v>
      </c>
      <c r="H559" s="831">
        <v>333.64</v>
      </c>
      <c r="I559" s="832">
        <v>48.48</v>
      </c>
      <c r="J559" s="832">
        <v>3380.35</v>
      </c>
      <c r="K559" s="832">
        <v>11012.239</v>
      </c>
    </row>
    <row r="560" spans="2:11">
      <c r="B560" s="805" t="str">
        <f t="shared" si="13"/>
        <v>Tue</v>
      </c>
      <c r="C560" s="825">
        <v>44054</v>
      </c>
      <c r="D560" s="831">
        <v>48.19</v>
      </c>
      <c r="E560" s="831">
        <v>108.5</v>
      </c>
      <c r="F560" s="832">
        <v>76.88</v>
      </c>
      <c r="G560" s="832">
        <v>14.5958083832335</v>
      </c>
      <c r="H560" s="831">
        <v>324.02999999999997</v>
      </c>
      <c r="I560" s="832">
        <v>47.76</v>
      </c>
      <c r="J560" s="832">
        <v>3333.69</v>
      </c>
      <c r="K560" s="832">
        <v>10782.823</v>
      </c>
    </row>
    <row r="561" spans="2:11">
      <c r="B561" s="805" t="str">
        <f t="shared" si="13"/>
        <v>Mon</v>
      </c>
      <c r="C561" s="825">
        <v>44053</v>
      </c>
      <c r="D561" s="831">
        <v>49.22</v>
      </c>
      <c r="E561" s="831">
        <v>111.65</v>
      </c>
      <c r="F561" s="832">
        <v>82.24</v>
      </c>
      <c r="G561" s="832">
        <v>14.8199823044987</v>
      </c>
      <c r="H561" s="831">
        <v>327.36</v>
      </c>
      <c r="I561" s="832">
        <v>49.15</v>
      </c>
      <c r="J561" s="832">
        <v>3360.47</v>
      </c>
      <c r="K561" s="832">
        <v>10968.357</v>
      </c>
    </row>
    <row r="562" spans="2:11">
      <c r="B562" s="805" t="str">
        <f t="shared" si="13"/>
        <v>Sun</v>
      </c>
      <c r="C562" s="825">
        <v>44052</v>
      </c>
      <c r="D562" s="831">
        <v>48.03</v>
      </c>
      <c r="E562" s="831">
        <v>111.995</v>
      </c>
      <c r="F562" s="832">
        <v>84.85</v>
      </c>
      <c r="G562" s="832">
        <v>14.717378743074701</v>
      </c>
      <c r="H562" s="831">
        <v>325.93</v>
      </c>
      <c r="I562" s="832">
        <v>48.75</v>
      </c>
      <c r="J562" s="832">
        <v>3351.28</v>
      </c>
      <c r="K562" s="832">
        <v>11010.983</v>
      </c>
    </row>
    <row r="563" spans="2:11">
      <c r="B563" s="805" t="str">
        <f t="shared" si="13"/>
        <v>Sat</v>
      </c>
      <c r="C563" s="825">
        <v>44051</v>
      </c>
      <c r="D563" s="831">
        <v>48.03</v>
      </c>
      <c r="E563" s="831">
        <v>111.995</v>
      </c>
      <c r="F563" s="832">
        <v>84.85</v>
      </c>
      <c r="G563" s="832">
        <v>14.717378743074701</v>
      </c>
      <c r="H563" s="831">
        <v>325.93</v>
      </c>
      <c r="I563" s="832">
        <v>48.75</v>
      </c>
      <c r="J563" s="832">
        <v>3351.28</v>
      </c>
      <c r="K563" s="832">
        <v>11010.983</v>
      </c>
    </row>
    <row r="564" spans="2:11">
      <c r="B564" s="805" t="str">
        <f t="shared" si="13"/>
        <v>Fri</v>
      </c>
      <c r="C564" s="825">
        <v>44050</v>
      </c>
      <c r="D564" s="831">
        <v>48.03</v>
      </c>
      <c r="E564" s="831">
        <v>111.995</v>
      </c>
      <c r="F564" s="832">
        <v>84.85</v>
      </c>
      <c r="G564" s="832">
        <v>14.717378743074701</v>
      </c>
      <c r="H564" s="831">
        <v>325.93</v>
      </c>
      <c r="I564" s="832">
        <v>48.75</v>
      </c>
      <c r="J564" s="832">
        <v>3351.28</v>
      </c>
      <c r="K564" s="832">
        <v>11010.983</v>
      </c>
    </row>
    <row r="565" spans="2:11">
      <c r="B565" s="805" t="str">
        <f t="shared" si="13"/>
        <v>Thu</v>
      </c>
      <c r="C565" s="825">
        <v>44049</v>
      </c>
      <c r="D565" s="831">
        <v>48.57</v>
      </c>
      <c r="E565" s="831">
        <v>113.355</v>
      </c>
      <c r="F565" s="832">
        <v>86.71</v>
      </c>
      <c r="G565" s="832">
        <v>14.806494434800401</v>
      </c>
      <c r="H565" s="831">
        <v>329.16</v>
      </c>
      <c r="I565" s="832">
        <v>48.7</v>
      </c>
      <c r="J565" s="832">
        <v>3349.16</v>
      </c>
      <c r="K565" s="832">
        <v>11108.071</v>
      </c>
    </row>
    <row r="566" spans="2:11">
      <c r="B566" s="805" t="str">
        <f t="shared" si="13"/>
        <v>Wed</v>
      </c>
      <c r="C566" s="825">
        <v>44048</v>
      </c>
      <c r="D566" s="831">
        <v>48.92</v>
      </c>
      <c r="E566" s="831">
        <v>112.86750000000001</v>
      </c>
      <c r="F566" s="832">
        <v>85.31</v>
      </c>
      <c r="G566" s="832">
        <v>14.6132097966413</v>
      </c>
      <c r="H566" s="831">
        <v>329.54</v>
      </c>
      <c r="I566" s="832">
        <v>51.05</v>
      </c>
      <c r="J566" s="832">
        <v>3327.77</v>
      </c>
      <c r="K566" s="832">
        <v>10998.397999999999</v>
      </c>
    </row>
    <row r="567" spans="2:11">
      <c r="B567" s="805" t="str">
        <f t="shared" si="13"/>
        <v>Tue</v>
      </c>
      <c r="C567" s="825">
        <v>44047</v>
      </c>
      <c r="D567" s="831">
        <v>49.13</v>
      </c>
      <c r="E567" s="831">
        <v>112.2775</v>
      </c>
      <c r="F567" s="832">
        <v>85.04</v>
      </c>
      <c r="G567" s="832">
        <v>14.485106382978699</v>
      </c>
      <c r="H567" s="831">
        <v>328.39</v>
      </c>
      <c r="I567" s="832">
        <v>51.3</v>
      </c>
      <c r="J567" s="832">
        <v>3306.51</v>
      </c>
      <c r="K567" s="832">
        <v>10941.165999999999</v>
      </c>
    </row>
    <row r="568" spans="2:11">
      <c r="B568" s="805" t="str">
        <f t="shared" si="13"/>
        <v>Mon</v>
      </c>
      <c r="C568" s="825">
        <v>44046</v>
      </c>
      <c r="D568" s="831">
        <v>48.3</v>
      </c>
      <c r="E568" s="831">
        <v>110.10250000000001</v>
      </c>
      <c r="F568" s="832">
        <v>77.67</v>
      </c>
      <c r="G568" s="832">
        <v>14.1781125387683</v>
      </c>
      <c r="H568" s="831">
        <v>321.23</v>
      </c>
      <c r="I568" s="832">
        <v>50.39</v>
      </c>
      <c r="J568" s="832">
        <v>3294.61</v>
      </c>
      <c r="K568" s="832">
        <v>10902.797</v>
      </c>
    </row>
    <row r="569" spans="2:11">
      <c r="B569" s="805" t="str">
        <f t="shared" si="13"/>
        <v>Sun</v>
      </c>
      <c r="C569" s="825">
        <v>44045</v>
      </c>
      <c r="D569" s="831">
        <v>47.73</v>
      </c>
      <c r="E569" s="831">
        <v>106.14749999999999</v>
      </c>
      <c r="F569" s="832">
        <v>77.430000000000007</v>
      </c>
      <c r="G569" s="832">
        <v>14.503868834577499</v>
      </c>
      <c r="H569" s="831">
        <v>316.75</v>
      </c>
      <c r="I569" s="832">
        <v>50.055</v>
      </c>
      <c r="J569" s="832">
        <v>3271.12</v>
      </c>
      <c r="K569" s="832">
        <v>10745.275</v>
      </c>
    </row>
    <row r="570" spans="2:11">
      <c r="B570" s="805" t="str">
        <f t="shared" si="13"/>
        <v>Sat</v>
      </c>
      <c r="C570" s="825">
        <v>44044</v>
      </c>
      <c r="D570" s="831">
        <v>47.73</v>
      </c>
      <c r="E570" s="831">
        <v>106.14749999999999</v>
      </c>
      <c r="F570" s="832">
        <v>77.430000000000007</v>
      </c>
      <c r="G570" s="832">
        <v>14.503868834577499</v>
      </c>
      <c r="H570" s="831">
        <v>316.75</v>
      </c>
      <c r="I570" s="832">
        <v>50.055</v>
      </c>
      <c r="J570" s="832">
        <v>3271.12</v>
      </c>
      <c r="K570" s="832">
        <v>10745.275</v>
      </c>
    </row>
    <row r="571" spans="2:11">
      <c r="B571" s="805" t="str">
        <f t="shared" si="13"/>
        <v>Fri</v>
      </c>
      <c r="C571" s="825">
        <v>44043</v>
      </c>
      <c r="D571" s="831">
        <v>47.73</v>
      </c>
      <c r="E571" s="831">
        <v>106.14749999999999</v>
      </c>
      <c r="F571" s="832">
        <v>77.430000000000007</v>
      </c>
      <c r="G571" s="832">
        <v>14.503868834577499</v>
      </c>
      <c r="H571" s="831">
        <v>316.75</v>
      </c>
      <c r="I571" s="832">
        <v>50.055</v>
      </c>
      <c r="J571" s="832">
        <v>3271.12</v>
      </c>
      <c r="K571" s="832">
        <v>10745.275</v>
      </c>
    </row>
    <row r="572" spans="2:11">
      <c r="B572" s="805" t="str">
        <f t="shared" si="13"/>
        <v>Thu</v>
      </c>
      <c r="C572" s="825">
        <v>44042</v>
      </c>
      <c r="D572" s="831">
        <v>47.99</v>
      </c>
      <c r="E572" s="831">
        <v>106.14</v>
      </c>
      <c r="F572" s="832">
        <v>78.2</v>
      </c>
      <c r="G572" s="832">
        <v>14.8188616109537</v>
      </c>
      <c r="H572" s="831">
        <v>312.10000000000002</v>
      </c>
      <c r="I572" s="832">
        <v>50.74</v>
      </c>
      <c r="J572" s="832">
        <v>3246.22</v>
      </c>
      <c r="K572" s="832">
        <v>10587.813</v>
      </c>
    </row>
    <row r="573" spans="2:11">
      <c r="B573" s="805" t="str">
        <f t="shared" si="13"/>
        <v>Wed</v>
      </c>
      <c r="C573" s="825">
        <v>44041</v>
      </c>
      <c r="D573" s="831">
        <v>48.07</v>
      </c>
      <c r="E573" s="831">
        <v>104.655</v>
      </c>
      <c r="F573" s="832">
        <v>76.09</v>
      </c>
      <c r="G573" s="832">
        <v>14.424391577795999</v>
      </c>
      <c r="H573" s="831">
        <v>308.85000000000002</v>
      </c>
      <c r="I573" s="832">
        <v>50.39</v>
      </c>
      <c r="J573" s="832">
        <v>3258.44</v>
      </c>
      <c r="K573" s="832">
        <v>10542.942999999999</v>
      </c>
    </row>
    <row r="574" spans="2:11">
      <c r="B574" s="805" t="str">
        <f t="shared" si="13"/>
        <v>Tue</v>
      </c>
      <c r="C574" s="825">
        <v>44040</v>
      </c>
      <c r="D574" s="831">
        <v>49.24</v>
      </c>
      <c r="E574" s="831">
        <v>102.155</v>
      </c>
      <c r="F574" s="832">
        <v>67.61</v>
      </c>
      <c r="G574" s="832">
        <v>14.834265448097099</v>
      </c>
      <c r="H574" s="831">
        <v>307.35000000000002</v>
      </c>
      <c r="I574" s="832">
        <v>50.09</v>
      </c>
      <c r="J574" s="832">
        <v>3218.44</v>
      </c>
      <c r="K574" s="832">
        <v>10402.092000000001</v>
      </c>
    </row>
    <row r="575" spans="2:11">
      <c r="B575" s="805" t="str">
        <f t="shared" si="13"/>
        <v>Mon</v>
      </c>
      <c r="C575" s="825">
        <v>44039</v>
      </c>
      <c r="D575" s="831">
        <v>49.57</v>
      </c>
      <c r="E575" s="831">
        <v>104.215</v>
      </c>
      <c r="F575" s="832">
        <v>68.97</v>
      </c>
      <c r="G575" s="832">
        <v>14.487560151530699</v>
      </c>
      <c r="H575" s="831">
        <v>312.68</v>
      </c>
      <c r="I575" s="832">
        <v>51.59</v>
      </c>
      <c r="J575" s="832">
        <v>3239.41</v>
      </c>
      <c r="K575" s="832">
        <v>10536.267</v>
      </c>
    </row>
    <row r="576" spans="2:11">
      <c r="B576" s="805" t="str">
        <f t="shared" si="13"/>
        <v>Sun</v>
      </c>
      <c r="C576" s="825">
        <v>44038</v>
      </c>
      <c r="D576" s="831">
        <v>50.59</v>
      </c>
      <c r="E576" s="831">
        <v>101.94499999999999</v>
      </c>
      <c r="F576" s="832">
        <v>69.400000000000006</v>
      </c>
      <c r="G576" s="832">
        <v>13.106515907779</v>
      </c>
      <c r="H576" s="831">
        <v>305.79000000000002</v>
      </c>
      <c r="I576" s="832">
        <v>50.02</v>
      </c>
      <c r="J576" s="832">
        <v>3215.63</v>
      </c>
      <c r="K576" s="832">
        <v>10363.177</v>
      </c>
    </row>
    <row r="577" spans="2:11">
      <c r="B577" s="805" t="str">
        <f t="shared" si="13"/>
        <v>Sat</v>
      </c>
      <c r="C577" s="825">
        <v>44037</v>
      </c>
      <c r="D577" s="831">
        <v>50.59</v>
      </c>
      <c r="E577" s="831">
        <v>101.94499999999999</v>
      </c>
      <c r="F577" s="832">
        <v>69.400000000000006</v>
      </c>
      <c r="G577" s="832">
        <v>13.106515907779</v>
      </c>
      <c r="H577" s="831">
        <v>305.79000000000002</v>
      </c>
      <c r="I577" s="832">
        <v>50.02</v>
      </c>
      <c r="J577" s="832">
        <v>3215.63</v>
      </c>
      <c r="K577" s="832">
        <v>10363.177</v>
      </c>
    </row>
    <row r="578" spans="2:11">
      <c r="B578" s="805" t="str">
        <f t="shared" si="13"/>
        <v>Fri</v>
      </c>
      <c r="C578" s="825">
        <v>44036</v>
      </c>
      <c r="D578" s="831">
        <v>50.59</v>
      </c>
      <c r="E578" s="831">
        <v>101.94499999999999</v>
      </c>
      <c r="F578" s="832">
        <v>69.400000000000006</v>
      </c>
      <c r="G578" s="832">
        <v>13.106515907779</v>
      </c>
      <c r="H578" s="831">
        <v>305.79000000000002</v>
      </c>
      <c r="I578" s="832">
        <v>50.02</v>
      </c>
      <c r="J578" s="832">
        <v>3215.63</v>
      </c>
      <c r="K578" s="832">
        <v>10363.177</v>
      </c>
    </row>
    <row r="579" spans="2:11">
      <c r="B579" s="805" t="str">
        <f t="shared" si="13"/>
        <v>Thu</v>
      </c>
      <c r="C579" s="825">
        <v>44035</v>
      </c>
      <c r="D579" s="831">
        <v>60.4</v>
      </c>
      <c r="E579" s="831">
        <v>101.2975</v>
      </c>
      <c r="F579" s="832">
        <v>59.57</v>
      </c>
      <c r="G579" s="832">
        <v>12.963843958135101</v>
      </c>
      <c r="H579" s="831">
        <v>309.67</v>
      </c>
      <c r="I579" s="832">
        <v>52.64</v>
      </c>
      <c r="J579" s="832">
        <v>3235.66</v>
      </c>
      <c r="K579" s="832">
        <v>10461.416999999999</v>
      </c>
    </row>
    <row r="580" spans="2:11">
      <c r="B580" s="805" t="str">
        <f t="shared" si="13"/>
        <v>Wed</v>
      </c>
      <c r="C580" s="825">
        <v>44034</v>
      </c>
      <c r="D580" s="831">
        <v>61.05</v>
      </c>
      <c r="E580" s="831">
        <v>104.3875</v>
      </c>
      <c r="F580" s="832">
        <v>61.79</v>
      </c>
      <c r="G580" s="832">
        <v>13.0470236477304</v>
      </c>
      <c r="H580" s="831">
        <v>313.8</v>
      </c>
      <c r="I580" s="832">
        <v>51.65</v>
      </c>
      <c r="J580" s="832">
        <v>3276.02</v>
      </c>
      <c r="K580" s="832">
        <v>10706.127</v>
      </c>
    </row>
    <row r="581" spans="2:11">
      <c r="B581" s="805" t="str">
        <f t="shared" si="13"/>
        <v>Tue</v>
      </c>
      <c r="C581" s="825">
        <v>44033</v>
      </c>
      <c r="D581" s="831">
        <v>60.7</v>
      </c>
      <c r="E581" s="831">
        <v>103.285</v>
      </c>
      <c r="F581" s="832">
        <v>57</v>
      </c>
      <c r="G581" s="832">
        <v>13.021010403209401</v>
      </c>
      <c r="H581" s="831">
        <v>314.33999999999997</v>
      </c>
      <c r="I581" s="832">
        <v>51.52</v>
      </c>
      <c r="J581" s="832">
        <v>3257.3</v>
      </c>
      <c r="K581" s="832">
        <v>10680.364</v>
      </c>
    </row>
    <row r="582" spans="2:11">
      <c r="B582" s="805" t="str">
        <f t="shared" si="13"/>
        <v>Mon</v>
      </c>
      <c r="C582" s="825">
        <v>44032</v>
      </c>
      <c r="D582" s="831">
        <v>61.15</v>
      </c>
      <c r="E582" s="831">
        <v>105.1075</v>
      </c>
      <c r="F582" s="832">
        <v>57.46</v>
      </c>
      <c r="G582" s="832">
        <v>12.4295320247232</v>
      </c>
      <c r="H582" s="831">
        <v>317.13</v>
      </c>
      <c r="I582" s="832">
        <v>51.21</v>
      </c>
      <c r="J582" s="832">
        <v>3251.84</v>
      </c>
      <c r="K582" s="832">
        <v>10767.092000000001</v>
      </c>
    </row>
    <row r="583" spans="2:11">
      <c r="B583" s="805" t="str">
        <f t="shared" si="13"/>
        <v>Sun</v>
      </c>
      <c r="C583" s="825">
        <v>44031</v>
      </c>
      <c r="D583" s="831">
        <v>60</v>
      </c>
      <c r="E583" s="831">
        <v>102.015</v>
      </c>
      <c r="F583" s="832">
        <v>55.04</v>
      </c>
      <c r="G583" s="832">
        <v>12.460530336468301</v>
      </c>
      <c r="H583" s="831">
        <v>312.70999999999998</v>
      </c>
      <c r="I583" s="832">
        <v>49.47</v>
      </c>
      <c r="J583" s="832">
        <v>3224.73</v>
      </c>
      <c r="K583" s="832">
        <v>10503.19</v>
      </c>
    </row>
    <row r="584" spans="2:11">
      <c r="B584" s="805" t="str">
        <f t="shared" ref="B584:B647" si="14">TEXT(C584,"DDD")</f>
        <v>Sat</v>
      </c>
      <c r="C584" s="825">
        <v>44030</v>
      </c>
      <c r="D584" s="831">
        <v>60</v>
      </c>
      <c r="E584" s="831">
        <v>102.015</v>
      </c>
      <c r="F584" s="832">
        <v>55.04</v>
      </c>
      <c r="G584" s="832">
        <v>12.460530336468301</v>
      </c>
      <c r="H584" s="831">
        <v>312.70999999999998</v>
      </c>
      <c r="I584" s="832">
        <v>49.47</v>
      </c>
      <c r="J584" s="832">
        <v>3224.73</v>
      </c>
      <c r="K584" s="832">
        <v>10503.19</v>
      </c>
    </row>
    <row r="585" spans="2:11">
      <c r="B585" s="805" t="str">
        <f t="shared" si="14"/>
        <v>Fri</v>
      </c>
      <c r="C585" s="825">
        <v>44029</v>
      </c>
      <c r="D585" s="831">
        <v>60</v>
      </c>
      <c r="E585" s="831">
        <v>102.015</v>
      </c>
      <c r="F585" s="832">
        <v>55.04</v>
      </c>
      <c r="G585" s="832">
        <v>12.460530336468301</v>
      </c>
      <c r="H585" s="831">
        <v>312.70999999999998</v>
      </c>
      <c r="I585" s="832">
        <v>49.47</v>
      </c>
      <c r="J585" s="832">
        <v>3224.73</v>
      </c>
      <c r="K585" s="832">
        <v>10503.19</v>
      </c>
    </row>
    <row r="586" spans="2:11">
      <c r="B586" s="805" t="str">
        <f t="shared" si="14"/>
        <v>Thu</v>
      </c>
      <c r="C586" s="825">
        <v>44028</v>
      </c>
      <c r="D586" s="831">
        <v>59.14</v>
      </c>
      <c r="E586" s="831">
        <v>101.3475</v>
      </c>
      <c r="F586" s="832">
        <v>54.92</v>
      </c>
      <c r="G586" s="832">
        <v>12.138394676083101</v>
      </c>
      <c r="H586" s="831">
        <v>311.33999999999997</v>
      </c>
      <c r="I586" s="832">
        <v>50.1</v>
      </c>
      <c r="J586" s="832">
        <v>3215.57</v>
      </c>
      <c r="K586" s="832">
        <v>10473.829</v>
      </c>
    </row>
    <row r="587" spans="2:11">
      <c r="B587" s="805" t="str">
        <f t="shared" si="14"/>
        <v>Wed</v>
      </c>
      <c r="C587" s="825">
        <v>44027</v>
      </c>
      <c r="D587" s="831">
        <v>59.03</v>
      </c>
      <c r="E587" s="831">
        <v>102.27249999999999</v>
      </c>
      <c r="F587" s="832">
        <v>55.34</v>
      </c>
      <c r="G587" s="832">
        <v>12.305501881419699</v>
      </c>
      <c r="H587" s="831">
        <v>313.77999999999997</v>
      </c>
      <c r="I587" s="832">
        <v>50.51</v>
      </c>
      <c r="J587" s="832">
        <v>3226.56</v>
      </c>
      <c r="K587" s="832">
        <v>10550.492</v>
      </c>
    </row>
    <row r="588" spans="2:11">
      <c r="B588" s="805" t="str">
        <f t="shared" si="14"/>
        <v>Tue</v>
      </c>
      <c r="C588" s="825">
        <v>44026</v>
      </c>
      <c r="D588" s="831">
        <v>58.98</v>
      </c>
      <c r="E588" s="831">
        <v>103.77</v>
      </c>
      <c r="F588" s="832">
        <v>54.72</v>
      </c>
      <c r="G588" s="832">
        <v>12.339602145427399</v>
      </c>
      <c r="H588" s="831">
        <v>315.08</v>
      </c>
      <c r="I588" s="832">
        <v>49.71</v>
      </c>
      <c r="J588" s="832">
        <v>3197.52</v>
      </c>
      <c r="K588" s="832">
        <v>10488.576999999999</v>
      </c>
    </row>
    <row r="589" spans="2:11">
      <c r="B589" s="805" t="str">
        <f t="shared" si="14"/>
        <v>Mon</v>
      </c>
      <c r="C589" s="825">
        <v>44025</v>
      </c>
      <c r="D589" s="831">
        <v>58.58</v>
      </c>
      <c r="E589" s="831">
        <v>100.52249999999999</v>
      </c>
      <c r="F589" s="832">
        <v>53.59</v>
      </c>
      <c r="G589" s="832">
        <v>12.044304012503</v>
      </c>
      <c r="H589" s="831">
        <v>311.31</v>
      </c>
      <c r="I589" s="832">
        <v>49.46</v>
      </c>
      <c r="J589" s="832">
        <v>3155.22</v>
      </c>
      <c r="K589" s="832">
        <v>10390.843000000001</v>
      </c>
    </row>
    <row r="590" spans="2:11">
      <c r="B590" s="805" t="str">
        <f t="shared" si="14"/>
        <v>Sun</v>
      </c>
      <c r="C590" s="825">
        <v>44024</v>
      </c>
      <c r="D590" s="831">
        <v>59.53</v>
      </c>
      <c r="E590" s="831">
        <v>104.7925</v>
      </c>
      <c r="F590" s="832">
        <v>55.88</v>
      </c>
      <c r="G590" s="832">
        <v>11.8283949360215</v>
      </c>
      <c r="H590" s="831">
        <v>319.44</v>
      </c>
      <c r="I590" s="832">
        <v>50.7</v>
      </c>
      <c r="J590" s="832">
        <v>3185.04</v>
      </c>
      <c r="K590" s="832">
        <v>10617.442999999999</v>
      </c>
    </row>
    <row r="591" spans="2:11">
      <c r="B591" s="805" t="str">
        <f t="shared" si="14"/>
        <v>Sat</v>
      </c>
      <c r="C591" s="825">
        <v>44023</v>
      </c>
      <c r="D591" s="831">
        <v>59.53</v>
      </c>
      <c r="E591" s="831">
        <v>104.7925</v>
      </c>
      <c r="F591" s="832">
        <v>55.88</v>
      </c>
      <c r="G591" s="832">
        <v>11.8283949360215</v>
      </c>
      <c r="H591" s="831">
        <v>319.44</v>
      </c>
      <c r="I591" s="832">
        <v>50.7</v>
      </c>
      <c r="J591" s="832">
        <v>3185.04</v>
      </c>
      <c r="K591" s="832">
        <v>10617.442999999999</v>
      </c>
    </row>
    <row r="592" spans="2:11">
      <c r="B592" s="805" t="str">
        <f t="shared" si="14"/>
        <v>Fri</v>
      </c>
      <c r="C592" s="825">
        <v>44022</v>
      </c>
      <c r="D592" s="831">
        <v>59.53</v>
      </c>
      <c r="E592" s="831">
        <v>104.7925</v>
      </c>
      <c r="F592" s="832">
        <v>55.88</v>
      </c>
      <c r="G592" s="832">
        <v>11.8283949360215</v>
      </c>
      <c r="H592" s="831">
        <v>319.44</v>
      </c>
      <c r="I592" s="832">
        <v>50.7</v>
      </c>
      <c r="J592" s="832">
        <v>3185.04</v>
      </c>
      <c r="K592" s="832">
        <v>10617.442999999999</v>
      </c>
    </row>
    <row r="593" spans="2:11">
      <c r="B593" s="805" t="str">
        <f t="shared" si="14"/>
        <v>Thu</v>
      </c>
      <c r="C593" s="825">
        <v>44021</v>
      </c>
      <c r="D593" s="831">
        <v>58.42</v>
      </c>
      <c r="E593" s="831">
        <v>105.09</v>
      </c>
      <c r="F593" s="832">
        <v>57.255000000000003</v>
      </c>
      <c r="G593" s="832">
        <v>11.730304987929699</v>
      </c>
      <c r="H593" s="831">
        <v>321.5</v>
      </c>
      <c r="I593" s="832">
        <v>49.98</v>
      </c>
      <c r="J593" s="832">
        <v>3152.05</v>
      </c>
      <c r="K593" s="832">
        <v>10547.75</v>
      </c>
    </row>
    <row r="594" spans="2:11">
      <c r="B594" s="805" t="str">
        <f t="shared" si="14"/>
        <v>Wed</v>
      </c>
      <c r="C594" s="825">
        <v>44020</v>
      </c>
      <c r="D594" s="831">
        <v>58.61</v>
      </c>
      <c r="E594" s="831">
        <v>102.16</v>
      </c>
      <c r="F594" s="832">
        <v>53.43</v>
      </c>
      <c r="G594" s="832">
        <v>11.5864224796983</v>
      </c>
      <c r="H594" s="831">
        <v>319.57</v>
      </c>
      <c r="I594" s="832">
        <v>49.71</v>
      </c>
      <c r="J594" s="832">
        <v>3169.94</v>
      </c>
      <c r="K594" s="832">
        <v>10492.5</v>
      </c>
    </row>
    <row r="595" spans="2:11">
      <c r="B595" s="805" t="str">
        <f t="shared" si="14"/>
        <v>Tue</v>
      </c>
      <c r="C595" s="825">
        <v>44019</v>
      </c>
      <c r="D595" s="831">
        <v>58.31</v>
      </c>
      <c r="E595" s="831">
        <v>98.717500000000001</v>
      </c>
      <c r="F595" s="832">
        <v>52.93</v>
      </c>
      <c r="G595" s="832">
        <v>11.487036785665801</v>
      </c>
      <c r="H595" s="831">
        <v>313.12</v>
      </c>
      <c r="I595" s="832">
        <v>49.09</v>
      </c>
      <c r="J595" s="832">
        <v>3145.32</v>
      </c>
      <c r="K595" s="832">
        <v>10343.888999999999</v>
      </c>
    </row>
    <row r="596" spans="2:11">
      <c r="B596" s="805" t="str">
        <f t="shared" si="14"/>
        <v>Mon</v>
      </c>
      <c r="C596" s="825">
        <v>44018</v>
      </c>
      <c r="D596" s="831">
        <v>59.54</v>
      </c>
      <c r="E596" s="831">
        <v>98.392499999999998</v>
      </c>
      <c r="F596" s="832">
        <v>53.4</v>
      </c>
      <c r="G596" s="832">
        <v>11.5055996187494</v>
      </c>
      <c r="H596" s="831">
        <v>318.79000000000002</v>
      </c>
      <c r="I596" s="832">
        <v>50.92</v>
      </c>
      <c r="J596" s="832">
        <v>3179.72</v>
      </c>
      <c r="K596" s="832">
        <v>10433.65</v>
      </c>
    </row>
    <row r="597" spans="2:11">
      <c r="B597" s="805" t="str">
        <f t="shared" si="14"/>
        <v>Sun</v>
      </c>
      <c r="C597" s="825">
        <v>44017</v>
      </c>
      <c r="D597" s="831">
        <v>59.13</v>
      </c>
      <c r="E597" s="831">
        <v>96.122500000000002</v>
      </c>
      <c r="F597" s="832">
        <v>52.34</v>
      </c>
      <c r="G597" s="832">
        <v>11.1888349349723</v>
      </c>
      <c r="H597" s="831">
        <v>315.47000000000003</v>
      </c>
      <c r="I597" s="832">
        <v>49.83</v>
      </c>
      <c r="J597" s="832">
        <v>3130.01</v>
      </c>
      <c r="K597" s="832">
        <v>10207.629000000001</v>
      </c>
    </row>
    <row r="598" spans="2:11">
      <c r="B598" s="805" t="str">
        <f t="shared" si="14"/>
        <v>Sat</v>
      </c>
      <c r="C598" s="825">
        <v>44016</v>
      </c>
      <c r="D598" s="831">
        <v>59.13</v>
      </c>
      <c r="E598" s="831">
        <v>96.122500000000002</v>
      </c>
      <c r="F598" s="832">
        <v>52.34</v>
      </c>
      <c r="G598" s="832">
        <v>11.1888349349723</v>
      </c>
      <c r="H598" s="831">
        <v>315.47000000000003</v>
      </c>
      <c r="I598" s="832">
        <v>49.83</v>
      </c>
      <c r="J598" s="832">
        <v>3130.01</v>
      </c>
      <c r="K598" s="832">
        <v>10207.629000000001</v>
      </c>
    </row>
    <row r="599" spans="2:11">
      <c r="B599" s="805" t="str">
        <f t="shared" si="14"/>
        <v>Fri</v>
      </c>
      <c r="C599" s="825">
        <v>44015</v>
      </c>
      <c r="D599" s="831">
        <v>59.13</v>
      </c>
      <c r="E599" s="831">
        <v>96.122500000000002</v>
      </c>
      <c r="F599" s="832">
        <v>52.34</v>
      </c>
      <c r="G599" s="832">
        <v>11.1888349349723</v>
      </c>
      <c r="H599" s="831">
        <v>315.47000000000003</v>
      </c>
      <c r="I599" s="832">
        <v>49.83</v>
      </c>
      <c r="J599" s="832">
        <v>3130.01</v>
      </c>
      <c r="K599" s="832">
        <v>10207.629000000001</v>
      </c>
    </row>
    <row r="600" spans="2:11">
      <c r="B600" s="805" t="str">
        <f t="shared" si="14"/>
        <v>Thu</v>
      </c>
      <c r="C600" s="825">
        <v>44014</v>
      </c>
      <c r="D600" s="831">
        <v>59.13</v>
      </c>
      <c r="E600" s="831">
        <v>96.122500000000002</v>
      </c>
      <c r="F600" s="832">
        <v>52.34</v>
      </c>
      <c r="G600" s="832">
        <v>10.9397295644493</v>
      </c>
      <c r="H600" s="831">
        <v>315.47000000000003</v>
      </c>
      <c r="I600" s="832">
        <v>49.83</v>
      </c>
      <c r="J600" s="832">
        <v>3130.01</v>
      </c>
      <c r="K600" s="832">
        <v>10207.629000000001</v>
      </c>
    </row>
    <row r="601" spans="2:11">
      <c r="B601" s="805" t="str">
        <f t="shared" si="14"/>
        <v>Wed</v>
      </c>
      <c r="C601" s="825">
        <v>44013</v>
      </c>
      <c r="D601" s="831">
        <v>58.81</v>
      </c>
      <c r="E601" s="831">
        <v>95.3</v>
      </c>
      <c r="F601" s="832">
        <v>52.58</v>
      </c>
      <c r="G601" s="832">
        <v>10.787211633200799</v>
      </c>
      <c r="H601" s="831">
        <v>312.73</v>
      </c>
      <c r="I601" s="832">
        <v>49.7</v>
      </c>
      <c r="J601" s="832">
        <v>3115.86</v>
      </c>
      <c r="K601" s="832">
        <v>10154.629000000001</v>
      </c>
    </row>
    <row r="602" spans="2:11">
      <c r="B602" s="805" t="str">
        <f t="shared" si="14"/>
        <v>Tue</v>
      </c>
      <c r="C602" s="825">
        <v>44012</v>
      </c>
      <c r="D602" s="831">
        <v>59.83</v>
      </c>
      <c r="E602" s="831">
        <v>94.977500000000006</v>
      </c>
      <c r="F602" s="832">
        <v>52.61</v>
      </c>
      <c r="G602" s="832">
        <v>10.6419148646811</v>
      </c>
      <c r="H602" s="831">
        <v>315.61</v>
      </c>
      <c r="I602" s="832">
        <v>51.52</v>
      </c>
      <c r="J602" s="832">
        <v>3100.29</v>
      </c>
      <c r="K602" s="832">
        <v>10058.764999999999</v>
      </c>
    </row>
    <row r="603" spans="2:11">
      <c r="B603" s="805" t="str">
        <f t="shared" si="14"/>
        <v>Mon</v>
      </c>
      <c r="C603" s="825">
        <v>44011</v>
      </c>
      <c r="D603" s="831">
        <v>58.27</v>
      </c>
      <c r="E603" s="831">
        <v>92</v>
      </c>
      <c r="F603" s="832">
        <v>50.28</v>
      </c>
      <c r="G603" s="832">
        <v>10.594947025264901</v>
      </c>
      <c r="H603" s="831">
        <v>309.77999999999997</v>
      </c>
      <c r="I603" s="832">
        <v>49.145000000000003</v>
      </c>
      <c r="J603" s="832">
        <v>3053.24</v>
      </c>
      <c r="K603" s="832">
        <v>9874.1530000000002</v>
      </c>
    </row>
    <row r="604" spans="2:11">
      <c r="B604" s="805" t="str">
        <f t="shared" si="14"/>
        <v>Sun</v>
      </c>
      <c r="C604" s="825">
        <v>44010</v>
      </c>
      <c r="D604" s="831">
        <v>57.5</v>
      </c>
      <c r="E604" s="831">
        <v>91.55</v>
      </c>
      <c r="F604" s="832">
        <v>50.1</v>
      </c>
      <c r="G604" s="832">
        <v>10.756148790568499</v>
      </c>
      <c r="H604" s="831">
        <v>307.41000000000003</v>
      </c>
      <c r="I604" s="832">
        <v>48.49</v>
      </c>
      <c r="J604" s="832">
        <v>3009.05</v>
      </c>
      <c r="K604" s="832">
        <v>9757.2189999999991</v>
      </c>
    </row>
    <row r="605" spans="2:11">
      <c r="B605" s="805" t="str">
        <f t="shared" si="14"/>
        <v>Sat</v>
      </c>
      <c r="C605" s="825">
        <v>44009</v>
      </c>
      <c r="D605" s="831">
        <v>57.5</v>
      </c>
      <c r="E605" s="831">
        <v>91.55</v>
      </c>
      <c r="F605" s="832">
        <v>50.1</v>
      </c>
      <c r="G605" s="832">
        <v>10.756148790568499</v>
      </c>
      <c r="H605" s="831">
        <v>307.41000000000003</v>
      </c>
      <c r="I605" s="832">
        <v>48.49</v>
      </c>
      <c r="J605" s="832">
        <v>3009.05</v>
      </c>
      <c r="K605" s="832">
        <v>9757.2189999999991</v>
      </c>
    </row>
    <row r="606" spans="2:11">
      <c r="B606" s="805" t="str">
        <f t="shared" si="14"/>
        <v>Fri</v>
      </c>
      <c r="C606" s="825">
        <v>44008</v>
      </c>
      <c r="D606" s="831">
        <v>57.5</v>
      </c>
      <c r="E606" s="831">
        <v>91.55</v>
      </c>
      <c r="F606" s="832">
        <v>50.1</v>
      </c>
      <c r="G606" s="832">
        <v>10.756148790568499</v>
      </c>
      <c r="H606" s="831">
        <v>307.41000000000003</v>
      </c>
      <c r="I606" s="832">
        <v>48.49</v>
      </c>
      <c r="J606" s="832">
        <v>3009.05</v>
      </c>
      <c r="K606" s="832">
        <v>9757.2189999999991</v>
      </c>
    </row>
    <row r="607" spans="2:11">
      <c r="B607" s="805" t="str">
        <f t="shared" si="14"/>
        <v>Thu</v>
      </c>
      <c r="C607" s="825">
        <v>44007</v>
      </c>
      <c r="D607" s="831">
        <v>58.51</v>
      </c>
      <c r="E607" s="831">
        <v>94.9</v>
      </c>
      <c r="F607" s="832">
        <v>51.93</v>
      </c>
      <c r="G607" s="832">
        <v>10.756148790568499</v>
      </c>
      <c r="H607" s="831">
        <v>308.85000000000002</v>
      </c>
      <c r="I607" s="832">
        <v>49.19</v>
      </c>
      <c r="J607" s="832">
        <v>3083.76</v>
      </c>
      <c r="K607" s="832">
        <v>10017.003000000001</v>
      </c>
    </row>
    <row r="608" spans="2:11">
      <c r="B608" s="805" t="str">
        <f t="shared" si="14"/>
        <v>Wed</v>
      </c>
      <c r="C608" s="825">
        <v>44006</v>
      </c>
      <c r="D608" s="831">
        <v>59.09</v>
      </c>
      <c r="E608" s="831">
        <v>92.355000000000004</v>
      </c>
      <c r="F608" s="832">
        <v>52.39</v>
      </c>
      <c r="G608" s="832">
        <v>10.756148790568499</v>
      </c>
      <c r="H608" s="831">
        <v>306.97000000000003</v>
      </c>
      <c r="I608" s="832">
        <v>48.29</v>
      </c>
      <c r="J608" s="832">
        <v>3050.33</v>
      </c>
      <c r="K608" s="832">
        <v>9909.1659999999993</v>
      </c>
    </row>
    <row r="609" spans="2:11">
      <c r="B609" s="805" t="str">
        <f t="shared" si="14"/>
        <v>Tue</v>
      </c>
      <c r="C609" s="825">
        <v>44005</v>
      </c>
      <c r="D609" s="831">
        <v>59.92</v>
      </c>
      <c r="E609" s="831">
        <v>94.5</v>
      </c>
      <c r="F609" s="832">
        <v>53.99</v>
      </c>
      <c r="G609" s="832">
        <v>10.6613416367698</v>
      </c>
      <c r="H609" s="831">
        <v>311.3</v>
      </c>
      <c r="I609" s="832">
        <v>49.84</v>
      </c>
      <c r="J609" s="832">
        <v>3131.29</v>
      </c>
      <c r="K609" s="832">
        <v>10131.369000000001</v>
      </c>
    </row>
    <row r="610" spans="2:11">
      <c r="B610" s="805" t="str">
        <f t="shared" si="14"/>
        <v>Mon</v>
      </c>
      <c r="C610" s="825">
        <v>44004</v>
      </c>
      <c r="D610" s="831">
        <v>60.09</v>
      </c>
      <c r="E610" s="831">
        <v>95.267499999999998</v>
      </c>
      <c r="F610" s="832">
        <v>54.76</v>
      </c>
      <c r="G610" s="832">
        <v>10.5430338255669</v>
      </c>
      <c r="H610" s="831">
        <v>313.54000000000002</v>
      </c>
      <c r="I610" s="832">
        <v>51.15</v>
      </c>
      <c r="J610" s="832">
        <v>3117.86</v>
      </c>
      <c r="K610" s="832">
        <v>10056.475</v>
      </c>
    </row>
    <row r="611" spans="2:11">
      <c r="B611" s="805" t="str">
        <f t="shared" si="14"/>
        <v>Sun</v>
      </c>
      <c r="C611" s="825">
        <v>44003</v>
      </c>
      <c r="D611" s="831">
        <v>59.62</v>
      </c>
      <c r="E611" s="831">
        <v>92.612499999999997</v>
      </c>
      <c r="F611" s="832">
        <v>54.23</v>
      </c>
      <c r="G611" s="832">
        <v>10.6289499476157</v>
      </c>
      <c r="H611" s="831">
        <v>302.77</v>
      </c>
      <c r="I611" s="832">
        <v>50.83</v>
      </c>
      <c r="J611" s="832">
        <v>3097.74</v>
      </c>
      <c r="K611" s="832">
        <v>9946.1229999999996</v>
      </c>
    </row>
    <row r="612" spans="2:11">
      <c r="B612" s="805" t="str">
        <f t="shared" si="14"/>
        <v>Sat</v>
      </c>
      <c r="C612" s="825">
        <v>44002</v>
      </c>
      <c r="D612" s="831">
        <v>59.62</v>
      </c>
      <c r="E612" s="831">
        <v>92.612499999999997</v>
      </c>
      <c r="F612" s="832">
        <v>54.23</v>
      </c>
      <c r="G612" s="832">
        <v>10.6289499476157</v>
      </c>
      <c r="H612" s="831">
        <v>302.77</v>
      </c>
      <c r="I612" s="832">
        <v>50.83</v>
      </c>
      <c r="J612" s="832">
        <v>3097.74</v>
      </c>
      <c r="K612" s="832">
        <v>9946.1229999999996</v>
      </c>
    </row>
    <row r="613" spans="2:11">
      <c r="B613" s="805" t="str">
        <f t="shared" si="14"/>
        <v>Fri</v>
      </c>
      <c r="C613" s="825">
        <v>44001</v>
      </c>
      <c r="D613" s="831">
        <v>59.62</v>
      </c>
      <c r="E613" s="831">
        <v>92.612499999999997</v>
      </c>
      <c r="F613" s="832">
        <v>54.23</v>
      </c>
      <c r="G613" s="832">
        <v>10.6289499476157</v>
      </c>
      <c r="H613" s="831">
        <v>302.77</v>
      </c>
      <c r="I613" s="832">
        <v>50.83</v>
      </c>
      <c r="J613" s="832">
        <v>3097.74</v>
      </c>
      <c r="K613" s="832">
        <v>9946.1229999999996</v>
      </c>
    </row>
    <row r="614" spans="2:11">
      <c r="B614" s="805" t="str">
        <f t="shared" si="14"/>
        <v>Thu</v>
      </c>
      <c r="C614" s="825">
        <v>44000</v>
      </c>
      <c r="D614" s="831">
        <v>60.08</v>
      </c>
      <c r="E614" s="831">
        <v>92.18</v>
      </c>
      <c r="F614" s="832">
        <v>54.04</v>
      </c>
      <c r="G614" s="832">
        <v>10.6260769672602</v>
      </c>
      <c r="H614" s="831">
        <v>318.70999999999998</v>
      </c>
      <c r="I614" s="832">
        <v>50.48</v>
      </c>
      <c r="J614" s="832">
        <v>3115.34</v>
      </c>
      <c r="K614" s="832">
        <v>9943.0509999999995</v>
      </c>
    </row>
    <row r="615" spans="2:11">
      <c r="B615" s="805" t="str">
        <f t="shared" si="14"/>
        <v>Wed</v>
      </c>
      <c r="C615" s="825">
        <v>43999</v>
      </c>
      <c r="D615" s="831">
        <v>60.49</v>
      </c>
      <c r="E615" s="831">
        <v>92.36</v>
      </c>
      <c r="F615" s="832">
        <v>54.55</v>
      </c>
      <c r="G615" s="832">
        <v>10.637579359719</v>
      </c>
      <c r="H615" s="831">
        <v>313.44</v>
      </c>
      <c r="I615" s="832">
        <v>50.96</v>
      </c>
      <c r="J615" s="832">
        <v>3113.49</v>
      </c>
      <c r="K615" s="832">
        <v>9910.5319999999992</v>
      </c>
    </row>
    <row r="616" spans="2:11">
      <c r="B616" s="805" t="str">
        <f t="shared" si="14"/>
        <v>Tue</v>
      </c>
      <c r="C616" s="825">
        <v>43998</v>
      </c>
      <c r="D616" s="831">
        <v>60.4</v>
      </c>
      <c r="E616" s="831">
        <v>90.685000000000002</v>
      </c>
      <c r="F616" s="832">
        <v>54.46</v>
      </c>
      <c r="G616" s="832">
        <v>10.622512983071401</v>
      </c>
      <c r="H616" s="831">
        <v>310.72000000000003</v>
      </c>
      <c r="I616" s="832">
        <v>51.02</v>
      </c>
      <c r="J616" s="832">
        <v>3124.74</v>
      </c>
      <c r="K616" s="832">
        <v>9895.8670000000002</v>
      </c>
    </row>
    <row r="617" spans="2:11">
      <c r="B617" s="805" t="str">
        <f t="shared" si="14"/>
        <v>Mon</v>
      </c>
      <c r="C617" s="825">
        <v>43997</v>
      </c>
      <c r="D617" s="831">
        <v>60.1</v>
      </c>
      <c r="E617" s="831">
        <v>91.737499999999997</v>
      </c>
      <c r="F617" s="832">
        <v>54.68</v>
      </c>
      <c r="G617" s="832">
        <v>10.4458469742482</v>
      </c>
      <c r="H617" s="831">
        <v>304.08999999999997</v>
      </c>
      <c r="I617" s="832">
        <v>49.24</v>
      </c>
      <c r="J617" s="832">
        <v>3066.59</v>
      </c>
      <c r="K617" s="832">
        <v>9726.0229999999992</v>
      </c>
    </row>
    <row r="618" spans="2:11">
      <c r="B618" s="805" t="str">
        <f t="shared" si="14"/>
        <v>Sun</v>
      </c>
      <c r="C618" s="825">
        <v>43996</v>
      </c>
      <c r="D618" s="831">
        <v>59.33</v>
      </c>
      <c r="E618" s="831">
        <v>89.325000000000003</v>
      </c>
      <c r="F618" s="832">
        <v>53.5</v>
      </c>
      <c r="G618" s="832">
        <v>10.665226636066</v>
      </c>
      <c r="H618" s="831">
        <v>300.25</v>
      </c>
      <c r="I618" s="832">
        <v>48.69</v>
      </c>
      <c r="J618" s="832">
        <v>3041.31</v>
      </c>
      <c r="K618" s="832">
        <v>9588.8080000000009</v>
      </c>
    </row>
    <row r="619" spans="2:11">
      <c r="B619" s="805" t="str">
        <f t="shared" si="14"/>
        <v>Sat</v>
      </c>
      <c r="C619" s="825">
        <v>43995</v>
      </c>
      <c r="D619" s="831">
        <v>59.33</v>
      </c>
      <c r="E619" s="831">
        <v>89.325000000000003</v>
      </c>
      <c r="F619" s="832">
        <v>53.5</v>
      </c>
      <c r="G619" s="832">
        <v>10.665226636066</v>
      </c>
      <c r="H619" s="831">
        <v>300.25</v>
      </c>
      <c r="I619" s="832">
        <v>48.69</v>
      </c>
      <c r="J619" s="832">
        <v>3041.31</v>
      </c>
      <c r="K619" s="832">
        <v>9588.8080000000009</v>
      </c>
    </row>
    <row r="620" spans="2:11">
      <c r="B620" s="805" t="str">
        <f t="shared" si="14"/>
        <v>Fri</v>
      </c>
      <c r="C620" s="825">
        <v>43994</v>
      </c>
      <c r="D620" s="831">
        <v>59.33</v>
      </c>
      <c r="E620" s="831">
        <v>89.325000000000003</v>
      </c>
      <c r="F620" s="832">
        <v>53.5</v>
      </c>
      <c r="G620" s="832">
        <v>10.665226636066</v>
      </c>
      <c r="H620" s="831">
        <v>300.25</v>
      </c>
      <c r="I620" s="832">
        <v>48.69</v>
      </c>
      <c r="J620" s="832">
        <v>3041.31</v>
      </c>
      <c r="K620" s="832">
        <v>9588.8080000000009</v>
      </c>
    </row>
    <row r="621" spans="2:11">
      <c r="B621" s="805" t="str">
        <f t="shared" si="14"/>
        <v>Thu</v>
      </c>
      <c r="C621" s="825">
        <v>43993</v>
      </c>
      <c r="D621" s="831">
        <v>59.7</v>
      </c>
      <c r="E621" s="831">
        <v>87.962500000000006</v>
      </c>
      <c r="F621" s="832">
        <v>52.83</v>
      </c>
      <c r="G621" s="832">
        <v>10.795244029775301</v>
      </c>
      <c r="H621" s="831">
        <v>293.75</v>
      </c>
      <c r="I621" s="832">
        <v>48.52</v>
      </c>
      <c r="J621" s="832">
        <v>3002.1</v>
      </c>
      <c r="K621" s="832">
        <v>9492.7270000000008</v>
      </c>
    </row>
    <row r="622" spans="2:11">
      <c r="B622" s="805" t="str">
        <f t="shared" si="14"/>
        <v>Wed</v>
      </c>
      <c r="C622" s="825">
        <v>43992</v>
      </c>
      <c r="D622" s="831">
        <v>63.87</v>
      </c>
      <c r="E622" s="831">
        <v>93.667500000000004</v>
      </c>
      <c r="F622" s="832">
        <v>57.44</v>
      </c>
      <c r="G622" s="832">
        <v>10.9000574576672</v>
      </c>
      <c r="H622" s="831">
        <v>315.04000000000002</v>
      </c>
      <c r="I622" s="832">
        <v>52.47</v>
      </c>
      <c r="J622" s="832">
        <v>3190.14</v>
      </c>
      <c r="K622" s="832">
        <v>10020.346</v>
      </c>
    </row>
    <row r="623" spans="2:11">
      <c r="B623" s="805" t="str">
        <f t="shared" si="14"/>
        <v>Tue</v>
      </c>
      <c r="C623" s="825">
        <v>43991</v>
      </c>
      <c r="D623" s="831">
        <v>63.04</v>
      </c>
      <c r="E623" s="831">
        <v>90.46</v>
      </c>
      <c r="F623" s="832">
        <v>56.39</v>
      </c>
      <c r="G623" s="832">
        <v>10.732068362266199</v>
      </c>
      <c r="H623" s="831">
        <v>315.32</v>
      </c>
      <c r="I623" s="832">
        <v>53.15</v>
      </c>
      <c r="J623" s="832">
        <v>3207.18</v>
      </c>
      <c r="K623" s="832">
        <v>9953.7530000000006</v>
      </c>
    </row>
    <row r="624" spans="2:11">
      <c r="B624" s="805" t="str">
        <f t="shared" si="14"/>
        <v>Mon</v>
      </c>
      <c r="C624" s="825">
        <v>43990</v>
      </c>
      <c r="D624" s="831">
        <v>63.67</v>
      </c>
      <c r="E624" s="831">
        <v>88.05</v>
      </c>
      <c r="F624" s="832">
        <v>52.97</v>
      </c>
      <c r="G624" s="832">
        <v>10.721871944435099</v>
      </c>
      <c r="H624" s="831">
        <v>317.52</v>
      </c>
      <c r="I624" s="832">
        <v>53.7</v>
      </c>
      <c r="J624" s="832">
        <v>3232.39</v>
      </c>
      <c r="K624" s="832">
        <v>9924.7450000000008</v>
      </c>
    </row>
    <row r="625" spans="2:11">
      <c r="B625" s="805" t="str">
        <f t="shared" si="14"/>
        <v>Sun</v>
      </c>
      <c r="C625" s="825">
        <v>43989</v>
      </c>
      <c r="D625" s="831">
        <v>64.34</v>
      </c>
      <c r="E625" s="831">
        <v>89.2</v>
      </c>
      <c r="F625" s="832">
        <v>53.1</v>
      </c>
      <c r="G625" s="832">
        <v>10.497051390058999</v>
      </c>
      <c r="H625" s="831">
        <v>317.08</v>
      </c>
      <c r="I625" s="832">
        <v>53.72</v>
      </c>
      <c r="J625" s="832">
        <v>3193.93</v>
      </c>
      <c r="K625" s="832">
        <v>9814.0810000000001</v>
      </c>
    </row>
    <row r="626" spans="2:11">
      <c r="B626" s="805" t="str">
        <f t="shared" si="14"/>
        <v>Sat</v>
      </c>
      <c r="C626" s="825">
        <v>43988</v>
      </c>
      <c r="D626" s="831">
        <v>64.34</v>
      </c>
      <c r="E626" s="831">
        <v>89.2</v>
      </c>
      <c r="F626" s="832">
        <v>53.1</v>
      </c>
      <c r="G626" s="832">
        <v>10.497051390058999</v>
      </c>
      <c r="H626" s="831">
        <v>317.08</v>
      </c>
      <c r="I626" s="832">
        <v>53.72</v>
      </c>
      <c r="J626" s="832">
        <v>3193.93</v>
      </c>
      <c r="K626" s="832">
        <v>9814.0810000000001</v>
      </c>
    </row>
    <row r="627" spans="2:11">
      <c r="B627" s="805" t="str">
        <f t="shared" si="14"/>
        <v>Fri</v>
      </c>
      <c r="C627" s="825">
        <v>43987</v>
      </c>
      <c r="D627" s="831">
        <v>64.34</v>
      </c>
      <c r="E627" s="831">
        <v>89.2</v>
      </c>
      <c r="F627" s="832">
        <v>53.1</v>
      </c>
      <c r="G627" s="832">
        <v>10.497051390058999</v>
      </c>
      <c r="H627" s="831">
        <v>317.08</v>
      </c>
      <c r="I627" s="832">
        <v>53.72</v>
      </c>
      <c r="J627" s="832">
        <v>3193.93</v>
      </c>
      <c r="K627" s="832">
        <v>9814.0810000000001</v>
      </c>
    </row>
    <row r="628" spans="2:11">
      <c r="B628" s="805" t="str">
        <f t="shared" si="14"/>
        <v>Thu</v>
      </c>
      <c r="C628" s="825">
        <v>43986</v>
      </c>
      <c r="D628" s="831">
        <v>62.97</v>
      </c>
      <c r="E628" s="831">
        <v>87.665000000000006</v>
      </c>
      <c r="F628" s="832">
        <v>52.63</v>
      </c>
      <c r="G628" s="832">
        <v>10.237537638006</v>
      </c>
      <c r="H628" s="831">
        <v>308.89</v>
      </c>
      <c r="I628" s="832">
        <v>51.22</v>
      </c>
      <c r="J628" s="832">
        <v>3112.35</v>
      </c>
      <c r="K628" s="832">
        <v>9615.8130000000001</v>
      </c>
    </row>
    <row r="629" spans="2:11">
      <c r="B629" s="805" t="str">
        <f t="shared" si="14"/>
        <v>Wed</v>
      </c>
      <c r="C629" s="825">
        <v>43985</v>
      </c>
      <c r="D629" s="831">
        <v>61.93</v>
      </c>
      <c r="E629" s="831">
        <v>87.694999999999993</v>
      </c>
      <c r="F629" s="832">
        <v>52.73</v>
      </c>
      <c r="G629" s="832">
        <v>10.066889632106999</v>
      </c>
      <c r="H629" s="831">
        <v>309.52999999999997</v>
      </c>
      <c r="I629" s="832">
        <v>48.92</v>
      </c>
      <c r="J629" s="832">
        <v>3122.87</v>
      </c>
      <c r="K629" s="832">
        <v>9682.9110000000001</v>
      </c>
    </row>
    <row r="630" spans="2:11">
      <c r="B630" s="805" t="str">
        <f t="shared" si="14"/>
        <v>Tue</v>
      </c>
      <c r="C630" s="825">
        <v>43984</v>
      </c>
      <c r="D630" s="831">
        <v>62.12</v>
      </c>
      <c r="E630" s="831">
        <v>88.252499999999998</v>
      </c>
      <c r="F630" s="832">
        <v>53.54</v>
      </c>
      <c r="G630" s="832">
        <v>9.9077725055136003</v>
      </c>
      <c r="H630" s="831">
        <v>298.06</v>
      </c>
      <c r="I630" s="832">
        <v>46.82</v>
      </c>
      <c r="J630" s="832">
        <v>3080.82</v>
      </c>
      <c r="K630" s="832">
        <v>9608.375</v>
      </c>
    </row>
    <row r="631" spans="2:11">
      <c r="B631" s="805" t="str">
        <f t="shared" si="14"/>
        <v>Mon</v>
      </c>
      <c r="C631" s="825">
        <v>43983</v>
      </c>
      <c r="D631" s="831">
        <v>61.86</v>
      </c>
      <c r="E631" s="831">
        <v>88.0625</v>
      </c>
      <c r="F631" s="832">
        <v>53.63</v>
      </c>
      <c r="G631" s="832">
        <v>9.8885654050798095</v>
      </c>
      <c r="H631" s="831">
        <v>289.99</v>
      </c>
      <c r="I631" s="832">
        <v>46.34</v>
      </c>
      <c r="J631" s="832">
        <v>3055.73</v>
      </c>
      <c r="K631" s="832">
        <v>9552.0490000000009</v>
      </c>
    </row>
    <row r="632" spans="2:11">
      <c r="B632" s="805" t="str">
        <f t="shared" si="14"/>
        <v>Sun</v>
      </c>
      <c r="C632" s="825">
        <v>43982</v>
      </c>
      <c r="D632" s="831">
        <v>62.93</v>
      </c>
      <c r="E632" s="831">
        <v>88.754999999999995</v>
      </c>
      <c r="F632" s="832">
        <v>53.8</v>
      </c>
      <c r="G632" s="832">
        <v>9.7515362009083599</v>
      </c>
      <c r="H632" s="831">
        <v>291.27</v>
      </c>
      <c r="I632" s="832">
        <v>47.91</v>
      </c>
      <c r="J632" s="832">
        <v>3044.31</v>
      </c>
      <c r="K632" s="832">
        <v>9489.8719999999994</v>
      </c>
    </row>
    <row r="633" spans="2:11">
      <c r="B633" s="805" t="str">
        <f t="shared" si="14"/>
        <v>Sat</v>
      </c>
      <c r="C633" s="825">
        <v>43981</v>
      </c>
      <c r="D633" s="831">
        <v>62.93</v>
      </c>
      <c r="E633" s="831">
        <v>88.754999999999995</v>
      </c>
      <c r="F633" s="832">
        <v>53.8</v>
      </c>
      <c r="G633" s="832">
        <v>9.7515362009083599</v>
      </c>
      <c r="H633" s="831">
        <v>291.27</v>
      </c>
      <c r="I633" s="832">
        <v>47.91</v>
      </c>
      <c r="J633" s="832">
        <v>3044.31</v>
      </c>
      <c r="K633" s="832">
        <v>9489.8719999999994</v>
      </c>
    </row>
    <row r="634" spans="2:11">
      <c r="B634" s="805" t="str">
        <f t="shared" si="14"/>
        <v>Fri</v>
      </c>
      <c r="C634" s="825">
        <v>43980</v>
      </c>
      <c r="D634" s="831">
        <v>62.93</v>
      </c>
      <c r="E634" s="831">
        <v>88.754999999999995</v>
      </c>
      <c r="F634" s="832">
        <v>53.8</v>
      </c>
      <c r="G634" s="832">
        <v>9.7515362009083599</v>
      </c>
      <c r="H634" s="831">
        <v>291.27</v>
      </c>
      <c r="I634" s="832">
        <v>47.91</v>
      </c>
      <c r="J634" s="832">
        <v>3044.31</v>
      </c>
      <c r="K634" s="832">
        <v>9489.8719999999994</v>
      </c>
    </row>
    <row r="635" spans="2:11">
      <c r="B635" s="805" t="str">
        <f t="shared" si="14"/>
        <v>Thu</v>
      </c>
      <c r="C635" s="825">
        <v>43979</v>
      </c>
      <c r="D635" s="831">
        <v>61.7</v>
      </c>
      <c r="E635" s="831">
        <v>84.87</v>
      </c>
      <c r="F635" s="832">
        <v>51.74</v>
      </c>
      <c r="G635" s="832">
        <v>9.80490245122561</v>
      </c>
      <c r="H635" s="831">
        <v>283.14</v>
      </c>
      <c r="I635" s="832">
        <v>46.47</v>
      </c>
      <c r="J635" s="832">
        <v>3029.73</v>
      </c>
      <c r="K635" s="832">
        <v>9368.9889999999996</v>
      </c>
    </row>
    <row r="636" spans="2:11">
      <c r="B636" s="805" t="str">
        <f t="shared" si="14"/>
        <v>Wed</v>
      </c>
      <c r="C636" s="825">
        <v>43978</v>
      </c>
      <c r="D636" s="831">
        <v>63.56</v>
      </c>
      <c r="E636" s="831">
        <v>85.252499999999998</v>
      </c>
      <c r="F636" s="832">
        <v>52.74</v>
      </c>
      <c r="G636" s="832">
        <v>9.8731310978655404</v>
      </c>
      <c r="H636" s="831">
        <v>287.58999999999997</v>
      </c>
      <c r="I636" s="832">
        <v>49.45</v>
      </c>
      <c r="J636" s="832">
        <v>3036.13</v>
      </c>
      <c r="K636" s="832">
        <v>9412.3580000000002</v>
      </c>
    </row>
    <row r="637" spans="2:11">
      <c r="B637" s="805" t="str">
        <f t="shared" si="14"/>
        <v>Tue</v>
      </c>
      <c r="C637" s="825">
        <v>43977</v>
      </c>
      <c r="D637" s="831">
        <v>62.34</v>
      </c>
      <c r="E637" s="831">
        <v>87.177499999999995</v>
      </c>
      <c r="F637" s="832">
        <v>53.19</v>
      </c>
      <c r="G637" s="832">
        <v>9.8631508678237605</v>
      </c>
      <c r="H637" s="831">
        <v>282.02</v>
      </c>
      <c r="I637" s="832">
        <v>45.8</v>
      </c>
      <c r="J637" s="832">
        <v>2991.77</v>
      </c>
      <c r="K637" s="832">
        <v>9340.2199999999993</v>
      </c>
    </row>
    <row r="638" spans="2:11">
      <c r="B638" s="805" t="str">
        <f t="shared" si="14"/>
        <v>Mon</v>
      </c>
      <c r="C638" s="825">
        <v>43976</v>
      </c>
      <c r="D638" s="831">
        <v>62.255000000000003</v>
      </c>
      <c r="E638" s="831">
        <v>90.262500000000003</v>
      </c>
      <c r="F638" s="832">
        <v>55.17</v>
      </c>
      <c r="G638" s="832">
        <v>9.7252289758534491</v>
      </c>
      <c r="H638" s="831">
        <v>276.64999999999998</v>
      </c>
      <c r="I638" s="832">
        <v>44.94</v>
      </c>
      <c r="J638" s="832">
        <v>2955.45</v>
      </c>
      <c r="K638" s="832">
        <v>9324.5869999999995</v>
      </c>
    </row>
    <row r="639" spans="2:11">
      <c r="B639" s="805" t="str">
        <f t="shared" si="14"/>
        <v>Sun</v>
      </c>
      <c r="C639" s="825">
        <v>43975</v>
      </c>
      <c r="D639" s="831">
        <v>62.255000000000003</v>
      </c>
      <c r="E639" s="831">
        <v>90.262500000000003</v>
      </c>
      <c r="F639" s="832">
        <v>55.17</v>
      </c>
      <c r="G639" s="832">
        <v>9.7109980378462897</v>
      </c>
      <c r="H639" s="831">
        <v>276.64999999999998</v>
      </c>
      <c r="I639" s="832">
        <v>44.94</v>
      </c>
      <c r="J639" s="832">
        <v>2955.45</v>
      </c>
      <c r="K639" s="832">
        <v>9324.5869999999995</v>
      </c>
    </row>
    <row r="640" spans="2:11">
      <c r="B640" s="805" t="str">
        <f t="shared" si="14"/>
        <v>Sat</v>
      </c>
      <c r="C640" s="825">
        <v>43974</v>
      </c>
      <c r="D640" s="831">
        <v>62.255000000000003</v>
      </c>
      <c r="E640" s="831">
        <v>90.262500000000003</v>
      </c>
      <c r="F640" s="832">
        <v>55.17</v>
      </c>
      <c r="G640" s="832">
        <v>9.7109980378462897</v>
      </c>
      <c r="H640" s="831">
        <v>276.64999999999998</v>
      </c>
      <c r="I640" s="832">
        <v>44.94</v>
      </c>
      <c r="J640" s="832">
        <v>2955.45</v>
      </c>
      <c r="K640" s="832">
        <v>9324.5869999999995</v>
      </c>
    </row>
    <row r="641" spans="2:11">
      <c r="B641" s="805" t="str">
        <f t="shared" si="14"/>
        <v>Fri</v>
      </c>
      <c r="C641" s="825">
        <v>43973</v>
      </c>
      <c r="D641" s="831">
        <v>62.255000000000003</v>
      </c>
      <c r="E641" s="831">
        <v>90.262500000000003</v>
      </c>
      <c r="F641" s="832">
        <v>55.17</v>
      </c>
      <c r="G641" s="832">
        <v>9.7109980378462897</v>
      </c>
      <c r="H641" s="831">
        <v>276.64999999999998</v>
      </c>
      <c r="I641" s="832">
        <v>44.94</v>
      </c>
      <c r="J641" s="832">
        <v>2955.45</v>
      </c>
      <c r="K641" s="832">
        <v>9324.5869999999995</v>
      </c>
    </row>
    <row r="642" spans="2:11">
      <c r="B642" s="805" t="str">
        <f t="shared" si="14"/>
        <v>Thu</v>
      </c>
      <c r="C642" s="825">
        <v>43972</v>
      </c>
      <c r="D642" s="831">
        <v>61.98</v>
      </c>
      <c r="E642" s="831">
        <v>87.752499999999998</v>
      </c>
      <c r="F642" s="832">
        <v>54.65</v>
      </c>
      <c r="G642" s="832">
        <v>9.9425172114163498</v>
      </c>
      <c r="H642" s="831">
        <v>274.8</v>
      </c>
      <c r="I642" s="832">
        <v>45.22</v>
      </c>
      <c r="J642" s="832">
        <v>2948.51</v>
      </c>
      <c r="K642" s="832">
        <v>9284.8809999999994</v>
      </c>
    </row>
    <row r="643" spans="2:11">
      <c r="B643" s="805" t="str">
        <f t="shared" si="14"/>
        <v>Wed</v>
      </c>
      <c r="C643" s="825">
        <v>43971</v>
      </c>
      <c r="D643" s="831">
        <v>63.1</v>
      </c>
      <c r="E643" s="831">
        <v>89.7</v>
      </c>
      <c r="F643" s="832">
        <v>56.39</v>
      </c>
      <c r="G643" s="832">
        <v>9.8278455624268801</v>
      </c>
      <c r="H643" s="831">
        <v>278.68</v>
      </c>
      <c r="I643" s="832">
        <v>46.64</v>
      </c>
      <c r="J643" s="832">
        <v>2971.61</v>
      </c>
      <c r="K643" s="832">
        <v>9375.7759999999998</v>
      </c>
    </row>
    <row r="644" spans="2:11">
      <c r="B644" s="805" t="str">
        <f t="shared" si="14"/>
        <v>Tue</v>
      </c>
      <c r="C644" s="825">
        <v>43970</v>
      </c>
      <c r="D644" s="831">
        <v>60.29</v>
      </c>
      <c r="E644" s="831">
        <v>88.055000000000007</v>
      </c>
      <c r="F644" s="832">
        <v>55.47</v>
      </c>
      <c r="G644" s="832">
        <v>9.73939191446709</v>
      </c>
      <c r="H644" s="831">
        <v>271.95</v>
      </c>
      <c r="I644" s="832">
        <v>45.12</v>
      </c>
      <c r="J644" s="832">
        <v>2922.94</v>
      </c>
      <c r="K644" s="832">
        <v>9185.1039999999994</v>
      </c>
    </row>
    <row r="645" spans="2:11">
      <c r="B645" s="805" t="str">
        <f t="shared" si="14"/>
        <v>Mon</v>
      </c>
      <c r="C645" s="825">
        <v>43969</v>
      </c>
      <c r="D645" s="831">
        <v>59.92</v>
      </c>
      <c r="E645" s="831">
        <v>87.502499999999998</v>
      </c>
      <c r="F645" s="832">
        <v>54.59</v>
      </c>
      <c r="G645" s="832">
        <v>9.6889512545521406</v>
      </c>
      <c r="H645" s="831">
        <v>273.52999999999997</v>
      </c>
      <c r="I645" s="832">
        <v>45.92</v>
      </c>
      <c r="J645" s="832">
        <v>2953.91</v>
      </c>
      <c r="K645" s="832">
        <v>9234.8279999999995</v>
      </c>
    </row>
    <row r="646" spans="2:11">
      <c r="B646" s="805" t="str">
        <f t="shared" si="14"/>
        <v>Sun</v>
      </c>
      <c r="C646" s="825">
        <v>43968</v>
      </c>
      <c r="D646" s="831">
        <v>58.28</v>
      </c>
      <c r="E646" s="831">
        <v>84.907499999999999</v>
      </c>
      <c r="F646" s="832">
        <v>54.2</v>
      </c>
      <c r="G646" s="832">
        <v>9.9485878346798398</v>
      </c>
      <c r="H646" s="831">
        <v>260.41000000000003</v>
      </c>
      <c r="I646" s="832">
        <v>44.41</v>
      </c>
      <c r="J646" s="832">
        <v>2863.7</v>
      </c>
      <c r="K646" s="832">
        <v>9014.56</v>
      </c>
    </row>
    <row r="647" spans="2:11">
      <c r="B647" s="805" t="str">
        <f t="shared" si="14"/>
        <v>Sat</v>
      </c>
      <c r="C647" s="825">
        <v>43967</v>
      </c>
      <c r="D647" s="831">
        <v>58.28</v>
      </c>
      <c r="E647" s="831">
        <v>84.907499999999999</v>
      </c>
      <c r="F647" s="832">
        <v>54.2</v>
      </c>
      <c r="G647" s="832">
        <v>9.9485878346798398</v>
      </c>
      <c r="H647" s="831">
        <v>260.41000000000003</v>
      </c>
      <c r="I647" s="832">
        <v>44.41</v>
      </c>
      <c r="J647" s="832">
        <v>2863.7</v>
      </c>
      <c r="K647" s="832">
        <v>9014.56</v>
      </c>
    </row>
    <row r="648" spans="2:11">
      <c r="B648" s="805" t="str">
        <f t="shared" ref="B648:B711" si="15">TEXT(C648,"DDD")</f>
        <v>Fri</v>
      </c>
      <c r="C648" s="825">
        <v>43966</v>
      </c>
      <c r="D648" s="831">
        <v>58.28</v>
      </c>
      <c r="E648" s="831">
        <v>84.907499999999999</v>
      </c>
      <c r="F648" s="832">
        <v>54.2</v>
      </c>
      <c r="G648" s="832">
        <v>9.9485878346798398</v>
      </c>
      <c r="H648" s="831">
        <v>260.41000000000003</v>
      </c>
      <c r="I648" s="832">
        <v>44.41</v>
      </c>
      <c r="J648" s="832">
        <v>2863.7</v>
      </c>
      <c r="K648" s="832">
        <v>9014.56</v>
      </c>
    </row>
    <row r="649" spans="2:11">
      <c r="B649" s="805" t="str">
        <f t="shared" si="15"/>
        <v>Thu</v>
      </c>
      <c r="C649" s="825">
        <v>43965</v>
      </c>
      <c r="D649" s="831">
        <v>59.08</v>
      </c>
      <c r="E649" s="831">
        <v>80.305000000000007</v>
      </c>
      <c r="F649" s="832">
        <v>54.51</v>
      </c>
      <c r="G649" s="832">
        <v>9.8062184142708908</v>
      </c>
      <c r="H649" s="831">
        <v>266.60000000000002</v>
      </c>
      <c r="I649" s="832">
        <v>45.73</v>
      </c>
      <c r="J649" s="832">
        <v>2852.5</v>
      </c>
      <c r="K649" s="832">
        <v>8943.7209999999995</v>
      </c>
    </row>
    <row r="650" spans="2:11">
      <c r="B650" s="805" t="str">
        <f t="shared" si="15"/>
        <v>Wed</v>
      </c>
      <c r="C650" s="825">
        <v>43964</v>
      </c>
      <c r="D650" s="831">
        <v>57.74</v>
      </c>
      <c r="E650" s="831">
        <v>77.8</v>
      </c>
      <c r="F650" s="832">
        <v>52.18</v>
      </c>
      <c r="G650" s="832">
        <v>9.9337748344370809</v>
      </c>
      <c r="H650" s="831">
        <v>263.14999999999998</v>
      </c>
      <c r="I650" s="832">
        <v>43.53</v>
      </c>
      <c r="J650" s="832">
        <v>2820</v>
      </c>
      <c r="K650" s="832">
        <v>8863.1669999999995</v>
      </c>
    </row>
    <row r="651" spans="2:11">
      <c r="B651" s="805" t="str">
        <f t="shared" si="15"/>
        <v>Tue</v>
      </c>
      <c r="C651" s="825">
        <v>43963</v>
      </c>
      <c r="D651" s="831">
        <v>58.39</v>
      </c>
      <c r="E651" s="831">
        <v>78.025000000000006</v>
      </c>
      <c r="F651" s="832">
        <v>53.76</v>
      </c>
      <c r="G651" s="832">
        <v>9.8629220996322307</v>
      </c>
      <c r="H651" s="831">
        <v>268.45</v>
      </c>
      <c r="I651" s="832">
        <v>45.69</v>
      </c>
      <c r="J651" s="832">
        <v>2870.12</v>
      </c>
      <c r="K651" s="832">
        <v>9002.5509999999995</v>
      </c>
    </row>
    <row r="652" spans="2:11">
      <c r="B652" s="805" t="str">
        <f t="shared" si="15"/>
        <v>Mon</v>
      </c>
      <c r="C652" s="825">
        <v>43962</v>
      </c>
      <c r="D652" s="831">
        <v>60.13</v>
      </c>
      <c r="E652" s="831">
        <v>80.655000000000001</v>
      </c>
      <c r="F652" s="832">
        <v>55.74</v>
      </c>
      <c r="G652" s="832">
        <v>10.0800375071163</v>
      </c>
      <c r="H652" s="831">
        <v>275.39999999999998</v>
      </c>
      <c r="I652" s="832">
        <v>48.2</v>
      </c>
      <c r="J652" s="832">
        <v>2930.32</v>
      </c>
      <c r="K652" s="832">
        <v>9192.3439999999991</v>
      </c>
    </row>
    <row r="653" spans="2:11">
      <c r="B653" s="805" t="str">
        <f t="shared" si="15"/>
        <v>Sun</v>
      </c>
      <c r="C653" s="825">
        <v>43961</v>
      </c>
      <c r="D653" s="831">
        <v>59.67</v>
      </c>
      <c r="E653" s="831">
        <v>78.125</v>
      </c>
      <c r="F653" s="832">
        <v>53.19</v>
      </c>
      <c r="G653" s="832">
        <v>9.9681688725079596</v>
      </c>
      <c r="H653" s="831">
        <v>275.02999999999997</v>
      </c>
      <c r="I653" s="832">
        <v>48.25</v>
      </c>
      <c r="J653" s="832">
        <v>2929.8</v>
      </c>
      <c r="K653" s="832">
        <v>9121.3209999999999</v>
      </c>
    </row>
    <row r="654" spans="2:11">
      <c r="B654" s="805" t="str">
        <f t="shared" si="15"/>
        <v>Sat</v>
      </c>
      <c r="C654" s="825">
        <v>43960</v>
      </c>
      <c r="D654" s="831">
        <v>59.67</v>
      </c>
      <c r="E654" s="831">
        <v>78.125</v>
      </c>
      <c r="F654" s="832">
        <v>53.19</v>
      </c>
      <c r="G654" s="832">
        <v>9.9681688725079596</v>
      </c>
      <c r="H654" s="831">
        <v>275.02999999999997</v>
      </c>
      <c r="I654" s="832">
        <v>48.25</v>
      </c>
      <c r="J654" s="832">
        <v>2929.8</v>
      </c>
      <c r="K654" s="832">
        <v>9121.3209999999999</v>
      </c>
    </row>
    <row r="655" spans="2:11">
      <c r="B655" s="805" t="str">
        <f t="shared" si="15"/>
        <v>Fri</v>
      </c>
      <c r="C655" s="825">
        <v>43959</v>
      </c>
      <c r="D655" s="831">
        <v>59.67</v>
      </c>
      <c r="E655" s="831">
        <v>78.125</v>
      </c>
      <c r="F655" s="832">
        <v>53.19</v>
      </c>
      <c r="G655" s="832">
        <v>9.9681688725079596</v>
      </c>
      <c r="H655" s="831">
        <v>275.02999999999997</v>
      </c>
      <c r="I655" s="832">
        <v>48.25</v>
      </c>
      <c r="J655" s="832">
        <v>2929.8</v>
      </c>
      <c r="K655" s="832">
        <v>9121.3209999999999</v>
      </c>
    </row>
    <row r="656" spans="2:11">
      <c r="B656" s="805" t="str">
        <f t="shared" si="15"/>
        <v>Thu</v>
      </c>
      <c r="C656" s="825">
        <v>43958</v>
      </c>
      <c r="D656" s="831">
        <v>59.17</v>
      </c>
      <c r="E656" s="831">
        <v>76.217500000000001</v>
      </c>
      <c r="F656" s="832">
        <v>51.95</v>
      </c>
      <c r="G656" s="832">
        <v>9.9548268362054593</v>
      </c>
      <c r="H656" s="831">
        <v>267.75</v>
      </c>
      <c r="I656" s="832">
        <v>46.59</v>
      </c>
      <c r="J656" s="832">
        <v>2881.19</v>
      </c>
      <c r="K656" s="832">
        <v>8979.6610000000001</v>
      </c>
    </row>
    <row r="657" spans="2:11">
      <c r="B657" s="805" t="str">
        <f t="shared" si="15"/>
        <v>Wed</v>
      </c>
      <c r="C657" s="825">
        <v>43957</v>
      </c>
      <c r="D657" s="831">
        <v>59.18</v>
      </c>
      <c r="E657" s="831">
        <v>74.447500000000005</v>
      </c>
      <c r="F657" s="832">
        <v>52.16</v>
      </c>
      <c r="G657" s="832">
        <v>9.8679823976530194</v>
      </c>
      <c r="H657" s="831">
        <v>264.18</v>
      </c>
      <c r="I657" s="832">
        <v>46.08</v>
      </c>
      <c r="J657" s="832">
        <v>2848.42</v>
      </c>
      <c r="K657" s="832">
        <v>8854.3880000000008</v>
      </c>
    </row>
    <row r="658" spans="2:11">
      <c r="B658" s="805" t="str">
        <f t="shared" si="15"/>
        <v>Tue</v>
      </c>
      <c r="C658" s="825">
        <v>43956</v>
      </c>
      <c r="D658" s="831">
        <v>58.75</v>
      </c>
      <c r="E658" s="831">
        <v>73.435000000000002</v>
      </c>
      <c r="F658" s="832">
        <v>52.19</v>
      </c>
      <c r="G658" s="832">
        <v>9.8948566836324705</v>
      </c>
      <c r="H658" s="831">
        <v>264.87</v>
      </c>
      <c r="I658" s="832">
        <v>45.41</v>
      </c>
      <c r="J658" s="832">
        <v>2868.44</v>
      </c>
      <c r="K658" s="832">
        <v>8809.1209999999992</v>
      </c>
    </row>
    <row r="659" spans="2:11">
      <c r="B659" s="805" t="str">
        <f t="shared" si="15"/>
        <v>Mon</v>
      </c>
      <c r="C659" s="825">
        <v>43955</v>
      </c>
      <c r="D659" s="831">
        <v>57.99</v>
      </c>
      <c r="E659" s="831">
        <v>72.821250000000006</v>
      </c>
      <c r="F659" s="832">
        <v>52.56</v>
      </c>
      <c r="G659" s="832">
        <v>9.8966720343531893</v>
      </c>
      <c r="H659" s="831">
        <v>262.26</v>
      </c>
      <c r="I659" s="832">
        <v>44.46</v>
      </c>
      <c r="J659" s="832">
        <v>2842.74</v>
      </c>
      <c r="K659" s="832">
        <v>8710.7150000000001</v>
      </c>
    </row>
    <row r="660" spans="2:11">
      <c r="B660" s="805" t="str">
        <f t="shared" si="15"/>
        <v>Sun</v>
      </c>
      <c r="C660" s="825">
        <v>43954</v>
      </c>
      <c r="D660" s="831">
        <v>57.47</v>
      </c>
      <c r="E660" s="831">
        <v>70.694999999999993</v>
      </c>
      <c r="F660" s="832">
        <v>49.88</v>
      </c>
      <c r="G660" s="832">
        <v>10.226356797420699</v>
      </c>
      <c r="H660" s="831">
        <v>259.7</v>
      </c>
      <c r="I660" s="832">
        <v>45.06</v>
      </c>
      <c r="J660" s="832">
        <v>2830.71</v>
      </c>
      <c r="K660" s="832">
        <v>8604.9480000000003</v>
      </c>
    </row>
    <row r="661" spans="2:11">
      <c r="B661" s="805" t="str">
        <f t="shared" si="15"/>
        <v>Sat</v>
      </c>
      <c r="C661" s="825">
        <v>43953</v>
      </c>
      <c r="D661" s="831">
        <v>57.47</v>
      </c>
      <c r="E661" s="831">
        <v>70.694999999999993</v>
      </c>
      <c r="F661" s="832">
        <v>49.88</v>
      </c>
      <c r="G661" s="832">
        <v>10.226356797420699</v>
      </c>
      <c r="H661" s="831">
        <v>259.7</v>
      </c>
      <c r="I661" s="832">
        <v>45.06</v>
      </c>
      <c r="J661" s="832">
        <v>2830.71</v>
      </c>
      <c r="K661" s="832">
        <v>8604.9480000000003</v>
      </c>
    </row>
    <row r="662" spans="2:11">
      <c r="B662" s="805" t="str">
        <f t="shared" si="15"/>
        <v>Fri</v>
      </c>
      <c r="C662" s="825">
        <v>43952</v>
      </c>
      <c r="D662" s="831">
        <v>57.47</v>
      </c>
      <c r="E662" s="831">
        <v>70.694999999999993</v>
      </c>
      <c r="F662" s="832">
        <v>49.88</v>
      </c>
      <c r="G662" s="832">
        <v>10.226356797420699</v>
      </c>
      <c r="H662" s="831">
        <v>259.7</v>
      </c>
      <c r="I662" s="832">
        <v>45.06</v>
      </c>
      <c r="J662" s="832">
        <v>2830.71</v>
      </c>
      <c r="K662" s="832">
        <v>8604.9480000000003</v>
      </c>
    </row>
    <row r="663" spans="2:11">
      <c r="B663" s="805" t="str">
        <f t="shared" si="15"/>
        <v>Thu</v>
      </c>
      <c r="C663" s="825">
        <v>43951</v>
      </c>
      <c r="D663" s="831">
        <v>59.98</v>
      </c>
      <c r="E663" s="831">
        <v>73.069999999999993</v>
      </c>
      <c r="F663" s="832">
        <v>52.39</v>
      </c>
      <c r="G663" s="832">
        <v>10.226356797420699</v>
      </c>
      <c r="H663" s="831">
        <v>271.62</v>
      </c>
      <c r="I663" s="832">
        <v>47.89</v>
      </c>
      <c r="J663" s="832">
        <v>2912.43</v>
      </c>
      <c r="K663" s="832">
        <v>8889.5509999999995</v>
      </c>
    </row>
    <row r="664" spans="2:11">
      <c r="B664" s="805" t="str">
        <f t="shared" si="15"/>
        <v>Wed</v>
      </c>
      <c r="C664" s="825">
        <v>43950</v>
      </c>
      <c r="D664" s="831">
        <v>61.8</v>
      </c>
      <c r="E664" s="831">
        <v>74.614999999999995</v>
      </c>
      <c r="F664" s="832">
        <v>53.66</v>
      </c>
      <c r="G664" s="832">
        <v>10.0238023400047</v>
      </c>
      <c r="H664" s="831">
        <v>276.02</v>
      </c>
      <c r="I664" s="832">
        <v>49.83</v>
      </c>
      <c r="J664" s="832">
        <v>2939.51</v>
      </c>
      <c r="K664" s="832">
        <v>8914.7099999999991</v>
      </c>
    </row>
    <row r="665" spans="2:11">
      <c r="B665" s="805" t="str">
        <f t="shared" si="15"/>
        <v>Tue</v>
      </c>
      <c r="C665" s="825">
        <v>43949</v>
      </c>
      <c r="D665" s="831">
        <v>58.75</v>
      </c>
      <c r="E665" s="831">
        <v>72.84</v>
      </c>
      <c r="F665" s="832">
        <v>55.51</v>
      </c>
      <c r="G665" s="832">
        <v>9.8965287049399198</v>
      </c>
      <c r="H665" s="831">
        <v>264.73</v>
      </c>
      <c r="I665" s="832">
        <v>45.31</v>
      </c>
      <c r="J665" s="832">
        <v>2863.39</v>
      </c>
      <c r="K665" s="832">
        <v>8607.7309999999998</v>
      </c>
    </row>
    <row r="666" spans="2:11">
      <c r="B666" s="805" t="str">
        <f t="shared" si="15"/>
        <v>Mon</v>
      </c>
      <c r="C666" s="825">
        <v>43948</v>
      </c>
      <c r="D666" s="831">
        <v>59.47</v>
      </c>
      <c r="E666" s="831">
        <v>74.27</v>
      </c>
      <c r="F666" s="832">
        <v>56.49</v>
      </c>
      <c r="G666" s="832">
        <v>9.9234099234099205</v>
      </c>
      <c r="H666" s="831">
        <v>268.45</v>
      </c>
      <c r="I666" s="832">
        <v>45.28</v>
      </c>
      <c r="J666" s="832">
        <v>2878.48</v>
      </c>
      <c r="K666" s="832">
        <v>8730.1640000000007</v>
      </c>
    </row>
    <row r="667" spans="2:11">
      <c r="B667" s="805" t="str">
        <f t="shared" si="15"/>
        <v>Sun</v>
      </c>
      <c r="C667" s="825">
        <v>43947</v>
      </c>
      <c r="D667" s="831">
        <v>59.26</v>
      </c>
      <c r="E667" s="831">
        <v>72.397499999999994</v>
      </c>
      <c r="F667" s="832">
        <v>56.18</v>
      </c>
      <c r="G667" s="832">
        <v>9.7739361702127692</v>
      </c>
      <c r="H667" s="831">
        <v>264.81</v>
      </c>
      <c r="I667" s="832">
        <v>44.16</v>
      </c>
      <c r="J667" s="832">
        <v>2836.74</v>
      </c>
      <c r="K667" s="832">
        <v>8634.52</v>
      </c>
    </row>
    <row r="668" spans="2:11">
      <c r="B668" s="805" t="str">
        <f t="shared" si="15"/>
        <v>Sat</v>
      </c>
      <c r="C668" s="825">
        <v>43946</v>
      </c>
      <c r="D668" s="831">
        <v>59.26</v>
      </c>
      <c r="E668" s="831">
        <v>72.397499999999994</v>
      </c>
      <c r="F668" s="832">
        <v>56.18</v>
      </c>
      <c r="G668" s="832">
        <v>9.7739361702127692</v>
      </c>
      <c r="H668" s="831">
        <v>264.81</v>
      </c>
      <c r="I668" s="832">
        <v>44.16</v>
      </c>
      <c r="J668" s="832">
        <v>2836.74</v>
      </c>
      <c r="K668" s="832">
        <v>8634.52</v>
      </c>
    </row>
    <row r="669" spans="2:11">
      <c r="B669" s="805" t="str">
        <f t="shared" si="15"/>
        <v>Fri</v>
      </c>
      <c r="C669" s="825">
        <v>43945</v>
      </c>
      <c r="D669" s="831">
        <v>59.26</v>
      </c>
      <c r="E669" s="831">
        <v>72.397499999999994</v>
      </c>
      <c r="F669" s="832">
        <v>56.18</v>
      </c>
      <c r="G669" s="832">
        <v>9.7739361702127692</v>
      </c>
      <c r="H669" s="831">
        <v>264.81</v>
      </c>
      <c r="I669" s="832">
        <v>44.16</v>
      </c>
      <c r="J669" s="832">
        <v>2836.74</v>
      </c>
      <c r="K669" s="832">
        <v>8634.52</v>
      </c>
    </row>
    <row r="670" spans="2:11">
      <c r="B670" s="805" t="str">
        <f t="shared" si="15"/>
        <v>Thu</v>
      </c>
      <c r="C670" s="825">
        <v>43944</v>
      </c>
      <c r="D670" s="831">
        <v>59.04</v>
      </c>
      <c r="E670" s="831">
        <v>71.002499999999998</v>
      </c>
      <c r="F670" s="832">
        <v>55.9</v>
      </c>
      <c r="G670" s="832">
        <v>9.8300123083064399</v>
      </c>
      <c r="H670" s="831">
        <v>258.93</v>
      </c>
      <c r="I670" s="832">
        <v>43.77</v>
      </c>
      <c r="J670" s="832">
        <v>2797.8</v>
      </c>
      <c r="K670" s="832">
        <v>8494.7530000000006</v>
      </c>
    </row>
    <row r="671" spans="2:11">
      <c r="B671" s="805" t="str">
        <f t="shared" si="15"/>
        <v>Wed</v>
      </c>
      <c r="C671" s="825">
        <v>43943</v>
      </c>
      <c r="D671" s="831">
        <v>60.1</v>
      </c>
      <c r="E671" s="831">
        <v>71.537499999999994</v>
      </c>
      <c r="F671" s="832">
        <v>55.92</v>
      </c>
      <c r="G671" s="832">
        <v>9.7732863506415804</v>
      </c>
      <c r="H671" s="831">
        <v>259.97000000000003</v>
      </c>
      <c r="I671" s="832">
        <v>43.91</v>
      </c>
      <c r="J671" s="832">
        <v>2799.31</v>
      </c>
      <c r="K671" s="832">
        <v>8495.3790000000008</v>
      </c>
    </row>
    <row r="672" spans="2:11">
      <c r="B672" s="805" t="str">
        <f t="shared" si="15"/>
        <v>Tue</v>
      </c>
      <c r="C672" s="825">
        <v>43942</v>
      </c>
      <c r="D672" s="831">
        <v>56.36</v>
      </c>
      <c r="E672" s="831">
        <v>67.377499999999998</v>
      </c>
      <c r="F672" s="832">
        <v>52.92</v>
      </c>
      <c r="G672" s="832">
        <v>9.8078329676175304</v>
      </c>
      <c r="H672" s="831">
        <v>247.65</v>
      </c>
      <c r="I672" s="832">
        <v>41.41</v>
      </c>
      <c r="J672" s="832">
        <v>2736.56</v>
      </c>
      <c r="K672" s="832">
        <v>8263.2289999999994</v>
      </c>
    </row>
    <row r="673" spans="2:11">
      <c r="B673" s="805" t="str">
        <f t="shared" si="15"/>
        <v>Mon</v>
      </c>
      <c r="C673" s="825">
        <v>43941</v>
      </c>
      <c r="D673" s="831">
        <v>59.18</v>
      </c>
      <c r="E673" s="831">
        <v>71.762500000000003</v>
      </c>
      <c r="F673" s="832">
        <v>56.97</v>
      </c>
      <c r="G673" s="832">
        <v>10.1235472376703</v>
      </c>
      <c r="H673" s="831">
        <v>258.27999999999997</v>
      </c>
      <c r="I673" s="832">
        <v>43.4</v>
      </c>
      <c r="J673" s="832">
        <v>2823.16</v>
      </c>
      <c r="K673" s="832">
        <v>8560.7279999999992</v>
      </c>
    </row>
    <row r="674" spans="2:11">
      <c r="B674" s="805" t="str">
        <f t="shared" si="15"/>
        <v>Sun</v>
      </c>
      <c r="C674" s="825">
        <v>43940</v>
      </c>
      <c r="D674" s="831">
        <v>60.36</v>
      </c>
      <c r="E674" s="831">
        <v>73.08</v>
      </c>
      <c r="F674" s="832">
        <v>56.6</v>
      </c>
      <c r="G674" s="832">
        <v>10.204761112036</v>
      </c>
      <c r="H674" s="831">
        <v>265.88</v>
      </c>
      <c r="I674" s="832">
        <v>45.7</v>
      </c>
      <c r="J674" s="832">
        <v>2874.56</v>
      </c>
      <c r="K674" s="832">
        <v>8650.1409999999996</v>
      </c>
    </row>
    <row r="675" spans="2:11">
      <c r="B675" s="805" t="str">
        <f t="shared" si="15"/>
        <v>Sat</v>
      </c>
      <c r="C675" s="825">
        <v>43939</v>
      </c>
      <c r="D675" s="831">
        <v>60.36</v>
      </c>
      <c r="E675" s="831">
        <v>73.08</v>
      </c>
      <c r="F675" s="832">
        <v>56.6</v>
      </c>
      <c r="G675" s="832">
        <v>10.204761112036</v>
      </c>
      <c r="H675" s="831">
        <v>265.88</v>
      </c>
      <c r="I675" s="832">
        <v>45.7</v>
      </c>
      <c r="J675" s="832">
        <v>2874.56</v>
      </c>
      <c r="K675" s="832">
        <v>8650.1409999999996</v>
      </c>
    </row>
    <row r="676" spans="2:11">
      <c r="B676" s="805" t="str">
        <f t="shared" si="15"/>
        <v>Fri</v>
      </c>
      <c r="C676" s="825">
        <v>43938</v>
      </c>
      <c r="D676" s="831">
        <v>60.36</v>
      </c>
      <c r="E676" s="831">
        <v>73.08</v>
      </c>
      <c r="F676" s="832">
        <v>56.6</v>
      </c>
      <c r="G676" s="832">
        <v>10.204761112036</v>
      </c>
      <c r="H676" s="831">
        <v>265.88</v>
      </c>
      <c r="I676" s="832">
        <v>45.7</v>
      </c>
      <c r="J676" s="832">
        <v>2874.56</v>
      </c>
      <c r="K676" s="832">
        <v>8650.1409999999996</v>
      </c>
    </row>
    <row r="677" spans="2:11">
      <c r="B677" s="805" t="str">
        <f t="shared" si="15"/>
        <v>Thu</v>
      </c>
      <c r="C677" s="825">
        <v>43937</v>
      </c>
      <c r="D677" s="831">
        <v>60.79</v>
      </c>
      <c r="E677" s="831">
        <v>73.674999999999997</v>
      </c>
      <c r="F677" s="832">
        <v>56.95</v>
      </c>
      <c r="G677" s="832">
        <v>9.5163754733275798</v>
      </c>
      <c r="H677" s="831">
        <v>258.29000000000002</v>
      </c>
      <c r="I677" s="832">
        <v>45.53</v>
      </c>
      <c r="J677" s="832">
        <v>2799.55</v>
      </c>
      <c r="K677" s="832">
        <v>8532.3629999999994</v>
      </c>
    </row>
    <row r="678" spans="2:11">
      <c r="B678" s="805" t="str">
        <f t="shared" si="15"/>
        <v>Wed</v>
      </c>
      <c r="C678" s="825">
        <v>43936</v>
      </c>
      <c r="D678" s="831">
        <v>58.87</v>
      </c>
      <c r="E678" s="831">
        <v>70.209999999999994</v>
      </c>
      <c r="F678" s="832">
        <v>54.99</v>
      </c>
      <c r="G678" s="832">
        <v>9.5556220294479406</v>
      </c>
      <c r="H678" s="831">
        <v>257.44</v>
      </c>
      <c r="I678" s="832">
        <v>46.43</v>
      </c>
      <c r="J678" s="832">
        <v>2783.36</v>
      </c>
      <c r="K678" s="832">
        <v>8393.1759999999995</v>
      </c>
    </row>
    <row r="679" spans="2:11">
      <c r="B679" s="805" t="str">
        <f t="shared" si="15"/>
        <v>Tue</v>
      </c>
      <c r="C679" s="825">
        <v>43935</v>
      </c>
      <c r="D679" s="831">
        <v>60.66</v>
      </c>
      <c r="E679" s="831">
        <v>70.987499999999997</v>
      </c>
      <c r="F679" s="832">
        <v>54.93</v>
      </c>
      <c r="G679" s="832">
        <v>9.4876660341556001</v>
      </c>
      <c r="H679" s="831">
        <v>267.63</v>
      </c>
      <c r="I679" s="832">
        <v>47.62</v>
      </c>
      <c r="J679" s="832">
        <v>2846.06</v>
      </c>
      <c r="K679" s="832">
        <v>8515.74</v>
      </c>
    </row>
    <row r="680" spans="2:11">
      <c r="B680" s="805" t="str">
        <f t="shared" si="15"/>
        <v>Mon</v>
      </c>
      <c r="C680" s="825">
        <v>43934</v>
      </c>
      <c r="D680" s="831">
        <v>58.7</v>
      </c>
      <c r="E680" s="831">
        <v>67.462500000000006</v>
      </c>
      <c r="F680" s="832">
        <v>50.94</v>
      </c>
      <c r="G680" s="832">
        <v>9.2620306628088702</v>
      </c>
      <c r="H680" s="831">
        <v>259.92</v>
      </c>
      <c r="I680" s="832">
        <v>46.17</v>
      </c>
      <c r="J680" s="832">
        <v>2761.63</v>
      </c>
      <c r="K680" s="832">
        <v>8192.4249999999993</v>
      </c>
    </row>
    <row r="681" spans="2:11">
      <c r="B681" s="805" t="str">
        <f t="shared" si="15"/>
        <v>Sun</v>
      </c>
      <c r="C681" s="825">
        <v>43933</v>
      </c>
      <c r="D681" s="831">
        <v>57.14</v>
      </c>
      <c r="E681" s="831">
        <v>65.737499999999997</v>
      </c>
      <c r="F681" s="832">
        <v>48.38</v>
      </c>
      <c r="G681" s="832">
        <v>9.3055000665867595</v>
      </c>
      <c r="H681" s="831">
        <v>254.3</v>
      </c>
      <c r="I681" s="832">
        <v>46.13</v>
      </c>
      <c r="J681" s="832">
        <v>2789.82</v>
      </c>
      <c r="K681" s="832">
        <v>8153.5749999999998</v>
      </c>
    </row>
    <row r="682" spans="2:11">
      <c r="B682" s="805" t="str">
        <f t="shared" si="15"/>
        <v>Sat</v>
      </c>
      <c r="C682" s="825">
        <v>43932</v>
      </c>
      <c r="D682" s="831">
        <v>57.14</v>
      </c>
      <c r="E682" s="831">
        <v>65.737499999999997</v>
      </c>
      <c r="F682" s="832">
        <v>48.38</v>
      </c>
      <c r="G682" s="832">
        <v>9.3055000665867595</v>
      </c>
      <c r="H682" s="831">
        <v>254.3</v>
      </c>
      <c r="I682" s="832">
        <v>46.13</v>
      </c>
      <c r="J682" s="832">
        <v>2789.82</v>
      </c>
      <c r="K682" s="832">
        <v>8153.5749999999998</v>
      </c>
    </row>
    <row r="683" spans="2:11">
      <c r="B683" s="805" t="str">
        <f t="shared" si="15"/>
        <v>Fri</v>
      </c>
      <c r="C683" s="825">
        <v>43931</v>
      </c>
      <c r="D683" s="831">
        <v>57.14</v>
      </c>
      <c r="E683" s="831">
        <v>65.737499999999997</v>
      </c>
      <c r="F683" s="832">
        <v>48.38</v>
      </c>
      <c r="G683" s="832">
        <v>9.3055000665867595</v>
      </c>
      <c r="H683" s="831">
        <v>254.3</v>
      </c>
      <c r="I683" s="832">
        <v>46.13</v>
      </c>
      <c r="J683" s="832">
        <v>2789.82</v>
      </c>
      <c r="K683" s="832">
        <v>8153.5749999999998</v>
      </c>
    </row>
    <row r="684" spans="2:11">
      <c r="B684" s="805" t="str">
        <f t="shared" si="15"/>
        <v>Thu</v>
      </c>
      <c r="C684" s="825">
        <v>43930</v>
      </c>
      <c r="D684" s="831">
        <v>57.14</v>
      </c>
      <c r="E684" s="831">
        <v>65.737499999999997</v>
      </c>
      <c r="F684" s="832">
        <v>48.38</v>
      </c>
      <c r="G684" s="832">
        <v>9.4119994678728194</v>
      </c>
      <c r="H684" s="831">
        <v>254.3</v>
      </c>
      <c r="I684" s="832">
        <v>46.13</v>
      </c>
      <c r="J684" s="832">
        <v>2789.82</v>
      </c>
      <c r="K684" s="832">
        <v>8153.5749999999998</v>
      </c>
    </row>
    <row r="685" spans="2:11">
      <c r="B685" s="805" t="str">
        <f t="shared" si="15"/>
        <v>Wed</v>
      </c>
      <c r="C685" s="825">
        <v>43929</v>
      </c>
      <c r="D685" s="831">
        <v>58.98</v>
      </c>
      <c r="E685" s="831">
        <v>66.737499999999997</v>
      </c>
      <c r="F685" s="832">
        <v>48.79</v>
      </c>
      <c r="G685" s="832">
        <v>9.4662370877204598</v>
      </c>
      <c r="H685" s="831">
        <v>261.10000000000002</v>
      </c>
      <c r="I685" s="832">
        <v>48.29</v>
      </c>
      <c r="J685" s="832">
        <v>2749.98</v>
      </c>
      <c r="K685" s="832">
        <v>8090.9030000000002</v>
      </c>
    </row>
    <row r="686" spans="2:11">
      <c r="B686" s="805" t="str">
        <f t="shared" si="15"/>
        <v>Tue</v>
      </c>
      <c r="C686" s="825">
        <v>43928</v>
      </c>
      <c r="D686" s="831">
        <v>58.4</v>
      </c>
      <c r="E686" s="831">
        <v>64.757499999999993</v>
      </c>
      <c r="F686" s="832">
        <v>47.56</v>
      </c>
      <c r="G686" s="832">
        <v>9.4054305560171496</v>
      </c>
      <c r="H686" s="831">
        <v>253.27</v>
      </c>
      <c r="I686" s="832">
        <v>46.54</v>
      </c>
      <c r="J686" s="832">
        <v>2659.41</v>
      </c>
      <c r="K686" s="832">
        <v>7887.26</v>
      </c>
    </row>
    <row r="687" spans="2:11">
      <c r="B687" s="805" t="str">
        <f t="shared" si="15"/>
        <v>Mon</v>
      </c>
      <c r="C687" s="825">
        <v>43927</v>
      </c>
      <c r="D687" s="831">
        <v>58.43</v>
      </c>
      <c r="E687" s="831">
        <v>67.099999999999994</v>
      </c>
      <c r="F687" s="832">
        <v>47.52</v>
      </c>
      <c r="G687" s="832">
        <v>9.1228186363786907</v>
      </c>
      <c r="H687" s="831">
        <v>252.44</v>
      </c>
      <c r="I687" s="832">
        <v>46.37</v>
      </c>
      <c r="J687" s="832">
        <v>2663.68</v>
      </c>
      <c r="K687" s="832">
        <v>7913.2380000000003</v>
      </c>
    </row>
    <row r="688" spans="2:11">
      <c r="B688" s="805" t="str">
        <f t="shared" si="15"/>
        <v>Sun</v>
      </c>
      <c r="C688" s="825">
        <v>43926</v>
      </c>
      <c r="D688" s="831">
        <v>54.13</v>
      </c>
      <c r="E688" s="831">
        <v>60.977499999999999</v>
      </c>
      <c r="F688" s="832">
        <v>42.59</v>
      </c>
      <c r="G688" s="832">
        <v>8.9627624455301707</v>
      </c>
      <c r="H688" s="831">
        <v>234.26</v>
      </c>
      <c r="I688" s="832">
        <v>41.22</v>
      </c>
      <c r="J688" s="832">
        <v>2488.65</v>
      </c>
      <c r="K688" s="832">
        <v>7373.0829999999996</v>
      </c>
    </row>
    <row r="689" spans="2:11">
      <c r="B689" s="805" t="str">
        <f t="shared" si="15"/>
        <v>Sat</v>
      </c>
      <c r="C689" s="825">
        <v>43925</v>
      </c>
      <c r="D689" s="831">
        <v>54.13</v>
      </c>
      <c r="E689" s="831">
        <v>60.977499999999999</v>
      </c>
      <c r="F689" s="832">
        <v>42.59</v>
      </c>
      <c r="G689" s="832">
        <v>8.9627624455301707</v>
      </c>
      <c r="H689" s="831">
        <v>234.26</v>
      </c>
      <c r="I689" s="832">
        <v>41.22</v>
      </c>
      <c r="J689" s="832">
        <v>2488.65</v>
      </c>
      <c r="K689" s="832">
        <v>7373.0829999999996</v>
      </c>
    </row>
    <row r="690" spans="2:11">
      <c r="B690" s="805" t="str">
        <f t="shared" si="15"/>
        <v>Fri</v>
      </c>
      <c r="C690" s="825">
        <v>43924</v>
      </c>
      <c r="D690" s="831">
        <v>54.13</v>
      </c>
      <c r="E690" s="831">
        <v>60.977499999999999</v>
      </c>
      <c r="F690" s="832">
        <v>42.59</v>
      </c>
      <c r="G690" s="832">
        <v>8.9627624455301707</v>
      </c>
      <c r="H690" s="831">
        <v>234.26</v>
      </c>
      <c r="I690" s="832">
        <v>41.22</v>
      </c>
      <c r="J690" s="832">
        <v>2488.65</v>
      </c>
      <c r="K690" s="832">
        <v>7373.0829999999996</v>
      </c>
    </row>
    <row r="691" spans="2:11">
      <c r="B691" s="805" t="str">
        <f t="shared" si="15"/>
        <v>Thu</v>
      </c>
      <c r="C691" s="825">
        <v>43923</v>
      </c>
      <c r="D691" s="831">
        <v>54.35</v>
      </c>
      <c r="E691" s="831">
        <v>63.8675</v>
      </c>
      <c r="F691" s="832">
        <v>44.49</v>
      </c>
      <c r="G691" s="832">
        <v>8.9627624455301707</v>
      </c>
      <c r="H691" s="831">
        <v>237.06</v>
      </c>
      <c r="I691" s="832">
        <v>41.09</v>
      </c>
      <c r="J691" s="832">
        <v>2526.9</v>
      </c>
      <c r="K691" s="832">
        <v>7487.3109999999997</v>
      </c>
    </row>
    <row r="692" spans="2:11">
      <c r="B692" s="805" t="str">
        <f t="shared" si="15"/>
        <v>Wed</v>
      </c>
      <c r="C692" s="825">
        <v>43922</v>
      </c>
      <c r="D692" s="831">
        <v>51.88</v>
      </c>
      <c r="E692" s="831">
        <v>60.767499999999998</v>
      </c>
      <c r="F692" s="832">
        <v>43.66</v>
      </c>
      <c r="G692" s="832">
        <v>8.9627624455301707</v>
      </c>
      <c r="H692" s="831">
        <v>223.63</v>
      </c>
      <c r="I692" s="832">
        <v>39.89</v>
      </c>
      <c r="J692" s="832">
        <v>2470.5</v>
      </c>
      <c r="K692" s="832">
        <v>7360.5820000000003</v>
      </c>
    </row>
    <row r="693" spans="2:11">
      <c r="B693" s="805" t="str">
        <f t="shared" si="15"/>
        <v>Tue</v>
      </c>
      <c r="C693" s="825">
        <v>43921</v>
      </c>
      <c r="D693" s="831">
        <v>54.12</v>
      </c>
      <c r="E693" s="831">
        <v>65.900000000000006</v>
      </c>
      <c r="F693" s="832">
        <v>45.48</v>
      </c>
      <c r="G693" s="832">
        <v>9.0524646491344001</v>
      </c>
      <c r="H693" s="831">
        <v>237.1</v>
      </c>
      <c r="I693" s="832">
        <v>42.06</v>
      </c>
      <c r="J693" s="832">
        <v>2584.59</v>
      </c>
      <c r="K693" s="832">
        <v>7700.098</v>
      </c>
    </row>
    <row r="694" spans="2:11">
      <c r="B694" s="805" t="str">
        <f t="shared" si="15"/>
        <v>Mon</v>
      </c>
      <c r="C694" s="825">
        <v>43920</v>
      </c>
      <c r="D694" s="831">
        <v>55.49</v>
      </c>
      <c r="E694" s="831">
        <v>66.397499999999994</v>
      </c>
      <c r="F694" s="832">
        <v>47.86</v>
      </c>
      <c r="G694" s="832">
        <v>8.8353811599947196</v>
      </c>
      <c r="H694" s="831">
        <v>240.11</v>
      </c>
      <c r="I694" s="832">
        <v>44.52</v>
      </c>
      <c r="J694" s="832">
        <v>2626.65</v>
      </c>
      <c r="K694" s="832">
        <v>7774.1509999999998</v>
      </c>
    </row>
    <row r="695" spans="2:11">
      <c r="B695" s="805" t="str">
        <f t="shared" si="15"/>
        <v>Sun</v>
      </c>
      <c r="C695" s="825">
        <v>43919</v>
      </c>
      <c r="D695" s="831">
        <v>52.37</v>
      </c>
      <c r="E695" s="831">
        <v>63.182499999999997</v>
      </c>
      <c r="F695" s="832">
        <v>46.58</v>
      </c>
      <c r="G695" s="832">
        <v>9.0454259302210005</v>
      </c>
      <c r="H695" s="831">
        <v>230.69</v>
      </c>
      <c r="I695" s="832">
        <v>43.48</v>
      </c>
      <c r="J695" s="832">
        <v>2541.4699999999998</v>
      </c>
      <c r="K695" s="832">
        <v>7502.3779999999997</v>
      </c>
    </row>
    <row r="696" spans="2:11">
      <c r="B696" s="805" t="str">
        <f t="shared" si="15"/>
        <v>Sat</v>
      </c>
      <c r="C696" s="825">
        <v>43918</v>
      </c>
      <c r="D696" s="831">
        <v>52.37</v>
      </c>
      <c r="E696" s="831">
        <v>63.182499999999997</v>
      </c>
      <c r="F696" s="832">
        <v>46.58</v>
      </c>
      <c r="G696" s="832">
        <v>9.0454259302210005</v>
      </c>
      <c r="H696" s="831">
        <v>230.69</v>
      </c>
      <c r="I696" s="832">
        <v>43.48</v>
      </c>
      <c r="J696" s="832">
        <v>2541.4699999999998</v>
      </c>
      <c r="K696" s="832">
        <v>7502.3779999999997</v>
      </c>
    </row>
    <row r="697" spans="2:11">
      <c r="B697" s="805" t="str">
        <f t="shared" si="15"/>
        <v>Fri</v>
      </c>
      <c r="C697" s="825">
        <v>43917</v>
      </c>
      <c r="D697" s="831">
        <v>52.37</v>
      </c>
      <c r="E697" s="831">
        <v>63.182499999999997</v>
      </c>
      <c r="F697" s="832">
        <v>46.58</v>
      </c>
      <c r="G697" s="832">
        <v>9.0454259302210005</v>
      </c>
      <c r="H697" s="831">
        <v>230.69</v>
      </c>
      <c r="I697" s="832">
        <v>43.48</v>
      </c>
      <c r="J697" s="832">
        <v>2541.4699999999998</v>
      </c>
      <c r="K697" s="832">
        <v>7502.3779999999997</v>
      </c>
    </row>
    <row r="698" spans="2:11">
      <c r="B698" s="805" t="str">
        <f t="shared" si="15"/>
        <v>Thu</v>
      </c>
      <c r="C698" s="825">
        <v>43916</v>
      </c>
      <c r="D698" s="831">
        <v>55.54</v>
      </c>
      <c r="E698" s="831">
        <v>64.31</v>
      </c>
      <c r="F698" s="832">
        <v>47.5</v>
      </c>
      <c r="G698" s="832">
        <v>9.2702953251225004</v>
      </c>
      <c r="H698" s="831">
        <v>243.17</v>
      </c>
      <c r="I698" s="832">
        <v>44.79</v>
      </c>
      <c r="J698" s="832">
        <v>2630.07</v>
      </c>
      <c r="K698" s="832">
        <v>7797.5370000000003</v>
      </c>
    </row>
    <row r="699" spans="2:11">
      <c r="B699" s="805" t="str">
        <f t="shared" si="15"/>
        <v>Wed</v>
      </c>
      <c r="C699" s="825">
        <v>43915</v>
      </c>
      <c r="D699" s="831">
        <v>51.26</v>
      </c>
      <c r="E699" s="831">
        <v>61.405000000000001</v>
      </c>
      <c r="F699" s="832">
        <v>44.63</v>
      </c>
      <c r="G699" s="832">
        <v>9.1440266728287103</v>
      </c>
      <c r="H699" s="831">
        <v>217.55</v>
      </c>
      <c r="I699" s="832">
        <v>42.5</v>
      </c>
      <c r="J699" s="832">
        <v>2475.56</v>
      </c>
      <c r="K699" s="832">
        <v>7384.2950000000001</v>
      </c>
    </row>
    <row r="700" spans="2:11">
      <c r="B700" s="805" t="str">
        <f t="shared" si="15"/>
        <v>Tue</v>
      </c>
      <c r="C700" s="825">
        <v>43914</v>
      </c>
      <c r="D700" s="831">
        <v>52.4</v>
      </c>
      <c r="E700" s="831">
        <v>62.295000000000002</v>
      </c>
      <c r="F700" s="832">
        <v>46.22</v>
      </c>
      <c r="G700" s="832">
        <v>8.8690693279400499</v>
      </c>
      <c r="H700" s="831">
        <v>212.76</v>
      </c>
      <c r="I700" s="832">
        <v>43.27</v>
      </c>
      <c r="J700" s="832">
        <v>2447.33</v>
      </c>
      <c r="K700" s="832">
        <v>7417.857</v>
      </c>
    </row>
    <row r="701" spans="2:11">
      <c r="B701" s="805" t="str">
        <f t="shared" si="15"/>
        <v>Mon</v>
      </c>
      <c r="C701" s="825">
        <v>43913</v>
      </c>
      <c r="D701" s="831">
        <v>49.58</v>
      </c>
      <c r="E701" s="831">
        <v>53.172499999999999</v>
      </c>
      <c r="F701" s="832">
        <v>41.64</v>
      </c>
      <c r="G701" s="832">
        <v>8.4300307448180103</v>
      </c>
      <c r="H701" s="831">
        <v>193.47</v>
      </c>
      <c r="I701" s="832">
        <v>38.25</v>
      </c>
      <c r="J701" s="832">
        <v>2237.4</v>
      </c>
      <c r="K701" s="832">
        <v>6860.674</v>
      </c>
    </row>
    <row r="702" spans="2:11">
      <c r="B702" s="805" t="str">
        <f t="shared" si="15"/>
        <v>Sun</v>
      </c>
      <c r="C702" s="825">
        <v>43912</v>
      </c>
      <c r="D702" s="831">
        <v>45.83</v>
      </c>
      <c r="E702" s="831">
        <v>51.4375</v>
      </c>
      <c r="F702" s="832">
        <v>39.61</v>
      </c>
      <c r="G702" s="832">
        <v>8.9211961011068901</v>
      </c>
      <c r="H702" s="831">
        <v>192.22</v>
      </c>
      <c r="I702" s="832">
        <v>36.11</v>
      </c>
      <c r="J702" s="832">
        <v>2304.92</v>
      </c>
      <c r="K702" s="832">
        <v>6879.5169999999998</v>
      </c>
    </row>
    <row r="703" spans="2:11">
      <c r="B703" s="805" t="str">
        <f t="shared" si="15"/>
        <v>Sat</v>
      </c>
      <c r="C703" s="825">
        <v>43911</v>
      </c>
      <c r="D703" s="831">
        <v>45.83</v>
      </c>
      <c r="E703" s="831">
        <v>51.4375</v>
      </c>
      <c r="F703" s="832">
        <v>39.61</v>
      </c>
      <c r="G703" s="832">
        <v>8.9211961011068901</v>
      </c>
      <c r="H703" s="831">
        <v>192.22</v>
      </c>
      <c r="I703" s="832">
        <v>36.11</v>
      </c>
      <c r="J703" s="832">
        <v>2304.92</v>
      </c>
      <c r="K703" s="832">
        <v>6879.5169999999998</v>
      </c>
    </row>
    <row r="704" spans="2:11">
      <c r="B704" s="805" t="str">
        <f t="shared" si="15"/>
        <v>Fri</v>
      </c>
      <c r="C704" s="825">
        <v>43910</v>
      </c>
      <c r="D704" s="831">
        <v>45.83</v>
      </c>
      <c r="E704" s="831">
        <v>51.4375</v>
      </c>
      <c r="F704" s="832">
        <v>39.61</v>
      </c>
      <c r="G704" s="832">
        <v>8.9211961011068901</v>
      </c>
      <c r="H704" s="831">
        <v>192.22</v>
      </c>
      <c r="I704" s="832">
        <v>36.11</v>
      </c>
      <c r="J704" s="832">
        <v>2304.92</v>
      </c>
      <c r="K704" s="832">
        <v>6879.5169999999998</v>
      </c>
    </row>
    <row r="705" spans="2:11">
      <c r="B705" s="805" t="str">
        <f t="shared" si="15"/>
        <v>Thu</v>
      </c>
      <c r="C705" s="825">
        <v>43909</v>
      </c>
      <c r="D705" s="831">
        <v>45.94</v>
      </c>
      <c r="E705" s="831">
        <v>53.2425</v>
      </c>
      <c r="F705" s="832">
        <v>39.82</v>
      </c>
      <c r="G705" s="832">
        <v>8.1407563025210106</v>
      </c>
      <c r="H705" s="831">
        <v>194.45</v>
      </c>
      <c r="I705" s="832">
        <v>36.29</v>
      </c>
      <c r="J705" s="832">
        <v>2409.39</v>
      </c>
      <c r="K705" s="832">
        <v>7150.5780000000004</v>
      </c>
    </row>
    <row r="706" spans="2:11">
      <c r="B706" s="805" t="str">
        <f t="shared" si="15"/>
        <v>Wed</v>
      </c>
      <c r="C706" s="825">
        <v>43908</v>
      </c>
      <c r="D706" s="831">
        <v>47.61</v>
      </c>
      <c r="E706" s="831">
        <v>50.704999999999998</v>
      </c>
      <c r="F706" s="832">
        <v>39.119999999999997</v>
      </c>
      <c r="G706" s="832">
        <v>8.5667215815486006</v>
      </c>
      <c r="H706" s="831">
        <v>167.87</v>
      </c>
      <c r="I706" s="832">
        <v>34.69</v>
      </c>
      <c r="J706" s="832">
        <v>2398.1</v>
      </c>
      <c r="K706" s="832">
        <v>6989.8440000000001</v>
      </c>
    </row>
    <row r="707" spans="2:11">
      <c r="B707" s="805" t="str">
        <f t="shared" si="15"/>
        <v>Tue</v>
      </c>
      <c r="C707" s="825">
        <v>43907</v>
      </c>
      <c r="D707" s="831">
        <v>50.08</v>
      </c>
      <c r="E707" s="831">
        <v>54.317500000000003</v>
      </c>
      <c r="F707" s="832">
        <v>41.88</v>
      </c>
      <c r="G707" s="832">
        <v>8.8759356163476202</v>
      </c>
      <c r="H707" s="831">
        <v>199.51</v>
      </c>
      <c r="I707" s="832">
        <v>37.380000000000003</v>
      </c>
      <c r="J707" s="832">
        <v>2529.19</v>
      </c>
      <c r="K707" s="832">
        <v>7334.7820000000002</v>
      </c>
    </row>
    <row r="708" spans="2:11">
      <c r="B708" s="805" t="str">
        <f t="shared" si="15"/>
        <v>Mon</v>
      </c>
      <c r="C708" s="825">
        <v>43906</v>
      </c>
      <c r="D708" s="831">
        <v>44.61</v>
      </c>
      <c r="E708" s="831">
        <v>49.1</v>
      </c>
      <c r="F708" s="832">
        <v>38.71</v>
      </c>
      <c r="G708" s="832">
        <v>9.1447281386426802</v>
      </c>
      <c r="H708" s="831">
        <v>187.58</v>
      </c>
      <c r="I708" s="832">
        <v>34.47</v>
      </c>
      <c r="J708" s="832">
        <v>2386.13</v>
      </c>
      <c r="K708" s="832">
        <v>6904.5919999999996</v>
      </c>
    </row>
    <row r="709" spans="2:11">
      <c r="B709" s="805" t="str">
        <f t="shared" si="15"/>
        <v>Sun</v>
      </c>
      <c r="C709" s="825">
        <v>43905</v>
      </c>
      <c r="D709" s="831">
        <v>54.43</v>
      </c>
      <c r="E709" s="831">
        <v>60.21</v>
      </c>
      <c r="F709" s="832">
        <v>43.9</v>
      </c>
      <c r="G709" s="832">
        <v>9.62336153973785</v>
      </c>
      <c r="H709" s="831">
        <v>234.22</v>
      </c>
      <c r="I709" s="832">
        <v>42.99</v>
      </c>
      <c r="J709" s="832">
        <v>2711.02</v>
      </c>
      <c r="K709" s="832">
        <v>7874.875</v>
      </c>
    </row>
    <row r="710" spans="2:11">
      <c r="B710" s="805" t="str">
        <f t="shared" si="15"/>
        <v>Sat</v>
      </c>
      <c r="C710" s="825">
        <v>43904</v>
      </c>
      <c r="D710" s="831">
        <v>54.43</v>
      </c>
      <c r="E710" s="831">
        <v>60.21</v>
      </c>
      <c r="F710" s="832">
        <v>43.9</v>
      </c>
      <c r="G710" s="832">
        <v>9.62336153973785</v>
      </c>
      <c r="H710" s="831">
        <v>234.22</v>
      </c>
      <c r="I710" s="832">
        <v>42.99</v>
      </c>
      <c r="J710" s="832">
        <v>2711.02</v>
      </c>
      <c r="K710" s="832">
        <v>7874.875</v>
      </c>
    </row>
    <row r="711" spans="2:11">
      <c r="B711" s="805" t="str">
        <f t="shared" si="15"/>
        <v>Fri</v>
      </c>
      <c r="C711" s="825">
        <v>43903</v>
      </c>
      <c r="D711" s="831">
        <v>54.43</v>
      </c>
      <c r="E711" s="831">
        <v>60.21</v>
      </c>
      <c r="F711" s="832">
        <v>43.9</v>
      </c>
      <c r="G711" s="832">
        <v>9.62336153973785</v>
      </c>
      <c r="H711" s="831">
        <v>234.22</v>
      </c>
      <c r="I711" s="832">
        <v>42.99</v>
      </c>
      <c r="J711" s="832">
        <v>2711.02</v>
      </c>
      <c r="K711" s="832">
        <v>7874.875</v>
      </c>
    </row>
    <row r="712" spans="2:11">
      <c r="B712" s="805" t="str">
        <f t="shared" ref="B712:B775" si="16">TEXT(C712,"DDD")</f>
        <v>Thu</v>
      </c>
      <c r="C712" s="825">
        <v>43902</v>
      </c>
      <c r="D712" s="831">
        <v>45.54</v>
      </c>
      <c r="E712" s="831">
        <v>54.077500000000001</v>
      </c>
      <c r="F712" s="832">
        <v>39.01</v>
      </c>
      <c r="G712" s="832">
        <v>9.7457486657605994</v>
      </c>
      <c r="H712" s="831">
        <v>218.78</v>
      </c>
      <c r="I712" s="832">
        <v>38.81</v>
      </c>
      <c r="J712" s="832">
        <v>2480.64</v>
      </c>
      <c r="K712" s="832">
        <v>7201.8019999999997</v>
      </c>
    </row>
    <row r="713" spans="2:11">
      <c r="B713" s="805" t="str">
        <f t="shared" si="16"/>
        <v>Wed</v>
      </c>
      <c r="C713" s="825">
        <v>43901</v>
      </c>
      <c r="D713" s="831">
        <v>51.66</v>
      </c>
      <c r="E713" s="831">
        <v>61.6175</v>
      </c>
      <c r="F713" s="832">
        <v>45.7</v>
      </c>
      <c r="G713" s="832">
        <v>10.0189098629864</v>
      </c>
      <c r="H713" s="831">
        <v>245.97</v>
      </c>
      <c r="I713" s="832">
        <v>43.72</v>
      </c>
      <c r="J713" s="832">
        <v>2741.38</v>
      </c>
      <c r="K713" s="832">
        <v>7952.0510000000004</v>
      </c>
    </row>
    <row r="714" spans="2:11">
      <c r="B714" s="805" t="str">
        <f t="shared" si="16"/>
        <v>Tue</v>
      </c>
      <c r="C714" s="825">
        <v>43900</v>
      </c>
      <c r="D714" s="831">
        <v>53.98</v>
      </c>
      <c r="E714" s="831">
        <v>65.27</v>
      </c>
      <c r="F714" s="832">
        <v>45.38</v>
      </c>
      <c r="G714" s="832">
        <v>10.261381108362899</v>
      </c>
      <c r="H714" s="831">
        <v>262.89999999999998</v>
      </c>
      <c r="I714" s="832">
        <v>47.86</v>
      </c>
      <c r="J714" s="832">
        <v>2882.23</v>
      </c>
      <c r="K714" s="832">
        <v>8344.2530000000006</v>
      </c>
    </row>
    <row r="715" spans="2:11">
      <c r="B715" s="805" t="str">
        <f t="shared" si="16"/>
        <v>Mon</v>
      </c>
      <c r="C715" s="825">
        <v>43899</v>
      </c>
      <c r="D715" s="831">
        <v>50.85</v>
      </c>
      <c r="E715" s="831">
        <v>61.36</v>
      </c>
      <c r="F715" s="832">
        <v>43.27</v>
      </c>
      <c r="G715" s="832">
        <v>10.188427547106899</v>
      </c>
      <c r="H715" s="831">
        <v>247.72</v>
      </c>
      <c r="I715" s="832">
        <v>45.97</v>
      </c>
      <c r="J715" s="832">
        <v>2746.56</v>
      </c>
      <c r="K715" s="832">
        <v>7950.6760000000004</v>
      </c>
    </row>
    <row r="716" spans="2:11">
      <c r="B716" s="805" t="str">
        <f t="shared" si="16"/>
        <v>Sun</v>
      </c>
      <c r="C716" s="825">
        <v>43898</v>
      </c>
      <c r="D716" s="831">
        <v>55.77</v>
      </c>
      <c r="E716" s="831">
        <v>66.510000000000005</v>
      </c>
      <c r="F716" s="832">
        <v>48.59</v>
      </c>
      <c r="G716" s="832">
        <v>10.535117056856199</v>
      </c>
      <c r="H716" s="831">
        <v>269.45</v>
      </c>
      <c r="I716" s="832">
        <v>51.47</v>
      </c>
      <c r="J716" s="832">
        <v>2972.37</v>
      </c>
      <c r="K716" s="832">
        <v>8575.6180000000004</v>
      </c>
    </row>
    <row r="717" spans="2:11">
      <c r="B717" s="805" t="str">
        <f t="shared" si="16"/>
        <v>Sat</v>
      </c>
      <c r="C717" s="825">
        <v>43897</v>
      </c>
      <c r="D717" s="831">
        <v>55.77</v>
      </c>
      <c r="E717" s="831">
        <v>66.510000000000005</v>
      </c>
      <c r="F717" s="832">
        <v>48.59</v>
      </c>
      <c r="G717" s="832">
        <v>10.535117056856199</v>
      </c>
      <c r="H717" s="831">
        <v>269.45</v>
      </c>
      <c r="I717" s="832">
        <v>51.47</v>
      </c>
      <c r="J717" s="832">
        <v>2972.37</v>
      </c>
      <c r="K717" s="832">
        <v>8575.6180000000004</v>
      </c>
    </row>
    <row r="718" spans="2:11">
      <c r="B718" s="805" t="str">
        <f t="shared" si="16"/>
        <v>Fri</v>
      </c>
      <c r="C718" s="825">
        <v>43896</v>
      </c>
      <c r="D718" s="831">
        <v>55.77</v>
      </c>
      <c r="E718" s="831">
        <v>66.510000000000005</v>
      </c>
      <c r="F718" s="832">
        <v>48.59</v>
      </c>
      <c r="G718" s="832">
        <v>10.535117056856199</v>
      </c>
      <c r="H718" s="831">
        <v>269.45</v>
      </c>
      <c r="I718" s="832">
        <v>51.47</v>
      </c>
      <c r="J718" s="832">
        <v>2972.37</v>
      </c>
      <c r="K718" s="832">
        <v>8575.6180000000004</v>
      </c>
    </row>
    <row r="719" spans="2:11">
      <c r="B719" s="805" t="str">
        <f t="shared" si="16"/>
        <v>Thu</v>
      </c>
      <c r="C719" s="825">
        <v>43895</v>
      </c>
      <c r="D719" s="831">
        <v>56.96</v>
      </c>
      <c r="E719" s="831">
        <v>68.322500000000005</v>
      </c>
      <c r="F719" s="832">
        <v>48.11</v>
      </c>
      <c r="G719" s="832">
        <v>10.786081613571101</v>
      </c>
      <c r="H719" s="831">
        <v>274.04000000000002</v>
      </c>
      <c r="I719" s="832">
        <v>53.72</v>
      </c>
      <c r="J719" s="832">
        <v>3023.94</v>
      </c>
      <c r="K719" s="832">
        <v>8738.5949999999993</v>
      </c>
    </row>
    <row r="720" spans="2:11">
      <c r="B720" s="805" t="str">
        <f t="shared" si="16"/>
        <v>Wed</v>
      </c>
      <c r="C720" s="825">
        <v>43894</v>
      </c>
      <c r="D720" s="831">
        <v>58.68</v>
      </c>
      <c r="E720" s="831">
        <v>71.127499999999998</v>
      </c>
      <c r="F720" s="832">
        <v>50.11</v>
      </c>
      <c r="G720" s="832">
        <v>10.7147633056967</v>
      </c>
      <c r="H720" s="831">
        <v>285.45</v>
      </c>
      <c r="I720" s="832">
        <v>55.29</v>
      </c>
      <c r="J720" s="832">
        <v>3130.12</v>
      </c>
      <c r="K720" s="832">
        <v>9018.0879999999997</v>
      </c>
    </row>
    <row r="721" spans="2:11">
      <c r="B721" s="805" t="str">
        <f t="shared" si="16"/>
        <v>Tue</v>
      </c>
      <c r="C721" s="825">
        <v>43893</v>
      </c>
      <c r="D721" s="831">
        <v>55.97</v>
      </c>
      <c r="E721" s="831">
        <v>66.472499999999997</v>
      </c>
      <c r="F721" s="832">
        <v>46.75</v>
      </c>
      <c r="G721" s="832">
        <v>10.6219263323408</v>
      </c>
      <c r="H721" s="831">
        <v>274.25</v>
      </c>
      <c r="I721" s="832">
        <v>51.8</v>
      </c>
      <c r="J721" s="832">
        <v>3003.37</v>
      </c>
      <c r="K721" s="832">
        <v>8684.09</v>
      </c>
    </row>
    <row r="722" spans="2:11">
      <c r="B722" s="805" t="str">
        <f t="shared" si="16"/>
        <v>Mon</v>
      </c>
      <c r="C722" s="825">
        <v>43892</v>
      </c>
      <c r="D722" s="831">
        <v>58.18</v>
      </c>
      <c r="E722" s="831">
        <v>69.107500000000002</v>
      </c>
      <c r="F722" s="832">
        <v>47.46</v>
      </c>
      <c r="G722" s="832">
        <v>10.418760469011699</v>
      </c>
      <c r="H722" s="831">
        <v>284.97000000000003</v>
      </c>
      <c r="I722" s="832">
        <v>54.59</v>
      </c>
      <c r="J722" s="832">
        <v>3090.23</v>
      </c>
      <c r="K722" s="832">
        <v>8952.1650000000009</v>
      </c>
    </row>
    <row r="723" spans="2:11">
      <c r="B723" s="805" t="str">
        <f t="shared" si="16"/>
        <v>Sun</v>
      </c>
      <c r="C723" s="825">
        <v>43891</v>
      </c>
      <c r="D723" s="831">
        <v>55.52</v>
      </c>
      <c r="E723" s="831">
        <v>67.517499999999998</v>
      </c>
      <c r="F723" s="832">
        <v>45.48</v>
      </c>
      <c r="G723" s="832">
        <v>10.4424837249265</v>
      </c>
      <c r="H723" s="831">
        <v>272.62</v>
      </c>
      <c r="I723" s="832">
        <v>52.56</v>
      </c>
      <c r="J723" s="832">
        <v>2954.22</v>
      </c>
      <c r="K723" s="832">
        <v>8567.3680000000004</v>
      </c>
    </row>
    <row r="724" spans="2:11">
      <c r="B724" s="805" t="str">
        <f t="shared" si="16"/>
        <v>Sat</v>
      </c>
      <c r="C724" s="825">
        <v>43890</v>
      </c>
      <c r="D724" s="831">
        <v>55.52</v>
      </c>
      <c r="E724" s="831">
        <v>67.517499999999998</v>
      </c>
      <c r="F724" s="832">
        <v>45.48</v>
      </c>
      <c r="G724" s="832">
        <v>10.4424837249265</v>
      </c>
      <c r="H724" s="831">
        <v>272.62</v>
      </c>
      <c r="I724" s="832">
        <v>52.56</v>
      </c>
      <c r="J724" s="832">
        <v>2954.22</v>
      </c>
      <c r="K724" s="832">
        <v>8567.3680000000004</v>
      </c>
    </row>
    <row r="725" spans="2:11">
      <c r="B725" s="805" t="str">
        <f t="shared" si="16"/>
        <v>Fri</v>
      </c>
      <c r="C725" s="825">
        <v>43889</v>
      </c>
      <c r="D725" s="831">
        <v>55.52</v>
      </c>
      <c r="E725" s="831">
        <v>67.517499999999998</v>
      </c>
      <c r="F725" s="832">
        <v>45.48</v>
      </c>
      <c r="G725" s="832">
        <v>10.4424837249265</v>
      </c>
      <c r="H725" s="831">
        <v>272.62</v>
      </c>
      <c r="I725" s="832">
        <v>52.56</v>
      </c>
      <c r="J725" s="832">
        <v>2954.22</v>
      </c>
      <c r="K725" s="832">
        <v>8567.3680000000004</v>
      </c>
    </row>
    <row r="726" spans="2:11">
      <c r="B726" s="805" t="str">
        <f t="shared" si="16"/>
        <v>Thu</v>
      </c>
      <c r="C726" s="825">
        <v>43888</v>
      </c>
      <c r="D726" s="831">
        <v>55.83</v>
      </c>
      <c r="E726" s="831">
        <v>63.15</v>
      </c>
      <c r="F726" s="832">
        <v>44.01</v>
      </c>
      <c r="G726" s="832">
        <v>10.4424837249265</v>
      </c>
      <c r="H726" s="831">
        <v>273.95</v>
      </c>
      <c r="I726" s="832">
        <v>50.58</v>
      </c>
      <c r="J726" s="832">
        <v>2978.76</v>
      </c>
      <c r="K726" s="832">
        <v>8566.48</v>
      </c>
    </row>
    <row r="727" spans="2:11">
      <c r="B727" s="805" t="str">
        <f t="shared" si="16"/>
        <v>Wed</v>
      </c>
      <c r="C727" s="825">
        <v>43887</v>
      </c>
      <c r="D727" s="831">
        <v>59.65</v>
      </c>
      <c r="E727" s="831">
        <v>66.912499999999994</v>
      </c>
      <c r="F727" s="832">
        <v>47.49</v>
      </c>
      <c r="G727" s="832">
        <v>10.5230118611029</v>
      </c>
      <c r="H727" s="831">
        <v>285.88</v>
      </c>
      <c r="I727" s="832">
        <v>52.37</v>
      </c>
      <c r="J727" s="832">
        <v>3116.39</v>
      </c>
      <c r="K727" s="832">
        <v>8980.7749999999996</v>
      </c>
    </row>
    <row r="728" spans="2:11">
      <c r="B728" s="805" t="str">
        <f t="shared" si="16"/>
        <v>Tue</v>
      </c>
      <c r="C728" s="825">
        <v>43886</v>
      </c>
      <c r="D728" s="831">
        <v>59.73</v>
      </c>
      <c r="E728" s="831">
        <v>65.512500000000003</v>
      </c>
      <c r="F728" s="832">
        <v>47.57</v>
      </c>
      <c r="G728" s="832">
        <v>10.5934991446243</v>
      </c>
      <c r="H728" s="831">
        <v>282.68</v>
      </c>
      <c r="I728" s="832">
        <v>52.1</v>
      </c>
      <c r="J728" s="832">
        <v>3128.21</v>
      </c>
      <c r="K728" s="832">
        <v>8965.6129999999994</v>
      </c>
    </row>
    <row r="729" spans="2:11">
      <c r="B729" s="805" t="str">
        <f t="shared" si="16"/>
        <v>Mon</v>
      </c>
      <c r="C729" s="825">
        <v>43885</v>
      </c>
      <c r="D729" s="831">
        <v>61.76</v>
      </c>
      <c r="E729" s="831">
        <v>68.319999999999993</v>
      </c>
      <c r="F729" s="832">
        <v>49.12</v>
      </c>
      <c r="G729" s="832">
        <v>10.515938218863001</v>
      </c>
      <c r="H729" s="831">
        <v>291.60000000000002</v>
      </c>
      <c r="I729" s="832">
        <v>55.01</v>
      </c>
      <c r="J729" s="832">
        <v>3225.89</v>
      </c>
      <c r="K729" s="832">
        <v>9221.2800000000007</v>
      </c>
    </row>
    <row r="730" spans="2:11">
      <c r="B730" s="805" t="str">
        <f t="shared" si="16"/>
        <v>Sun</v>
      </c>
      <c r="C730" s="825">
        <v>43884</v>
      </c>
      <c r="D730" s="831">
        <v>64.34</v>
      </c>
      <c r="E730" s="831">
        <v>73.517499999999998</v>
      </c>
      <c r="F730" s="832">
        <v>53.28</v>
      </c>
      <c r="G730" s="832">
        <v>10.696067138390699</v>
      </c>
      <c r="H730" s="831">
        <v>304.5</v>
      </c>
      <c r="I730" s="832">
        <v>56.99</v>
      </c>
      <c r="J730" s="832">
        <v>3337.75</v>
      </c>
      <c r="K730" s="832">
        <v>9576.59</v>
      </c>
    </row>
    <row r="731" spans="2:11">
      <c r="B731" s="805" t="str">
        <f t="shared" si="16"/>
        <v>Sat</v>
      </c>
      <c r="C731" s="825">
        <v>43883</v>
      </c>
      <c r="D731" s="831">
        <v>64.34</v>
      </c>
      <c r="E731" s="831">
        <v>73.517499999999998</v>
      </c>
      <c r="F731" s="832">
        <v>53.28</v>
      </c>
      <c r="G731" s="832">
        <v>10.696067138390699</v>
      </c>
      <c r="H731" s="831">
        <v>304.5</v>
      </c>
      <c r="I731" s="832">
        <v>56.99</v>
      </c>
      <c r="J731" s="832">
        <v>3337.75</v>
      </c>
      <c r="K731" s="832">
        <v>9576.59</v>
      </c>
    </row>
    <row r="732" spans="2:11">
      <c r="B732" s="805" t="str">
        <f t="shared" si="16"/>
        <v>Fri</v>
      </c>
      <c r="C732" s="825">
        <v>43882</v>
      </c>
      <c r="D732" s="831">
        <v>64.34</v>
      </c>
      <c r="E732" s="831">
        <v>73.517499999999998</v>
      </c>
      <c r="F732" s="832">
        <v>53.28</v>
      </c>
      <c r="G732" s="832">
        <v>10.696067138390699</v>
      </c>
      <c r="H732" s="831">
        <v>304.5</v>
      </c>
      <c r="I732" s="832">
        <v>56.99</v>
      </c>
      <c r="J732" s="832">
        <v>3337.75</v>
      </c>
      <c r="K732" s="832">
        <v>9576.59</v>
      </c>
    </row>
    <row r="733" spans="2:11">
      <c r="B733" s="805" t="str">
        <f t="shared" si="16"/>
        <v>Thu</v>
      </c>
      <c r="C733" s="825">
        <v>43881</v>
      </c>
      <c r="D733" s="831">
        <v>65.45</v>
      </c>
      <c r="E733" s="831">
        <v>77.174999999999997</v>
      </c>
      <c r="F733" s="832">
        <v>57.27</v>
      </c>
      <c r="G733" s="832">
        <v>10.720284556862</v>
      </c>
      <c r="H733" s="831">
        <v>309.24</v>
      </c>
      <c r="I733" s="832">
        <v>59</v>
      </c>
      <c r="J733" s="832">
        <v>3373.23</v>
      </c>
      <c r="K733" s="832">
        <v>9750.9650000000001</v>
      </c>
    </row>
    <row r="734" spans="2:11">
      <c r="B734" s="805" t="str">
        <f t="shared" si="16"/>
        <v>Wed</v>
      </c>
      <c r="C734" s="825">
        <v>43880</v>
      </c>
      <c r="D734" s="831">
        <v>67.11</v>
      </c>
      <c r="E734" s="831">
        <v>78.674999999999997</v>
      </c>
      <c r="F734" s="832">
        <v>58.9</v>
      </c>
      <c r="G734" s="832">
        <v>10.827032762965899</v>
      </c>
      <c r="H734" s="831">
        <v>315.69</v>
      </c>
      <c r="I734" s="832">
        <v>59.99</v>
      </c>
      <c r="J734" s="832">
        <v>3386.15</v>
      </c>
      <c r="K734" s="832">
        <v>9817.18</v>
      </c>
    </row>
    <row r="735" spans="2:11">
      <c r="B735" s="805" t="str">
        <f t="shared" si="16"/>
        <v>Tue</v>
      </c>
      <c r="C735" s="825">
        <v>43879</v>
      </c>
      <c r="D735" s="831">
        <v>66.14</v>
      </c>
      <c r="E735" s="831">
        <v>74.142499999999998</v>
      </c>
      <c r="F735" s="832">
        <v>56.89</v>
      </c>
      <c r="G735" s="832">
        <v>10.6983852747691</v>
      </c>
      <c r="H735" s="831">
        <v>310.75</v>
      </c>
      <c r="I735" s="832">
        <v>57.75</v>
      </c>
      <c r="J735" s="832">
        <v>3370.29</v>
      </c>
      <c r="K735" s="832">
        <v>9732.7430000000004</v>
      </c>
    </row>
    <row r="736" spans="2:11">
      <c r="B736" s="805" t="str">
        <f t="shared" si="16"/>
        <v>Mon</v>
      </c>
      <c r="C736" s="825">
        <v>43878</v>
      </c>
      <c r="D736" s="831">
        <v>67.27</v>
      </c>
      <c r="E736" s="831">
        <v>72.447500000000005</v>
      </c>
      <c r="F736" s="832">
        <v>55.31</v>
      </c>
      <c r="G736" s="832">
        <v>11.046685994201701</v>
      </c>
      <c r="H736" s="831">
        <v>317.77</v>
      </c>
      <c r="I736" s="832">
        <v>58.5</v>
      </c>
      <c r="J736" s="832">
        <v>3380.16</v>
      </c>
      <c r="K736" s="832">
        <v>9731.1759999999995</v>
      </c>
    </row>
    <row r="737" spans="2:11">
      <c r="B737" s="805" t="str">
        <f t="shared" si="16"/>
        <v>Sun</v>
      </c>
      <c r="C737" s="825">
        <v>43877</v>
      </c>
      <c r="D737" s="831">
        <v>67.27</v>
      </c>
      <c r="E737" s="831">
        <v>72.447500000000005</v>
      </c>
      <c r="F737" s="832">
        <v>55.31</v>
      </c>
      <c r="G737" s="832">
        <v>11.1577404742872</v>
      </c>
      <c r="H737" s="831">
        <v>317.77</v>
      </c>
      <c r="I737" s="832">
        <v>58.5</v>
      </c>
      <c r="J737" s="832">
        <v>3380.16</v>
      </c>
      <c r="K737" s="832">
        <v>9731.1759999999995</v>
      </c>
    </row>
    <row r="738" spans="2:11">
      <c r="B738" s="805" t="str">
        <f t="shared" si="16"/>
        <v>Sat</v>
      </c>
      <c r="C738" s="825">
        <v>43876</v>
      </c>
      <c r="D738" s="831">
        <v>67.27</v>
      </c>
      <c r="E738" s="831">
        <v>72.447500000000005</v>
      </c>
      <c r="F738" s="832">
        <v>55.31</v>
      </c>
      <c r="G738" s="832">
        <v>11.1577404742872</v>
      </c>
      <c r="H738" s="831">
        <v>317.77</v>
      </c>
      <c r="I738" s="832">
        <v>58.5</v>
      </c>
      <c r="J738" s="832">
        <v>3380.16</v>
      </c>
      <c r="K738" s="832">
        <v>9731.1759999999995</v>
      </c>
    </row>
    <row r="739" spans="2:11">
      <c r="B739" s="805" t="str">
        <f t="shared" si="16"/>
        <v>Fri</v>
      </c>
      <c r="C739" s="825">
        <v>43875</v>
      </c>
      <c r="D739" s="831">
        <v>67.27</v>
      </c>
      <c r="E739" s="831">
        <v>72.447500000000005</v>
      </c>
      <c r="F739" s="832">
        <v>55.31</v>
      </c>
      <c r="G739" s="832">
        <v>11.1577404742872</v>
      </c>
      <c r="H739" s="831">
        <v>317.77</v>
      </c>
      <c r="I739" s="832">
        <v>58.5</v>
      </c>
      <c r="J739" s="832">
        <v>3380.16</v>
      </c>
      <c r="K739" s="832">
        <v>9731.1759999999995</v>
      </c>
    </row>
    <row r="740" spans="2:11">
      <c r="B740" s="805" t="str">
        <f t="shared" si="16"/>
        <v>Thu</v>
      </c>
      <c r="C740" s="825">
        <v>43874</v>
      </c>
      <c r="D740" s="831">
        <v>67.44</v>
      </c>
      <c r="E740" s="831">
        <v>67.694999999999993</v>
      </c>
      <c r="F740" s="832">
        <v>54.53</v>
      </c>
      <c r="G740" s="832">
        <v>11.1674111607441</v>
      </c>
      <c r="H740" s="831">
        <v>323.97000000000003</v>
      </c>
      <c r="I740" s="832">
        <v>59.33</v>
      </c>
      <c r="J740" s="832">
        <v>3373.94</v>
      </c>
      <c r="K740" s="832">
        <v>9711.9680000000008</v>
      </c>
    </row>
    <row r="741" spans="2:11">
      <c r="B741" s="805" t="str">
        <f t="shared" si="16"/>
        <v>Wed</v>
      </c>
      <c r="C741" s="825">
        <v>43873</v>
      </c>
      <c r="D741" s="831">
        <v>67.459999999999994</v>
      </c>
      <c r="E741" s="831">
        <v>68.135000000000005</v>
      </c>
      <c r="F741" s="832">
        <v>53.89</v>
      </c>
      <c r="G741" s="832">
        <v>11.1737433708015</v>
      </c>
      <c r="H741" s="831">
        <v>324.7</v>
      </c>
      <c r="I741" s="832">
        <v>59.27</v>
      </c>
      <c r="J741" s="832">
        <v>3379.45</v>
      </c>
      <c r="K741" s="832">
        <v>9725.9619999999995</v>
      </c>
    </row>
    <row r="742" spans="2:11">
      <c r="B742" s="805" t="str">
        <f t="shared" si="16"/>
        <v>Tue</v>
      </c>
      <c r="C742" s="825">
        <v>43872</v>
      </c>
      <c r="D742" s="831">
        <v>67.41</v>
      </c>
      <c r="E742" s="831">
        <v>66.972499999999997</v>
      </c>
      <c r="F742" s="832">
        <v>53.8</v>
      </c>
      <c r="G742" s="832">
        <v>11.041902604756499</v>
      </c>
      <c r="H742" s="831">
        <v>320.16000000000003</v>
      </c>
      <c r="I742" s="832">
        <v>57.25</v>
      </c>
      <c r="J742" s="832">
        <v>3357.75</v>
      </c>
      <c r="K742" s="832">
        <v>9638.9419999999991</v>
      </c>
    </row>
    <row r="743" spans="2:11">
      <c r="B743" s="805" t="str">
        <f t="shared" si="16"/>
        <v>Mon</v>
      </c>
      <c r="C743" s="825">
        <v>43871</v>
      </c>
      <c r="D743" s="831">
        <v>66.39</v>
      </c>
      <c r="E743" s="831">
        <v>65.742500000000007</v>
      </c>
      <c r="F743" s="832">
        <v>52.26</v>
      </c>
      <c r="G743" s="832">
        <v>10.885823500083101</v>
      </c>
      <c r="H743" s="831">
        <v>314.2</v>
      </c>
      <c r="I743" s="832">
        <v>57.33</v>
      </c>
      <c r="J743" s="832">
        <v>3352.09</v>
      </c>
      <c r="K743" s="832">
        <v>9628.3889999999992</v>
      </c>
    </row>
    <row r="744" spans="2:11">
      <c r="B744" s="805" t="str">
        <f t="shared" si="16"/>
        <v>Sun</v>
      </c>
      <c r="C744" s="825">
        <v>43870</v>
      </c>
      <c r="D744" s="831">
        <v>66.02</v>
      </c>
      <c r="E744" s="831">
        <v>62.897500000000001</v>
      </c>
      <c r="F744" s="832">
        <v>49.73</v>
      </c>
      <c r="G744" s="832">
        <v>10.872087241870799</v>
      </c>
      <c r="H744" s="831">
        <v>315.23</v>
      </c>
      <c r="I744" s="832">
        <v>56.88</v>
      </c>
      <c r="J744" s="832">
        <v>3327.71</v>
      </c>
      <c r="K744" s="832">
        <v>9520.5120000000006</v>
      </c>
    </row>
    <row r="745" spans="2:11">
      <c r="B745" s="805" t="str">
        <f t="shared" si="16"/>
        <v>Sat</v>
      </c>
      <c r="C745" s="825">
        <v>43869</v>
      </c>
      <c r="D745" s="831">
        <v>66.02</v>
      </c>
      <c r="E745" s="831">
        <v>62.897500000000001</v>
      </c>
      <c r="F745" s="832">
        <v>49.73</v>
      </c>
      <c r="G745" s="832">
        <v>10.872087241870799</v>
      </c>
      <c r="H745" s="831">
        <v>315.23</v>
      </c>
      <c r="I745" s="832">
        <v>56.88</v>
      </c>
      <c r="J745" s="832">
        <v>3327.71</v>
      </c>
      <c r="K745" s="832">
        <v>9520.5120000000006</v>
      </c>
    </row>
    <row r="746" spans="2:11">
      <c r="B746" s="805" t="str">
        <f t="shared" si="16"/>
        <v>Fri</v>
      </c>
      <c r="C746" s="825">
        <v>43868</v>
      </c>
      <c r="D746" s="831">
        <v>66.02</v>
      </c>
      <c r="E746" s="831">
        <v>62.897500000000001</v>
      </c>
      <c r="F746" s="832">
        <v>49.73</v>
      </c>
      <c r="G746" s="832">
        <v>10.872087241870799</v>
      </c>
      <c r="H746" s="831">
        <v>315.23</v>
      </c>
      <c r="I746" s="832">
        <v>56.88</v>
      </c>
      <c r="J746" s="832">
        <v>3327.71</v>
      </c>
      <c r="K746" s="832">
        <v>9520.5120000000006</v>
      </c>
    </row>
    <row r="747" spans="2:11">
      <c r="B747" s="805" t="str">
        <f t="shared" si="16"/>
        <v>Thu</v>
      </c>
      <c r="C747" s="825">
        <v>43867</v>
      </c>
      <c r="D747" s="831">
        <v>67.09</v>
      </c>
      <c r="E747" s="831">
        <v>63.561250000000001</v>
      </c>
      <c r="F747" s="832">
        <v>49.32</v>
      </c>
      <c r="G747" s="832">
        <v>11.057532424343201</v>
      </c>
      <c r="H747" s="831">
        <v>319.69</v>
      </c>
      <c r="I747" s="832">
        <v>58.68</v>
      </c>
      <c r="J747" s="832">
        <v>3345.78</v>
      </c>
      <c r="K747" s="832">
        <v>9572.1540000000005</v>
      </c>
    </row>
    <row r="748" spans="2:11">
      <c r="B748" s="805" t="str">
        <f t="shared" si="16"/>
        <v>Wed</v>
      </c>
      <c r="C748" s="825">
        <v>43866</v>
      </c>
      <c r="D748" s="831">
        <v>67.34</v>
      </c>
      <c r="E748" s="831">
        <v>62.69</v>
      </c>
      <c r="F748" s="832">
        <v>49.84</v>
      </c>
      <c r="G748" s="832">
        <v>10.9108475479744</v>
      </c>
      <c r="H748" s="831">
        <v>317.38</v>
      </c>
      <c r="I748" s="832">
        <v>56.77</v>
      </c>
      <c r="J748" s="832">
        <v>3334.69</v>
      </c>
      <c r="K748" s="832">
        <v>9508.6830000000009</v>
      </c>
    </row>
    <row r="749" spans="2:11">
      <c r="B749" s="805" t="str">
        <f t="shared" si="16"/>
        <v>Tue</v>
      </c>
      <c r="C749" s="825">
        <v>43865</v>
      </c>
      <c r="D749" s="831">
        <v>65.459999999999994</v>
      </c>
      <c r="E749" s="831">
        <v>61.782499999999999</v>
      </c>
      <c r="F749" s="832">
        <v>49.45</v>
      </c>
      <c r="G749" s="832">
        <v>10.8027256107695</v>
      </c>
      <c r="H749" s="831">
        <v>311.60000000000002</v>
      </c>
      <c r="I749" s="832">
        <v>55.5</v>
      </c>
      <c r="J749" s="832">
        <v>3297.59</v>
      </c>
      <c r="K749" s="832">
        <v>9467.9740000000002</v>
      </c>
    </row>
    <row r="750" spans="2:11">
      <c r="B750" s="805" t="str">
        <f t="shared" si="16"/>
        <v>Mon</v>
      </c>
      <c r="C750" s="825">
        <v>43864</v>
      </c>
      <c r="D750" s="831">
        <v>64.42</v>
      </c>
      <c r="E750" s="831">
        <v>60.082500000000003</v>
      </c>
      <c r="F750" s="832">
        <v>48.02</v>
      </c>
      <c r="G750" s="832">
        <v>10.417700168667499</v>
      </c>
      <c r="H750" s="831">
        <v>305.23</v>
      </c>
      <c r="I750" s="832">
        <v>53.78</v>
      </c>
      <c r="J750" s="832">
        <v>3248.92</v>
      </c>
      <c r="K750" s="832">
        <v>9273.402</v>
      </c>
    </row>
    <row r="751" spans="2:11">
      <c r="B751" s="805" t="str">
        <f t="shared" si="16"/>
        <v>Sun</v>
      </c>
      <c r="C751" s="825">
        <v>43863</v>
      </c>
      <c r="D751" s="831">
        <v>63.93</v>
      </c>
      <c r="E751" s="831">
        <v>59.107500000000002</v>
      </c>
      <c r="F751" s="832">
        <v>47</v>
      </c>
      <c r="G751" s="832">
        <v>10.5450471231793</v>
      </c>
      <c r="H751" s="831">
        <v>305.16000000000003</v>
      </c>
      <c r="I751" s="832">
        <v>53.09</v>
      </c>
      <c r="J751" s="832">
        <v>3225.52</v>
      </c>
      <c r="K751" s="832">
        <v>9150.9359999999997</v>
      </c>
    </row>
    <row r="752" spans="2:11">
      <c r="B752" s="805" t="str">
        <f t="shared" si="16"/>
        <v>Sat</v>
      </c>
      <c r="C752" s="825">
        <v>43862</v>
      </c>
      <c r="D752" s="831">
        <v>63.93</v>
      </c>
      <c r="E752" s="831">
        <v>59.107500000000002</v>
      </c>
      <c r="F752" s="832">
        <v>47</v>
      </c>
      <c r="G752" s="832">
        <v>10.5450471231793</v>
      </c>
      <c r="H752" s="831">
        <v>305.16000000000003</v>
      </c>
      <c r="I752" s="832">
        <v>53.09</v>
      </c>
      <c r="J752" s="832">
        <v>3225.52</v>
      </c>
      <c r="K752" s="832">
        <v>9150.9359999999997</v>
      </c>
    </row>
    <row r="753" spans="2:11">
      <c r="B753" s="805" t="str">
        <f t="shared" si="16"/>
        <v>Fri</v>
      </c>
      <c r="C753" s="825">
        <v>43861</v>
      </c>
      <c r="D753" s="831">
        <v>63.93</v>
      </c>
      <c r="E753" s="831">
        <v>59.107500000000002</v>
      </c>
      <c r="F753" s="832">
        <v>47</v>
      </c>
      <c r="G753" s="832">
        <v>10.5450471231793</v>
      </c>
      <c r="H753" s="831">
        <v>305.16000000000003</v>
      </c>
      <c r="I753" s="832">
        <v>53.09</v>
      </c>
      <c r="J753" s="832">
        <v>3225.52</v>
      </c>
      <c r="K753" s="832">
        <v>9150.9359999999997</v>
      </c>
    </row>
    <row r="754" spans="2:11">
      <c r="B754" s="805" t="str">
        <f t="shared" si="16"/>
        <v>Thu</v>
      </c>
      <c r="C754" s="825">
        <v>43860</v>
      </c>
      <c r="D754" s="831">
        <v>66.47</v>
      </c>
      <c r="E754" s="831">
        <v>61.452500000000001</v>
      </c>
      <c r="F754" s="832">
        <v>48.78</v>
      </c>
      <c r="G754" s="832">
        <v>10.462809917355401</v>
      </c>
      <c r="H754" s="831">
        <v>315.2</v>
      </c>
      <c r="I754" s="832">
        <v>55.03</v>
      </c>
      <c r="J754" s="832">
        <v>3283.66</v>
      </c>
      <c r="K754" s="832">
        <v>9298.9339999999993</v>
      </c>
    </row>
    <row r="755" spans="2:11">
      <c r="B755" s="805" t="str">
        <f t="shared" si="16"/>
        <v>Wed</v>
      </c>
      <c r="C755" s="825">
        <v>43859</v>
      </c>
      <c r="D755" s="831">
        <v>66.33</v>
      </c>
      <c r="E755" s="831">
        <v>61.384999999999998</v>
      </c>
      <c r="F755" s="832">
        <v>47.51</v>
      </c>
      <c r="G755" s="832">
        <v>11.1170461374107</v>
      </c>
      <c r="H755" s="831">
        <v>317.51</v>
      </c>
      <c r="I755" s="832">
        <v>55.3</v>
      </c>
      <c r="J755" s="832">
        <v>3273.4</v>
      </c>
      <c r="K755" s="832">
        <v>9275.1640000000007</v>
      </c>
    </row>
    <row r="756" spans="2:11">
      <c r="B756" s="805" t="str">
        <f t="shared" si="16"/>
        <v>Tue</v>
      </c>
      <c r="C756" s="825">
        <v>43858</v>
      </c>
      <c r="D756" s="831">
        <v>67.31</v>
      </c>
      <c r="E756" s="831">
        <v>61.9925</v>
      </c>
      <c r="F756" s="832">
        <v>50.53</v>
      </c>
      <c r="G756" s="832">
        <v>11.1170461374107</v>
      </c>
      <c r="H756" s="831">
        <v>318.31</v>
      </c>
      <c r="I756" s="832">
        <v>56.47</v>
      </c>
      <c r="J756" s="832">
        <v>3276.24</v>
      </c>
      <c r="K756" s="832">
        <v>9269.6810000000005</v>
      </c>
    </row>
    <row r="757" spans="2:11">
      <c r="B757" s="805" t="str">
        <f t="shared" si="16"/>
        <v>Mon</v>
      </c>
      <c r="C757" s="825">
        <v>43857</v>
      </c>
      <c r="D757" s="831">
        <v>65.69</v>
      </c>
      <c r="E757" s="831">
        <v>60.05</v>
      </c>
      <c r="F757" s="832">
        <v>49.26</v>
      </c>
      <c r="G757" s="832">
        <v>11.1170461374107</v>
      </c>
      <c r="H757" s="831">
        <v>309.02999999999997</v>
      </c>
      <c r="I757" s="832">
        <v>55.41</v>
      </c>
      <c r="J757" s="832">
        <v>3243.63</v>
      </c>
      <c r="K757" s="832">
        <v>9139.31</v>
      </c>
    </row>
    <row r="758" spans="2:11">
      <c r="B758" s="805" t="str">
        <f t="shared" si="16"/>
        <v>Sun</v>
      </c>
      <c r="C758" s="825">
        <v>43856</v>
      </c>
      <c r="D758" s="831">
        <v>68.47</v>
      </c>
      <c r="E758" s="831">
        <v>62.62</v>
      </c>
      <c r="F758" s="832">
        <v>50.35</v>
      </c>
      <c r="G758" s="832">
        <v>11.1170461374107</v>
      </c>
      <c r="H758" s="831">
        <v>324</v>
      </c>
      <c r="I758" s="832">
        <v>57.76</v>
      </c>
      <c r="J758" s="832">
        <v>3295.47</v>
      </c>
      <c r="K758" s="832">
        <v>9314.9110000000001</v>
      </c>
    </row>
    <row r="759" spans="2:11">
      <c r="B759" s="805" t="str">
        <f t="shared" si="16"/>
        <v>Sat</v>
      </c>
      <c r="C759" s="825">
        <v>43855</v>
      </c>
      <c r="D759" s="831">
        <v>68.47</v>
      </c>
      <c r="E759" s="831">
        <v>62.62</v>
      </c>
      <c r="F759" s="832">
        <v>50.35</v>
      </c>
      <c r="G759" s="832">
        <v>11.1170461374107</v>
      </c>
      <c r="H759" s="831">
        <v>324</v>
      </c>
      <c r="I759" s="832">
        <v>57.76</v>
      </c>
      <c r="J759" s="832">
        <v>3295.47</v>
      </c>
      <c r="K759" s="832">
        <v>9314.9110000000001</v>
      </c>
    </row>
    <row r="760" spans="2:11">
      <c r="B760" s="805" t="str">
        <f t="shared" si="16"/>
        <v>Fri</v>
      </c>
      <c r="C760" s="825">
        <v>43854</v>
      </c>
      <c r="D760" s="831">
        <v>68.47</v>
      </c>
      <c r="E760" s="831">
        <v>62.62</v>
      </c>
      <c r="F760" s="832">
        <v>50.35</v>
      </c>
      <c r="G760" s="832">
        <v>11.1170461374107</v>
      </c>
      <c r="H760" s="831">
        <v>324</v>
      </c>
      <c r="I760" s="832">
        <v>57.76</v>
      </c>
      <c r="J760" s="832">
        <v>3295.47</v>
      </c>
      <c r="K760" s="832">
        <v>9314.9110000000001</v>
      </c>
    </row>
    <row r="761" spans="2:11">
      <c r="B761" s="805" t="str">
        <f t="shared" si="16"/>
        <v>Thu</v>
      </c>
      <c r="C761" s="825">
        <v>43853</v>
      </c>
      <c r="D761" s="831">
        <v>63.32</v>
      </c>
      <c r="E761" s="831">
        <v>63.215000000000003</v>
      </c>
      <c r="F761" s="832">
        <v>51.71</v>
      </c>
      <c r="G761" s="832">
        <v>11.1170461374107</v>
      </c>
      <c r="H761" s="831">
        <v>319.64999999999998</v>
      </c>
      <c r="I761" s="832">
        <v>59.2</v>
      </c>
      <c r="J761" s="832">
        <v>3325.54</v>
      </c>
      <c r="K761" s="832">
        <v>9402.4779999999992</v>
      </c>
    </row>
    <row r="762" spans="2:11">
      <c r="B762" s="805" t="str">
        <f t="shared" si="16"/>
        <v>Wed</v>
      </c>
      <c r="C762" s="825">
        <v>43852</v>
      </c>
      <c r="D762" s="831">
        <v>62.73</v>
      </c>
      <c r="E762" s="831">
        <v>62.512500000000003</v>
      </c>
      <c r="F762" s="832">
        <v>51.43</v>
      </c>
      <c r="G762" s="832">
        <v>11.1170461374107</v>
      </c>
      <c r="H762" s="831">
        <v>312.88</v>
      </c>
      <c r="I762" s="832">
        <v>59.17</v>
      </c>
      <c r="J762" s="832">
        <v>3321.75</v>
      </c>
      <c r="K762" s="832">
        <v>9383.768</v>
      </c>
    </row>
    <row r="763" spans="2:11">
      <c r="B763" s="805" t="str">
        <f t="shared" si="16"/>
        <v>Tue</v>
      </c>
      <c r="C763" s="825">
        <v>43851</v>
      </c>
      <c r="D763" s="831">
        <v>60.55</v>
      </c>
      <c r="E763" s="831">
        <v>61.984999999999999</v>
      </c>
      <c r="F763" s="832">
        <v>51.05</v>
      </c>
      <c r="G763" s="832">
        <v>11.1170461374107</v>
      </c>
      <c r="H763" s="831">
        <v>308.07</v>
      </c>
      <c r="I763" s="832">
        <v>58.97</v>
      </c>
      <c r="J763" s="832">
        <v>3320.79</v>
      </c>
      <c r="K763" s="832">
        <v>9370.8070000000007</v>
      </c>
    </row>
    <row r="764" spans="2:11">
      <c r="B764" s="805" t="str">
        <f t="shared" si="16"/>
        <v>Mon</v>
      </c>
      <c r="C764" s="825">
        <v>43850</v>
      </c>
      <c r="D764" s="831">
        <v>59.6</v>
      </c>
      <c r="E764" s="831">
        <v>62.32</v>
      </c>
      <c r="F764" s="832">
        <v>50.93</v>
      </c>
      <c r="G764" s="832">
        <v>11.1170461374107</v>
      </c>
      <c r="H764" s="831">
        <v>308.79000000000002</v>
      </c>
      <c r="I764" s="832">
        <v>57.66</v>
      </c>
      <c r="J764" s="832">
        <v>3329.62</v>
      </c>
      <c r="K764" s="832">
        <v>9388.9439999999995</v>
      </c>
    </row>
    <row r="765" spans="2:11">
      <c r="B765" s="805" t="str">
        <f t="shared" si="16"/>
        <v>Sun</v>
      </c>
      <c r="C765" s="825">
        <v>43849</v>
      </c>
      <c r="D765" s="831">
        <v>59.6</v>
      </c>
      <c r="E765" s="831">
        <v>62.32</v>
      </c>
      <c r="F765" s="832">
        <v>50.93</v>
      </c>
      <c r="G765" s="832">
        <v>11.1192734072392</v>
      </c>
      <c r="H765" s="831">
        <v>308.79000000000002</v>
      </c>
      <c r="I765" s="832">
        <v>57.66</v>
      </c>
      <c r="J765" s="832">
        <v>3329.62</v>
      </c>
      <c r="K765" s="832">
        <v>9388.9439999999995</v>
      </c>
    </row>
    <row r="766" spans="2:11">
      <c r="B766" s="805" t="str">
        <f t="shared" si="16"/>
        <v>Sat</v>
      </c>
      <c r="C766" s="825">
        <v>43848</v>
      </c>
      <c r="D766" s="831">
        <v>59.6</v>
      </c>
      <c r="E766" s="831">
        <v>62.32</v>
      </c>
      <c r="F766" s="832">
        <v>50.93</v>
      </c>
      <c r="G766" s="832">
        <v>11.1192734072392</v>
      </c>
      <c r="H766" s="831">
        <v>308.79000000000002</v>
      </c>
      <c r="I766" s="832">
        <v>57.66</v>
      </c>
      <c r="J766" s="832">
        <v>3329.62</v>
      </c>
      <c r="K766" s="832">
        <v>9388.9439999999995</v>
      </c>
    </row>
    <row r="767" spans="2:11">
      <c r="B767" s="805" t="str">
        <f t="shared" si="16"/>
        <v>Fri</v>
      </c>
      <c r="C767" s="825">
        <v>43847</v>
      </c>
      <c r="D767" s="831">
        <v>59.6</v>
      </c>
      <c r="E767" s="831">
        <v>62.32</v>
      </c>
      <c r="F767" s="832">
        <v>50.93</v>
      </c>
      <c r="G767" s="832">
        <v>11.1192734072392</v>
      </c>
      <c r="H767" s="831">
        <v>308.79000000000002</v>
      </c>
      <c r="I767" s="832">
        <v>57.66</v>
      </c>
      <c r="J767" s="832">
        <v>3329.62</v>
      </c>
      <c r="K767" s="832">
        <v>9388.9439999999995</v>
      </c>
    </row>
    <row r="768" spans="2:11">
      <c r="B768" s="805" t="str">
        <f t="shared" si="16"/>
        <v>Thu</v>
      </c>
      <c r="C768" s="825">
        <v>43846</v>
      </c>
      <c r="D768" s="831">
        <v>59.66</v>
      </c>
      <c r="E768" s="831">
        <v>62.232500000000002</v>
      </c>
      <c r="F768" s="832">
        <v>49.77</v>
      </c>
      <c r="G768" s="832">
        <v>11.181681430720401</v>
      </c>
      <c r="H768" s="831">
        <v>307.05</v>
      </c>
      <c r="I768" s="832">
        <v>57.68</v>
      </c>
      <c r="J768" s="832">
        <v>3316.81</v>
      </c>
      <c r="K768" s="832">
        <v>9357.1309999999994</v>
      </c>
    </row>
    <row r="769" spans="2:11">
      <c r="B769" s="805" t="str">
        <f t="shared" si="16"/>
        <v>Wed</v>
      </c>
      <c r="C769" s="825">
        <v>43845</v>
      </c>
      <c r="D769" s="831">
        <v>58.94</v>
      </c>
      <c r="E769" s="831">
        <v>61.392499999999998</v>
      </c>
      <c r="F769" s="832">
        <v>48.545000000000002</v>
      </c>
      <c r="G769" s="832">
        <v>11.3655356844392</v>
      </c>
      <c r="H769" s="831">
        <v>303.14</v>
      </c>
      <c r="I769" s="832">
        <v>56.17</v>
      </c>
      <c r="J769" s="832">
        <v>3289.29</v>
      </c>
      <c r="K769" s="832">
        <v>9258.6949999999997</v>
      </c>
    </row>
    <row r="770" spans="2:11">
      <c r="B770" s="805" t="str">
        <f t="shared" si="16"/>
        <v>Tue</v>
      </c>
      <c r="C770" s="825">
        <v>43844</v>
      </c>
      <c r="D770" s="831">
        <v>59.43</v>
      </c>
      <c r="E770" s="831">
        <v>61.82</v>
      </c>
      <c r="F770" s="832">
        <v>48.21</v>
      </c>
      <c r="G770" s="832">
        <v>11.571519347179001</v>
      </c>
      <c r="H770" s="831">
        <v>308.18</v>
      </c>
      <c r="I770" s="832">
        <v>57.52</v>
      </c>
      <c r="J770" s="832">
        <v>3283.15</v>
      </c>
      <c r="K770" s="832">
        <v>9251.3289999999997</v>
      </c>
    </row>
    <row r="771" spans="2:11">
      <c r="B771" s="805" t="str">
        <f t="shared" si="16"/>
        <v>Mon</v>
      </c>
      <c r="C771" s="825">
        <v>43843</v>
      </c>
      <c r="D771" s="831">
        <v>59.59</v>
      </c>
      <c r="E771" s="831">
        <v>62.994999999999997</v>
      </c>
      <c r="F771" s="832">
        <v>48.744999999999997</v>
      </c>
      <c r="G771" s="832">
        <v>11.432110337439701</v>
      </c>
      <c r="H771" s="831">
        <v>301.18</v>
      </c>
      <c r="I771" s="832">
        <v>57.45</v>
      </c>
      <c r="J771" s="832">
        <v>3288.13</v>
      </c>
      <c r="K771" s="832">
        <v>9273.9320000000007</v>
      </c>
    </row>
    <row r="772" spans="2:11">
      <c r="B772" s="805" t="str">
        <f t="shared" si="16"/>
        <v>Sun</v>
      </c>
      <c r="C772" s="825">
        <v>43842</v>
      </c>
      <c r="D772" s="831">
        <v>58.94</v>
      </c>
      <c r="E772" s="831">
        <v>61.08</v>
      </c>
      <c r="F772" s="832">
        <v>48.164999999999999</v>
      </c>
      <c r="G772" s="832">
        <v>11.3317757009346</v>
      </c>
      <c r="H772" s="831">
        <v>299.22000000000003</v>
      </c>
      <c r="I772" s="832">
        <v>56.67</v>
      </c>
      <c r="J772" s="832">
        <v>3265.35</v>
      </c>
      <c r="K772" s="832">
        <v>9178.8610000000008</v>
      </c>
    </row>
    <row r="773" spans="2:11">
      <c r="B773" s="805" t="str">
        <f t="shared" si="16"/>
        <v>Sat</v>
      </c>
      <c r="C773" s="825">
        <v>43841</v>
      </c>
      <c r="D773" s="831">
        <v>58.94</v>
      </c>
      <c r="E773" s="831">
        <v>61.08</v>
      </c>
      <c r="F773" s="832">
        <v>48.164999999999999</v>
      </c>
      <c r="G773" s="832">
        <v>11.3317757009346</v>
      </c>
      <c r="H773" s="831">
        <v>299.22000000000003</v>
      </c>
      <c r="I773" s="832">
        <v>56.67</v>
      </c>
      <c r="J773" s="832">
        <v>3265.35</v>
      </c>
      <c r="K773" s="832">
        <v>9178.8610000000008</v>
      </c>
    </row>
    <row r="774" spans="2:11">
      <c r="B774" s="805" t="str">
        <f t="shared" si="16"/>
        <v>Fri</v>
      </c>
      <c r="C774" s="825">
        <v>43840</v>
      </c>
      <c r="D774" s="831">
        <v>58.94</v>
      </c>
      <c r="E774" s="831">
        <v>61.08</v>
      </c>
      <c r="F774" s="832">
        <v>48.164999999999999</v>
      </c>
      <c r="G774" s="832">
        <v>11.3317757009346</v>
      </c>
      <c r="H774" s="831">
        <v>299.22000000000003</v>
      </c>
      <c r="I774" s="832">
        <v>56.67</v>
      </c>
      <c r="J774" s="832">
        <v>3265.35</v>
      </c>
      <c r="K774" s="832">
        <v>9178.8610000000008</v>
      </c>
    </row>
    <row r="775" spans="2:11">
      <c r="B775" s="805" t="str">
        <f t="shared" si="16"/>
        <v>Thu</v>
      </c>
      <c r="C775" s="825">
        <v>43839</v>
      </c>
      <c r="D775" s="831">
        <v>59.3</v>
      </c>
      <c r="E775" s="831">
        <v>60.755000000000003</v>
      </c>
      <c r="F775" s="832">
        <v>48.97</v>
      </c>
      <c r="G775" s="832">
        <v>11.2620128136679</v>
      </c>
      <c r="H775" s="831">
        <v>306.26</v>
      </c>
      <c r="I775" s="832">
        <v>57.31</v>
      </c>
      <c r="J775" s="832">
        <v>3274.7</v>
      </c>
      <c r="K775" s="832">
        <v>9203.4259999999995</v>
      </c>
    </row>
    <row r="776" spans="2:11">
      <c r="B776" s="805" t="str">
        <f t="shared" ref="B776:B839" si="17">TEXT(C776,"DDD")</f>
        <v>Wed</v>
      </c>
      <c r="C776" s="825">
        <v>43838</v>
      </c>
      <c r="D776" s="831">
        <v>58.97</v>
      </c>
      <c r="E776" s="831">
        <v>60.094999999999999</v>
      </c>
      <c r="F776" s="832">
        <v>47.83</v>
      </c>
      <c r="G776" s="832">
        <v>10.9771129693174</v>
      </c>
      <c r="H776" s="831">
        <v>308.74</v>
      </c>
      <c r="I776" s="832">
        <v>57.52</v>
      </c>
      <c r="J776" s="832">
        <v>3253.05</v>
      </c>
      <c r="K776" s="832">
        <v>9129.2420000000002</v>
      </c>
    </row>
    <row r="777" spans="2:11">
      <c r="B777" s="805" t="str">
        <f t="shared" si="17"/>
        <v>Tue</v>
      </c>
      <c r="C777" s="825">
        <v>43837</v>
      </c>
      <c r="D777" s="831">
        <v>58.93</v>
      </c>
      <c r="E777" s="831">
        <v>59.982500000000002</v>
      </c>
      <c r="F777" s="832">
        <v>48.25</v>
      </c>
      <c r="G777" s="832">
        <v>10.9690735377343</v>
      </c>
      <c r="H777" s="831">
        <v>312.64</v>
      </c>
      <c r="I777" s="832">
        <v>58.27</v>
      </c>
      <c r="J777" s="832">
        <v>3237.18</v>
      </c>
      <c r="K777" s="832">
        <v>9068.5810000000001</v>
      </c>
    </row>
    <row r="778" spans="2:11">
      <c r="B778" s="805" t="str">
        <f t="shared" si="17"/>
        <v>Mon</v>
      </c>
      <c r="C778" s="825">
        <v>43836</v>
      </c>
      <c r="D778" s="831">
        <v>59.93</v>
      </c>
      <c r="E778" s="831">
        <v>59.265000000000001</v>
      </c>
      <c r="F778" s="832">
        <v>48.39</v>
      </c>
      <c r="G778" s="832">
        <v>11.0460473782273</v>
      </c>
      <c r="H778" s="831">
        <v>313.72000000000003</v>
      </c>
      <c r="I778" s="832">
        <v>53.564999999999998</v>
      </c>
      <c r="J778" s="832">
        <v>3246.28</v>
      </c>
      <c r="K778" s="832">
        <v>9071.4650000000001</v>
      </c>
    </row>
    <row r="779" spans="2:11">
      <c r="B779" s="805" t="str">
        <f t="shared" si="17"/>
        <v>Sun</v>
      </c>
      <c r="C779" s="825">
        <v>43835</v>
      </c>
      <c r="D779" s="831">
        <v>60.1</v>
      </c>
      <c r="E779" s="831">
        <v>59.017499999999998</v>
      </c>
      <c r="F779" s="832">
        <v>48.6</v>
      </c>
      <c r="G779" s="832">
        <v>11.3000931966449</v>
      </c>
      <c r="H779" s="831">
        <v>314.19</v>
      </c>
      <c r="I779" s="832">
        <v>54.53</v>
      </c>
      <c r="J779" s="832">
        <v>3234.85</v>
      </c>
      <c r="K779" s="832">
        <v>9020.77</v>
      </c>
    </row>
    <row r="780" spans="2:11">
      <c r="B780" s="805" t="str">
        <f t="shared" si="17"/>
        <v>Sat</v>
      </c>
      <c r="C780" s="825">
        <v>43834</v>
      </c>
      <c r="D780" s="831">
        <v>60.1</v>
      </c>
      <c r="E780" s="831">
        <v>59.017499999999998</v>
      </c>
      <c r="F780" s="832">
        <v>48.6</v>
      </c>
      <c r="G780" s="832">
        <v>11.3000931966449</v>
      </c>
      <c r="H780" s="831">
        <v>314.19</v>
      </c>
      <c r="I780" s="832">
        <v>54.53</v>
      </c>
      <c r="J780" s="832">
        <v>3234.85</v>
      </c>
      <c r="K780" s="832">
        <v>9020.77</v>
      </c>
    </row>
    <row r="781" spans="2:11">
      <c r="B781" s="805" t="str">
        <f t="shared" si="17"/>
        <v>Fri</v>
      </c>
      <c r="C781" s="825">
        <v>43833</v>
      </c>
      <c r="D781" s="831">
        <v>60.1</v>
      </c>
      <c r="E781" s="831">
        <v>59.017499999999998</v>
      </c>
      <c r="F781" s="832">
        <v>48.6</v>
      </c>
      <c r="G781" s="832">
        <v>11.3000931966449</v>
      </c>
      <c r="H781" s="831">
        <v>314.19</v>
      </c>
      <c r="I781" s="832">
        <v>54.53</v>
      </c>
      <c r="J781" s="832">
        <v>3234.85</v>
      </c>
      <c r="K781" s="832">
        <v>9020.77</v>
      </c>
    </row>
    <row r="782" spans="2:11">
      <c r="B782" s="805" t="str">
        <f t="shared" si="17"/>
        <v>Thu</v>
      </c>
      <c r="C782" s="825">
        <v>43832</v>
      </c>
      <c r="D782" s="831">
        <v>60.84</v>
      </c>
      <c r="E782" s="831">
        <v>59.977499999999999</v>
      </c>
      <c r="F782" s="832">
        <v>49.1</v>
      </c>
      <c r="G782" s="832">
        <v>11.3048987894754</v>
      </c>
      <c r="H782" s="831">
        <v>322.39</v>
      </c>
      <c r="I782" s="832">
        <v>55.39</v>
      </c>
      <c r="J782" s="832">
        <v>3257.85</v>
      </c>
      <c r="K782" s="832">
        <v>9092.1890000000003</v>
      </c>
    </row>
    <row r="783" spans="2:11">
      <c r="B783" s="805" t="str">
        <f t="shared" si="17"/>
        <v>Wed</v>
      </c>
      <c r="C783" s="825">
        <v>43831</v>
      </c>
      <c r="D783" s="831">
        <v>59.85</v>
      </c>
      <c r="E783" s="831">
        <v>58.825000000000003</v>
      </c>
      <c r="F783" s="832">
        <v>45.86</v>
      </c>
      <c r="G783" s="832">
        <v>11.0669029389147</v>
      </c>
      <c r="H783" s="831">
        <v>316.02</v>
      </c>
      <c r="I783" s="832">
        <v>53.78</v>
      </c>
      <c r="J783" s="832">
        <v>3230.78</v>
      </c>
      <c r="K783" s="832">
        <v>8972.6039999999994</v>
      </c>
    </row>
    <row r="784" spans="2:11">
      <c r="B784" s="805" t="str">
        <f t="shared" si="17"/>
        <v>Tue</v>
      </c>
      <c r="C784" s="825">
        <v>43830</v>
      </c>
      <c r="D784" s="831">
        <v>59.85</v>
      </c>
      <c r="E784" s="831">
        <v>58.825000000000003</v>
      </c>
      <c r="F784" s="832">
        <v>45.86</v>
      </c>
      <c r="G784" s="832">
        <v>11.0669029389147</v>
      </c>
      <c r="H784" s="831">
        <v>316.02</v>
      </c>
      <c r="I784" s="832">
        <v>53.78</v>
      </c>
      <c r="J784" s="832">
        <v>3230.78</v>
      </c>
      <c r="K784" s="832">
        <v>8972.6039999999994</v>
      </c>
    </row>
    <row r="785" spans="2:11">
      <c r="B785" s="805" t="str">
        <f t="shared" si="17"/>
        <v>Mon</v>
      </c>
      <c r="C785" s="825">
        <v>43829</v>
      </c>
      <c r="D785" s="831">
        <v>59.62</v>
      </c>
      <c r="E785" s="831">
        <v>58.08</v>
      </c>
      <c r="F785" s="832">
        <v>45.52</v>
      </c>
      <c r="G785" s="832">
        <v>11.1173889922893</v>
      </c>
      <c r="H785" s="831">
        <v>313.45999999999998</v>
      </c>
      <c r="I785" s="832">
        <v>53.21</v>
      </c>
      <c r="J785" s="832">
        <v>3221.29</v>
      </c>
      <c r="K785" s="832">
        <v>8945.9940000000006</v>
      </c>
    </row>
    <row r="786" spans="2:11">
      <c r="B786" s="805" t="str">
        <f t="shared" si="17"/>
        <v>Sun</v>
      </c>
      <c r="C786" s="825">
        <v>43828</v>
      </c>
      <c r="D786" s="831">
        <v>60.08</v>
      </c>
      <c r="E786" s="831">
        <v>59.217500000000001</v>
      </c>
      <c r="F786" s="832">
        <v>46.18</v>
      </c>
      <c r="G786" s="832">
        <v>11.2355815576904</v>
      </c>
      <c r="H786" s="831">
        <v>316.52999999999997</v>
      </c>
      <c r="I786" s="832">
        <v>54.03</v>
      </c>
      <c r="J786" s="832">
        <v>3240.02</v>
      </c>
      <c r="K786" s="832">
        <v>9006.6170000000002</v>
      </c>
    </row>
    <row r="787" spans="2:11">
      <c r="B787" s="805" t="str">
        <f t="shared" si="17"/>
        <v>Sat</v>
      </c>
      <c r="C787" s="825">
        <v>43827</v>
      </c>
      <c r="D787" s="831">
        <v>60.08</v>
      </c>
      <c r="E787" s="831">
        <v>59.217500000000001</v>
      </c>
      <c r="F787" s="832">
        <v>46.18</v>
      </c>
      <c r="G787" s="832">
        <v>11.2355815576904</v>
      </c>
      <c r="H787" s="831">
        <v>316.52999999999997</v>
      </c>
      <c r="I787" s="832">
        <v>54.03</v>
      </c>
      <c r="J787" s="832">
        <v>3240.02</v>
      </c>
      <c r="K787" s="832">
        <v>9006.6170000000002</v>
      </c>
    </row>
    <row r="788" spans="2:11">
      <c r="B788" s="805" t="str">
        <f t="shared" si="17"/>
        <v>Fri</v>
      </c>
      <c r="C788" s="825">
        <v>43826</v>
      </c>
      <c r="D788" s="831">
        <v>60.08</v>
      </c>
      <c r="E788" s="831">
        <v>59.217500000000001</v>
      </c>
      <c r="F788" s="832">
        <v>46.18</v>
      </c>
      <c r="G788" s="832">
        <v>11.2355815576904</v>
      </c>
      <c r="H788" s="831">
        <v>316.52999999999997</v>
      </c>
      <c r="I788" s="832">
        <v>54.03</v>
      </c>
      <c r="J788" s="832">
        <v>3240.02</v>
      </c>
      <c r="K788" s="832">
        <v>9006.6170000000002</v>
      </c>
    </row>
    <row r="789" spans="2:11">
      <c r="B789" s="805" t="str">
        <f t="shared" si="17"/>
        <v>Thu</v>
      </c>
      <c r="C789" s="825">
        <v>43825</v>
      </c>
      <c r="D789" s="831">
        <v>59.82</v>
      </c>
      <c r="E789" s="831">
        <v>59.797499999999999</v>
      </c>
      <c r="F789" s="832">
        <v>46.63</v>
      </c>
      <c r="G789" s="832">
        <v>11.067535229992</v>
      </c>
      <c r="H789" s="831">
        <v>317.98</v>
      </c>
      <c r="I789" s="832">
        <v>55.104999999999997</v>
      </c>
      <c r="J789" s="832">
        <v>3239.91</v>
      </c>
      <c r="K789" s="832">
        <v>9022.3909999999996</v>
      </c>
    </row>
    <row r="790" spans="2:11">
      <c r="B790" s="805" t="str">
        <f t="shared" si="17"/>
        <v>Wed</v>
      </c>
      <c r="C790" s="825">
        <v>43824</v>
      </c>
      <c r="D790" s="831">
        <v>59.41</v>
      </c>
      <c r="E790" s="831">
        <v>59.655000000000001</v>
      </c>
      <c r="F790" s="832">
        <v>46.54</v>
      </c>
      <c r="G790" s="832">
        <v>11.076001995676</v>
      </c>
      <c r="H790" s="831">
        <v>320.5</v>
      </c>
      <c r="I790" s="832">
        <v>55.42</v>
      </c>
      <c r="J790" s="832">
        <v>3223.38</v>
      </c>
      <c r="K790" s="832">
        <v>8952.884</v>
      </c>
    </row>
    <row r="791" spans="2:11">
      <c r="B791" s="805" t="str">
        <f t="shared" si="17"/>
        <v>Tue</v>
      </c>
      <c r="C791" s="825">
        <v>43823</v>
      </c>
      <c r="D791" s="831">
        <v>59.41</v>
      </c>
      <c r="E791" s="831">
        <v>59.655000000000001</v>
      </c>
      <c r="F791" s="832">
        <v>46.54</v>
      </c>
      <c r="G791" s="832">
        <v>11.014531218897201</v>
      </c>
      <c r="H791" s="831">
        <v>320.5</v>
      </c>
      <c r="I791" s="832">
        <v>55.42</v>
      </c>
      <c r="J791" s="832">
        <v>3223.38</v>
      </c>
      <c r="K791" s="832">
        <v>8952.884</v>
      </c>
    </row>
    <row r="792" spans="2:11">
      <c r="B792" s="805" t="str">
        <f t="shared" si="17"/>
        <v>Mon</v>
      </c>
      <c r="C792" s="825">
        <v>43822</v>
      </c>
      <c r="D792" s="831">
        <v>59.23</v>
      </c>
      <c r="E792" s="831">
        <v>59.704999999999998</v>
      </c>
      <c r="F792" s="832">
        <v>45.46</v>
      </c>
      <c r="G792" s="832">
        <v>11.0812514515112</v>
      </c>
      <c r="H792" s="831">
        <v>319.52999999999997</v>
      </c>
      <c r="I792" s="832">
        <v>55.4</v>
      </c>
      <c r="J792" s="832">
        <v>3224.01</v>
      </c>
      <c r="K792" s="832">
        <v>8945.6489999999994</v>
      </c>
    </row>
    <row r="793" spans="2:11">
      <c r="B793" s="805" t="str">
        <f t="shared" si="17"/>
        <v>Sun</v>
      </c>
      <c r="C793" s="825">
        <v>43821</v>
      </c>
      <c r="D793" s="831">
        <v>58.95</v>
      </c>
      <c r="E793" s="831">
        <v>59.842500000000001</v>
      </c>
      <c r="F793" s="832">
        <v>44.15</v>
      </c>
      <c r="G793" s="832">
        <v>10.926239580219899</v>
      </c>
      <c r="H793" s="831">
        <v>319</v>
      </c>
      <c r="I793" s="832">
        <v>55.06</v>
      </c>
      <c r="J793" s="832">
        <v>3221.22</v>
      </c>
      <c r="K793" s="832">
        <v>8924.9549999999999</v>
      </c>
    </row>
    <row r="794" spans="2:11">
      <c r="B794" s="805" t="str">
        <f t="shared" si="17"/>
        <v>Sat</v>
      </c>
      <c r="C794" s="825">
        <v>43820</v>
      </c>
      <c r="D794" s="831">
        <v>58.95</v>
      </c>
      <c r="E794" s="831">
        <v>59.842500000000001</v>
      </c>
      <c r="F794" s="832">
        <v>44.15</v>
      </c>
      <c r="G794" s="832">
        <v>10.926239580219899</v>
      </c>
      <c r="H794" s="831">
        <v>319</v>
      </c>
      <c r="I794" s="832">
        <v>55.06</v>
      </c>
      <c r="J794" s="832">
        <v>3221.22</v>
      </c>
      <c r="K794" s="832">
        <v>8924.9549999999999</v>
      </c>
    </row>
    <row r="795" spans="2:11">
      <c r="B795" s="805" t="str">
        <f t="shared" si="17"/>
        <v>Fri</v>
      </c>
      <c r="C795" s="825">
        <v>43819</v>
      </c>
      <c r="D795" s="831">
        <v>58.95</v>
      </c>
      <c r="E795" s="831">
        <v>59.842500000000001</v>
      </c>
      <c r="F795" s="832">
        <v>44.15</v>
      </c>
      <c r="G795" s="832">
        <v>10.926239580219899</v>
      </c>
      <c r="H795" s="831">
        <v>319</v>
      </c>
      <c r="I795" s="832">
        <v>55.06</v>
      </c>
      <c r="J795" s="832">
        <v>3221.22</v>
      </c>
      <c r="K795" s="832">
        <v>8924.9549999999999</v>
      </c>
    </row>
    <row r="796" spans="2:11">
      <c r="B796" s="805" t="str">
        <f t="shared" si="17"/>
        <v>Thu</v>
      </c>
      <c r="C796" s="825">
        <v>43818</v>
      </c>
      <c r="D796" s="831">
        <v>57.96</v>
      </c>
      <c r="E796" s="831">
        <v>58.865000000000002</v>
      </c>
      <c r="F796" s="832">
        <v>42.83</v>
      </c>
      <c r="G796" s="832">
        <v>11.109637195728601</v>
      </c>
      <c r="H796" s="831">
        <v>324.10000000000002</v>
      </c>
      <c r="I796" s="832">
        <v>54.53</v>
      </c>
      <c r="J796" s="832">
        <v>3205.37</v>
      </c>
      <c r="K796" s="832">
        <v>8887.2180000000008</v>
      </c>
    </row>
    <row r="797" spans="2:11">
      <c r="B797" s="805" t="str">
        <f t="shared" si="17"/>
        <v>Wed</v>
      </c>
      <c r="C797" s="825">
        <v>43817</v>
      </c>
      <c r="D797" s="831">
        <v>57.17</v>
      </c>
      <c r="E797" s="831">
        <v>57.377499999999998</v>
      </c>
      <c r="F797" s="832">
        <v>42.3</v>
      </c>
      <c r="G797" s="832">
        <v>11.425823355775901</v>
      </c>
      <c r="H797" s="831">
        <v>327.44</v>
      </c>
      <c r="I797" s="832">
        <v>53.04</v>
      </c>
      <c r="J797" s="832">
        <v>3191.14</v>
      </c>
      <c r="K797" s="832">
        <v>8827.7350000000006</v>
      </c>
    </row>
    <row r="798" spans="2:11">
      <c r="B798" s="805" t="str">
        <f t="shared" si="17"/>
        <v>Tue</v>
      </c>
      <c r="C798" s="825">
        <v>43816</v>
      </c>
      <c r="D798" s="831">
        <v>57.3</v>
      </c>
      <c r="E798" s="831">
        <v>57.072499999999998</v>
      </c>
      <c r="F798" s="832">
        <v>42.77</v>
      </c>
      <c r="G798" s="832">
        <v>11.4446840272019</v>
      </c>
      <c r="H798" s="831">
        <v>323.8</v>
      </c>
      <c r="I798" s="832">
        <v>53</v>
      </c>
      <c r="J798" s="832">
        <v>3192.52</v>
      </c>
      <c r="K798" s="832">
        <v>8823.357</v>
      </c>
    </row>
    <row r="799" spans="2:11">
      <c r="B799" s="805" t="str">
        <f t="shared" si="17"/>
        <v>Mon</v>
      </c>
      <c r="C799" s="825">
        <v>43815</v>
      </c>
      <c r="D799" s="831">
        <v>57.7</v>
      </c>
      <c r="E799" s="831">
        <v>56.287500000000001</v>
      </c>
      <c r="F799" s="832">
        <v>42.35</v>
      </c>
      <c r="G799" s="832">
        <v>11.1613074674462</v>
      </c>
      <c r="H799" s="831">
        <v>323.13</v>
      </c>
      <c r="I799" s="832">
        <v>52.94</v>
      </c>
      <c r="J799" s="832">
        <v>3191.45</v>
      </c>
      <c r="K799" s="832">
        <v>8814.2270000000008</v>
      </c>
    </row>
    <row r="800" spans="2:11">
      <c r="B800" s="805" t="str">
        <f t="shared" si="17"/>
        <v>Sun</v>
      </c>
      <c r="C800" s="825">
        <v>43814</v>
      </c>
      <c r="D800" s="831">
        <v>57.79</v>
      </c>
      <c r="E800" s="831">
        <v>55.997500000000002</v>
      </c>
      <c r="F800" s="832">
        <v>41.15</v>
      </c>
      <c r="G800" s="832">
        <v>11.2184790522205</v>
      </c>
      <c r="H800" s="831">
        <v>315.42</v>
      </c>
      <c r="I800" s="832">
        <v>51.2</v>
      </c>
      <c r="J800" s="832">
        <v>3168.8</v>
      </c>
      <c r="K800" s="832">
        <v>8734.8790000000008</v>
      </c>
    </row>
    <row r="801" spans="2:11">
      <c r="B801" s="805" t="str">
        <f t="shared" si="17"/>
        <v>Sat</v>
      </c>
      <c r="C801" s="825">
        <v>43813</v>
      </c>
      <c r="D801" s="831">
        <v>57.79</v>
      </c>
      <c r="E801" s="831">
        <v>55.997500000000002</v>
      </c>
      <c r="F801" s="832">
        <v>41.15</v>
      </c>
      <c r="G801" s="832">
        <v>11.2184790522205</v>
      </c>
      <c r="H801" s="831">
        <v>315.42</v>
      </c>
      <c r="I801" s="832">
        <v>51.2</v>
      </c>
      <c r="J801" s="832">
        <v>3168.8</v>
      </c>
      <c r="K801" s="832">
        <v>8734.8790000000008</v>
      </c>
    </row>
    <row r="802" spans="2:11">
      <c r="B802" s="805" t="str">
        <f t="shared" si="17"/>
        <v>Fri</v>
      </c>
      <c r="C802" s="825">
        <v>43812</v>
      </c>
      <c r="D802" s="831">
        <v>57.79</v>
      </c>
      <c r="E802" s="831">
        <v>55.997500000000002</v>
      </c>
      <c r="F802" s="832">
        <v>41.15</v>
      </c>
      <c r="G802" s="832">
        <v>11.2184790522205</v>
      </c>
      <c r="H802" s="831">
        <v>315.42</v>
      </c>
      <c r="I802" s="832">
        <v>51.2</v>
      </c>
      <c r="J802" s="832">
        <v>3168.8</v>
      </c>
      <c r="K802" s="832">
        <v>8734.8790000000008</v>
      </c>
    </row>
    <row r="803" spans="2:11">
      <c r="B803" s="805" t="str">
        <f t="shared" si="17"/>
        <v>Thu</v>
      </c>
      <c r="C803" s="825">
        <v>43811</v>
      </c>
      <c r="D803" s="831">
        <v>57.55</v>
      </c>
      <c r="E803" s="831">
        <v>56.017499999999998</v>
      </c>
      <c r="F803" s="832">
        <v>42.59</v>
      </c>
      <c r="G803" s="832">
        <v>10.9688306531666</v>
      </c>
      <c r="H803" s="831">
        <v>327.8</v>
      </c>
      <c r="I803" s="832">
        <v>50.97</v>
      </c>
      <c r="J803" s="832">
        <v>3168.57</v>
      </c>
      <c r="K803" s="832">
        <v>8717.3179999999993</v>
      </c>
    </row>
    <row r="804" spans="2:11">
      <c r="B804" s="805" t="str">
        <f t="shared" si="17"/>
        <v>Wed</v>
      </c>
      <c r="C804" s="825">
        <v>43810</v>
      </c>
      <c r="D804" s="831">
        <v>57.07</v>
      </c>
      <c r="E804" s="831">
        <v>54.335000000000001</v>
      </c>
      <c r="F804" s="832">
        <v>39.47</v>
      </c>
      <c r="G804" s="832">
        <v>10.4896254644701</v>
      </c>
      <c r="H804" s="831">
        <v>319.72000000000003</v>
      </c>
      <c r="I804" s="832">
        <v>49.26</v>
      </c>
      <c r="J804" s="832">
        <v>3141.63</v>
      </c>
      <c r="K804" s="832">
        <v>8654.0509999999995</v>
      </c>
    </row>
    <row r="805" spans="2:11">
      <c r="B805" s="805" t="str">
        <f t="shared" si="17"/>
        <v>Tue</v>
      </c>
      <c r="C805" s="825">
        <v>43809</v>
      </c>
      <c r="D805" s="831">
        <v>56.59</v>
      </c>
      <c r="E805" s="831">
        <v>53.494999999999997</v>
      </c>
      <c r="F805" s="832">
        <v>39.44</v>
      </c>
      <c r="G805" s="832">
        <v>10.297595585337</v>
      </c>
      <c r="H805" s="831">
        <v>315.06</v>
      </c>
      <c r="I805" s="832">
        <v>47.46</v>
      </c>
      <c r="J805" s="832">
        <v>3132.52</v>
      </c>
      <c r="K805" s="832">
        <v>8616.1830000000009</v>
      </c>
    </row>
    <row r="806" spans="2:11">
      <c r="B806" s="805" t="str">
        <f t="shared" si="17"/>
        <v>Mon</v>
      </c>
      <c r="C806" s="825">
        <v>43808</v>
      </c>
      <c r="D806" s="831">
        <v>56.53</v>
      </c>
      <c r="E806" s="831">
        <v>53.042499999999997</v>
      </c>
      <c r="F806" s="832">
        <v>38.93</v>
      </c>
      <c r="G806" s="832">
        <v>10.3728991596639</v>
      </c>
      <c r="H806" s="831">
        <v>314.38</v>
      </c>
      <c r="I806" s="832">
        <v>46.45</v>
      </c>
      <c r="J806" s="832">
        <v>3135.96</v>
      </c>
      <c r="K806" s="832">
        <v>8621.8269999999993</v>
      </c>
    </row>
    <row r="807" spans="2:11">
      <c r="B807" s="805" t="str">
        <f t="shared" si="17"/>
        <v>Sun</v>
      </c>
      <c r="C807" s="825">
        <v>43807</v>
      </c>
      <c r="D807" s="831">
        <v>56.81</v>
      </c>
      <c r="E807" s="831">
        <v>53.042499999999997</v>
      </c>
      <c r="F807" s="832">
        <v>39.630000000000003</v>
      </c>
      <c r="G807" s="832">
        <v>10.288606929196</v>
      </c>
      <c r="H807" s="831">
        <v>316.05</v>
      </c>
      <c r="I807" s="832">
        <v>47.93</v>
      </c>
      <c r="J807" s="832">
        <v>3145.91</v>
      </c>
      <c r="K807" s="832">
        <v>8656.5290000000005</v>
      </c>
    </row>
    <row r="808" spans="2:11">
      <c r="B808" s="805" t="str">
        <f t="shared" si="17"/>
        <v>Sat</v>
      </c>
      <c r="C808" s="825">
        <v>43806</v>
      </c>
      <c r="D808" s="831">
        <v>56.81</v>
      </c>
      <c r="E808" s="831">
        <v>53.042499999999997</v>
      </c>
      <c r="F808" s="832">
        <v>39.630000000000003</v>
      </c>
      <c r="G808" s="832">
        <v>10.288606929196</v>
      </c>
      <c r="H808" s="831">
        <v>316.05</v>
      </c>
      <c r="I808" s="832">
        <v>47.93</v>
      </c>
      <c r="J808" s="832">
        <v>3145.91</v>
      </c>
      <c r="K808" s="832">
        <v>8656.5290000000005</v>
      </c>
    </row>
    <row r="809" spans="2:11">
      <c r="B809" s="805" t="str">
        <f t="shared" si="17"/>
        <v>Fri</v>
      </c>
      <c r="C809" s="825">
        <v>43805</v>
      </c>
      <c r="D809" s="831">
        <v>56.81</v>
      </c>
      <c r="E809" s="831">
        <v>53.042499999999997</v>
      </c>
      <c r="F809" s="832">
        <v>39.630000000000003</v>
      </c>
      <c r="G809" s="832">
        <v>10.288606929196</v>
      </c>
      <c r="H809" s="831">
        <v>316.05</v>
      </c>
      <c r="I809" s="832">
        <v>47.93</v>
      </c>
      <c r="J809" s="832">
        <v>3145.91</v>
      </c>
      <c r="K809" s="832">
        <v>8656.5290000000005</v>
      </c>
    </row>
    <row r="810" spans="2:11">
      <c r="B810" s="805" t="str">
        <f t="shared" si="17"/>
        <v>Thu</v>
      </c>
      <c r="C810" s="825">
        <v>43804</v>
      </c>
      <c r="D810" s="831">
        <v>56.08</v>
      </c>
      <c r="E810" s="831">
        <v>52.185000000000002</v>
      </c>
      <c r="F810" s="832">
        <v>39.619999999999997</v>
      </c>
      <c r="G810" s="832">
        <v>10.2415966386555</v>
      </c>
      <c r="H810" s="831">
        <v>311.19</v>
      </c>
      <c r="I810" s="832">
        <v>46.62</v>
      </c>
      <c r="J810" s="832">
        <v>3117.43</v>
      </c>
      <c r="K810" s="832">
        <v>8570.7009999999991</v>
      </c>
    </row>
    <row r="811" spans="2:11">
      <c r="B811" s="805" t="str">
        <f t="shared" si="17"/>
        <v>Wed</v>
      </c>
      <c r="C811" s="825">
        <v>43803</v>
      </c>
      <c r="D811" s="831">
        <v>56.02</v>
      </c>
      <c r="E811" s="831">
        <v>52.354999999999997</v>
      </c>
      <c r="F811" s="832">
        <v>39.69</v>
      </c>
      <c r="G811" s="832">
        <v>10.0446428571429</v>
      </c>
      <c r="H811" s="831">
        <v>309.72000000000003</v>
      </c>
      <c r="I811" s="832">
        <v>46.3</v>
      </c>
      <c r="J811" s="832">
        <v>3112.76</v>
      </c>
      <c r="K811" s="832">
        <v>8566.6720000000005</v>
      </c>
    </row>
    <row r="812" spans="2:11">
      <c r="B812" s="805" t="str">
        <f t="shared" si="17"/>
        <v>Tue</v>
      </c>
      <c r="C812" s="825">
        <v>43802</v>
      </c>
      <c r="D812" s="831">
        <v>56.07</v>
      </c>
      <c r="E812" s="831">
        <v>51.914999999999999</v>
      </c>
      <c r="F812" s="832">
        <v>38.9</v>
      </c>
      <c r="G812" s="832">
        <v>10.0672241351041</v>
      </c>
      <c r="H812" s="831">
        <v>306.52</v>
      </c>
      <c r="I812" s="832">
        <v>45.23</v>
      </c>
      <c r="J812" s="832">
        <v>3093.2</v>
      </c>
      <c r="K812" s="832">
        <v>8520.643</v>
      </c>
    </row>
    <row r="813" spans="2:11">
      <c r="B813" s="805" t="str">
        <f t="shared" si="17"/>
        <v>Mon</v>
      </c>
      <c r="C813" s="825">
        <v>43801</v>
      </c>
      <c r="D813" s="831">
        <v>57.66</v>
      </c>
      <c r="E813" s="831">
        <v>52.3125</v>
      </c>
      <c r="F813" s="832">
        <v>38.729999999999997</v>
      </c>
      <c r="G813" s="832">
        <v>10.0859354500131</v>
      </c>
      <c r="H813" s="831">
        <v>310.72000000000003</v>
      </c>
      <c r="I813" s="832">
        <v>46.39</v>
      </c>
      <c r="J813" s="832">
        <v>3113.87</v>
      </c>
      <c r="K813" s="832">
        <v>8567.9869999999992</v>
      </c>
    </row>
    <row r="814" spans="2:11">
      <c r="B814" s="805" t="str">
        <f t="shared" si="17"/>
        <v>Sun</v>
      </c>
      <c r="C814" s="825">
        <v>43800</v>
      </c>
      <c r="D814" s="831">
        <v>58.05</v>
      </c>
      <c r="E814" s="831">
        <v>54.185000000000002</v>
      </c>
      <c r="F814" s="832">
        <v>39.15</v>
      </c>
      <c r="G814" s="832">
        <v>9.9954119420593806</v>
      </c>
      <c r="H814" s="831">
        <v>316.20999999999998</v>
      </c>
      <c r="I814" s="832">
        <v>47.51</v>
      </c>
      <c r="J814" s="832">
        <v>3140.98</v>
      </c>
      <c r="K814" s="832">
        <v>8665.4709999999995</v>
      </c>
    </row>
    <row r="815" spans="2:11">
      <c r="B815" s="805" t="str">
        <f t="shared" si="17"/>
        <v>Sat</v>
      </c>
      <c r="C815" s="825">
        <v>43799</v>
      </c>
      <c r="D815" s="831">
        <v>58.05</v>
      </c>
      <c r="E815" s="831">
        <v>54.185000000000002</v>
      </c>
      <c r="F815" s="832">
        <v>39.15</v>
      </c>
      <c r="G815" s="832">
        <v>9.9954119420593806</v>
      </c>
      <c r="H815" s="831">
        <v>316.20999999999998</v>
      </c>
      <c r="I815" s="832">
        <v>47.51</v>
      </c>
      <c r="J815" s="832">
        <v>3140.98</v>
      </c>
      <c r="K815" s="832">
        <v>8665.4709999999995</v>
      </c>
    </row>
    <row r="816" spans="2:11">
      <c r="B816" s="805" t="str">
        <f t="shared" si="17"/>
        <v>Fri</v>
      </c>
      <c r="C816" s="825">
        <v>43798</v>
      </c>
      <c r="D816" s="831">
        <v>58.05</v>
      </c>
      <c r="E816" s="831">
        <v>54.185000000000002</v>
      </c>
      <c r="F816" s="832">
        <v>39.15</v>
      </c>
      <c r="G816" s="832">
        <v>9.9954119420593806</v>
      </c>
      <c r="H816" s="831">
        <v>316.20999999999998</v>
      </c>
      <c r="I816" s="832">
        <v>47.51</v>
      </c>
      <c r="J816" s="832">
        <v>3140.98</v>
      </c>
      <c r="K816" s="832">
        <v>8665.4709999999995</v>
      </c>
    </row>
    <row r="817" spans="2:11">
      <c r="B817" s="805" t="str">
        <f t="shared" si="17"/>
        <v>Thu</v>
      </c>
      <c r="C817" s="825">
        <v>43797</v>
      </c>
      <c r="D817" s="831">
        <v>58.51</v>
      </c>
      <c r="E817" s="831">
        <v>54.56</v>
      </c>
      <c r="F817" s="832">
        <v>39.409999999999997</v>
      </c>
      <c r="G817" s="832">
        <v>10.155865463494701</v>
      </c>
      <c r="H817" s="831">
        <v>318.44</v>
      </c>
      <c r="I817" s="832">
        <v>48.16</v>
      </c>
      <c r="J817" s="832">
        <v>3153.63</v>
      </c>
      <c r="K817" s="832">
        <v>8705.1749999999993</v>
      </c>
    </row>
    <row r="818" spans="2:11">
      <c r="B818" s="805" t="str">
        <f t="shared" si="17"/>
        <v>Wed</v>
      </c>
      <c r="C818" s="825">
        <v>43796</v>
      </c>
      <c r="D818" s="831">
        <v>58.51</v>
      </c>
      <c r="E818" s="831">
        <v>54.56</v>
      </c>
      <c r="F818" s="832">
        <v>39.409999999999997</v>
      </c>
      <c r="G818" s="832">
        <v>10.198393179209701</v>
      </c>
      <c r="H818" s="831">
        <v>318.44</v>
      </c>
      <c r="I818" s="832">
        <v>48.16</v>
      </c>
      <c r="J818" s="832">
        <v>3153.63</v>
      </c>
      <c r="K818" s="832">
        <v>8705.1749999999993</v>
      </c>
    </row>
    <row r="819" spans="2:11">
      <c r="B819" s="805" t="str">
        <f t="shared" si="17"/>
        <v>Tue</v>
      </c>
      <c r="C819" s="825">
        <v>43795</v>
      </c>
      <c r="D819" s="831">
        <v>58.9</v>
      </c>
      <c r="E819" s="831">
        <v>54.25</v>
      </c>
      <c r="F819" s="832">
        <v>38.99</v>
      </c>
      <c r="G819" s="832">
        <v>10.0672241351041</v>
      </c>
      <c r="H819" s="831">
        <v>316.27</v>
      </c>
      <c r="I819" s="832">
        <v>46.715000000000003</v>
      </c>
      <c r="J819" s="832">
        <v>3140.52</v>
      </c>
      <c r="K819" s="832">
        <v>8647.9339999999993</v>
      </c>
    </row>
    <row r="820" spans="2:11">
      <c r="B820" s="805" t="str">
        <f t="shared" si="17"/>
        <v>Mon</v>
      </c>
      <c r="C820" s="825">
        <v>43794</v>
      </c>
      <c r="D820" s="831">
        <v>58.81</v>
      </c>
      <c r="E820" s="831">
        <v>55.302500000000002</v>
      </c>
      <c r="F820" s="832">
        <v>39.79</v>
      </c>
      <c r="G820" s="832">
        <v>10.0682146136692</v>
      </c>
      <c r="H820" s="831">
        <v>319.62</v>
      </c>
      <c r="I820" s="832">
        <v>47.52</v>
      </c>
      <c r="J820" s="832">
        <v>3133.64</v>
      </c>
      <c r="K820" s="832">
        <v>8632.4889999999996</v>
      </c>
    </row>
    <row r="821" spans="2:11">
      <c r="B821" s="805" t="str">
        <f t="shared" si="17"/>
        <v>Sun</v>
      </c>
      <c r="C821" s="825">
        <v>43793</v>
      </c>
      <c r="D821" s="831">
        <v>57.61</v>
      </c>
      <c r="E821" s="831">
        <v>52.722499999999997</v>
      </c>
      <c r="F821" s="832">
        <v>39.15</v>
      </c>
      <c r="G821" s="832">
        <v>10.111918319261701</v>
      </c>
      <c r="H821" s="831">
        <v>314.92</v>
      </c>
      <c r="I821" s="832">
        <v>45.87</v>
      </c>
      <c r="J821" s="832">
        <v>3110.29</v>
      </c>
      <c r="K821" s="832">
        <v>8519.8850000000002</v>
      </c>
    </row>
    <row r="822" spans="2:11">
      <c r="B822" s="805" t="str">
        <f t="shared" si="17"/>
        <v>Sat</v>
      </c>
      <c r="C822" s="825">
        <v>43792</v>
      </c>
      <c r="D822" s="831">
        <v>57.61</v>
      </c>
      <c r="E822" s="831">
        <v>52.722499999999997</v>
      </c>
      <c r="F822" s="832">
        <v>39.15</v>
      </c>
      <c r="G822" s="832">
        <v>10.111918319261701</v>
      </c>
      <c r="H822" s="831">
        <v>314.92</v>
      </c>
      <c r="I822" s="832">
        <v>45.87</v>
      </c>
      <c r="J822" s="832">
        <v>3110.29</v>
      </c>
      <c r="K822" s="832">
        <v>8519.8850000000002</v>
      </c>
    </row>
    <row r="823" spans="2:11">
      <c r="B823" s="805" t="str">
        <f t="shared" si="17"/>
        <v>Fri</v>
      </c>
      <c r="C823" s="825">
        <v>43791</v>
      </c>
      <c r="D823" s="831">
        <v>57.61</v>
      </c>
      <c r="E823" s="831">
        <v>52.722499999999997</v>
      </c>
      <c r="F823" s="832">
        <v>39.15</v>
      </c>
      <c r="G823" s="832">
        <v>10.111918319261701</v>
      </c>
      <c r="H823" s="831">
        <v>314.92</v>
      </c>
      <c r="I823" s="832">
        <v>45.87</v>
      </c>
      <c r="J823" s="832">
        <v>3110.29</v>
      </c>
      <c r="K823" s="832">
        <v>8519.8850000000002</v>
      </c>
    </row>
    <row r="824" spans="2:11">
      <c r="B824" s="805" t="str">
        <f t="shared" si="17"/>
        <v>Thu</v>
      </c>
      <c r="C824" s="825">
        <v>43790</v>
      </c>
      <c r="D824" s="831">
        <v>58.22</v>
      </c>
      <c r="E824" s="831">
        <v>52.545000000000002</v>
      </c>
      <c r="F824" s="832">
        <v>39.520000000000003</v>
      </c>
      <c r="G824" s="832">
        <v>10.193713330492599</v>
      </c>
      <c r="H824" s="831">
        <v>315.25</v>
      </c>
      <c r="I824" s="832">
        <v>45.55</v>
      </c>
      <c r="J824" s="832">
        <v>3103.54</v>
      </c>
      <c r="K824" s="832">
        <v>8506.2109999999993</v>
      </c>
    </row>
    <row r="825" spans="2:11">
      <c r="B825" s="805" t="str">
        <f t="shared" si="17"/>
        <v>Wed</v>
      </c>
      <c r="C825" s="825">
        <v>43789</v>
      </c>
      <c r="D825" s="831">
        <v>57.9</v>
      </c>
      <c r="E825" s="831">
        <v>52.795000000000002</v>
      </c>
      <c r="F825" s="832">
        <v>40.98</v>
      </c>
      <c r="G825" s="832">
        <v>10.275656363695999</v>
      </c>
      <c r="H825" s="831">
        <v>311.67</v>
      </c>
      <c r="I825" s="832">
        <v>45.57</v>
      </c>
      <c r="J825" s="832">
        <v>3108.46</v>
      </c>
      <c r="K825" s="832">
        <v>8526.732</v>
      </c>
    </row>
    <row r="826" spans="2:11">
      <c r="B826" s="805" t="str">
        <f t="shared" si="17"/>
        <v>Tue</v>
      </c>
      <c r="C826" s="825">
        <v>43788</v>
      </c>
      <c r="D826" s="831">
        <v>58.35</v>
      </c>
      <c r="E826" s="831">
        <v>51.997500000000002</v>
      </c>
      <c r="F826" s="832">
        <v>41.29</v>
      </c>
      <c r="G826" s="832">
        <v>10.321100917431201</v>
      </c>
      <c r="H826" s="831">
        <v>317.7</v>
      </c>
      <c r="I826" s="832">
        <v>46.58</v>
      </c>
      <c r="J826" s="832">
        <v>3120.18</v>
      </c>
      <c r="K826" s="832">
        <v>8570.6579999999994</v>
      </c>
    </row>
    <row r="827" spans="2:11">
      <c r="B827" s="805" t="str">
        <f t="shared" si="17"/>
        <v>Mon</v>
      </c>
      <c r="C827" s="825">
        <v>43787</v>
      </c>
      <c r="D827" s="831">
        <v>58.25</v>
      </c>
      <c r="E827" s="831">
        <v>53.07</v>
      </c>
      <c r="F827" s="832">
        <v>39.880000000000003</v>
      </c>
      <c r="G827" s="832">
        <v>10.1970556411686</v>
      </c>
      <c r="H827" s="831">
        <v>311.07</v>
      </c>
      <c r="I827" s="832">
        <v>47.82</v>
      </c>
      <c r="J827" s="832">
        <v>3122.03</v>
      </c>
      <c r="K827" s="832">
        <v>8549.9380000000001</v>
      </c>
    </row>
    <row r="828" spans="2:11">
      <c r="B828" s="805" t="str">
        <f t="shared" si="17"/>
        <v>Sun</v>
      </c>
      <c r="C828" s="825">
        <v>43786</v>
      </c>
      <c r="D828" s="831">
        <v>57.96</v>
      </c>
      <c r="E828" s="831">
        <v>51.047499999999999</v>
      </c>
      <c r="F828" s="832">
        <v>38.56</v>
      </c>
      <c r="G828" s="832">
        <v>10.0682146136692</v>
      </c>
      <c r="H828" s="831">
        <v>312.91000000000003</v>
      </c>
      <c r="I828" s="832">
        <v>47.71</v>
      </c>
      <c r="J828" s="832">
        <v>3120.46</v>
      </c>
      <c r="K828" s="832">
        <v>8540.8289999999997</v>
      </c>
    </row>
    <row r="829" spans="2:11">
      <c r="B829" s="805" t="str">
        <f t="shared" si="17"/>
        <v>Sat</v>
      </c>
      <c r="C829" s="825">
        <v>43785</v>
      </c>
      <c r="D829" s="831">
        <v>57.96</v>
      </c>
      <c r="E829" s="831">
        <v>51.047499999999999</v>
      </c>
      <c r="F829" s="832">
        <v>38.56</v>
      </c>
      <c r="G829" s="832">
        <v>10.0682146136692</v>
      </c>
      <c r="H829" s="831">
        <v>312.91000000000003</v>
      </c>
      <c r="I829" s="832">
        <v>47.71</v>
      </c>
      <c r="J829" s="832">
        <v>3120.46</v>
      </c>
      <c r="K829" s="832">
        <v>8540.8289999999997</v>
      </c>
    </row>
    <row r="830" spans="2:11">
      <c r="B830" s="805" t="str">
        <f t="shared" si="17"/>
        <v>Fri</v>
      </c>
      <c r="C830" s="825">
        <v>43784</v>
      </c>
      <c r="D830" s="831">
        <v>57.96</v>
      </c>
      <c r="E830" s="831">
        <v>51.047499999999999</v>
      </c>
      <c r="F830" s="832">
        <v>38.56</v>
      </c>
      <c r="G830" s="832">
        <v>10.0682146136692</v>
      </c>
      <c r="H830" s="831">
        <v>312.91000000000003</v>
      </c>
      <c r="I830" s="832">
        <v>47.71</v>
      </c>
      <c r="J830" s="832">
        <v>3120.46</v>
      </c>
      <c r="K830" s="832">
        <v>8540.8289999999997</v>
      </c>
    </row>
    <row r="831" spans="2:11">
      <c r="B831" s="805" t="str">
        <f t="shared" si="17"/>
        <v>Thu</v>
      </c>
      <c r="C831" s="825">
        <v>43783</v>
      </c>
      <c r="D831" s="831">
        <v>57.81</v>
      </c>
      <c r="E831" s="831">
        <v>52.447499999999998</v>
      </c>
      <c r="F831" s="832">
        <v>38.35</v>
      </c>
      <c r="G831" s="832">
        <v>9.9511459392111199</v>
      </c>
      <c r="H831" s="831">
        <v>308.97000000000003</v>
      </c>
      <c r="I831" s="832">
        <v>46.8</v>
      </c>
      <c r="J831" s="832">
        <v>3096.63</v>
      </c>
      <c r="K831" s="832">
        <v>8479.0169999999998</v>
      </c>
    </row>
    <row r="832" spans="2:11">
      <c r="B832" s="805" t="str">
        <f t="shared" si="17"/>
        <v>Wed</v>
      </c>
      <c r="C832" s="825">
        <v>43782</v>
      </c>
      <c r="D832" s="831">
        <v>57.89</v>
      </c>
      <c r="E832" s="831">
        <v>52.142499999999998</v>
      </c>
      <c r="F832" s="832">
        <v>37.520000000000003</v>
      </c>
      <c r="G832" s="832">
        <v>9.9659061106740108</v>
      </c>
      <c r="H832" s="831">
        <v>313.67</v>
      </c>
      <c r="I832" s="832">
        <v>46.3</v>
      </c>
      <c r="J832" s="832">
        <v>3094.04</v>
      </c>
      <c r="K832" s="832">
        <v>8482.1010000000006</v>
      </c>
    </row>
    <row r="833" spans="2:11">
      <c r="B833" s="805" t="str">
        <f t="shared" si="17"/>
        <v>Tue</v>
      </c>
      <c r="C833" s="825">
        <v>43781</v>
      </c>
      <c r="D833" s="831">
        <v>58.2</v>
      </c>
      <c r="E833" s="831">
        <v>52.402500000000003</v>
      </c>
      <c r="F833" s="832">
        <v>36.71</v>
      </c>
      <c r="G833" s="832">
        <v>10.0118172268908</v>
      </c>
      <c r="H833" s="831">
        <v>315.52999999999997</v>
      </c>
      <c r="I833" s="832">
        <v>46.9</v>
      </c>
      <c r="J833" s="832">
        <v>3091.84</v>
      </c>
      <c r="K833" s="832">
        <v>8486.0910000000003</v>
      </c>
    </row>
    <row r="834" spans="2:11">
      <c r="B834" s="805" t="str">
        <f t="shared" si="17"/>
        <v>Mon</v>
      </c>
      <c r="C834" s="825">
        <v>43780</v>
      </c>
      <c r="D834" s="831">
        <v>58.35</v>
      </c>
      <c r="E834" s="831">
        <v>52.045000000000002</v>
      </c>
      <c r="F834" s="832">
        <v>36.31</v>
      </c>
      <c r="G834" s="832">
        <v>9.9003387823570002</v>
      </c>
      <c r="H834" s="831">
        <v>312.75</v>
      </c>
      <c r="I834" s="832">
        <v>46.26</v>
      </c>
      <c r="J834" s="832">
        <v>3087.01</v>
      </c>
      <c r="K834" s="832">
        <v>8464.277</v>
      </c>
    </row>
    <row r="835" spans="2:11">
      <c r="B835" s="805" t="str">
        <f t="shared" si="17"/>
        <v>Sun</v>
      </c>
      <c r="C835" s="825">
        <v>43779</v>
      </c>
      <c r="D835" s="831">
        <v>58.27</v>
      </c>
      <c r="E835" s="831">
        <v>51.945</v>
      </c>
      <c r="F835" s="832">
        <v>36.29</v>
      </c>
      <c r="G835" s="832">
        <v>10.0556268720582</v>
      </c>
      <c r="H835" s="831">
        <v>313.41000000000003</v>
      </c>
      <c r="I835" s="832">
        <v>47.19</v>
      </c>
      <c r="J835" s="832">
        <v>3093.08</v>
      </c>
      <c r="K835" s="832">
        <v>8475.3119999999999</v>
      </c>
    </row>
    <row r="836" spans="2:11">
      <c r="B836" s="805" t="str">
        <f t="shared" si="17"/>
        <v>Sat</v>
      </c>
      <c r="C836" s="825">
        <v>43778</v>
      </c>
      <c r="D836" s="831">
        <v>58.27</v>
      </c>
      <c r="E836" s="831">
        <v>51.945</v>
      </c>
      <c r="F836" s="832">
        <v>36.29</v>
      </c>
      <c r="G836" s="832">
        <v>10.0556268720582</v>
      </c>
      <c r="H836" s="831">
        <v>313.41000000000003</v>
      </c>
      <c r="I836" s="832">
        <v>47.19</v>
      </c>
      <c r="J836" s="832">
        <v>3093.08</v>
      </c>
      <c r="K836" s="832">
        <v>8475.3119999999999</v>
      </c>
    </row>
    <row r="837" spans="2:11">
      <c r="B837" s="805" t="str">
        <f t="shared" si="17"/>
        <v>Fri</v>
      </c>
      <c r="C837" s="825">
        <v>43777</v>
      </c>
      <c r="D837" s="831">
        <v>58.27</v>
      </c>
      <c r="E837" s="831">
        <v>51.945</v>
      </c>
      <c r="F837" s="832">
        <v>36.29</v>
      </c>
      <c r="G837" s="832">
        <v>10.0556268720582</v>
      </c>
      <c r="H837" s="831">
        <v>313.41000000000003</v>
      </c>
      <c r="I837" s="832">
        <v>47.19</v>
      </c>
      <c r="J837" s="832">
        <v>3093.08</v>
      </c>
      <c r="K837" s="832">
        <v>8475.3119999999999</v>
      </c>
    </row>
    <row r="838" spans="2:11">
      <c r="B838" s="805" t="str">
        <f t="shared" si="17"/>
        <v>Thu</v>
      </c>
      <c r="C838" s="825">
        <v>43776</v>
      </c>
      <c r="D838" s="831">
        <v>58.05</v>
      </c>
      <c r="E838" s="831">
        <v>52.085000000000001</v>
      </c>
      <c r="F838" s="832">
        <v>36.28</v>
      </c>
      <c r="G838" s="832">
        <v>10.1879327398615</v>
      </c>
      <c r="H838" s="831">
        <v>311.74</v>
      </c>
      <c r="I838" s="832">
        <v>48.4</v>
      </c>
      <c r="J838" s="832">
        <v>3085.18</v>
      </c>
      <c r="K838" s="832">
        <v>8434.5159999999996</v>
      </c>
    </row>
    <row r="839" spans="2:11">
      <c r="B839" s="805" t="str">
        <f t="shared" si="17"/>
        <v>Wed</v>
      </c>
      <c r="C839" s="825">
        <v>43775</v>
      </c>
      <c r="D839" s="831">
        <v>57.6</v>
      </c>
      <c r="E839" s="831">
        <v>51.907499999999999</v>
      </c>
      <c r="F839" s="832">
        <v>35.93</v>
      </c>
      <c r="G839" s="832">
        <v>10.231946043757199</v>
      </c>
      <c r="H839" s="831">
        <v>313.16000000000003</v>
      </c>
      <c r="I839" s="832">
        <v>47.68</v>
      </c>
      <c r="J839" s="832">
        <v>3076.78</v>
      </c>
      <c r="K839" s="832">
        <v>8410.6280000000006</v>
      </c>
    </row>
    <row r="840" spans="2:11">
      <c r="B840" s="805" t="str">
        <f t="shared" ref="B840:B903" si="18">TEXT(C840,"DDD")</f>
        <v>Tue</v>
      </c>
      <c r="C840" s="825">
        <v>43774</v>
      </c>
      <c r="D840" s="831">
        <v>57.55</v>
      </c>
      <c r="E840" s="831">
        <v>52.402500000000003</v>
      </c>
      <c r="F840" s="832">
        <v>36.15</v>
      </c>
      <c r="G840" s="832">
        <v>10.215495969731901</v>
      </c>
      <c r="H840" s="831">
        <v>314.04000000000002</v>
      </c>
      <c r="I840" s="832">
        <v>48.68</v>
      </c>
      <c r="J840" s="832">
        <v>3074.62</v>
      </c>
      <c r="K840" s="832">
        <v>8434.68</v>
      </c>
    </row>
    <row r="841" spans="2:11">
      <c r="B841" s="805" t="str">
        <f t="shared" si="18"/>
        <v>Mon</v>
      </c>
      <c r="C841" s="825">
        <v>43773</v>
      </c>
      <c r="D841" s="831">
        <v>57.61</v>
      </c>
      <c r="E841" s="831">
        <v>52.625</v>
      </c>
      <c r="F841" s="832">
        <v>36.29</v>
      </c>
      <c r="G841" s="832">
        <v>10.1036695738029</v>
      </c>
      <c r="H841" s="831">
        <v>305</v>
      </c>
      <c r="I841" s="832">
        <v>49.59</v>
      </c>
      <c r="J841" s="832">
        <v>3078.27</v>
      </c>
      <c r="K841" s="832">
        <v>8433.2000000000007</v>
      </c>
    </row>
    <row r="842" spans="2:11">
      <c r="B842" s="805" t="str">
        <f t="shared" si="18"/>
        <v>Sun</v>
      </c>
      <c r="C842" s="825">
        <v>43772</v>
      </c>
      <c r="D842" s="831">
        <v>56.51</v>
      </c>
      <c r="E842" s="831">
        <v>50.647500000000001</v>
      </c>
      <c r="F842" s="832">
        <v>34.89</v>
      </c>
      <c r="G842" s="832">
        <v>9.8238927585753704</v>
      </c>
      <c r="H842" s="831">
        <v>296.58999999999997</v>
      </c>
      <c r="I842" s="832">
        <v>48.38</v>
      </c>
      <c r="J842" s="832">
        <v>3066.91</v>
      </c>
      <c r="K842" s="832">
        <v>8386.3979999999992</v>
      </c>
    </row>
    <row r="843" spans="2:11">
      <c r="B843" s="805" t="str">
        <f t="shared" si="18"/>
        <v>Sat</v>
      </c>
      <c r="C843" s="825">
        <v>43771</v>
      </c>
      <c r="D843" s="831">
        <v>56.51</v>
      </c>
      <c r="E843" s="831">
        <v>50.647500000000001</v>
      </c>
      <c r="F843" s="832">
        <v>34.89</v>
      </c>
      <c r="G843" s="832">
        <v>9.8238927585753704</v>
      </c>
      <c r="H843" s="831">
        <v>296.58999999999997</v>
      </c>
      <c r="I843" s="832">
        <v>48.38</v>
      </c>
      <c r="J843" s="832">
        <v>3066.91</v>
      </c>
      <c r="K843" s="832">
        <v>8386.3979999999992</v>
      </c>
    </row>
    <row r="844" spans="2:11">
      <c r="B844" s="805" t="str">
        <f t="shared" si="18"/>
        <v>Fri</v>
      </c>
      <c r="C844" s="825">
        <v>43770</v>
      </c>
      <c r="D844" s="831">
        <v>56.51</v>
      </c>
      <c r="E844" s="831">
        <v>50.647500000000001</v>
      </c>
      <c r="F844" s="832">
        <v>34.89</v>
      </c>
      <c r="G844" s="832">
        <v>9.8238927585753704</v>
      </c>
      <c r="H844" s="831">
        <v>296.58999999999997</v>
      </c>
      <c r="I844" s="832">
        <v>48.38</v>
      </c>
      <c r="J844" s="832">
        <v>3066.91</v>
      </c>
      <c r="K844" s="832">
        <v>8386.3979999999992</v>
      </c>
    </row>
    <row r="845" spans="2:11">
      <c r="B845" s="805" t="str">
        <f t="shared" si="18"/>
        <v>Thu</v>
      </c>
      <c r="C845" s="825">
        <v>43769</v>
      </c>
      <c r="D845" s="831">
        <v>56.53</v>
      </c>
      <c r="E845" s="831">
        <v>50.255000000000003</v>
      </c>
      <c r="F845" s="832">
        <v>33.93</v>
      </c>
      <c r="G845" s="832">
        <v>9.7939497342345305</v>
      </c>
      <c r="H845" s="831">
        <v>292.85000000000002</v>
      </c>
      <c r="I845" s="832">
        <v>47.55</v>
      </c>
      <c r="J845" s="832">
        <v>3037.56</v>
      </c>
      <c r="K845" s="832">
        <v>8292.36</v>
      </c>
    </row>
    <row r="846" spans="2:11">
      <c r="B846" s="805" t="str">
        <f t="shared" si="18"/>
        <v>Wed</v>
      </c>
      <c r="C846" s="825">
        <v>43768</v>
      </c>
      <c r="D846" s="831">
        <v>56.6</v>
      </c>
      <c r="E846" s="831">
        <v>50.75</v>
      </c>
      <c r="F846" s="832">
        <v>33.130000000000003</v>
      </c>
      <c r="G846" s="832">
        <v>9.8597577034500894</v>
      </c>
      <c r="H846" s="831">
        <v>290.24</v>
      </c>
      <c r="I846" s="832">
        <v>47.88</v>
      </c>
      <c r="J846" s="832">
        <v>3046.77</v>
      </c>
      <c r="K846" s="832">
        <v>8303.9750000000004</v>
      </c>
    </row>
    <row r="847" spans="2:11">
      <c r="B847" s="805" t="str">
        <f t="shared" si="18"/>
        <v>Tue</v>
      </c>
      <c r="C847" s="825">
        <v>43767</v>
      </c>
      <c r="D847" s="831">
        <v>56.34</v>
      </c>
      <c r="E847" s="831">
        <v>50.73</v>
      </c>
      <c r="F847" s="832">
        <v>33.03</v>
      </c>
      <c r="G847" s="832">
        <v>9.7894529712711496</v>
      </c>
      <c r="H847" s="831">
        <v>288.16000000000003</v>
      </c>
      <c r="I847" s="832">
        <v>48.11</v>
      </c>
      <c r="J847" s="832">
        <v>3036.89</v>
      </c>
      <c r="K847" s="832">
        <v>8276.8510000000006</v>
      </c>
    </row>
    <row r="848" spans="2:11">
      <c r="B848" s="805" t="str">
        <f t="shared" si="18"/>
        <v>Mon</v>
      </c>
      <c r="C848" s="825">
        <v>43766</v>
      </c>
      <c r="D848" s="831">
        <v>56.76</v>
      </c>
      <c r="E848" s="831">
        <v>51.697499999999998</v>
      </c>
      <c r="F848" s="832">
        <v>33.69</v>
      </c>
      <c r="G848" s="832">
        <v>9.6399345335515605</v>
      </c>
      <c r="H848" s="831">
        <v>291.55</v>
      </c>
      <c r="I848" s="832">
        <v>48.69</v>
      </c>
      <c r="J848" s="832">
        <v>3039.42</v>
      </c>
      <c r="K848" s="832">
        <v>8325.9860000000008</v>
      </c>
    </row>
    <row r="849" spans="2:11">
      <c r="B849" s="805" t="str">
        <f t="shared" si="18"/>
        <v>Sun</v>
      </c>
      <c r="C849" s="825">
        <v>43765</v>
      </c>
      <c r="D849" s="831">
        <v>56.46</v>
      </c>
      <c r="E849" s="831">
        <v>51.134999999999998</v>
      </c>
      <c r="F849" s="832">
        <v>32.71</v>
      </c>
      <c r="G849" s="832">
        <v>9.6031148774662203</v>
      </c>
      <c r="H849" s="831">
        <v>289.82</v>
      </c>
      <c r="I849" s="832">
        <v>48.03</v>
      </c>
      <c r="J849" s="832">
        <v>3022.55</v>
      </c>
      <c r="K849" s="832">
        <v>8243.1190000000006</v>
      </c>
    </row>
    <row r="850" spans="2:11">
      <c r="B850" s="805" t="str">
        <f t="shared" si="18"/>
        <v>Sat</v>
      </c>
      <c r="C850" s="825">
        <v>43764</v>
      </c>
      <c r="D850" s="831">
        <v>56.46</v>
      </c>
      <c r="E850" s="831">
        <v>51.134999999999998</v>
      </c>
      <c r="F850" s="832">
        <v>32.71</v>
      </c>
      <c r="G850" s="832">
        <v>9.6031148774662203</v>
      </c>
      <c r="H850" s="831">
        <v>289.82</v>
      </c>
      <c r="I850" s="832">
        <v>48.03</v>
      </c>
      <c r="J850" s="832">
        <v>3022.55</v>
      </c>
      <c r="K850" s="832">
        <v>8243.1190000000006</v>
      </c>
    </row>
    <row r="851" spans="2:11">
      <c r="B851" s="805" t="str">
        <f t="shared" si="18"/>
        <v>Fri</v>
      </c>
      <c r="C851" s="825">
        <v>43763</v>
      </c>
      <c r="D851" s="831">
        <v>56.46</v>
      </c>
      <c r="E851" s="831">
        <v>51.134999999999998</v>
      </c>
      <c r="F851" s="832">
        <v>32.71</v>
      </c>
      <c r="G851" s="832">
        <v>9.6031148774662203</v>
      </c>
      <c r="H851" s="831">
        <v>289.82</v>
      </c>
      <c r="I851" s="832">
        <v>48.03</v>
      </c>
      <c r="J851" s="832">
        <v>3022.55</v>
      </c>
      <c r="K851" s="832">
        <v>8243.1190000000006</v>
      </c>
    </row>
    <row r="852" spans="2:11">
      <c r="B852" s="805" t="str">
        <f t="shared" si="18"/>
        <v>Thu</v>
      </c>
      <c r="C852" s="825">
        <v>43762</v>
      </c>
      <c r="D852" s="831">
        <v>52.23</v>
      </c>
      <c r="E852" s="831">
        <v>49.215000000000003</v>
      </c>
      <c r="F852" s="832">
        <v>31.72</v>
      </c>
      <c r="G852" s="832">
        <v>9.5779804517668605</v>
      </c>
      <c r="H852" s="831">
        <v>282.31</v>
      </c>
      <c r="I852" s="832">
        <v>47.1</v>
      </c>
      <c r="J852" s="832">
        <v>3010.29</v>
      </c>
      <c r="K852" s="832">
        <v>8185.7960000000003</v>
      </c>
    </row>
    <row r="853" spans="2:11">
      <c r="B853" s="805" t="str">
        <f t="shared" si="18"/>
        <v>Wed</v>
      </c>
      <c r="C853" s="825">
        <v>43761</v>
      </c>
      <c r="D853" s="831">
        <v>51.72</v>
      </c>
      <c r="E853" s="831">
        <v>48.772500000000001</v>
      </c>
      <c r="F853" s="832">
        <v>31.36</v>
      </c>
      <c r="G853" s="832">
        <v>9.5833060770589409</v>
      </c>
      <c r="H853" s="831">
        <v>280.32</v>
      </c>
      <c r="I853" s="832">
        <v>44.66</v>
      </c>
      <c r="J853" s="832">
        <v>3004.52</v>
      </c>
      <c r="K853" s="832">
        <v>8119.7929999999997</v>
      </c>
    </row>
    <row r="854" spans="2:11">
      <c r="B854" s="805" t="str">
        <f t="shared" si="18"/>
        <v>Tue</v>
      </c>
      <c r="C854" s="825">
        <v>43760</v>
      </c>
      <c r="D854" s="831">
        <v>52.01</v>
      </c>
      <c r="E854" s="831">
        <v>48.902500000000003</v>
      </c>
      <c r="F854" s="832">
        <v>31.51</v>
      </c>
      <c r="G854" s="832">
        <v>9.6147557067172507</v>
      </c>
      <c r="H854" s="831">
        <v>287.45999999999998</v>
      </c>
      <c r="I854" s="832">
        <v>44.66</v>
      </c>
      <c r="J854" s="832">
        <v>2995.99</v>
      </c>
      <c r="K854" s="832">
        <v>8104.2950000000001</v>
      </c>
    </row>
    <row r="855" spans="2:11">
      <c r="B855" s="805" t="str">
        <f t="shared" si="18"/>
        <v>Mon</v>
      </c>
      <c r="C855" s="825">
        <v>43759</v>
      </c>
      <c r="D855" s="831">
        <v>52.13</v>
      </c>
      <c r="E855" s="831">
        <v>49.002499999999998</v>
      </c>
      <c r="F855" s="832">
        <v>32.03</v>
      </c>
      <c r="G855" s="832">
        <v>9.5025886362146892</v>
      </c>
      <c r="H855" s="831">
        <v>289.57</v>
      </c>
      <c r="I855" s="832">
        <v>45.22</v>
      </c>
      <c r="J855" s="832">
        <v>3006.72</v>
      </c>
      <c r="K855" s="832">
        <v>8162.9870000000001</v>
      </c>
    </row>
    <row r="856" spans="2:11">
      <c r="B856" s="805" t="str">
        <f t="shared" si="18"/>
        <v>Sun</v>
      </c>
      <c r="C856" s="825">
        <v>43758</v>
      </c>
      <c r="D856" s="831">
        <v>51.36</v>
      </c>
      <c r="E856" s="831">
        <v>47.622500000000002</v>
      </c>
      <c r="F856" s="832">
        <v>30.97</v>
      </c>
      <c r="G856" s="832">
        <v>9.5955460946454902</v>
      </c>
      <c r="H856" s="831">
        <v>286.73</v>
      </c>
      <c r="I856" s="832">
        <v>43.47</v>
      </c>
      <c r="J856" s="832">
        <v>2986.2</v>
      </c>
      <c r="K856" s="832">
        <v>8089.5429999999997</v>
      </c>
    </row>
    <row r="857" spans="2:11">
      <c r="B857" s="805" t="str">
        <f t="shared" si="18"/>
        <v>Sat</v>
      </c>
      <c r="C857" s="825">
        <v>43757</v>
      </c>
      <c r="D857" s="831">
        <v>51.36</v>
      </c>
      <c r="E857" s="831">
        <v>47.622500000000002</v>
      </c>
      <c r="F857" s="832">
        <v>30.97</v>
      </c>
      <c r="G857" s="832">
        <v>9.5955460946454902</v>
      </c>
      <c r="H857" s="831">
        <v>286.73</v>
      </c>
      <c r="I857" s="832">
        <v>43.47</v>
      </c>
      <c r="J857" s="832">
        <v>2986.2</v>
      </c>
      <c r="K857" s="832">
        <v>8089.5429999999997</v>
      </c>
    </row>
    <row r="858" spans="2:11">
      <c r="B858" s="805" t="str">
        <f t="shared" si="18"/>
        <v>Fri</v>
      </c>
      <c r="C858" s="825">
        <v>43756</v>
      </c>
      <c r="D858" s="831">
        <v>51.36</v>
      </c>
      <c r="E858" s="831">
        <v>47.622500000000002</v>
      </c>
      <c r="F858" s="832">
        <v>30.97</v>
      </c>
      <c r="G858" s="832">
        <v>9.5955460946454902</v>
      </c>
      <c r="H858" s="831">
        <v>286.73</v>
      </c>
      <c r="I858" s="832">
        <v>43.47</v>
      </c>
      <c r="J858" s="832">
        <v>2986.2</v>
      </c>
      <c r="K858" s="832">
        <v>8089.5429999999997</v>
      </c>
    </row>
    <row r="859" spans="2:11">
      <c r="B859" s="805" t="str">
        <f t="shared" si="18"/>
        <v>Thu</v>
      </c>
      <c r="C859" s="825">
        <v>43755</v>
      </c>
      <c r="D859" s="831">
        <v>51.86</v>
      </c>
      <c r="E859" s="831">
        <v>48.572499999999998</v>
      </c>
      <c r="F859" s="832">
        <v>31.14</v>
      </c>
      <c r="G859" s="832">
        <v>9.5874301767223091</v>
      </c>
      <c r="H859" s="831">
        <v>289.43</v>
      </c>
      <c r="I859" s="832">
        <v>45.5</v>
      </c>
      <c r="J859" s="832">
        <v>2997.95</v>
      </c>
      <c r="K859" s="832">
        <v>8156.8530000000001</v>
      </c>
    </row>
    <row r="860" spans="2:11">
      <c r="B860" s="805" t="str">
        <f t="shared" si="18"/>
        <v>Wed</v>
      </c>
      <c r="C860" s="825">
        <v>43754</v>
      </c>
      <c r="D860" s="831">
        <v>52.445</v>
      </c>
      <c r="E860" s="831">
        <v>48.552500000000002</v>
      </c>
      <c r="F860" s="832">
        <v>30.81</v>
      </c>
      <c r="G860" s="832">
        <v>9.6645914143224996</v>
      </c>
      <c r="H860" s="831">
        <v>288.48</v>
      </c>
      <c r="I860" s="832">
        <v>45.16</v>
      </c>
      <c r="J860" s="832">
        <v>2989.69</v>
      </c>
      <c r="K860" s="832">
        <v>8124.1840000000002</v>
      </c>
    </row>
    <row r="861" spans="2:11">
      <c r="B861" s="805" t="str">
        <f t="shared" si="18"/>
        <v>Tue</v>
      </c>
      <c r="C861" s="825">
        <v>43753</v>
      </c>
      <c r="D861" s="831">
        <v>52.65</v>
      </c>
      <c r="E861" s="831">
        <v>49.092500000000001</v>
      </c>
      <c r="F861" s="832">
        <v>30.72</v>
      </c>
      <c r="G861" s="832">
        <v>9.5883698137863504</v>
      </c>
      <c r="H861" s="831">
        <v>290.32</v>
      </c>
      <c r="I861" s="832">
        <v>46.454999999999998</v>
      </c>
      <c r="J861" s="832">
        <v>2995.68</v>
      </c>
      <c r="K861" s="832">
        <v>8148.7060000000001</v>
      </c>
    </row>
    <row r="862" spans="2:11">
      <c r="B862" s="805" t="str">
        <f t="shared" si="18"/>
        <v>Mon</v>
      </c>
      <c r="C862" s="825">
        <v>43752</v>
      </c>
      <c r="D862" s="831">
        <v>51.64</v>
      </c>
      <c r="E862" s="831">
        <v>46.6325</v>
      </c>
      <c r="F862" s="832">
        <v>30.53</v>
      </c>
      <c r="G862" s="832">
        <v>9.4765048036076092</v>
      </c>
      <c r="H862" s="831">
        <v>281.66000000000003</v>
      </c>
      <c r="I862" s="832">
        <v>44.86</v>
      </c>
      <c r="J862" s="832">
        <v>2966.15</v>
      </c>
      <c r="K862" s="832">
        <v>8048.6490000000003</v>
      </c>
    </row>
    <row r="863" spans="2:11">
      <c r="B863" s="805" t="str">
        <f t="shared" si="18"/>
        <v>Sun</v>
      </c>
      <c r="C863" s="825">
        <v>43751</v>
      </c>
      <c r="D863" s="831">
        <v>52.09</v>
      </c>
      <c r="E863" s="831">
        <v>46.497500000000002</v>
      </c>
      <c r="F863" s="832">
        <v>29.75</v>
      </c>
      <c r="G863" s="832">
        <v>9.1701352757544203</v>
      </c>
      <c r="H863" s="831">
        <v>280.91000000000003</v>
      </c>
      <c r="I863" s="832">
        <v>45.1</v>
      </c>
      <c r="J863" s="832">
        <v>2970.27</v>
      </c>
      <c r="K863" s="832">
        <v>8057.0389999999998</v>
      </c>
    </row>
    <row r="864" spans="2:11">
      <c r="B864" s="805" t="str">
        <f t="shared" si="18"/>
        <v>Sat</v>
      </c>
      <c r="C864" s="825">
        <v>43750</v>
      </c>
      <c r="D864" s="831">
        <v>52.09</v>
      </c>
      <c r="E864" s="831">
        <v>46.497500000000002</v>
      </c>
      <c r="F864" s="832">
        <v>29.75</v>
      </c>
      <c r="G864" s="832">
        <v>9.1701352757544203</v>
      </c>
      <c r="H864" s="831">
        <v>280.91000000000003</v>
      </c>
      <c r="I864" s="832">
        <v>45.1</v>
      </c>
      <c r="J864" s="832">
        <v>2970.27</v>
      </c>
      <c r="K864" s="832">
        <v>8057.0389999999998</v>
      </c>
    </row>
    <row r="865" spans="2:11">
      <c r="B865" s="805" t="str">
        <f t="shared" si="18"/>
        <v>Fri</v>
      </c>
      <c r="C865" s="825">
        <v>43749</v>
      </c>
      <c r="D865" s="831">
        <v>52.09</v>
      </c>
      <c r="E865" s="831">
        <v>46.497500000000002</v>
      </c>
      <c r="F865" s="832">
        <v>29.75</v>
      </c>
      <c r="G865" s="832">
        <v>9.1701352757544203</v>
      </c>
      <c r="H865" s="831">
        <v>280.91000000000003</v>
      </c>
      <c r="I865" s="832">
        <v>45.1</v>
      </c>
      <c r="J865" s="832">
        <v>2970.27</v>
      </c>
      <c r="K865" s="832">
        <v>8057.0389999999998</v>
      </c>
    </row>
    <row r="866" spans="2:11">
      <c r="B866" s="805" t="str">
        <f t="shared" si="18"/>
        <v>Thu</v>
      </c>
      <c r="C866" s="825">
        <v>43748</v>
      </c>
      <c r="D866" s="831">
        <v>51.11</v>
      </c>
      <c r="E866" s="831">
        <v>45.7575</v>
      </c>
      <c r="F866" s="832">
        <v>28.38</v>
      </c>
      <c r="G866" s="832">
        <v>9.1701352757544203</v>
      </c>
      <c r="H866" s="831">
        <v>274.45</v>
      </c>
      <c r="I866" s="832">
        <v>43.28</v>
      </c>
      <c r="J866" s="832">
        <v>2938.13</v>
      </c>
      <c r="K866" s="832">
        <v>7950.768</v>
      </c>
    </row>
    <row r="867" spans="2:11">
      <c r="B867" s="805" t="str">
        <f t="shared" si="18"/>
        <v>Wed</v>
      </c>
      <c r="C867" s="825">
        <v>43747</v>
      </c>
      <c r="D867" s="831">
        <v>50.48</v>
      </c>
      <c r="E867" s="831">
        <v>45.177500000000002</v>
      </c>
      <c r="F867" s="832">
        <v>28.46</v>
      </c>
      <c r="G867" s="832">
        <v>9.1701352757544203</v>
      </c>
      <c r="H867" s="831">
        <v>273.14999999999998</v>
      </c>
      <c r="I867" s="832">
        <v>42.875</v>
      </c>
      <c r="J867" s="832">
        <v>2919.4</v>
      </c>
      <c r="K867" s="832">
        <v>7903.7290000000003</v>
      </c>
    </row>
    <row r="868" spans="2:11">
      <c r="B868" s="805" t="str">
        <f t="shared" si="18"/>
        <v>Tue</v>
      </c>
      <c r="C868" s="825">
        <v>43746</v>
      </c>
      <c r="D868" s="831">
        <v>49.725000000000001</v>
      </c>
      <c r="E868" s="831">
        <v>44.307499999999997</v>
      </c>
      <c r="F868" s="832">
        <v>28.23</v>
      </c>
      <c r="G868" s="832">
        <v>9.2959117456197298</v>
      </c>
      <c r="H868" s="831">
        <v>270.33</v>
      </c>
      <c r="I868" s="832">
        <v>42.634999999999998</v>
      </c>
      <c r="J868" s="832">
        <v>2893.06</v>
      </c>
      <c r="K868" s="832">
        <v>7823.7610000000004</v>
      </c>
    </row>
    <row r="869" spans="2:11">
      <c r="B869" s="805" t="str">
        <f t="shared" si="18"/>
        <v>Mon</v>
      </c>
      <c r="C869" s="825">
        <v>43745</v>
      </c>
      <c r="D869" s="831">
        <v>50.62</v>
      </c>
      <c r="E869" s="831">
        <v>46.082500000000003</v>
      </c>
      <c r="F869" s="832">
        <v>28.93</v>
      </c>
      <c r="G869" s="832">
        <v>9.0008418053486992</v>
      </c>
      <c r="H869" s="831">
        <v>276.08</v>
      </c>
      <c r="I869" s="832">
        <v>44.16</v>
      </c>
      <c r="J869" s="832">
        <v>2938.79</v>
      </c>
      <c r="K869" s="832">
        <v>7956.2809999999999</v>
      </c>
    </row>
    <row r="870" spans="2:11">
      <c r="B870" s="805" t="str">
        <f t="shared" si="18"/>
        <v>Sun</v>
      </c>
      <c r="C870" s="825">
        <v>43744</v>
      </c>
      <c r="D870" s="831">
        <v>50.92</v>
      </c>
      <c r="E870" s="831">
        <v>45.4925</v>
      </c>
      <c r="F870" s="832">
        <v>29.01</v>
      </c>
      <c r="G870" s="832">
        <v>8.9548855134890104</v>
      </c>
      <c r="H870" s="831">
        <v>281.43</v>
      </c>
      <c r="I870" s="832">
        <v>44.55</v>
      </c>
      <c r="J870" s="832">
        <v>2952.01</v>
      </c>
      <c r="K870" s="832">
        <v>7982.4610000000002</v>
      </c>
    </row>
    <row r="871" spans="2:11">
      <c r="B871" s="805" t="str">
        <f t="shared" si="18"/>
        <v>Sat</v>
      </c>
      <c r="C871" s="825">
        <v>43743</v>
      </c>
      <c r="D871" s="831">
        <v>50.92</v>
      </c>
      <c r="E871" s="831">
        <v>45.4925</v>
      </c>
      <c r="F871" s="832">
        <v>29.01</v>
      </c>
      <c r="G871" s="832">
        <v>8.9548855134890104</v>
      </c>
      <c r="H871" s="831">
        <v>281.43</v>
      </c>
      <c r="I871" s="832">
        <v>44.55</v>
      </c>
      <c r="J871" s="832">
        <v>2952.01</v>
      </c>
      <c r="K871" s="832">
        <v>7982.4610000000002</v>
      </c>
    </row>
    <row r="872" spans="2:11">
      <c r="B872" s="805" t="str">
        <f t="shared" si="18"/>
        <v>Fri</v>
      </c>
      <c r="C872" s="825">
        <v>43742</v>
      </c>
      <c r="D872" s="831">
        <v>50.92</v>
      </c>
      <c r="E872" s="831">
        <v>45.4925</v>
      </c>
      <c r="F872" s="832">
        <v>29.01</v>
      </c>
      <c r="G872" s="832">
        <v>8.9548855134890104</v>
      </c>
      <c r="H872" s="831">
        <v>281.43</v>
      </c>
      <c r="I872" s="832">
        <v>44.55</v>
      </c>
      <c r="J872" s="832">
        <v>2952.01</v>
      </c>
      <c r="K872" s="832">
        <v>7982.4610000000002</v>
      </c>
    </row>
    <row r="873" spans="2:11">
      <c r="B873" s="805" t="str">
        <f t="shared" si="18"/>
        <v>Thu</v>
      </c>
      <c r="C873" s="825">
        <v>43741</v>
      </c>
      <c r="D873" s="831">
        <v>50.03</v>
      </c>
      <c r="E873" s="831">
        <v>45.327500000000001</v>
      </c>
      <c r="F873" s="832">
        <v>28.68</v>
      </c>
      <c r="G873" s="832">
        <v>8.9268418673726408</v>
      </c>
      <c r="H873" s="831">
        <v>274.43</v>
      </c>
      <c r="I873" s="832">
        <v>43.46</v>
      </c>
      <c r="J873" s="832">
        <v>2910.63</v>
      </c>
      <c r="K873" s="832">
        <v>7872.2529999999997</v>
      </c>
    </row>
    <row r="874" spans="2:11">
      <c r="B874" s="805" t="str">
        <f t="shared" si="18"/>
        <v>Wed</v>
      </c>
      <c r="C874" s="825">
        <v>43740</v>
      </c>
      <c r="D874" s="831">
        <v>49.39</v>
      </c>
      <c r="E874" s="831">
        <v>43.26</v>
      </c>
      <c r="F874" s="832">
        <v>28.31</v>
      </c>
      <c r="G874" s="832">
        <v>9.0079927807142006</v>
      </c>
      <c r="H874" s="831">
        <v>270.07</v>
      </c>
      <c r="I874" s="832">
        <v>41.98</v>
      </c>
      <c r="J874" s="832">
        <v>2887.61</v>
      </c>
      <c r="K874" s="832">
        <v>7785.2340000000004</v>
      </c>
    </row>
    <row r="875" spans="2:11">
      <c r="B875" s="805" t="str">
        <f t="shared" si="18"/>
        <v>Tue</v>
      </c>
      <c r="C875" s="825">
        <v>43739</v>
      </c>
      <c r="D875" s="831">
        <v>50.76</v>
      </c>
      <c r="E875" s="831">
        <v>43.5</v>
      </c>
      <c r="F875" s="832">
        <v>28.76</v>
      </c>
      <c r="G875" s="832">
        <v>9.0084293160028306</v>
      </c>
      <c r="H875" s="831">
        <v>274.85000000000002</v>
      </c>
      <c r="I875" s="832">
        <v>42.3</v>
      </c>
      <c r="J875" s="832">
        <v>2940.25</v>
      </c>
      <c r="K875" s="832">
        <v>7908.674</v>
      </c>
    </row>
    <row r="876" spans="2:11">
      <c r="B876" s="805" t="str">
        <f t="shared" si="18"/>
        <v>Mon</v>
      </c>
      <c r="C876" s="825">
        <v>43738</v>
      </c>
      <c r="D876" s="831">
        <v>51.53</v>
      </c>
      <c r="E876" s="831">
        <v>43.517499999999998</v>
      </c>
      <c r="F876" s="832">
        <v>28.99</v>
      </c>
      <c r="G876" s="832">
        <v>8.7651456560969301</v>
      </c>
      <c r="H876" s="831">
        <v>276.07</v>
      </c>
      <c r="I876" s="832">
        <v>42.85</v>
      </c>
      <c r="J876" s="832">
        <v>2976.74</v>
      </c>
      <c r="K876" s="832">
        <v>7999.3320000000003</v>
      </c>
    </row>
    <row r="877" spans="2:11">
      <c r="B877" s="805" t="str">
        <f t="shared" si="18"/>
        <v>Sun</v>
      </c>
      <c r="C877" s="825">
        <v>43737</v>
      </c>
      <c r="D877" s="831">
        <v>50.78</v>
      </c>
      <c r="E877" s="831">
        <v>42.94</v>
      </c>
      <c r="F877" s="832">
        <v>28.72</v>
      </c>
      <c r="G877" s="832">
        <v>8.7651456560969301</v>
      </c>
      <c r="H877" s="831">
        <v>274.14</v>
      </c>
      <c r="I877" s="832">
        <v>43.21</v>
      </c>
      <c r="J877" s="832">
        <v>2961.79</v>
      </c>
      <c r="K877" s="832">
        <v>7939.6270000000004</v>
      </c>
    </row>
    <row r="878" spans="2:11">
      <c r="B878" s="805" t="str">
        <f t="shared" si="18"/>
        <v>Sat</v>
      </c>
      <c r="C878" s="825">
        <v>43736</v>
      </c>
      <c r="D878" s="831">
        <v>50.78</v>
      </c>
      <c r="E878" s="831">
        <v>42.94</v>
      </c>
      <c r="F878" s="832">
        <v>28.72</v>
      </c>
      <c r="G878" s="832">
        <v>8.7651456560969301</v>
      </c>
      <c r="H878" s="831">
        <v>274.14</v>
      </c>
      <c r="I878" s="832">
        <v>43.21</v>
      </c>
      <c r="J878" s="832">
        <v>2961.79</v>
      </c>
      <c r="K878" s="832">
        <v>7939.6270000000004</v>
      </c>
    </row>
    <row r="879" spans="2:11">
      <c r="B879" s="805" t="str">
        <f t="shared" si="18"/>
        <v>Fri</v>
      </c>
      <c r="C879" s="825">
        <v>43735</v>
      </c>
      <c r="D879" s="831">
        <v>50.78</v>
      </c>
      <c r="E879" s="831">
        <v>42.94</v>
      </c>
      <c r="F879" s="832">
        <v>28.72</v>
      </c>
      <c r="G879" s="832">
        <v>8.7651456560969301</v>
      </c>
      <c r="H879" s="831">
        <v>274.14</v>
      </c>
      <c r="I879" s="832">
        <v>43.21</v>
      </c>
      <c r="J879" s="832">
        <v>2961.79</v>
      </c>
      <c r="K879" s="832">
        <v>7939.6270000000004</v>
      </c>
    </row>
    <row r="880" spans="2:11">
      <c r="B880" s="805" t="str">
        <f t="shared" si="18"/>
        <v>Thu</v>
      </c>
      <c r="C880" s="825">
        <v>43734</v>
      </c>
      <c r="D880" s="831">
        <v>50.92</v>
      </c>
      <c r="E880" s="831">
        <v>44.335000000000001</v>
      </c>
      <c r="F880" s="832">
        <v>29.47</v>
      </c>
      <c r="G880" s="832">
        <v>8.6393088552915795</v>
      </c>
      <c r="H880" s="831">
        <v>276.91000000000003</v>
      </c>
      <c r="I880" s="832">
        <v>48.6</v>
      </c>
      <c r="J880" s="832">
        <v>2977.62</v>
      </c>
      <c r="K880" s="832">
        <v>8030.6610000000001</v>
      </c>
    </row>
    <row r="881" spans="2:11">
      <c r="B881" s="805" t="str">
        <f t="shared" si="18"/>
        <v>Wed</v>
      </c>
      <c r="C881" s="825">
        <v>43733</v>
      </c>
      <c r="D881" s="831">
        <v>51.02</v>
      </c>
      <c r="E881" s="831">
        <v>44.557499999999997</v>
      </c>
      <c r="F881" s="832">
        <v>29.54</v>
      </c>
      <c r="G881" s="832">
        <v>8.5753892775395695</v>
      </c>
      <c r="H881" s="831">
        <v>275.77</v>
      </c>
      <c r="I881" s="832">
        <v>49.47</v>
      </c>
      <c r="J881" s="832">
        <v>2984.87</v>
      </c>
      <c r="K881" s="832">
        <v>8077.384</v>
      </c>
    </row>
    <row r="882" spans="2:11">
      <c r="B882" s="805" t="str">
        <f t="shared" si="18"/>
        <v>Tue</v>
      </c>
      <c r="C882" s="825">
        <v>43732</v>
      </c>
      <c r="D882" s="831">
        <v>49.82</v>
      </c>
      <c r="E882" s="831">
        <v>43.1325</v>
      </c>
      <c r="F882" s="832">
        <v>29.52</v>
      </c>
      <c r="G882" s="832">
        <v>8.5384714525067693</v>
      </c>
      <c r="H882" s="831">
        <v>282.31</v>
      </c>
      <c r="I882" s="832">
        <v>48.51</v>
      </c>
      <c r="J882" s="832">
        <v>2966.6</v>
      </c>
      <c r="K882" s="832">
        <v>7993.6270000000004</v>
      </c>
    </row>
    <row r="883" spans="2:11">
      <c r="B883" s="805" t="str">
        <f t="shared" si="18"/>
        <v>Mon</v>
      </c>
      <c r="C883" s="825">
        <v>43731</v>
      </c>
      <c r="D883" s="831">
        <v>50.9</v>
      </c>
      <c r="E883" s="831">
        <v>43.71</v>
      </c>
      <c r="F883" s="832">
        <v>30.64</v>
      </c>
      <c r="G883" s="832">
        <v>8.5241031933098697</v>
      </c>
      <c r="H883" s="831">
        <v>285.45999999999998</v>
      </c>
      <c r="I883" s="832">
        <v>49.6</v>
      </c>
      <c r="J883" s="832">
        <v>2991.78</v>
      </c>
      <c r="K883" s="832">
        <v>8112.4620000000004</v>
      </c>
    </row>
    <row r="884" spans="2:11">
      <c r="B884" s="805" t="str">
        <f t="shared" si="18"/>
        <v>Sun</v>
      </c>
      <c r="C884" s="825">
        <v>43730</v>
      </c>
      <c r="D884" s="831">
        <v>50.72</v>
      </c>
      <c r="E884" s="831">
        <v>43.172499999999999</v>
      </c>
      <c r="F884" s="832">
        <v>30.05</v>
      </c>
      <c r="G884" s="832">
        <v>8.5210767542443993</v>
      </c>
      <c r="H884" s="831">
        <v>284.26</v>
      </c>
      <c r="I884" s="832">
        <v>49.16</v>
      </c>
      <c r="J884" s="832">
        <v>2992.07</v>
      </c>
      <c r="K884" s="832">
        <v>8117.674</v>
      </c>
    </row>
    <row r="885" spans="2:11">
      <c r="B885" s="805" t="str">
        <f t="shared" si="18"/>
        <v>Sat</v>
      </c>
      <c r="C885" s="825">
        <v>43729</v>
      </c>
      <c r="D885" s="831">
        <v>50.72</v>
      </c>
      <c r="E885" s="831">
        <v>43.172499999999999</v>
      </c>
      <c r="F885" s="832">
        <v>30.05</v>
      </c>
      <c r="G885" s="832">
        <v>8.5210767542443993</v>
      </c>
      <c r="H885" s="831">
        <v>284.26</v>
      </c>
      <c r="I885" s="832">
        <v>49.16</v>
      </c>
      <c r="J885" s="832">
        <v>2992.07</v>
      </c>
      <c r="K885" s="832">
        <v>8117.674</v>
      </c>
    </row>
    <row r="886" spans="2:11">
      <c r="B886" s="805" t="str">
        <f t="shared" si="18"/>
        <v>Fri</v>
      </c>
      <c r="C886" s="825">
        <v>43728</v>
      </c>
      <c r="D886" s="831">
        <v>50.72</v>
      </c>
      <c r="E886" s="831">
        <v>43.172499999999999</v>
      </c>
      <c r="F886" s="832">
        <v>30.05</v>
      </c>
      <c r="G886" s="832">
        <v>8.5210767542443993</v>
      </c>
      <c r="H886" s="831">
        <v>284.26</v>
      </c>
      <c r="I886" s="832">
        <v>49.16</v>
      </c>
      <c r="J886" s="832">
        <v>2992.07</v>
      </c>
      <c r="K886" s="832">
        <v>8117.674</v>
      </c>
    </row>
    <row r="887" spans="2:11">
      <c r="B887" s="805" t="str">
        <f t="shared" si="18"/>
        <v>Thu</v>
      </c>
      <c r="C887" s="825">
        <v>43727</v>
      </c>
      <c r="D887" s="831">
        <v>51.57</v>
      </c>
      <c r="E887" s="831">
        <v>44.234999999999999</v>
      </c>
      <c r="F887" s="832">
        <v>30.29</v>
      </c>
      <c r="G887" s="832">
        <v>8.5508696073053496</v>
      </c>
      <c r="H887" s="831">
        <v>290.64</v>
      </c>
      <c r="I887" s="832">
        <v>49.82</v>
      </c>
      <c r="J887" s="832">
        <v>3006.79</v>
      </c>
      <c r="K887" s="832">
        <v>8182.8789999999999</v>
      </c>
    </row>
    <row r="888" spans="2:11">
      <c r="B888" s="805" t="str">
        <f t="shared" si="18"/>
        <v>Wed</v>
      </c>
      <c r="C888" s="825">
        <v>43726</v>
      </c>
      <c r="D888" s="831">
        <v>51.74</v>
      </c>
      <c r="E888" s="831">
        <v>44.994999999999997</v>
      </c>
      <c r="F888" s="832">
        <v>30.42</v>
      </c>
      <c r="G888" s="832">
        <v>8.6251453676185506</v>
      </c>
      <c r="H888" s="831">
        <v>287.74</v>
      </c>
      <c r="I888" s="832">
        <v>50.48</v>
      </c>
      <c r="J888" s="832">
        <v>3006.73</v>
      </c>
      <c r="K888" s="832">
        <v>8177.3919999999998</v>
      </c>
    </row>
    <row r="889" spans="2:11">
      <c r="B889" s="805" t="str">
        <f t="shared" si="18"/>
        <v>Tue</v>
      </c>
      <c r="C889" s="825">
        <v>43725</v>
      </c>
      <c r="D889" s="831">
        <v>51.95</v>
      </c>
      <c r="E889" s="831">
        <v>45.267499999999998</v>
      </c>
      <c r="F889" s="832">
        <v>30.99</v>
      </c>
      <c r="G889" s="832">
        <v>8.5691188358932902</v>
      </c>
      <c r="H889" s="831">
        <v>288.83</v>
      </c>
      <c r="I889" s="832">
        <v>50.84</v>
      </c>
      <c r="J889" s="832">
        <v>3005.7</v>
      </c>
      <c r="K889" s="832">
        <v>8186.0159999999996</v>
      </c>
    </row>
    <row r="890" spans="2:11">
      <c r="B890" s="805" t="str">
        <f t="shared" si="18"/>
        <v>Mon</v>
      </c>
      <c r="C890" s="825">
        <v>43724</v>
      </c>
      <c r="D890" s="831">
        <v>52.2</v>
      </c>
      <c r="E890" s="831">
        <v>45.052500000000002</v>
      </c>
      <c r="F890" s="832">
        <v>30.83</v>
      </c>
      <c r="G890" s="832">
        <v>8.5936235636834404</v>
      </c>
      <c r="H890" s="831">
        <v>288.66000000000003</v>
      </c>
      <c r="I890" s="832">
        <v>50.15</v>
      </c>
      <c r="J890" s="832">
        <v>2997.96</v>
      </c>
      <c r="K890" s="832">
        <v>8153.5429999999997</v>
      </c>
    </row>
    <row r="891" spans="2:11">
      <c r="B891" s="805" t="str">
        <f t="shared" si="18"/>
        <v>Sun</v>
      </c>
      <c r="C891" s="825">
        <v>43723</v>
      </c>
      <c r="D891" s="831">
        <v>52.54</v>
      </c>
      <c r="E891" s="831">
        <v>45.484999999999999</v>
      </c>
      <c r="F891" s="832">
        <v>30.69</v>
      </c>
      <c r="G891" s="832">
        <v>8.4932216002847305</v>
      </c>
      <c r="H891" s="831">
        <v>290.32</v>
      </c>
      <c r="I891" s="832">
        <v>50.5</v>
      </c>
      <c r="J891" s="832">
        <v>3007.39</v>
      </c>
      <c r="K891" s="832">
        <v>8176.7129999999997</v>
      </c>
    </row>
    <row r="892" spans="2:11">
      <c r="B892" s="805" t="str">
        <f t="shared" si="18"/>
        <v>Sat</v>
      </c>
      <c r="C892" s="825">
        <v>43722</v>
      </c>
      <c r="D892" s="831">
        <v>52.54</v>
      </c>
      <c r="E892" s="831">
        <v>45.484999999999999</v>
      </c>
      <c r="F892" s="832">
        <v>30.69</v>
      </c>
      <c r="G892" s="832">
        <v>8.4932216002847305</v>
      </c>
      <c r="H892" s="831">
        <v>290.32</v>
      </c>
      <c r="I892" s="832">
        <v>50.5</v>
      </c>
      <c r="J892" s="832">
        <v>3007.39</v>
      </c>
      <c r="K892" s="832">
        <v>8176.7129999999997</v>
      </c>
    </row>
    <row r="893" spans="2:11">
      <c r="B893" s="805" t="str">
        <f t="shared" si="18"/>
        <v>Fri</v>
      </c>
      <c r="C893" s="825">
        <v>43721</v>
      </c>
      <c r="D893" s="831">
        <v>52.54</v>
      </c>
      <c r="E893" s="831">
        <v>45.484999999999999</v>
      </c>
      <c r="F893" s="832">
        <v>30.69</v>
      </c>
      <c r="G893" s="832">
        <v>8.4932216002847305</v>
      </c>
      <c r="H893" s="831">
        <v>290.32</v>
      </c>
      <c r="I893" s="832">
        <v>50.5</v>
      </c>
      <c r="J893" s="832">
        <v>3007.39</v>
      </c>
      <c r="K893" s="832">
        <v>8176.7129999999997</v>
      </c>
    </row>
    <row r="894" spans="2:11">
      <c r="B894" s="805" t="str">
        <f t="shared" si="18"/>
        <v>Thu</v>
      </c>
      <c r="C894" s="825">
        <v>43720</v>
      </c>
      <c r="D894" s="831">
        <v>53.01</v>
      </c>
      <c r="E894" s="831">
        <v>46.067500000000003</v>
      </c>
      <c r="F894" s="832">
        <v>30.21</v>
      </c>
      <c r="G894" s="832">
        <v>8.4932216002847305</v>
      </c>
      <c r="H894" s="831">
        <v>300.58</v>
      </c>
      <c r="I894" s="832">
        <v>50.44</v>
      </c>
      <c r="J894" s="832">
        <v>3009.57</v>
      </c>
      <c r="K894" s="832">
        <v>8194.4670000000006</v>
      </c>
    </row>
    <row r="895" spans="2:11">
      <c r="B895" s="805" t="str">
        <f t="shared" si="18"/>
        <v>Wed</v>
      </c>
      <c r="C895" s="825">
        <v>43719</v>
      </c>
      <c r="D895" s="831">
        <v>52.79</v>
      </c>
      <c r="E895" s="831">
        <v>46.082500000000003</v>
      </c>
      <c r="F895" s="832">
        <v>29.76</v>
      </c>
      <c r="G895" s="832">
        <v>8.4500706850019291</v>
      </c>
      <c r="H895" s="831">
        <v>298.01</v>
      </c>
      <c r="I895" s="832">
        <v>50.48</v>
      </c>
      <c r="J895" s="832">
        <v>3000.93</v>
      </c>
      <c r="K895" s="832">
        <v>8169.6779999999999</v>
      </c>
    </row>
    <row r="896" spans="2:11">
      <c r="B896" s="805" t="str">
        <f t="shared" si="18"/>
        <v>Tue</v>
      </c>
      <c r="C896" s="825">
        <v>43718</v>
      </c>
      <c r="D896" s="831">
        <v>51.82</v>
      </c>
      <c r="E896" s="831">
        <v>45.795000000000002</v>
      </c>
      <c r="F896" s="832">
        <v>30.23</v>
      </c>
      <c r="G896" s="832">
        <v>8.3854417187750503</v>
      </c>
      <c r="H896" s="831">
        <v>294.44</v>
      </c>
      <c r="I896" s="832">
        <v>49.39</v>
      </c>
      <c r="J896" s="832">
        <v>2979.39</v>
      </c>
      <c r="K896" s="832">
        <v>8084.1549999999997</v>
      </c>
    </row>
    <row r="897" spans="2:11">
      <c r="B897" s="805" t="str">
        <f t="shared" si="18"/>
        <v>Mon</v>
      </c>
      <c r="C897" s="825">
        <v>43717</v>
      </c>
      <c r="D897" s="831">
        <v>51.59</v>
      </c>
      <c r="E897" s="831">
        <v>45.125</v>
      </c>
      <c r="F897" s="832">
        <v>30.5</v>
      </c>
      <c r="G897" s="832">
        <v>8.4944065134467994</v>
      </c>
      <c r="H897" s="831">
        <v>292.61</v>
      </c>
      <c r="I897" s="832">
        <v>49.13</v>
      </c>
      <c r="J897" s="832">
        <v>2978.43</v>
      </c>
      <c r="K897" s="832">
        <v>8087.4369999999999</v>
      </c>
    </row>
    <row r="898" spans="2:11">
      <c r="B898" s="805" t="str">
        <f t="shared" si="18"/>
        <v>Sun</v>
      </c>
      <c r="C898" s="825">
        <v>43716</v>
      </c>
      <c r="D898" s="831">
        <v>50.92</v>
      </c>
      <c r="E898" s="831">
        <v>44.662500000000001</v>
      </c>
      <c r="F898" s="832">
        <v>30.56</v>
      </c>
      <c r="G898" s="832">
        <v>8.4506590551938707</v>
      </c>
      <c r="H898" s="831">
        <v>291.91000000000003</v>
      </c>
      <c r="I898" s="832">
        <v>48.97</v>
      </c>
      <c r="J898" s="832">
        <v>2978.71</v>
      </c>
      <c r="K898" s="832">
        <v>8103.0739999999996</v>
      </c>
    </row>
    <row r="899" spans="2:11">
      <c r="B899" s="805" t="str">
        <f t="shared" si="18"/>
        <v>Sat</v>
      </c>
      <c r="C899" s="825">
        <v>43715</v>
      </c>
      <c r="D899" s="831">
        <v>50.92</v>
      </c>
      <c r="E899" s="831">
        <v>44.662500000000001</v>
      </c>
      <c r="F899" s="832">
        <v>30.56</v>
      </c>
      <c r="G899" s="832">
        <v>8.4506590551938707</v>
      </c>
      <c r="H899" s="831">
        <v>291.91000000000003</v>
      </c>
      <c r="I899" s="832">
        <v>48.97</v>
      </c>
      <c r="J899" s="832">
        <v>2978.71</v>
      </c>
      <c r="K899" s="832">
        <v>8103.0739999999996</v>
      </c>
    </row>
    <row r="900" spans="2:11">
      <c r="B900" s="805" t="str">
        <f t="shared" si="18"/>
        <v>Fri</v>
      </c>
      <c r="C900" s="825">
        <v>43714</v>
      </c>
      <c r="D900" s="831">
        <v>50.92</v>
      </c>
      <c r="E900" s="831">
        <v>44.662500000000001</v>
      </c>
      <c r="F900" s="832">
        <v>30.56</v>
      </c>
      <c r="G900" s="832">
        <v>8.4506590551938707</v>
      </c>
      <c r="H900" s="831">
        <v>291.91000000000003</v>
      </c>
      <c r="I900" s="832">
        <v>48.97</v>
      </c>
      <c r="J900" s="832">
        <v>2978.71</v>
      </c>
      <c r="K900" s="832">
        <v>8103.0739999999996</v>
      </c>
    </row>
    <row r="901" spans="2:11">
      <c r="B901" s="805" t="str">
        <f t="shared" si="18"/>
        <v>Thu</v>
      </c>
      <c r="C901" s="825">
        <v>43713</v>
      </c>
      <c r="D901" s="831">
        <v>50.1</v>
      </c>
      <c r="E901" s="831">
        <v>44.935000000000002</v>
      </c>
      <c r="F901" s="832">
        <v>31.5</v>
      </c>
      <c r="G901" s="832">
        <v>8.4133077415227095</v>
      </c>
      <c r="H901" s="831">
        <v>291.02</v>
      </c>
      <c r="I901" s="832">
        <v>49.03</v>
      </c>
      <c r="J901" s="832">
        <v>2976</v>
      </c>
      <c r="K901" s="832">
        <v>8116.8280000000004</v>
      </c>
    </row>
    <row r="902" spans="2:11">
      <c r="B902" s="805" t="str">
        <f t="shared" si="18"/>
        <v>Wed</v>
      </c>
      <c r="C902" s="825">
        <v>43712</v>
      </c>
      <c r="D902" s="831">
        <v>48.92</v>
      </c>
      <c r="E902" s="831">
        <v>42.19</v>
      </c>
      <c r="F902" s="832">
        <v>30.95</v>
      </c>
      <c r="G902" s="832">
        <v>8.2389454149868797</v>
      </c>
      <c r="H902" s="831">
        <v>283.02</v>
      </c>
      <c r="I902" s="832">
        <v>46.81</v>
      </c>
      <c r="J902" s="832">
        <v>2937.78</v>
      </c>
      <c r="K902" s="832">
        <v>7976.88</v>
      </c>
    </row>
    <row r="903" spans="2:11">
      <c r="B903" s="805" t="str">
        <f t="shared" si="18"/>
        <v>Tue</v>
      </c>
      <c r="C903" s="825">
        <v>43711</v>
      </c>
      <c r="D903" s="831">
        <v>46.98</v>
      </c>
      <c r="E903" s="831">
        <v>41.042499999999997</v>
      </c>
      <c r="F903" s="832">
        <v>30.9</v>
      </c>
      <c r="G903" s="832">
        <v>8.1000063779577793</v>
      </c>
      <c r="H903" s="831">
        <v>274.05</v>
      </c>
      <c r="I903" s="832">
        <v>44.99</v>
      </c>
      <c r="J903" s="832">
        <v>2906.27</v>
      </c>
      <c r="K903" s="832">
        <v>7874.1580000000004</v>
      </c>
    </row>
    <row r="904" spans="2:11">
      <c r="B904" s="805" t="str">
        <f t="shared" ref="B904:B967" si="19">TEXT(C904,"DDD")</f>
        <v>Mon</v>
      </c>
      <c r="C904" s="825">
        <v>43710</v>
      </c>
      <c r="D904" s="831">
        <v>47.41</v>
      </c>
      <c r="E904" s="831">
        <v>41.877499999999998</v>
      </c>
      <c r="F904" s="832">
        <v>31.45</v>
      </c>
      <c r="G904" s="832">
        <v>8.2071713147410392</v>
      </c>
      <c r="H904" s="831">
        <v>282.64</v>
      </c>
      <c r="I904" s="832">
        <v>45.27</v>
      </c>
      <c r="J904" s="832">
        <v>2926.46</v>
      </c>
      <c r="K904" s="832">
        <v>7962.8819999999996</v>
      </c>
    </row>
    <row r="905" spans="2:11">
      <c r="B905" s="805" t="str">
        <f t="shared" si="19"/>
        <v>Sun</v>
      </c>
      <c r="C905" s="825">
        <v>43709</v>
      </c>
      <c r="D905" s="831">
        <v>47.41</v>
      </c>
      <c r="E905" s="831">
        <v>41.877499999999998</v>
      </c>
      <c r="F905" s="832">
        <v>31.45</v>
      </c>
      <c r="G905" s="832">
        <v>8.2700044702726903</v>
      </c>
      <c r="H905" s="831">
        <v>282.64</v>
      </c>
      <c r="I905" s="832">
        <v>45.27</v>
      </c>
      <c r="J905" s="832">
        <v>2926.46</v>
      </c>
      <c r="K905" s="832">
        <v>7962.8819999999996</v>
      </c>
    </row>
    <row r="906" spans="2:11">
      <c r="B906" s="805" t="str">
        <f t="shared" si="19"/>
        <v>Sat</v>
      </c>
      <c r="C906" s="825">
        <v>43708</v>
      </c>
      <c r="D906" s="831">
        <v>47.41</v>
      </c>
      <c r="E906" s="831">
        <v>41.877499999999998</v>
      </c>
      <c r="F906" s="832">
        <v>31.45</v>
      </c>
      <c r="G906" s="832">
        <v>8.2700044702726903</v>
      </c>
      <c r="H906" s="831">
        <v>282.64</v>
      </c>
      <c r="I906" s="832">
        <v>45.27</v>
      </c>
      <c r="J906" s="832">
        <v>2926.46</v>
      </c>
      <c r="K906" s="832">
        <v>7962.8819999999996</v>
      </c>
    </row>
    <row r="907" spans="2:11">
      <c r="B907" s="805" t="str">
        <f t="shared" si="19"/>
        <v>Fri</v>
      </c>
      <c r="C907" s="825">
        <v>43707</v>
      </c>
      <c r="D907" s="831">
        <v>47.41</v>
      </c>
      <c r="E907" s="831">
        <v>41.877499999999998</v>
      </c>
      <c r="F907" s="832">
        <v>31.45</v>
      </c>
      <c r="G907" s="832">
        <v>8.2700044702726903</v>
      </c>
      <c r="H907" s="831">
        <v>282.64</v>
      </c>
      <c r="I907" s="832">
        <v>45.27</v>
      </c>
      <c r="J907" s="832">
        <v>2926.46</v>
      </c>
      <c r="K907" s="832">
        <v>7962.8819999999996</v>
      </c>
    </row>
    <row r="908" spans="2:11">
      <c r="B908" s="805" t="str">
        <f t="shared" si="19"/>
        <v>Thu</v>
      </c>
      <c r="C908" s="825">
        <v>43706</v>
      </c>
      <c r="D908" s="831">
        <v>46.87</v>
      </c>
      <c r="E908" s="831">
        <v>41.75</v>
      </c>
      <c r="F908" s="832">
        <v>31.45</v>
      </c>
      <c r="G908" s="832">
        <v>8.11320152042674</v>
      </c>
      <c r="H908" s="831">
        <v>283.37</v>
      </c>
      <c r="I908" s="832">
        <v>44.67</v>
      </c>
      <c r="J908" s="832">
        <v>2924.58</v>
      </c>
      <c r="K908" s="832">
        <v>7973.3940000000002</v>
      </c>
    </row>
    <row r="909" spans="2:11">
      <c r="B909" s="805" t="str">
        <f t="shared" si="19"/>
        <v>Wed</v>
      </c>
      <c r="C909" s="825">
        <v>43705</v>
      </c>
      <c r="D909" s="831">
        <v>45.79</v>
      </c>
      <c r="E909" s="831">
        <v>40.305</v>
      </c>
      <c r="F909" s="832">
        <v>30.78</v>
      </c>
      <c r="G909" s="832">
        <v>8.0272672251775905</v>
      </c>
      <c r="H909" s="831">
        <v>276.06</v>
      </c>
      <c r="I909" s="832">
        <v>43.15</v>
      </c>
      <c r="J909" s="832">
        <v>2887.94</v>
      </c>
      <c r="K909" s="832">
        <v>7856.8819999999996</v>
      </c>
    </row>
    <row r="910" spans="2:11">
      <c r="B910" s="805" t="str">
        <f t="shared" si="19"/>
        <v>Tue</v>
      </c>
      <c r="C910" s="825">
        <v>43704</v>
      </c>
      <c r="D910" s="831">
        <v>45.79</v>
      </c>
      <c r="E910" s="831">
        <v>40.450000000000003</v>
      </c>
      <c r="F910" s="832">
        <v>30.2</v>
      </c>
      <c r="G910" s="832">
        <v>7.9610228322134802</v>
      </c>
      <c r="H910" s="831">
        <v>275.57</v>
      </c>
      <c r="I910" s="832">
        <v>42.44</v>
      </c>
      <c r="J910" s="832">
        <v>2869.16</v>
      </c>
      <c r="K910" s="832">
        <v>7826.9459999999999</v>
      </c>
    </row>
    <row r="911" spans="2:11">
      <c r="B911" s="805" t="str">
        <f t="shared" si="19"/>
        <v>Mon</v>
      </c>
      <c r="C911" s="825">
        <v>43703</v>
      </c>
      <c r="D911" s="831">
        <v>45.56</v>
      </c>
      <c r="E911" s="831">
        <v>41.362499999999997</v>
      </c>
      <c r="F911" s="832">
        <v>30.28</v>
      </c>
      <c r="G911" s="832">
        <v>7.9198138764062902</v>
      </c>
      <c r="H911" s="831">
        <v>277.22000000000003</v>
      </c>
      <c r="I911" s="832">
        <v>43.43</v>
      </c>
      <c r="J911" s="832">
        <v>2878.38</v>
      </c>
      <c r="K911" s="832">
        <v>7853.7349999999997</v>
      </c>
    </row>
    <row r="912" spans="2:11">
      <c r="B912" s="805" t="str">
        <f t="shared" si="19"/>
        <v>Sun</v>
      </c>
      <c r="C912" s="825">
        <v>43702</v>
      </c>
      <c r="D912" s="831">
        <v>44.96</v>
      </c>
      <c r="E912" s="831">
        <v>40.61</v>
      </c>
      <c r="F912" s="832">
        <v>29.54</v>
      </c>
      <c r="G912" s="832">
        <v>8.0842802126101994</v>
      </c>
      <c r="H912" s="831">
        <v>272.13</v>
      </c>
      <c r="I912" s="832">
        <v>42.96</v>
      </c>
      <c r="J912" s="832">
        <v>2847.11</v>
      </c>
      <c r="K912" s="832">
        <v>7751.7659999999996</v>
      </c>
    </row>
    <row r="913" spans="2:11">
      <c r="B913" s="805" t="str">
        <f t="shared" si="19"/>
        <v>Sat</v>
      </c>
      <c r="C913" s="825">
        <v>43701</v>
      </c>
      <c r="D913" s="831">
        <v>44.96</v>
      </c>
      <c r="E913" s="831">
        <v>40.61</v>
      </c>
      <c r="F913" s="832">
        <v>29.54</v>
      </c>
      <c r="G913" s="832">
        <v>8.0842802126101994</v>
      </c>
      <c r="H913" s="831">
        <v>272.13</v>
      </c>
      <c r="I913" s="832">
        <v>42.96</v>
      </c>
      <c r="J913" s="832">
        <v>2847.11</v>
      </c>
      <c r="K913" s="832">
        <v>7751.7659999999996</v>
      </c>
    </row>
    <row r="914" spans="2:11">
      <c r="B914" s="805" t="str">
        <f t="shared" si="19"/>
        <v>Fri</v>
      </c>
      <c r="C914" s="825">
        <v>43700</v>
      </c>
      <c r="D914" s="831">
        <v>44.96</v>
      </c>
      <c r="E914" s="831">
        <v>40.61</v>
      </c>
      <c r="F914" s="832">
        <v>29.54</v>
      </c>
      <c r="G914" s="832">
        <v>8.0842802126101994</v>
      </c>
      <c r="H914" s="831">
        <v>272.13</v>
      </c>
      <c r="I914" s="832">
        <v>42.96</v>
      </c>
      <c r="J914" s="832">
        <v>2847.11</v>
      </c>
      <c r="K914" s="832">
        <v>7751.7659999999996</v>
      </c>
    </row>
    <row r="915" spans="2:11">
      <c r="B915" s="805" t="str">
        <f t="shared" si="19"/>
        <v>Thu</v>
      </c>
      <c r="C915" s="825">
        <v>43699</v>
      </c>
      <c r="D915" s="831">
        <v>46.78</v>
      </c>
      <c r="E915" s="831">
        <v>42.87</v>
      </c>
      <c r="F915" s="832">
        <v>31.9</v>
      </c>
      <c r="G915" s="832">
        <v>8.0987150463922504</v>
      </c>
      <c r="H915" s="831">
        <v>287.62</v>
      </c>
      <c r="I915" s="832">
        <v>44.78</v>
      </c>
      <c r="J915" s="832">
        <v>2922.95</v>
      </c>
      <c r="K915" s="832">
        <v>7991.3879999999999</v>
      </c>
    </row>
    <row r="916" spans="2:11">
      <c r="B916" s="805" t="str">
        <f t="shared" si="19"/>
        <v>Wed</v>
      </c>
      <c r="C916" s="825">
        <v>43698</v>
      </c>
      <c r="D916" s="831">
        <v>47.15</v>
      </c>
      <c r="E916" s="831">
        <v>42.807499999999997</v>
      </c>
      <c r="F916" s="832">
        <v>31.7</v>
      </c>
      <c r="G916" s="832">
        <v>8.1234638833030104</v>
      </c>
      <c r="H916" s="831">
        <v>287.5</v>
      </c>
      <c r="I916" s="832">
        <v>44.17</v>
      </c>
      <c r="J916" s="832">
        <v>2924.43</v>
      </c>
      <c r="K916" s="832">
        <v>8020.2079999999996</v>
      </c>
    </row>
    <row r="917" spans="2:11">
      <c r="B917" s="805" t="str">
        <f t="shared" si="19"/>
        <v>Tue</v>
      </c>
      <c r="C917" s="825">
        <v>43697</v>
      </c>
      <c r="D917" s="831">
        <v>46.6</v>
      </c>
      <c r="E917" s="831">
        <v>41.967500000000001</v>
      </c>
      <c r="F917" s="832">
        <v>30.72</v>
      </c>
      <c r="G917" s="832">
        <v>8.1239825071025003</v>
      </c>
      <c r="H917" s="831">
        <v>280.37</v>
      </c>
      <c r="I917" s="832">
        <v>44.23</v>
      </c>
      <c r="J917" s="832">
        <v>2900.51</v>
      </c>
      <c r="K917" s="832">
        <v>7948.56</v>
      </c>
    </row>
    <row r="918" spans="2:11">
      <c r="B918" s="805" t="str">
        <f t="shared" si="19"/>
        <v>Mon</v>
      </c>
      <c r="C918" s="825">
        <v>43696</v>
      </c>
      <c r="D918" s="831">
        <v>47.23</v>
      </c>
      <c r="E918" s="831">
        <v>42.695</v>
      </c>
      <c r="F918" s="832">
        <v>31.48</v>
      </c>
      <c r="G918" s="832">
        <v>8.0346894528759094</v>
      </c>
      <c r="H918" s="831">
        <v>278.77999999999997</v>
      </c>
      <c r="I918" s="832">
        <v>45.01</v>
      </c>
      <c r="J918" s="832">
        <v>2923.65</v>
      </c>
      <c r="K918" s="832">
        <v>8002.8119999999999</v>
      </c>
    </row>
    <row r="919" spans="2:11">
      <c r="B919" s="805" t="str">
        <f t="shared" si="19"/>
        <v>Sun</v>
      </c>
      <c r="C919" s="825">
        <v>43695</v>
      </c>
      <c r="D919" s="831">
        <v>46.5</v>
      </c>
      <c r="E919" s="831">
        <v>39.89</v>
      </c>
      <c r="F919" s="832">
        <v>31.18</v>
      </c>
      <c r="G919" s="832">
        <v>7.9869652726749898</v>
      </c>
      <c r="H919" s="831">
        <v>273.77999999999997</v>
      </c>
      <c r="I919" s="832">
        <v>43.55</v>
      </c>
      <c r="J919" s="832">
        <v>2888.68</v>
      </c>
      <c r="K919" s="832">
        <v>7895.9939999999997</v>
      </c>
    </row>
    <row r="920" spans="2:11">
      <c r="B920" s="805" t="str">
        <f t="shared" si="19"/>
        <v>Sat</v>
      </c>
      <c r="C920" s="825">
        <v>43694</v>
      </c>
      <c r="D920" s="831">
        <v>46.5</v>
      </c>
      <c r="E920" s="831">
        <v>39.89</v>
      </c>
      <c r="F920" s="832">
        <v>31.18</v>
      </c>
      <c r="G920" s="832">
        <v>7.9869652726749898</v>
      </c>
      <c r="H920" s="831">
        <v>273.77999999999997</v>
      </c>
      <c r="I920" s="832">
        <v>43.55</v>
      </c>
      <c r="J920" s="832">
        <v>2888.68</v>
      </c>
      <c r="K920" s="832">
        <v>7895.9939999999997</v>
      </c>
    </row>
    <row r="921" spans="2:11">
      <c r="B921" s="805" t="str">
        <f t="shared" si="19"/>
        <v>Fri</v>
      </c>
      <c r="C921" s="825">
        <v>43693</v>
      </c>
      <c r="D921" s="831">
        <v>46.5</v>
      </c>
      <c r="E921" s="831">
        <v>39.89</v>
      </c>
      <c r="F921" s="832">
        <v>31.18</v>
      </c>
      <c r="G921" s="832">
        <v>7.9869652726749898</v>
      </c>
      <c r="H921" s="831">
        <v>273.77999999999997</v>
      </c>
      <c r="I921" s="832">
        <v>43.55</v>
      </c>
      <c r="J921" s="832">
        <v>2888.68</v>
      </c>
      <c r="K921" s="832">
        <v>7895.9939999999997</v>
      </c>
    </row>
    <row r="922" spans="2:11">
      <c r="B922" s="805" t="str">
        <f t="shared" si="19"/>
        <v>Thu</v>
      </c>
      <c r="C922" s="825">
        <v>43692</v>
      </c>
      <c r="D922" s="831">
        <v>45.7</v>
      </c>
      <c r="E922" s="831">
        <v>37.192500000000003</v>
      </c>
      <c r="F922" s="832">
        <v>29.67</v>
      </c>
      <c r="G922" s="832">
        <v>7.9263615443620603</v>
      </c>
      <c r="H922" s="831">
        <v>268.64</v>
      </c>
      <c r="I922" s="832">
        <v>42.24</v>
      </c>
      <c r="J922" s="832">
        <v>2847.6</v>
      </c>
      <c r="K922" s="832">
        <v>7766.6170000000002</v>
      </c>
    </row>
    <row r="923" spans="2:11">
      <c r="B923" s="805" t="str">
        <f t="shared" si="19"/>
        <v>Wed</v>
      </c>
      <c r="C923" s="825">
        <v>43691</v>
      </c>
      <c r="D923" s="831">
        <v>45.87</v>
      </c>
      <c r="E923" s="831">
        <v>37.517499999999998</v>
      </c>
      <c r="F923" s="832">
        <v>30.24</v>
      </c>
      <c r="G923" s="832">
        <v>7.9461129335329099</v>
      </c>
      <c r="H923" s="831">
        <v>271.56</v>
      </c>
      <c r="I923" s="832">
        <v>42.04</v>
      </c>
      <c r="J923" s="832">
        <v>2840.6</v>
      </c>
      <c r="K923" s="832">
        <v>7773.9390000000003</v>
      </c>
    </row>
    <row r="924" spans="2:11">
      <c r="B924" s="805" t="str">
        <f t="shared" si="19"/>
        <v>Tue</v>
      </c>
      <c r="C924" s="825">
        <v>43690</v>
      </c>
      <c r="D924" s="831">
        <v>46.84</v>
      </c>
      <c r="E924" s="831">
        <v>39.012500000000003</v>
      </c>
      <c r="F924" s="832">
        <v>32.11</v>
      </c>
      <c r="G924" s="832">
        <v>7.9148471615720499</v>
      </c>
      <c r="H924" s="831">
        <v>283.7</v>
      </c>
      <c r="I924" s="832">
        <v>44.17</v>
      </c>
      <c r="J924" s="832">
        <v>2926.32</v>
      </c>
      <c r="K924" s="832">
        <v>8016.3590000000004</v>
      </c>
    </row>
    <row r="925" spans="2:11">
      <c r="B925" s="805" t="str">
        <f t="shared" si="19"/>
        <v>Mon</v>
      </c>
      <c r="C925" s="825">
        <v>43689</v>
      </c>
      <c r="D925" s="831">
        <v>45.6</v>
      </c>
      <c r="E925" s="831">
        <v>37.862499999999997</v>
      </c>
      <c r="F925" s="832">
        <v>32.43</v>
      </c>
      <c r="G925" s="832">
        <v>7.9786388632823702</v>
      </c>
      <c r="H925" s="831">
        <v>275.64</v>
      </c>
      <c r="I925" s="832">
        <v>42.13</v>
      </c>
      <c r="J925" s="832">
        <v>2883.75</v>
      </c>
      <c r="K925" s="832">
        <v>7863.4110000000001</v>
      </c>
    </row>
    <row r="926" spans="2:11">
      <c r="B926" s="805" t="str">
        <f t="shared" si="19"/>
        <v>Sun</v>
      </c>
      <c r="C926" s="825">
        <v>43688</v>
      </c>
      <c r="D926" s="831">
        <v>45.98</v>
      </c>
      <c r="E926" s="831">
        <v>38.545000000000002</v>
      </c>
      <c r="F926" s="832">
        <v>34.19</v>
      </c>
      <c r="G926" s="832">
        <v>8.1024067504075195</v>
      </c>
      <c r="H926" s="831">
        <v>275.73</v>
      </c>
      <c r="I926" s="832">
        <v>41.52</v>
      </c>
      <c r="J926" s="832">
        <v>2918.65</v>
      </c>
      <c r="K926" s="832">
        <v>7959.14</v>
      </c>
    </row>
    <row r="927" spans="2:11">
      <c r="B927" s="805" t="str">
        <f t="shared" si="19"/>
        <v>Sat</v>
      </c>
      <c r="C927" s="825">
        <v>43687</v>
      </c>
      <c r="D927" s="831">
        <v>45.98</v>
      </c>
      <c r="E927" s="831">
        <v>38.545000000000002</v>
      </c>
      <c r="F927" s="832">
        <v>34.19</v>
      </c>
      <c r="G927" s="832">
        <v>8.1024067504075195</v>
      </c>
      <c r="H927" s="831">
        <v>275.73</v>
      </c>
      <c r="I927" s="832">
        <v>41.52</v>
      </c>
      <c r="J927" s="832">
        <v>2918.65</v>
      </c>
      <c r="K927" s="832">
        <v>7959.14</v>
      </c>
    </row>
    <row r="928" spans="2:11">
      <c r="B928" s="805" t="str">
        <f t="shared" si="19"/>
        <v>Fri</v>
      </c>
      <c r="C928" s="825">
        <v>43686</v>
      </c>
      <c r="D928" s="831">
        <v>45.98</v>
      </c>
      <c r="E928" s="831">
        <v>38.545000000000002</v>
      </c>
      <c r="F928" s="832">
        <v>34.19</v>
      </c>
      <c r="G928" s="832">
        <v>8.1024067504075195</v>
      </c>
      <c r="H928" s="831">
        <v>275.73</v>
      </c>
      <c r="I928" s="832">
        <v>41.52</v>
      </c>
      <c r="J928" s="832">
        <v>2918.65</v>
      </c>
      <c r="K928" s="832">
        <v>7959.14</v>
      </c>
    </row>
    <row r="929" spans="2:11">
      <c r="B929" s="805" t="str">
        <f t="shared" si="19"/>
        <v>Thu</v>
      </c>
      <c r="C929" s="825">
        <v>43685</v>
      </c>
      <c r="D929" s="831">
        <v>47.17</v>
      </c>
      <c r="E929" s="831">
        <v>39.564999999999998</v>
      </c>
      <c r="F929" s="832">
        <v>33.92</v>
      </c>
      <c r="G929" s="832">
        <v>8.1024067504075195</v>
      </c>
      <c r="H929" s="831">
        <v>270.98</v>
      </c>
      <c r="I929" s="832">
        <v>42.63</v>
      </c>
      <c r="J929" s="832">
        <v>2938.09</v>
      </c>
      <c r="K929" s="832">
        <v>8039.1559999999999</v>
      </c>
    </row>
    <row r="930" spans="2:11">
      <c r="B930" s="805" t="str">
        <f t="shared" si="19"/>
        <v>Wed</v>
      </c>
      <c r="C930" s="825">
        <v>43684</v>
      </c>
      <c r="D930" s="831">
        <v>46.73</v>
      </c>
      <c r="E930" s="831">
        <v>38.472499999999997</v>
      </c>
      <c r="F930" s="832">
        <v>29.19</v>
      </c>
      <c r="G930" s="832">
        <v>7.8915547635715697</v>
      </c>
      <c r="H930" s="831">
        <v>270.05</v>
      </c>
      <c r="I930" s="832">
        <v>41.75</v>
      </c>
      <c r="J930" s="832">
        <v>2883.98</v>
      </c>
      <c r="K930" s="832">
        <v>7862.826</v>
      </c>
    </row>
    <row r="931" spans="2:11">
      <c r="B931" s="805" t="str">
        <f t="shared" si="19"/>
        <v>Tue</v>
      </c>
      <c r="C931" s="825">
        <v>43683</v>
      </c>
      <c r="D931" s="831">
        <v>46.96</v>
      </c>
      <c r="E931" s="831">
        <v>38.087499999999999</v>
      </c>
      <c r="F931" s="832">
        <v>28.86</v>
      </c>
      <c r="G931" s="832">
        <v>7.8999237029501499</v>
      </c>
      <c r="H931" s="831">
        <v>266.44</v>
      </c>
      <c r="I931" s="832">
        <v>42.62</v>
      </c>
      <c r="J931" s="832">
        <v>2881.77</v>
      </c>
      <c r="K931" s="832">
        <v>7833.2650000000003</v>
      </c>
    </row>
    <row r="932" spans="2:11">
      <c r="B932" s="805" t="str">
        <f t="shared" si="19"/>
        <v>Mon</v>
      </c>
      <c r="C932" s="825">
        <v>43682</v>
      </c>
      <c r="D932" s="831">
        <v>46.97</v>
      </c>
      <c r="E932" s="831">
        <v>37.697499999999998</v>
      </c>
      <c r="F932" s="832">
        <v>27.99</v>
      </c>
      <c r="G932" s="832">
        <v>7.77995202625931</v>
      </c>
      <c r="H932" s="831">
        <v>267.66000000000003</v>
      </c>
      <c r="I932" s="832">
        <v>41.94</v>
      </c>
      <c r="J932" s="832">
        <v>2844.74</v>
      </c>
      <c r="K932" s="832">
        <v>7726.04</v>
      </c>
    </row>
    <row r="933" spans="2:11">
      <c r="B933" s="805" t="str">
        <f t="shared" si="19"/>
        <v>Sun</v>
      </c>
      <c r="C933" s="825">
        <v>43681</v>
      </c>
      <c r="D933" s="831">
        <v>48.68</v>
      </c>
      <c r="E933" s="831">
        <v>40.297499999999999</v>
      </c>
      <c r="F933" s="832">
        <v>29.44</v>
      </c>
      <c r="G933" s="832">
        <v>7.9965660869288699</v>
      </c>
      <c r="H933" s="831">
        <v>278.52999999999997</v>
      </c>
      <c r="I933" s="832">
        <v>44.08</v>
      </c>
      <c r="J933" s="832">
        <v>2932.05</v>
      </c>
      <c r="K933" s="832">
        <v>8004.0730000000003</v>
      </c>
    </row>
    <row r="934" spans="2:11">
      <c r="B934" s="805" t="str">
        <f t="shared" si="19"/>
        <v>Sat</v>
      </c>
      <c r="C934" s="825">
        <v>43680</v>
      </c>
      <c r="D934" s="831">
        <v>48.68</v>
      </c>
      <c r="E934" s="831">
        <v>40.297499999999999</v>
      </c>
      <c r="F934" s="832">
        <v>29.44</v>
      </c>
      <c r="G934" s="832">
        <v>7.9965660869288699</v>
      </c>
      <c r="H934" s="831">
        <v>278.52999999999997</v>
      </c>
      <c r="I934" s="832">
        <v>44.08</v>
      </c>
      <c r="J934" s="832">
        <v>2932.05</v>
      </c>
      <c r="K934" s="832">
        <v>8004.0730000000003</v>
      </c>
    </row>
    <row r="935" spans="2:11">
      <c r="B935" s="805" t="str">
        <f t="shared" si="19"/>
        <v>Fri</v>
      </c>
      <c r="C935" s="825">
        <v>43679</v>
      </c>
      <c r="D935" s="831">
        <v>48.68</v>
      </c>
      <c r="E935" s="831">
        <v>40.297499999999999</v>
      </c>
      <c r="F935" s="832">
        <v>29.44</v>
      </c>
      <c r="G935" s="832">
        <v>7.9965660869288699</v>
      </c>
      <c r="H935" s="831">
        <v>278.52999999999997</v>
      </c>
      <c r="I935" s="832">
        <v>44.08</v>
      </c>
      <c r="J935" s="832">
        <v>2932.05</v>
      </c>
      <c r="K935" s="832">
        <v>8004.0730000000003</v>
      </c>
    </row>
    <row r="936" spans="2:11">
      <c r="B936" s="805" t="str">
        <f t="shared" si="19"/>
        <v>Thu</v>
      </c>
      <c r="C936" s="825">
        <v>43678</v>
      </c>
      <c r="D936" s="831">
        <v>49.5</v>
      </c>
      <c r="E936" s="831">
        <v>41.23</v>
      </c>
      <c r="F936" s="832">
        <v>29.86</v>
      </c>
      <c r="G936" s="832">
        <v>8.1883479648842794</v>
      </c>
      <c r="H936" s="831">
        <v>285.33999999999997</v>
      </c>
      <c r="I936" s="832">
        <v>43.6</v>
      </c>
      <c r="J936" s="832">
        <v>2953.56</v>
      </c>
      <c r="K936" s="832">
        <v>8111.1210000000001</v>
      </c>
    </row>
    <row r="937" spans="2:11">
      <c r="B937" s="805" t="str">
        <f t="shared" si="19"/>
        <v>Wed</v>
      </c>
      <c r="C937" s="825">
        <v>43677</v>
      </c>
      <c r="D937" s="831">
        <v>50.55</v>
      </c>
      <c r="E937" s="831">
        <v>42.18</v>
      </c>
      <c r="F937" s="832">
        <v>30.45</v>
      </c>
      <c r="G937" s="832">
        <v>8.3295884958592801</v>
      </c>
      <c r="H937" s="831">
        <v>289.99</v>
      </c>
      <c r="I937" s="832">
        <v>44.89</v>
      </c>
      <c r="J937" s="832">
        <v>2980.38</v>
      </c>
      <c r="K937" s="832">
        <v>8175.4189999999999</v>
      </c>
    </row>
    <row r="938" spans="2:11">
      <c r="B938" s="805" t="str">
        <f t="shared" si="19"/>
        <v>Tue</v>
      </c>
      <c r="C938" s="825">
        <v>43676</v>
      </c>
      <c r="D938" s="831">
        <v>51.7</v>
      </c>
      <c r="E938" s="831">
        <v>43.862499999999997</v>
      </c>
      <c r="F938" s="832">
        <v>33.869999999999997</v>
      </c>
      <c r="G938" s="832">
        <v>8.3660467211532303</v>
      </c>
      <c r="H938" s="831">
        <v>299.56</v>
      </c>
      <c r="I938" s="832">
        <v>47.46</v>
      </c>
      <c r="J938" s="832">
        <v>3013.18</v>
      </c>
      <c r="K938" s="832">
        <v>8273.6139999999996</v>
      </c>
    </row>
    <row r="939" spans="2:11">
      <c r="B939" s="805" t="str">
        <f t="shared" si="19"/>
        <v>Mon</v>
      </c>
      <c r="C939" s="825">
        <v>43675</v>
      </c>
      <c r="D939" s="831">
        <v>52.51</v>
      </c>
      <c r="E939" s="831">
        <v>43.704999999999998</v>
      </c>
      <c r="F939" s="832">
        <v>33.479999999999997</v>
      </c>
      <c r="G939" s="832">
        <v>8.39741321064316</v>
      </c>
      <c r="H939" s="831">
        <v>301.74</v>
      </c>
      <c r="I939" s="832">
        <v>46.82</v>
      </c>
      <c r="J939" s="832">
        <v>3020.97</v>
      </c>
      <c r="K939" s="832">
        <v>8293.3289999999997</v>
      </c>
    </row>
    <row r="940" spans="2:11">
      <c r="B940" s="805" t="str">
        <f t="shared" si="19"/>
        <v>Sun</v>
      </c>
      <c r="C940" s="825">
        <v>43674</v>
      </c>
      <c r="D940" s="831">
        <v>51.59</v>
      </c>
      <c r="E940" s="831">
        <v>43.767499999999998</v>
      </c>
      <c r="F940" s="832">
        <v>34.020000000000003</v>
      </c>
      <c r="G940" s="832">
        <v>8.3971430409883592</v>
      </c>
      <c r="H940" s="831">
        <v>300.92</v>
      </c>
      <c r="I940" s="832">
        <v>47.49</v>
      </c>
      <c r="J940" s="832">
        <v>3025.86</v>
      </c>
      <c r="K940" s="832">
        <v>8330.2109999999993</v>
      </c>
    </row>
    <row r="941" spans="2:11">
      <c r="B941" s="805" t="str">
        <f t="shared" si="19"/>
        <v>Sat</v>
      </c>
      <c r="C941" s="825">
        <v>43673</v>
      </c>
      <c r="D941" s="831">
        <v>51.59</v>
      </c>
      <c r="E941" s="831">
        <v>43.767499999999998</v>
      </c>
      <c r="F941" s="832">
        <v>34.020000000000003</v>
      </c>
      <c r="G941" s="832">
        <v>8.3971430409883592</v>
      </c>
      <c r="H941" s="831">
        <v>300.92</v>
      </c>
      <c r="I941" s="832">
        <v>47.49</v>
      </c>
      <c r="J941" s="832">
        <v>3025.86</v>
      </c>
      <c r="K941" s="832">
        <v>8330.2109999999993</v>
      </c>
    </row>
    <row r="942" spans="2:11">
      <c r="B942" s="805" t="str">
        <f t="shared" si="19"/>
        <v>Fri</v>
      </c>
      <c r="C942" s="825">
        <v>43672</v>
      </c>
      <c r="D942" s="831">
        <v>51.59</v>
      </c>
      <c r="E942" s="831">
        <v>43.767499999999998</v>
      </c>
      <c r="F942" s="832">
        <v>34.020000000000003</v>
      </c>
      <c r="G942" s="832">
        <v>8.3971430409883592</v>
      </c>
      <c r="H942" s="831">
        <v>300.92</v>
      </c>
      <c r="I942" s="832">
        <v>47.49</v>
      </c>
      <c r="J942" s="832">
        <v>3025.86</v>
      </c>
      <c r="K942" s="832">
        <v>8330.2109999999993</v>
      </c>
    </row>
    <row r="943" spans="2:11">
      <c r="B943" s="805" t="str">
        <f t="shared" si="19"/>
        <v>Thu</v>
      </c>
      <c r="C943" s="825">
        <v>43671</v>
      </c>
      <c r="D943" s="831">
        <v>52.16</v>
      </c>
      <c r="E943" s="831">
        <v>43.344999999999999</v>
      </c>
      <c r="F943" s="832">
        <v>33.67</v>
      </c>
      <c r="G943" s="832">
        <v>8.5280298641951493</v>
      </c>
      <c r="H943" s="831">
        <v>300.39</v>
      </c>
      <c r="I943" s="832">
        <v>47.77</v>
      </c>
      <c r="J943" s="832">
        <v>3003.67</v>
      </c>
      <c r="K943" s="832">
        <v>8238.5409999999993</v>
      </c>
    </row>
    <row r="944" spans="2:11">
      <c r="B944" s="805" t="str">
        <f t="shared" si="19"/>
        <v>Wed</v>
      </c>
      <c r="C944" s="825">
        <v>43670</v>
      </c>
      <c r="D944" s="831">
        <v>52.92</v>
      </c>
      <c r="E944" s="831">
        <v>44.664999999999999</v>
      </c>
      <c r="F944" s="832">
        <v>34.11</v>
      </c>
      <c r="G944" s="832">
        <v>8.5266578718748995</v>
      </c>
      <c r="H944" s="831">
        <v>303.77</v>
      </c>
      <c r="I944" s="832">
        <v>47.99</v>
      </c>
      <c r="J944" s="832">
        <v>3019.56</v>
      </c>
      <c r="K944" s="832">
        <v>8321.5</v>
      </c>
    </row>
    <row r="945" spans="2:11">
      <c r="B945" s="805" t="str">
        <f t="shared" si="19"/>
        <v>Tue</v>
      </c>
      <c r="C945" s="825">
        <v>43669</v>
      </c>
      <c r="D945" s="831">
        <v>51.75</v>
      </c>
      <c r="E945" s="831">
        <v>43.914999999999999</v>
      </c>
      <c r="F945" s="832">
        <v>33.49</v>
      </c>
      <c r="G945" s="832">
        <v>8.4928422068521794</v>
      </c>
      <c r="H945" s="831">
        <v>300.77999999999997</v>
      </c>
      <c r="I945" s="832">
        <v>46.95</v>
      </c>
      <c r="J945" s="832">
        <v>3005.47</v>
      </c>
      <c r="K945" s="832">
        <v>8251.4030000000002</v>
      </c>
    </row>
    <row r="946" spans="2:11">
      <c r="B946" s="805" t="str">
        <f t="shared" si="19"/>
        <v>Mon</v>
      </c>
      <c r="C946" s="825">
        <v>43668</v>
      </c>
      <c r="D946" s="831">
        <v>51.35</v>
      </c>
      <c r="E946" s="831">
        <v>42.83</v>
      </c>
      <c r="F946" s="832">
        <v>32.85</v>
      </c>
      <c r="G946" s="832">
        <v>8.5002253847639899</v>
      </c>
      <c r="H946" s="831">
        <v>296.14999999999998</v>
      </c>
      <c r="I946" s="832">
        <v>47.19</v>
      </c>
      <c r="J946" s="832">
        <v>2985.03</v>
      </c>
      <c r="K946" s="832">
        <v>8204.1370000000006</v>
      </c>
    </row>
    <row r="947" spans="2:11">
      <c r="B947" s="805" t="str">
        <f t="shared" si="19"/>
        <v>Sun</v>
      </c>
      <c r="C947" s="825">
        <v>43667</v>
      </c>
      <c r="D947" s="831">
        <v>50.27</v>
      </c>
      <c r="E947" s="831">
        <v>42.11</v>
      </c>
      <c r="F947" s="832">
        <v>32.51</v>
      </c>
      <c r="G947" s="832">
        <v>8.3464922174599607</v>
      </c>
      <c r="H947" s="831">
        <v>290</v>
      </c>
      <c r="I947" s="832">
        <v>45.52</v>
      </c>
      <c r="J947" s="832">
        <v>2976.61</v>
      </c>
      <c r="K947" s="832">
        <v>8146.4889999999996</v>
      </c>
    </row>
    <row r="948" spans="2:11">
      <c r="B948" s="805" t="str">
        <f t="shared" si="19"/>
        <v>Sat</v>
      </c>
      <c r="C948" s="825">
        <v>43666</v>
      </c>
      <c r="D948" s="831">
        <v>50.27</v>
      </c>
      <c r="E948" s="831">
        <v>42.11</v>
      </c>
      <c r="F948" s="832">
        <v>32.51</v>
      </c>
      <c r="G948" s="832">
        <v>8.3464922174599607</v>
      </c>
      <c r="H948" s="831">
        <v>290</v>
      </c>
      <c r="I948" s="832">
        <v>45.52</v>
      </c>
      <c r="J948" s="832">
        <v>2976.61</v>
      </c>
      <c r="K948" s="832">
        <v>8146.4889999999996</v>
      </c>
    </row>
    <row r="949" spans="2:11">
      <c r="B949" s="805" t="str">
        <f t="shared" si="19"/>
        <v>Fri</v>
      </c>
      <c r="C949" s="825">
        <v>43665</v>
      </c>
      <c r="D949" s="831">
        <v>50.27</v>
      </c>
      <c r="E949" s="831">
        <v>42.11</v>
      </c>
      <c r="F949" s="832">
        <v>32.51</v>
      </c>
      <c r="G949" s="832">
        <v>8.3464922174599607</v>
      </c>
      <c r="H949" s="831">
        <v>290</v>
      </c>
      <c r="I949" s="832">
        <v>45.52</v>
      </c>
      <c r="J949" s="832">
        <v>2976.61</v>
      </c>
      <c r="K949" s="832">
        <v>8146.4889999999996</v>
      </c>
    </row>
    <row r="950" spans="2:11">
      <c r="B950" s="805" t="str">
        <f t="shared" si="19"/>
        <v>Thu</v>
      </c>
      <c r="C950" s="825">
        <v>43664</v>
      </c>
      <c r="D950" s="831">
        <v>49.94</v>
      </c>
      <c r="E950" s="831">
        <v>42.545000000000002</v>
      </c>
      <c r="F950" s="832">
        <v>33</v>
      </c>
      <c r="G950" s="832">
        <v>8.2017501372340096</v>
      </c>
      <c r="H950" s="831">
        <v>289.77999999999997</v>
      </c>
      <c r="I950" s="832">
        <v>44.67</v>
      </c>
      <c r="J950" s="832">
        <v>2995.11</v>
      </c>
      <c r="K950" s="832">
        <v>8207.2430000000004</v>
      </c>
    </row>
    <row r="951" spans="2:11">
      <c r="B951" s="805" t="str">
        <f t="shared" si="19"/>
        <v>Wed</v>
      </c>
      <c r="C951" s="825">
        <v>43663</v>
      </c>
      <c r="D951" s="831">
        <v>49.39</v>
      </c>
      <c r="E951" s="831">
        <v>42.427500000000002</v>
      </c>
      <c r="F951" s="832">
        <v>33.6</v>
      </c>
      <c r="G951" s="832">
        <v>8.1172491544532104</v>
      </c>
      <c r="H951" s="831">
        <v>285.08</v>
      </c>
      <c r="I951" s="832">
        <v>43.37</v>
      </c>
      <c r="J951" s="832">
        <v>2984.42</v>
      </c>
      <c r="K951" s="832">
        <v>8185.2060000000001</v>
      </c>
    </row>
    <row r="952" spans="2:11">
      <c r="B952" s="805" t="str">
        <f t="shared" si="19"/>
        <v>Tue</v>
      </c>
      <c r="C952" s="825">
        <v>43662</v>
      </c>
      <c r="D952" s="831">
        <v>49.17</v>
      </c>
      <c r="E952" s="831">
        <v>41.77</v>
      </c>
      <c r="F952" s="832">
        <v>33.85</v>
      </c>
      <c r="G952" s="832">
        <v>8.2431736218444094</v>
      </c>
      <c r="H952" s="831">
        <v>284.13</v>
      </c>
      <c r="I952" s="832">
        <v>43.06</v>
      </c>
      <c r="J952" s="832">
        <v>3004.04</v>
      </c>
      <c r="K952" s="832">
        <v>8222.7970000000005</v>
      </c>
    </row>
    <row r="953" spans="2:11">
      <c r="B953" s="805" t="str">
        <f t="shared" si="19"/>
        <v>Mon</v>
      </c>
      <c r="C953" s="825">
        <v>43661</v>
      </c>
      <c r="D953" s="831">
        <v>50.12</v>
      </c>
      <c r="E953" s="831">
        <v>41.817500000000003</v>
      </c>
      <c r="F953" s="832">
        <v>34.39</v>
      </c>
      <c r="G953" s="832">
        <v>8.2001546591055607</v>
      </c>
      <c r="H953" s="831">
        <v>288.33999999999997</v>
      </c>
      <c r="I953" s="832">
        <v>44.4</v>
      </c>
      <c r="J953" s="832">
        <v>3014.3</v>
      </c>
      <c r="K953" s="832">
        <v>8258.1849999999995</v>
      </c>
    </row>
    <row r="954" spans="2:11">
      <c r="B954" s="805" t="str">
        <f t="shared" si="19"/>
        <v>Sun</v>
      </c>
      <c r="C954" s="825">
        <v>43660</v>
      </c>
      <c r="D954" s="831">
        <v>49.92</v>
      </c>
      <c r="E954" s="831">
        <v>41.902500000000003</v>
      </c>
      <c r="F954" s="831">
        <v>33.21</v>
      </c>
      <c r="G954" s="831">
        <v>8.0707519814421005</v>
      </c>
      <c r="H954" s="831">
        <v>285.39</v>
      </c>
      <c r="I954" s="831">
        <v>44.51</v>
      </c>
      <c r="J954" s="831">
        <v>3013.77</v>
      </c>
      <c r="K954" s="831">
        <v>8244.1440000000002</v>
      </c>
    </row>
    <row r="955" spans="2:11">
      <c r="B955" s="805" t="str">
        <f t="shared" si="19"/>
        <v>Sat</v>
      </c>
      <c r="C955" s="825">
        <v>43659</v>
      </c>
      <c r="D955" s="831">
        <v>49.92</v>
      </c>
      <c r="E955" s="831">
        <v>41.902500000000003</v>
      </c>
      <c r="F955" s="831">
        <v>33.21</v>
      </c>
      <c r="G955" s="831">
        <v>8.0707519814421005</v>
      </c>
      <c r="H955" s="831">
        <v>285.39</v>
      </c>
      <c r="I955" s="831">
        <v>44.51</v>
      </c>
      <c r="J955" s="831">
        <v>3013.77</v>
      </c>
      <c r="K955" s="831">
        <v>8244.1440000000002</v>
      </c>
    </row>
    <row r="956" spans="2:11">
      <c r="B956" s="805" t="str">
        <f t="shared" si="19"/>
        <v>Fri</v>
      </c>
      <c r="C956" s="825">
        <v>43658</v>
      </c>
      <c r="D956" s="831">
        <v>49.92</v>
      </c>
      <c r="E956" s="831">
        <v>41.902500000000003</v>
      </c>
      <c r="F956" s="831">
        <v>33.21</v>
      </c>
      <c r="G956" s="831">
        <v>8.0707519814421005</v>
      </c>
      <c r="H956" s="831">
        <v>285.39</v>
      </c>
      <c r="I956" s="831">
        <v>44.51</v>
      </c>
      <c r="J956" s="831">
        <v>3013.77</v>
      </c>
      <c r="K956" s="831">
        <v>8244.1440000000002</v>
      </c>
    </row>
    <row r="957" spans="2:11">
      <c r="B957" s="805" t="str">
        <f t="shared" si="19"/>
        <v>Thu</v>
      </c>
      <c r="C957" s="825">
        <v>43657</v>
      </c>
      <c r="D957" s="831">
        <v>48.6</v>
      </c>
      <c r="E957" s="831">
        <v>41.57</v>
      </c>
      <c r="F957" s="831">
        <v>33.06</v>
      </c>
      <c r="G957" s="831">
        <v>8.0611356527907692</v>
      </c>
      <c r="H957" s="831">
        <v>276.06</v>
      </c>
      <c r="I957" s="831">
        <v>43.48</v>
      </c>
      <c r="J957" s="831">
        <v>2999.91</v>
      </c>
      <c r="K957" s="831">
        <v>8196.0429999999997</v>
      </c>
    </row>
    <row r="958" spans="2:11">
      <c r="B958" s="805" t="str">
        <f t="shared" si="19"/>
        <v>Wed</v>
      </c>
      <c r="C958" s="825">
        <v>43656</v>
      </c>
      <c r="D958" s="831">
        <v>48.21</v>
      </c>
      <c r="E958" s="831">
        <v>40.015000000000001</v>
      </c>
      <c r="F958" s="831">
        <v>33.79</v>
      </c>
      <c r="G958" s="831">
        <v>7.9582433869252798</v>
      </c>
      <c r="H958" s="831">
        <v>274.5</v>
      </c>
      <c r="I958" s="831">
        <v>42.9</v>
      </c>
      <c r="J958" s="831">
        <v>2993.07</v>
      </c>
      <c r="K958" s="831">
        <v>8202.5310000000009</v>
      </c>
    </row>
    <row r="959" spans="2:11">
      <c r="B959" s="805" t="str">
        <f t="shared" si="19"/>
        <v>Tue</v>
      </c>
      <c r="C959" s="825">
        <v>43655</v>
      </c>
      <c r="D959" s="831">
        <v>47.75</v>
      </c>
      <c r="E959" s="831">
        <v>39.327500000000001</v>
      </c>
      <c r="F959" s="831">
        <v>33.15</v>
      </c>
      <c r="G959" s="831">
        <v>7.7661179037899899</v>
      </c>
      <c r="H959" s="831">
        <v>275.52999999999997</v>
      </c>
      <c r="I959" s="831">
        <v>41.35</v>
      </c>
      <c r="J959" s="831">
        <v>2979.63</v>
      </c>
      <c r="K959" s="831">
        <v>8141.7280000000001</v>
      </c>
    </row>
    <row r="960" spans="2:11">
      <c r="B960" s="805" t="str">
        <f t="shared" si="19"/>
        <v>Mon</v>
      </c>
      <c r="C960" s="825">
        <v>43654</v>
      </c>
      <c r="D960" s="831">
        <v>47.82</v>
      </c>
      <c r="E960" s="831">
        <v>39.302500000000002</v>
      </c>
      <c r="F960" s="831">
        <v>32.04</v>
      </c>
      <c r="G960" s="831">
        <v>7.7794174258950299</v>
      </c>
      <c r="H960" s="831">
        <v>274.95999999999998</v>
      </c>
      <c r="I960" s="831">
        <v>40.409999999999997</v>
      </c>
      <c r="J960" s="831">
        <v>2975.95</v>
      </c>
      <c r="K960" s="831">
        <v>8098.3819999999996</v>
      </c>
    </row>
    <row r="961" spans="2:11">
      <c r="B961" s="805" t="str">
        <f t="shared" si="19"/>
        <v>Sun</v>
      </c>
      <c r="C961" s="825">
        <v>43653</v>
      </c>
      <c r="D961" s="831">
        <v>48.08</v>
      </c>
      <c r="E961" s="831">
        <v>40.057499999999997</v>
      </c>
      <c r="F961" s="831">
        <v>31.5</v>
      </c>
      <c r="G961" s="831">
        <v>7.7964579055441501</v>
      </c>
      <c r="H961" s="831">
        <v>282.66000000000003</v>
      </c>
      <c r="I961" s="831">
        <v>39.42</v>
      </c>
      <c r="J961" s="831">
        <v>2990.41</v>
      </c>
      <c r="K961" s="831">
        <v>8161.7910000000002</v>
      </c>
    </row>
    <row r="962" spans="2:11">
      <c r="B962" s="805" t="str">
        <f t="shared" si="19"/>
        <v>Sat</v>
      </c>
      <c r="C962" s="825">
        <v>43652</v>
      </c>
      <c r="D962" s="831">
        <v>48.08</v>
      </c>
      <c r="E962" s="831">
        <v>40.057499999999997</v>
      </c>
      <c r="F962" s="831">
        <v>31.5</v>
      </c>
      <c r="G962" s="831">
        <v>7.7964579055441501</v>
      </c>
      <c r="H962" s="831">
        <v>282.66000000000003</v>
      </c>
      <c r="I962" s="831">
        <v>39.42</v>
      </c>
      <c r="J962" s="831">
        <v>2990.41</v>
      </c>
      <c r="K962" s="831">
        <v>8161.7910000000002</v>
      </c>
    </row>
    <row r="963" spans="2:11">
      <c r="B963" s="805" t="str">
        <f t="shared" si="19"/>
        <v>Fri</v>
      </c>
      <c r="C963" s="825">
        <v>43651</v>
      </c>
      <c r="D963" s="831">
        <v>48.08</v>
      </c>
      <c r="E963" s="831">
        <v>40.057499999999997</v>
      </c>
      <c r="F963" s="831">
        <v>31.5</v>
      </c>
      <c r="G963" s="831">
        <v>7.7964579055441501</v>
      </c>
      <c r="H963" s="831">
        <v>282.66000000000003</v>
      </c>
      <c r="I963" s="831">
        <v>39.42</v>
      </c>
      <c r="J963" s="831">
        <v>2990.41</v>
      </c>
      <c r="K963" s="831">
        <v>8161.7910000000002</v>
      </c>
    </row>
    <row r="964" spans="2:11">
      <c r="B964" s="805" t="str">
        <f t="shared" si="19"/>
        <v>Thu</v>
      </c>
      <c r="C964" s="825">
        <v>43650</v>
      </c>
      <c r="D964" s="831">
        <v>48.52</v>
      </c>
      <c r="E964" s="831">
        <v>40.6875</v>
      </c>
      <c r="F964" s="831">
        <v>31.19</v>
      </c>
      <c r="G964" s="831">
        <v>7.8625978796764704</v>
      </c>
      <c r="H964" s="831">
        <v>284.89</v>
      </c>
      <c r="I964" s="831">
        <v>39.590000000000003</v>
      </c>
      <c r="J964" s="831">
        <v>2995.82</v>
      </c>
      <c r="K964" s="831">
        <v>8170.2309999999998</v>
      </c>
    </row>
    <row r="965" spans="2:11">
      <c r="B965" s="805" t="str">
        <f t="shared" si="19"/>
        <v>Wed</v>
      </c>
      <c r="C965" s="825">
        <v>43649</v>
      </c>
      <c r="D965" s="831">
        <v>48.52</v>
      </c>
      <c r="E965" s="831">
        <v>40.6875</v>
      </c>
      <c r="F965" s="831">
        <v>31.19</v>
      </c>
      <c r="G965" s="831">
        <v>7.8044541709577802</v>
      </c>
      <c r="H965" s="831">
        <v>284.89</v>
      </c>
      <c r="I965" s="831">
        <v>39.590000000000003</v>
      </c>
      <c r="J965" s="831">
        <v>2995.82</v>
      </c>
      <c r="K965" s="831">
        <v>8170.2309999999998</v>
      </c>
    </row>
    <row r="966" spans="2:11">
      <c r="B966" s="805" t="str">
        <f t="shared" si="19"/>
        <v>Tue</v>
      </c>
      <c r="C966" s="825">
        <v>43648</v>
      </c>
      <c r="D966" s="831">
        <v>48.12</v>
      </c>
      <c r="E966" s="831">
        <v>40.557499999999997</v>
      </c>
      <c r="F966" s="831">
        <v>31.24</v>
      </c>
      <c r="G966" s="831">
        <v>8.0343314403717105</v>
      </c>
      <c r="H966" s="831">
        <v>295.33</v>
      </c>
      <c r="I966" s="831">
        <v>39.6</v>
      </c>
      <c r="J966" s="831">
        <v>2973.01</v>
      </c>
      <c r="K966" s="831">
        <v>8109.0919999999996</v>
      </c>
    </row>
    <row r="967" spans="2:11">
      <c r="B967" s="805" t="str">
        <f t="shared" si="19"/>
        <v>Mon</v>
      </c>
      <c r="C967" s="825">
        <v>43647</v>
      </c>
      <c r="D967" s="831">
        <v>48.05</v>
      </c>
      <c r="E967" s="831">
        <v>41.542499999999997</v>
      </c>
      <c r="F967" s="831">
        <v>31.2</v>
      </c>
      <c r="G967" s="831">
        <v>8.0181982447083104</v>
      </c>
      <c r="H967" s="831">
        <v>300.35000000000002</v>
      </c>
      <c r="I967" s="831">
        <v>40.11</v>
      </c>
      <c r="J967" s="831">
        <v>2964.33</v>
      </c>
      <c r="K967" s="831">
        <v>8091.1620000000003</v>
      </c>
    </row>
    <row r="968" spans="2:11">
      <c r="B968" s="805" t="str">
        <f t="shared" ref="B968:B1031" si="20">TEXT(C968,"DDD")</f>
        <v>Sun</v>
      </c>
      <c r="C968" s="825">
        <v>43646</v>
      </c>
      <c r="D968" s="831">
        <v>47.87</v>
      </c>
      <c r="E968" s="831">
        <v>41.057499999999997</v>
      </c>
      <c r="F968" s="831">
        <v>30.37</v>
      </c>
      <c r="G968" s="831">
        <v>7.7201369597519198</v>
      </c>
      <c r="H968" s="831">
        <v>287.86</v>
      </c>
      <c r="I968" s="831">
        <v>38.590000000000003</v>
      </c>
      <c r="J968" s="831">
        <v>2941.76</v>
      </c>
      <c r="K968" s="831">
        <v>8006.2439999999997</v>
      </c>
    </row>
    <row r="969" spans="2:11">
      <c r="B969" s="805" t="str">
        <f t="shared" si="20"/>
        <v>Sat</v>
      </c>
      <c r="C969" s="825">
        <v>43645</v>
      </c>
      <c r="D969" s="831">
        <v>47.87</v>
      </c>
      <c r="E969" s="831">
        <v>41.057499999999997</v>
      </c>
      <c r="F969" s="831">
        <v>30.37</v>
      </c>
      <c r="G969" s="831">
        <v>7.7201369597519198</v>
      </c>
      <c r="H969" s="831">
        <v>287.86</v>
      </c>
      <c r="I969" s="831">
        <v>38.590000000000003</v>
      </c>
      <c r="J969" s="831">
        <v>2941.76</v>
      </c>
      <c r="K969" s="831">
        <v>8006.2439999999997</v>
      </c>
    </row>
    <row r="970" spans="2:11">
      <c r="B970" s="805" t="str">
        <f t="shared" si="20"/>
        <v>Fri</v>
      </c>
      <c r="C970" s="825">
        <v>43644</v>
      </c>
      <c r="D970" s="831">
        <v>47.87</v>
      </c>
      <c r="E970" s="831">
        <v>41.057499999999997</v>
      </c>
      <c r="F970" s="831">
        <v>30.37</v>
      </c>
      <c r="G970" s="831">
        <v>7.7201369597519198</v>
      </c>
      <c r="H970" s="831">
        <v>287.86</v>
      </c>
      <c r="I970" s="831">
        <v>38.590000000000003</v>
      </c>
      <c r="J970" s="831">
        <v>2941.76</v>
      </c>
      <c r="K970" s="831">
        <v>8006.2439999999997</v>
      </c>
    </row>
    <row r="971" spans="2:11">
      <c r="B971" s="805" t="str">
        <f t="shared" si="20"/>
        <v>Thu</v>
      </c>
      <c r="C971" s="825">
        <v>43643</v>
      </c>
      <c r="D971" s="831">
        <v>47.46</v>
      </c>
      <c r="E971" s="831">
        <v>40.807499999999997</v>
      </c>
      <c r="F971" s="831">
        <v>30.74</v>
      </c>
      <c r="G971" s="831">
        <v>7.7548124979847204</v>
      </c>
      <c r="H971" s="831">
        <v>285.70999999999998</v>
      </c>
      <c r="I971" s="831">
        <v>38.07</v>
      </c>
      <c r="J971" s="831">
        <v>2924.92</v>
      </c>
      <c r="K971" s="831">
        <v>7967.7579999999998</v>
      </c>
    </row>
    <row r="972" spans="2:11">
      <c r="B972" s="805" t="str">
        <f t="shared" si="20"/>
        <v>Wed</v>
      </c>
      <c r="C972" s="825">
        <v>43642</v>
      </c>
      <c r="D972" s="831">
        <v>48.19</v>
      </c>
      <c r="E972" s="831">
        <v>39.814999999999998</v>
      </c>
      <c r="F972" s="831">
        <v>29.92</v>
      </c>
      <c r="G972" s="831">
        <v>7.5608576495244204</v>
      </c>
      <c r="H972" s="831">
        <v>281.44</v>
      </c>
      <c r="I972" s="831">
        <v>37.04</v>
      </c>
      <c r="J972" s="831">
        <v>2913.78</v>
      </c>
      <c r="K972" s="831">
        <v>7909.9709999999995</v>
      </c>
    </row>
    <row r="973" spans="2:11">
      <c r="B973" s="805" t="str">
        <f t="shared" si="20"/>
        <v>Tue</v>
      </c>
      <c r="C973" s="825">
        <v>43641</v>
      </c>
      <c r="D973" s="831">
        <v>46.85</v>
      </c>
      <c r="E973" s="831">
        <v>37.869999999999997</v>
      </c>
      <c r="F973" s="831">
        <v>28.86</v>
      </c>
      <c r="G973" s="831">
        <v>7.6757209062821801</v>
      </c>
      <c r="H973" s="831">
        <v>276.51</v>
      </c>
      <c r="I973" s="831">
        <v>32.68</v>
      </c>
      <c r="J973" s="831">
        <v>2917.38</v>
      </c>
      <c r="K973" s="831">
        <v>7884.7169999999996</v>
      </c>
    </row>
    <row r="974" spans="2:11">
      <c r="B974" s="805" t="str">
        <f t="shared" si="20"/>
        <v>Mon</v>
      </c>
      <c r="C974" s="825">
        <v>43640</v>
      </c>
      <c r="D974" s="831">
        <v>47.63</v>
      </c>
      <c r="E974" s="831">
        <v>38.164999999999999</v>
      </c>
      <c r="F974" s="831">
        <v>29.26</v>
      </c>
      <c r="G974" s="831">
        <v>7.7917879081797601</v>
      </c>
      <c r="H974" s="831">
        <v>279.2</v>
      </c>
      <c r="I974" s="831">
        <v>33.19</v>
      </c>
      <c r="J974" s="831">
        <v>2945.35</v>
      </c>
      <c r="K974" s="831">
        <v>8005.6959999999999</v>
      </c>
    </row>
    <row r="975" spans="2:11">
      <c r="B975" s="805" t="str">
        <f t="shared" si="20"/>
        <v>Sun</v>
      </c>
      <c r="C975" s="825">
        <v>43639</v>
      </c>
      <c r="D975" s="831">
        <v>47.46</v>
      </c>
      <c r="E975" s="831">
        <v>37.94</v>
      </c>
      <c r="F975" s="831">
        <v>29.1</v>
      </c>
      <c r="G975" s="831">
        <v>8.0306359875904896</v>
      </c>
      <c r="H975" s="831">
        <v>273.99</v>
      </c>
      <c r="I975" s="831">
        <v>33.25</v>
      </c>
      <c r="J975" s="831">
        <v>2950.46</v>
      </c>
      <c r="K975" s="831">
        <v>8031.7070000000003</v>
      </c>
    </row>
    <row r="976" spans="2:11">
      <c r="B976" s="805" t="str">
        <f t="shared" si="20"/>
        <v>Sat</v>
      </c>
      <c r="C976" s="825">
        <v>43638</v>
      </c>
      <c r="D976" s="831">
        <v>47.46</v>
      </c>
      <c r="E976" s="831">
        <v>37.94</v>
      </c>
      <c r="F976" s="831">
        <v>29.1</v>
      </c>
      <c r="G976" s="831">
        <v>8.0306359875904896</v>
      </c>
      <c r="H976" s="831">
        <v>273.99</v>
      </c>
      <c r="I976" s="831">
        <v>33.25</v>
      </c>
      <c r="J976" s="831">
        <v>2950.46</v>
      </c>
      <c r="K976" s="831">
        <v>8031.7070000000003</v>
      </c>
    </row>
    <row r="977" spans="2:11">
      <c r="B977" s="805" t="str">
        <f t="shared" si="20"/>
        <v>Fri</v>
      </c>
      <c r="C977" s="825">
        <v>43637</v>
      </c>
      <c r="D977" s="831">
        <v>47.46</v>
      </c>
      <c r="E977" s="831">
        <v>37.94</v>
      </c>
      <c r="F977" s="831">
        <v>29.1</v>
      </c>
      <c r="G977" s="831">
        <v>8.0306359875904896</v>
      </c>
      <c r="H977" s="831">
        <v>273.99</v>
      </c>
      <c r="I977" s="831">
        <v>33.25</v>
      </c>
      <c r="J977" s="831">
        <v>2950.46</v>
      </c>
      <c r="K977" s="831">
        <v>8031.7070000000003</v>
      </c>
    </row>
    <row r="978" spans="2:11">
      <c r="B978" s="805" t="str">
        <f t="shared" si="20"/>
        <v>Thu</v>
      </c>
      <c r="C978" s="825">
        <v>43636</v>
      </c>
      <c r="D978" s="831">
        <v>47.19</v>
      </c>
      <c r="E978" s="831">
        <v>38.524999999999999</v>
      </c>
      <c r="F978" s="831">
        <v>30.01</v>
      </c>
      <c r="G978" s="831">
        <v>7.9147149087384898</v>
      </c>
      <c r="H978" s="831">
        <v>279.05</v>
      </c>
      <c r="I978" s="831">
        <v>34.15</v>
      </c>
      <c r="J978" s="831">
        <v>2954.18</v>
      </c>
      <c r="K978" s="831">
        <v>8051.34</v>
      </c>
    </row>
    <row r="979" spans="2:11">
      <c r="B979" s="805" t="str">
        <f t="shared" si="20"/>
        <v>Wed</v>
      </c>
      <c r="C979" s="825">
        <v>43635</v>
      </c>
      <c r="D979" s="831">
        <v>47.07</v>
      </c>
      <c r="E979" s="831">
        <v>38.28</v>
      </c>
      <c r="F979" s="831">
        <v>30.5</v>
      </c>
      <c r="G979" s="831">
        <v>7.8333172814536596</v>
      </c>
      <c r="H979" s="831">
        <v>277.49</v>
      </c>
      <c r="I979" s="831">
        <v>33.94</v>
      </c>
      <c r="J979" s="831">
        <v>2926.46</v>
      </c>
      <c r="K979" s="831">
        <v>7987.3230000000003</v>
      </c>
    </row>
    <row r="980" spans="2:11">
      <c r="B980" s="805" t="str">
        <f t="shared" si="20"/>
        <v>Tue</v>
      </c>
      <c r="C980" s="825">
        <v>43634</v>
      </c>
      <c r="D980" s="831">
        <v>47.37</v>
      </c>
      <c r="E980" s="831">
        <v>38.22</v>
      </c>
      <c r="F980" s="831">
        <v>30.45</v>
      </c>
      <c r="G980" s="831">
        <v>7.5232405839695904</v>
      </c>
      <c r="H980" s="831">
        <v>278.05</v>
      </c>
      <c r="I980" s="831">
        <v>34.29</v>
      </c>
      <c r="J980" s="831">
        <v>2917.75</v>
      </c>
      <c r="K980" s="831">
        <v>7953.8829999999998</v>
      </c>
    </row>
    <row r="981" spans="2:11">
      <c r="B981" s="805" t="str">
        <f t="shared" si="20"/>
        <v>Mon</v>
      </c>
      <c r="C981" s="825">
        <v>43633</v>
      </c>
      <c r="D981" s="831">
        <v>46.13</v>
      </c>
      <c r="E981" s="831">
        <v>36.2575</v>
      </c>
      <c r="F981" s="831">
        <v>29.2</v>
      </c>
      <c r="G981" s="831">
        <v>7.3982345843652801</v>
      </c>
      <c r="H981" s="831">
        <v>265.97000000000003</v>
      </c>
      <c r="I981" s="831">
        <v>32.43</v>
      </c>
      <c r="J981" s="831">
        <v>2889.67</v>
      </c>
      <c r="K981" s="831">
        <v>7845.0240000000003</v>
      </c>
    </row>
    <row r="982" spans="2:11">
      <c r="B982" s="805" t="str">
        <f t="shared" si="20"/>
        <v>Sun</v>
      </c>
      <c r="C982" s="825">
        <v>43632</v>
      </c>
      <c r="D982" s="831">
        <v>46.19</v>
      </c>
      <c r="E982" s="831">
        <v>36.159999999999997</v>
      </c>
      <c r="F982" s="831">
        <v>30.36</v>
      </c>
      <c r="G982" s="831">
        <v>7.49253920883866</v>
      </c>
      <c r="H982" s="831">
        <v>265.93</v>
      </c>
      <c r="I982" s="831">
        <v>32.659999999999997</v>
      </c>
      <c r="J982" s="831">
        <v>2886.98</v>
      </c>
      <c r="K982" s="831">
        <v>7796.6589999999997</v>
      </c>
    </row>
    <row r="983" spans="2:11">
      <c r="B983" s="805" t="str">
        <f t="shared" si="20"/>
        <v>Sat</v>
      </c>
      <c r="C983" s="825">
        <v>43631</v>
      </c>
      <c r="D983" s="831">
        <v>46.19</v>
      </c>
      <c r="E983" s="831">
        <v>36.159999999999997</v>
      </c>
      <c r="F983" s="831">
        <v>30.36</v>
      </c>
      <c r="G983" s="831">
        <v>7.49253920883866</v>
      </c>
      <c r="H983" s="831">
        <v>265.93</v>
      </c>
      <c r="I983" s="831">
        <v>32.659999999999997</v>
      </c>
      <c r="J983" s="831">
        <v>2886.98</v>
      </c>
      <c r="K983" s="831">
        <v>7796.6589999999997</v>
      </c>
    </row>
    <row r="984" spans="2:11">
      <c r="B984" s="805" t="str">
        <f t="shared" si="20"/>
        <v>Fri</v>
      </c>
      <c r="C984" s="825">
        <v>43630</v>
      </c>
      <c r="D984" s="831">
        <v>46.19</v>
      </c>
      <c r="E984" s="831">
        <v>36.159999999999997</v>
      </c>
      <c r="F984" s="831">
        <v>30.36</v>
      </c>
      <c r="G984" s="831">
        <v>7.49253920883866</v>
      </c>
      <c r="H984" s="831">
        <v>265.93</v>
      </c>
      <c r="I984" s="831">
        <v>32.659999999999997</v>
      </c>
      <c r="J984" s="831">
        <v>2886.98</v>
      </c>
      <c r="K984" s="831">
        <v>7796.6589999999997</v>
      </c>
    </row>
    <row r="985" spans="2:11">
      <c r="B985" s="805" t="str">
        <f t="shared" si="20"/>
        <v>Thu</v>
      </c>
      <c r="C985" s="825">
        <v>43629</v>
      </c>
      <c r="D985" s="831">
        <v>46.7</v>
      </c>
      <c r="E985" s="831">
        <v>37.064999999999998</v>
      </c>
      <c r="F985" s="831">
        <v>31.39</v>
      </c>
      <c r="G985" s="831">
        <v>7.6277650648359998</v>
      </c>
      <c r="H985" s="831">
        <v>281.61</v>
      </c>
      <c r="I985" s="831">
        <v>33.380000000000003</v>
      </c>
      <c r="J985" s="831">
        <v>2891.64</v>
      </c>
      <c r="K985" s="831">
        <v>7837.13</v>
      </c>
    </row>
    <row r="986" spans="2:11">
      <c r="B986" s="805" t="str">
        <f t="shared" si="20"/>
        <v>Wed</v>
      </c>
      <c r="C986" s="825">
        <v>43628</v>
      </c>
      <c r="D986" s="831">
        <v>46.32</v>
      </c>
      <c r="E986" s="831">
        <v>36.549999999999997</v>
      </c>
      <c r="F986" s="831">
        <v>32.18</v>
      </c>
      <c r="G986" s="831">
        <v>7.8319006685768899</v>
      </c>
      <c r="H986" s="831">
        <v>279.73</v>
      </c>
      <c r="I986" s="831">
        <v>32.96</v>
      </c>
      <c r="J986" s="831">
        <v>2879.84</v>
      </c>
      <c r="K986" s="831">
        <v>7792.7190000000001</v>
      </c>
    </row>
    <row r="987" spans="2:11">
      <c r="B987" s="805" t="str">
        <f t="shared" si="20"/>
        <v>Tue</v>
      </c>
      <c r="C987" s="825">
        <v>43627</v>
      </c>
      <c r="D987" s="831">
        <v>46.85</v>
      </c>
      <c r="E987" s="831">
        <v>37.6875</v>
      </c>
      <c r="F987" s="831">
        <v>32.409999999999997</v>
      </c>
      <c r="G987" s="831">
        <v>7.7915869980879497</v>
      </c>
      <c r="H987" s="831">
        <v>283.48</v>
      </c>
      <c r="I987" s="831">
        <v>34.840000000000003</v>
      </c>
      <c r="J987" s="831">
        <v>2885.72</v>
      </c>
      <c r="K987" s="831">
        <v>7822.5659999999998</v>
      </c>
    </row>
    <row r="988" spans="2:11">
      <c r="B988" s="805" t="str">
        <f t="shared" si="20"/>
        <v>Mon</v>
      </c>
      <c r="C988" s="825">
        <v>43626</v>
      </c>
      <c r="D988" s="831">
        <v>46.8</v>
      </c>
      <c r="E988" s="831">
        <v>37.107500000000002</v>
      </c>
      <c r="F988" s="831">
        <v>33.229999999999997</v>
      </c>
      <c r="G988" s="831">
        <v>7.65476987848053</v>
      </c>
      <c r="H988" s="831">
        <v>280.20999999999998</v>
      </c>
      <c r="I988" s="831">
        <v>34.94</v>
      </c>
      <c r="J988" s="831">
        <v>2886.73</v>
      </c>
      <c r="K988" s="831">
        <v>7823.1689999999999</v>
      </c>
    </row>
    <row r="989" spans="2:11">
      <c r="B989" s="805" t="str">
        <f t="shared" si="20"/>
        <v>Sun</v>
      </c>
      <c r="C989" s="825">
        <v>43625</v>
      </c>
      <c r="D989" s="831">
        <v>46.03</v>
      </c>
      <c r="E989" s="831">
        <v>36.375</v>
      </c>
      <c r="F989" s="831">
        <v>32.409999999999997</v>
      </c>
      <c r="G989" s="831">
        <v>7.4130879345603304</v>
      </c>
      <c r="H989" s="831">
        <v>274.87</v>
      </c>
      <c r="I989" s="831">
        <v>33.99</v>
      </c>
      <c r="J989" s="831">
        <v>2873.34</v>
      </c>
      <c r="K989" s="831">
        <v>7742.1009999999997</v>
      </c>
    </row>
    <row r="990" spans="2:11">
      <c r="B990" s="805" t="str">
        <f t="shared" si="20"/>
        <v>Sat</v>
      </c>
      <c r="C990" s="825">
        <v>43624</v>
      </c>
      <c r="D990" s="831">
        <v>46.03</v>
      </c>
      <c r="E990" s="831">
        <v>36.375</v>
      </c>
      <c r="F990" s="831">
        <v>32.409999999999997</v>
      </c>
      <c r="G990" s="831">
        <v>7.4130879345603304</v>
      </c>
      <c r="H990" s="831">
        <v>274.87</v>
      </c>
      <c r="I990" s="831">
        <v>33.99</v>
      </c>
      <c r="J990" s="831">
        <v>2873.34</v>
      </c>
      <c r="K990" s="831">
        <v>7742.1009999999997</v>
      </c>
    </row>
    <row r="991" spans="2:11">
      <c r="B991" s="805" t="str">
        <f t="shared" si="20"/>
        <v>Fri</v>
      </c>
      <c r="C991" s="825">
        <v>43623</v>
      </c>
      <c r="D991" s="831">
        <v>46.03</v>
      </c>
      <c r="E991" s="831">
        <v>36.375</v>
      </c>
      <c r="F991" s="831">
        <v>32.409999999999997</v>
      </c>
      <c r="G991" s="831">
        <v>7.4130879345603304</v>
      </c>
      <c r="H991" s="831">
        <v>274.87</v>
      </c>
      <c r="I991" s="831">
        <v>33.99</v>
      </c>
      <c r="J991" s="831">
        <v>2873.34</v>
      </c>
      <c r="K991" s="831">
        <v>7742.1009999999997</v>
      </c>
    </row>
    <row r="992" spans="2:11">
      <c r="B992" s="805" t="str">
        <f t="shared" si="20"/>
        <v>Thu</v>
      </c>
      <c r="C992" s="825">
        <v>43622</v>
      </c>
      <c r="D992" s="831">
        <v>45.1</v>
      </c>
      <c r="E992" s="831">
        <v>35.945</v>
      </c>
      <c r="F992" s="831">
        <v>31.82</v>
      </c>
      <c r="G992" s="831">
        <v>7.4130879345603304</v>
      </c>
      <c r="H992" s="831">
        <v>272.79000000000002</v>
      </c>
      <c r="I992" s="831">
        <v>33.47</v>
      </c>
      <c r="J992" s="831">
        <v>2843.49</v>
      </c>
      <c r="K992" s="831">
        <v>7615.5529999999999</v>
      </c>
    </row>
    <row r="993" spans="2:11">
      <c r="B993" s="805" t="str">
        <f t="shared" si="20"/>
        <v>Wed</v>
      </c>
      <c r="C993" s="825">
        <v>43621</v>
      </c>
      <c r="D993" s="831">
        <v>44.55</v>
      </c>
      <c r="E993" s="831">
        <v>35.32</v>
      </c>
      <c r="F993" s="831">
        <v>29.5</v>
      </c>
      <c r="G993" s="831">
        <v>7.4950564521273204</v>
      </c>
      <c r="H993" s="831">
        <v>265.72000000000003</v>
      </c>
      <c r="I993" s="831">
        <v>33.340000000000003</v>
      </c>
      <c r="J993" s="831">
        <v>2826.15</v>
      </c>
      <c r="K993" s="831">
        <v>7575.4750000000004</v>
      </c>
    </row>
    <row r="994" spans="2:11">
      <c r="B994" s="805" t="str">
        <f t="shared" si="20"/>
        <v>Tue</v>
      </c>
      <c r="C994" s="825">
        <v>43620</v>
      </c>
      <c r="D994" s="831">
        <v>44.79</v>
      </c>
      <c r="E994" s="831">
        <v>35.75</v>
      </c>
      <c r="F994" s="831">
        <v>29.57</v>
      </c>
      <c r="G994" s="831">
        <v>7.4322169059011198</v>
      </c>
      <c r="H994" s="831">
        <v>265.7</v>
      </c>
      <c r="I994" s="831">
        <v>34.49</v>
      </c>
      <c r="J994" s="831">
        <v>2803.27</v>
      </c>
      <c r="K994" s="831">
        <v>7527.1170000000002</v>
      </c>
    </row>
    <row r="995" spans="2:11">
      <c r="B995" s="805" t="str">
        <f t="shared" si="20"/>
        <v>Mon</v>
      </c>
      <c r="C995" s="825">
        <v>43619</v>
      </c>
      <c r="D995" s="831">
        <v>43.46</v>
      </c>
      <c r="E995" s="831">
        <v>33.445</v>
      </c>
      <c r="F995" s="831">
        <v>27.58</v>
      </c>
      <c r="G995" s="831">
        <v>7.5832404014656696</v>
      </c>
      <c r="H995" s="831">
        <v>253.18</v>
      </c>
      <c r="I995" s="831">
        <v>32.69</v>
      </c>
      <c r="J995" s="831">
        <v>2744.45</v>
      </c>
      <c r="K995" s="831">
        <v>7333.0190000000002</v>
      </c>
    </row>
    <row r="996" spans="2:11">
      <c r="B996" s="805" t="str">
        <f t="shared" si="20"/>
        <v>Sun</v>
      </c>
      <c r="C996" s="825">
        <v>43618</v>
      </c>
      <c r="D996" s="831">
        <v>44.04</v>
      </c>
      <c r="E996" s="831">
        <v>33.865000000000002</v>
      </c>
      <c r="F996" s="831">
        <v>27.41</v>
      </c>
      <c r="G996" s="831">
        <v>7.4704986676817704</v>
      </c>
      <c r="H996" s="831">
        <v>251.64</v>
      </c>
      <c r="I996" s="831">
        <v>32.61</v>
      </c>
      <c r="J996" s="831">
        <v>2752.06</v>
      </c>
      <c r="K996" s="831">
        <v>7453.1480000000001</v>
      </c>
    </row>
    <row r="997" spans="2:11">
      <c r="B997" s="805" t="str">
        <f t="shared" si="20"/>
        <v>Sat</v>
      </c>
      <c r="C997" s="825">
        <v>43617</v>
      </c>
      <c r="D997" s="831">
        <v>44.04</v>
      </c>
      <c r="E997" s="831">
        <v>33.865000000000002</v>
      </c>
      <c r="F997" s="831">
        <v>27.41</v>
      </c>
      <c r="G997" s="831">
        <v>7.4704986676817704</v>
      </c>
      <c r="H997" s="831">
        <v>251.64</v>
      </c>
      <c r="I997" s="831">
        <v>32.61</v>
      </c>
      <c r="J997" s="831">
        <v>2752.06</v>
      </c>
      <c r="K997" s="831">
        <v>7453.1480000000001</v>
      </c>
    </row>
    <row r="998" spans="2:11">
      <c r="B998" s="805" t="str">
        <f t="shared" si="20"/>
        <v>Fri</v>
      </c>
      <c r="C998" s="825">
        <v>43616</v>
      </c>
      <c r="D998" s="831">
        <v>44.04</v>
      </c>
      <c r="E998" s="831">
        <v>33.865000000000002</v>
      </c>
      <c r="F998" s="831">
        <v>27.41</v>
      </c>
      <c r="G998" s="831">
        <v>7.4704986676817704</v>
      </c>
      <c r="H998" s="831">
        <v>251.64</v>
      </c>
      <c r="I998" s="831">
        <v>32.61</v>
      </c>
      <c r="J998" s="831">
        <v>2752.06</v>
      </c>
      <c r="K998" s="831">
        <v>7453.1480000000001</v>
      </c>
    </row>
    <row r="999" spans="2:11">
      <c r="B999" s="805" t="str">
        <f t="shared" si="20"/>
        <v>Thu</v>
      </c>
      <c r="C999" s="825">
        <v>43615</v>
      </c>
      <c r="D999" s="831">
        <v>44.73</v>
      </c>
      <c r="E999" s="831">
        <v>34.777500000000003</v>
      </c>
      <c r="F999" s="831">
        <v>28.03</v>
      </c>
      <c r="G999" s="831">
        <v>7.3182322192301603</v>
      </c>
      <c r="H999" s="831">
        <v>256.62</v>
      </c>
      <c r="I999" s="831">
        <v>33.32</v>
      </c>
      <c r="J999" s="831">
        <v>2788.86</v>
      </c>
      <c r="K999" s="831">
        <v>7567.7160000000003</v>
      </c>
    </row>
    <row r="1000" spans="2:11">
      <c r="B1000" s="805" t="str">
        <f t="shared" si="20"/>
        <v>Wed</v>
      </c>
      <c r="C1000" s="825">
        <v>43614</v>
      </c>
      <c r="D1000" s="831">
        <v>44.23</v>
      </c>
      <c r="E1000" s="831">
        <v>35.085000000000001</v>
      </c>
      <c r="F1000" s="831">
        <v>28.09</v>
      </c>
      <c r="G1000" s="831">
        <v>7.2750903442591799</v>
      </c>
      <c r="H1000" s="831">
        <v>254.12</v>
      </c>
      <c r="I1000" s="831">
        <v>33.29</v>
      </c>
      <c r="J1000" s="831">
        <v>2783.02</v>
      </c>
      <c r="K1000" s="831">
        <v>7547.3090000000002</v>
      </c>
    </row>
    <row r="1001" spans="2:11">
      <c r="B1001" s="805" t="str">
        <f t="shared" si="20"/>
        <v>Tue</v>
      </c>
      <c r="C1001" s="825">
        <v>43613</v>
      </c>
      <c r="D1001" s="831">
        <v>43.57</v>
      </c>
      <c r="E1001" s="831">
        <v>35.832500000000003</v>
      </c>
      <c r="F1001" s="831">
        <v>29.03</v>
      </c>
      <c r="G1001" s="831">
        <v>7.3114254900716897</v>
      </c>
      <c r="H1001" s="831">
        <v>254.48</v>
      </c>
      <c r="I1001" s="831">
        <v>32.94</v>
      </c>
      <c r="J1001" s="831">
        <v>2802.39</v>
      </c>
      <c r="K1001" s="831">
        <v>7607.3509999999997</v>
      </c>
    </row>
    <row r="1002" spans="2:11">
      <c r="B1002" s="805" t="str">
        <f t="shared" si="20"/>
        <v>Mon</v>
      </c>
      <c r="C1002" s="825">
        <v>43612</v>
      </c>
      <c r="D1002" s="831">
        <v>44.57</v>
      </c>
      <c r="E1002" s="831">
        <v>36.287500000000001</v>
      </c>
      <c r="F1002" s="831">
        <v>26.44</v>
      </c>
      <c r="G1002" s="831">
        <v>7.34639358860196</v>
      </c>
      <c r="H1002" s="831">
        <v>255.94</v>
      </c>
      <c r="I1002" s="831">
        <v>34</v>
      </c>
      <c r="J1002" s="831">
        <v>2826.06</v>
      </c>
      <c r="K1002" s="831">
        <v>7637.009</v>
      </c>
    </row>
    <row r="1003" spans="2:11">
      <c r="B1003" s="805" t="str">
        <f t="shared" si="20"/>
        <v>Sun</v>
      </c>
      <c r="C1003" s="825">
        <v>43611</v>
      </c>
      <c r="D1003" s="831">
        <v>44.57</v>
      </c>
      <c r="E1003" s="831">
        <v>36.287500000000001</v>
      </c>
      <c r="F1003" s="831">
        <v>26.44</v>
      </c>
      <c r="G1003" s="831">
        <v>7.4024653704409697</v>
      </c>
      <c r="H1003" s="831">
        <v>255.94</v>
      </c>
      <c r="I1003" s="831">
        <v>34</v>
      </c>
      <c r="J1003" s="831">
        <v>2826.06</v>
      </c>
      <c r="K1003" s="831">
        <v>7637.009</v>
      </c>
    </row>
    <row r="1004" spans="2:11">
      <c r="B1004" s="805" t="str">
        <f t="shared" si="20"/>
        <v>Sat</v>
      </c>
      <c r="C1004" s="825">
        <v>43610</v>
      </c>
      <c r="D1004" s="831">
        <v>44.57</v>
      </c>
      <c r="E1004" s="831">
        <v>36.287500000000001</v>
      </c>
      <c r="F1004" s="831">
        <v>26.44</v>
      </c>
      <c r="G1004" s="831">
        <v>7.4024653704409697</v>
      </c>
      <c r="H1004" s="831">
        <v>255.94</v>
      </c>
      <c r="I1004" s="831">
        <v>34</v>
      </c>
      <c r="J1004" s="831">
        <v>2826.06</v>
      </c>
      <c r="K1004" s="831">
        <v>7637.009</v>
      </c>
    </row>
    <row r="1005" spans="2:11">
      <c r="B1005" s="805" t="str">
        <f t="shared" si="20"/>
        <v>Fri</v>
      </c>
      <c r="C1005" s="825">
        <v>43609</v>
      </c>
      <c r="D1005" s="831">
        <v>44.57</v>
      </c>
      <c r="E1005" s="831">
        <v>36.287500000000001</v>
      </c>
      <c r="F1005" s="831">
        <v>26.44</v>
      </c>
      <c r="G1005" s="831">
        <v>7.4024653704409697</v>
      </c>
      <c r="H1005" s="831">
        <v>255.94</v>
      </c>
      <c r="I1005" s="831">
        <v>34</v>
      </c>
      <c r="J1005" s="831">
        <v>2826.06</v>
      </c>
      <c r="K1005" s="831">
        <v>7637.009</v>
      </c>
    </row>
    <row r="1006" spans="2:11">
      <c r="B1006" s="805" t="str">
        <f t="shared" si="20"/>
        <v>Thu</v>
      </c>
      <c r="C1006" s="825">
        <v>43608</v>
      </c>
      <c r="D1006" s="831">
        <v>44.53</v>
      </c>
      <c r="E1006" s="831">
        <v>36.83</v>
      </c>
      <c r="F1006" s="831">
        <v>26.36</v>
      </c>
      <c r="G1006" s="831">
        <v>7.2969543147208098</v>
      </c>
      <c r="H1006" s="831">
        <v>260.08999999999997</v>
      </c>
      <c r="I1006" s="831">
        <v>33.82</v>
      </c>
      <c r="J1006" s="831">
        <v>2822.24</v>
      </c>
      <c r="K1006" s="831">
        <v>7628.2839999999997</v>
      </c>
    </row>
    <row r="1007" spans="2:11">
      <c r="B1007" s="805" t="str">
        <f t="shared" si="20"/>
        <v>Wed</v>
      </c>
      <c r="C1007" s="825">
        <v>43607</v>
      </c>
      <c r="D1007" s="831">
        <v>44</v>
      </c>
      <c r="E1007" s="831">
        <v>38.049999999999997</v>
      </c>
      <c r="F1007" s="831">
        <v>27.41</v>
      </c>
      <c r="G1007" s="831">
        <v>7.5714194820894596</v>
      </c>
      <c r="H1007" s="831">
        <v>269.22000000000003</v>
      </c>
      <c r="I1007" s="831">
        <v>34.729999999999997</v>
      </c>
      <c r="J1007" s="831">
        <v>2856.27</v>
      </c>
      <c r="K1007" s="831">
        <v>7750.8429999999998</v>
      </c>
    </row>
    <row r="1008" spans="2:11">
      <c r="B1008" s="805" t="str">
        <f t="shared" si="20"/>
        <v>Tue</v>
      </c>
      <c r="C1008" s="825">
        <v>43606</v>
      </c>
      <c r="D1008" s="831">
        <v>44.46</v>
      </c>
      <c r="E1008" s="831">
        <v>38.765000000000001</v>
      </c>
      <c r="F1008" s="831">
        <v>27.35</v>
      </c>
      <c r="G1008" s="831">
        <v>7.4429848277617001</v>
      </c>
      <c r="H1008" s="831">
        <v>275.33</v>
      </c>
      <c r="I1008" s="831">
        <v>35.64</v>
      </c>
      <c r="J1008" s="831">
        <v>2864.36</v>
      </c>
      <c r="K1008" s="831">
        <v>7785.7240000000002</v>
      </c>
    </row>
    <row r="1009" spans="2:11">
      <c r="B1009" s="805" t="str">
        <f t="shared" si="20"/>
        <v>Mon</v>
      </c>
      <c r="C1009" s="825">
        <v>43605</v>
      </c>
      <c r="D1009" s="831">
        <v>43.56</v>
      </c>
      <c r="E1009" s="831">
        <v>37.9375</v>
      </c>
      <c r="F1009" s="831">
        <v>26.68</v>
      </c>
      <c r="G1009" s="831">
        <v>7.5810664458176698</v>
      </c>
      <c r="H1009" s="831">
        <v>272.58999999999997</v>
      </c>
      <c r="I1009" s="831">
        <v>34.619999999999997</v>
      </c>
      <c r="J1009" s="831">
        <v>2840.23</v>
      </c>
      <c r="K1009" s="831">
        <v>7702.375</v>
      </c>
    </row>
    <row r="1010" spans="2:11">
      <c r="B1010" s="805" t="str">
        <f t="shared" si="20"/>
        <v>Sun</v>
      </c>
      <c r="C1010" s="825">
        <v>43604</v>
      </c>
      <c r="D1010" s="831">
        <v>44.89</v>
      </c>
      <c r="E1010" s="831">
        <v>39.1325</v>
      </c>
      <c r="F1010" s="831">
        <v>27.5</v>
      </c>
      <c r="G1010" s="831">
        <v>7.70015623505404</v>
      </c>
      <c r="H1010" s="831">
        <v>289.89</v>
      </c>
      <c r="I1010" s="831">
        <v>36.06</v>
      </c>
      <c r="J1010" s="831">
        <v>2859.53</v>
      </c>
      <c r="K1010" s="831">
        <v>7816.2849999999999</v>
      </c>
    </row>
    <row r="1011" spans="2:11">
      <c r="B1011" s="805" t="str">
        <f t="shared" si="20"/>
        <v>Sat</v>
      </c>
      <c r="C1011" s="825">
        <v>43603</v>
      </c>
      <c r="D1011" s="831">
        <v>44.89</v>
      </c>
      <c r="E1011" s="831">
        <v>39.1325</v>
      </c>
      <c r="F1011" s="831">
        <v>27.5</v>
      </c>
      <c r="G1011" s="831">
        <v>7.70015623505404</v>
      </c>
      <c r="H1011" s="831">
        <v>289.89</v>
      </c>
      <c r="I1011" s="831">
        <v>36.06</v>
      </c>
      <c r="J1011" s="831">
        <v>2859.53</v>
      </c>
      <c r="K1011" s="831">
        <v>7816.2849999999999</v>
      </c>
    </row>
    <row r="1012" spans="2:11">
      <c r="B1012" s="805" t="str">
        <f t="shared" si="20"/>
        <v>Fri</v>
      </c>
      <c r="C1012" s="825">
        <v>43602</v>
      </c>
      <c r="D1012" s="831">
        <v>44.89</v>
      </c>
      <c r="E1012" s="831">
        <v>39.1325</v>
      </c>
      <c r="F1012" s="831">
        <v>27.5</v>
      </c>
      <c r="G1012" s="831">
        <v>7.70015623505404</v>
      </c>
      <c r="H1012" s="831">
        <v>289.89</v>
      </c>
      <c r="I1012" s="831">
        <v>36.06</v>
      </c>
      <c r="J1012" s="831">
        <v>2859.53</v>
      </c>
      <c r="K1012" s="831">
        <v>7816.2849999999999</v>
      </c>
    </row>
    <row r="1013" spans="2:11">
      <c r="B1013" s="805" t="str">
        <f t="shared" si="20"/>
        <v>Thu</v>
      </c>
      <c r="C1013" s="825">
        <v>43601</v>
      </c>
      <c r="D1013" s="831">
        <v>45.53</v>
      </c>
      <c r="E1013" s="831">
        <v>40.047499999999999</v>
      </c>
      <c r="F1013" s="831">
        <v>28.01</v>
      </c>
      <c r="G1013" s="831">
        <v>7.9166666666666696</v>
      </c>
      <c r="H1013" s="831">
        <v>297.29000000000002</v>
      </c>
      <c r="I1013" s="831">
        <v>37.31</v>
      </c>
      <c r="J1013" s="831">
        <v>2876.32</v>
      </c>
      <c r="K1013" s="831">
        <v>7898.0460000000003</v>
      </c>
    </row>
    <row r="1014" spans="2:11">
      <c r="B1014" s="805" t="str">
        <f t="shared" si="20"/>
        <v>Wed</v>
      </c>
      <c r="C1014" s="825">
        <v>43600</v>
      </c>
      <c r="D1014" s="831">
        <v>45.62</v>
      </c>
      <c r="E1014" s="831">
        <v>39.895000000000003</v>
      </c>
      <c r="F1014" s="831">
        <v>27.58</v>
      </c>
      <c r="G1014" s="831">
        <v>8.0149354620658606</v>
      </c>
      <c r="H1014" s="831">
        <v>304.37</v>
      </c>
      <c r="I1014" s="831">
        <v>38.409999999999997</v>
      </c>
      <c r="J1014" s="831">
        <v>2850.96</v>
      </c>
      <c r="K1014" s="831">
        <v>7822.1469999999999</v>
      </c>
    </row>
    <row r="1015" spans="2:11">
      <c r="B1015" s="805" t="str">
        <f t="shared" si="20"/>
        <v>Tue</v>
      </c>
      <c r="C1015" s="825">
        <v>43599</v>
      </c>
      <c r="D1015" s="831">
        <v>45.17</v>
      </c>
      <c r="E1015" s="831">
        <v>40.51</v>
      </c>
      <c r="F1015" s="831">
        <v>27.32</v>
      </c>
      <c r="G1015" s="831">
        <v>7.9780403236162796</v>
      </c>
      <c r="H1015" s="831">
        <v>302</v>
      </c>
      <c r="I1015" s="831">
        <v>38.51</v>
      </c>
      <c r="J1015" s="831">
        <v>2834.41</v>
      </c>
      <c r="K1015" s="831">
        <v>7734.4939999999997</v>
      </c>
    </row>
    <row r="1016" spans="2:11">
      <c r="B1016" s="805" t="str">
        <f t="shared" si="20"/>
        <v>Mon</v>
      </c>
      <c r="C1016" s="825">
        <v>43598</v>
      </c>
      <c r="D1016" s="831">
        <v>44.76</v>
      </c>
      <c r="E1016" s="831">
        <v>39.612499999999997</v>
      </c>
      <c r="F1016" s="831">
        <v>26.24</v>
      </c>
      <c r="G1016" s="831">
        <v>8.0546623794212202</v>
      </c>
      <c r="H1016" s="831">
        <v>293.38</v>
      </c>
      <c r="I1016" s="831">
        <v>37.380000000000003</v>
      </c>
      <c r="J1016" s="831">
        <v>2811.87</v>
      </c>
      <c r="K1016" s="831">
        <v>7647.0240000000003</v>
      </c>
    </row>
    <row r="1017" spans="2:11">
      <c r="B1017" s="805" t="str">
        <f t="shared" si="20"/>
        <v>Sun</v>
      </c>
      <c r="C1017" s="825">
        <v>43597</v>
      </c>
      <c r="D1017" s="831">
        <v>46.2</v>
      </c>
      <c r="E1017" s="831">
        <v>42.204999999999998</v>
      </c>
      <c r="F1017" s="831">
        <v>27.96</v>
      </c>
      <c r="G1017" s="831">
        <v>8.2746137436162606</v>
      </c>
      <c r="H1017" s="831">
        <v>303.95999999999998</v>
      </c>
      <c r="I1017" s="831">
        <v>38.94</v>
      </c>
      <c r="J1017" s="831">
        <v>2881.4</v>
      </c>
      <c r="K1017" s="831">
        <v>7916.94</v>
      </c>
    </row>
    <row r="1018" spans="2:11">
      <c r="B1018" s="805" t="str">
        <f t="shared" si="20"/>
        <v>Sat</v>
      </c>
      <c r="C1018" s="825">
        <v>43596</v>
      </c>
      <c r="D1018" s="831">
        <v>46.2</v>
      </c>
      <c r="E1018" s="831">
        <v>42.204999999999998</v>
      </c>
      <c r="F1018" s="831">
        <v>27.96</v>
      </c>
      <c r="G1018" s="831">
        <v>8.2746137436162606</v>
      </c>
      <c r="H1018" s="831">
        <v>303.95999999999998</v>
      </c>
      <c r="I1018" s="831">
        <v>38.94</v>
      </c>
      <c r="J1018" s="831">
        <v>2881.4</v>
      </c>
      <c r="K1018" s="831">
        <v>7916.94</v>
      </c>
    </row>
    <row r="1019" spans="2:11">
      <c r="B1019" s="805" t="str">
        <f t="shared" si="20"/>
        <v>Fri</v>
      </c>
      <c r="C1019" s="825">
        <v>43595</v>
      </c>
      <c r="D1019" s="831">
        <v>46.2</v>
      </c>
      <c r="E1019" s="831">
        <v>42.204999999999998</v>
      </c>
      <c r="F1019" s="831">
        <v>27.96</v>
      </c>
      <c r="G1019" s="831">
        <v>8.2746137436162606</v>
      </c>
      <c r="H1019" s="831">
        <v>303.95999999999998</v>
      </c>
      <c r="I1019" s="831">
        <v>38.94</v>
      </c>
      <c r="J1019" s="831">
        <v>2881.4</v>
      </c>
      <c r="K1019" s="831">
        <v>7916.94</v>
      </c>
    </row>
    <row r="1020" spans="2:11">
      <c r="B1020" s="805" t="str">
        <f t="shared" si="20"/>
        <v>Thu</v>
      </c>
      <c r="C1020" s="825">
        <v>43594</v>
      </c>
      <c r="D1020" s="831">
        <v>46.62</v>
      </c>
      <c r="E1020" s="831">
        <v>42.547499999999999</v>
      </c>
      <c r="F1020" s="831">
        <v>27.21</v>
      </c>
      <c r="G1020" s="831">
        <v>8.2765964312219698</v>
      </c>
      <c r="H1020" s="831">
        <v>304.06</v>
      </c>
      <c r="I1020" s="831">
        <v>39.270000000000003</v>
      </c>
      <c r="J1020" s="831">
        <v>2870.72</v>
      </c>
      <c r="K1020" s="831">
        <v>7910.5870000000004</v>
      </c>
    </row>
    <row r="1021" spans="2:11">
      <c r="B1021" s="805" t="str">
        <f t="shared" si="20"/>
        <v>Wed</v>
      </c>
      <c r="C1021" s="825">
        <v>43593</v>
      </c>
      <c r="D1021" s="831">
        <v>49.24</v>
      </c>
      <c r="E1021" s="831">
        <v>43.48</v>
      </c>
      <c r="F1021" s="831">
        <v>27.09</v>
      </c>
      <c r="G1021" s="831">
        <v>8.4017320493763297</v>
      </c>
      <c r="H1021" s="831">
        <v>303.39</v>
      </c>
      <c r="I1021" s="831">
        <v>39.75</v>
      </c>
      <c r="J1021" s="831">
        <v>2879.42</v>
      </c>
      <c r="K1021" s="831">
        <v>7943.3190000000004</v>
      </c>
    </row>
    <row r="1022" spans="2:11">
      <c r="B1022" s="805" t="str">
        <f t="shared" si="20"/>
        <v>Tue</v>
      </c>
      <c r="C1022" s="825">
        <v>43592</v>
      </c>
      <c r="D1022" s="831">
        <v>50.48</v>
      </c>
      <c r="E1022" s="831">
        <v>43.277500000000003</v>
      </c>
      <c r="F1022" s="831">
        <v>26.66</v>
      </c>
      <c r="G1022" s="831">
        <v>8.4869059165858403</v>
      </c>
      <c r="H1022" s="831">
        <v>307.29000000000002</v>
      </c>
      <c r="I1022" s="831">
        <v>40.26</v>
      </c>
      <c r="J1022" s="831">
        <v>2884.05</v>
      </c>
      <c r="K1022" s="831">
        <v>7963.7560000000003</v>
      </c>
    </row>
    <row r="1023" spans="2:11">
      <c r="B1023" s="805" t="str">
        <f t="shared" si="20"/>
        <v>Mon</v>
      </c>
      <c r="C1023" s="825">
        <v>43591</v>
      </c>
      <c r="D1023" s="831">
        <v>51.22</v>
      </c>
      <c r="E1023" s="831">
        <v>44.962499999999999</v>
      </c>
      <c r="F1023" s="831">
        <v>27.42</v>
      </c>
      <c r="G1023" s="831">
        <v>8.3791653186671002</v>
      </c>
      <c r="H1023" s="831">
        <v>311.57</v>
      </c>
      <c r="I1023" s="831">
        <v>42.13</v>
      </c>
      <c r="J1023" s="831">
        <v>2932.47</v>
      </c>
      <c r="K1023" s="831">
        <v>8123.2889999999998</v>
      </c>
    </row>
    <row r="1024" spans="2:11">
      <c r="B1024" s="805" t="str">
        <f t="shared" si="20"/>
        <v>Sun</v>
      </c>
      <c r="C1024" s="825">
        <v>43590</v>
      </c>
      <c r="D1024" s="831">
        <v>51.75</v>
      </c>
      <c r="E1024" s="831">
        <v>45.752499999999998</v>
      </c>
      <c r="F1024" s="831">
        <v>28.22</v>
      </c>
      <c r="G1024" s="831">
        <v>8.5880027222348296</v>
      </c>
      <c r="H1024" s="831">
        <v>315.70999999999998</v>
      </c>
      <c r="I1024" s="831">
        <v>43.33</v>
      </c>
      <c r="J1024" s="831">
        <v>2945.64</v>
      </c>
      <c r="K1024" s="831">
        <v>8163.9960000000001</v>
      </c>
    </row>
    <row r="1025" spans="2:11">
      <c r="B1025" s="805" t="str">
        <f t="shared" si="20"/>
        <v>Sat</v>
      </c>
      <c r="C1025" s="825">
        <v>43589</v>
      </c>
      <c r="D1025" s="831">
        <v>51.75</v>
      </c>
      <c r="E1025" s="831">
        <v>45.752499999999998</v>
      </c>
      <c r="F1025" s="831">
        <v>28.22</v>
      </c>
      <c r="G1025" s="831">
        <v>8.5880027222348296</v>
      </c>
      <c r="H1025" s="831">
        <v>315.70999999999998</v>
      </c>
      <c r="I1025" s="831">
        <v>43.33</v>
      </c>
      <c r="J1025" s="831">
        <v>2945.64</v>
      </c>
      <c r="K1025" s="831">
        <v>8163.9960000000001</v>
      </c>
    </row>
    <row r="1026" spans="2:11">
      <c r="B1026" s="805" t="str">
        <f t="shared" si="20"/>
        <v>Fri</v>
      </c>
      <c r="C1026" s="825">
        <v>43588</v>
      </c>
      <c r="D1026" s="831">
        <v>51.75</v>
      </c>
      <c r="E1026" s="831">
        <v>45.752499999999998</v>
      </c>
      <c r="F1026" s="831">
        <v>28.22</v>
      </c>
      <c r="G1026" s="831">
        <v>8.5880027222348296</v>
      </c>
      <c r="H1026" s="831">
        <v>315.70999999999998</v>
      </c>
      <c r="I1026" s="831">
        <v>43.33</v>
      </c>
      <c r="J1026" s="831">
        <v>2945.64</v>
      </c>
      <c r="K1026" s="831">
        <v>8163.9960000000001</v>
      </c>
    </row>
    <row r="1027" spans="2:11">
      <c r="B1027" s="805" t="str">
        <f t="shared" si="20"/>
        <v>Thu</v>
      </c>
      <c r="C1027" s="825">
        <v>43587</v>
      </c>
      <c r="D1027" s="831">
        <v>50.55</v>
      </c>
      <c r="E1027" s="831">
        <v>45.797499999999999</v>
      </c>
      <c r="F1027" s="831">
        <v>28.29</v>
      </c>
      <c r="G1027" s="831">
        <v>8.3829621957534997</v>
      </c>
      <c r="H1027" s="831">
        <v>315.82</v>
      </c>
      <c r="I1027" s="831">
        <v>42.56</v>
      </c>
      <c r="J1027" s="831">
        <v>2917.52</v>
      </c>
      <c r="K1027" s="831">
        <v>8036.7719999999999</v>
      </c>
    </row>
    <row r="1028" spans="2:11">
      <c r="B1028" s="805" t="str">
        <f t="shared" si="20"/>
        <v>Wed</v>
      </c>
      <c r="C1028" s="825">
        <v>43586</v>
      </c>
      <c r="D1028" s="831">
        <v>50.76</v>
      </c>
      <c r="E1028" s="831">
        <v>45.1175</v>
      </c>
      <c r="F1028" s="831">
        <v>26.81</v>
      </c>
      <c r="G1028" s="831">
        <v>8.3837762599941694</v>
      </c>
      <c r="H1028" s="831">
        <v>318.89999999999998</v>
      </c>
      <c r="I1028" s="831">
        <v>41.9</v>
      </c>
      <c r="J1028" s="831">
        <v>2923.73</v>
      </c>
      <c r="K1028" s="831">
        <v>8049.64</v>
      </c>
    </row>
    <row r="1029" spans="2:11">
      <c r="B1029" s="805" t="str">
        <f t="shared" si="20"/>
        <v>Tue</v>
      </c>
      <c r="C1029" s="825">
        <v>43585</v>
      </c>
      <c r="D1029" s="831">
        <v>51.04</v>
      </c>
      <c r="E1029" s="831">
        <v>45.25</v>
      </c>
      <c r="F1029" s="831">
        <v>27.63</v>
      </c>
      <c r="G1029" s="831">
        <v>8.3837762599941694</v>
      </c>
      <c r="H1029" s="831">
        <v>318.39999999999998</v>
      </c>
      <c r="I1029" s="831">
        <v>42.06</v>
      </c>
      <c r="J1029" s="831">
        <v>2945.83</v>
      </c>
      <c r="K1029" s="831">
        <v>8095.3879999999999</v>
      </c>
    </row>
    <row r="1030" spans="2:11">
      <c r="B1030" s="805" t="str">
        <f t="shared" si="20"/>
        <v>Mon</v>
      </c>
      <c r="C1030" s="825">
        <v>43584</v>
      </c>
      <c r="D1030" s="831">
        <v>51.11</v>
      </c>
      <c r="E1030" s="831">
        <v>44.832500000000003</v>
      </c>
      <c r="F1030" s="831">
        <v>27.69</v>
      </c>
      <c r="G1030" s="831">
        <v>8.39833004304346</v>
      </c>
      <c r="H1030" s="831">
        <v>312.72000000000003</v>
      </c>
      <c r="I1030" s="831">
        <v>42.11</v>
      </c>
      <c r="J1030" s="831">
        <v>2943.03</v>
      </c>
      <c r="K1030" s="831">
        <v>8161.8530000000001</v>
      </c>
    </row>
    <row r="1031" spans="2:11">
      <c r="B1031" s="805" t="str">
        <f t="shared" si="20"/>
        <v>Sun</v>
      </c>
      <c r="C1031" s="825">
        <v>43583</v>
      </c>
      <c r="D1031" s="831">
        <v>52.43</v>
      </c>
      <c r="E1031" s="831">
        <v>44.522500000000001</v>
      </c>
      <c r="F1031" s="831">
        <v>27.88</v>
      </c>
      <c r="G1031" s="831">
        <v>8.4136949064785505</v>
      </c>
      <c r="H1031" s="831">
        <v>310.41000000000003</v>
      </c>
      <c r="I1031" s="831">
        <v>42.1</v>
      </c>
      <c r="J1031" s="831">
        <v>2939.88</v>
      </c>
      <c r="K1031" s="831">
        <v>8146.3980000000001</v>
      </c>
    </row>
    <row r="1032" spans="2:11">
      <c r="B1032" s="805" t="str">
        <f t="shared" ref="B1032:B1095" si="21">TEXT(C1032,"DDD")</f>
        <v>Sat</v>
      </c>
      <c r="C1032" s="825">
        <v>43582</v>
      </c>
      <c r="D1032" s="831">
        <v>52.43</v>
      </c>
      <c r="E1032" s="831">
        <v>44.522500000000001</v>
      </c>
      <c r="F1032" s="831">
        <v>27.88</v>
      </c>
      <c r="G1032" s="831">
        <v>8.4136949064785505</v>
      </c>
      <c r="H1032" s="831">
        <v>310.41000000000003</v>
      </c>
      <c r="I1032" s="831">
        <v>42.1</v>
      </c>
      <c r="J1032" s="831">
        <v>2939.88</v>
      </c>
      <c r="K1032" s="831">
        <v>8146.3980000000001</v>
      </c>
    </row>
    <row r="1033" spans="2:11">
      <c r="B1033" s="805" t="str">
        <f t="shared" si="21"/>
        <v>Fri</v>
      </c>
      <c r="C1033" s="825">
        <v>43581</v>
      </c>
      <c r="D1033" s="831">
        <v>52.43</v>
      </c>
      <c r="E1033" s="831">
        <v>44.522500000000001</v>
      </c>
      <c r="F1033" s="831">
        <v>27.88</v>
      </c>
      <c r="G1033" s="831">
        <v>8.4136949064785505</v>
      </c>
      <c r="H1033" s="831">
        <v>310.41000000000003</v>
      </c>
      <c r="I1033" s="831">
        <v>42.1</v>
      </c>
      <c r="J1033" s="831">
        <v>2939.88</v>
      </c>
      <c r="K1033" s="831">
        <v>8146.3980000000001</v>
      </c>
    </row>
    <row r="1034" spans="2:11">
      <c r="B1034" s="805" t="str">
        <f t="shared" si="21"/>
        <v>Thu</v>
      </c>
      <c r="C1034" s="825">
        <v>43580</v>
      </c>
      <c r="D1034" s="831">
        <v>57.61</v>
      </c>
      <c r="E1034" s="831">
        <v>46.727499999999999</v>
      </c>
      <c r="F1034" s="831">
        <v>27.66</v>
      </c>
      <c r="G1034" s="831">
        <v>8.6541572306696803</v>
      </c>
      <c r="H1034" s="831">
        <v>311.82</v>
      </c>
      <c r="I1034" s="831">
        <v>42.75</v>
      </c>
      <c r="J1034" s="831">
        <v>2926.17</v>
      </c>
      <c r="K1034" s="831">
        <v>8118.6819999999998</v>
      </c>
    </row>
    <row r="1035" spans="2:11">
      <c r="B1035" s="805" t="str">
        <f t="shared" si="21"/>
        <v>Wed</v>
      </c>
      <c r="C1035" s="825">
        <v>43579</v>
      </c>
      <c r="D1035" s="831">
        <v>58.72</v>
      </c>
      <c r="E1035" s="831">
        <v>47.792499999999997</v>
      </c>
      <c r="F1035" s="831">
        <v>28.46</v>
      </c>
      <c r="G1035" s="831">
        <v>8.7035299446727308</v>
      </c>
      <c r="H1035" s="831">
        <v>314.33</v>
      </c>
      <c r="I1035" s="831">
        <v>43.03</v>
      </c>
      <c r="J1035" s="831">
        <v>2927.25</v>
      </c>
      <c r="K1035" s="831">
        <v>8102.0150000000003</v>
      </c>
    </row>
    <row r="1036" spans="2:11">
      <c r="B1036" s="805" t="str">
        <f t="shared" si="21"/>
        <v>Tue</v>
      </c>
      <c r="C1036" s="825">
        <v>43578</v>
      </c>
      <c r="D1036" s="831">
        <v>58.78</v>
      </c>
      <c r="E1036" s="831">
        <v>47.667499999999997</v>
      </c>
      <c r="F1036" s="831">
        <v>27.97</v>
      </c>
      <c r="G1036" s="831">
        <v>8.6849439367424992</v>
      </c>
      <c r="H1036" s="831">
        <v>315.64</v>
      </c>
      <c r="I1036" s="831">
        <v>42.77</v>
      </c>
      <c r="J1036" s="831">
        <v>2933.68</v>
      </c>
      <c r="K1036" s="831">
        <v>8120.8220000000001</v>
      </c>
    </row>
    <row r="1037" spans="2:11">
      <c r="B1037" s="805" t="str">
        <f t="shared" si="21"/>
        <v>Mon</v>
      </c>
      <c r="C1037" s="825">
        <v>43577</v>
      </c>
      <c r="D1037" s="831">
        <v>58.82</v>
      </c>
      <c r="E1037" s="831">
        <v>47.1175</v>
      </c>
      <c r="F1037" s="831">
        <v>28.18</v>
      </c>
      <c r="G1037" s="831">
        <v>8.6260012322858906</v>
      </c>
      <c r="H1037" s="831">
        <v>315</v>
      </c>
      <c r="I1037" s="831">
        <v>43.4</v>
      </c>
      <c r="J1037" s="831">
        <v>2907.97</v>
      </c>
      <c r="K1037" s="831">
        <v>8015.2659999999996</v>
      </c>
    </row>
    <row r="1038" spans="2:11">
      <c r="B1038" s="805" t="str">
        <f t="shared" si="21"/>
        <v>Sun</v>
      </c>
      <c r="C1038" s="825">
        <v>43576</v>
      </c>
      <c r="D1038" s="831">
        <v>58.49</v>
      </c>
      <c r="E1038" s="831">
        <v>46.575000000000003</v>
      </c>
      <c r="F1038" s="831">
        <v>27.68</v>
      </c>
      <c r="G1038" s="831">
        <v>8.5859897422580005</v>
      </c>
      <c r="H1038" s="831">
        <v>318.62</v>
      </c>
      <c r="I1038" s="831">
        <v>43.4</v>
      </c>
      <c r="J1038" s="831">
        <v>2905.03</v>
      </c>
      <c r="K1038" s="831">
        <v>7998.0609999999997</v>
      </c>
    </row>
    <row r="1039" spans="2:11">
      <c r="B1039" s="805" t="str">
        <f t="shared" si="21"/>
        <v>Sat</v>
      </c>
      <c r="C1039" s="825">
        <v>43575</v>
      </c>
      <c r="D1039" s="831">
        <v>58.49</v>
      </c>
      <c r="E1039" s="831">
        <v>46.575000000000003</v>
      </c>
      <c r="F1039" s="831">
        <v>27.68</v>
      </c>
      <c r="G1039" s="831">
        <v>8.5859897422580005</v>
      </c>
      <c r="H1039" s="831">
        <v>318.62</v>
      </c>
      <c r="I1039" s="831">
        <v>43.4</v>
      </c>
      <c r="J1039" s="831">
        <v>2905.03</v>
      </c>
      <c r="K1039" s="831">
        <v>7998.0609999999997</v>
      </c>
    </row>
    <row r="1040" spans="2:11">
      <c r="B1040" s="805" t="str">
        <f t="shared" si="21"/>
        <v>Fri</v>
      </c>
      <c r="C1040" s="825">
        <v>43574</v>
      </c>
      <c r="D1040" s="831">
        <v>58.49</v>
      </c>
      <c r="E1040" s="831">
        <v>46.575000000000003</v>
      </c>
      <c r="F1040" s="831">
        <v>27.68</v>
      </c>
      <c r="G1040" s="831">
        <v>8.5859897422580005</v>
      </c>
      <c r="H1040" s="831">
        <v>318.62</v>
      </c>
      <c r="I1040" s="831">
        <v>43.4</v>
      </c>
      <c r="J1040" s="831">
        <v>2905.03</v>
      </c>
      <c r="K1040" s="831">
        <v>7998.0609999999997</v>
      </c>
    </row>
    <row r="1041" spans="2:11">
      <c r="B1041" s="805" t="str">
        <f t="shared" si="21"/>
        <v>Thu</v>
      </c>
      <c r="C1041" s="825">
        <v>43573</v>
      </c>
      <c r="D1041" s="831">
        <v>58.49</v>
      </c>
      <c r="E1041" s="831">
        <v>46.575000000000003</v>
      </c>
      <c r="F1041" s="831">
        <v>27.68</v>
      </c>
      <c r="G1041" s="831">
        <v>8.5804191267112202</v>
      </c>
      <c r="H1041" s="831">
        <v>318.62</v>
      </c>
      <c r="I1041" s="831">
        <v>43.4</v>
      </c>
      <c r="J1041" s="831">
        <v>2905.03</v>
      </c>
      <c r="K1041" s="831">
        <v>7998.0609999999997</v>
      </c>
    </row>
    <row r="1042" spans="2:11">
      <c r="B1042" s="805" t="str">
        <f t="shared" si="21"/>
        <v>Wed</v>
      </c>
      <c r="C1042" s="825">
        <v>43572</v>
      </c>
      <c r="D1042" s="831">
        <v>58.56</v>
      </c>
      <c r="E1042" s="831">
        <v>46.822499999999998</v>
      </c>
      <c r="F1042" s="831">
        <v>27.49</v>
      </c>
      <c r="G1042" s="831">
        <v>8.4979851813336804</v>
      </c>
      <c r="H1042" s="831">
        <v>320.52999999999997</v>
      </c>
      <c r="I1042" s="831">
        <v>43.15</v>
      </c>
      <c r="J1042" s="831">
        <v>2900.45</v>
      </c>
      <c r="K1042" s="831">
        <v>7996.08</v>
      </c>
    </row>
    <row r="1043" spans="2:11">
      <c r="B1043" s="805" t="str">
        <f t="shared" si="21"/>
        <v>Tue</v>
      </c>
      <c r="C1043" s="825">
        <v>43571</v>
      </c>
      <c r="D1043" s="831">
        <v>56.71</v>
      </c>
      <c r="E1043" s="831">
        <v>47.052500000000002</v>
      </c>
      <c r="F1043" s="831">
        <v>27.93</v>
      </c>
      <c r="G1043" s="831">
        <v>8.3298220594431704</v>
      </c>
      <c r="H1043" s="831">
        <v>318.5</v>
      </c>
      <c r="I1043" s="831">
        <v>42.76</v>
      </c>
      <c r="J1043" s="831">
        <v>2907.06</v>
      </c>
      <c r="K1043" s="831">
        <v>8000.2250000000004</v>
      </c>
    </row>
    <row r="1044" spans="2:11">
      <c r="B1044" s="805" t="str">
        <f t="shared" si="21"/>
        <v>Mon</v>
      </c>
      <c r="C1044" s="825">
        <v>43570</v>
      </c>
      <c r="D1044" s="831">
        <v>56.28</v>
      </c>
      <c r="E1044" s="831">
        <v>46.174999999999997</v>
      </c>
      <c r="F1044" s="831">
        <v>27.33</v>
      </c>
      <c r="G1044" s="831">
        <v>8.2793259883344206</v>
      </c>
      <c r="H1044" s="831">
        <v>316.39999999999998</v>
      </c>
      <c r="I1044" s="831">
        <v>41.82</v>
      </c>
      <c r="J1044" s="831">
        <v>2905.58</v>
      </c>
      <c r="K1044" s="831">
        <v>7976.0119999999997</v>
      </c>
    </row>
    <row r="1045" spans="2:11">
      <c r="B1045" s="805" t="str">
        <f t="shared" si="21"/>
        <v>Sun</v>
      </c>
      <c r="C1045" s="825">
        <v>43569</v>
      </c>
      <c r="D1045" s="831">
        <v>56.42</v>
      </c>
      <c r="E1045" s="831">
        <v>47.502499999999998</v>
      </c>
      <c r="F1045" s="831">
        <v>27.85</v>
      </c>
      <c r="G1045" s="831">
        <v>8.1738566331495299</v>
      </c>
      <c r="H1045" s="831">
        <v>317.02999999999997</v>
      </c>
      <c r="I1045" s="831">
        <v>42.01</v>
      </c>
      <c r="J1045" s="831">
        <v>2907.41</v>
      </c>
      <c r="K1045" s="831">
        <v>7984.1639999999998</v>
      </c>
    </row>
    <row r="1046" spans="2:11">
      <c r="B1046" s="805" t="str">
        <f t="shared" si="21"/>
        <v>Sat</v>
      </c>
      <c r="C1046" s="825">
        <v>43568</v>
      </c>
      <c r="D1046" s="831">
        <v>56.42</v>
      </c>
      <c r="E1046" s="831">
        <v>47.502499999999998</v>
      </c>
      <c r="F1046" s="831">
        <v>27.85</v>
      </c>
      <c r="G1046" s="831">
        <v>8.1738566331495299</v>
      </c>
      <c r="H1046" s="831">
        <v>317.02999999999997</v>
      </c>
      <c r="I1046" s="831">
        <v>42.01</v>
      </c>
      <c r="J1046" s="831">
        <v>2907.41</v>
      </c>
      <c r="K1046" s="831">
        <v>7984.1639999999998</v>
      </c>
    </row>
    <row r="1047" spans="2:11">
      <c r="B1047" s="805" t="str">
        <f t="shared" si="21"/>
        <v>Fri</v>
      </c>
      <c r="C1047" s="825">
        <v>43567</v>
      </c>
      <c r="D1047" s="831">
        <v>56.42</v>
      </c>
      <c r="E1047" s="831">
        <v>47.502499999999998</v>
      </c>
      <c r="F1047" s="831">
        <v>27.85</v>
      </c>
      <c r="G1047" s="831">
        <v>8.1738566331495299</v>
      </c>
      <c r="H1047" s="831">
        <v>317.02999999999997</v>
      </c>
      <c r="I1047" s="831">
        <v>42.01</v>
      </c>
      <c r="J1047" s="831">
        <v>2907.41</v>
      </c>
      <c r="K1047" s="831">
        <v>7984.1639999999998</v>
      </c>
    </row>
    <row r="1048" spans="2:11">
      <c r="B1048" s="805" t="str">
        <f t="shared" si="21"/>
        <v>Thu</v>
      </c>
      <c r="C1048" s="825">
        <v>43566</v>
      </c>
      <c r="D1048" s="831">
        <v>55.8</v>
      </c>
      <c r="E1048" s="831">
        <v>47.884999999999998</v>
      </c>
      <c r="F1048" s="831">
        <v>27.79</v>
      </c>
      <c r="G1048" s="831">
        <v>8.1685575364667802</v>
      </c>
      <c r="H1048" s="831">
        <v>309.41000000000003</v>
      </c>
      <c r="I1048" s="831">
        <v>42.28</v>
      </c>
      <c r="J1048" s="831">
        <v>2888.32</v>
      </c>
      <c r="K1048" s="831">
        <v>7947.3590000000004</v>
      </c>
    </row>
    <row r="1049" spans="2:11">
      <c r="B1049" s="805" t="str">
        <f t="shared" si="21"/>
        <v>Wed</v>
      </c>
      <c r="C1049" s="825">
        <v>43565</v>
      </c>
      <c r="D1049" s="831">
        <v>55.75</v>
      </c>
      <c r="E1049" s="831">
        <v>48.024999999999999</v>
      </c>
      <c r="F1049" s="831">
        <v>27.83</v>
      </c>
      <c r="G1049" s="831">
        <v>8.2403322086685709</v>
      </c>
      <c r="H1049" s="831">
        <v>307.51</v>
      </c>
      <c r="I1049" s="831">
        <v>42.17</v>
      </c>
      <c r="J1049" s="831">
        <v>2888.21</v>
      </c>
      <c r="K1049" s="831">
        <v>7964.2439999999997</v>
      </c>
    </row>
    <row r="1050" spans="2:11">
      <c r="B1050" s="805" t="str">
        <f t="shared" si="21"/>
        <v>Tue</v>
      </c>
      <c r="C1050" s="825">
        <v>43564</v>
      </c>
      <c r="D1050" s="831">
        <v>55.32</v>
      </c>
      <c r="E1050" s="831">
        <v>47.314999999999998</v>
      </c>
      <c r="F1050" s="831">
        <v>27.24</v>
      </c>
      <c r="G1050" s="831">
        <v>8.2419365305990002</v>
      </c>
      <c r="H1050" s="831">
        <v>303.45</v>
      </c>
      <c r="I1050" s="831">
        <v>41.72</v>
      </c>
      <c r="J1050" s="831">
        <v>2878.2</v>
      </c>
      <c r="K1050" s="831">
        <v>7909.2780000000002</v>
      </c>
    </row>
    <row r="1051" spans="2:11">
      <c r="B1051" s="805" t="str">
        <f t="shared" si="21"/>
        <v>Mon</v>
      </c>
      <c r="C1051" s="825">
        <v>43563</v>
      </c>
      <c r="D1051" s="831">
        <v>55.68</v>
      </c>
      <c r="E1051" s="831">
        <v>47.947499999999998</v>
      </c>
      <c r="F1051" s="831">
        <v>28.53</v>
      </c>
      <c r="G1051" s="831">
        <v>8.2086888809577907</v>
      </c>
      <c r="H1051" s="831">
        <v>304.48</v>
      </c>
      <c r="I1051" s="831">
        <v>42.9</v>
      </c>
      <c r="J1051" s="831">
        <v>2895.77</v>
      </c>
      <c r="K1051" s="831">
        <v>7953.884</v>
      </c>
    </row>
    <row r="1052" spans="2:11">
      <c r="B1052" s="805" t="str">
        <f t="shared" si="21"/>
        <v>Sun</v>
      </c>
      <c r="C1052" s="825">
        <v>43562</v>
      </c>
      <c r="D1052" s="831">
        <v>55.6</v>
      </c>
      <c r="E1052" s="831">
        <v>47.737499999999997</v>
      </c>
      <c r="F1052" s="831">
        <v>28.98</v>
      </c>
      <c r="G1052" s="831">
        <v>8.0063661166688291</v>
      </c>
      <c r="H1052" s="831">
        <v>304.27999999999997</v>
      </c>
      <c r="I1052" s="831">
        <v>43.32</v>
      </c>
      <c r="J1052" s="831">
        <v>2892.74</v>
      </c>
      <c r="K1052" s="831">
        <v>7938.692</v>
      </c>
    </row>
    <row r="1053" spans="2:11">
      <c r="B1053" s="805" t="str">
        <f t="shared" si="21"/>
        <v>Sat</v>
      </c>
      <c r="C1053" s="825">
        <v>43561</v>
      </c>
      <c r="D1053" s="831">
        <v>55.6</v>
      </c>
      <c r="E1053" s="831">
        <v>47.737499999999997</v>
      </c>
      <c r="F1053" s="831">
        <v>28.98</v>
      </c>
      <c r="G1053" s="831">
        <v>8.0063661166688291</v>
      </c>
      <c r="H1053" s="831">
        <v>304.27999999999997</v>
      </c>
      <c r="I1053" s="831">
        <v>43.32</v>
      </c>
      <c r="J1053" s="831">
        <v>2892.74</v>
      </c>
      <c r="K1053" s="831">
        <v>7938.692</v>
      </c>
    </row>
    <row r="1054" spans="2:11">
      <c r="B1054" s="805" t="str">
        <f t="shared" si="21"/>
        <v>Fri</v>
      </c>
      <c r="C1054" s="825">
        <v>43560</v>
      </c>
      <c r="D1054" s="831">
        <v>55.6</v>
      </c>
      <c r="E1054" s="831">
        <v>47.737499999999997</v>
      </c>
      <c r="F1054" s="831">
        <v>28.98</v>
      </c>
      <c r="G1054" s="831">
        <v>8.0063661166688291</v>
      </c>
      <c r="H1054" s="831">
        <v>304.27999999999997</v>
      </c>
      <c r="I1054" s="831">
        <v>43.32</v>
      </c>
      <c r="J1054" s="831">
        <v>2892.74</v>
      </c>
      <c r="K1054" s="831">
        <v>7938.692</v>
      </c>
    </row>
    <row r="1055" spans="2:11">
      <c r="B1055" s="805" t="str">
        <f t="shared" si="21"/>
        <v>Thu</v>
      </c>
      <c r="C1055" s="825">
        <v>43559</v>
      </c>
      <c r="D1055" s="831">
        <v>55.92</v>
      </c>
      <c r="E1055" s="831">
        <v>47.064999999999998</v>
      </c>
      <c r="F1055" s="831">
        <v>29.09</v>
      </c>
      <c r="G1055" s="831">
        <v>8.0063661166688291</v>
      </c>
      <c r="H1055" s="831">
        <v>302</v>
      </c>
      <c r="I1055" s="831">
        <v>42.89</v>
      </c>
      <c r="J1055" s="831">
        <v>2879.39</v>
      </c>
      <c r="K1055" s="831">
        <v>7891.7839999999997</v>
      </c>
    </row>
    <row r="1056" spans="2:11">
      <c r="B1056" s="805" t="str">
        <f t="shared" si="21"/>
        <v>Wed</v>
      </c>
      <c r="C1056" s="825">
        <v>43558</v>
      </c>
      <c r="D1056" s="831">
        <v>55.48</v>
      </c>
      <c r="E1056" s="831">
        <v>47.155000000000001</v>
      </c>
      <c r="F1056" s="831">
        <v>29.02</v>
      </c>
      <c r="G1056" s="831">
        <v>8.0063661166688291</v>
      </c>
      <c r="H1056" s="831">
        <v>304.2</v>
      </c>
      <c r="I1056" s="831">
        <v>43.9</v>
      </c>
      <c r="J1056" s="831">
        <v>2873.4</v>
      </c>
      <c r="K1056" s="831">
        <v>7895.5529999999999</v>
      </c>
    </row>
    <row r="1057" spans="2:11">
      <c r="B1057" s="805" t="str">
        <f t="shared" si="21"/>
        <v>Tue</v>
      </c>
      <c r="C1057" s="825">
        <v>43557</v>
      </c>
      <c r="D1057" s="831">
        <v>54.36</v>
      </c>
      <c r="E1057" s="831">
        <v>45.75</v>
      </c>
      <c r="F1057" s="831">
        <v>26.75</v>
      </c>
      <c r="G1057" s="831">
        <v>7.9779471379925404</v>
      </c>
      <c r="H1057" s="831">
        <v>303.05</v>
      </c>
      <c r="I1057" s="831">
        <v>42.44</v>
      </c>
      <c r="J1057" s="831">
        <v>2867.24</v>
      </c>
      <c r="K1057" s="831">
        <v>7848.6890000000003</v>
      </c>
    </row>
    <row r="1058" spans="2:11">
      <c r="B1058" s="805" t="str">
        <f t="shared" si="21"/>
        <v>Mon</v>
      </c>
      <c r="C1058" s="825">
        <v>43556</v>
      </c>
      <c r="D1058" s="831">
        <v>54.51</v>
      </c>
      <c r="E1058" s="831">
        <v>45.57</v>
      </c>
      <c r="F1058" s="831">
        <v>26.36</v>
      </c>
      <c r="G1058" s="831">
        <v>7.9751811064548601</v>
      </c>
      <c r="H1058" s="831">
        <v>305.79000000000002</v>
      </c>
      <c r="I1058" s="831">
        <v>42.25</v>
      </c>
      <c r="J1058" s="831">
        <v>2867.19</v>
      </c>
      <c r="K1058" s="831">
        <v>7828.91</v>
      </c>
    </row>
    <row r="1059" spans="2:11">
      <c r="B1059" s="805" t="str">
        <f t="shared" si="21"/>
        <v>Sun</v>
      </c>
      <c r="C1059" s="825">
        <v>43555</v>
      </c>
      <c r="D1059" s="831">
        <v>53.7</v>
      </c>
      <c r="E1059" s="831">
        <v>44.89</v>
      </c>
      <c r="F1059" s="831">
        <v>25.52</v>
      </c>
      <c r="G1059" s="831">
        <v>7.9609572605227301</v>
      </c>
      <c r="H1059" s="831">
        <v>300.70999999999998</v>
      </c>
      <c r="I1059" s="831">
        <v>41.33</v>
      </c>
      <c r="J1059" s="831">
        <v>2834.4</v>
      </c>
      <c r="K1059" s="831">
        <v>7729.3209999999999</v>
      </c>
    </row>
    <row r="1060" spans="2:11">
      <c r="B1060" s="805" t="str">
        <f t="shared" si="21"/>
        <v>Sat</v>
      </c>
      <c r="C1060" s="825">
        <v>43554</v>
      </c>
      <c r="D1060" s="831">
        <v>53.7</v>
      </c>
      <c r="E1060" s="831">
        <v>44.89</v>
      </c>
      <c r="F1060" s="831">
        <v>25.52</v>
      </c>
      <c r="G1060" s="831">
        <v>7.9609572605227301</v>
      </c>
      <c r="H1060" s="831">
        <v>300.70999999999998</v>
      </c>
      <c r="I1060" s="831">
        <v>41.33</v>
      </c>
      <c r="J1060" s="831">
        <v>2834.4</v>
      </c>
      <c r="K1060" s="831">
        <v>7729.3209999999999</v>
      </c>
    </row>
    <row r="1061" spans="2:11">
      <c r="B1061" s="805" t="str">
        <f t="shared" si="21"/>
        <v>Fri</v>
      </c>
      <c r="C1061" s="825">
        <v>43553</v>
      </c>
      <c r="D1061" s="831">
        <v>53.7</v>
      </c>
      <c r="E1061" s="831">
        <v>44.89</v>
      </c>
      <c r="F1061" s="831">
        <v>25.52</v>
      </c>
      <c r="G1061" s="831">
        <v>7.9609572605227301</v>
      </c>
      <c r="H1061" s="831">
        <v>300.70999999999998</v>
      </c>
      <c r="I1061" s="831">
        <v>41.33</v>
      </c>
      <c r="J1061" s="831">
        <v>2834.4</v>
      </c>
      <c r="K1061" s="831">
        <v>7729.3209999999999</v>
      </c>
    </row>
    <row r="1062" spans="2:11">
      <c r="B1062" s="805" t="str">
        <f t="shared" si="21"/>
        <v>Thu</v>
      </c>
      <c r="C1062" s="825">
        <v>43552</v>
      </c>
      <c r="D1062" s="831">
        <v>53.11</v>
      </c>
      <c r="E1062" s="831">
        <v>44.3125</v>
      </c>
      <c r="F1062" s="831">
        <v>25.06</v>
      </c>
      <c r="G1062" s="831">
        <v>7.8426289010597303</v>
      </c>
      <c r="H1062" s="831">
        <v>299.07</v>
      </c>
      <c r="I1062" s="831">
        <v>39.340000000000003</v>
      </c>
      <c r="J1062" s="831">
        <v>2815.44</v>
      </c>
      <c r="K1062" s="831">
        <v>7669.1660000000002</v>
      </c>
    </row>
    <row r="1063" spans="2:11">
      <c r="B1063" s="805" t="str">
        <f t="shared" si="21"/>
        <v>Wed</v>
      </c>
      <c r="C1063" s="825">
        <v>43551</v>
      </c>
      <c r="D1063" s="831">
        <v>53.16</v>
      </c>
      <c r="E1063" s="831">
        <v>44.125</v>
      </c>
      <c r="F1063" s="831">
        <v>24.89</v>
      </c>
      <c r="G1063" s="831">
        <v>7.8241430700447099</v>
      </c>
      <c r="H1063" s="831">
        <v>295.97000000000003</v>
      </c>
      <c r="I1063" s="831">
        <v>39.229999999999997</v>
      </c>
      <c r="J1063" s="831">
        <v>2805.37</v>
      </c>
      <c r="K1063" s="831">
        <v>7643.3770000000004</v>
      </c>
    </row>
    <row r="1064" spans="2:11">
      <c r="B1064" s="805" t="str">
        <f t="shared" si="21"/>
        <v>Tue</v>
      </c>
      <c r="C1064" s="825">
        <v>43550</v>
      </c>
      <c r="D1064" s="831">
        <v>53.44</v>
      </c>
      <c r="E1064" s="831">
        <v>44.217500000000001</v>
      </c>
      <c r="F1064" s="831">
        <v>25.69</v>
      </c>
      <c r="G1064" s="831">
        <v>7.9120594052984901</v>
      </c>
      <c r="H1064" s="831">
        <v>297.02999999999997</v>
      </c>
      <c r="I1064" s="831">
        <v>40.32</v>
      </c>
      <c r="J1064" s="831">
        <v>2818.46</v>
      </c>
      <c r="K1064" s="831">
        <v>7691.5219999999999</v>
      </c>
    </row>
    <row r="1065" spans="2:11">
      <c r="B1065" s="805" t="str">
        <f t="shared" si="21"/>
        <v>Mon</v>
      </c>
      <c r="C1065" s="825">
        <v>43549</v>
      </c>
      <c r="D1065" s="831">
        <v>52.78</v>
      </c>
      <c r="E1065" s="831">
        <v>43.445</v>
      </c>
      <c r="F1065" s="831">
        <v>25.97</v>
      </c>
      <c r="G1065" s="831">
        <v>7.8332792734349699</v>
      </c>
      <c r="H1065" s="831">
        <v>292.16000000000003</v>
      </c>
      <c r="I1065" s="831">
        <v>40.549999999999997</v>
      </c>
      <c r="J1065" s="831">
        <v>2798.36</v>
      </c>
      <c r="K1065" s="831">
        <v>7637.5410000000002</v>
      </c>
    </row>
    <row r="1066" spans="2:11">
      <c r="B1066" s="805" t="str">
        <f t="shared" si="21"/>
        <v>Sun</v>
      </c>
      <c r="C1066" s="825">
        <v>43548</v>
      </c>
      <c r="D1066" s="831">
        <v>53.26</v>
      </c>
      <c r="E1066" s="831">
        <v>44.375</v>
      </c>
      <c r="F1066" s="831">
        <v>26.37</v>
      </c>
      <c r="G1066" s="831">
        <v>8.0509298256981801</v>
      </c>
      <c r="H1066" s="831">
        <v>292.64999999999998</v>
      </c>
      <c r="I1066" s="831">
        <v>41.62</v>
      </c>
      <c r="J1066" s="831">
        <v>2800.71</v>
      </c>
      <c r="K1066" s="831">
        <v>7642.6670000000004</v>
      </c>
    </row>
    <row r="1067" spans="2:11">
      <c r="B1067" s="805" t="str">
        <f t="shared" si="21"/>
        <v>Sat</v>
      </c>
      <c r="C1067" s="825">
        <v>43547</v>
      </c>
      <c r="D1067" s="831">
        <v>53.26</v>
      </c>
      <c r="E1067" s="831">
        <v>44.375</v>
      </c>
      <c r="F1067" s="831">
        <v>26.37</v>
      </c>
      <c r="G1067" s="831">
        <v>8.0509298256981801</v>
      </c>
      <c r="H1067" s="831">
        <v>292.64999999999998</v>
      </c>
      <c r="I1067" s="831">
        <v>41.62</v>
      </c>
      <c r="J1067" s="831">
        <v>2800.71</v>
      </c>
      <c r="K1067" s="831">
        <v>7642.6670000000004</v>
      </c>
    </row>
    <row r="1068" spans="2:11">
      <c r="B1068" s="805" t="str">
        <f t="shared" si="21"/>
        <v>Fri</v>
      </c>
      <c r="C1068" s="825">
        <v>43546</v>
      </c>
      <c r="D1068" s="831">
        <v>53.26</v>
      </c>
      <c r="E1068" s="831">
        <v>44.375</v>
      </c>
      <c r="F1068" s="831">
        <v>26.37</v>
      </c>
      <c r="G1068" s="831">
        <v>8.0509298256981801</v>
      </c>
      <c r="H1068" s="831">
        <v>292.64999999999998</v>
      </c>
      <c r="I1068" s="831">
        <v>41.62</v>
      </c>
      <c r="J1068" s="831">
        <v>2800.71</v>
      </c>
      <c r="K1068" s="831">
        <v>7642.6670000000004</v>
      </c>
    </row>
    <row r="1069" spans="2:11">
      <c r="B1069" s="805" t="str">
        <f t="shared" si="21"/>
        <v>Thu</v>
      </c>
      <c r="C1069" s="825">
        <v>43545</v>
      </c>
      <c r="D1069" s="831">
        <v>54.64</v>
      </c>
      <c r="E1069" s="831">
        <v>45.984999999999999</v>
      </c>
      <c r="F1069" s="831">
        <v>27.89</v>
      </c>
      <c r="G1069" s="831">
        <v>7.9715556710069198</v>
      </c>
      <c r="H1069" s="831">
        <v>296.8</v>
      </c>
      <c r="I1069" s="831">
        <v>43.99</v>
      </c>
      <c r="J1069" s="831">
        <v>2854.88</v>
      </c>
      <c r="K1069" s="831">
        <v>7838.9589999999998</v>
      </c>
    </row>
    <row r="1070" spans="2:11">
      <c r="B1070" s="805" t="str">
        <f t="shared" si="21"/>
        <v>Wed</v>
      </c>
      <c r="C1070" s="825">
        <v>43544</v>
      </c>
      <c r="D1070" s="831">
        <v>53.82</v>
      </c>
      <c r="E1070" s="831">
        <v>43.6</v>
      </c>
      <c r="F1070" s="831">
        <v>25.7</v>
      </c>
      <c r="G1070" s="831">
        <v>7.8727349621002602</v>
      </c>
      <c r="H1070" s="831">
        <v>291.02999999999997</v>
      </c>
      <c r="I1070" s="831">
        <v>40.130000000000003</v>
      </c>
      <c r="J1070" s="831">
        <v>2824.23</v>
      </c>
      <c r="K1070" s="831">
        <v>7728.9679999999998</v>
      </c>
    </row>
    <row r="1071" spans="2:11">
      <c r="B1071" s="805" t="str">
        <f t="shared" si="21"/>
        <v>Tue</v>
      </c>
      <c r="C1071" s="825">
        <v>43543</v>
      </c>
      <c r="D1071" s="831">
        <v>54.17</v>
      </c>
      <c r="E1071" s="831">
        <v>43.927500000000002</v>
      </c>
      <c r="F1071" s="831">
        <v>26</v>
      </c>
      <c r="G1071" s="831">
        <v>7.8086950875028398</v>
      </c>
      <c r="H1071" s="831">
        <v>299.31</v>
      </c>
      <c r="I1071" s="831">
        <v>40.369999999999997</v>
      </c>
      <c r="J1071" s="831">
        <v>2832.57</v>
      </c>
      <c r="K1071" s="831">
        <v>7723.9459999999999</v>
      </c>
    </row>
    <row r="1072" spans="2:11">
      <c r="B1072" s="805" t="str">
        <f t="shared" si="21"/>
        <v>Mon</v>
      </c>
      <c r="C1072" s="825">
        <v>43542</v>
      </c>
      <c r="D1072" s="831">
        <v>54.1</v>
      </c>
      <c r="E1072" s="831">
        <v>42.237499999999997</v>
      </c>
      <c r="F1072" s="831">
        <v>23.25</v>
      </c>
      <c r="G1072" s="831">
        <v>7.8333224988623797</v>
      </c>
      <c r="H1072" s="831">
        <v>293.83999999999997</v>
      </c>
      <c r="I1072" s="831">
        <v>39.61</v>
      </c>
      <c r="J1072" s="831">
        <v>2832.94</v>
      </c>
      <c r="K1072" s="831">
        <v>7714.4780000000001</v>
      </c>
    </row>
    <row r="1073" spans="2:11">
      <c r="B1073" s="805" t="str">
        <f t="shared" si="21"/>
        <v>Sun</v>
      </c>
      <c r="C1073" s="825">
        <v>43541</v>
      </c>
      <c r="D1073" s="831">
        <v>54.33</v>
      </c>
      <c r="E1073" s="831">
        <v>42.452500000000001</v>
      </c>
      <c r="F1073" s="831">
        <v>23.29</v>
      </c>
      <c r="G1073" s="831">
        <v>7.7474148270608403</v>
      </c>
      <c r="H1073" s="831">
        <v>290.29000000000002</v>
      </c>
      <c r="I1073" s="831">
        <v>39.54</v>
      </c>
      <c r="J1073" s="831">
        <v>2822.48</v>
      </c>
      <c r="K1073" s="831">
        <v>7688.527</v>
      </c>
    </row>
    <row r="1074" spans="2:11">
      <c r="B1074" s="805" t="str">
        <f t="shared" si="21"/>
        <v>Sat</v>
      </c>
      <c r="C1074" s="825">
        <v>43540</v>
      </c>
      <c r="D1074" s="831">
        <v>54.33</v>
      </c>
      <c r="E1074" s="831">
        <v>42.452500000000001</v>
      </c>
      <c r="F1074" s="831">
        <v>23.29</v>
      </c>
      <c r="G1074" s="831">
        <v>7.7474148270608403</v>
      </c>
      <c r="H1074" s="831">
        <v>290.29000000000002</v>
      </c>
      <c r="I1074" s="831">
        <v>39.54</v>
      </c>
      <c r="J1074" s="831">
        <v>2822.48</v>
      </c>
      <c r="K1074" s="831">
        <v>7688.527</v>
      </c>
    </row>
    <row r="1075" spans="2:11">
      <c r="B1075" s="805" t="str">
        <f t="shared" si="21"/>
        <v>Fri</v>
      </c>
      <c r="C1075" s="825">
        <v>43539</v>
      </c>
      <c r="D1075" s="831">
        <v>54.33</v>
      </c>
      <c r="E1075" s="831">
        <v>42.452500000000001</v>
      </c>
      <c r="F1075" s="831">
        <v>23.29</v>
      </c>
      <c r="G1075" s="831">
        <v>7.7474148270608403</v>
      </c>
      <c r="H1075" s="831">
        <v>290.29000000000002</v>
      </c>
      <c r="I1075" s="831">
        <v>39.54</v>
      </c>
      <c r="J1075" s="831">
        <v>2822.48</v>
      </c>
      <c r="K1075" s="831">
        <v>7688.527</v>
      </c>
    </row>
    <row r="1076" spans="2:11">
      <c r="B1076" s="805" t="str">
        <f t="shared" si="21"/>
        <v>Thu</v>
      </c>
      <c r="C1076" s="825">
        <v>43538</v>
      </c>
      <c r="D1076" s="831">
        <v>53.44</v>
      </c>
      <c r="E1076" s="831">
        <v>41.39</v>
      </c>
      <c r="F1076" s="831">
        <v>22.82</v>
      </c>
      <c r="G1076" s="831">
        <v>7.5850692198214498</v>
      </c>
      <c r="H1076" s="831">
        <v>268.2</v>
      </c>
      <c r="I1076" s="831">
        <v>38.409999999999997</v>
      </c>
      <c r="J1076" s="831">
        <v>2808.48</v>
      </c>
      <c r="K1076" s="831">
        <v>7630.91</v>
      </c>
    </row>
    <row r="1077" spans="2:11">
      <c r="B1077" s="805" t="str">
        <f t="shared" si="21"/>
        <v>Wed</v>
      </c>
      <c r="C1077" s="825">
        <v>43537</v>
      </c>
      <c r="D1077" s="831">
        <v>54.37</v>
      </c>
      <c r="E1077" s="831">
        <v>42.155000000000001</v>
      </c>
      <c r="F1077" s="831">
        <v>23.38</v>
      </c>
      <c r="G1077" s="831">
        <v>7.6708959088555204</v>
      </c>
      <c r="H1077" s="831">
        <v>271.20999999999998</v>
      </c>
      <c r="I1077" s="831">
        <v>38.83</v>
      </c>
      <c r="J1077" s="831">
        <v>2810.92</v>
      </c>
      <c r="K1077" s="831">
        <v>7643.4049999999997</v>
      </c>
    </row>
    <row r="1078" spans="2:11">
      <c r="B1078" s="805" t="str">
        <f t="shared" si="21"/>
        <v>Tue</v>
      </c>
      <c r="C1078" s="825">
        <v>43536</v>
      </c>
      <c r="D1078" s="831">
        <v>53.57</v>
      </c>
      <c r="E1078" s="831">
        <v>40.630000000000003</v>
      </c>
      <c r="F1078" s="831">
        <v>23.49</v>
      </c>
      <c r="G1078" s="831">
        <v>7.6235796834029301</v>
      </c>
      <c r="H1078" s="831">
        <v>269.63</v>
      </c>
      <c r="I1078" s="831">
        <v>39.25</v>
      </c>
      <c r="J1078" s="831">
        <v>2791.52</v>
      </c>
      <c r="K1078" s="831">
        <v>7591.0309999999999</v>
      </c>
    </row>
    <row r="1079" spans="2:11">
      <c r="B1079" s="805" t="str">
        <f t="shared" si="21"/>
        <v>Mon</v>
      </c>
      <c r="C1079" s="825">
        <v>43535</v>
      </c>
      <c r="D1079" s="831">
        <v>53.35</v>
      </c>
      <c r="E1079" s="831">
        <v>40.284999999999997</v>
      </c>
      <c r="F1079" s="831">
        <v>22.96</v>
      </c>
      <c r="G1079" s="831">
        <v>7.4602712237434003</v>
      </c>
      <c r="H1079" s="831">
        <v>269.06</v>
      </c>
      <c r="I1079" s="831">
        <v>39.03</v>
      </c>
      <c r="J1079" s="831">
        <v>2783.3</v>
      </c>
      <c r="K1079" s="831">
        <v>7558.0640000000003</v>
      </c>
    </row>
    <row r="1080" spans="2:11">
      <c r="B1080" s="805" t="str">
        <f t="shared" si="21"/>
        <v>Sun</v>
      </c>
      <c r="C1080" s="825">
        <v>43534</v>
      </c>
      <c r="D1080" s="831">
        <v>52.48</v>
      </c>
      <c r="E1080" s="831">
        <v>37.659999999999997</v>
      </c>
      <c r="F1080" s="831">
        <v>22.01</v>
      </c>
      <c r="G1080" s="831">
        <v>7.4445703188218202</v>
      </c>
      <c r="H1080" s="831">
        <v>264.19</v>
      </c>
      <c r="I1080" s="831">
        <v>38.65</v>
      </c>
      <c r="J1080" s="831">
        <v>2743.07</v>
      </c>
      <c r="K1080" s="831">
        <v>7408.1419999999998</v>
      </c>
    </row>
    <row r="1081" spans="2:11">
      <c r="B1081" s="805" t="str">
        <f t="shared" si="21"/>
        <v>Sat</v>
      </c>
      <c r="C1081" s="825">
        <v>43533</v>
      </c>
      <c r="D1081" s="831">
        <v>52.48</v>
      </c>
      <c r="E1081" s="831">
        <v>37.659999999999997</v>
      </c>
      <c r="F1081" s="831">
        <v>22.01</v>
      </c>
      <c r="G1081" s="831">
        <v>7.4445703188218202</v>
      </c>
      <c r="H1081" s="831">
        <v>264.19</v>
      </c>
      <c r="I1081" s="831">
        <v>38.65</v>
      </c>
      <c r="J1081" s="831">
        <v>2743.07</v>
      </c>
      <c r="K1081" s="831">
        <v>7408.1419999999998</v>
      </c>
    </row>
    <row r="1082" spans="2:11">
      <c r="B1082" s="805" t="str">
        <f t="shared" si="21"/>
        <v>Fri</v>
      </c>
      <c r="C1082" s="825">
        <v>43532</v>
      </c>
      <c r="D1082" s="831">
        <v>52.48</v>
      </c>
      <c r="E1082" s="831">
        <v>37.659999999999997</v>
      </c>
      <c r="F1082" s="831">
        <v>22.01</v>
      </c>
      <c r="G1082" s="831">
        <v>7.4445703188218202</v>
      </c>
      <c r="H1082" s="831">
        <v>264.19</v>
      </c>
      <c r="I1082" s="831">
        <v>38.65</v>
      </c>
      <c r="J1082" s="831">
        <v>2743.07</v>
      </c>
      <c r="K1082" s="831">
        <v>7408.1419999999998</v>
      </c>
    </row>
    <row r="1083" spans="2:11">
      <c r="B1083" s="805" t="str">
        <f t="shared" si="21"/>
        <v>Thu</v>
      </c>
      <c r="C1083" s="825">
        <v>43531</v>
      </c>
      <c r="D1083" s="831">
        <v>52.6</v>
      </c>
      <c r="E1083" s="831">
        <v>37.314999999999998</v>
      </c>
      <c r="F1083" s="831">
        <v>22.08</v>
      </c>
      <c r="G1083" s="831">
        <v>7.5715903575473202</v>
      </c>
      <c r="H1083" s="831">
        <v>265.51</v>
      </c>
      <c r="I1083" s="831">
        <v>37.83</v>
      </c>
      <c r="J1083" s="831">
        <v>2748.93</v>
      </c>
      <c r="K1083" s="831">
        <v>7421.4639999999999</v>
      </c>
    </row>
    <row r="1084" spans="2:11">
      <c r="B1084" s="805" t="str">
        <f t="shared" si="21"/>
        <v>Wed</v>
      </c>
      <c r="C1084" s="825">
        <v>43530</v>
      </c>
      <c r="D1084" s="831">
        <v>52.95</v>
      </c>
      <c r="E1084" s="831">
        <v>38.012500000000003</v>
      </c>
      <c r="F1084" s="831">
        <v>22.41</v>
      </c>
      <c r="G1084" s="831">
        <v>7.5905021409108597</v>
      </c>
      <c r="H1084" s="831">
        <v>271.35000000000002</v>
      </c>
      <c r="I1084" s="831">
        <v>37.93</v>
      </c>
      <c r="J1084" s="831">
        <v>2771.45</v>
      </c>
      <c r="K1084" s="831">
        <v>7505.92</v>
      </c>
    </row>
    <row r="1085" spans="2:11">
      <c r="B1085" s="805" t="str">
        <f t="shared" si="21"/>
        <v>Tue</v>
      </c>
      <c r="C1085" s="825">
        <v>43529</v>
      </c>
      <c r="D1085" s="831">
        <v>53.68</v>
      </c>
      <c r="E1085" s="831">
        <v>39.130000000000003</v>
      </c>
      <c r="F1085" s="831">
        <v>23.5</v>
      </c>
      <c r="G1085" s="831">
        <v>7.5573286627096099</v>
      </c>
      <c r="H1085" s="831">
        <v>277.01</v>
      </c>
      <c r="I1085" s="831">
        <v>39.99</v>
      </c>
      <c r="J1085" s="831">
        <v>2789.65</v>
      </c>
      <c r="K1085" s="831">
        <v>7576.3609999999999</v>
      </c>
    </row>
    <row r="1086" spans="2:11">
      <c r="B1086" s="805" t="str">
        <f t="shared" si="21"/>
        <v>Mon</v>
      </c>
      <c r="C1086" s="825">
        <v>43528</v>
      </c>
      <c r="D1086" s="831">
        <v>53.94</v>
      </c>
      <c r="E1086" s="831">
        <v>39.195</v>
      </c>
      <c r="F1086" s="831">
        <v>23.37</v>
      </c>
      <c r="G1086" s="831">
        <v>7.64039840378938</v>
      </c>
      <c r="H1086" s="831">
        <v>274.89</v>
      </c>
      <c r="I1086" s="831">
        <v>41.06</v>
      </c>
      <c r="J1086" s="831">
        <v>2792.81</v>
      </c>
      <c r="K1086" s="831">
        <v>7577.567</v>
      </c>
    </row>
    <row r="1087" spans="2:11">
      <c r="B1087" s="805" t="str">
        <f t="shared" si="21"/>
        <v>Sun</v>
      </c>
      <c r="C1087" s="825">
        <v>43527</v>
      </c>
      <c r="D1087" s="831">
        <v>53.3</v>
      </c>
      <c r="E1087" s="831">
        <v>39.112499999999997</v>
      </c>
      <c r="F1087" s="831">
        <v>23.68</v>
      </c>
      <c r="G1087" s="831">
        <v>7.7642778247027504</v>
      </c>
      <c r="H1087" s="831">
        <v>272.75</v>
      </c>
      <c r="I1087" s="831">
        <v>41.58</v>
      </c>
      <c r="J1087" s="831">
        <v>2803.69</v>
      </c>
      <c r="K1087" s="831">
        <v>7595.3530000000001</v>
      </c>
    </row>
    <row r="1088" spans="2:11">
      <c r="B1088" s="805" t="str">
        <f t="shared" si="21"/>
        <v>Sat</v>
      </c>
      <c r="C1088" s="825">
        <v>43526</v>
      </c>
      <c r="D1088" s="831">
        <v>53.3</v>
      </c>
      <c r="E1088" s="831">
        <v>39.112499999999997</v>
      </c>
      <c r="F1088" s="831">
        <v>23.68</v>
      </c>
      <c r="G1088" s="831">
        <v>7.7642778247027504</v>
      </c>
      <c r="H1088" s="831">
        <v>272.75</v>
      </c>
      <c r="I1088" s="831">
        <v>41.58</v>
      </c>
      <c r="J1088" s="831">
        <v>2803.69</v>
      </c>
      <c r="K1088" s="831">
        <v>7595.3530000000001</v>
      </c>
    </row>
    <row r="1089" spans="2:11">
      <c r="B1089" s="805" t="str">
        <f t="shared" si="21"/>
        <v>Fri</v>
      </c>
      <c r="C1089" s="825">
        <v>43525</v>
      </c>
      <c r="D1089" s="831">
        <v>53.3</v>
      </c>
      <c r="E1089" s="831">
        <v>39.112499999999997</v>
      </c>
      <c r="F1089" s="831">
        <v>23.68</v>
      </c>
      <c r="G1089" s="831">
        <v>7.7642778247027504</v>
      </c>
      <c r="H1089" s="831">
        <v>272.75</v>
      </c>
      <c r="I1089" s="831">
        <v>41.58</v>
      </c>
      <c r="J1089" s="831">
        <v>2803.69</v>
      </c>
      <c r="K1089" s="831">
        <v>7595.3530000000001</v>
      </c>
    </row>
    <row r="1090" spans="2:11">
      <c r="B1090" s="805" t="str">
        <f t="shared" si="21"/>
        <v>Thu</v>
      </c>
      <c r="C1090" s="825">
        <v>43524</v>
      </c>
      <c r="D1090" s="831">
        <v>52.96</v>
      </c>
      <c r="E1090" s="831">
        <v>38.564999999999998</v>
      </c>
      <c r="F1090" s="831">
        <v>23.53</v>
      </c>
      <c r="G1090" s="831">
        <v>7.7642778247027504</v>
      </c>
      <c r="H1090" s="831">
        <v>275.36</v>
      </c>
      <c r="I1090" s="831">
        <v>40.880000000000003</v>
      </c>
      <c r="J1090" s="831">
        <v>2784.49</v>
      </c>
      <c r="K1090" s="831">
        <v>7532.5320000000002</v>
      </c>
    </row>
    <row r="1091" spans="2:11">
      <c r="B1091" s="805" t="str">
        <f t="shared" si="21"/>
        <v>Wed</v>
      </c>
      <c r="C1091" s="825">
        <v>43523</v>
      </c>
      <c r="D1091" s="831">
        <v>53.24</v>
      </c>
      <c r="E1091" s="831">
        <v>38.852499999999999</v>
      </c>
      <c r="F1091" s="831">
        <v>23.48</v>
      </c>
      <c r="G1091" s="831">
        <v>7.7642778247027504</v>
      </c>
      <c r="H1091" s="831">
        <v>271.49</v>
      </c>
      <c r="I1091" s="831">
        <v>41.32</v>
      </c>
      <c r="J1091" s="831">
        <v>2792.38</v>
      </c>
      <c r="K1091" s="831">
        <v>7554.509</v>
      </c>
    </row>
    <row r="1092" spans="2:11">
      <c r="B1092" s="805" t="str">
        <f t="shared" si="21"/>
        <v>Tue</v>
      </c>
      <c r="C1092" s="825">
        <v>43522</v>
      </c>
      <c r="D1092" s="831">
        <v>53.23</v>
      </c>
      <c r="E1092" s="831">
        <v>39.274999999999999</v>
      </c>
      <c r="F1092" s="831">
        <v>24.21</v>
      </c>
      <c r="G1092" s="831">
        <v>7.7870984523344999</v>
      </c>
      <c r="H1092" s="831">
        <v>275</v>
      </c>
      <c r="I1092" s="831">
        <v>42.96</v>
      </c>
      <c r="J1092" s="831">
        <v>2793.9</v>
      </c>
      <c r="K1092" s="831">
        <v>7549.2979999999998</v>
      </c>
    </row>
    <row r="1093" spans="2:11">
      <c r="B1093" s="805" t="str">
        <f t="shared" si="21"/>
        <v>Mon</v>
      </c>
      <c r="C1093" s="825">
        <v>43521</v>
      </c>
      <c r="D1093" s="831">
        <v>53.1</v>
      </c>
      <c r="E1093" s="831">
        <v>39.672499999999999</v>
      </c>
      <c r="F1093" s="831">
        <v>24.71</v>
      </c>
      <c r="G1093" s="831">
        <v>7.7441186997689799</v>
      </c>
      <c r="H1093" s="831">
        <v>278.60000000000002</v>
      </c>
      <c r="I1093" s="831">
        <v>42.75</v>
      </c>
      <c r="J1093" s="831">
        <v>2796.11</v>
      </c>
      <c r="K1093" s="831">
        <v>7554.46</v>
      </c>
    </row>
    <row r="1094" spans="2:11">
      <c r="B1094" s="805" t="str">
        <f t="shared" si="21"/>
        <v>Sun</v>
      </c>
      <c r="C1094" s="825">
        <v>43520</v>
      </c>
      <c r="D1094" s="831">
        <v>52.49</v>
      </c>
      <c r="E1094" s="831">
        <v>39.797499999999999</v>
      </c>
      <c r="F1094" s="831">
        <v>24.36</v>
      </c>
      <c r="G1094" s="831">
        <v>7.6920575034150804</v>
      </c>
      <c r="H1094" s="831">
        <v>276.5</v>
      </c>
      <c r="I1094" s="831">
        <v>42.57</v>
      </c>
      <c r="J1094" s="831">
        <v>2792.67</v>
      </c>
      <c r="K1094" s="831">
        <v>7527.5450000000001</v>
      </c>
    </row>
    <row r="1095" spans="2:11">
      <c r="B1095" s="805" t="str">
        <f t="shared" si="21"/>
        <v>Sat</v>
      </c>
      <c r="C1095" s="825">
        <v>43519</v>
      </c>
      <c r="D1095" s="831">
        <v>52.49</v>
      </c>
      <c r="E1095" s="831">
        <v>39.797499999999999</v>
      </c>
      <c r="F1095" s="831">
        <v>24.36</v>
      </c>
      <c r="G1095" s="831">
        <v>7.6920575034150804</v>
      </c>
      <c r="H1095" s="831">
        <v>276.5</v>
      </c>
      <c r="I1095" s="831">
        <v>42.57</v>
      </c>
      <c r="J1095" s="831">
        <v>2792.67</v>
      </c>
      <c r="K1095" s="831">
        <v>7527.5450000000001</v>
      </c>
    </row>
    <row r="1096" spans="2:11">
      <c r="B1096" s="805" t="str">
        <f t="shared" ref="B1096:B1159" si="22">TEXT(C1096,"DDD")</f>
        <v>Fri</v>
      </c>
      <c r="C1096" s="825">
        <v>43518</v>
      </c>
      <c r="D1096" s="831">
        <v>52.49</v>
      </c>
      <c r="E1096" s="831">
        <v>39.797499999999999</v>
      </c>
      <c r="F1096" s="831">
        <v>24.36</v>
      </c>
      <c r="G1096" s="831">
        <v>7.6920575034150804</v>
      </c>
      <c r="H1096" s="831">
        <v>276.5</v>
      </c>
      <c r="I1096" s="831">
        <v>42.57</v>
      </c>
      <c r="J1096" s="831">
        <v>2792.67</v>
      </c>
      <c r="K1096" s="831">
        <v>7527.5450000000001</v>
      </c>
    </row>
    <row r="1097" spans="2:11">
      <c r="B1097" s="805" t="str">
        <f t="shared" si="22"/>
        <v>Thu</v>
      </c>
      <c r="C1097" s="825">
        <v>43517</v>
      </c>
      <c r="D1097" s="831">
        <v>51.41</v>
      </c>
      <c r="E1097" s="831">
        <v>38.942500000000003</v>
      </c>
      <c r="F1097" s="831">
        <v>23.92</v>
      </c>
      <c r="G1097" s="831">
        <v>7.6783221323983</v>
      </c>
      <c r="H1097" s="831">
        <v>280.94</v>
      </c>
      <c r="I1097" s="831">
        <v>41.53</v>
      </c>
      <c r="J1097" s="831">
        <v>2774.88</v>
      </c>
      <c r="K1097" s="831">
        <v>7459.7079999999996</v>
      </c>
    </row>
    <row r="1098" spans="2:11">
      <c r="B1098" s="805" t="str">
        <f t="shared" si="22"/>
        <v>Wed</v>
      </c>
      <c r="C1098" s="825">
        <v>43516</v>
      </c>
      <c r="D1098" s="831">
        <v>51.39</v>
      </c>
      <c r="E1098" s="831">
        <v>39.637500000000003</v>
      </c>
      <c r="F1098" s="831">
        <v>23.95</v>
      </c>
      <c r="G1098" s="831">
        <v>7.61734611011856</v>
      </c>
      <c r="H1098" s="831">
        <v>283.42</v>
      </c>
      <c r="I1098" s="831">
        <v>42.21</v>
      </c>
      <c r="J1098" s="831">
        <v>2784.7</v>
      </c>
      <c r="K1098" s="831">
        <v>7489.0690000000004</v>
      </c>
    </row>
    <row r="1099" spans="2:11">
      <c r="B1099" s="805" t="str">
        <f t="shared" si="22"/>
        <v>Tue</v>
      </c>
      <c r="C1099" s="825">
        <v>43515</v>
      </c>
      <c r="D1099" s="831">
        <v>51.4</v>
      </c>
      <c r="E1099" s="831">
        <v>39.159999999999997</v>
      </c>
      <c r="F1099" s="831">
        <v>23.95</v>
      </c>
      <c r="G1099" s="831">
        <v>7.44086301013777</v>
      </c>
      <c r="H1099" s="831">
        <v>281.66000000000003</v>
      </c>
      <c r="I1099" s="831">
        <v>41.96</v>
      </c>
      <c r="J1099" s="831">
        <v>2779.76</v>
      </c>
      <c r="K1099" s="831">
        <v>7486.7659999999996</v>
      </c>
    </row>
    <row r="1100" spans="2:11">
      <c r="B1100" s="805" t="str">
        <f t="shared" si="22"/>
        <v>Mon</v>
      </c>
      <c r="C1100" s="825">
        <v>43514</v>
      </c>
      <c r="D1100" s="831">
        <v>51.66</v>
      </c>
      <c r="E1100" s="831">
        <v>39.335000000000001</v>
      </c>
      <c r="F1100" s="831">
        <v>23.68</v>
      </c>
      <c r="G1100" s="831">
        <v>7.46317087416445</v>
      </c>
      <c r="H1100" s="831">
        <v>281.93</v>
      </c>
      <c r="I1100" s="831">
        <v>41.99</v>
      </c>
      <c r="J1100" s="831">
        <v>2775.6</v>
      </c>
      <c r="K1100" s="831">
        <v>7472.41</v>
      </c>
    </row>
    <row r="1101" spans="2:11">
      <c r="B1101" s="805" t="str">
        <f t="shared" si="22"/>
        <v>Sun</v>
      </c>
      <c r="C1101" s="825">
        <v>43513</v>
      </c>
      <c r="D1101" s="831">
        <v>51.66</v>
      </c>
      <c r="E1101" s="831">
        <v>39.335000000000001</v>
      </c>
      <c r="F1101" s="831">
        <v>23.68</v>
      </c>
      <c r="G1101" s="831">
        <v>7.3672595092820998</v>
      </c>
      <c r="H1101" s="831">
        <v>281.93</v>
      </c>
      <c r="I1101" s="831">
        <v>41.99</v>
      </c>
      <c r="J1101" s="831">
        <v>2775.6</v>
      </c>
      <c r="K1101" s="831">
        <v>7472.41</v>
      </c>
    </row>
    <row r="1102" spans="2:11">
      <c r="B1102" s="805" t="str">
        <f t="shared" si="22"/>
        <v>Sat</v>
      </c>
      <c r="C1102" s="825">
        <v>43512</v>
      </c>
      <c r="D1102" s="831">
        <v>51.66</v>
      </c>
      <c r="E1102" s="831">
        <v>39.335000000000001</v>
      </c>
      <c r="F1102" s="831">
        <v>23.68</v>
      </c>
      <c r="G1102" s="831">
        <v>7.3672595092820998</v>
      </c>
      <c r="H1102" s="831">
        <v>281.93</v>
      </c>
      <c r="I1102" s="831">
        <v>41.99</v>
      </c>
      <c r="J1102" s="831">
        <v>2775.6</v>
      </c>
      <c r="K1102" s="831">
        <v>7472.41</v>
      </c>
    </row>
    <row r="1103" spans="2:11">
      <c r="B1103" s="805" t="str">
        <f t="shared" si="22"/>
        <v>Fri</v>
      </c>
      <c r="C1103" s="825">
        <v>43511</v>
      </c>
      <c r="D1103" s="831">
        <v>51.66</v>
      </c>
      <c r="E1103" s="831">
        <v>39.335000000000001</v>
      </c>
      <c r="F1103" s="831">
        <v>23.68</v>
      </c>
      <c r="G1103" s="831">
        <v>7.3672595092820998</v>
      </c>
      <c r="H1103" s="831">
        <v>281.93</v>
      </c>
      <c r="I1103" s="831">
        <v>41.99</v>
      </c>
      <c r="J1103" s="831">
        <v>2775.6</v>
      </c>
      <c r="K1103" s="831">
        <v>7472.41</v>
      </c>
    </row>
    <row r="1104" spans="2:11">
      <c r="B1104" s="805" t="str">
        <f t="shared" si="22"/>
        <v>Thu</v>
      </c>
      <c r="C1104" s="825">
        <v>43510</v>
      </c>
      <c r="D1104" s="831">
        <v>50.81</v>
      </c>
      <c r="E1104" s="831">
        <v>38.6325</v>
      </c>
      <c r="F1104" s="831">
        <v>23.13</v>
      </c>
      <c r="G1104" s="831">
        <v>7.3653471771576902</v>
      </c>
      <c r="H1104" s="831">
        <v>281.5</v>
      </c>
      <c r="I1104" s="831">
        <v>42.23</v>
      </c>
      <c r="J1104" s="831">
        <v>2745.73</v>
      </c>
      <c r="K1104" s="831">
        <v>7426.9549999999999</v>
      </c>
    </row>
    <row r="1105" spans="2:11">
      <c r="B1105" s="805" t="str">
        <f t="shared" si="22"/>
        <v>Wed</v>
      </c>
      <c r="C1105" s="825">
        <v>43509</v>
      </c>
      <c r="D1105" s="831">
        <v>50.47</v>
      </c>
      <c r="E1105" s="831">
        <v>38.22</v>
      </c>
      <c r="F1105" s="831">
        <v>22.85</v>
      </c>
      <c r="G1105" s="831">
        <v>7.42903487429035</v>
      </c>
      <c r="H1105" s="831">
        <v>281.32</v>
      </c>
      <c r="I1105" s="831">
        <v>41.68</v>
      </c>
      <c r="J1105" s="831">
        <v>2753.03</v>
      </c>
      <c r="K1105" s="831">
        <v>7420.3779999999997</v>
      </c>
    </row>
    <row r="1106" spans="2:11">
      <c r="B1106" s="805" t="str">
        <f t="shared" si="22"/>
        <v>Tue</v>
      </c>
      <c r="C1106" s="825">
        <v>43508</v>
      </c>
      <c r="D1106" s="831">
        <v>50.01</v>
      </c>
      <c r="E1106" s="831">
        <v>37.792499999999997</v>
      </c>
      <c r="F1106" s="831">
        <v>22.82</v>
      </c>
      <c r="G1106" s="831">
        <v>7.4699577784995101</v>
      </c>
      <c r="H1106" s="831">
        <v>279.39</v>
      </c>
      <c r="I1106" s="831">
        <v>40.4</v>
      </c>
      <c r="J1106" s="831">
        <v>2744.73</v>
      </c>
      <c r="K1106" s="831">
        <v>7414.6189999999997</v>
      </c>
    </row>
    <row r="1107" spans="2:11">
      <c r="B1107" s="805" t="str">
        <f t="shared" si="22"/>
        <v>Mon</v>
      </c>
      <c r="C1107" s="825">
        <v>43507</v>
      </c>
      <c r="D1107" s="831">
        <v>48.77</v>
      </c>
      <c r="E1107" s="831">
        <v>36.612499999999997</v>
      </c>
      <c r="F1107" s="831">
        <v>22.96</v>
      </c>
      <c r="G1107" s="831">
        <v>7.3877260060916301</v>
      </c>
      <c r="H1107" s="831">
        <v>275.72000000000003</v>
      </c>
      <c r="I1107" s="831">
        <v>38.58</v>
      </c>
      <c r="J1107" s="831">
        <v>2709.8</v>
      </c>
      <c r="K1107" s="831">
        <v>7307.9049999999997</v>
      </c>
    </row>
    <row r="1108" spans="2:11">
      <c r="B1108" s="805" t="str">
        <f t="shared" si="22"/>
        <v>Sun</v>
      </c>
      <c r="C1108" s="825">
        <v>43506</v>
      </c>
      <c r="D1108" s="831">
        <v>48.84</v>
      </c>
      <c r="E1108" s="831">
        <v>37.042499999999997</v>
      </c>
      <c r="F1108" s="831">
        <v>23.05</v>
      </c>
      <c r="G1108" s="831">
        <v>7.1958843448814802</v>
      </c>
      <c r="H1108" s="831">
        <v>274.06</v>
      </c>
      <c r="I1108" s="831">
        <v>38.58</v>
      </c>
      <c r="J1108" s="831">
        <v>2707.88</v>
      </c>
      <c r="K1108" s="831">
        <v>7298.1980000000003</v>
      </c>
    </row>
    <row r="1109" spans="2:11">
      <c r="B1109" s="805" t="str">
        <f t="shared" si="22"/>
        <v>Sat</v>
      </c>
      <c r="C1109" s="825">
        <v>43505</v>
      </c>
      <c r="D1109" s="831">
        <v>48.84</v>
      </c>
      <c r="E1109" s="831">
        <v>37.042499999999997</v>
      </c>
      <c r="F1109" s="831">
        <v>23.05</v>
      </c>
      <c r="G1109" s="831">
        <v>7.1958843448814802</v>
      </c>
      <c r="H1109" s="831">
        <v>274.06</v>
      </c>
      <c r="I1109" s="831">
        <v>38.58</v>
      </c>
      <c r="J1109" s="831">
        <v>2707.88</v>
      </c>
      <c r="K1109" s="831">
        <v>7298.1980000000003</v>
      </c>
    </row>
    <row r="1110" spans="2:11">
      <c r="B1110" s="805" t="str">
        <f t="shared" si="22"/>
        <v>Fri</v>
      </c>
      <c r="C1110" s="825">
        <v>43504</v>
      </c>
      <c r="D1110" s="831">
        <v>48.84</v>
      </c>
      <c r="E1110" s="831">
        <v>37.042499999999997</v>
      </c>
      <c r="F1110" s="831">
        <v>23.05</v>
      </c>
      <c r="G1110" s="831">
        <v>7.1958843448814802</v>
      </c>
      <c r="H1110" s="831">
        <v>274.06</v>
      </c>
      <c r="I1110" s="831">
        <v>38.58</v>
      </c>
      <c r="J1110" s="831">
        <v>2707.88</v>
      </c>
      <c r="K1110" s="831">
        <v>7298.1980000000003</v>
      </c>
    </row>
    <row r="1111" spans="2:11">
      <c r="B1111" s="805" t="str">
        <f t="shared" si="22"/>
        <v>Thu</v>
      </c>
      <c r="C1111" s="825">
        <v>43503</v>
      </c>
      <c r="D1111" s="831">
        <v>49.23</v>
      </c>
      <c r="E1111" s="831">
        <v>36.854999999999997</v>
      </c>
      <c r="F1111" s="831">
        <v>22.67</v>
      </c>
      <c r="G1111" s="831">
        <v>7.1958843448814802</v>
      </c>
      <c r="H1111" s="831">
        <v>269.08999999999997</v>
      </c>
      <c r="I1111" s="831">
        <v>39.380000000000003</v>
      </c>
      <c r="J1111" s="831">
        <v>2706.05</v>
      </c>
      <c r="K1111" s="831">
        <v>7288.3519999999999</v>
      </c>
    </row>
    <row r="1112" spans="2:11">
      <c r="B1112" s="805" t="str">
        <f t="shared" si="22"/>
        <v>Wed</v>
      </c>
      <c r="C1112" s="825">
        <v>43502</v>
      </c>
      <c r="D1112" s="831">
        <v>49.9</v>
      </c>
      <c r="E1112" s="831">
        <v>38.25</v>
      </c>
      <c r="F1112" s="831">
        <v>23.26</v>
      </c>
      <c r="G1112" s="831">
        <v>7.1958843448814802</v>
      </c>
      <c r="H1112" s="831">
        <v>276.20999999999998</v>
      </c>
      <c r="I1112" s="831">
        <v>41.52</v>
      </c>
      <c r="J1112" s="831">
        <v>2731.61</v>
      </c>
      <c r="K1112" s="831">
        <v>7375.2809999999999</v>
      </c>
    </row>
    <row r="1113" spans="2:11">
      <c r="B1113" s="805" t="str">
        <f t="shared" si="22"/>
        <v>Tue</v>
      </c>
      <c r="C1113" s="825">
        <v>43501</v>
      </c>
      <c r="D1113" s="831">
        <v>50.01</v>
      </c>
      <c r="E1113" s="831">
        <v>37.487499999999997</v>
      </c>
      <c r="F1113" s="831">
        <v>23.31</v>
      </c>
      <c r="G1113" s="831">
        <v>7.1958843448814802</v>
      </c>
      <c r="H1113" s="831">
        <v>270</v>
      </c>
      <c r="I1113" s="831">
        <v>39.369999999999997</v>
      </c>
      <c r="J1113" s="831">
        <v>2737.7</v>
      </c>
      <c r="K1113" s="831">
        <v>7402.0839999999998</v>
      </c>
    </row>
    <row r="1114" spans="2:11">
      <c r="B1114" s="805" t="str">
        <f t="shared" si="22"/>
        <v>Mon</v>
      </c>
      <c r="C1114" s="825">
        <v>43500</v>
      </c>
      <c r="D1114" s="831">
        <v>49.22</v>
      </c>
      <c r="E1114" s="831">
        <v>37.295000000000002</v>
      </c>
      <c r="F1114" s="831">
        <v>24.13</v>
      </c>
      <c r="G1114" s="831">
        <v>7.1958843448814802</v>
      </c>
      <c r="H1114" s="831">
        <v>272.12</v>
      </c>
      <c r="I1114" s="831">
        <v>39.47</v>
      </c>
      <c r="J1114" s="831">
        <v>2724.87</v>
      </c>
      <c r="K1114" s="831">
        <v>7347.5360000000001</v>
      </c>
    </row>
    <row r="1115" spans="2:11">
      <c r="B1115" s="805" t="str">
        <f t="shared" si="22"/>
        <v>Sun</v>
      </c>
      <c r="C1115" s="825">
        <v>43499</v>
      </c>
      <c r="D1115" s="831">
        <v>48.73</v>
      </c>
      <c r="E1115" s="831">
        <v>36.182499999999997</v>
      </c>
      <c r="F1115" s="831">
        <v>24.51</v>
      </c>
      <c r="G1115" s="831">
        <v>7.1958843448814802</v>
      </c>
      <c r="H1115" s="831">
        <v>266.81</v>
      </c>
      <c r="I1115" s="831">
        <v>39.6</v>
      </c>
      <c r="J1115" s="831">
        <v>2706.53</v>
      </c>
      <c r="K1115" s="831">
        <v>7263.8680000000004</v>
      </c>
    </row>
    <row r="1116" spans="2:11">
      <c r="B1116" s="805" t="str">
        <f t="shared" si="22"/>
        <v>Sat</v>
      </c>
      <c r="C1116" s="825">
        <v>43498</v>
      </c>
      <c r="D1116" s="831">
        <v>48.73</v>
      </c>
      <c r="E1116" s="831">
        <v>36.182499999999997</v>
      </c>
      <c r="F1116" s="831">
        <v>24.51</v>
      </c>
      <c r="G1116" s="831">
        <v>7.1958843448814802</v>
      </c>
      <c r="H1116" s="831">
        <v>266.81</v>
      </c>
      <c r="I1116" s="831">
        <v>39.6</v>
      </c>
      <c r="J1116" s="831">
        <v>2706.53</v>
      </c>
      <c r="K1116" s="831">
        <v>7263.8680000000004</v>
      </c>
    </row>
    <row r="1117" spans="2:11">
      <c r="B1117" s="805" t="str">
        <f t="shared" si="22"/>
        <v>Fri</v>
      </c>
      <c r="C1117" s="825">
        <v>43497</v>
      </c>
      <c r="D1117" s="831">
        <v>48.73</v>
      </c>
      <c r="E1117" s="831">
        <v>36.182499999999997</v>
      </c>
      <c r="F1117" s="831">
        <v>24.51</v>
      </c>
      <c r="G1117" s="831">
        <v>7.1958843448814802</v>
      </c>
      <c r="H1117" s="831">
        <v>266.81</v>
      </c>
      <c r="I1117" s="831">
        <v>39.6</v>
      </c>
      <c r="J1117" s="831">
        <v>2706.53</v>
      </c>
      <c r="K1117" s="831">
        <v>7263.8680000000004</v>
      </c>
    </row>
    <row r="1118" spans="2:11">
      <c r="B1118" s="805" t="str">
        <f t="shared" si="22"/>
        <v>Thu</v>
      </c>
      <c r="C1118" s="825">
        <v>43496</v>
      </c>
      <c r="D1118" s="831">
        <v>47.12</v>
      </c>
      <c r="E1118" s="831">
        <v>35.9375</v>
      </c>
      <c r="F1118" s="831">
        <v>24.41</v>
      </c>
      <c r="G1118" s="831">
        <v>7.1958843448814802</v>
      </c>
      <c r="H1118" s="831">
        <v>268.25</v>
      </c>
      <c r="I1118" s="831">
        <v>38.22</v>
      </c>
      <c r="J1118" s="831">
        <v>2704.1</v>
      </c>
      <c r="K1118" s="831">
        <v>7281.7370000000001</v>
      </c>
    </row>
    <row r="1119" spans="2:11">
      <c r="B1119" s="805" t="str">
        <f t="shared" si="22"/>
        <v>Wed</v>
      </c>
      <c r="C1119" s="825">
        <v>43495</v>
      </c>
      <c r="D1119" s="831">
        <v>47.54</v>
      </c>
      <c r="E1119" s="831">
        <v>34.347499999999997</v>
      </c>
      <c r="F1119" s="831">
        <v>23.09</v>
      </c>
      <c r="G1119" s="831">
        <v>7.1958843448814802</v>
      </c>
      <c r="H1119" s="831">
        <v>270.82</v>
      </c>
      <c r="I1119" s="831">
        <v>38.24</v>
      </c>
      <c r="J1119" s="831">
        <v>2681.05</v>
      </c>
      <c r="K1119" s="831">
        <v>7183.0789999999997</v>
      </c>
    </row>
    <row r="1120" spans="2:11">
      <c r="B1120" s="805" t="str">
        <f t="shared" si="22"/>
        <v>Tue</v>
      </c>
      <c r="C1120" s="825">
        <v>43494</v>
      </c>
      <c r="D1120" s="831">
        <v>46.54</v>
      </c>
      <c r="E1120" s="831">
        <v>32.9</v>
      </c>
      <c r="F1120" s="831">
        <v>19.25</v>
      </c>
      <c r="G1120" s="831">
        <v>7.2270763634001396</v>
      </c>
      <c r="H1120" s="831">
        <v>266.32</v>
      </c>
      <c r="I1120" s="831">
        <v>37.39</v>
      </c>
      <c r="J1120" s="831">
        <v>2640</v>
      </c>
      <c r="K1120" s="831">
        <v>7028.29</v>
      </c>
    </row>
    <row r="1121" spans="2:11">
      <c r="B1121" s="805" t="str">
        <f t="shared" si="22"/>
        <v>Mon</v>
      </c>
      <c r="C1121" s="825">
        <v>43493</v>
      </c>
      <c r="D1121" s="831">
        <v>46.71</v>
      </c>
      <c r="E1121" s="831">
        <v>34.502499999999998</v>
      </c>
      <c r="F1121" s="831">
        <v>20.18</v>
      </c>
      <c r="G1121" s="831">
        <v>7.4401377562623896</v>
      </c>
      <c r="H1121" s="831">
        <v>267.62</v>
      </c>
      <c r="I1121" s="831">
        <v>38.08</v>
      </c>
      <c r="J1121" s="831">
        <v>2643.85</v>
      </c>
      <c r="K1121" s="831">
        <v>7085.6850000000004</v>
      </c>
    </row>
    <row r="1122" spans="2:11">
      <c r="B1122" s="805" t="str">
        <f t="shared" si="22"/>
        <v>Sun</v>
      </c>
      <c r="C1122" s="825">
        <v>43492</v>
      </c>
      <c r="D1122" s="831">
        <v>47.04</v>
      </c>
      <c r="E1122" s="831">
        <v>40.037500000000001</v>
      </c>
      <c r="F1122" s="831">
        <v>21.93</v>
      </c>
      <c r="G1122" s="831">
        <v>7.3596456949329196</v>
      </c>
      <c r="H1122" s="831">
        <v>267.94</v>
      </c>
      <c r="I1122" s="831">
        <v>38.96</v>
      </c>
      <c r="J1122" s="831">
        <v>2664.76</v>
      </c>
      <c r="K1122" s="831">
        <v>7164.8639999999996</v>
      </c>
    </row>
    <row r="1123" spans="2:11">
      <c r="B1123" s="805" t="str">
        <f t="shared" si="22"/>
        <v>Sat</v>
      </c>
      <c r="C1123" s="825">
        <v>43491</v>
      </c>
      <c r="D1123" s="831">
        <v>47.04</v>
      </c>
      <c r="E1123" s="831">
        <v>40.037500000000001</v>
      </c>
      <c r="F1123" s="831">
        <v>21.93</v>
      </c>
      <c r="G1123" s="831">
        <v>7.3596456949329196</v>
      </c>
      <c r="H1123" s="831">
        <v>267.94</v>
      </c>
      <c r="I1123" s="831">
        <v>38.96</v>
      </c>
      <c r="J1123" s="831">
        <v>2664.76</v>
      </c>
      <c r="K1123" s="831">
        <v>7164.8639999999996</v>
      </c>
    </row>
    <row r="1124" spans="2:11">
      <c r="B1124" s="805" t="str">
        <f t="shared" si="22"/>
        <v>Fri</v>
      </c>
      <c r="C1124" s="825">
        <v>43490</v>
      </c>
      <c r="D1124" s="831">
        <v>47.04</v>
      </c>
      <c r="E1124" s="831">
        <v>40.037500000000001</v>
      </c>
      <c r="F1124" s="831">
        <v>21.93</v>
      </c>
      <c r="G1124" s="831">
        <v>7.3596456949329196</v>
      </c>
      <c r="H1124" s="831">
        <v>267.94</v>
      </c>
      <c r="I1124" s="831">
        <v>38.96</v>
      </c>
      <c r="J1124" s="831">
        <v>2664.76</v>
      </c>
      <c r="K1124" s="831">
        <v>7164.8639999999996</v>
      </c>
    </row>
    <row r="1125" spans="2:11">
      <c r="B1125" s="805" t="str">
        <f t="shared" si="22"/>
        <v>Thu</v>
      </c>
      <c r="C1125" s="825">
        <v>43489</v>
      </c>
      <c r="D1125" s="831">
        <v>49.76</v>
      </c>
      <c r="E1125" s="831">
        <v>39.46</v>
      </c>
      <c r="F1125" s="831">
        <v>20.85</v>
      </c>
      <c r="G1125" s="831">
        <v>7.2095133173481996</v>
      </c>
      <c r="H1125" s="831">
        <v>263.55</v>
      </c>
      <c r="I1125" s="831">
        <v>36.590000000000003</v>
      </c>
      <c r="J1125" s="831">
        <v>2642.33</v>
      </c>
      <c r="K1125" s="831">
        <v>7073.4620000000004</v>
      </c>
    </row>
    <row r="1126" spans="2:11">
      <c r="B1126" s="805" t="str">
        <f t="shared" si="22"/>
        <v>Wed</v>
      </c>
      <c r="C1126" s="825">
        <v>43488</v>
      </c>
      <c r="D1126" s="831">
        <v>47.94</v>
      </c>
      <c r="E1126" s="831">
        <v>37.322499999999998</v>
      </c>
      <c r="F1126" s="831">
        <v>19.8</v>
      </c>
      <c r="G1126" s="831">
        <v>7.1495736195324397</v>
      </c>
      <c r="H1126" s="831">
        <v>257.52</v>
      </c>
      <c r="I1126" s="831">
        <v>34.24</v>
      </c>
      <c r="J1126" s="831">
        <v>2638.7</v>
      </c>
      <c r="K1126" s="831">
        <v>7025.7669999999998</v>
      </c>
    </row>
    <row r="1127" spans="2:11">
      <c r="B1127" s="805" t="str">
        <f t="shared" si="22"/>
        <v>Tue</v>
      </c>
      <c r="C1127" s="825">
        <v>43487</v>
      </c>
      <c r="D1127" s="831">
        <v>48.27</v>
      </c>
      <c r="E1127" s="831">
        <v>37.192500000000003</v>
      </c>
      <c r="F1127" s="831">
        <v>19.760000000000002</v>
      </c>
      <c r="G1127" s="831">
        <v>7.2193984913723304</v>
      </c>
      <c r="H1127" s="831">
        <v>258.29000000000002</v>
      </c>
      <c r="I1127" s="831">
        <v>33.869999999999997</v>
      </c>
      <c r="J1127" s="831">
        <v>2632.9</v>
      </c>
      <c r="K1127" s="831">
        <v>7020.3559999999998</v>
      </c>
    </row>
    <row r="1128" spans="2:11">
      <c r="B1128" s="805" t="str">
        <f t="shared" si="22"/>
        <v>Mon</v>
      </c>
      <c r="C1128" s="825">
        <v>43486</v>
      </c>
      <c r="D1128" s="831">
        <v>49.19</v>
      </c>
      <c r="E1128" s="831">
        <v>39.232500000000002</v>
      </c>
      <c r="F1128" s="831">
        <v>20.77</v>
      </c>
      <c r="G1128" s="831">
        <v>7.15557714100696</v>
      </c>
      <c r="H1128" s="831">
        <v>260.82</v>
      </c>
      <c r="I1128" s="831">
        <v>35.76</v>
      </c>
      <c r="J1128" s="831">
        <v>2670.71</v>
      </c>
      <c r="K1128" s="831">
        <v>7157.2280000000001</v>
      </c>
    </row>
    <row r="1129" spans="2:11">
      <c r="B1129" s="805" t="str">
        <f t="shared" si="22"/>
        <v>Sun</v>
      </c>
      <c r="C1129" s="825">
        <v>43485</v>
      </c>
      <c r="D1129" s="831">
        <v>49.19</v>
      </c>
      <c r="E1129" s="831">
        <v>39.232500000000002</v>
      </c>
      <c r="F1129" s="831">
        <v>20.77</v>
      </c>
      <c r="G1129" s="831">
        <v>7.0794453084499702</v>
      </c>
      <c r="H1129" s="831">
        <v>260.82</v>
      </c>
      <c r="I1129" s="831">
        <v>35.76</v>
      </c>
      <c r="J1129" s="831">
        <v>2670.71</v>
      </c>
      <c r="K1129" s="831">
        <v>7157.2280000000001</v>
      </c>
    </row>
    <row r="1130" spans="2:11">
      <c r="B1130" s="805" t="str">
        <f t="shared" si="22"/>
        <v>Sat</v>
      </c>
      <c r="C1130" s="825">
        <v>43484</v>
      </c>
      <c r="D1130" s="831">
        <v>49.19</v>
      </c>
      <c r="E1130" s="831">
        <v>39.232500000000002</v>
      </c>
      <c r="F1130" s="831">
        <v>20.77</v>
      </c>
      <c r="G1130" s="831">
        <v>7.0794453084499702</v>
      </c>
      <c r="H1130" s="831">
        <v>260.82</v>
      </c>
      <c r="I1130" s="831">
        <v>35.76</v>
      </c>
      <c r="J1130" s="831">
        <v>2670.71</v>
      </c>
      <c r="K1130" s="831">
        <v>7157.2280000000001</v>
      </c>
    </row>
    <row r="1131" spans="2:11">
      <c r="B1131" s="805" t="str">
        <f t="shared" si="22"/>
        <v>Fri</v>
      </c>
      <c r="C1131" s="825">
        <v>43483</v>
      </c>
      <c r="D1131" s="831">
        <v>49.19</v>
      </c>
      <c r="E1131" s="831">
        <v>39.232500000000002</v>
      </c>
      <c r="F1131" s="831">
        <v>20.77</v>
      </c>
      <c r="G1131" s="831">
        <v>7.0794453084499702</v>
      </c>
      <c r="H1131" s="831">
        <v>260.82</v>
      </c>
      <c r="I1131" s="831">
        <v>35.76</v>
      </c>
      <c r="J1131" s="831">
        <v>2670.71</v>
      </c>
      <c r="K1131" s="831">
        <v>7157.2280000000001</v>
      </c>
    </row>
    <row r="1132" spans="2:11">
      <c r="B1132" s="805" t="str">
        <f t="shared" si="22"/>
        <v>Thu</v>
      </c>
      <c r="C1132" s="825">
        <v>43482</v>
      </c>
      <c r="D1132" s="831">
        <v>48.47</v>
      </c>
      <c r="E1132" s="831">
        <v>37.93</v>
      </c>
      <c r="F1132" s="831">
        <v>20.25</v>
      </c>
      <c r="G1132" s="831">
        <v>7.1535167402024404</v>
      </c>
      <c r="H1132" s="831">
        <v>255.33</v>
      </c>
      <c r="I1132" s="831">
        <v>33.880000000000003</v>
      </c>
      <c r="J1132" s="831">
        <v>2635.96</v>
      </c>
      <c r="K1132" s="831">
        <v>7084.4629999999997</v>
      </c>
    </row>
    <row r="1133" spans="2:11">
      <c r="B1133" s="805" t="str">
        <f t="shared" si="22"/>
        <v>Wed</v>
      </c>
      <c r="C1133" s="825">
        <v>43481</v>
      </c>
      <c r="D1133" s="831">
        <v>48.13</v>
      </c>
      <c r="E1133" s="831">
        <v>37.21</v>
      </c>
      <c r="F1133" s="831">
        <v>19.73</v>
      </c>
      <c r="G1133" s="831">
        <v>7.0623762054745596</v>
      </c>
      <c r="H1133" s="831">
        <v>251.7</v>
      </c>
      <c r="I1133" s="831">
        <v>33.58</v>
      </c>
      <c r="J1133" s="831">
        <v>2616.1</v>
      </c>
      <c r="K1133" s="831">
        <v>7034.6930000000002</v>
      </c>
    </row>
    <row r="1134" spans="2:11">
      <c r="B1134" s="805" t="str">
        <f t="shared" si="22"/>
        <v>Tue</v>
      </c>
      <c r="C1134" s="825">
        <v>43480</v>
      </c>
      <c r="D1134" s="831">
        <v>48.6</v>
      </c>
      <c r="E1134" s="831">
        <v>37.467500000000001</v>
      </c>
      <c r="F1134" s="831">
        <v>20.38</v>
      </c>
      <c r="G1134" s="831">
        <v>7.1692726918834797</v>
      </c>
      <c r="H1134" s="831">
        <v>256.49</v>
      </c>
      <c r="I1134" s="831">
        <v>33.99</v>
      </c>
      <c r="J1134" s="831">
        <v>2610.3000000000002</v>
      </c>
      <c r="K1134" s="831">
        <v>7023.8339999999998</v>
      </c>
    </row>
    <row r="1135" spans="2:11">
      <c r="B1135" s="805" t="str">
        <f t="shared" si="22"/>
        <v>Mon</v>
      </c>
      <c r="C1135" s="825">
        <v>43479</v>
      </c>
      <c r="D1135" s="831">
        <v>48.35</v>
      </c>
      <c r="E1135" s="831">
        <v>37.61</v>
      </c>
      <c r="F1135" s="831">
        <v>20.23</v>
      </c>
      <c r="G1135" s="831">
        <v>7.0861034538673602</v>
      </c>
      <c r="H1135" s="831">
        <v>250.87</v>
      </c>
      <c r="I1135" s="831">
        <v>34.67</v>
      </c>
      <c r="J1135" s="831">
        <v>2582.61</v>
      </c>
      <c r="K1135" s="831">
        <v>6905.915</v>
      </c>
    </row>
    <row r="1136" spans="2:11">
      <c r="B1136" s="805" t="str">
        <f t="shared" si="22"/>
        <v>Sun</v>
      </c>
      <c r="C1136" s="825">
        <v>43478</v>
      </c>
      <c r="D1136" s="831">
        <v>48.93</v>
      </c>
      <c r="E1136" s="831">
        <v>37.207500000000003</v>
      </c>
      <c r="F1136" s="831">
        <v>20.27</v>
      </c>
      <c r="G1136" s="831">
        <v>7.1600207819197301</v>
      </c>
      <c r="H1136" s="831">
        <v>250.57</v>
      </c>
      <c r="I1136" s="831">
        <v>36.01</v>
      </c>
      <c r="J1136" s="831">
        <v>2596.2600000000002</v>
      </c>
      <c r="K1136" s="831">
        <v>6971.4759999999997</v>
      </c>
    </row>
    <row r="1137" spans="2:11">
      <c r="B1137" s="805" t="str">
        <f t="shared" si="22"/>
        <v>Sat</v>
      </c>
      <c r="C1137" s="825">
        <v>43477</v>
      </c>
      <c r="D1137" s="831">
        <v>48.93</v>
      </c>
      <c r="E1137" s="831">
        <v>37.207500000000003</v>
      </c>
      <c r="F1137" s="831">
        <v>20.27</v>
      </c>
      <c r="G1137" s="831">
        <v>7.1600207819197301</v>
      </c>
      <c r="H1137" s="831">
        <v>250.57</v>
      </c>
      <c r="I1137" s="831">
        <v>36.01</v>
      </c>
      <c r="J1137" s="831">
        <v>2596.2600000000002</v>
      </c>
      <c r="K1137" s="831">
        <v>6971.4759999999997</v>
      </c>
    </row>
    <row r="1138" spans="2:11">
      <c r="B1138" s="805" t="str">
        <f t="shared" si="22"/>
        <v>Fri</v>
      </c>
      <c r="C1138" s="825">
        <v>43476</v>
      </c>
      <c r="D1138" s="831">
        <v>48.93</v>
      </c>
      <c r="E1138" s="831">
        <v>37.207500000000003</v>
      </c>
      <c r="F1138" s="831">
        <v>20.27</v>
      </c>
      <c r="G1138" s="831">
        <v>7.1600207819197301</v>
      </c>
      <c r="H1138" s="831">
        <v>250.57</v>
      </c>
      <c r="I1138" s="831">
        <v>36.01</v>
      </c>
      <c r="J1138" s="831">
        <v>2596.2600000000002</v>
      </c>
      <c r="K1138" s="831">
        <v>6971.4759999999997</v>
      </c>
    </row>
    <row r="1139" spans="2:11">
      <c r="B1139" s="805" t="str">
        <f t="shared" si="22"/>
        <v>Thu</v>
      </c>
      <c r="C1139" s="825">
        <v>43475</v>
      </c>
      <c r="D1139" s="831">
        <v>48.56</v>
      </c>
      <c r="E1139" s="831">
        <v>36.307499999999997</v>
      </c>
      <c r="F1139" s="831">
        <v>19.739999999999998</v>
      </c>
      <c r="G1139" s="831">
        <v>7.0159482898626004</v>
      </c>
      <c r="H1139" s="831">
        <v>249.52</v>
      </c>
      <c r="I1139" s="831">
        <v>35.909999999999997</v>
      </c>
      <c r="J1139" s="831">
        <v>2596.64</v>
      </c>
      <c r="K1139" s="831">
        <v>6986.0680000000002</v>
      </c>
    </row>
    <row r="1140" spans="2:11">
      <c r="B1140" s="805" t="str">
        <f t="shared" si="22"/>
        <v>Wed</v>
      </c>
      <c r="C1140" s="825">
        <v>43474</v>
      </c>
      <c r="D1140" s="831">
        <v>48.01</v>
      </c>
      <c r="E1140" s="831">
        <v>35.645000000000003</v>
      </c>
      <c r="F1140" s="831">
        <v>20.190000000000001</v>
      </c>
      <c r="G1140" s="831">
        <v>7.0006172237923501</v>
      </c>
      <c r="H1140" s="831">
        <v>246.28</v>
      </c>
      <c r="I1140" s="831">
        <v>35.44</v>
      </c>
      <c r="J1140" s="831">
        <v>2584.96</v>
      </c>
      <c r="K1140" s="831">
        <v>6957.076</v>
      </c>
    </row>
    <row r="1141" spans="2:11">
      <c r="B1141" s="805" t="str">
        <f t="shared" si="22"/>
        <v>Tue</v>
      </c>
      <c r="C1141" s="825">
        <v>43473</v>
      </c>
      <c r="D1141" s="831">
        <v>47.74</v>
      </c>
      <c r="E1141" s="831">
        <v>34.957500000000003</v>
      </c>
      <c r="F1141" s="831">
        <v>20.75</v>
      </c>
      <c r="G1141" s="831">
        <v>6.8422076658667903</v>
      </c>
      <c r="H1141" s="831">
        <v>236.07</v>
      </c>
      <c r="I1141" s="831">
        <v>33.74</v>
      </c>
      <c r="J1141" s="831">
        <v>2574.41</v>
      </c>
      <c r="K1141" s="831">
        <v>6896.9979999999996</v>
      </c>
    </row>
    <row r="1142" spans="2:11">
      <c r="B1142" s="805" t="str">
        <f t="shared" si="22"/>
        <v>Mon</v>
      </c>
      <c r="C1142" s="825">
        <v>43472</v>
      </c>
      <c r="D1142" s="831">
        <v>47.44</v>
      </c>
      <c r="E1142" s="831">
        <v>35.85</v>
      </c>
      <c r="F1142" s="831">
        <v>20.57</v>
      </c>
      <c r="G1142" s="831">
        <v>6.9144619379970802</v>
      </c>
      <c r="H1142" s="831">
        <v>237.98</v>
      </c>
      <c r="I1142" s="831">
        <v>34</v>
      </c>
      <c r="J1142" s="831">
        <v>2549.69</v>
      </c>
      <c r="K1142" s="831">
        <v>6823.4709999999995</v>
      </c>
    </row>
    <row r="1143" spans="2:11">
      <c r="B1143" s="805" t="str">
        <f t="shared" si="22"/>
        <v>Sun</v>
      </c>
      <c r="C1143" s="825">
        <v>43471</v>
      </c>
      <c r="D1143" s="831">
        <v>47.22</v>
      </c>
      <c r="E1143" s="831">
        <v>34.047499999999999</v>
      </c>
      <c r="F1143" s="831">
        <v>19</v>
      </c>
      <c r="G1143" s="831">
        <v>6.7560983532010299</v>
      </c>
      <c r="H1143" s="831">
        <v>233.23</v>
      </c>
      <c r="I1143" s="831">
        <v>32.700000000000003</v>
      </c>
      <c r="J1143" s="831">
        <v>2531.94</v>
      </c>
      <c r="K1143" s="831">
        <v>6738.857</v>
      </c>
    </row>
    <row r="1144" spans="2:11">
      <c r="B1144" s="805" t="str">
        <f t="shared" si="22"/>
        <v>Sat</v>
      </c>
      <c r="C1144" s="825">
        <v>43470</v>
      </c>
      <c r="D1144" s="831">
        <v>47.22</v>
      </c>
      <c r="E1144" s="831">
        <v>34.047499999999999</v>
      </c>
      <c r="F1144" s="831">
        <v>19</v>
      </c>
      <c r="G1144" s="831">
        <v>6.7560983532010299</v>
      </c>
      <c r="H1144" s="831">
        <v>233.23</v>
      </c>
      <c r="I1144" s="831">
        <v>32.700000000000003</v>
      </c>
      <c r="J1144" s="831">
        <v>2531.94</v>
      </c>
      <c r="K1144" s="831">
        <v>6738.857</v>
      </c>
    </row>
    <row r="1145" spans="2:11">
      <c r="B1145" s="805" t="str">
        <f t="shared" si="22"/>
        <v>Fri</v>
      </c>
      <c r="C1145" s="825">
        <v>43469</v>
      </c>
      <c r="D1145" s="831">
        <v>47.22</v>
      </c>
      <c r="E1145" s="831">
        <v>34.047499999999999</v>
      </c>
      <c r="F1145" s="831">
        <v>19</v>
      </c>
      <c r="G1145" s="831">
        <v>6.7560983532010299</v>
      </c>
      <c r="H1145" s="831">
        <v>233.23</v>
      </c>
      <c r="I1145" s="831">
        <v>32.700000000000003</v>
      </c>
      <c r="J1145" s="831">
        <v>2531.94</v>
      </c>
      <c r="K1145" s="831">
        <v>6738.857</v>
      </c>
    </row>
    <row r="1146" spans="2:11">
      <c r="B1146" s="805" t="str">
        <f t="shared" si="22"/>
        <v>Thu</v>
      </c>
      <c r="C1146" s="825">
        <v>43468</v>
      </c>
      <c r="D1146" s="831">
        <v>44.49</v>
      </c>
      <c r="E1146" s="831">
        <v>31.997499999999999</v>
      </c>
      <c r="F1146" s="831">
        <v>17.05</v>
      </c>
      <c r="G1146" s="831">
        <v>6.9729817181685796</v>
      </c>
      <c r="H1146" s="831">
        <v>230.96</v>
      </c>
      <c r="I1146" s="831">
        <v>31</v>
      </c>
      <c r="J1146" s="831">
        <v>2447.89</v>
      </c>
      <c r="K1146" s="831">
        <v>6463.5039999999999</v>
      </c>
    </row>
    <row r="1147" spans="2:11">
      <c r="B1147" s="805" t="str">
        <f t="shared" si="22"/>
        <v>Wed</v>
      </c>
      <c r="C1147" s="825">
        <v>43467</v>
      </c>
      <c r="D1147" s="831">
        <v>47.08</v>
      </c>
      <c r="E1147" s="831">
        <v>34.055</v>
      </c>
      <c r="F1147" s="831">
        <v>18.829999999999998</v>
      </c>
      <c r="G1147" s="831">
        <v>7.1358907672301699</v>
      </c>
      <c r="H1147" s="831">
        <v>253.51</v>
      </c>
      <c r="I1147" s="831">
        <v>32.75</v>
      </c>
      <c r="J1147" s="831">
        <v>2510.0300000000002</v>
      </c>
      <c r="K1147" s="831">
        <v>6665.9380000000001</v>
      </c>
    </row>
    <row r="1148" spans="2:11">
      <c r="B1148" s="805" t="str">
        <f t="shared" si="22"/>
        <v>Tue</v>
      </c>
      <c r="C1148" s="825">
        <v>43466</v>
      </c>
      <c r="D1148" s="831">
        <v>46.93</v>
      </c>
      <c r="E1148" s="831">
        <v>33.375</v>
      </c>
      <c r="F1148" s="831">
        <v>18.46</v>
      </c>
      <c r="G1148" s="831">
        <v>7.3774782438002999</v>
      </c>
      <c r="H1148" s="831">
        <v>254.28</v>
      </c>
      <c r="I1148" s="831">
        <v>31.73</v>
      </c>
      <c r="J1148" s="831">
        <v>2506.85</v>
      </c>
      <c r="K1148" s="831">
        <v>6635.277</v>
      </c>
    </row>
    <row r="1149" spans="2:11">
      <c r="B1149" s="805" t="str">
        <f t="shared" si="22"/>
        <v>Mon</v>
      </c>
      <c r="C1149" s="825">
        <v>43465</v>
      </c>
      <c r="D1149" s="831">
        <v>46.93</v>
      </c>
      <c r="E1149" s="831">
        <v>33.375</v>
      </c>
      <c r="F1149" s="831">
        <v>18.46</v>
      </c>
      <c r="G1149" s="831">
        <v>7.3774782438002999</v>
      </c>
      <c r="H1149" s="831">
        <v>254.28</v>
      </c>
      <c r="I1149" s="831">
        <v>31.73</v>
      </c>
      <c r="J1149" s="831">
        <v>2506.85</v>
      </c>
      <c r="K1149" s="831">
        <v>6635.277</v>
      </c>
    </row>
    <row r="1150" spans="2:11">
      <c r="B1150" s="805" t="str">
        <f t="shared" si="22"/>
        <v>Sun</v>
      </c>
      <c r="C1150" s="825">
        <v>43464</v>
      </c>
      <c r="D1150" s="831">
        <v>46.75</v>
      </c>
      <c r="E1150" s="831">
        <v>33.412500000000001</v>
      </c>
      <c r="F1150" s="831">
        <v>17.82</v>
      </c>
      <c r="G1150" s="831">
        <v>7.3774782438002999</v>
      </c>
      <c r="H1150" s="831">
        <v>253.59</v>
      </c>
      <c r="I1150" s="831">
        <v>31.57</v>
      </c>
      <c r="J1150" s="831">
        <v>2485.7399999999998</v>
      </c>
      <c r="K1150" s="831">
        <v>6584.5219999999999</v>
      </c>
    </row>
    <row r="1151" spans="2:11">
      <c r="B1151" s="805" t="str">
        <f t="shared" si="22"/>
        <v>Sat</v>
      </c>
      <c r="C1151" s="825">
        <v>43463</v>
      </c>
      <c r="D1151" s="831">
        <v>46.75</v>
      </c>
      <c r="E1151" s="831">
        <v>33.412500000000001</v>
      </c>
      <c r="F1151" s="831">
        <v>17.82</v>
      </c>
      <c r="G1151" s="831">
        <v>7.3774782438002999</v>
      </c>
      <c r="H1151" s="831">
        <v>253.59</v>
      </c>
      <c r="I1151" s="831">
        <v>31.57</v>
      </c>
      <c r="J1151" s="831">
        <v>2485.7399999999998</v>
      </c>
      <c r="K1151" s="831">
        <v>6584.5219999999999</v>
      </c>
    </row>
    <row r="1152" spans="2:11">
      <c r="B1152" s="805" t="str">
        <f t="shared" si="22"/>
        <v>Fri</v>
      </c>
      <c r="C1152" s="825">
        <v>43462</v>
      </c>
      <c r="D1152" s="831">
        <v>46.75</v>
      </c>
      <c r="E1152" s="831">
        <v>33.412500000000001</v>
      </c>
      <c r="F1152" s="831">
        <v>17.82</v>
      </c>
      <c r="G1152" s="831">
        <v>7.3774782438002999</v>
      </c>
      <c r="H1152" s="831">
        <v>253.59</v>
      </c>
      <c r="I1152" s="831">
        <v>31.57</v>
      </c>
      <c r="J1152" s="831">
        <v>2485.7399999999998</v>
      </c>
      <c r="K1152" s="831">
        <v>6584.5219999999999</v>
      </c>
    </row>
    <row r="1153" spans="2:11">
      <c r="B1153" s="805" t="str">
        <f t="shared" si="22"/>
        <v>Thu</v>
      </c>
      <c r="C1153" s="825">
        <v>43461</v>
      </c>
      <c r="D1153" s="831">
        <v>46.36</v>
      </c>
      <c r="E1153" s="831">
        <v>32.792499999999997</v>
      </c>
      <c r="F1153" s="831">
        <v>17.489999999999998</v>
      </c>
      <c r="G1153" s="831">
        <v>7.2517966895385504</v>
      </c>
      <c r="H1153" s="831">
        <v>250.85</v>
      </c>
      <c r="I1153" s="831">
        <v>31.93</v>
      </c>
      <c r="J1153" s="831">
        <v>2488.83</v>
      </c>
      <c r="K1153" s="831">
        <v>6579.4920000000002</v>
      </c>
    </row>
    <row r="1154" spans="2:11">
      <c r="B1154" s="805" t="str">
        <f t="shared" si="22"/>
        <v>Wed</v>
      </c>
      <c r="C1154" s="825">
        <v>43460</v>
      </c>
      <c r="D1154" s="831">
        <v>46.19</v>
      </c>
      <c r="E1154" s="831">
        <v>33.274999999999999</v>
      </c>
      <c r="F1154" s="831">
        <v>17.899999999999999</v>
      </c>
      <c r="G1154" s="831">
        <v>7.03515955026971</v>
      </c>
      <c r="H1154" s="831">
        <v>248.14</v>
      </c>
      <c r="I1154" s="831">
        <v>30.89</v>
      </c>
      <c r="J1154" s="831">
        <v>2467.6999999999998</v>
      </c>
      <c r="K1154" s="831">
        <v>6554.3549999999996</v>
      </c>
    </row>
    <row r="1155" spans="2:11">
      <c r="B1155" s="805" t="str">
        <f t="shared" si="22"/>
        <v>Tue</v>
      </c>
      <c r="C1155" s="825">
        <v>43459</v>
      </c>
      <c r="D1155" s="831">
        <v>43.59</v>
      </c>
      <c r="E1155" s="831">
        <v>31.77</v>
      </c>
      <c r="F1155" s="831">
        <v>16.649999999999999</v>
      </c>
      <c r="G1155" s="831">
        <v>7.0598545832251398</v>
      </c>
      <c r="H1155" s="831">
        <v>233.8</v>
      </c>
      <c r="I1155" s="831">
        <v>29.02</v>
      </c>
      <c r="J1155" s="831">
        <v>2351.1</v>
      </c>
      <c r="K1155" s="831">
        <v>6192.9189999999999</v>
      </c>
    </row>
    <row r="1156" spans="2:11">
      <c r="B1156" s="805" t="str">
        <f t="shared" si="22"/>
        <v>Mon</v>
      </c>
      <c r="C1156" s="825">
        <v>43458</v>
      </c>
      <c r="D1156" s="831">
        <v>43.59</v>
      </c>
      <c r="E1156" s="831">
        <v>31.77</v>
      </c>
      <c r="F1156" s="831">
        <v>16.649999999999999</v>
      </c>
      <c r="G1156" s="831">
        <v>7.1419296195299298</v>
      </c>
      <c r="H1156" s="831">
        <v>233.8</v>
      </c>
      <c r="I1156" s="831">
        <v>29.02</v>
      </c>
      <c r="J1156" s="831">
        <v>2351.1</v>
      </c>
      <c r="K1156" s="831">
        <v>6192.9189999999999</v>
      </c>
    </row>
    <row r="1157" spans="2:11">
      <c r="B1157" s="805" t="str">
        <f t="shared" si="22"/>
        <v>Sun</v>
      </c>
      <c r="C1157" s="825">
        <v>43457</v>
      </c>
      <c r="D1157" s="831">
        <v>44.84</v>
      </c>
      <c r="E1157" s="831">
        <v>32.392499999999998</v>
      </c>
      <c r="F1157" s="831">
        <v>16.93</v>
      </c>
      <c r="G1157" s="831">
        <v>7.1948288182940301</v>
      </c>
      <c r="H1157" s="831">
        <v>244.91</v>
      </c>
      <c r="I1157" s="831">
        <v>30.32</v>
      </c>
      <c r="J1157" s="831">
        <v>2416.62</v>
      </c>
      <c r="K1157" s="831">
        <v>6332.9949999999999</v>
      </c>
    </row>
    <row r="1158" spans="2:11">
      <c r="B1158" s="805" t="str">
        <f t="shared" si="22"/>
        <v>Sat</v>
      </c>
      <c r="C1158" s="825">
        <v>43456</v>
      </c>
      <c r="D1158" s="831">
        <v>44.84</v>
      </c>
      <c r="E1158" s="831">
        <v>32.392499999999998</v>
      </c>
      <c r="F1158" s="831">
        <v>16.93</v>
      </c>
      <c r="G1158" s="831">
        <v>7.1948288182940301</v>
      </c>
      <c r="H1158" s="831">
        <v>244.91</v>
      </c>
      <c r="I1158" s="831">
        <v>30.32</v>
      </c>
      <c r="J1158" s="831">
        <v>2416.62</v>
      </c>
      <c r="K1158" s="831">
        <v>6332.9949999999999</v>
      </c>
    </row>
    <row r="1159" spans="2:11">
      <c r="B1159" s="805" t="str">
        <f t="shared" si="22"/>
        <v>Fri</v>
      </c>
      <c r="C1159" s="825">
        <v>43455</v>
      </c>
      <c r="D1159" s="831">
        <v>44.84</v>
      </c>
      <c r="E1159" s="831">
        <v>32.392499999999998</v>
      </c>
      <c r="F1159" s="831">
        <v>16.93</v>
      </c>
      <c r="G1159" s="831">
        <v>7.2581430844672497</v>
      </c>
      <c r="H1159" s="831">
        <v>244.91</v>
      </c>
      <c r="I1159" s="831">
        <v>30.32</v>
      </c>
      <c r="J1159" s="831">
        <v>2416.62</v>
      </c>
      <c r="K1159" s="831">
        <v>6332.9949999999999</v>
      </c>
    </row>
    <row r="1160" spans="2:11">
      <c r="B1160" s="805" t="str">
        <f t="shared" ref="B1160:B1223" si="23">TEXT(C1160,"DDD")</f>
        <v>Thu</v>
      </c>
      <c r="C1160" s="825">
        <v>43454</v>
      </c>
      <c r="D1160" s="831">
        <v>45.54</v>
      </c>
      <c r="E1160" s="831">
        <v>33.774999999999999</v>
      </c>
      <c r="F1160" s="831">
        <v>17.940000000000001</v>
      </c>
      <c r="G1160" s="831">
        <v>7.1897976446092802</v>
      </c>
      <c r="H1160" s="831">
        <v>241.89</v>
      </c>
      <c r="I1160" s="831">
        <v>31.28</v>
      </c>
      <c r="J1160" s="831">
        <v>2467.42</v>
      </c>
      <c r="K1160" s="831">
        <v>6528.4070000000002</v>
      </c>
    </row>
    <row r="1161" spans="2:11">
      <c r="B1161" s="805" t="str">
        <f t="shared" si="23"/>
        <v>Wed</v>
      </c>
      <c r="C1161" s="825">
        <v>43453</v>
      </c>
      <c r="D1161" s="831">
        <v>45.57</v>
      </c>
      <c r="E1161" s="831">
        <v>34.627499999999998</v>
      </c>
      <c r="F1161" s="831">
        <v>18.16</v>
      </c>
      <c r="G1161" s="831">
        <v>7.3081410422608197</v>
      </c>
      <c r="H1161" s="831">
        <v>243.89</v>
      </c>
      <c r="I1161" s="831">
        <v>31.41</v>
      </c>
      <c r="J1161" s="831">
        <v>2506.96</v>
      </c>
      <c r="K1161" s="831">
        <v>6636.8270000000002</v>
      </c>
    </row>
    <row r="1162" spans="2:11">
      <c r="B1162" s="805" t="str">
        <f t="shared" si="23"/>
        <v>Tue</v>
      </c>
      <c r="C1162" s="825">
        <v>43452</v>
      </c>
      <c r="D1162" s="831">
        <v>47.74</v>
      </c>
      <c r="E1162" s="831">
        <v>36.734999999999999</v>
      </c>
      <c r="F1162" s="831">
        <v>19.5</v>
      </c>
      <c r="G1162" s="831">
        <v>7.2221500908854797</v>
      </c>
      <c r="H1162" s="831">
        <v>249.67</v>
      </c>
      <c r="I1162" s="831">
        <v>34.11</v>
      </c>
      <c r="J1162" s="831">
        <v>2546.16</v>
      </c>
      <c r="K1162" s="831">
        <v>6783.9110000000001</v>
      </c>
    </row>
    <row r="1163" spans="2:11">
      <c r="B1163" s="805" t="str">
        <f t="shared" si="23"/>
        <v>Mon</v>
      </c>
      <c r="C1163" s="825">
        <v>43451</v>
      </c>
      <c r="D1163" s="831">
        <v>47.08</v>
      </c>
      <c r="E1163" s="831">
        <v>35.895000000000003</v>
      </c>
      <c r="F1163" s="831">
        <v>18.829999999999998</v>
      </c>
      <c r="G1163" s="831">
        <v>7.2513139964960098</v>
      </c>
      <c r="H1163" s="831">
        <v>254.13</v>
      </c>
      <c r="I1163" s="831">
        <v>33.880000000000003</v>
      </c>
      <c r="J1163" s="831">
        <v>2545.94</v>
      </c>
      <c r="K1163" s="831">
        <v>6753.7330000000002</v>
      </c>
    </row>
    <row r="1164" spans="2:11">
      <c r="B1164" s="805" t="str">
        <f t="shared" si="23"/>
        <v>Sun</v>
      </c>
      <c r="C1164" s="825">
        <v>43450</v>
      </c>
      <c r="D1164" s="831">
        <v>47.86</v>
      </c>
      <c r="E1164" s="831">
        <v>36.612499999999997</v>
      </c>
      <c r="F1164" s="831">
        <v>19.899999999999999</v>
      </c>
      <c r="G1164" s="831">
        <v>7.2092797200531402</v>
      </c>
      <c r="H1164" s="831">
        <v>254.83</v>
      </c>
      <c r="I1164" s="831">
        <v>34.200000000000003</v>
      </c>
      <c r="J1164" s="831">
        <v>2599.9499999999998</v>
      </c>
      <c r="K1164" s="831">
        <v>6910.665</v>
      </c>
    </row>
    <row r="1165" spans="2:11">
      <c r="B1165" s="805" t="str">
        <f t="shared" si="23"/>
        <v>Sat</v>
      </c>
      <c r="C1165" s="825">
        <v>43449</v>
      </c>
      <c r="D1165" s="831">
        <v>47.86</v>
      </c>
      <c r="E1165" s="831">
        <v>36.612499999999997</v>
      </c>
      <c r="F1165" s="831">
        <v>19.899999999999999</v>
      </c>
      <c r="G1165" s="831">
        <v>7.2092797200531402</v>
      </c>
      <c r="H1165" s="831">
        <v>254.83</v>
      </c>
      <c r="I1165" s="831">
        <v>34.200000000000003</v>
      </c>
      <c r="J1165" s="831">
        <v>2599.9499999999998</v>
      </c>
      <c r="K1165" s="831">
        <v>6910.665</v>
      </c>
    </row>
    <row r="1166" spans="2:11">
      <c r="B1166" s="805" t="str">
        <f t="shared" si="23"/>
        <v>Fri</v>
      </c>
      <c r="C1166" s="825">
        <v>43448</v>
      </c>
      <c r="D1166" s="831">
        <v>47.86</v>
      </c>
      <c r="E1166" s="831">
        <v>36.612499999999997</v>
      </c>
      <c r="F1166" s="831">
        <v>19.899999999999999</v>
      </c>
      <c r="G1166" s="831">
        <v>7.2092797200531402</v>
      </c>
      <c r="H1166" s="831">
        <v>254.83</v>
      </c>
      <c r="I1166" s="831">
        <v>34.200000000000003</v>
      </c>
      <c r="J1166" s="831">
        <v>2599.9499999999998</v>
      </c>
      <c r="K1166" s="831">
        <v>6910.665</v>
      </c>
    </row>
    <row r="1167" spans="2:11">
      <c r="B1167" s="805" t="str">
        <f t="shared" si="23"/>
        <v>Thu</v>
      </c>
      <c r="C1167" s="825">
        <v>43447</v>
      </c>
      <c r="D1167" s="831">
        <v>48.29</v>
      </c>
      <c r="E1167" s="831">
        <v>37.222499999999997</v>
      </c>
      <c r="F1167" s="831">
        <v>19.86</v>
      </c>
      <c r="G1167" s="831">
        <v>7.3329007138221902</v>
      </c>
      <c r="H1167" s="831">
        <v>258.3</v>
      </c>
      <c r="I1167" s="831">
        <v>35.020000000000003</v>
      </c>
      <c r="J1167" s="831">
        <v>2650.54</v>
      </c>
      <c r="K1167" s="831">
        <v>7070.3339999999998</v>
      </c>
    </row>
    <row r="1168" spans="2:11">
      <c r="B1168" s="805" t="str">
        <f t="shared" si="23"/>
        <v>Wed</v>
      </c>
      <c r="C1168" s="825">
        <v>43446</v>
      </c>
      <c r="D1168" s="831">
        <v>47.83</v>
      </c>
      <c r="E1168" s="831">
        <v>37.225000000000001</v>
      </c>
      <c r="F1168" s="831">
        <v>20.48</v>
      </c>
      <c r="G1168" s="831">
        <v>7.3610659733506703</v>
      </c>
      <c r="H1168" s="831">
        <v>254.98</v>
      </c>
      <c r="I1168" s="831">
        <v>36.03</v>
      </c>
      <c r="J1168" s="831">
        <v>2651.07</v>
      </c>
      <c r="K1168" s="831">
        <v>7098.3119999999999</v>
      </c>
    </row>
    <row r="1169" spans="2:11">
      <c r="B1169" s="805" t="str">
        <f t="shared" si="23"/>
        <v>Tue</v>
      </c>
      <c r="C1169" s="825">
        <v>43445</v>
      </c>
      <c r="D1169" s="831">
        <v>47.38</v>
      </c>
      <c r="E1169" s="831">
        <v>37.047499999999999</v>
      </c>
      <c r="F1169" s="831">
        <v>19.98</v>
      </c>
      <c r="G1169" s="831">
        <v>7.2162942302078896</v>
      </c>
      <c r="H1169" s="831">
        <v>246.84</v>
      </c>
      <c r="I1169" s="831">
        <v>35.21</v>
      </c>
      <c r="J1169" s="831">
        <v>2636.78</v>
      </c>
      <c r="K1169" s="831">
        <v>7031.8310000000001</v>
      </c>
    </row>
    <row r="1170" spans="2:11">
      <c r="B1170" s="805" t="str">
        <f t="shared" si="23"/>
        <v>Mon</v>
      </c>
      <c r="C1170" s="825">
        <v>43444</v>
      </c>
      <c r="D1170" s="831">
        <v>47.21</v>
      </c>
      <c r="E1170" s="831">
        <v>37.965000000000003</v>
      </c>
      <c r="F1170" s="831">
        <v>19.989999999999998</v>
      </c>
      <c r="G1170" s="831">
        <v>7.0841689849259204</v>
      </c>
      <c r="H1170" s="831">
        <v>239.25</v>
      </c>
      <c r="I1170" s="831">
        <v>34.799999999999997</v>
      </c>
      <c r="J1170" s="831">
        <v>2637.72</v>
      </c>
      <c r="K1170" s="831">
        <v>7020.52</v>
      </c>
    </row>
    <row r="1171" spans="2:11">
      <c r="B1171" s="805" t="str">
        <f t="shared" si="23"/>
        <v>Sun</v>
      </c>
      <c r="C1171" s="825">
        <v>43443</v>
      </c>
      <c r="D1171" s="831">
        <v>46.24</v>
      </c>
      <c r="E1171" s="831">
        <v>36.902500000000003</v>
      </c>
      <c r="F1171" s="831">
        <v>19.46</v>
      </c>
      <c r="G1171" s="831">
        <v>7.14539752335995</v>
      </c>
      <c r="H1171" s="831">
        <v>228.56</v>
      </c>
      <c r="I1171" s="831">
        <v>35.31</v>
      </c>
      <c r="J1171" s="831">
        <v>2633.08</v>
      </c>
      <c r="K1171" s="831">
        <v>6969.2520000000004</v>
      </c>
    </row>
    <row r="1172" spans="2:11">
      <c r="B1172" s="805" t="str">
        <f t="shared" si="23"/>
        <v>Sat</v>
      </c>
      <c r="C1172" s="825">
        <v>43442</v>
      </c>
      <c r="D1172" s="831">
        <v>46.24</v>
      </c>
      <c r="E1172" s="831">
        <v>36.902500000000003</v>
      </c>
      <c r="F1172" s="831">
        <v>19.46</v>
      </c>
      <c r="G1172" s="831">
        <v>7.14539752335995</v>
      </c>
      <c r="H1172" s="831">
        <v>228.56</v>
      </c>
      <c r="I1172" s="831">
        <v>35.31</v>
      </c>
      <c r="J1172" s="831">
        <v>2633.08</v>
      </c>
      <c r="K1172" s="831">
        <v>6969.2520000000004</v>
      </c>
    </row>
    <row r="1173" spans="2:11">
      <c r="B1173" s="805" t="str">
        <f t="shared" si="23"/>
        <v>Fri</v>
      </c>
      <c r="C1173" s="825">
        <v>43441</v>
      </c>
      <c r="D1173" s="831">
        <v>46.24</v>
      </c>
      <c r="E1173" s="831">
        <v>36.902500000000003</v>
      </c>
      <c r="F1173" s="831">
        <v>19.46</v>
      </c>
      <c r="G1173" s="831">
        <v>7.14539752335995</v>
      </c>
      <c r="H1173" s="831">
        <v>228.56</v>
      </c>
      <c r="I1173" s="831">
        <v>35.31</v>
      </c>
      <c r="J1173" s="831">
        <v>2633.08</v>
      </c>
      <c r="K1173" s="831">
        <v>6969.2520000000004</v>
      </c>
    </row>
    <row r="1174" spans="2:11">
      <c r="B1174" s="805" t="str">
        <f t="shared" si="23"/>
        <v>Thu</v>
      </c>
      <c r="C1174" s="825">
        <v>43440</v>
      </c>
      <c r="D1174" s="831">
        <v>48.37</v>
      </c>
      <c r="E1174" s="831">
        <v>39.572499999999998</v>
      </c>
      <c r="F1174" s="831">
        <v>21.3</v>
      </c>
      <c r="G1174" s="831">
        <v>7.1347494730014596</v>
      </c>
      <c r="H1174" s="831">
        <v>227.24</v>
      </c>
      <c r="I1174" s="831">
        <v>37.67</v>
      </c>
      <c r="J1174" s="831">
        <v>2695.95</v>
      </c>
      <c r="K1174" s="831">
        <v>7188.259</v>
      </c>
    </row>
    <row r="1175" spans="2:11">
      <c r="B1175" s="805" t="str">
        <f t="shared" si="23"/>
        <v>Wed</v>
      </c>
      <c r="C1175" s="825">
        <v>43439</v>
      </c>
      <c r="D1175" s="831">
        <v>47.75</v>
      </c>
      <c r="E1175" s="831">
        <v>39.277500000000003</v>
      </c>
      <c r="F1175" s="831">
        <v>21.12</v>
      </c>
      <c r="G1175" s="831">
        <v>7.3393303672912698</v>
      </c>
      <c r="H1175" s="831">
        <v>232.04</v>
      </c>
      <c r="I1175" s="831">
        <v>36.880000000000003</v>
      </c>
      <c r="J1175" s="831">
        <v>2700.06</v>
      </c>
      <c r="K1175" s="831">
        <v>7158.4260000000004</v>
      </c>
    </row>
    <row r="1176" spans="2:11">
      <c r="B1176" s="805" t="str">
        <f t="shared" si="23"/>
        <v>Tue</v>
      </c>
      <c r="C1176" s="825">
        <v>43438</v>
      </c>
      <c r="D1176" s="831">
        <v>47.75</v>
      </c>
      <c r="E1176" s="831">
        <v>39.277500000000003</v>
      </c>
      <c r="F1176" s="831">
        <v>21.12</v>
      </c>
      <c r="G1176" s="831">
        <v>7.6060458313018096</v>
      </c>
      <c r="H1176" s="831">
        <v>232.04</v>
      </c>
      <c r="I1176" s="831">
        <v>36.880000000000003</v>
      </c>
      <c r="J1176" s="831">
        <v>2700.06</v>
      </c>
      <c r="K1176" s="831">
        <v>7158.4260000000004</v>
      </c>
    </row>
    <row r="1177" spans="2:11">
      <c r="B1177" s="805" t="str">
        <f t="shared" si="23"/>
        <v>Mon</v>
      </c>
      <c r="C1177" s="825">
        <v>43437</v>
      </c>
      <c r="D1177" s="831">
        <v>50.13</v>
      </c>
      <c r="E1177" s="831">
        <v>42.51</v>
      </c>
      <c r="F1177" s="831">
        <v>23.71</v>
      </c>
      <c r="G1177" s="831">
        <v>7.6659598760397998</v>
      </c>
      <c r="H1177" s="831">
        <v>242.07</v>
      </c>
      <c r="I1177" s="831">
        <v>40.03</v>
      </c>
      <c r="J1177" s="831">
        <v>2790.37</v>
      </c>
      <c r="K1177" s="831">
        <v>7441.5119999999997</v>
      </c>
    </row>
    <row r="1178" spans="2:11">
      <c r="B1178" s="805" t="str">
        <f t="shared" si="23"/>
        <v>Sun</v>
      </c>
      <c r="C1178" s="825">
        <v>43436</v>
      </c>
      <c r="D1178" s="831">
        <v>49.31</v>
      </c>
      <c r="E1178" s="831">
        <v>40.857500000000002</v>
      </c>
      <c r="F1178" s="831">
        <v>21.3</v>
      </c>
      <c r="G1178" s="831">
        <v>7.3105102768592403</v>
      </c>
      <c r="H1178" s="831">
        <v>237.41</v>
      </c>
      <c r="I1178" s="831">
        <v>38.56</v>
      </c>
      <c r="J1178" s="831">
        <v>2760.17</v>
      </c>
      <c r="K1178" s="831">
        <v>7330.5360000000001</v>
      </c>
    </row>
    <row r="1179" spans="2:11">
      <c r="B1179" s="805" t="str">
        <f t="shared" si="23"/>
        <v>Sat</v>
      </c>
      <c r="C1179" s="825">
        <v>43435</v>
      </c>
      <c r="D1179" s="831">
        <v>49.31</v>
      </c>
      <c r="E1179" s="831">
        <v>40.857500000000002</v>
      </c>
      <c r="F1179" s="831">
        <v>21.3</v>
      </c>
      <c r="G1179" s="831">
        <v>7.3105102768592403</v>
      </c>
      <c r="H1179" s="831">
        <v>237.41</v>
      </c>
      <c r="I1179" s="831">
        <v>38.56</v>
      </c>
      <c r="J1179" s="831">
        <v>2760.17</v>
      </c>
      <c r="K1179" s="831">
        <v>7330.5360000000001</v>
      </c>
    </row>
    <row r="1180" spans="2:11">
      <c r="B1180" s="805" t="str">
        <f t="shared" si="23"/>
        <v>Fri</v>
      </c>
      <c r="C1180" s="825">
        <v>43434</v>
      </c>
      <c r="D1180" s="831">
        <v>49.31</v>
      </c>
      <c r="E1180" s="831">
        <v>40.857500000000002</v>
      </c>
      <c r="F1180" s="831">
        <v>21.3</v>
      </c>
      <c r="G1180" s="831">
        <v>7.3105102768592403</v>
      </c>
      <c r="H1180" s="831">
        <v>237.41</v>
      </c>
      <c r="I1180" s="831">
        <v>38.56</v>
      </c>
      <c r="J1180" s="831">
        <v>2760.17</v>
      </c>
      <c r="K1180" s="831">
        <v>7330.5360000000001</v>
      </c>
    </row>
    <row r="1181" spans="2:11">
      <c r="B1181" s="805" t="str">
        <f t="shared" si="23"/>
        <v>Thu</v>
      </c>
      <c r="C1181" s="825">
        <v>43433</v>
      </c>
      <c r="D1181" s="831">
        <v>47.7</v>
      </c>
      <c r="E1181" s="831">
        <v>39.340000000000003</v>
      </c>
      <c r="F1181" s="831">
        <v>21.43</v>
      </c>
      <c r="G1181" s="831">
        <v>7.44788109409048</v>
      </c>
      <c r="H1181" s="831">
        <v>235.78</v>
      </c>
      <c r="I1181" s="831">
        <v>37.909999999999997</v>
      </c>
      <c r="J1181" s="831">
        <v>2737.76</v>
      </c>
      <c r="K1181" s="831">
        <v>7273.0820000000003</v>
      </c>
    </row>
    <row r="1182" spans="2:11">
      <c r="B1182" s="805" t="str">
        <f t="shared" si="23"/>
        <v>Wed</v>
      </c>
      <c r="C1182" s="825">
        <v>43432</v>
      </c>
      <c r="D1182" s="831">
        <v>48.86</v>
      </c>
      <c r="E1182" s="831">
        <v>40.017499999999998</v>
      </c>
      <c r="F1182" s="831">
        <v>21.34</v>
      </c>
      <c r="G1182" s="831">
        <v>7.3510320654290497</v>
      </c>
      <c r="H1182" s="831">
        <v>235.22</v>
      </c>
      <c r="I1182" s="831">
        <v>38.71</v>
      </c>
      <c r="J1182" s="831">
        <v>2743.79</v>
      </c>
      <c r="K1182" s="831">
        <v>7291.5919999999996</v>
      </c>
    </row>
    <row r="1183" spans="2:11">
      <c r="B1183" s="805" t="str">
        <f t="shared" si="23"/>
        <v>Tue</v>
      </c>
      <c r="C1183" s="825">
        <v>43431</v>
      </c>
      <c r="D1183" s="831">
        <v>48.07</v>
      </c>
      <c r="E1183" s="831">
        <v>38.432499999999997</v>
      </c>
      <c r="F1183" s="831">
        <v>21.05</v>
      </c>
      <c r="G1183" s="831">
        <v>7.2475490989096301</v>
      </c>
      <c r="H1183" s="831">
        <v>235.83</v>
      </c>
      <c r="I1183" s="831">
        <v>37</v>
      </c>
      <c r="J1183" s="831">
        <v>2682.17</v>
      </c>
      <c r="K1183" s="831">
        <v>7082.7</v>
      </c>
    </row>
    <row r="1184" spans="2:11">
      <c r="B1184" s="805" t="str">
        <f t="shared" si="23"/>
        <v>Mon</v>
      </c>
      <c r="C1184" s="825">
        <v>43430</v>
      </c>
      <c r="D1184" s="831">
        <v>47.45</v>
      </c>
      <c r="E1184" s="831">
        <v>38.262500000000003</v>
      </c>
      <c r="F1184" s="831">
        <v>20.079999999999998</v>
      </c>
      <c r="G1184" s="831">
        <v>7.2268853096542101</v>
      </c>
      <c r="H1184" s="831">
        <v>235.31</v>
      </c>
      <c r="I1184" s="831">
        <v>36.57</v>
      </c>
      <c r="J1184" s="831">
        <v>2673.45</v>
      </c>
      <c r="K1184" s="831">
        <v>7081.8530000000001</v>
      </c>
    </row>
    <row r="1185" spans="2:11">
      <c r="B1185" s="805" t="str">
        <f t="shared" si="23"/>
        <v>Sun</v>
      </c>
      <c r="C1185" s="825">
        <v>43429</v>
      </c>
      <c r="D1185" s="831">
        <v>46.54</v>
      </c>
      <c r="E1185" s="831">
        <v>36.25</v>
      </c>
      <c r="F1185" s="831">
        <v>19.38</v>
      </c>
      <c r="G1185" s="831">
        <v>7.0638820638820699</v>
      </c>
      <c r="H1185" s="831">
        <v>229.9</v>
      </c>
      <c r="I1185" s="831">
        <v>36.4</v>
      </c>
      <c r="J1185" s="831">
        <v>2632.56</v>
      </c>
      <c r="K1185" s="831">
        <v>6938.9840000000004</v>
      </c>
    </row>
    <row r="1186" spans="2:11">
      <c r="B1186" s="805" t="str">
        <f t="shared" si="23"/>
        <v>Sat</v>
      </c>
      <c r="C1186" s="825">
        <v>43428</v>
      </c>
      <c r="D1186" s="831">
        <v>46.54</v>
      </c>
      <c r="E1186" s="831">
        <v>36.25</v>
      </c>
      <c r="F1186" s="831">
        <v>19.38</v>
      </c>
      <c r="G1186" s="831">
        <v>7.0638820638820699</v>
      </c>
      <c r="H1186" s="831">
        <v>229.9</v>
      </c>
      <c r="I1186" s="831">
        <v>36.4</v>
      </c>
      <c r="J1186" s="831">
        <v>2632.56</v>
      </c>
      <c r="K1186" s="831">
        <v>6938.9840000000004</v>
      </c>
    </row>
    <row r="1187" spans="2:11">
      <c r="B1187" s="805" t="str">
        <f t="shared" si="23"/>
        <v>Fri</v>
      </c>
      <c r="C1187" s="825">
        <v>43427</v>
      </c>
      <c r="D1187" s="831">
        <v>46.54</v>
      </c>
      <c r="E1187" s="831">
        <v>36.25</v>
      </c>
      <c r="F1187" s="831">
        <v>19.38</v>
      </c>
      <c r="G1187" s="831">
        <v>7.0638820638820699</v>
      </c>
      <c r="H1187" s="831">
        <v>229.9</v>
      </c>
      <c r="I1187" s="831">
        <v>36.4</v>
      </c>
      <c r="J1187" s="831">
        <v>2632.56</v>
      </c>
      <c r="K1187" s="831">
        <v>6938.9840000000004</v>
      </c>
    </row>
    <row r="1188" spans="2:11">
      <c r="B1188" s="805" t="str">
        <f t="shared" si="23"/>
        <v>Thu</v>
      </c>
      <c r="C1188" s="825">
        <v>43426</v>
      </c>
      <c r="D1188" s="831">
        <v>47.03</v>
      </c>
      <c r="E1188" s="831">
        <v>36.177500000000002</v>
      </c>
      <c r="F1188" s="831">
        <v>18.73</v>
      </c>
      <c r="G1188" s="831">
        <v>7.0965651328580703</v>
      </c>
      <c r="H1188" s="831">
        <v>230</v>
      </c>
      <c r="I1188" s="831">
        <v>36.380000000000003</v>
      </c>
      <c r="J1188" s="831">
        <v>2649.93</v>
      </c>
      <c r="K1188" s="831">
        <v>6972.2510000000002</v>
      </c>
    </row>
    <row r="1189" spans="2:11">
      <c r="B1189" s="805" t="str">
        <f t="shared" si="23"/>
        <v>Wed</v>
      </c>
      <c r="C1189" s="825">
        <v>43425</v>
      </c>
      <c r="D1189" s="831">
        <v>47.03</v>
      </c>
      <c r="E1189" s="831">
        <v>36.177500000000002</v>
      </c>
      <c r="F1189" s="831">
        <v>18.73</v>
      </c>
      <c r="G1189" s="831">
        <v>7.0977151191054899</v>
      </c>
      <c r="H1189" s="831">
        <v>230</v>
      </c>
      <c r="I1189" s="831">
        <v>36.380000000000003</v>
      </c>
      <c r="J1189" s="831">
        <v>2649.93</v>
      </c>
      <c r="K1189" s="831">
        <v>6972.2510000000002</v>
      </c>
    </row>
    <row r="1190" spans="2:11">
      <c r="B1190" s="805" t="str">
        <f t="shared" si="23"/>
        <v>Tue</v>
      </c>
      <c r="C1190" s="825">
        <v>43424</v>
      </c>
      <c r="D1190" s="831">
        <v>47.39</v>
      </c>
      <c r="E1190" s="831">
        <v>37.270000000000003</v>
      </c>
      <c r="F1190" s="831">
        <v>19.21</v>
      </c>
      <c r="G1190" s="831">
        <v>7.0440739304640001</v>
      </c>
      <c r="H1190" s="831">
        <v>227.71</v>
      </c>
      <c r="I1190" s="831">
        <v>36.119999999999997</v>
      </c>
      <c r="J1190" s="831">
        <v>2641.89</v>
      </c>
      <c r="K1190" s="831">
        <v>6908.8230000000003</v>
      </c>
    </row>
    <row r="1191" spans="2:11">
      <c r="B1191" s="805" t="str">
        <f t="shared" si="23"/>
        <v>Mon</v>
      </c>
      <c r="C1191" s="825">
        <v>43423</v>
      </c>
      <c r="D1191" s="831">
        <v>48</v>
      </c>
      <c r="E1191" s="831">
        <v>36.174999999999997</v>
      </c>
      <c r="F1191" s="831">
        <v>19.11</v>
      </c>
      <c r="G1191" s="831">
        <v>7.18586133229753</v>
      </c>
      <c r="H1191" s="831">
        <v>229.13</v>
      </c>
      <c r="I1191" s="831">
        <v>36.83</v>
      </c>
      <c r="J1191" s="831">
        <v>2690.73</v>
      </c>
      <c r="K1191" s="831">
        <v>7028.4769999999999</v>
      </c>
    </row>
    <row r="1192" spans="2:11">
      <c r="B1192" s="805" t="str">
        <f t="shared" si="23"/>
        <v>Sun</v>
      </c>
      <c r="C1192" s="825">
        <v>43422</v>
      </c>
      <c r="D1192" s="831">
        <v>48.83</v>
      </c>
      <c r="E1192" s="831">
        <v>41.107500000000002</v>
      </c>
      <c r="F1192" s="831">
        <v>20.66</v>
      </c>
      <c r="G1192" s="831">
        <v>7.3443390094891496</v>
      </c>
      <c r="H1192" s="831">
        <v>237.61</v>
      </c>
      <c r="I1192" s="831">
        <v>39.44</v>
      </c>
      <c r="J1192" s="831">
        <v>2736.27</v>
      </c>
      <c r="K1192" s="831">
        <v>7247.8729999999996</v>
      </c>
    </row>
    <row r="1193" spans="2:11">
      <c r="B1193" s="805" t="str">
        <f t="shared" si="23"/>
        <v>Sat</v>
      </c>
      <c r="C1193" s="825">
        <v>43421</v>
      </c>
      <c r="D1193" s="831">
        <v>48.83</v>
      </c>
      <c r="E1193" s="831">
        <v>41.107500000000002</v>
      </c>
      <c r="F1193" s="831">
        <v>20.66</v>
      </c>
      <c r="G1193" s="831">
        <v>7.3443390094891496</v>
      </c>
      <c r="H1193" s="831">
        <v>237.61</v>
      </c>
      <c r="I1193" s="831">
        <v>39.44</v>
      </c>
      <c r="J1193" s="831">
        <v>2736.27</v>
      </c>
      <c r="K1193" s="831">
        <v>7247.8729999999996</v>
      </c>
    </row>
    <row r="1194" spans="2:11">
      <c r="B1194" s="805" t="str">
        <f t="shared" si="23"/>
        <v>Fri</v>
      </c>
      <c r="C1194" s="825">
        <v>43420</v>
      </c>
      <c r="D1194" s="831">
        <v>48.83</v>
      </c>
      <c r="E1194" s="831">
        <v>41.107500000000002</v>
      </c>
      <c r="F1194" s="831">
        <v>20.66</v>
      </c>
      <c r="G1194" s="831">
        <v>7.3443390094891496</v>
      </c>
      <c r="H1194" s="831">
        <v>237.61</v>
      </c>
      <c r="I1194" s="831">
        <v>39.44</v>
      </c>
      <c r="J1194" s="831">
        <v>2736.27</v>
      </c>
      <c r="K1194" s="831">
        <v>7247.8729999999996</v>
      </c>
    </row>
    <row r="1195" spans="2:11">
      <c r="B1195" s="805" t="str">
        <f t="shared" si="23"/>
        <v>Thu</v>
      </c>
      <c r="C1195" s="825">
        <v>43419</v>
      </c>
      <c r="D1195" s="831">
        <v>48.11</v>
      </c>
      <c r="E1195" s="831">
        <v>50.597499999999997</v>
      </c>
      <c r="F1195" s="831">
        <v>21.49</v>
      </c>
      <c r="G1195" s="831">
        <v>7.5036543771317197</v>
      </c>
      <c r="H1195" s="831">
        <v>236.34</v>
      </c>
      <c r="I1195" s="831">
        <v>39.909999999999997</v>
      </c>
      <c r="J1195" s="831">
        <v>2730.2</v>
      </c>
      <c r="K1195" s="831">
        <v>7259.0320000000002</v>
      </c>
    </row>
    <row r="1196" spans="2:11">
      <c r="B1196" s="805" t="str">
        <f t="shared" si="23"/>
        <v>Wed</v>
      </c>
      <c r="C1196" s="825">
        <v>43418</v>
      </c>
      <c r="D1196" s="831">
        <v>47.09</v>
      </c>
      <c r="E1196" s="831">
        <v>49.297499999999999</v>
      </c>
      <c r="F1196" s="831">
        <v>20.81</v>
      </c>
      <c r="G1196" s="831">
        <v>7.4036872630658097</v>
      </c>
      <c r="H1196" s="831">
        <v>226.2</v>
      </c>
      <c r="I1196" s="831">
        <v>38.03</v>
      </c>
      <c r="J1196" s="831">
        <v>2701.58</v>
      </c>
      <c r="K1196" s="831">
        <v>7136.393</v>
      </c>
    </row>
    <row r="1197" spans="2:11">
      <c r="B1197" s="805" t="str">
        <f t="shared" si="23"/>
        <v>Tue</v>
      </c>
      <c r="C1197" s="825">
        <v>43417</v>
      </c>
      <c r="D1197" s="831">
        <v>47.39</v>
      </c>
      <c r="E1197" s="831">
        <v>49.827500000000001</v>
      </c>
      <c r="F1197" s="831">
        <v>19.61</v>
      </c>
      <c r="G1197" s="831">
        <v>7.3746312684365796</v>
      </c>
      <c r="H1197" s="831">
        <v>224.83</v>
      </c>
      <c r="I1197" s="831">
        <v>37.85</v>
      </c>
      <c r="J1197" s="831">
        <v>2722.18</v>
      </c>
      <c r="K1197" s="831">
        <v>7200.875</v>
      </c>
    </row>
    <row r="1198" spans="2:11">
      <c r="B1198" s="805" t="str">
        <f t="shared" si="23"/>
        <v>Mon</v>
      </c>
      <c r="C1198" s="825">
        <v>43416</v>
      </c>
      <c r="D1198" s="831">
        <v>46.65</v>
      </c>
      <c r="E1198" s="831">
        <v>47.384999999999998</v>
      </c>
      <c r="F1198" s="831">
        <v>19.03</v>
      </c>
      <c r="G1198" s="831">
        <v>7.48706338939198</v>
      </c>
      <c r="H1198" s="831">
        <v>223.63</v>
      </c>
      <c r="I1198" s="831">
        <v>37.44</v>
      </c>
      <c r="J1198" s="831">
        <v>2726.22</v>
      </c>
      <c r="K1198" s="831">
        <v>7200.8689999999997</v>
      </c>
    </row>
    <row r="1199" spans="2:11">
      <c r="B1199" s="805" t="str">
        <f t="shared" si="23"/>
        <v>Sun</v>
      </c>
      <c r="C1199" s="825">
        <v>43415</v>
      </c>
      <c r="D1199" s="831">
        <v>48.11</v>
      </c>
      <c r="E1199" s="831">
        <v>51.417499999999997</v>
      </c>
      <c r="F1199" s="831">
        <v>21.03</v>
      </c>
      <c r="G1199" s="831">
        <v>7.5063365178397303</v>
      </c>
      <c r="H1199" s="831">
        <v>238.99</v>
      </c>
      <c r="I1199" s="831">
        <v>39.11</v>
      </c>
      <c r="J1199" s="831">
        <v>2781.01</v>
      </c>
      <c r="K1199" s="831">
        <v>7406.902</v>
      </c>
    </row>
    <row r="1200" spans="2:11">
      <c r="B1200" s="805" t="str">
        <f t="shared" si="23"/>
        <v>Sat</v>
      </c>
      <c r="C1200" s="825">
        <v>43414</v>
      </c>
      <c r="D1200" s="831">
        <v>48.11</v>
      </c>
      <c r="E1200" s="831">
        <v>51.417499999999997</v>
      </c>
      <c r="F1200" s="831">
        <v>21.03</v>
      </c>
      <c r="G1200" s="831">
        <v>7.5063365178397303</v>
      </c>
      <c r="H1200" s="831">
        <v>238.99</v>
      </c>
      <c r="I1200" s="831">
        <v>39.11</v>
      </c>
      <c r="J1200" s="831">
        <v>2781.01</v>
      </c>
      <c r="K1200" s="831">
        <v>7406.902</v>
      </c>
    </row>
    <row r="1201" spans="2:11">
      <c r="B1201" s="805" t="str">
        <f t="shared" si="23"/>
        <v>Fri</v>
      </c>
      <c r="C1201" s="825">
        <v>43413</v>
      </c>
      <c r="D1201" s="831">
        <v>48.11</v>
      </c>
      <c r="E1201" s="831">
        <v>51.417499999999997</v>
      </c>
      <c r="F1201" s="831">
        <v>21.03</v>
      </c>
      <c r="G1201" s="831">
        <v>7.5063365178397303</v>
      </c>
      <c r="H1201" s="831">
        <v>238.99</v>
      </c>
      <c r="I1201" s="831">
        <v>39.11</v>
      </c>
      <c r="J1201" s="831">
        <v>2781.01</v>
      </c>
      <c r="K1201" s="831">
        <v>7406.902</v>
      </c>
    </row>
    <row r="1202" spans="2:11">
      <c r="B1202" s="805" t="str">
        <f t="shared" si="23"/>
        <v>Thu</v>
      </c>
      <c r="C1202" s="825">
        <v>43412</v>
      </c>
      <c r="D1202" s="831">
        <v>48.99</v>
      </c>
      <c r="E1202" s="831">
        <v>51.497500000000002</v>
      </c>
      <c r="F1202" s="831">
        <v>21.2</v>
      </c>
      <c r="G1202" s="831">
        <v>7.7073488675248498</v>
      </c>
      <c r="H1202" s="831">
        <v>240.25</v>
      </c>
      <c r="I1202" s="831">
        <v>40.44</v>
      </c>
      <c r="J1202" s="831">
        <v>2806.83</v>
      </c>
      <c r="K1202" s="831">
        <v>7530.8850000000002</v>
      </c>
    </row>
    <row r="1203" spans="2:11">
      <c r="B1203" s="805" t="str">
        <f t="shared" si="23"/>
        <v>Wed</v>
      </c>
      <c r="C1203" s="825">
        <v>43411</v>
      </c>
      <c r="D1203" s="831">
        <v>48.72</v>
      </c>
      <c r="E1203" s="831">
        <v>53.447499999999998</v>
      </c>
      <c r="F1203" s="831">
        <v>21.84</v>
      </c>
      <c r="G1203" s="831">
        <v>7.65556500687038</v>
      </c>
      <c r="H1203" s="831">
        <v>234.4</v>
      </c>
      <c r="I1203" s="831">
        <v>40.93</v>
      </c>
      <c r="J1203" s="831">
        <v>2813.89</v>
      </c>
      <c r="K1203" s="831">
        <v>7570.7539999999999</v>
      </c>
    </row>
    <row r="1204" spans="2:11">
      <c r="B1204" s="805" t="str">
        <f t="shared" si="23"/>
        <v>Tue</v>
      </c>
      <c r="C1204" s="825">
        <v>43410</v>
      </c>
      <c r="D1204" s="831">
        <v>47.25</v>
      </c>
      <c r="E1204" s="831">
        <v>52.765000000000001</v>
      </c>
      <c r="F1204" s="831">
        <v>20.68</v>
      </c>
      <c r="G1204" s="831">
        <v>7.6218025806870999</v>
      </c>
      <c r="H1204" s="831">
        <v>228.25</v>
      </c>
      <c r="I1204" s="831">
        <v>39.799999999999997</v>
      </c>
      <c r="J1204" s="831">
        <v>2755.45</v>
      </c>
      <c r="K1204" s="831">
        <v>7375.9639999999999</v>
      </c>
    </row>
    <row r="1205" spans="2:11">
      <c r="B1205" s="805" t="str">
        <f t="shared" si="23"/>
        <v>Mon</v>
      </c>
      <c r="C1205" s="825">
        <v>43409</v>
      </c>
      <c r="D1205" s="831">
        <v>47.97</v>
      </c>
      <c r="E1205" s="831">
        <v>52.942500000000003</v>
      </c>
      <c r="F1205" s="831">
        <v>19.899999999999999</v>
      </c>
      <c r="G1205" s="831">
        <v>7.6557206150638502</v>
      </c>
      <c r="H1205" s="831">
        <v>220.09</v>
      </c>
      <c r="I1205" s="831">
        <v>39.92</v>
      </c>
      <c r="J1205" s="831">
        <v>2738.31</v>
      </c>
      <c r="K1205" s="831">
        <v>7328.8509999999997</v>
      </c>
    </row>
    <row r="1206" spans="2:11">
      <c r="B1206" s="805" t="str">
        <f t="shared" si="23"/>
        <v>Sun</v>
      </c>
      <c r="C1206" s="825">
        <v>43408</v>
      </c>
      <c r="D1206" s="831">
        <v>47.11</v>
      </c>
      <c r="E1206" s="831">
        <v>53.73</v>
      </c>
      <c r="F1206" s="831">
        <v>20.23</v>
      </c>
      <c r="G1206" s="831">
        <v>7.7348246991104102</v>
      </c>
      <c r="H1206" s="831">
        <v>220.77</v>
      </c>
      <c r="I1206" s="831">
        <v>40.32</v>
      </c>
      <c r="J1206" s="831">
        <v>2723.06</v>
      </c>
      <c r="K1206" s="831">
        <v>7356.9939999999997</v>
      </c>
    </row>
    <row r="1207" spans="2:11">
      <c r="B1207" s="805" t="str">
        <f t="shared" si="23"/>
        <v>Sat</v>
      </c>
      <c r="C1207" s="825">
        <v>43407</v>
      </c>
      <c r="D1207" s="831">
        <v>47.11</v>
      </c>
      <c r="E1207" s="831">
        <v>53.73</v>
      </c>
      <c r="F1207" s="831">
        <v>20.23</v>
      </c>
      <c r="G1207" s="831">
        <v>7.7348246991104102</v>
      </c>
      <c r="H1207" s="831">
        <v>220.77</v>
      </c>
      <c r="I1207" s="831">
        <v>40.32</v>
      </c>
      <c r="J1207" s="831">
        <v>2723.06</v>
      </c>
      <c r="K1207" s="831">
        <v>7356.9939999999997</v>
      </c>
    </row>
    <row r="1208" spans="2:11">
      <c r="B1208" s="805" t="str">
        <f t="shared" si="23"/>
        <v>Fri</v>
      </c>
      <c r="C1208" s="825">
        <v>43406</v>
      </c>
      <c r="D1208" s="831">
        <v>47.11</v>
      </c>
      <c r="E1208" s="831">
        <v>53.73</v>
      </c>
      <c r="F1208" s="831">
        <v>20.23</v>
      </c>
      <c r="G1208" s="831">
        <v>7.7348246991104102</v>
      </c>
      <c r="H1208" s="831">
        <v>220.77</v>
      </c>
      <c r="I1208" s="831">
        <v>40.32</v>
      </c>
      <c r="J1208" s="831">
        <v>2723.06</v>
      </c>
      <c r="K1208" s="831">
        <v>7356.9939999999997</v>
      </c>
    </row>
    <row r="1209" spans="2:11">
      <c r="B1209" s="805" t="str">
        <f t="shared" si="23"/>
        <v>Thu</v>
      </c>
      <c r="C1209" s="825">
        <v>43405</v>
      </c>
      <c r="D1209" s="831">
        <v>48.22</v>
      </c>
      <c r="E1209" s="831">
        <v>54.527500000000003</v>
      </c>
      <c r="F1209" s="831">
        <v>20.22</v>
      </c>
      <c r="G1209" s="831">
        <v>7.6637703797715497</v>
      </c>
      <c r="H1209" s="831">
        <v>229.88</v>
      </c>
      <c r="I1209" s="831">
        <v>40.119999999999997</v>
      </c>
      <c r="J1209" s="831">
        <v>2740.37</v>
      </c>
      <c r="K1209" s="831">
        <v>7434.0569999999998</v>
      </c>
    </row>
    <row r="1210" spans="2:11">
      <c r="B1210" s="805" t="str">
        <f t="shared" si="23"/>
        <v>Wed</v>
      </c>
      <c r="C1210" s="825">
        <v>43404</v>
      </c>
      <c r="D1210" s="831">
        <v>46.88</v>
      </c>
      <c r="E1210" s="831">
        <v>52.707500000000003</v>
      </c>
      <c r="F1210" s="831">
        <v>18.21</v>
      </c>
      <c r="G1210" s="831">
        <v>7.5649812491917796</v>
      </c>
      <c r="H1210" s="831">
        <v>223.49</v>
      </c>
      <c r="I1210" s="831">
        <v>37.72</v>
      </c>
      <c r="J1210" s="831">
        <v>2711.74</v>
      </c>
      <c r="K1210" s="831">
        <v>7305.8990000000003</v>
      </c>
    </row>
    <row r="1211" spans="2:11">
      <c r="B1211" s="805" t="str">
        <f t="shared" si="23"/>
        <v>Tue</v>
      </c>
      <c r="C1211" s="825">
        <v>43403</v>
      </c>
      <c r="D1211" s="831">
        <v>47.76</v>
      </c>
      <c r="E1211" s="831">
        <v>50.75</v>
      </c>
      <c r="F1211" s="831">
        <v>17.2</v>
      </c>
      <c r="G1211" s="831">
        <v>7.2067995992631602</v>
      </c>
      <c r="H1211" s="831">
        <v>221.01</v>
      </c>
      <c r="I1211" s="831">
        <v>36.01</v>
      </c>
      <c r="J1211" s="831">
        <v>2682.63</v>
      </c>
      <c r="K1211" s="831">
        <v>7161.65</v>
      </c>
    </row>
    <row r="1212" spans="2:11">
      <c r="B1212" s="805" t="str">
        <f t="shared" si="23"/>
        <v>Mon</v>
      </c>
      <c r="C1212" s="825">
        <v>43402</v>
      </c>
      <c r="D1212" s="831">
        <v>45.4</v>
      </c>
      <c r="E1212" s="831">
        <v>46.405000000000001</v>
      </c>
      <c r="F1212" s="831">
        <v>16.850000000000001</v>
      </c>
      <c r="G1212" s="831">
        <v>7.1785771898693396</v>
      </c>
      <c r="H1212" s="831">
        <v>211.5</v>
      </c>
      <c r="I1212" s="831">
        <v>34.659999999999997</v>
      </c>
      <c r="J1212" s="831">
        <v>2641.25</v>
      </c>
      <c r="K1212" s="831">
        <v>7050.2920000000004</v>
      </c>
    </row>
    <row r="1213" spans="2:11">
      <c r="B1213" s="805" t="str">
        <f t="shared" si="23"/>
        <v>Sun</v>
      </c>
      <c r="C1213" s="825">
        <v>43401</v>
      </c>
      <c r="D1213" s="831">
        <v>45.69</v>
      </c>
      <c r="E1213" s="831">
        <v>49.572499999999998</v>
      </c>
      <c r="F1213" s="831">
        <v>17.63</v>
      </c>
      <c r="G1213" s="831">
        <v>7.1375512708716897</v>
      </c>
      <c r="H1213" s="831">
        <v>213.15</v>
      </c>
      <c r="I1213" s="831">
        <v>35.4</v>
      </c>
      <c r="J1213" s="831">
        <v>2658.69</v>
      </c>
      <c r="K1213" s="831">
        <v>7167.2120000000004</v>
      </c>
    </row>
    <row r="1214" spans="2:11">
      <c r="B1214" s="805" t="str">
        <f t="shared" si="23"/>
        <v>Sat</v>
      </c>
      <c r="C1214" s="825">
        <v>43400</v>
      </c>
      <c r="D1214" s="831">
        <v>45.69</v>
      </c>
      <c r="E1214" s="831">
        <v>49.572499999999998</v>
      </c>
      <c r="F1214" s="831">
        <v>17.63</v>
      </c>
      <c r="G1214" s="831">
        <v>7.1375512708716897</v>
      </c>
      <c r="H1214" s="831">
        <v>213.15</v>
      </c>
      <c r="I1214" s="831">
        <v>35.4</v>
      </c>
      <c r="J1214" s="831">
        <v>2658.69</v>
      </c>
      <c r="K1214" s="831">
        <v>7167.2120000000004</v>
      </c>
    </row>
    <row r="1215" spans="2:11">
      <c r="B1215" s="805" t="str">
        <f t="shared" si="23"/>
        <v>Fri</v>
      </c>
      <c r="C1215" s="825">
        <v>43399</v>
      </c>
      <c r="D1215" s="831">
        <v>45.69</v>
      </c>
      <c r="E1215" s="831">
        <v>49.572499999999998</v>
      </c>
      <c r="F1215" s="831">
        <v>17.63</v>
      </c>
      <c r="G1215" s="831">
        <v>7.1375512708716897</v>
      </c>
      <c r="H1215" s="831">
        <v>213.15</v>
      </c>
      <c r="I1215" s="831">
        <v>35.4</v>
      </c>
      <c r="J1215" s="831">
        <v>2658.69</v>
      </c>
      <c r="K1215" s="831">
        <v>7167.2120000000004</v>
      </c>
    </row>
    <row r="1216" spans="2:11">
      <c r="B1216" s="805" t="str">
        <f t="shared" si="23"/>
        <v>Thu</v>
      </c>
      <c r="C1216" s="825">
        <v>43398</v>
      </c>
      <c r="D1216" s="831">
        <v>44.31</v>
      </c>
      <c r="E1216" s="831">
        <v>51.96</v>
      </c>
      <c r="F1216" s="831">
        <v>19.27</v>
      </c>
      <c r="G1216" s="831">
        <v>7.0918548673709996</v>
      </c>
      <c r="H1216" s="831">
        <v>222.24</v>
      </c>
      <c r="I1216" s="831">
        <v>36.78</v>
      </c>
      <c r="J1216" s="831">
        <v>2705.57</v>
      </c>
      <c r="K1216" s="831">
        <v>7318.3360000000002</v>
      </c>
    </row>
    <row r="1217" spans="2:11">
      <c r="B1217" s="805" t="str">
        <f t="shared" si="23"/>
        <v>Wed</v>
      </c>
      <c r="C1217" s="825">
        <v>43397</v>
      </c>
      <c r="D1217" s="831">
        <v>42.42</v>
      </c>
      <c r="E1217" s="831">
        <v>49.852499999999999</v>
      </c>
      <c r="F1217" s="831">
        <v>22.79</v>
      </c>
      <c r="G1217" s="831">
        <v>7.4080051646223399</v>
      </c>
      <c r="H1217" s="831">
        <v>218.71</v>
      </c>
      <c r="I1217" s="831">
        <v>35.43</v>
      </c>
      <c r="J1217" s="831">
        <v>2656.1</v>
      </c>
      <c r="K1217" s="831">
        <v>7108.4009999999998</v>
      </c>
    </row>
    <row r="1218" spans="2:11">
      <c r="B1218" s="805" t="str">
        <f t="shared" si="23"/>
        <v>Tue</v>
      </c>
      <c r="C1218" s="825">
        <v>43396</v>
      </c>
      <c r="D1218" s="831">
        <v>44.5</v>
      </c>
      <c r="E1218" s="831">
        <v>55.265000000000001</v>
      </c>
      <c r="F1218" s="831">
        <v>25.09</v>
      </c>
      <c r="G1218" s="831">
        <v>7.4339829988041002</v>
      </c>
      <c r="H1218" s="831">
        <v>229.05</v>
      </c>
      <c r="I1218" s="831">
        <v>38.68</v>
      </c>
      <c r="J1218" s="831">
        <v>2740.69</v>
      </c>
      <c r="K1218" s="831">
        <v>7437.5389999999998</v>
      </c>
    </row>
    <row r="1219" spans="2:11">
      <c r="B1219" s="805" t="str">
        <f t="shared" si="23"/>
        <v>Mon</v>
      </c>
      <c r="C1219" s="825">
        <v>43395</v>
      </c>
      <c r="D1219" s="831">
        <v>45.01</v>
      </c>
      <c r="E1219" s="831">
        <v>57.805</v>
      </c>
      <c r="F1219" s="831">
        <v>25.03</v>
      </c>
      <c r="G1219" s="831">
        <v>7.6641981696471904</v>
      </c>
      <c r="H1219" s="831">
        <v>228.62</v>
      </c>
      <c r="I1219" s="831">
        <v>39.76</v>
      </c>
      <c r="J1219" s="831">
        <v>2755.88</v>
      </c>
      <c r="K1219" s="831">
        <v>7468.6289999999999</v>
      </c>
    </row>
    <row r="1220" spans="2:11">
      <c r="B1220" s="805" t="str">
        <f t="shared" si="23"/>
        <v>Sun</v>
      </c>
      <c r="C1220" s="825">
        <v>43394</v>
      </c>
      <c r="D1220" s="831">
        <v>44</v>
      </c>
      <c r="E1220" s="831">
        <v>57.292499999999997</v>
      </c>
      <c r="F1220" s="831">
        <v>23.66</v>
      </c>
      <c r="G1220" s="831">
        <v>7.64075501019847</v>
      </c>
      <c r="H1220" s="831">
        <v>228.28</v>
      </c>
      <c r="I1220" s="831">
        <v>40.450000000000003</v>
      </c>
      <c r="J1220" s="831">
        <v>2767.78</v>
      </c>
      <c r="K1220" s="831">
        <v>7449.0259999999998</v>
      </c>
    </row>
    <row r="1221" spans="2:11">
      <c r="B1221" s="805" t="str">
        <f t="shared" si="23"/>
        <v>Sat</v>
      </c>
      <c r="C1221" s="825">
        <v>43393</v>
      </c>
      <c r="D1221" s="831">
        <v>44</v>
      </c>
      <c r="E1221" s="831">
        <v>57.292499999999997</v>
      </c>
      <c r="F1221" s="831">
        <v>23.66</v>
      </c>
      <c r="G1221" s="831">
        <v>7.64075501019847</v>
      </c>
      <c r="H1221" s="831">
        <v>228.28</v>
      </c>
      <c r="I1221" s="831">
        <v>40.450000000000003</v>
      </c>
      <c r="J1221" s="831">
        <v>2767.78</v>
      </c>
      <c r="K1221" s="831">
        <v>7449.0259999999998</v>
      </c>
    </row>
    <row r="1222" spans="2:11">
      <c r="B1222" s="805" t="str">
        <f t="shared" si="23"/>
        <v>Fri</v>
      </c>
      <c r="C1222" s="825">
        <v>43392</v>
      </c>
      <c r="D1222" s="831">
        <v>44</v>
      </c>
      <c r="E1222" s="831">
        <v>57.292499999999997</v>
      </c>
      <c r="F1222" s="831">
        <v>23.66</v>
      </c>
      <c r="G1222" s="831">
        <v>7.64075501019847</v>
      </c>
      <c r="H1222" s="831">
        <v>228.28</v>
      </c>
      <c r="I1222" s="831">
        <v>40.450000000000003</v>
      </c>
      <c r="J1222" s="831">
        <v>2767.78</v>
      </c>
      <c r="K1222" s="831">
        <v>7449.0259999999998</v>
      </c>
    </row>
    <row r="1223" spans="2:11">
      <c r="B1223" s="805" t="str">
        <f t="shared" si="23"/>
        <v>Thu</v>
      </c>
      <c r="C1223" s="825">
        <v>43391</v>
      </c>
      <c r="D1223" s="831">
        <v>44.97</v>
      </c>
      <c r="E1223" s="831">
        <v>59.8825</v>
      </c>
      <c r="F1223" s="831">
        <v>26.62</v>
      </c>
      <c r="G1223" s="831">
        <v>7.6319865754485603</v>
      </c>
      <c r="H1223" s="831">
        <v>228.02</v>
      </c>
      <c r="I1223" s="831">
        <v>41.3</v>
      </c>
      <c r="J1223" s="831">
        <v>2768.78</v>
      </c>
      <c r="K1223" s="831">
        <v>7485.1390000000001</v>
      </c>
    </row>
    <row r="1224" spans="2:11">
      <c r="B1224" s="805" t="str">
        <f t="shared" ref="B1224:B1262" si="24">TEXT(C1224,"DDD")</f>
        <v>Wed</v>
      </c>
      <c r="C1224" s="825">
        <v>43390</v>
      </c>
      <c r="D1224" s="831">
        <v>45.89</v>
      </c>
      <c r="E1224" s="831">
        <v>60.765000000000001</v>
      </c>
      <c r="F1224" s="831">
        <v>27.3</v>
      </c>
      <c r="G1224" s="831">
        <v>7.7264481015938804</v>
      </c>
      <c r="H1224" s="831">
        <v>237.17</v>
      </c>
      <c r="I1224" s="831">
        <v>42.35</v>
      </c>
      <c r="J1224" s="831">
        <v>2809.21</v>
      </c>
      <c r="K1224" s="831">
        <v>7642.7030000000004</v>
      </c>
    </row>
    <row r="1225" spans="2:11">
      <c r="B1225" s="805" t="str">
        <f t="shared" si="24"/>
        <v>Tue</v>
      </c>
      <c r="C1225" s="825">
        <v>43389</v>
      </c>
      <c r="D1225" s="831">
        <v>45.94</v>
      </c>
      <c r="E1225" s="831">
        <v>61.457500000000003</v>
      </c>
      <c r="F1225" s="831">
        <v>28.18</v>
      </c>
      <c r="G1225" s="831">
        <v>7.6998050682261203</v>
      </c>
      <c r="H1225" s="831">
        <v>238.32</v>
      </c>
      <c r="I1225" s="831">
        <v>43.21</v>
      </c>
      <c r="J1225" s="831">
        <v>2809.92</v>
      </c>
      <c r="K1225" s="831">
        <v>7645.4889999999996</v>
      </c>
    </row>
    <row r="1226" spans="2:11">
      <c r="B1226" s="805" t="str">
        <f t="shared" si="24"/>
        <v>Mon</v>
      </c>
      <c r="C1226" s="825">
        <v>43388</v>
      </c>
      <c r="D1226" s="831">
        <v>44.53</v>
      </c>
      <c r="E1226" s="831">
        <v>58.844999999999999</v>
      </c>
      <c r="F1226" s="831">
        <v>26.26</v>
      </c>
      <c r="G1226" s="831">
        <v>7.4638948254646698</v>
      </c>
      <c r="H1226" s="831">
        <v>232.47</v>
      </c>
      <c r="I1226" s="831">
        <v>42.34</v>
      </c>
      <c r="J1226" s="831">
        <v>2750.79</v>
      </c>
      <c r="K1226" s="831">
        <v>7430.7439999999997</v>
      </c>
    </row>
    <row r="1227" spans="2:11">
      <c r="B1227" s="805" t="str">
        <f t="shared" si="24"/>
        <v>Sun</v>
      </c>
      <c r="C1227" s="825">
        <v>43387</v>
      </c>
      <c r="D1227" s="831">
        <v>44.88</v>
      </c>
      <c r="E1227" s="831">
        <v>61.634999999999998</v>
      </c>
      <c r="F1227" s="831">
        <v>26.34</v>
      </c>
      <c r="G1227" s="831">
        <v>7.6699029126213603</v>
      </c>
      <c r="H1227" s="831">
        <v>232.95</v>
      </c>
      <c r="I1227" s="831">
        <v>42.47</v>
      </c>
      <c r="J1227" s="831">
        <v>2767.13</v>
      </c>
      <c r="K1227" s="831">
        <v>7496.8940000000002</v>
      </c>
    </row>
    <row r="1228" spans="2:11">
      <c r="B1228" s="805" t="str">
        <f t="shared" si="24"/>
        <v>Sat</v>
      </c>
      <c r="C1228" s="825">
        <v>43386</v>
      </c>
      <c r="D1228" s="831">
        <v>44.88</v>
      </c>
      <c r="E1228" s="831">
        <v>61.634999999999998</v>
      </c>
      <c r="F1228" s="831">
        <v>26.34</v>
      </c>
      <c r="G1228" s="831">
        <v>7.6699029126213603</v>
      </c>
      <c r="H1228" s="831">
        <v>232.95</v>
      </c>
      <c r="I1228" s="831">
        <v>42.47</v>
      </c>
      <c r="J1228" s="831">
        <v>2767.13</v>
      </c>
      <c r="K1228" s="831">
        <v>7496.8940000000002</v>
      </c>
    </row>
    <row r="1229" spans="2:11">
      <c r="B1229" s="805" t="str">
        <f t="shared" si="24"/>
        <v>Fri</v>
      </c>
      <c r="C1229" s="825">
        <v>43385</v>
      </c>
      <c r="D1229" s="831">
        <v>44.88</v>
      </c>
      <c r="E1229" s="831">
        <v>61.634999999999998</v>
      </c>
      <c r="F1229" s="831">
        <v>26.34</v>
      </c>
      <c r="G1229" s="831">
        <v>7.6699029126213603</v>
      </c>
      <c r="H1229" s="831">
        <v>232.95</v>
      </c>
      <c r="I1229" s="831">
        <v>42.47</v>
      </c>
      <c r="J1229" s="831">
        <v>2767.13</v>
      </c>
      <c r="K1229" s="831">
        <v>7496.8940000000002</v>
      </c>
    </row>
    <row r="1230" spans="2:11">
      <c r="B1230" s="805" t="str">
        <f t="shared" si="24"/>
        <v>Thu</v>
      </c>
      <c r="C1230" s="825">
        <v>43384</v>
      </c>
      <c r="D1230" s="831">
        <v>44.23</v>
      </c>
      <c r="E1230" s="831">
        <v>58.782499999999999</v>
      </c>
      <c r="F1230" s="831">
        <v>25.3</v>
      </c>
      <c r="G1230" s="831">
        <v>7.3505654281098503</v>
      </c>
      <c r="H1230" s="831">
        <v>228.9</v>
      </c>
      <c r="I1230" s="831">
        <v>41.97</v>
      </c>
      <c r="J1230" s="831">
        <v>2728.37</v>
      </c>
      <c r="K1230" s="831">
        <v>7329.0609999999997</v>
      </c>
    </row>
    <row r="1231" spans="2:11">
      <c r="B1231" s="805" t="str">
        <f t="shared" si="24"/>
        <v>Wed</v>
      </c>
      <c r="C1231" s="825">
        <v>43383</v>
      </c>
      <c r="D1231" s="831">
        <v>44.8</v>
      </c>
      <c r="E1231" s="831">
        <v>61.422499999999999</v>
      </c>
      <c r="F1231" s="831">
        <v>25</v>
      </c>
      <c r="G1231" s="831">
        <v>7.8816461011693297</v>
      </c>
      <c r="H1231" s="831">
        <v>231.83</v>
      </c>
      <c r="I1231" s="831">
        <v>41.61</v>
      </c>
      <c r="J1231" s="831">
        <v>2785.68</v>
      </c>
      <c r="K1231" s="831">
        <v>7422.05</v>
      </c>
    </row>
    <row r="1232" spans="2:11">
      <c r="B1232" s="805" t="str">
        <f t="shared" si="24"/>
        <v>Tue</v>
      </c>
      <c r="C1232" s="825">
        <v>43382</v>
      </c>
      <c r="D1232" s="831">
        <v>46.55</v>
      </c>
      <c r="E1232" s="831">
        <v>66.385000000000005</v>
      </c>
      <c r="F1232" s="831">
        <v>27.24</v>
      </c>
      <c r="G1232" s="831">
        <v>7.8816461011693297</v>
      </c>
      <c r="H1232" s="831">
        <v>244.7</v>
      </c>
      <c r="I1232" s="831">
        <v>42.27</v>
      </c>
      <c r="J1232" s="831">
        <v>2880.34</v>
      </c>
      <c r="K1232" s="831">
        <v>7738.0159999999996</v>
      </c>
    </row>
    <row r="1233" spans="2:11">
      <c r="B1233" s="805" t="str">
        <f t="shared" si="24"/>
        <v>Mon</v>
      </c>
      <c r="C1233" s="825">
        <v>43381</v>
      </c>
      <c r="D1233" s="831">
        <v>47.03</v>
      </c>
      <c r="E1233" s="831">
        <v>66.442499999999995</v>
      </c>
      <c r="F1233" s="831">
        <v>26.46</v>
      </c>
      <c r="G1233" s="831">
        <v>7.86549518702759</v>
      </c>
      <c r="H1233" s="831">
        <v>241.37</v>
      </c>
      <c r="I1233" s="831">
        <v>43.07</v>
      </c>
      <c r="J1233" s="831">
        <v>2884.43</v>
      </c>
      <c r="K1233" s="831">
        <v>7735.9489999999996</v>
      </c>
    </row>
    <row r="1234" spans="2:11">
      <c r="B1234" s="805" t="str">
        <f t="shared" si="24"/>
        <v>Sun</v>
      </c>
      <c r="C1234" s="825">
        <v>43380</v>
      </c>
      <c r="D1234" s="831">
        <v>47.03</v>
      </c>
      <c r="E1234" s="831">
        <v>67.465000000000003</v>
      </c>
      <c r="F1234" s="831">
        <v>27.35</v>
      </c>
      <c r="G1234" s="831">
        <v>8.0866893093967303</v>
      </c>
      <c r="H1234" s="831">
        <v>244.23</v>
      </c>
      <c r="I1234" s="831">
        <v>43.58</v>
      </c>
      <c r="J1234" s="831">
        <v>2885.57</v>
      </c>
      <c r="K1234" s="831">
        <v>7788.4470000000001</v>
      </c>
    </row>
    <row r="1235" spans="2:11">
      <c r="B1235" s="805" t="str">
        <f t="shared" si="24"/>
        <v>Sat</v>
      </c>
      <c r="C1235" s="825">
        <v>43379</v>
      </c>
      <c r="D1235" s="831">
        <v>47.03</v>
      </c>
      <c r="E1235" s="831">
        <v>67.465000000000003</v>
      </c>
      <c r="F1235" s="831">
        <v>27.35</v>
      </c>
      <c r="G1235" s="831">
        <v>8.0866893093967303</v>
      </c>
      <c r="H1235" s="831">
        <v>244.23</v>
      </c>
      <c r="I1235" s="831">
        <v>43.58</v>
      </c>
      <c r="J1235" s="831">
        <v>2885.57</v>
      </c>
      <c r="K1235" s="831">
        <v>7788.4470000000001</v>
      </c>
    </row>
    <row r="1236" spans="2:11">
      <c r="B1236" s="805" t="str">
        <f t="shared" si="24"/>
        <v>Fri</v>
      </c>
      <c r="C1236" s="825">
        <v>43378</v>
      </c>
      <c r="D1236" s="831">
        <v>47.03</v>
      </c>
      <c r="E1236" s="831">
        <v>67.465000000000003</v>
      </c>
      <c r="F1236" s="831">
        <v>27.35</v>
      </c>
      <c r="G1236" s="831">
        <v>8.0866893093967303</v>
      </c>
      <c r="H1236" s="831">
        <v>244.23</v>
      </c>
      <c r="I1236" s="831">
        <v>43.58</v>
      </c>
      <c r="J1236" s="831">
        <v>2885.57</v>
      </c>
      <c r="K1236" s="831">
        <v>7788.4470000000001</v>
      </c>
    </row>
    <row r="1237" spans="2:11">
      <c r="B1237" s="805" t="str">
        <f t="shared" si="24"/>
        <v>Thu</v>
      </c>
      <c r="C1237" s="825">
        <v>43377</v>
      </c>
      <c r="D1237" s="831">
        <v>48.13</v>
      </c>
      <c r="E1237" s="831">
        <v>69.822500000000005</v>
      </c>
      <c r="F1237" s="831">
        <v>27.78</v>
      </c>
      <c r="G1237" s="831">
        <v>8.2341880896035295</v>
      </c>
      <c r="H1237" s="831">
        <v>248.17</v>
      </c>
      <c r="I1237" s="831">
        <v>44.16</v>
      </c>
      <c r="J1237" s="831">
        <v>2901.61</v>
      </c>
      <c r="K1237" s="831">
        <v>7879.51</v>
      </c>
    </row>
    <row r="1238" spans="2:11">
      <c r="B1238" s="805" t="str">
        <f t="shared" si="24"/>
        <v>Wed</v>
      </c>
      <c r="C1238" s="825">
        <v>43376</v>
      </c>
      <c r="D1238" s="831">
        <v>48.76</v>
      </c>
      <c r="E1238" s="831">
        <v>71.682500000000005</v>
      </c>
      <c r="F1238" s="831">
        <v>28.43</v>
      </c>
      <c r="G1238" s="831">
        <v>8.4605121863915898</v>
      </c>
      <c r="H1238" s="831">
        <v>249.42</v>
      </c>
      <c r="I1238" s="831">
        <v>45.15</v>
      </c>
      <c r="J1238" s="831">
        <v>2925.51</v>
      </c>
      <c r="K1238" s="831">
        <v>8025.085</v>
      </c>
    </row>
    <row r="1239" spans="2:11">
      <c r="B1239" s="805" t="str">
        <f t="shared" si="24"/>
        <v>Tue</v>
      </c>
      <c r="C1239" s="825">
        <v>43375</v>
      </c>
      <c r="D1239" s="831">
        <v>48.1</v>
      </c>
      <c r="E1239" s="831">
        <v>71.62</v>
      </c>
      <c r="F1239" s="831">
        <v>29.02</v>
      </c>
      <c r="G1239" s="831">
        <v>8.3977432084270909</v>
      </c>
      <c r="H1239" s="831">
        <v>248.1</v>
      </c>
      <c r="I1239" s="831">
        <v>45.76</v>
      </c>
      <c r="J1239" s="831">
        <v>2923.43</v>
      </c>
      <c r="K1239" s="831">
        <v>7999.5469999999996</v>
      </c>
    </row>
    <row r="1240" spans="2:11">
      <c r="B1240" s="805" t="str">
        <f t="shared" si="24"/>
        <v>Mon</v>
      </c>
      <c r="C1240" s="825">
        <v>43374</v>
      </c>
      <c r="D1240" s="831">
        <v>46.45</v>
      </c>
      <c r="E1240" s="831">
        <v>72.34</v>
      </c>
      <c r="F1240" s="831">
        <v>31.42</v>
      </c>
      <c r="G1240" s="831">
        <v>8.61165684348396</v>
      </c>
      <c r="H1240" s="831">
        <v>249.51</v>
      </c>
      <c r="I1240" s="831">
        <v>45.15</v>
      </c>
      <c r="J1240" s="831">
        <v>2924.59</v>
      </c>
      <c r="K1240" s="831">
        <v>8037.3019999999997</v>
      </c>
    </row>
    <row r="1241" spans="2:11">
      <c r="B1241" s="805" t="str">
        <f t="shared" si="24"/>
        <v>Sun</v>
      </c>
      <c r="C1241" s="825">
        <v>43373</v>
      </c>
      <c r="D1241" s="831">
        <v>47.29</v>
      </c>
      <c r="E1241" s="831">
        <v>70.254999999999995</v>
      </c>
      <c r="F1241" s="831">
        <v>30.89</v>
      </c>
      <c r="G1241" s="831">
        <v>8.6218222426591407</v>
      </c>
      <c r="H1241" s="831">
        <v>246.73</v>
      </c>
      <c r="I1241" s="831">
        <v>45.23</v>
      </c>
      <c r="J1241" s="831">
        <v>2913.98</v>
      </c>
      <c r="K1241" s="831">
        <v>8046.3530000000001</v>
      </c>
    </row>
    <row r="1242" spans="2:11">
      <c r="B1242" s="805" t="str">
        <f t="shared" si="24"/>
        <v>Sat</v>
      </c>
      <c r="C1242" s="825">
        <v>43372</v>
      </c>
      <c r="D1242" s="831">
        <v>47.29</v>
      </c>
      <c r="E1242" s="831">
        <v>70.254999999999995</v>
      </c>
      <c r="F1242" s="831">
        <v>30.89</v>
      </c>
      <c r="G1242" s="831">
        <v>8.6218222426591407</v>
      </c>
      <c r="H1242" s="831">
        <v>246.73</v>
      </c>
      <c r="I1242" s="831">
        <v>45.23</v>
      </c>
      <c r="J1242" s="831">
        <v>2913.98</v>
      </c>
      <c r="K1242" s="831">
        <v>8046.3530000000001</v>
      </c>
    </row>
    <row r="1243" spans="2:11">
      <c r="B1243" s="805" t="str">
        <f t="shared" si="24"/>
        <v>Fri</v>
      </c>
      <c r="C1243" s="825">
        <v>43371</v>
      </c>
      <c r="D1243" s="831">
        <v>47.29</v>
      </c>
      <c r="E1243" s="831">
        <v>70.254999999999995</v>
      </c>
      <c r="F1243" s="831">
        <v>30.89</v>
      </c>
      <c r="G1243" s="831">
        <v>8.6218222426591407</v>
      </c>
      <c r="H1243" s="831">
        <v>246.73</v>
      </c>
      <c r="I1243" s="831">
        <v>45.23</v>
      </c>
      <c r="J1243" s="831">
        <v>2913.98</v>
      </c>
      <c r="K1243" s="831">
        <v>8046.3530000000001</v>
      </c>
    </row>
    <row r="1244" spans="2:11">
      <c r="B1244" s="805" t="str">
        <f t="shared" si="24"/>
        <v>Thu</v>
      </c>
      <c r="C1244" s="825">
        <v>43370</v>
      </c>
      <c r="D1244" s="831">
        <v>45.88</v>
      </c>
      <c r="E1244" s="831">
        <v>66.849999999999994</v>
      </c>
      <c r="F1244" s="831">
        <v>32.590000000000003</v>
      </c>
      <c r="G1244" s="831">
        <v>8.67799718374431</v>
      </c>
      <c r="H1244" s="831">
        <v>246.45</v>
      </c>
      <c r="I1244" s="831">
        <v>44.99</v>
      </c>
      <c r="J1244" s="831">
        <v>2914</v>
      </c>
      <c r="K1244" s="831">
        <v>8041.9679999999998</v>
      </c>
    </row>
    <row r="1245" spans="2:11">
      <c r="B1245" s="805" t="str">
        <f t="shared" si="24"/>
        <v>Wed</v>
      </c>
      <c r="C1245" s="825">
        <v>43369</v>
      </c>
      <c r="D1245" s="831">
        <v>45.7</v>
      </c>
      <c r="E1245" s="831">
        <v>66.73</v>
      </c>
      <c r="F1245" s="831">
        <v>32.19</v>
      </c>
      <c r="G1245" s="831">
        <v>8.5928583075167104</v>
      </c>
      <c r="H1245" s="831">
        <v>245.43</v>
      </c>
      <c r="I1245" s="831">
        <v>44.35</v>
      </c>
      <c r="J1245" s="831">
        <v>2905.97</v>
      </c>
      <c r="K1245" s="831">
        <v>7990.366</v>
      </c>
    </row>
    <row r="1246" spans="2:11">
      <c r="B1246" s="805" t="str">
        <f t="shared" si="24"/>
        <v>Tue</v>
      </c>
      <c r="C1246" s="825">
        <v>43368</v>
      </c>
      <c r="D1246" s="831">
        <v>45.91</v>
      </c>
      <c r="E1246" s="831">
        <v>67.102500000000006</v>
      </c>
      <c r="F1246" s="831">
        <v>32.57</v>
      </c>
      <c r="G1246" s="831">
        <v>8.5931385337855506</v>
      </c>
      <c r="H1246" s="831">
        <v>247.65</v>
      </c>
      <c r="I1246" s="831">
        <v>44.64</v>
      </c>
      <c r="J1246" s="831">
        <v>2915.56</v>
      </c>
      <c r="K1246" s="831">
        <v>8007.4709999999995</v>
      </c>
    </row>
    <row r="1247" spans="2:11">
      <c r="B1247" s="805" t="str">
        <f t="shared" si="24"/>
        <v>Mon</v>
      </c>
      <c r="C1247" s="825">
        <v>43367</v>
      </c>
      <c r="D1247" s="831">
        <v>46.91</v>
      </c>
      <c r="E1247" s="831">
        <v>66.424999999999997</v>
      </c>
      <c r="F1247" s="831">
        <v>32.61</v>
      </c>
      <c r="G1247" s="831">
        <v>8.5351524250930204</v>
      </c>
      <c r="H1247" s="831">
        <v>249.45</v>
      </c>
      <c r="I1247" s="831">
        <v>45.16</v>
      </c>
      <c r="J1247" s="831">
        <v>2919.37</v>
      </c>
      <c r="K1247" s="831">
        <v>7993.2479999999996</v>
      </c>
    </row>
    <row r="1248" spans="2:11">
      <c r="B1248" s="805" t="str">
        <f t="shared" si="24"/>
        <v>Sun</v>
      </c>
      <c r="C1248" s="825">
        <v>43366</v>
      </c>
      <c r="D1248" s="831">
        <v>46.66</v>
      </c>
      <c r="E1248" s="831">
        <v>65.862499999999997</v>
      </c>
      <c r="F1248" s="831">
        <v>31.02</v>
      </c>
      <c r="G1248" s="831">
        <v>8.5351524250930204</v>
      </c>
      <c r="H1248" s="831">
        <v>248.1</v>
      </c>
      <c r="I1248" s="831">
        <v>44.74</v>
      </c>
      <c r="J1248" s="831">
        <v>2929.67</v>
      </c>
      <c r="K1248" s="831">
        <v>7986.9549999999999</v>
      </c>
    </row>
    <row r="1249" spans="2:11">
      <c r="B1249" s="805" t="str">
        <f t="shared" si="24"/>
        <v>Sat</v>
      </c>
      <c r="C1249" s="825">
        <v>43365</v>
      </c>
      <c r="D1249" s="831">
        <v>46.66</v>
      </c>
      <c r="E1249" s="831">
        <v>65.862499999999997</v>
      </c>
      <c r="F1249" s="831">
        <v>31.02</v>
      </c>
      <c r="G1249" s="831">
        <v>8.5351524250930204</v>
      </c>
      <c r="H1249" s="831">
        <v>248.1</v>
      </c>
      <c r="I1249" s="831">
        <v>44.74</v>
      </c>
      <c r="J1249" s="831">
        <v>2929.67</v>
      </c>
      <c r="K1249" s="831">
        <v>7986.9549999999999</v>
      </c>
    </row>
    <row r="1250" spans="2:11">
      <c r="B1250" s="805" t="str">
        <f t="shared" si="24"/>
        <v>Fri</v>
      </c>
      <c r="C1250" s="825">
        <v>43364</v>
      </c>
      <c r="D1250" s="831">
        <v>46.66</v>
      </c>
      <c r="E1250" s="831">
        <v>65.862499999999997</v>
      </c>
      <c r="F1250" s="831">
        <v>31.02</v>
      </c>
      <c r="G1250" s="831">
        <v>8.5351524250930204</v>
      </c>
      <c r="H1250" s="831">
        <v>248.1</v>
      </c>
      <c r="I1250" s="831">
        <v>44.74</v>
      </c>
      <c r="J1250" s="831">
        <v>2929.67</v>
      </c>
      <c r="K1250" s="831">
        <v>7986.9549999999999</v>
      </c>
    </row>
    <row r="1251" spans="2:11">
      <c r="B1251" s="805" t="str">
        <f t="shared" si="24"/>
        <v>Thu</v>
      </c>
      <c r="C1251" s="825">
        <v>43363</v>
      </c>
      <c r="D1251" s="831">
        <v>47.2</v>
      </c>
      <c r="E1251" s="831">
        <v>66.569999999999993</v>
      </c>
      <c r="F1251" s="831">
        <v>31.18</v>
      </c>
      <c r="G1251" s="831">
        <v>8.4632661697210398</v>
      </c>
      <c r="H1251" s="831">
        <v>244.93</v>
      </c>
      <c r="I1251" s="831">
        <v>46.06</v>
      </c>
      <c r="J1251" s="831">
        <v>2930.75</v>
      </c>
      <c r="K1251" s="831">
        <v>8028.232</v>
      </c>
    </row>
    <row r="1252" spans="2:11">
      <c r="B1252" s="805" t="str">
        <f t="shared" si="24"/>
        <v>Wed</v>
      </c>
      <c r="C1252" s="825">
        <v>43362</v>
      </c>
      <c r="D1252" s="831">
        <v>46.15</v>
      </c>
      <c r="E1252" s="831">
        <v>67.995000000000005</v>
      </c>
      <c r="F1252" s="831">
        <v>31.21</v>
      </c>
      <c r="G1252" s="831">
        <v>8.3935194222135507</v>
      </c>
      <c r="H1252" s="831">
        <v>241.79</v>
      </c>
      <c r="I1252" s="831">
        <v>45.06</v>
      </c>
      <c r="J1252" s="831">
        <v>2907.95</v>
      </c>
      <c r="K1252" s="831">
        <v>7950.0379999999996</v>
      </c>
    </row>
    <row r="1253" spans="2:11">
      <c r="B1253" s="805" t="str">
        <f t="shared" si="24"/>
        <v>Tue</v>
      </c>
      <c r="C1253" s="825">
        <v>43361</v>
      </c>
      <c r="D1253" s="831">
        <v>46.1</v>
      </c>
      <c r="E1253" s="831">
        <v>67.754999999999995</v>
      </c>
      <c r="F1253" s="831">
        <v>31.93</v>
      </c>
      <c r="G1253" s="831">
        <v>8.2686247116540503</v>
      </c>
      <c r="H1253" s="831">
        <v>239.73</v>
      </c>
      <c r="I1253" s="831">
        <v>45.33</v>
      </c>
      <c r="J1253" s="831">
        <v>2904.31</v>
      </c>
      <c r="K1253" s="831">
        <v>7956.107</v>
      </c>
    </row>
    <row r="1254" spans="2:11">
      <c r="B1254" s="805" t="str">
        <f t="shared" si="24"/>
        <v>Mon</v>
      </c>
      <c r="C1254" s="825">
        <v>43360</v>
      </c>
      <c r="D1254" s="831">
        <v>45.42</v>
      </c>
      <c r="E1254" s="831">
        <v>68.482500000000002</v>
      </c>
      <c r="F1254" s="831">
        <v>32.43</v>
      </c>
      <c r="G1254" s="831">
        <v>8.3785275874387004</v>
      </c>
      <c r="H1254" s="831">
        <v>234.83</v>
      </c>
      <c r="I1254" s="831">
        <v>43.58</v>
      </c>
      <c r="J1254" s="831">
        <v>2888.8</v>
      </c>
      <c r="K1254" s="831">
        <v>7895.7920000000004</v>
      </c>
    </row>
    <row r="1255" spans="2:11">
      <c r="B1255" s="805" t="str">
        <f t="shared" si="24"/>
        <v>Sun</v>
      </c>
      <c r="C1255" s="825">
        <v>43359</v>
      </c>
      <c r="D1255" s="831">
        <v>45.54</v>
      </c>
      <c r="E1255" s="831">
        <v>69.107500000000002</v>
      </c>
      <c r="F1255" s="831">
        <v>32.72</v>
      </c>
      <c r="G1255" s="831">
        <v>8.4858731345709906</v>
      </c>
      <c r="H1255" s="831">
        <v>236.34</v>
      </c>
      <c r="I1255" s="831">
        <v>44.3</v>
      </c>
      <c r="J1255" s="831">
        <v>2904.98</v>
      </c>
      <c r="K1255" s="831">
        <v>8010.0439999999999</v>
      </c>
    </row>
    <row r="1256" spans="2:11">
      <c r="B1256" s="805" t="str">
        <f t="shared" si="24"/>
        <v>Sat</v>
      </c>
      <c r="C1256" s="825">
        <v>43358</v>
      </c>
      <c r="D1256" s="831">
        <v>45.54</v>
      </c>
      <c r="E1256" s="831">
        <v>69.107500000000002</v>
      </c>
      <c r="F1256" s="831">
        <v>32.72</v>
      </c>
      <c r="G1256" s="831">
        <v>8.4858731345709906</v>
      </c>
      <c r="H1256" s="831">
        <v>236.34</v>
      </c>
      <c r="I1256" s="831">
        <v>44.3</v>
      </c>
      <c r="J1256" s="831">
        <v>2904.98</v>
      </c>
      <c r="K1256" s="831">
        <v>8010.0439999999999</v>
      </c>
    </row>
    <row r="1257" spans="2:11">
      <c r="B1257" s="805" t="str">
        <f t="shared" si="24"/>
        <v>Fri</v>
      </c>
      <c r="C1257" s="825">
        <v>43357</v>
      </c>
      <c r="D1257" s="831">
        <v>45.54</v>
      </c>
      <c r="E1257" s="831">
        <v>69.107500000000002</v>
      </c>
      <c r="F1257" s="831">
        <v>32.72</v>
      </c>
      <c r="G1257" s="831">
        <v>8.4858731345709906</v>
      </c>
      <c r="H1257" s="831">
        <v>236.34</v>
      </c>
      <c r="I1257" s="831">
        <v>44.3</v>
      </c>
      <c r="J1257" s="831">
        <v>2904.98</v>
      </c>
      <c r="K1257" s="831">
        <v>8010.0439999999999</v>
      </c>
    </row>
    <row r="1258" spans="2:11">
      <c r="B1258" s="805" t="str">
        <f t="shared" si="24"/>
        <v>Thu</v>
      </c>
      <c r="C1258" s="825">
        <v>43356</v>
      </c>
      <c r="D1258" s="831">
        <v>45.57</v>
      </c>
      <c r="E1258" s="831">
        <v>67.834999999999994</v>
      </c>
      <c r="F1258" s="831">
        <v>30.48</v>
      </c>
      <c r="G1258" s="831">
        <v>8.3013217006315507</v>
      </c>
      <c r="H1258" s="831">
        <v>235.42</v>
      </c>
      <c r="I1258" s="831">
        <v>43.62</v>
      </c>
      <c r="J1258" s="831">
        <v>2904.18</v>
      </c>
      <c r="K1258" s="831">
        <v>8013.71</v>
      </c>
    </row>
    <row r="1259" spans="2:11">
      <c r="B1259" s="805" t="str">
        <f t="shared" si="24"/>
        <v>Wed</v>
      </c>
      <c r="C1259" s="825">
        <v>43355</v>
      </c>
      <c r="D1259" s="831">
        <v>44.93</v>
      </c>
      <c r="E1259" s="831">
        <v>67.05</v>
      </c>
      <c r="F1259" s="831">
        <v>32.21</v>
      </c>
      <c r="G1259" s="831">
        <v>8.4834076920571899</v>
      </c>
      <c r="H1259" s="831">
        <v>229.89</v>
      </c>
      <c r="I1259" s="831">
        <v>41.74</v>
      </c>
      <c r="J1259" s="831">
        <v>2888.92</v>
      </c>
      <c r="K1259" s="831">
        <v>7954.2290000000003</v>
      </c>
    </row>
    <row r="1260" spans="2:11">
      <c r="B1260" s="805" t="str">
        <f t="shared" si="24"/>
        <v>Tue</v>
      </c>
      <c r="C1260" s="825">
        <v>43354</v>
      </c>
      <c r="D1260" s="831">
        <v>44.93</v>
      </c>
      <c r="E1260" s="831">
        <v>68.2</v>
      </c>
      <c r="F1260" s="831">
        <v>30.1</v>
      </c>
      <c r="G1260" s="831">
        <v>8.4432032214067707</v>
      </c>
      <c r="H1260" s="831">
        <v>232.55</v>
      </c>
      <c r="I1260" s="831">
        <v>43.6</v>
      </c>
      <c r="J1260" s="831">
        <v>2887.89</v>
      </c>
      <c r="K1260" s="831">
        <v>7972.4740000000002</v>
      </c>
    </row>
    <row r="1261" spans="2:11">
      <c r="B1261" s="805" t="str">
        <f t="shared" si="24"/>
        <v>Mon</v>
      </c>
      <c r="C1261" s="825">
        <v>43353</v>
      </c>
      <c r="D1261" s="831">
        <v>46.3</v>
      </c>
      <c r="E1261" s="831">
        <v>68.682500000000005</v>
      </c>
      <c r="F1261" s="831">
        <v>29.89</v>
      </c>
      <c r="G1261" s="831">
        <v>8.5834820704202492</v>
      </c>
      <c r="H1261" s="831">
        <v>240.61</v>
      </c>
      <c r="I1261" s="831">
        <v>44.9</v>
      </c>
      <c r="J1261" s="831">
        <v>2877.13</v>
      </c>
      <c r="K1261" s="831">
        <v>7924.16</v>
      </c>
    </row>
    <row r="1262" spans="2:11">
      <c r="B1262" s="805" t="str">
        <f t="shared" si="24"/>
        <v>Sun</v>
      </c>
      <c r="C1262" s="825">
        <v>43352</v>
      </c>
      <c r="D1262" s="831">
        <v>46.45</v>
      </c>
      <c r="E1262" s="831">
        <v>67.965000000000003</v>
      </c>
      <c r="F1262" s="831">
        <v>27.38</v>
      </c>
      <c r="G1262" s="831">
        <v>8.5672562063929902</v>
      </c>
      <c r="H1262" s="831">
        <v>232.58</v>
      </c>
      <c r="I1262" s="831">
        <v>44.86</v>
      </c>
      <c r="J1262" s="831">
        <v>2871.68</v>
      </c>
      <c r="K1262" s="831">
        <v>7902.5410000000002</v>
      </c>
    </row>
    <row r="1263" spans="2:11">
      <c r="C1263" s="861">
        <v>43351</v>
      </c>
      <c r="D1263" s="805">
        <v>46.45</v>
      </c>
      <c r="E1263" s="805">
        <v>67.965000000000003</v>
      </c>
      <c r="F1263" s="806">
        <v>27.38</v>
      </c>
      <c r="G1263" s="805">
        <v>8.5672562063929902</v>
      </c>
      <c r="H1263" s="805">
        <v>232.58</v>
      </c>
      <c r="I1263" s="805">
        <v>44.86</v>
      </c>
      <c r="J1263" s="805">
        <v>2871.68</v>
      </c>
      <c r="K1263" s="805">
        <v>7902.5410000000002</v>
      </c>
    </row>
    <row r="1264" spans="2:11">
      <c r="C1264" s="861">
        <v>43350</v>
      </c>
      <c r="D1264" s="805">
        <v>46.45</v>
      </c>
      <c r="E1264" s="805">
        <v>67.965000000000003</v>
      </c>
      <c r="F1264" s="806">
        <v>27.38</v>
      </c>
      <c r="G1264" s="805">
        <v>8.5672562063929902</v>
      </c>
      <c r="H1264" s="805">
        <v>232.58</v>
      </c>
      <c r="I1264" s="805">
        <v>44.86</v>
      </c>
      <c r="J1264" s="805">
        <v>2871.68</v>
      </c>
      <c r="K1264" s="805">
        <v>7902.5410000000002</v>
      </c>
    </row>
    <row r="1265" spans="3:11">
      <c r="C1265" s="861">
        <v>43349</v>
      </c>
      <c r="D1265" s="805">
        <v>47.26</v>
      </c>
      <c r="E1265" s="805">
        <v>68.180000000000007</v>
      </c>
      <c r="F1265" s="806">
        <v>27.84</v>
      </c>
      <c r="G1265" s="805">
        <v>8.4822879428014293</v>
      </c>
      <c r="H1265" s="805">
        <v>215.97</v>
      </c>
      <c r="I1265" s="805">
        <v>44.65</v>
      </c>
      <c r="J1265" s="805">
        <v>2878.05</v>
      </c>
      <c r="K1265" s="805">
        <v>7922.7259999999997</v>
      </c>
    </row>
    <row r="1266" spans="3:11">
      <c r="C1266" s="861">
        <v>43348</v>
      </c>
      <c r="D1266" s="805">
        <v>47.72</v>
      </c>
      <c r="E1266" s="805">
        <v>69.605000000000004</v>
      </c>
      <c r="F1266" s="806">
        <v>28.51</v>
      </c>
      <c r="G1266" s="805">
        <v>8.5806220951018997</v>
      </c>
      <c r="H1266" s="805">
        <v>221.42</v>
      </c>
      <c r="I1266" s="805">
        <v>49.54</v>
      </c>
      <c r="J1266" s="805">
        <v>2888.6</v>
      </c>
      <c r="K1266" s="805">
        <v>7995.1729999999998</v>
      </c>
    </row>
    <row r="1267" spans="3:11">
      <c r="C1267" s="861">
        <v>43347</v>
      </c>
      <c r="D1267" s="805">
        <v>47.96</v>
      </c>
      <c r="E1267" s="805">
        <v>70.924999999999997</v>
      </c>
      <c r="F1267" s="806">
        <v>28.06</v>
      </c>
      <c r="G1267" s="805">
        <v>8.37316684551101</v>
      </c>
      <c r="H1267" s="805">
        <v>219.43</v>
      </c>
      <c r="I1267" s="805">
        <v>51.93</v>
      </c>
      <c r="J1267" s="805">
        <v>2896.72</v>
      </c>
      <c r="K1267" s="805">
        <v>8091.2460000000001</v>
      </c>
    </row>
    <row r="1268" spans="3:11">
      <c r="C1268" s="861">
        <v>43346</v>
      </c>
      <c r="D1268" s="805">
        <v>48.43</v>
      </c>
      <c r="E1268" s="805">
        <v>70.17</v>
      </c>
      <c r="F1268" s="806">
        <v>25.17</v>
      </c>
      <c r="G1268" s="805">
        <v>8.36888208668468</v>
      </c>
      <c r="H1268" s="805">
        <v>219.03</v>
      </c>
      <c r="I1268" s="805">
        <v>52.52</v>
      </c>
      <c r="J1268" s="805">
        <v>2901.52</v>
      </c>
      <c r="K1268" s="805">
        <v>8109.5370000000003</v>
      </c>
    </row>
    <row r="1269" spans="3:11">
      <c r="C1269" s="861">
        <v>43345</v>
      </c>
      <c r="D1269" s="805">
        <v>48.43</v>
      </c>
      <c r="E1269" s="805">
        <v>70.17</v>
      </c>
      <c r="F1269" s="806">
        <v>25.17</v>
      </c>
      <c r="G1269" s="805">
        <v>8.3461024353666105</v>
      </c>
      <c r="H1269" s="805">
        <v>219.03</v>
      </c>
      <c r="I1269" s="805">
        <v>52.52</v>
      </c>
      <c r="J1269" s="805">
        <v>2901.52</v>
      </c>
      <c r="K1269" s="805">
        <v>8109.5370000000003</v>
      </c>
    </row>
    <row r="1270" spans="3:11">
      <c r="C1270" s="861">
        <v>43344</v>
      </c>
      <c r="D1270" s="805">
        <v>48.43</v>
      </c>
      <c r="E1270" s="805">
        <v>70.17</v>
      </c>
      <c r="F1270" s="806">
        <v>25.17</v>
      </c>
      <c r="G1270" s="805">
        <v>8.3461024353666105</v>
      </c>
      <c r="H1270" s="805">
        <v>219.03</v>
      </c>
      <c r="I1270" s="805">
        <v>52.52</v>
      </c>
      <c r="J1270" s="805">
        <v>2901.52</v>
      </c>
      <c r="K1270" s="805">
        <v>8109.5370000000003</v>
      </c>
    </row>
    <row r="1271" spans="3:11">
      <c r="C1271" s="861">
        <v>43343</v>
      </c>
      <c r="D1271" s="805">
        <v>48.43</v>
      </c>
      <c r="E1271" s="805">
        <v>70.17</v>
      </c>
      <c r="F1271" s="806">
        <v>25.17</v>
      </c>
      <c r="G1271" s="805">
        <v>8.3461024353666105</v>
      </c>
      <c r="H1271" s="805">
        <v>219.03</v>
      </c>
      <c r="I1271" s="805">
        <v>52.52</v>
      </c>
      <c r="J1271" s="805">
        <v>2901.52</v>
      </c>
      <c r="K1271" s="805">
        <v>8109.5370000000003</v>
      </c>
    </row>
    <row r="1272" spans="3:11">
      <c r="C1272" s="861">
        <v>43342</v>
      </c>
      <c r="D1272" s="805">
        <v>48.24</v>
      </c>
      <c r="E1272" s="805">
        <v>69.452500000000001</v>
      </c>
      <c r="F1272" s="806">
        <v>24.89</v>
      </c>
      <c r="G1272" s="805">
        <v>8.5710568259441207</v>
      </c>
      <c r="H1272" s="805">
        <v>216.65</v>
      </c>
      <c r="I1272" s="805">
        <v>52.76</v>
      </c>
      <c r="J1272" s="805">
        <v>2901.13</v>
      </c>
      <c r="K1272" s="805">
        <v>8088.3630000000003</v>
      </c>
    </row>
    <row r="1273" spans="3:11">
      <c r="C1273" s="861">
        <v>43341</v>
      </c>
      <c r="D1273" s="805">
        <v>48.75</v>
      </c>
      <c r="E1273" s="805">
        <v>69.622500000000002</v>
      </c>
      <c r="F1273" s="806">
        <v>25.2</v>
      </c>
      <c r="G1273" s="805">
        <v>8.4397810218978098</v>
      </c>
      <c r="H1273" s="805">
        <v>214.99</v>
      </c>
      <c r="I1273" s="805">
        <v>51.83</v>
      </c>
      <c r="J1273" s="805">
        <v>2914.04</v>
      </c>
      <c r="K1273" s="805">
        <v>8109.6869999999999</v>
      </c>
    </row>
    <row r="1274" spans="3:11">
      <c r="C1274" s="861">
        <v>43340</v>
      </c>
      <c r="D1274" s="805">
        <v>48.57</v>
      </c>
      <c r="E1274" s="805">
        <v>68.594999999999999</v>
      </c>
      <c r="F1274" s="806">
        <v>25.05</v>
      </c>
      <c r="G1274" s="805">
        <v>8.1296839361355495</v>
      </c>
      <c r="H1274" s="805">
        <v>214.43</v>
      </c>
      <c r="I1274" s="805">
        <v>52.34</v>
      </c>
      <c r="J1274" s="805">
        <v>2897.52</v>
      </c>
      <c r="K1274" s="805">
        <v>8030.0379999999996</v>
      </c>
    </row>
    <row r="1275" spans="3:11">
      <c r="C1275" s="861">
        <v>43339</v>
      </c>
      <c r="D1275" s="805">
        <v>48.35</v>
      </c>
      <c r="E1275" s="805">
        <v>68.974999999999994</v>
      </c>
      <c r="F1275" s="806">
        <v>25.26</v>
      </c>
      <c r="G1275" s="805">
        <v>7.9882621454189797</v>
      </c>
      <c r="H1275" s="805">
        <v>212.97</v>
      </c>
      <c r="I1275" s="805">
        <v>52.07</v>
      </c>
      <c r="J1275" s="805">
        <v>2896.74</v>
      </c>
      <c r="K1275" s="805">
        <v>8017.8950000000004</v>
      </c>
    </row>
    <row r="1276" spans="3:11">
      <c r="C1276" s="861">
        <v>43338</v>
      </c>
      <c r="D1276" s="805">
        <v>47.66</v>
      </c>
      <c r="E1276" s="805">
        <v>68.055000000000007</v>
      </c>
      <c r="F1276" s="806">
        <v>23.98</v>
      </c>
      <c r="G1276" s="805">
        <v>7.9411668786485299</v>
      </c>
      <c r="H1276" s="805">
        <v>209</v>
      </c>
      <c r="I1276" s="805">
        <v>50.7</v>
      </c>
      <c r="J1276" s="805">
        <v>2874.69</v>
      </c>
      <c r="K1276" s="805">
        <v>7945.9750000000004</v>
      </c>
    </row>
    <row r="1277" spans="3:11">
      <c r="C1277" s="861">
        <v>43337</v>
      </c>
      <c r="D1277" s="805">
        <v>47.66</v>
      </c>
      <c r="E1277" s="805">
        <v>68.055000000000007</v>
      </c>
      <c r="F1277" s="806">
        <v>23.98</v>
      </c>
      <c r="G1277" s="805">
        <v>7.9411668786485299</v>
      </c>
      <c r="H1277" s="805">
        <v>209</v>
      </c>
      <c r="I1277" s="805">
        <v>50.7</v>
      </c>
      <c r="J1277" s="805">
        <v>2874.69</v>
      </c>
      <c r="K1277" s="805">
        <v>7945.9750000000004</v>
      </c>
    </row>
    <row r="1278" spans="3:11">
      <c r="C1278" s="861">
        <v>43336</v>
      </c>
      <c r="D1278" s="805">
        <v>47.66</v>
      </c>
      <c r="E1278" s="805">
        <v>68.055000000000007</v>
      </c>
      <c r="F1278" s="806">
        <v>23.98</v>
      </c>
      <c r="G1278" s="805">
        <v>7.9411668786485299</v>
      </c>
      <c r="H1278" s="805">
        <v>209</v>
      </c>
      <c r="I1278" s="805">
        <v>50.7</v>
      </c>
      <c r="J1278" s="805">
        <v>2874.69</v>
      </c>
      <c r="K1278" s="805">
        <v>7945.9750000000004</v>
      </c>
    </row>
    <row r="1279" spans="3:11">
      <c r="C1279" s="861">
        <v>43335</v>
      </c>
      <c r="D1279" s="805">
        <v>46.98</v>
      </c>
      <c r="E1279" s="805">
        <v>66.709999999999994</v>
      </c>
      <c r="F1279" s="806">
        <v>22.29</v>
      </c>
      <c r="G1279" s="805">
        <v>7.9339325696855596</v>
      </c>
      <c r="H1279" s="805">
        <v>205.59</v>
      </c>
      <c r="I1279" s="805">
        <v>49.7</v>
      </c>
      <c r="J1279" s="805">
        <v>2856.98</v>
      </c>
      <c r="K1279" s="805">
        <v>7878.4579999999996</v>
      </c>
    </row>
    <row r="1280" spans="3:11">
      <c r="C1280" s="861">
        <v>43334</v>
      </c>
      <c r="D1280" s="805">
        <v>47.05</v>
      </c>
      <c r="E1280" s="805">
        <v>65.704999999999998</v>
      </c>
      <c r="F1280" s="806">
        <v>20.9</v>
      </c>
      <c r="G1280" s="805">
        <v>7.89430761702822</v>
      </c>
      <c r="H1280" s="805">
        <v>207.54</v>
      </c>
      <c r="I1280" s="805">
        <v>50.24</v>
      </c>
      <c r="J1280" s="805">
        <v>2861.82</v>
      </c>
      <c r="K1280" s="805">
        <v>7889.0969999999998</v>
      </c>
    </row>
    <row r="1281" spans="3:11">
      <c r="C1281" s="861">
        <v>43333</v>
      </c>
      <c r="D1281" s="805">
        <v>47.62</v>
      </c>
      <c r="E1281" s="805">
        <v>63.33</v>
      </c>
      <c r="F1281" s="806">
        <v>20.399999999999999</v>
      </c>
      <c r="G1281" s="805">
        <v>7.8624559571969197</v>
      </c>
      <c r="H1281" s="805">
        <v>210.51</v>
      </c>
      <c r="I1281" s="805">
        <v>49.94</v>
      </c>
      <c r="J1281" s="805">
        <v>2862.96</v>
      </c>
      <c r="K1281" s="805">
        <v>7859.1729999999998</v>
      </c>
    </row>
    <row r="1282" spans="3:11">
      <c r="C1282" s="861">
        <v>43332</v>
      </c>
      <c r="D1282" s="805">
        <v>46.5</v>
      </c>
      <c r="E1282" s="805">
        <v>61.96</v>
      </c>
      <c r="F1282" s="806">
        <v>19.98</v>
      </c>
      <c r="G1282" s="805">
        <v>7.7995245383788703</v>
      </c>
      <c r="H1282" s="805">
        <v>206.72</v>
      </c>
      <c r="I1282" s="805">
        <v>48.07</v>
      </c>
      <c r="J1282" s="805">
        <v>2857.05</v>
      </c>
      <c r="K1282" s="805">
        <v>7821.0060000000003</v>
      </c>
    </row>
    <row r="1283" spans="3:11">
      <c r="C1283" s="861">
        <v>43331</v>
      </c>
      <c r="D1283" s="805">
        <v>47.1</v>
      </c>
      <c r="E1283" s="805">
        <v>61.204999999999998</v>
      </c>
      <c r="F1283" s="806">
        <v>19.77</v>
      </c>
      <c r="G1283" s="805">
        <v>7.7987626180397296</v>
      </c>
      <c r="H1283" s="805">
        <v>209.27</v>
      </c>
      <c r="I1283" s="805">
        <v>47.11</v>
      </c>
      <c r="J1283" s="805">
        <v>2850.13</v>
      </c>
      <c r="K1283" s="805">
        <v>7816.33</v>
      </c>
    </row>
    <row r="1284" spans="3:11">
      <c r="C1284" s="861">
        <v>43330</v>
      </c>
      <c r="D1284" s="805">
        <v>47.1</v>
      </c>
      <c r="E1284" s="805">
        <v>61.204999999999998</v>
      </c>
      <c r="F1284" s="806">
        <v>19.77</v>
      </c>
      <c r="G1284" s="805">
        <v>7.7987626180397296</v>
      </c>
      <c r="H1284" s="805">
        <v>209.27</v>
      </c>
      <c r="I1284" s="805">
        <v>47.11</v>
      </c>
      <c r="J1284" s="805">
        <v>2850.13</v>
      </c>
      <c r="K1284" s="805">
        <v>7816.33</v>
      </c>
    </row>
    <row r="1285" spans="3:11">
      <c r="C1285" s="861">
        <v>43329</v>
      </c>
      <c r="D1285" s="805">
        <v>47.1</v>
      </c>
      <c r="E1285" s="805">
        <v>61.204999999999998</v>
      </c>
      <c r="F1285" s="806">
        <v>19.77</v>
      </c>
      <c r="G1285" s="805">
        <v>7.7987626180397296</v>
      </c>
      <c r="H1285" s="805">
        <v>209.27</v>
      </c>
      <c r="I1285" s="805">
        <v>47.11</v>
      </c>
      <c r="J1285" s="805">
        <v>2850.13</v>
      </c>
      <c r="K1285" s="805">
        <v>7816.33</v>
      </c>
    </row>
    <row r="1286" spans="3:11">
      <c r="C1286" s="861">
        <v>43328</v>
      </c>
      <c r="D1286" s="805">
        <v>47.17</v>
      </c>
      <c r="E1286" s="805">
        <v>64.36</v>
      </c>
      <c r="F1286" s="806">
        <v>19.329999999999998</v>
      </c>
      <c r="G1286" s="805">
        <v>7.7731160763651701</v>
      </c>
      <c r="H1286" s="805">
        <v>208.69</v>
      </c>
      <c r="I1286" s="805">
        <v>47.1</v>
      </c>
      <c r="J1286" s="805">
        <v>2840.69</v>
      </c>
      <c r="K1286" s="805">
        <v>7806.5240000000003</v>
      </c>
    </row>
    <row r="1287" spans="3:11">
      <c r="C1287" s="861">
        <v>43327</v>
      </c>
      <c r="D1287" s="805">
        <v>47.46</v>
      </c>
      <c r="E1287" s="805">
        <v>64.77</v>
      </c>
      <c r="F1287" s="806">
        <v>19.7</v>
      </c>
      <c r="G1287" s="805">
        <v>7.8205958549222796</v>
      </c>
      <c r="H1287" s="805">
        <v>206.58</v>
      </c>
      <c r="I1287" s="805">
        <v>47.49</v>
      </c>
      <c r="J1287" s="805">
        <v>2818.37</v>
      </c>
      <c r="K1287" s="805">
        <v>7774.1180000000004</v>
      </c>
    </row>
    <row r="1288" spans="3:11">
      <c r="C1288" s="861">
        <v>43326</v>
      </c>
      <c r="D1288" s="805">
        <v>48.12</v>
      </c>
      <c r="E1288" s="805">
        <v>65.357500000000002</v>
      </c>
      <c r="F1288" s="806">
        <v>20.02</v>
      </c>
      <c r="G1288" s="805">
        <v>7.9032781564427097</v>
      </c>
      <c r="H1288" s="805">
        <v>207.3</v>
      </c>
      <c r="I1288" s="805">
        <v>50.62</v>
      </c>
      <c r="J1288" s="805">
        <v>2839.96</v>
      </c>
      <c r="K1288" s="805">
        <v>7870.8940000000002</v>
      </c>
    </row>
    <row r="1289" spans="3:11">
      <c r="C1289" s="861">
        <v>43325</v>
      </c>
      <c r="D1289" s="805">
        <v>48.45</v>
      </c>
      <c r="E1289" s="805">
        <v>64.03</v>
      </c>
      <c r="F1289" s="806">
        <v>19.73</v>
      </c>
      <c r="G1289" s="805">
        <v>7.7970497649538002</v>
      </c>
      <c r="H1289" s="805">
        <v>211.08</v>
      </c>
      <c r="I1289" s="805">
        <v>51.34</v>
      </c>
      <c r="J1289" s="805">
        <v>2821.93</v>
      </c>
      <c r="K1289" s="805">
        <v>7819.7060000000001</v>
      </c>
    </row>
    <row r="1290" spans="3:11">
      <c r="C1290" s="861">
        <v>43324</v>
      </c>
      <c r="D1290" s="805">
        <v>48.85</v>
      </c>
      <c r="E1290" s="805">
        <v>63.697499999999998</v>
      </c>
      <c r="F1290" s="806">
        <v>19.059999999999999</v>
      </c>
      <c r="G1290" s="805">
        <v>7.9724057140997697</v>
      </c>
      <c r="H1290" s="805">
        <v>212.23</v>
      </c>
      <c r="I1290" s="805">
        <v>51.37</v>
      </c>
      <c r="J1290" s="805">
        <v>2833.28</v>
      </c>
      <c r="K1290" s="805">
        <v>7839.11</v>
      </c>
    </row>
    <row r="1291" spans="3:11">
      <c r="C1291" s="861">
        <v>43323</v>
      </c>
      <c r="D1291" s="805">
        <v>48.85</v>
      </c>
      <c r="E1291" s="805">
        <v>63.697499999999998</v>
      </c>
      <c r="F1291" s="806">
        <v>19.059999999999999</v>
      </c>
      <c r="G1291" s="805">
        <v>7.9724057140997697</v>
      </c>
      <c r="H1291" s="805">
        <v>212.23</v>
      </c>
      <c r="I1291" s="805">
        <v>51.37</v>
      </c>
      <c r="J1291" s="805">
        <v>2833.28</v>
      </c>
      <c r="K1291" s="805">
        <v>7839.11</v>
      </c>
    </row>
    <row r="1292" spans="3:11">
      <c r="C1292" s="861">
        <v>43322</v>
      </c>
      <c r="D1292" s="805">
        <v>48.85</v>
      </c>
      <c r="E1292" s="805">
        <v>63.697499999999998</v>
      </c>
      <c r="F1292" s="806">
        <v>19.059999999999999</v>
      </c>
      <c r="G1292" s="805">
        <v>7.9724057140997697</v>
      </c>
      <c r="H1292" s="805">
        <v>212.23</v>
      </c>
      <c r="I1292" s="805">
        <v>51.37</v>
      </c>
      <c r="J1292" s="805">
        <v>2833.28</v>
      </c>
      <c r="K1292" s="805">
        <v>7839.11</v>
      </c>
    </row>
    <row r="1293" spans="3:11">
      <c r="C1293" s="861">
        <v>43321</v>
      </c>
      <c r="D1293" s="805">
        <v>50.14</v>
      </c>
      <c r="E1293" s="805">
        <v>64.114999999999995</v>
      </c>
      <c r="F1293" s="806">
        <v>19.100000000000001</v>
      </c>
      <c r="G1293" s="805">
        <v>8.0597794165633392</v>
      </c>
      <c r="H1293" s="805">
        <v>216.58</v>
      </c>
      <c r="I1293" s="805">
        <v>52.26</v>
      </c>
      <c r="J1293" s="805">
        <v>2853.58</v>
      </c>
      <c r="K1293" s="805">
        <v>7891.7820000000002</v>
      </c>
    </row>
    <row r="1294" spans="3:11">
      <c r="C1294" s="861">
        <v>43320</v>
      </c>
      <c r="D1294" s="805">
        <v>49.96</v>
      </c>
      <c r="E1294" s="805">
        <v>64.605000000000004</v>
      </c>
      <c r="F1294" s="806">
        <v>19.579999999999998</v>
      </c>
      <c r="G1294" s="805">
        <v>8.0948487326246905</v>
      </c>
      <c r="H1294" s="805">
        <v>219.46</v>
      </c>
      <c r="I1294" s="805">
        <v>53.39</v>
      </c>
      <c r="J1294" s="805">
        <v>2857.7</v>
      </c>
      <c r="K1294" s="805">
        <v>7888.326</v>
      </c>
    </row>
    <row r="1295" spans="3:11">
      <c r="C1295" s="861">
        <v>43319</v>
      </c>
      <c r="D1295" s="805">
        <v>49.7</v>
      </c>
      <c r="E1295" s="805">
        <v>64.237499999999997</v>
      </c>
      <c r="F1295" s="806">
        <v>19.559999999999999</v>
      </c>
      <c r="G1295" s="805">
        <v>7.9068853747176098</v>
      </c>
      <c r="H1295" s="805">
        <v>220.31</v>
      </c>
      <c r="I1295" s="805">
        <v>53.04</v>
      </c>
      <c r="J1295" s="805">
        <v>2858.45</v>
      </c>
      <c r="K1295" s="805">
        <v>7883.6639999999998</v>
      </c>
    </row>
    <row r="1296" spans="3:11">
      <c r="C1296" s="861">
        <v>43318</v>
      </c>
      <c r="D1296" s="805">
        <v>49.3</v>
      </c>
      <c r="E1296" s="805">
        <v>63.5075</v>
      </c>
      <c r="F1296" s="806">
        <v>19.43</v>
      </c>
      <c r="G1296" s="805">
        <v>8.0137098090419503</v>
      </c>
      <c r="H1296" s="805">
        <v>216.95</v>
      </c>
      <c r="I1296" s="805">
        <v>52.67</v>
      </c>
      <c r="J1296" s="805">
        <v>2850.4</v>
      </c>
      <c r="K1296" s="805">
        <v>7859.6779999999999</v>
      </c>
    </row>
    <row r="1297" spans="3:11">
      <c r="C1297" s="861">
        <v>43317</v>
      </c>
      <c r="D1297" s="805">
        <v>49.63</v>
      </c>
      <c r="E1297" s="805">
        <v>63.024999999999999</v>
      </c>
      <c r="F1297" s="806">
        <v>18.489999999999998</v>
      </c>
      <c r="G1297" s="805">
        <v>8.0758541768840892</v>
      </c>
      <c r="H1297" s="805">
        <v>217.81</v>
      </c>
      <c r="I1297" s="805">
        <v>52.81</v>
      </c>
      <c r="J1297" s="805">
        <v>2840.35</v>
      </c>
      <c r="K1297" s="805">
        <v>7812.0150000000003</v>
      </c>
    </row>
    <row r="1298" spans="3:11">
      <c r="C1298" s="861">
        <v>43316</v>
      </c>
      <c r="D1298" s="805">
        <v>49.63</v>
      </c>
      <c r="E1298" s="805">
        <v>63.024999999999999</v>
      </c>
      <c r="F1298" s="806">
        <v>18.489999999999998</v>
      </c>
      <c r="G1298" s="805">
        <v>8.0758541768840892</v>
      </c>
      <c r="H1298" s="805">
        <v>217.81</v>
      </c>
      <c r="I1298" s="805">
        <v>52.81</v>
      </c>
      <c r="J1298" s="805">
        <v>2840.35</v>
      </c>
      <c r="K1298" s="805">
        <v>7812.0150000000003</v>
      </c>
    </row>
    <row r="1299" spans="3:11">
      <c r="C1299" s="861">
        <v>43315</v>
      </c>
      <c r="D1299" s="805">
        <v>49.63</v>
      </c>
      <c r="E1299" s="805">
        <v>63.024999999999999</v>
      </c>
      <c r="F1299" s="806">
        <v>18.489999999999998</v>
      </c>
      <c r="G1299" s="805">
        <v>8.0758541768840892</v>
      </c>
      <c r="H1299" s="805">
        <v>217.81</v>
      </c>
      <c r="I1299" s="805">
        <v>52.81</v>
      </c>
      <c r="J1299" s="805">
        <v>2840.35</v>
      </c>
      <c r="K1299" s="805">
        <v>7812.0150000000003</v>
      </c>
    </row>
    <row r="1300" spans="3:11">
      <c r="C1300" s="861">
        <v>43314</v>
      </c>
      <c r="D1300" s="805">
        <v>49.48</v>
      </c>
      <c r="E1300" s="805">
        <v>62.655000000000001</v>
      </c>
      <c r="F1300" s="806">
        <v>18.79</v>
      </c>
      <c r="G1300" s="805">
        <v>7.9628724963361002</v>
      </c>
      <c r="H1300" s="805">
        <v>216.35</v>
      </c>
      <c r="I1300" s="805">
        <v>53.4</v>
      </c>
      <c r="J1300" s="805">
        <v>2827.22</v>
      </c>
      <c r="K1300" s="805">
        <v>7802.6850000000004</v>
      </c>
    </row>
    <row r="1301" spans="3:11">
      <c r="C1301" s="861">
        <v>43313</v>
      </c>
      <c r="D1301" s="805">
        <v>48.81</v>
      </c>
      <c r="E1301" s="805">
        <v>61.6175</v>
      </c>
      <c r="F1301" s="806">
        <v>18.48</v>
      </c>
      <c r="G1301" s="805">
        <v>8.1016628009539104</v>
      </c>
      <c r="H1301" s="805">
        <v>216.8</v>
      </c>
      <c r="I1301" s="805">
        <v>52.29</v>
      </c>
      <c r="J1301" s="805">
        <v>2813.36</v>
      </c>
      <c r="K1301" s="805">
        <v>7707.2860000000001</v>
      </c>
    </row>
    <row r="1302" spans="3:11">
      <c r="C1302" s="861">
        <v>43312</v>
      </c>
      <c r="D1302" s="805">
        <v>48.1</v>
      </c>
      <c r="E1302" s="805">
        <v>61.215000000000003</v>
      </c>
      <c r="F1302" s="806">
        <v>18.329999999999998</v>
      </c>
      <c r="G1302" s="805">
        <v>8.0476315100759006</v>
      </c>
      <c r="H1302" s="805">
        <v>221.77</v>
      </c>
      <c r="I1302" s="805">
        <v>52.79</v>
      </c>
      <c r="J1302" s="805">
        <v>2816.29</v>
      </c>
      <c r="K1302" s="805">
        <v>7671.7889999999998</v>
      </c>
    </row>
    <row r="1303" spans="3:11">
      <c r="C1303" s="861">
        <v>43311</v>
      </c>
      <c r="D1303" s="805">
        <v>47.69</v>
      </c>
      <c r="E1303" s="805">
        <v>61.032499999999999</v>
      </c>
      <c r="F1303" s="806">
        <v>19.420000000000002</v>
      </c>
      <c r="G1303" s="805">
        <v>8.0299610767670799</v>
      </c>
      <c r="H1303" s="805">
        <v>225.19</v>
      </c>
      <c r="I1303" s="805">
        <v>53.01</v>
      </c>
      <c r="J1303" s="805">
        <v>2802.6</v>
      </c>
      <c r="K1303" s="805">
        <v>7630.0039999999999</v>
      </c>
    </row>
    <row r="1304" spans="3:11">
      <c r="C1304" s="861">
        <v>43310</v>
      </c>
      <c r="D1304" s="805">
        <v>47.68</v>
      </c>
      <c r="E1304" s="805">
        <v>63.005000000000003</v>
      </c>
      <c r="F1304" s="806">
        <v>18.940000000000001</v>
      </c>
      <c r="G1304" s="805">
        <v>8.0019636720667595</v>
      </c>
      <c r="H1304" s="805">
        <v>221.05</v>
      </c>
      <c r="I1304" s="805">
        <v>53.96</v>
      </c>
      <c r="J1304" s="805">
        <v>2818.82</v>
      </c>
      <c r="K1304" s="805">
        <v>7737.4189999999999</v>
      </c>
    </row>
    <row r="1305" spans="3:11">
      <c r="C1305" s="861">
        <v>43309</v>
      </c>
      <c r="D1305" s="805">
        <v>47.68</v>
      </c>
      <c r="E1305" s="805">
        <v>63.005000000000003</v>
      </c>
      <c r="F1305" s="806">
        <v>18.940000000000001</v>
      </c>
      <c r="G1305" s="805">
        <v>8.0019636720667595</v>
      </c>
      <c r="H1305" s="805">
        <v>221.05</v>
      </c>
      <c r="I1305" s="805">
        <v>53.96</v>
      </c>
      <c r="J1305" s="805">
        <v>2818.82</v>
      </c>
      <c r="K1305" s="805">
        <v>7737.4189999999999</v>
      </c>
    </row>
    <row r="1306" spans="3:11">
      <c r="C1306" s="861">
        <v>43308</v>
      </c>
      <c r="D1306" s="805">
        <v>47.68</v>
      </c>
      <c r="E1306" s="805">
        <v>63.005000000000003</v>
      </c>
      <c r="F1306" s="806">
        <v>18.940000000000001</v>
      </c>
      <c r="G1306" s="805">
        <v>8.0019636720667595</v>
      </c>
      <c r="H1306" s="805">
        <v>221.05</v>
      </c>
      <c r="I1306" s="805">
        <v>53.96</v>
      </c>
      <c r="J1306" s="805">
        <v>2818.82</v>
      </c>
      <c r="K1306" s="805">
        <v>7737.4189999999999</v>
      </c>
    </row>
    <row r="1307" spans="3:11">
      <c r="C1307" s="861">
        <v>43307</v>
      </c>
      <c r="D1307" s="805">
        <v>52.16</v>
      </c>
      <c r="E1307" s="805">
        <v>63.71</v>
      </c>
      <c r="F1307" s="806">
        <v>18.350000000000001</v>
      </c>
      <c r="G1307" s="805">
        <v>7.8781340917263298</v>
      </c>
      <c r="H1307" s="805">
        <v>223.18</v>
      </c>
      <c r="I1307" s="805">
        <v>53.76</v>
      </c>
      <c r="J1307" s="805">
        <v>2837.44</v>
      </c>
      <c r="K1307" s="805">
        <v>7852.1850000000004</v>
      </c>
    </row>
    <row r="1308" spans="3:11">
      <c r="C1308" s="861">
        <v>43306</v>
      </c>
      <c r="D1308" s="805">
        <v>52.43</v>
      </c>
      <c r="E1308" s="805">
        <v>62.967500000000001</v>
      </c>
      <c r="F1308" s="806">
        <v>16.05</v>
      </c>
      <c r="G1308" s="805">
        <v>7.8961192461750596</v>
      </c>
      <c r="H1308" s="805">
        <v>225.97</v>
      </c>
      <c r="I1308" s="805">
        <v>53.39</v>
      </c>
      <c r="J1308" s="805">
        <v>2846.07</v>
      </c>
      <c r="K1308" s="805">
        <v>7932.2389999999996</v>
      </c>
    </row>
    <row r="1309" spans="3:11">
      <c r="C1309" s="861">
        <v>43305</v>
      </c>
      <c r="D1309" s="805">
        <v>52.18</v>
      </c>
      <c r="E1309" s="805">
        <v>62.177500000000002</v>
      </c>
      <c r="F1309" s="806">
        <v>16.190000000000001</v>
      </c>
      <c r="G1309" s="805">
        <v>7.8740157480314998</v>
      </c>
      <c r="H1309" s="805">
        <v>217.34</v>
      </c>
      <c r="I1309" s="805">
        <v>53.17</v>
      </c>
      <c r="J1309" s="805">
        <v>2820.4</v>
      </c>
      <c r="K1309" s="805">
        <v>7840.768</v>
      </c>
    </row>
    <row r="1310" spans="3:11">
      <c r="C1310" s="861">
        <v>43304</v>
      </c>
      <c r="D1310" s="805">
        <v>52.31</v>
      </c>
      <c r="E1310" s="805">
        <v>62.352499999999999</v>
      </c>
      <c r="F1310" s="806">
        <v>16.66</v>
      </c>
      <c r="G1310" s="805">
        <v>7.8717010713352504</v>
      </c>
      <c r="H1310" s="805">
        <v>216.72</v>
      </c>
      <c r="I1310" s="805">
        <v>54.29</v>
      </c>
      <c r="J1310" s="805">
        <v>2806.98</v>
      </c>
      <c r="K1310" s="805">
        <v>7841.8729999999996</v>
      </c>
    </row>
    <row r="1311" spans="3:11">
      <c r="C1311" s="861">
        <v>43303</v>
      </c>
      <c r="D1311" s="805">
        <v>51.91</v>
      </c>
      <c r="E1311" s="805">
        <v>62.722499999999997</v>
      </c>
      <c r="F1311" s="806">
        <v>16.5</v>
      </c>
      <c r="G1311" s="805">
        <v>7.7639751552794998</v>
      </c>
      <c r="H1311" s="805">
        <v>210.33</v>
      </c>
      <c r="I1311" s="805">
        <v>55.02</v>
      </c>
      <c r="J1311" s="805">
        <v>2801.83</v>
      </c>
      <c r="K1311" s="805">
        <v>7820.1980000000003</v>
      </c>
    </row>
    <row r="1312" spans="3:11">
      <c r="C1312" s="861">
        <v>43302</v>
      </c>
      <c r="D1312" s="805">
        <v>51.91</v>
      </c>
      <c r="E1312" s="805">
        <v>62.722499999999997</v>
      </c>
      <c r="F1312" s="806">
        <v>16.5</v>
      </c>
      <c r="G1312" s="805">
        <v>7.7639751552794998</v>
      </c>
      <c r="H1312" s="805">
        <v>210.33</v>
      </c>
      <c r="I1312" s="805">
        <v>55.02</v>
      </c>
      <c r="J1312" s="805">
        <v>2801.83</v>
      </c>
      <c r="K1312" s="805">
        <v>7820.1980000000003</v>
      </c>
    </row>
    <row r="1313" spans="3:11">
      <c r="C1313" s="861">
        <v>43301</v>
      </c>
      <c r="D1313" s="805">
        <v>51.91</v>
      </c>
      <c r="E1313" s="805">
        <v>62.722499999999997</v>
      </c>
      <c r="F1313" s="806">
        <v>16.5</v>
      </c>
      <c r="G1313" s="805">
        <v>7.7639751552794998</v>
      </c>
      <c r="H1313" s="805">
        <v>210.33</v>
      </c>
      <c r="I1313" s="805">
        <v>55.02</v>
      </c>
      <c r="J1313" s="805">
        <v>2801.83</v>
      </c>
      <c r="K1313" s="805">
        <v>7820.1980000000003</v>
      </c>
    </row>
    <row r="1314" spans="3:11">
      <c r="C1314" s="861">
        <v>43300</v>
      </c>
      <c r="D1314" s="805">
        <v>51.98</v>
      </c>
      <c r="E1314" s="805">
        <v>63.0075</v>
      </c>
      <c r="F1314" s="806">
        <v>16.71</v>
      </c>
      <c r="G1314" s="805">
        <v>7.3181862633243098</v>
      </c>
      <c r="H1314" s="805">
        <v>210.37</v>
      </c>
      <c r="I1314" s="805">
        <v>56.22</v>
      </c>
      <c r="J1314" s="805">
        <v>2804.49</v>
      </c>
      <c r="K1314" s="805">
        <v>7825.2960000000003</v>
      </c>
    </row>
    <row r="1315" spans="3:11">
      <c r="C1315" s="861">
        <v>43299</v>
      </c>
      <c r="D1315" s="805">
        <v>51.72</v>
      </c>
      <c r="E1315" s="805">
        <v>62.924999999999997</v>
      </c>
      <c r="F1315" s="806">
        <v>16.850000000000001</v>
      </c>
      <c r="G1315" s="805">
        <v>7.2904406956976597</v>
      </c>
      <c r="H1315" s="805">
        <v>208.78</v>
      </c>
      <c r="I1315" s="805">
        <v>57.45</v>
      </c>
      <c r="J1315" s="805">
        <v>2815.62</v>
      </c>
      <c r="K1315" s="805">
        <v>7854.4440000000004</v>
      </c>
    </row>
    <row r="1316" spans="3:11">
      <c r="C1316" s="861">
        <v>43298</v>
      </c>
      <c r="D1316" s="805">
        <v>51.75</v>
      </c>
      <c r="E1316" s="805">
        <v>63.422499999999999</v>
      </c>
      <c r="F1316" s="806">
        <v>16.87</v>
      </c>
      <c r="G1316" s="805">
        <v>7.2544460092359104</v>
      </c>
      <c r="H1316" s="805">
        <v>208.31</v>
      </c>
      <c r="I1316" s="805">
        <v>56.96</v>
      </c>
      <c r="J1316" s="805">
        <v>2809.55</v>
      </c>
      <c r="K1316" s="805">
        <v>7855.1180000000004</v>
      </c>
    </row>
    <row r="1317" spans="3:11">
      <c r="C1317" s="861">
        <v>43297</v>
      </c>
      <c r="D1317" s="805">
        <v>52.01</v>
      </c>
      <c r="E1317" s="805">
        <v>62.05</v>
      </c>
      <c r="F1317" s="806">
        <v>16.579999999999998</v>
      </c>
      <c r="G1317" s="805">
        <v>7.3211477987421398</v>
      </c>
      <c r="H1317" s="805">
        <v>203.25</v>
      </c>
      <c r="I1317" s="805">
        <v>56.15</v>
      </c>
      <c r="J1317" s="805">
        <v>2798.43</v>
      </c>
      <c r="K1317" s="805">
        <v>7805.7190000000001</v>
      </c>
    </row>
    <row r="1318" spans="3:11">
      <c r="C1318" s="861">
        <v>43296</v>
      </c>
      <c r="D1318" s="805">
        <v>52.22</v>
      </c>
      <c r="E1318" s="805">
        <v>62.33</v>
      </c>
      <c r="F1318" s="806">
        <v>16.27</v>
      </c>
      <c r="G1318" s="805">
        <v>7.3447621540273502</v>
      </c>
      <c r="H1318" s="805">
        <v>202.46</v>
      </c>
      <c r="I1318" s="805">
        <v>56.35</v>
      </c>
      <c r="J1318" s="805">
        <v>2801.31</v>
      </c>
      <c r="K1318" s="805">
        <v>7825.9759999999997</v>
      </c>
    </row>
    <row r="1319" spans="3:11">
      <c r="C1319" s="861">
        <v>43295</v>
      </c>
      <c r="D1319" s="805">
        <v>52.22</v>
      </c>
      <c r="E1319" s="805">
        <v>62.33</v>
      </c>
      <c r="F1319" s="806">
        <v>16.27</v>
      </c>
      <c r="G1319" s="805">
        <v>7.3447621540273502</v>
      </c>
      <c r="H1319" s="805">
        <v>202.46</v>
      </c>
      <c r="I1319" s="805">
        <v>56.35</v>
      </c>
      <c r="J1319" s="805">
        <v>2801.31</v>
      </c>
      <c r="K1319" s="805">
        <v>7825.9759999999997</v>
      </c>
    </row>
    <row r="1320" spans="3:11">
      <c r="C1320" s="861">
        <v>43294</v>
      </c>
      <c r="D1320" s="805">
        <v>52.22</v>
      </c>
      <c r="E1320" s="805">
        <v>62.33</v>
      </c>
      <c r="F1320" s="806">
        <v>16.27</v>
      </c>
      <c r="G1320" s="805">
        <v>7.3447621540273502</v>
      </c>
      <c r="H1320" s="805">
        <v>202.46</v>
      </c>
      <c r="I1320" s="805">
        <v>56.35</v>
      </c>
      <c r="J1320" s="805">
        <v>2801.31</v>
      </c>
      <c r="K1320" s="805">
        <v>7825.9759999999997</v>
      </c>
    </row>
    <row r="1321" spans="3:11">
      <c r="C1321" s="861">
        <v>43293</v>
      </c>
      <c r="D1321" s="805">
        <v>52.35</v>
      </c>
      <c r="E1321" s="805">
        <v>62.807499999999997</v>
      </c>
      <c r="F1321" s="806">
        <v>16.559999999999999</v>
      </c>
      <c r="G1321" s="805">
        <v>7.2297452375487703</v>
      </c>
      <c r="H1321" s="805">
        <v>209.98</v>
      </c>
      <c r="I1321" s="805">
        <v>55.45</v>
      </c>
      <c r="J1321" s="805">
        <v>2798.29</v>
      </c>
      <c r="K1321" s="805">
        <v>7823.9160000000002</v>
      </c>
    </row>
    <row r="1322" spans="3:11">
      <c r="C1322" s="861">
        <v>43292</v>
      </c>
      <c r="D1322" s="805">
        <v>51.2</v>
      </c>
      <c r="E1322" s="805">
        <v>61.8825</v>
      </c>
      <c r="F1322" s="806">
        <v>16.27</v>
      </c>
      <c r="G1322" s="805">
        <v>7.1782824327851698</v>
      </c>
      <c r="H1322" s="805">
        <v>243.44</v>
      </c>
      <c r="I1322" s="805">
        <v>54.18</v>
      </c>
      <c r="J1322" s="805">
        <v>2774.02</v>
      </c>
      <c r="K1322" s="805">
        <v>7716.6109999999999</v>
      </c>
    </row>
    <row r="1323" spans="3:11">
      <c r="C1323" s="861">
        <v>43291</v>
      </c>
      <c r="D1323" s="805">
        <v>52.16</v>
      </c>
      <c r="E1323" s="805">
        <v>63.3125</v>
      </c>
      <c r="F1323" s="806">
        <v>16.55</v>
      </c>
      <c r="G1323" s="805">
        <v>7.3158675234799802</v>
      </c>
      <c r="H1323" s="805">
        <v>250.56</v>
      </c>
      <c r="I1323" s="805">
        <v>55.74</v>
      </c>
      <c r="J1323" s="805">
        <v>2793.84</v>
      </c>
      <c r="K1323" s="805">
        <v>7759.1980000000003</v>
      </c>
    </row>
    <row r="1324" spans="3:11">
      <c r="C1324" s="861">
        <v>43290</v>
      </c>
      <c r="D1324" s="805">
        <v>51.86</v>
      </c>
      <c r="E1324" s="805">
        <v>62.3125</v>
      </c>
      <c r="F1324" s="806">
        <v>16.61</v>
      </c>
      <c r="G1324" s="805">
        <v>7.3085425809219</v>
      </c>
      <c r="H1324" s="805">
        <v>247.43</v>
      </c>
      <c r="I1324" s="805">
        <v>54.31</v>
      </c>
      <c r="J1324" s="805">
        <v>2784.17</v>
      </c>
      <c r="K1324" s="805">
        <v>7756.201</v>
      </c>
    </row>
    <row r="1325" spans="3:11">
      <c r="C1325" s="861">
        <v>43289</v>
      </c>
      <c r="D1325" s="805">
        <v>51.37</v>
      </c>
      <c r="E1325" s="805">
        <v>61.832500000000003</v>
      </c>
      <c r="F1325" s="806">
        <v>16.36</v>
      </c>
      <c r="G1325" s="805">
        <v>7.1315893256211398</v>
      </c>
      <c r="H1325" s="805">
        <v>247.68</v>
      </c>
      <c r="I1325" s="805">
        <v>53.23</v>
      </c>
      <c r="J1325" s="805">
        <v>2759.82</v>
      </c>
      <c r="K1325" s="805">
        <v>7688.3869999999997</v>
      </c>
    </row>
    <row r="1326" spans="3:11">
      <c r="C1326" s="861">
        <v>43288</v>
      </c>
      <c r="D1326" s="805">
        <v>51.37</v>
      </c>
      <c r="E1326" s="805">
        <v>61.832500000000003</v>
      </c>
      <c r="F1326" s="806">
        <v>16.36</v>
      </c>
      <c r="G1326" s="805">
        <v>7.1315893256211398</v>
      </c>
      <c r="H1326" s="805">
        <v>247.68</v>
      </c>
      <c r="I1326" s="805">
        <v>53.23</v>
      </c>
      <c r="J1326" s="805">
        <v>2759.82</v>
      </c>
      <c r="K1326" s="805">
        <v>7688.3869999999997</v>
      </c>
    </row>
    <row r="1327" spans="3:11">
      <c r="C1327" s="861">
        <v>43287</v>
      </c>
      <c r="D1327" s="805">
        <v>51.37</v>
      </c>
      <c r="E1327" s="805">
        <v>61.832500000000003</v>
      </c>
      <c r="F1327" s="806">
        <v>16.36</v>
      </c>
      <c r="G1327" s="805">
        <v>7.1315893256211398</v>
      </c>
      <c r="H1327" s="805">
        <v>247.68</v>
      </c>
      <c r="I1327" s="805">
        <v>53.23</v>
      </c>
      <c r="J1327" s="805">
        <v>2759.82</v>
      </c>
      <c r="K1327" s="805">
        <v>7688.3869999999997</v>
      </c>
    </row>
    <row r="1328" spans="3:11">
      <c r="C1328" s="861">
        <v>43286</v>
      </c>
      <c r="D1328" s="805">
        <v>50.75</v>
      </c>
      <c r="E1328" s="805">
        <v>60.682499999999997</v>
      </c>
      <c r="F1328" s="806">
        <v>15.5</v>
      </c>
      <c r="G1328" s="805">
        <v>7.0272572402044302</v>
      </c>
      <c r="H1328" s="805">
        <v>245.4</v>
      </c>
      <c r="I1328" s="805">
        <v>52.84</v>
      </c>
      <c r="J1328" s="805">
        <v>2736.61</v>
      </c>
      <c r="K1328" s="805">
        <v>7586.4269999999997</v>
      </c>
    </row>
    <row r="1329" spans="3:11">
      <c r="C1329" s="861">
        <v>43285</v>
      </c>
      <c r="D1329" s="805">
        <v>49.47</v>
      </c>
      <c r="E1329" s="805">
        <v>59.21</v>
      </c>
      <c r="F1329" s="806">
        <v>15</v>
      </c>
      <c r="G1329" s="805">
        <v>7.0828961175236103</v>
      </c>
      <c r="H1329" s="805">
        <v>239.29</v>
      </c>
      <c r="I1329" s="805">
        <v>51.48</v>
      </c>
      <c r="J1329" s="805">
        <v>2713.22</v>
      </c>
      <c r="K1329" s="805">
        <v>7502.674</v>
      </c>
    </row>
    <row r="1330" spans="3:11">
      <c r="C1330" s="861">
        <v>43284</v>
      </c>
      <c r="D1330" s="805">
        <v>49.47</v>
      </c>
      <c r="E1330" s="805">
        <v>59.21</v>
      </c>
      <c r="F1330" s="806">
        <v>15</v>
      </c>
      <c r="G1330" s="805">
        <v>7.0224259289572801</v>
      </c>
      <c r="H1330" s="805">
        <v>239.29</v>
      </c>
      <c r="I1330" s="805">
        <v>51.48</v>
      </c>
      <c r="J1330" s="805">
        <v>2713.22</v>
      </c>
      <c r="K1330" s="805">
        <v>7502.674</v>
      </c>
    </row>
    <row r="1331" spans="3:11">
      <c r="C1331" s="861">
        <v>43283</v>
      </c>
      <c r="D1331" s="805">
        <v>50.2</v>
      </c>
      <c r="E1331" s="805">
        <v>60.56</v>
      </c>
      <c r="F1331" s="806">
        <v>15.16</v>
      </c>
      <c r="G1331" s="805">
        <v>7.0097284549117198</v>
      </c>
      <c r="H1331" s="805">
        <v>242.05</v>
      </c>
      <c r="I1331" s="805">
        <v>54.48</v>
      </c>
      <c r="J1331" s="805">
        <v>2726.71</v>
      </c>
      <c r="K1331" s="805">
        <v>7567.6869999999999</v>
      </c>
    </row>
    <row r="1332" spans="3:11">
      <c r="C1332" s="861">
        <v>43282</v>
      </c>
      <c r="D1332" s="805">
        <v>49.71</v>
      </c>
      <c r="E1332" s="805">
        <v>59.225000000000001</v>
      </c>
      <c r="F1332" s="806">
        <v>14.99</v>
      </c>
      <c r="G1332" s="805">
        <v>7.1067489495798304</v>
      </c>
      <c r="H1332" s="805">
        <v>242.64</v>
      </c>
      <c r="I1332" s="805">
        <v>52.44</v>
      </c>
      <c r="J1332" s="805">
        <v>2718.37</v>
      </c>
      <c r="K1332" s="805">
        <v>7510.3040000000001</v>
      </c>
    </row>
    <row r="1333" spans="3:11">
      <c r="C1333" s="861">
        <v>43281</v>
      </c>
      <c r="D1333" s="805">
        <v>49.71</v>
      </c>
      <c r="E1333" s="805">
        <v>59.225000000000001</v>
      </c>
      <c r="F1333" s="806">
        <v>14.99</v>
      </c>
      <c r="G1333" s="805">
        <v>7.1067489495798304</v>
      </c>
      <c r="H1333" s="805">
        <v>242.64</v>
      </c>
      <c r="I1333" s="805">
        <v>52.44</v>
      </c>
      <c r="J1333" s="805">
        <v>2718.37</v>
      </c>
      <c r="K1333" s="805">
        <v>7510.3040000000001</v>
      </c>
    </row>
    <row r="1334" spans="3:11">
      <c r="C1334" s="861">
        <v>43280</v>
      </c>
      <c r="D1334" s="805">
        <v>49.71</v>
      </c>
      <c r="E1334" s="805">
        <v>59.225000000000001</v>
      </c>
      <c r="F1334" s="806">
        <v>14.99</v>
      </c>
      <c r="G1334" s="805">
        <v>7.1067489495798304</v>
      </c>
      <c r="H1334" s="805">
        <v>242.64</v>
      </c>
      <c r="I1334" s="805">
        <v>52.44</v>
      </c>
      <c r="J1334" s="805">
        <v>2718.37</v>
      </c>
      <c r="K1334" s="805">
        <v>7510.3040000000001</v>
      </c>
    </row>
    <row r="1335" spans="3:11">
      <c r="C1335" s="861">
        <v>43279</v>
      </c>
      <c r="D1335" s="805">
        <v>49.25</v>
      </c>
      <c r="E1335" s="805">
        <v>60.215000000000003</v>
      </c>
      <c r="F1335" s="806">
        <v>15.31</v>
      </c>
      <c r="G1335" s="805">
        <v>6.9380809006414497</v>
      </c>
      <c r="H1335" s="805">
        <v>244.9</v>
      </c>
      <c r="I1335" s="805">
        <v>53.14</v>
      </c>
      <c r="J1335" s="805">
        <v>2716.31</v>
      </c>
      <c r="K1335" s="805">
        <v>7503.683</v>
      </c>
    </row>
    <row r="1336" spans="3:11">
      <c r="C1336" s="861">
        <v>43278</v>
      </c>
      <c r="D1336" s="805">
        <v>48.76</v>
      </c>
      <c r="E1336" s="805">
        <v>58.93</v>
      </c>
      <c r="F1336" s="806">
        <v>14.97</v>
      </c>
      <c r="G1336" s="805">
        <v>6.9810887876503598</v>
      </c>
      <c r="H1336" s="805">
        <v>247.11</v>
      </c>
      <c r="I1336" s="805">
        <v>52.26</v>
      </c>
      <c r="J1336" s="805">
        <v>2699.63</v>
      </c>
      <c r="K1336" s="805">
        <v>7445.085</v>
      </c>
    </row>
    <row r="1337" spans="3:11">
      <c r="C1337" s="861">
        <v>43277</v>
      </c>
      <c r="D1337" s="805">
        <v>49.67</v>
      </c>
      <c r="E1337" s="805">
        <v>60.497500000000002</v>
      </c>
      <c r="F1337" s="806">
        <v>15.5</v>
      </c>
      <c r="G1337" s="805">
        <v>7.0549927641099899</v>
      </c>
      <c r="H1337" s="805">
        <v>251.54</v>
      </c>
      <c r="I1337" s="805">
        <v>54.59</v>
      </c>
      <c r="J1337" s="805">
        <v>2723.06</v>
      </c>
      <c r="K1337" s="805">
        <v>7561.6270000000004</v>
      </c>
    </row>
    <row r="1338" spans="3:11">
      <c r="C1338" s="861">
        <v>43276</v>
      </c>
      <c r="D1338" s="805">
        <v>50.71</v>
      </c>
      <c r="E1338" s="805">
        <v>59.78</v>
      </c>
      <c r="F1338" s="806">
        <v>15.11</v>
      </c>
      <c r="G1338" s="805">
        <v>7.1781363187355902</v>
      </c>
      <c r="H1338" s="805">
        <v>252.42</v>
      </c>
      <c r="I1338" s="805">
        <v>53.16</v>
      </c>
      <c r="J1338" s="805">
        <v>2717.07</v>
      </c>
      <c r="K1338" s="805">
        <v>7532.0060000000003</v>
      </c>
    </row>
    <row r="1339" spans="3:11">
      <c r="C1339" s="861">
        <v>43275</v>
      </c>
      <c r="D1339" s="805">
        <v>52.5</v>
      </c>
      <c r="E1339" s="805">
        <v>62.737499999999997</v>
      </c>
      <c r="F1339" s="806">
        <v>15.8</v>
      </c>
      <c r="G1339" s="805">
        <v>7.5089942898636801</v>
      </c>
      <c r="H1339" s="805">
        <v>259.70999999999998</v>
      </c>
      <c r="I1339" s="805">
        <v>57.1</v>
      </c>
      <c r="J1339" s="805">
        <v>2754.88</v>
      </c>
      <c r="K1339" s="805">
        <v>7692.817</v>
      </c>
    </row>
    <row r="1340" spans="3:11">
      <c r="C1340" s="861">
        <v>43274</v>
      </c>
      <c r="D1340" s="805">
        <v>52.5</v>
      </c>
      <c r="E1340" s="805">
        <v>62.737499999999997</v>
      </c>
      <c r="F1340" s="806">
        <v>15.8</v>
      </c>
      <c r="G1340" s="805">
        <v>7.5089942898636801</v>
      </c>
      <c r="H1340" s="805">
        <v>259.70999999999998</v>
      </c>
      <c r="I1340" s="805">
        <v>57.1</v>
      </c>
      <c r="J1340" s="805">
        <v>2754.88</v>
      </c>
      <c r="K1340" s="805">
        <v>7692.817</v>
      </c>
    </row>
    <row r="1341" spans="3:11">
      <c r="C1341" s="861">
        <v>43273</v>
      </c>
      <c r="D1341" s="805">
        <v>52.5</v>
      </c>
      <c r="E1341" s="805">
        <v>62.737499999999997</v>
      </c>
      <c r="F1341" s="806">
        <v>15.8</v>
      </c>
      <c r="G1341" s="805">
        <v>7.5089942898636801</v>
      </c>
      <c r="H1341" s="805">
        <v>259.70999999999998</v>
      </c>
      <c r="I1341" s="805">
        <v>57.1</v>
      </c>
      <c r="J1341" s="805">
        <v>2754.88</v>
      </c>
      <c r="K1341" s="805">
        <v>7692.817</v>
      </c>
    </row>
    <row r="1342" spans="3:11">
      <c r="C1342" s="861">
        <v>43272</v>
      </c>
      <c r="D1342" s="805">
        <v>52.19</v>
      </c>
      <c r="E1342" s="805">
        <v>64.277500000000003</v>
      </c>
      <c r="F1342" s="806">
        <v>15.65</v>
      </c>
      <c r="G1342" s="805">
        <v>7.4705630132919998</v>
      </c>
      <c r="H1342" s="805">
        <v>259.64999999999998</v>
      </c>
      <c r="I1342" s="805">
        <v>59.44</v>
      </c>
      <c r="J1342" s="805">
        <v>2749.76</v>
      </c>
      <c r="K1342" s="805">
        <v>7712.9520000000002</v>
      </c>
    </row>
    <row r="1343" spans="3:11">
      <c r="C1343" s="861">
        <v>43271</v>
      </c>
      <c r="D1343" s="805">
        <v>53.46</v>
      </c>
      <c r="E1343" s="805">
        <v>65.577500000000001</v>
      </c>
      <c r="F1343" s="806">
        <v>16.52</v>
      </c>
      <c r="G1343" s="805">
        <v>7.4881547993770896</v>
      </c>
      <c r="H1343" s="805">
        <v>261.22000000000003</v>
      </c>
      <c r="I1343" s="805">
        <v>58.95</v>
      </c>
      <c r="J1343" s="805">
        <v>2767.32</v>
      </c>
      <c r="K1343" s="805">
        <v>7781.5150000000003</v>
      </c>
    </row>
    <row r="1344" spans="3:11">
      <c r="C1344" s="861">
        <v>43270</v>
      </c>
      <c r="D1344" s="805">
        <v>52.93</v>
      </c>
      <c r="E1344" s="805">
        <v>65.042500000000004</v>
      </c>
      <c r="F1344" s="806">
        <v>16.690000000000001</v>
      </c>
      <c r="G1344" s="805">
        <v>7.45724512793318</v>
      </c>
      <c r="H1344" s="805">
        <v>260.95</v>
      </c>
      <c r="I1344" s="805">
        <v>59.25</v>
      </c>
      <c r="J1344" s="805">
        <v>2762.59</v>
      </c>
      <c r="K1344" s="805">
        <v>7725.585</v>
      </c>
    </row>
    <row r="1345" spans="3:11">
      <c r="C1345" s="861">
        <v>43269</v>
      </c>
      <c r="D1345" s="805">
        <v>53.22</v>
      </c>
      <c r="E1345" s="805">
        <v>66.272499999999994</v>
      </c>
      <c r="F1345" s="806">
        <v>17.11</v>
      </c>
      <c r="G1345" s="805">
        <v>7.6662684189565899</v>
      </c>
      <c r="H1345" s="805">
        <v>264.5</v>
      </c>
      <c r="I1345" s="805">
        <v>58.45</v>
      </c>
      <c r="J1345" s="805">
        <v>2773.75</v>
      </c>
      <c r="K1345" s="805">
        <v>7747.0249999999996</v>
      </c>
    </row>
    <row r="1346" spans="3:11">
      <c r="C1346" s="861">
        <v>43268</v>
      </c>
      <c r="D1346" s="805">
        <v>55.11</v>
      </c>
      <c r="E1346" s="805">
        <v>66.314999999999998</v>
      </c>
      <c r="F1346" s="806">
        <v>16.34</v>
      </c>
      <c r="G1346" s="805">
        <v>7.6662684189565899</v>
      </c>
      <c r="H1346" s="805">
        <v>270.23</v>
      </c>
      <c r="I1346" s="805">
        <v>58.23</v>
      </c>
      <c r="J1346" s="805">
        <v>2779.66</v>
      </c>
      <c r="K1346" s="805">
        <v>7746.3779999999997</v>
      </c>
    </row>
    <row r="1347" spans="3:11">
      <c r="C1347" s="861">
        <v>43267</v>
      </c>
      <c r="D1347" s="805">
        <v>55.11</v>
      </c>
      <c r="E1347" s="805">
        <v>66.314999999999998</v>
      </c>
      <c r="F1347" s="806">
        <v>16.34</v>
      </c>
      <c r="G1347" s="805">
        <v>7.6662684189565899</v>
      </c>
      <c r="H1347" s="805">
        <v>270.23</v>
      </c>
      <c r="I1347" s="805">
        <v>58.23</v>
      </c>
      <c r="J1347" s="805">
        <v>2779.66</v>
      </c>
      <c r="K1347" s="805">
        <v>7746.3779999999997</v>
      </c>
    </row>
    <row r="1348" spans="3:11">
      <c r="C1348" s="861">
        <v>43266</v>
      </c>
      <c r="D1348" s="805">
        <v>55.11</v>
      </c>
      <c r="E1348" s="805">
        <v>66.314999999999998</v>
      </c>
      <c r="F1348" s="806">
        <v>16.34</v>
      </c>
      <c r="G1348" s="805">
        <v>7.6662684189565899</v>
      </c>
      <c r="H1348" s="805">
        <v>270.23</v>
      </c>
      <c r="I1348" s="805">
        <v>58.23</v>
      </c>
      <c r="J1348" s="805">
        <v>2779.66</v>
      </c>
      <c r="K1348" s="805">
        <v>7746.3779999999997</v>
      </c>
    </row>
    <row r="1349" spans="3:11">
      <c r="C1349" s="861">
        <v>43265</v>
      </c>
      <c r="D1349" s="805">
        <v>55.54</v>
      </c>
      <c r="E1349" s="805">
        <v>66.727500000000006</v>
      </c>
      <c r="F1349" s="806">
        <v>16.25</v>
      </c>
      <c r="G1349" s="805">
        <v>7.5684164801015799</v>
      </c>
      <c r="H1349" s="805">
        <v>268.45999999999998</v>
      </c>
      <c r="I1349" s="805">
        <v>59.18</v>
      </c>
      <c r="J1349" s="805">
        <v>2782.49</v>
      </c>
      <c r="K1349" s="805">
        <v>7761.0420000000004</v>
      </c>
    </row>
    <row r="1350" spans="3:11">
      <c r="C1350" s="861">
        <v>43264</v>
      </c>
      <c r="D1350" s="805">
        <v>55.03</v>
      </c>
      <c r="E1350" s="805">
        <v>65.599999999999994</v>
      </c>
      <c r="F1350" s="806">
        <v>16.32</v>
      </c>
      <c r="G1350" s="805">
        <v>7.7745383867832896</v>
      </c>
      <c r="H1350" s="805">
        <v>263.58</v>
      </c>
      <c r="I1350" s="805">
        <v>60.05</v>
      </c>
      <c r="J1350" s="805">
        <v>2775.63</v>
      </c>
      <c r="K1350" s="805">
        <v>7695.6989999999996</v>
      </c>
    </row>
    <row r="1351" spans="3:11">
      <c r="C1351" s="861">
        <v>43263</v>
      </c>
      <c r="D1351" s="805">
        <v>54.82</v>
      </c>
      <c r="E1351" s="805">
        <v>65.644999999999996</v>
      </c>
      <c r="F1351" s="806">
        <v>15.85</v>
      </c>
      <c r="G1351" s="805">
        <v>7.6686089344317203</v>
      </c>
      <c r="H1351" s="805">
        <v>261.43</v>
      </c>
      <c r="I1351" s="805">
        <v>60.55</v>
      </c>
      <c r="J1351" s="805">
        <v>2786.85</v>
      </c>
      <c r="K1351" s="805">
        <v>7703.7939999999999</v>
      </c>
    </row>
    <row r="1352" spans="3:11">
      <c r="C1352" s="861">
        <v>43262</v>
      </c>
      <c r="D1352" s="805">
        <v>54.52</v>
      </c>
      <c r="E1352" s="805">
        <v>65.155000000000001</v>
      </c>
      <c r="F1352" s="806">
        <v>15.73</v>
      </c>
      <c r="G1352" s="805">
        <v>7.57906033066166</v>
      </c>
      <c r="H1352" s="805">
        <v>260.83</v>
      </c>
      <c r="I1352" s="805">
        <v>61.39</v>
      </c>
      <c r="J1352" s="805">
        <v>2782</v>
      </c>
      <c r="K1352" s="805">
        <v>7659.9250000000002</v>
      </c>
    </row>
    <row r="1353" spans="3:11">
      <c r="C1353" s="861">
        <v>43261</v>
      </c>
      <c r="D1353" s="805">
        <v>55.05</v>
      </c>
      <c r="E1353" s="805">
        <v>65.569999999999993</v>
      </c>
      <c r="F1353" s="806">
        <v>15.25</v>
      </c>
      <c r="G1353" s="805">
        <v>7.6085134908664296</v>
      </c>
      <c r="H1353" s="805">
        <v>257.97000000000003</v>
      </c>
      <c r="I1353" s="805">
        <v>61.39</v>
      </c>
      <c r="J1353" s="805">
        <v>2779.03</v>
      </c>
      <c r="K1353" s="805">
        <v>7645.5110000000004</v>
      </c>
    </row>
    <row r="1354" spans="3:11">
      <c r="C1354" s="861">
        <v>43260</v>
      </c>
      <c r="D1354" s="805">
        <v>55.05</v>
      </c>
      <c r="E1354" s="805">
        <v>65.569999999999993</v>
      </c>
      <c r="F1354" s="806">
        <v>15.25</v>
      </c>
      <c r="G1354" s="805">
        <v>7.6085134908664296</v>
      </c>
      <c r="H1354" s="805">
        <v>257.97000000000003</v>
      </c>
      <c r="I1354" s="805">
        <v>61.39</v>
      </c>
      <c r="J1354" s="805">
        <v>2779.03</v>
      </c>
      <c r="K1354" s="805">
        <v>7645.5110000000004</v>
      </c>
    </row>
    <row r="1355" spans="3:11">
      <c r="C1355" s="861">
        <v>43259</v>
      </c>
      <c r="D1355" s="805">
        <v>55.05</v>
      </c>
      <c r="E1355" s="805">
        <v>65.569999999999993</v>
      </c>
      <c r="F1355" s="806">
        <v>15.25</v>
      </c>
      <c r="G1355" s="805">
        <v>7.6085134908664296</v>
      </c>
      <c r="H1355" s="805">
        <v>257.97000000000003</v>
      </c>
      <c r="I1355" s="805">
        <v>61.39</v>
      </c>
      <c r="J1355" s="805">
        <v>2779.03</v>
      </c>
      <c r="K1355" s="805">
        <v>7645.5110000000004</v>
      </c>
    </row>
    <row r="1356" spans="3:11">
      <c r="C1356" s="861">
        <v>43258</v>
      </c>
      <c r="D1356" s="805">
        <v>55.88</v>
      </c>
      <c r="E1356" s="805">
        <v>65.724999999999994</v>
      </c>
      <c r="F1356" s="806">
        <v>14.89</v>
      </c>
      <c r="G1356" s="805">
        <v>7.7266771928645799</v>
      </c>
      <c r="H1356" s="805">
        <v>264.68</v>
      </c>
      <c r="I1356" s="805">
        <v>59.63</v>
      </c>
      <c r="J1356" s="805">
        <v>2770.37</v>
      </c>
      <c r="K1356" s="805">
        <v>7635.07</v>
      </c>
    </row>
    <row r="1357" spans="3:11">
      <c r="C1357" s="861">
        <v>43257</v>
      </c>
      <c r="D1357" s="805">
        <v>57.03</v>
      </c>
      <c r="E1357" s="805">
        <v>66.287499999999994</v>
      </c>
      <c r="F1357" s="806">
        <v>15.67</v>
      </c>
      <c r="G1357" s="805">
        <v>7.7553360083622804</v>
      </c>
      <c r="H1357" s="805">
        <v>263.52</v>
      </c>
      <c r="I1357" s="805">
        <v>59.42</v>
      </c>
      <c r="J1357" s="805">
        <v>2772.35</v>
      </c>
      <c r="K1357" s="805">
        <v>7689.2430000000004</v>
      </c>
    </row>
    <row r="1358" spans="3:11">
      <c r="C1358" s="861">
        <v>43256</v>
      </c>
      <c r="D1358" s="805">
        <v>56.53</v>
      </c>
      <c r="E1358" s="805">
        <v>66.267499999999998</v>
      </c>
      <c r="F1358" s="806">
        <v>14.85</v>
      </c>
      <c r="G1358" s="805">
        <v>7.6837902224608303</v>
      </c>
      <c r="H1358" s="805">
        <v>259.26</v>
      </c>
      <c r="I1358" s="805">
        <v>59.41</v>
      </c>
      <c r="J1358" s="805">
        <v>2748.8</v>
      </c>
      <c r="K1358" s="805">
        <v>7637.8630000000003</v>
      </c>
    </row>
    <row r="1359" spans="3:11">
      <c r="C1359" s="861">
        <v>43255</v>
      </c>
      <c r="D1359" s="805">
        <v>56.83</v>
      </c>
      <c r="E1359" s="805">
        <v>66.212500000000006</v>
      </c>
      <c r="F1359" s="806">
        <v>14.85</v>
      </c>
      <c r="G1359" s="805">
        <v>7.7018800659200197</v>
      </c>
      <c r="H1359" s="805">
        <v>258.37</v>
      </c>
      <c r="I1359" s="805">
        <v>59.1</v>
      </c>
      <c r="J1359" s="805">
        <v>2746.87</v>
      </c>
      <c r="K1359" s="805">
        <v>7606.46</v>
      </c>
    </row>
    <row r="1360" spans="3:11">
      <c r="C1360" s="861">
        <v>43254</v>
      </c>
      <c r="D1360" s="805">
        <v>57.08</v>
      </c>
      <c r="E1360" s="805">
        <v>64.405000000000001</v>
      </c>
      <c r="F1360" s="806">
        <v>14.4</v>
      </c>
      <c r="G1360" s="805">
        <v>7.5157696953429101</v>
      </c>
      <c r="H1360" s="805">
        <v>256.33999999999997</v>
      </c>
      <c r="I1360" s="805">
        <v>58.74</v>
      </c>
      <c r="J1360" s="805">
        <v>2734.62</v>
      </c>
      <c r="K1360" s="805">
        <v>7554.3320000000003</v>
      </c>
    </row>
    <row r="1361" spans="3:11">
      <c r="C1361" s="861">
        <v>43253</v>
      </c>
      <c r="D1361" s="805">
        <v>57.08</v>
      </c>
      <c r="E1361" s="805">
        <v>64.405000000000001</v>
      </c>
      <c r="F1361" s="806">
        <v>14.4</v>
      </c>
      <c r="G1361" s="805">
        <v>7.5157696953429101</v>
      </c>
      <c r="H1361" s="805">
        <v>256.33999999999997</v>
      </c>
      <c r="I1361" s="805">
        <v>58.74</v>
      </c>
      <c r="J1361" s="805">
        <v>2734.62</v>
      </c>
      <c r="K1361" s="805">
        <v>7554.3320000000003</v>
      </c>
    </row>
    <row r="1362" spans="3:11">
      <c r="C1362" s="861">
        <v>43252</v>
      </c>
      <c r="D1362" s="805">
        <v>57.08</v>
      </c>
      <c r="E1362" s="805">
        <v>64.405000000000001</v>
      </c>
      <c r="F1362" s="806">
        <v>14.4</v>
      </c>
      <c r="G1362" s="805">
        <v>7.5157696953429101</v>
      </c>
      <c r="H1362" s="805">
        <v>256.33999999999997</v>
      </c>
      <c r="I1362" s="805">
        <v>58.74</v>
      </c>
      <c r="J1362" s="805">
        <v>2734.62</v>
      </c>
      <c r="K1362" s="805">
        <v>7554.3320000000003</v>
      </c>
    </row>
    <row r="1363" spans="3:11">
      <c r="C1363" s="861">
        <v>43251</v>
      </c>
      <c r="D1363" s="805">
        <v>55.2</v>
      </c>
      <c r="E1363" s="805">
        <v>63.047499999999999</v>
      </c>
      <c r="F1363" s="806">
        <v>13.73</v>
      </c>
      <c r="G1363" s="805">
        <v>7.4733927201147701</v>
      </c>
      <c r="H1363" s="805">
        <v>252.07</v>
      </c>
      <c r="I1363" s="805">
        <v>57.59</v>
      </c>
      <c r="J1363" s="805">
        <v>2705.27</v>
      </c>
      <c r="K1363" s="805">
        <v>7442.1170000000002</v>
      </c>
    </row>
    <row r="1364" spans="3:11">
      <c r="C1364" s="861">
        <v>43250</v>
      </c>
      <c r="D1364" s="805">
        <v>55.68</v>
      </c>
      <c r="E1364" s="805">
        <v>63.247500000000002</v>
      </c>
      <c r="F1364" s="806">
        <v>13.82</v>
      </c>
      <c r="G1364" s="805">
        <v>7.3871043219574197</v>
      </c>
      <c r="H1364" s="805">
        <v>249.4</v>
      </c>
      <c r="I1364" s="805">
        <v>62.57</v>
      </c>
      <c r="J1364" s="805">
        <v>2724.01</v>
      </c>
      <c r="K1364" s="805">
        <v>7462.4530000000004</v>
      </c>
    </row>
    <row r="1365" spans="3:11">
      <c r="C1365" s="861">
        <v>43249</v>
      </c>
      <c r="D1365" s="805">
        <v>55.32</v>
      </c>
      <c r="E1365" s="805">
        <v>62.147500000000001</v>
      </c>
      <c r="F1365" s="806">
        <v>13.36</v>
      </c>
      <c r="G1365" s="805">
        <v>7.4867733670515397</v>
      </c>
      <c r="H1365" s="805">
        <v>249.69</v>
      </c>
      <c r="I1365" s="805">
        <v>62.62</v>
      </c>
      <c r="J1365" s="805">
        <v>2689.86</v>
      </c>
      <c r="K1365" s="805">
        <v>7396.5940000000001</v>
      </c>
    </row>
    <row r="1366" spans="3:11">
      <c r="C1366" s="861">
        <v>43248</v>
      </c>
      <c r="D1366" s="805">
        <v>55.44</v>
      </c>
      <c r="E1366" s="805">
        <v>62.32</v>
      </c>
      <c r="F1366" s="806">
        <v>13.54</v>
      </c>
      <c r="G1366" s="805">
        <v>7.5800581026480103</v>
      </c>
      <c r="H1366" s="805">
        <v>250.03</v>
      </c>
      <c r="I1366" s="805">
        <v>61.35</v>
      </c>
      <c r="J1366" s="805">
        <v>2721.33</v>
      </c>
      <c r="K1366" s="805">
        <v>7433.8540000000003</v>
      </c>
    </row>
    <row r="1367" spans="3:11">
      <c r="C1367" s="861">
        <v>43247</v>
      </c>
      <c r="D1367" s="805">
        <v>55.44</v>
      </c>
      <c r="E1367" s="805">
        <v>62.32</v>
      </c>
      <c r="F1367" s="806">
        <v>13.54</v>
      </c>
      <c r="G1367" s="805">
        <v>7.6321854437356</v>
      </c>
      <c r="H1367" s="805">
        <v>250.03</v>
      </c>
      <c r="I1367" s="805">
        <v>61.35</v>
      </c>
      <c r="J1367" s="805">
        <v>2721.33</v>
      </c>
      <c r="K1367" s="805">
        <v>7433.8540000000003</v>
      </c>
    </row>
    <row r="1368" spans="3:11">
      <c r="C1368" s="861">
        <v>43246</v>
      </c>
      <c r="D1368" s="805">
        <v>55.44</v>
      </c>
      <c r="E1368" s="805">
        <v>62.32</v>
      </c>
      <c r="F1368" s="806">
        <v>13.54</v>
      </c>
      <c r="G1368" s="805">
        <v>7.6321854437356</v>
      </c>
      <c r="H1368" s="805">
        <v>250.03</v>
      </c>
      <c r="I1368" s="805">
        <v>61.35</v>
      </c>
      <c r="J1368" s="805">
        <v>2721.33</v>
      </c>
      <c r="K1368" s="805">
        <v>7433.8540000000003</v>
      </c>
    </row>
    <row r="1369" spans="3:11">
      <c r="C1369" s="861">
        <v>43245</v>
      </c>
      <c r="D1369" s="805">
        <v>55.44</v>
      </c>
      <c r="E1369" s="805">
        <v>62.32</v>
      </c>
      <c r="F1369" s="806">
        <v>13.54</v>
      </c>
      <c r="G1369" s="805">
        <v>7.6321854437356</v>
      </c>
      <c r="H1369" s="805">
        <v>250.03</v>
      </c>
      <c r="I1369" s="805">
        <v>61.35</v>
      </c>
      <c r="J1369" s="805">
        <v>2721.33</v>
      </c>
      <c r="K1369" s="805">
        <v>7433.8540000000003</v>
      </c>
    </row>
    <row r="1370" spans="3:11">
      <c r="C1370" s="861">
        <v>43244</v>
      </c>
      <c r="D1370" s="805">
        <v>54.75</v>
      </c>
      <c r="E1370" s="805">
        <v>61.922499999999999</v>
      </c>
      <c r="F1370" s="806">
        <v>13.41</v>
      </c>
      <c r="G1370" s="805">
        <v>7.6509304734221999</v>
      </c>
      <c r="H1370" s="805">
        <v>243.53</v>
      </c>
      <c r="I1370" s="805">
        <v>61.49</v>
      </c>
      <c r="J1370" s="805">
        <v>2727.76</v>
      </c>
      <c r="K1370" s="805">
        <v>7424.4290000000001</v>
      </c>
    </row>
    <row r="1371" spans="3:11">
      <c r="C1371" s="861">
        <v>43243</v>
      </c>
      <c r="D1371" s="805">
        <v>55.21</v>
      </c>
      <c r="E1371" s="805">
        <v>61.884999999999998</v>
      </c>
      <c r="F1371" s="806">
        <v>13.1</v>
      </c>
      <c r="G1371" s="805">
        <v>7.6253086831742598</v>
      </c>
      <c r="H1371" s="805">
        <v>240.56</v>
      </c>
      <c r="I1371" s="805">
        <v>59.97</v>
      </c>
      <c r="J1371" s="805">
        <v>2733.29</v>
      </c>
      <c r="K1371" s="805">
        <v>7425.9549999999999</v>
      </c>
    </row>
    <row r="1372" spans="3:11">
      <c r="C1372" s="861">
        <v>43242</v>
      </c>
      <c r="D1372" s="805">
        <v>54.45</v>
      </c>
      <c r="E1372" s="805">
        <v>60.674999999999997</v>
      </c>
      <c r="F1372" s="806">
        <v>12.98</v>
      </c>
      <c r="G1372" s="805">
        <v>7.66732514146047</v>
      </c>
      <c r="H1372" s="805">
        <v>238.49</v>
      </c>
      <c r="I1372" s="805">
        <v>59.03</v>
      </c>
      <c r="J1372" s="805">
        <v>2724.44</v>
      </c>
      <c r="K1372" s="805">
        <v>7378.4549999999999</v>
      </c>
    </row>
    <row r="1373" spans="3:11">
      <c r="C1373" s="861">
        <v>43241</v>
      </c>
      <c r="D1373" s="805">
        <v>54.32</v>
      </c>
      <c r="E1373" s="805">
        <v>61.06</v>
      </c>
      <c r="F1373" s="806">
        <v>12.99</v>
      </c>
      <c r="G1373" s="805">
        <v>7.6645023093915299</v>
      </c>
      <c r="H1373" s="805">
        <v>239.05</v>
      </c>
      <c r="I1373" s="805">
        <v>55.48</v>
      </c>
      <c r="J1373" s="805">
        <v>2733.01</v>
      </c>
      <c r="K1373" s="805">
        <v>7394.0360000000001</v>
      </c>
    </row>
    <row r="1374" spans="3:11">
      <c r="C1374" s="861">
        <v>43240</v>
      </c>
      <c r="D1374" s="805">
        <v>53.5</v>
      </c>
      <c r="E1374" s="805">
        <v>61.484999999999999</v>
      </c>
      <c r="F1374" s="806">
        <v>13</v>
      </c>
      <c r="G1374" s="805">
        <v>7.4671745013531101</v>
      </c>
      <c r="H1374" s="805">
        <v>235.99</v>
      </c>
      <c r="I1374" s="805">
        <v>53.39</v>
      </c>
      <c r="J1374" s="805">
        <v>2712.97</v>
      </c>
      <c r="K1374" s="805">
        <v>7354.3389999999999</v>
      </c>
    </row>
    <row r="1375" spans="3:11">
      <c r="C1375" s="861">
        <v>43239</v>
      </c>
      <c r="D1375" s="805">
        <v>53.5</v>
      </c>
      <c r="E1375" s="805">
        <v>61.484999999999999</v>
      </c>
      <c r="F1375" s="806">
        <v>13</v>
      </c>
      <c r="G1375" s="805">
        <v>7.4671745013531101</v>
      </c>
      <c r="H1375" s="805">
        <v>235.99</v>
      </c>
      <c r="I1375" s="805">
        <v>53.39</v>
      </c>
      <c r="J1375" s="805">
        <v>2712.97</v>
      </c>
      <c r="K1375" s="805">
        <v>7354.3389999999999</v>
      </c>
    </row>
    <row r="1376" spans="3:11">
      <c r="C1376" s="861">
        <v>43238</v>
      </c>
      <c r="D1376" s="805">
        <v>53.5</v>
      </c>
      <c r="E1376" s="805">
        <v>61.484999999999999</v>
      </c>
      <c r="F1376" s="806">
        <v>13</v>
      </c>
      <c r="G1376" s="805">
        <v>7.4671745013531101</v>
      </c>
      <c r="H1376" s="805">
        <v>235.99</v>
      </c>
      <c r="I1376" s="805">
        <v>53.39</v>
      </c>
      <c r="J1376" s="805">
        <v>2712.97</v>
      </c>
      <c r="K1376" s="805">
        <v>7354.3389999999999</v>
      </c>
    </row>
    <row r="1377" spans="3:11">
      <c r="C1377" s="861">
        <v>43237</v>
      </c>
      <c r="D1377" s="805">
        <v>54.81</v>
      </c>
      <c r="E1377" s="805">
        <v>61.927500000000002</v>
      </c>
      <c r="F1377" s="806">
        <v>12.82</v>
      </c>
      <c r="G1377" s="805">
        <v>7.56740503157262</v>
      </c>
      <c r="H1377" s="805">
        <v>239.45</v>
      </c>
      <c r="I1377" s="805">
        <v>54.7</v>
      </c>
      <c r="J1377" s="805">
        <v>2720.13</v>
      </c>
      <c r="K1377" s="805">
        <v>7382.473</v>
      </c>
    </row>
    <row r="1378" spans="3:11">
      <c r="C1378" s="861">
        <v>43236</v>
      </c>
      <c r="D1378" s="805">
        <v>54.64</v>
      </c>
      <c r="E1378" s="805">
        <v>61.502499999999998</v>
      </c>
      <c r="F1378" s="806">
        <v>12.82</v>
      </c>
      <c r="G1378" s="805">
        <v>7.7247897047488197</v>
      </c>
      <c r="H1378" s="805">
        <v>240.51</v>
      </c>
      <c r="I1378" s="805">
        <v>56.5</v>
      </c>
      <c r="J1378" s="805">
        <v>2722.46</v>
      </c>
      <c r="K1378" s="805">
        <v>7398.2950000000001</v>
      </c>
    </row>
    <row r="1379" spans="3:11">
      <c r="C1379" s="861">
        <v>43235</v>
      </c>
      <c r="D1379" s="805">
        <v>53.92</v>
      </c>
      <c r="E1379" s="805">
        <v>61.39</v>
      </c>
      <c r="F1379" s="806">
        <v>12.45</v>
      </c>
      <c r="G1379" s="805">
        <v>7.7072257331059602</v>
      </c>
      <c r="H1379" s="805">
        <v>241.58</v>
      </c>
      <c r="I1379" s="805">
        <v>54.01</v>
      </c>
      <c r="J1379" s="805">
        <v>2711.45</v>
      </c>
      <c r="K1379" s="805">
        <v>7351.6270000000004</v>
      </c>
    </row>
    <row r="1380" spans="3:11">
      <c r="C1380" s="861">
        <v>43234</v>
      </c>
      <c r="D1380" s="805">
        <v>54.9</v>
      </c>
      <c r="E1380" s="805">
        <v>63.84</v>
      </c>
      <c r="F1380" s="806">
        <v>12.23</v>
      </c>
      <c r="G1380" s="805">
        <v>7.8166935050993001</v>
      </c>
      <c r="H1380" s="805">
        <v>244.76</v>
      </c>
      <c r="I1380" s="805">
        <v>53</v>
      </c>
      <c r="J1380" s="805">
        <v>2730.13</v>
      </c>
      <c r="K1380" s="805">
        <v>7411.3149999999996</v>
      </c>
    </row>
    <row r="1381" spans="3:11">
      <c r="C1381" s="861">
        <v>43233</v>
      </c>
      <c r="D1381" s="805">
        <v>54.67</v>
      </c>
      <c r="E1381" s="805">
        <v>63.6325</v>
      </c>
      <c r="F1381" s="806">
        <v>11.95</v>
      </c>
      <c r="G1381" s="805">
        <v>7.83219604020303</v>
      </c>
      <c r="H1381" s="805">
        <v>243.38</v>
      </c>
      <c r="I1381" s="805">
        <v>51.82</v>
      </c>
      <c r="J1381" s="805">
        <v>2727.72</v>
      </c>
      <c r="K1381" s="805">
        <v>7402.8829999999998</v>
      </c>
    </row>
    <row r="1382" spans="3:11">
      <c r="C1382" s="861">
        <v>43232</v>
      </c>
      <c r="D1382" s="805">
        <v>54.67</v>
      </c>
      <c r="E1382" s="805">
        <v>63.6325</v>
      </c>
      <c r="F1382" s="806">
        <v>11.95</v>
      </c>
      <c r="G1382" s="805">
        <v>7.83219604020303</v>
      </c>
      <c r="H1382" s="805">
        <v>243.38</v>
      </c>
      <c r="I1382" s="805">
        <v>51.82</v>
      </c>
      <c r="J1382" s="805">
        <v>2727.72</v>
      </c>
      <c r="K1382" s="805">
        <v>7402.8829999999998</v>
      </c>
    </row>
    <row r="1383" spans="3:11">
      <c r="C1383" s="861">
        <v>43231</v>
      </c>
      <c r="D1383" s="805">
        <v>54.67</v>
      </c>
      <c r="E1383" s="805">
        <v>63.6325</v>
      </c>
      <c r="F1383" s="806">
        <v>11.95</v>
      </c>
      <c r="G1383" s="805">
        <v>7.83219604020303</v>
      </c>
      <c r="H1383" s="805">
        <v>243.38</v>
      </c>
      <c r="I1383" s="805">
        <v>51.82</v>
      </c>
      <c r="J1383" s="805">
        <v>2727.72</v>
      </c>
      <c r="K1383" s="805">
        <v>7402.8829999999998</v>
      </c>
    </row>
    <row r="1384" spans="3:11">
      <c r="C1384" s="861">
        <v>43230</v>
      </c>
      <c r="D1384" s="805">
        <v>54.98</v>
      </c>
      <c r="E1384" s="805">
        <v>65.032499999999999</v>
      </c>
      <c r="F1384" s="806">
        <v>12.13</v>
      </c>
      <c r="G1384" s="805">
        <v>7.7251918675104401</v>
      </c>
      <c r="H1384" s="805">
        <v>243.51</v>
      </c>
      <c r="I1384" s="805">
        <v>52.66</v>
      </c>
      <c r="J1384" s="805">
        <v>2723.07</v>
      </c>
      <c r="K1384" s="805">
        <v>7404.9750000000004</v>
      </c>
    </row>
    <row r="1385" spans="3:11">
      <c r="C1385" s="861">
        <v>43229</v>
      </c>
      <c r="D1385" s="805">
        <v>54.34</v>
      </c>
      <c r="E1385" s="805">
        <v>63.945</v>
      </c>
      <c r="F1385" s="806">
        <v>11.95</v>
      </c>
      <c r="G1385" s="805">
        <v>7.6712237189557797</v>
      </c>
      <c r="H1385" s="805">
        <v>238.05</v>
      </c>
      <c r="I1385" s="805">
        <v>51.01</v>
      </c>
      <c r="J1385" s="805">
        <v>2697.79</v>
      </c>
      <c r="K1385" s="805">
        <v>7339.9049999999997</v>
      </c>
    </row>
    <row r="1386" spans="3:11">
      <c r="C1386" s="861">
        <v>43228</v>
      </c>
      <c r="D1386" s="805">
        <v>53.63</v>
      </c>
      <c r="E1386" s="805">
        <v>62.6</v>
      </c>
      <c r="F1386" s="806">
        <v>11.61</v>
      </c>
      <c r="G1386" s="805">
        <v>7.6520338300443003</v>
      </c>
      <c r="H1386" s="805">
        <v>238.85</v>
      </c>
      <c r="I1386" s="805">
        <v>48.57</v>
      </c>
      <c r="J1386" s="805">
        <v>2671.92</v>
      </c>
      <c r="K1386" s="805">
        <v>7266.902</v>
      </c>
    </row>
    <row r="1387" spans="3:11">
      <c r="C1387" s="861">
        <v>43227</v>
      </c>
      <c r="D1387" s="805">
        <v>53.33</v>
      </c>
      <c r="E1387" s="805">
        <v>62.17</v>
      </c>
      <c r="F1387" s="806">
        <v>11.59</v>
      </c>
      <c r="G1387" s="805">
        <v>7.4972325651605098</v>
      </c>
      <c r="H1387" s="805">
        <v>235.97</v>
      </c>
      <c r="I1387" s="805">
        <v>48.48</v>
      </c>
      <c r="J1387" s="805">
        <v>2672.63</v>
      </c>
      <c r="K1387" s="805">
        <v>7265.2129999999997</v>
      </c>
    </row>
    <row r="1388" spans="3:11">
      <c r="C1388" s="861">
        <v>43226</v>
      </c>
      <c r="D1388" s="805">
        <v>52.78</v>
      </c>
      <c r="E1388" s="805">
        <v>59.765000000000001</v>
      </c>
      <c r="F1388" s="806">
        <v>11.28</v>
      </c>
      <c r="G1388" s="805">
        <v>7.51651611163543</v>
      </c>
      <c r="H1388" s="805">
        <v>230.52</v>
      </c>
      <c r="I1388" s="805">
        <v>47.58</v>
      </c>
      <c r="J1388" s="805">
        <v>2663.42</v>
      </c>
      <c r="K1388" s="805">
        <v>7209.6170000000002</v>
      </c>
    </row>
    <row r="1389" spans="3:11">
      <c r="C1389" s="861">
        <v>43225</v>
      </c>
      <c r="D1389" s="805">
        <v>52.78</v>
      </c>
      <c r="E1389" s="805">
        <v>59.765000000000001</v>
      </c>
      <c r="F1389" s="806">
        <v>11.28</v>
      </c>
      <c r="G1389" s="805">
        <v>7.51651611163543</v>
      </c>
      <c r="H1389" s="805">
        <v>230.52</v>
      </c>
      <c r="I1389" s="805">
        <v>47.58</v>
      </c>
      <c r="J1389" s="805">
        <v>2663.42</v>
      </c>
      <c r="K1389" s="805">
        <v>7209.6170000000002</v>
      </c>
    </row>
    <row r="1390" spans="3:11">
      <c r="C1390" s="861">
        <v>43224</v>
      </c>
      <c r="D1390" s="805">
        <v>52.78</v>
      </c>
      <c r="E1390" s="805">
        <v>59.765000000000001</v>
      </c>
      <c r="F1390" s="806">
        <v>11.28</v>
      </c>
      <c r="G1390" s="805">
        <v>7.51651611163543</v>
      </c>
      <c r="H1390" s="805">
        <v>230.52</v>
      </c>
      <c r="I1390" s="805">
        <v>47.58</v>
      </c>
      <c r="J1390" s="805">
        <v>2663.42</v>
      </c>
      <c r="K1390" s="805">
        <v>7209.6170000000002</v>
      </c>
    </row>
    <row r="1391" spans="3:11">
      <c r="C1391" s="861">
        <v>43223</v>
      </c>
      <c r="D1391" s="805">
        <v>52.28</v>
      </c>
      <c r="E1391" s="805">
        <v>58.247500000000002</v>
      </c>
      <c r="F1391" s="806">
        <v>10.93</v>
      </c>
      <c r="G1391" s="805">
        <v>7.4319997303582896</v>
      </c>
      <c r="H1391" s="805">
        <v>225.25</v>
      </c>
      <c r="I1391" s="805">
        <v>46.62</v>
      </c>
      <c r="J1391" s="805">
        <v>2629.73</v>
      </c>
      <c r="K1391" s="805">
        <v>7088.1509999999998</v>
      </c>
    </row>
    <row r="1392" spans="3:11">
      <c r="C1392" s="861">
        <v>43222</v>
      </c>
      <c r="D1392" s="805">
        <v>52.31</v>
      </c>
      <c r="E1392" s="805">
        <v>56.577500000000001</v>
      </c>
      <c r="F1392" s="806">
        <v>10.97</v>
      </c>
      <c r="G1392" s="805">
        <v>7.4867387363190803</v>
      </c>
      <c r="H1392" s="805">
        <v>228.74</v>
      </c>
      <c r="I1392" s="805">
        <v>45.89</v>
      </c>
      <c r="J1392" s="805">
        <v>2635.67</v>
      </c>
      <c r="K1392" s="805">
        <v>7100.8969999999999</v>
      </c>
    </row>
    <row r="1393" spans="3:11">
      <c r="C1393" s="861">
        <v>43221</v>
      </c>
      <c r="D1393" s="805">
        <v>53.33</v>
      </c>
      <c r="E1393" s="805">
        <v>56.784999999999997</v>
      </c>
      <c r="F1393" s="806">
        <v>11.13</v>
      </c>
      <c r="G1393" s="805">
        <v>7.6629645883266404</v>
      </c>
      <c r="H1393" s="805">
        <v>230.38</v>
      </c>
      <c r="I1393" s="805">
        <v>46.79</v>
      </c>
      <c r="J1393" s="805">
        <v>2654.8</v>
      </c>
      <c r="K1393" s="805">
        <v>7130.7039999999997</v>
      </c>
    </row>
    <row r="1394" spans="3:11">
      <c r="C1394" s="861">
        <v>43220</v>
      </c>
      <c r="D1394" s="805">
        <v>51.62</v>
      </c>
      <c r="E1394" s="805">
        <v>56.225000000000001</v>
      </c>
      <c r="F1394" s="806">
        <v>10.88</v>
      </c>
      <c r="G1394" s="805">
        <v>7.6629645883266404</v>
      </c>
      <c r="H1394" s="805">
        <v>229.42</v>
      </c>
      <c r="I1394" s="805">
        <v>45.98</v>
      </c>
      <c r="J1394" s="805">
        <v>2648.05</v>
      </c>
      <c r="K1394" s="805">
        <v>7066.2659999999996</v>
      </c>
    </row>
    <row r="1395" spans="3:11">
      <c r="C1395" s="861">
        <v>43219</v>
      </c>
      <c r="D1395" s="805">
        <v>52.73</v>
      </c>
      <c r="E1395" s="805">
        <v>56.582500000000003</v>
      </c>
      <c r="F1395" s="806">
        <v>11.11</v>
      </c>
      <c r="G1395" s="805">
        <v>7.5601258329668903</v>
      </c>
      <c r="H1395" s="805">
        <v>232.78</v>
      </c>
      <c r="I1395" s="805">
        <v>47.52</v>
      </c>
      <c r="J1395" s="805">
        <v>2669.91</v>
      </c>
      <c r="K1395" s="805">
        <v>7119.799</v>
      </c>
    </row>
    <row r="1396" spans="3:11">
      <c r="C1396" s="861">
        <v>43218</v>
      </c>
      <c r="D1396" s="805">
        <v>52.73</v>
      </c>
      <c r="E1396" s="805">
        <v>56.582500000000003</v>
      </c>
      <c r="F1396" s="806">
        <v>11.11</v>
      </c>
      <c r="G1396" s="805">
        <v>7.5601258329668903</v>
      </c>
      <c r="H1396" s="805">
        <v>232.78</v>
      </c>
      <c r="I1396" s="805">
        <v>47.52</v>
      </c>
      <c r="J1396" s="805">
        <v>2669.91</v>
      </c>
      <c r="K1396" s="805">
        <v>7119.799</v>
      </c>
    </row>
    <row r="1397" spans="3:11">
      <c r="C1397" s="861">
        <v>43217</v>
      </c>
      <c r="D1397" s="805">
        <v>52.73</v>
      </c>
      <c r="E1397" s="805">
        <v>56.582500000000003</v>
      </c>
      <c r="F1397" s="806">
        <v>11.11</v>
      </c>
      <c r="G1397" s="805">
        <v>7.5601258329668903</v>
      </c>
      <c r="H1397" s="805">
        <v>232.78</v>
      </c>
      <c r="I1397" s="805">
        <v>47.52</v>
      </c>
      <c r="J1397" s="805">
        <v>2669.91</v>
      </c>
      <c r="K1397" s="805">
        <v>7119.799</v>
      </c>
    </row>
    <row r="1398" spans="3:11">
      <c r="C1398" s="861">
        <v>43216</v>
      </c>
      <c r="D1398" s="805">
        <v>53.05</v>
      </c>
      <c r="E1398" s="805">
        <v>56.305</v>
      </c>
      <c r="F1398" s="806">
        <v>11.04</v>
      </c>
      <c r="G1398" s="805">
        <v>7.4888678990689499</v>
      </c>
      <c r="H1398" s="805">
        <v>230.42</v>
      </c>
      <c r="I1398" s="805">
        <v>50.14</v>
      </c>
      <c r="J1398" s="805">
        <v>2666.94</v>
      </c>
      <c r="K1398" s="805">
        <v>7118.6769999999997</v>
      </c>
    </row>
    <row r="1399" spans="3:11">
      <c r="C1399" s="861">
        <v>43215</v>
      </c>
      <c r="D1399" s="805">
        <v>51.38</v>
      </c>
      <c r="E1399" s="805">
        <v>54.164999999999999</v>
      </c>
      <c r="F1399" s="806">
        <v>9.7100000000000009</v>
      </c>
      <c r="G1399" s="805">
        <v>7.5816288708427404</v>
      </c>
      <c r="H1399" s="805">
        <v>229</v>
      </c>
      <c r="I1399" s="805">
        <v>47.6</v>
      </c>
      <c r="J1399" s="805">
        <v>2639.4</v>
      </c>
      <c r="K1399" s="805">
        <v>7003.7370000000001</v>
      </c>
    </row>
    <row r="1400" spans="3:11">
      <c r="C1400" s="861">
        <v>43214</v>
      </c>
      <c r="D1400" s="805">
        <v>51.45</v>
      </c>
      <c r="E1400" s="805">
        <v>55.3</v>
      </c>
      <c r="F1400" s="806">
        <v>10.09</v>
      </c>
      <c r="G1400" s="805">
        <v>7.66607004153862</v>
      </c>
      <c r="H1400" s="805">
        <v>228.39</v>
      </c>
      <c r="I1400" s="805">
        <v>47.11</v>
      </c>
      <c r="J1400" s="805">
        <v>2634.56</v>
      </c>
      <c r="K1400" s="805">
        <v>7007.3519999999999</v>
      </c>
    </row>
    <row r="1401" spans="3:11">
      <c r="C1401" s="861">
        <v>43213</v>
      </c>
      <c r="D1401" s="805">
        <v>51.1</v>
      </c>
      <c r="E1401" s="805">
        <v>55.97</v>
      </c>
      <c r="F1401" s="806">
        <v>10.039999999999999</v>
      </c>
      <c r="G1401" s="805">
        <v>7.6535784280597401</v>
      </c>
      <c r="H1401" s="805">
        <v>233.45</v>
      </c>
      <c r="I1401" s="805">
        <v>49.02</v>
      </c>
      <c r="J1401" s="805">
        <v>2670.29</v>
      </c>
      <c r="K1401" s="805">
        <v>7128.6009999999997</v>
      </c>
    </row>
    <row r="1402" spans="3:11">
      <c r="C1402" s="861">
        <v>43212</v>
      </c>
      <c r="D1402" s="805">
        <v>51.53</v>
      </c>
      <c r="E1402" s="805">
        <v>57.177500000000002</v>
      </c>
      <c r="F1402" s="806">
        <v>9.99</v>
      </c>
      <c r="G1402" s="805">
        <v>7.7756273131642404</v>
      </c>
      <c r="H1402" s="805">
        <v>237.12</v>
      </c>
      <c r="I1402" s="805">
        <v>50.62</v>
      </c>
      <c r="J1402" s="805">
        <v>2670.14</v>
      </c>
      <c r="K1402" s="805">
        <v>7146.1260000000002</v>
      </c>
    </row>
    <row r="1403" spans="3:11">
      <c r="C1403" s="861">
        <v>43211</v>
      </c>
      <c r="D1403" s="805">
        <v>51.53</v>
      </c>
      <c r="E1403" s="805">
        <v>57.177500000000002</v>
      </c>
      <c r="F1403" s="806">
        <v>9.99</v>
      </c>
      <c r="G1403" s="805">
        <v>7.7756273131642404</v>
      </c>
      <c r="H1403" s="805">
        <v>237.12</v>
      </c>
      <c r="I1403" s="805">
        <v>50.62</v>
      </c>
      <c r="J1403" s="805">
        <v>2670.14</v>
      </c>
      <c r="K1403" s="805">
        <v>7146.1260000000002</v>
      </c>
    </row>
    <row r="1404" spans="3:11">
      <c r="C1404" s="861">
        <v>43210</v>
      </c>
      <c r="D1404" s="805">
        <v>51.53</v>
      </c>
      <c r="E1404" s="805">
        <v>57.177500000000002</v>
      </c>
      <c r="F1404" s="806">
        <v>9.99</v>
      </c>
      <c r="G1404" s="805">
        <v>7.7756273131642404</v>
      </c>
      <c r="H1404" s="805">
        <v>237.12</v>
      </c>
      <c r="I1404" s="805">
        <v>50.62</v>
      </c>
      <c r="J1404" s="805">
        <v>2670.14</v>
      </c>
      <c r="K1404" s="805">
        <v>7146.1260000000002</v>
      </c>
    </row>
    <row r="1405" spans="3:11">
      <c r="C1405" s="861">
        <v>43209</v>
      </c>
      <c r="D1405" s="805">
        <v>52.22</v>
      </c>
      <c r="E1405" s="805">
        <v>57.26</v>
      </c>
      <c r="F1405" s="806">
        <v>10.11</v>
      </c>
      <c r="G1405" s="805">
        <v>8.3208548870133399</v>
      </c>
      <c r="H1405" s="805">
        <v>242.86</v>
      </c>
      <c r="I1405" s="805">
        <v>51.42</v>
      </c>
      <c r="J1405" s="805">
        <v>2693.13</v>
      </c>
      <c r="K1405" s="805">
        <v>7238.0559999999996</v>
      </c>
    </row>
    <row r="1406" spans="3:11">
      <c r="C1406" s="861">
        <v>43208</v>
      </c>
      <c r="D1406" s="805">
        <v>53.61</v>
      </c>
      <c r="E1406" s="805">
        <v>59.092500000000001</v>
      </c>
      <c r="F1406" s="806">
        <v>10.36</v>
      </c>
      <c r="G1406" s="805">
        <v>8.1270274884753295</v>
      </c>
      <c r="H1406" s="805">
        <v>249.59</v>
      </c>
      <c r="I1406" s="805">
        <v>54.01</v>
      </c>
      <c r="J1406" s="805">
        <v>2708.64</v>
      </c>
      <c r="K1406" s="805">
        <v>7295.2359999999999</v>
      </c>
    </row>
    <row r="1407" spans="3:11">
      <c r="C1407" s="861">
        <v>43207</v>
      </c>
      <c r="D1407" s="805">
        <v>53.54</v>
      </c>
      <c r="E1407" s="805">
        <v>59.384999999999998</v>
      </c>
      <c r="F1407" s="806">
        <v>10.52</v>
      </c>
      <c r="G1407" s="805">
        <v>8.1090289608177208</v>
      </c>
      <c r="H1407" s="805">
        <v>251.74</v>
      </c>
      <c r="I1407" s="805">
        <v>52.26</v>
      </c>
      <c r="J1407" s="805">
        <v>2706.39</v>
      </c>
      <c r="K1407" s="805">
        <v>7281.0990000000002</v>
      </c>
    </row>
    <row r="1408" spans="3:11">
      <c r="C1408" s="861">
        <v>43206</v>
      </c>
      <c r="D1408" s="805">
        <v>52.4</v>
      </c>
      <c r="E1408" s="805">
        <v>57.872500000000002</v>
      </c>
      <c r="F1408" s="806">
        <v>10.09</v>
      </c>
      <c r="G1408" s="805">
        <v>8.2981188658669591</v>
      </c>
      <c r="H1408" s="805">
        <v>249.37</v>
      </c>
      <c r="I1408" s="805">
        <v>51.65</v>
      </c>
      <c r="J1408" s="805">
        <v>2677.84</v>
      </c>
      <c r="K1408" s="805">
        <v>7156.2849999999999</v>
      </c>
    </row>
    <row r="1409" spans="3:11">
      <c r="C1409" s="861">
        <v>43205</v>
      </c>
      <c r="D1409" s="805">
        <v>51.86</v>
      </c>
      <c r="E1409" s="805">
        <v>57.875</v>
      </c>
      <c r="F1409" s="806">
        <v>9.93</v>
      </c>
      <c r="G1409" s="805">
        <v>8.3421474632365502</v>
      </c>
      <c r="H1409" s="805">
        <v>246.94</v>
      </c>
      <c r="I1409" s="805">
        <v>52.23</v>
      </c>
      <c r="J1409" s="805">
        <v>2656.3</v>
      </c>
      <c r="K1409" s="805">
        <v>7106.65</v>
      </c>
    </row>
    <row r="1410" spans="3:11">
      <c r="C1410" s="861">
        <v>43204</v>
      </c>
      <c r="D1410" s="805">
        <v>51.86</v>
      </c>
      <c r="E1410" s="805">
        <v>57.875</v>
      </c>
      <c r="F1410" s="806">
        <v>9.93</v>
      </c>
      <c r="G1410" s="805">
        <v>8.3421474632365502</v>
      </c>
      <c r="H1410" s="805">
        <v>246.94</v>
      </c>
      <c r="I1410" s="805">
        <v>52.23</v>
      </c>
      <c r="J1410" s="805">
        <v>2656.3</v>
      </c>
      <c r="K1410" s="805">
        <v>7106.65</v>
      </c>
    </row>
    <row r="1411" spans="3:11">
      <c r="C1411" s="861">
        <v>43203</v>
      </c>
      <c r="D1411" s="805">
        <v>51.86</v>
      </c>
      <c r="E1411" s="805">
        <v>57.875</v>
      </c>
      <c r="F1411" s="806">
        <v>9.93</v>
      </c>
      <c r="G1411" s="805">
        <v>8.3421474632365502</v>
      </c>
      <c r="H1411" s="805">
        <v>246.94</v>
      </c>
      <c r="I1411" s="805">
        <v>52.23</v>
      </c>
      <c r="J1411" s="805">
        <v>2656.3</v>
      </c>
      <c r="K1411" s="805">
        <v>7106.65</v>
      </c>
    </row>
    <row r="1412" spans="3:11">
      <c r="C1412" s="861">
        <v>43202</v>
      </c>
      <c r="D1412" s="805">
        <v>52.72</v>
      </c>
      <c r="E1412" s="805">
        <v>58.65</v>
      </c>
      <c r="F1412" s="806">
        <v>10.08</v>
      </c>
      <c r="G1412" s="805">
        <v>8.3666291022094708</v>
      </c>
      <c r="H1412" s="805">
        <v>239.43</v>
      </c>
      <c r="I1412" s="805">
        <v>52.59</v>
      </c>
      <c r="J1412" s="805">
        <v>2663.99</v>
      </c>
      <c r="K1412" s="805">
        <v>7140.2479999999996</v>
      </c>
    </row>
    <row r="1413" spans="3:11">
      <c r="C1413" s="861">
        <v>43201</v>
      </c>
      <c r="D1413" s="805">
        <v>51.1</v>
      </c>
      <c r="E1413" s="805">
        <v>56.56</v>
      </c>
      <c r="F1413" s="806">
        <v>9.82</v>
      </c>
      <c r="G1413" s="805">
        <v>8.4937324474279094</v>
      </c>
      <c r="H1413" s="805">
        <v>240.32</v>
      </c>
      <c r="I1413" s="805">
        <v>50.48</v>
      </c>
      <c r="J1413" s="805">
        <v>2642.19</v>
      </c>
      <c r="K1413" s="805">
        <v>7069.0259999999998</v>
      </c>
    </row>
    <row r="1414" spans="3:11">
      <c r="C1414" s="861">
        <v>43200</v>
      </c>
      <c r="D1414" s="805">
        <v>51.27</v>
      </c>
      <c r="E1414" s="805">
        <v>56.977499999999999</v>
      </c>
      <c r="F1414" s="806">
        <v>9.98</v>
      </c>
      <c r="G1414" s="805">
        <v>8.4147386461011102</v>
      </c>
      <c r="H1414" s="805">
        <v>239.75</v>
      </c>
      <c r="I1414" s="805">
        <v>50.48</v>
      </c>
      <c r="J1414" s="805">
        <v>2656.87</v>
      </c>
      <c r="K1414" s="805">
        <v>7094.3010000000004</v>
      </c>
    </row>
    <row r="1415" spans="3:11">
      <c r="C1415" s="861">
        <v>43199</v>
      </c>
      <c r="D1415" s="805">
        <v>49.55</v>
      </c>
      <c r="E1415" s="805">
        <v>53.852499999999999</v>
      </c>
      <c r="F1415" s="806">
        <v>9.5299999999999994</v>
      </c>
      <c r="G1415" s="805">
        <v>8.3789329685362492</v>
      </c>
      <c r="H1415" s="805">
        <v>234.74</v>
      </c>
      <c r="I1415" s="805">
        <v>47.96</v>
      </c>
      <c r="J1415" s="805">
        <v>2613.16</v>
      </c>
      <c r="K1415" s="805">
        <v>6950.3440000000001</v>
      </c>
    </row>
    <row r="1416" spans="3:11">
      <c r="C1416" s="861">
        <v>43198</v>
      </c>
      <c r="D1416" s="805">
        <v>48.79</v>
      </c>
      <c r="E1416" s="805">
        <v>53.5625</v>
      </c>
      <c r="F1416" s="806">
        <v>9.61</v>
      </c>
      <c r="G1416" s="805">
        <v>8.3773947675616292</v>
      </c>
      <c r="H1416" s="805">
        <v>228.87</v>
      </c>
      <c r="I1416" s="805">
        <v>48.46</v>
      </c>
      <c r="J1416" s="805">
        <v>2604.4699999999998</v>
      </c>
      <c r="K1416" s="805">
        <v>6915.1109999999999</v>
      </c>
    </row>
    <row r="1417" spans="3:11">
      <c r="C1417" s="861">
        <v>43197</v>
      </c>
      <c r="D1417" s="805">
        <v>48.79</v>
      </c>
      <c r="E1417" s="805">
        <v>53.5625</v>
      </c>
      <c r="F1417" s="806">
        <v>9.61</v>
      </c>
      <c r="G1417" s="805">
        <v>8.3773947675616292</v>
      </c>
      <c r="H1417" s="805">
        <v>228.87</v>
      </c>
      <c r="I1417" s="805">
        <v>48.46</v>
      </c>
      <c r="J1417" s="805">
        <v>2604.4699999999998</v>
      </c>
      <c r="K1417" s="805">
        <v>6915.1109999999999</v>
      </c>
    </row>
    <row r="1418" spans="3:11">
      <c r="C1418" s="861">
        <v>43196</v>
      </c>
      <c r="D1418" s="805">
        <v>48.79</v>
      </c>
      <c r="E1418" s="805">
        <v>53.5625</v>
      </c>
      <c r="F1418" s="806">
        <v>9.61</v>
      </c>
      <c r="G1418" s="805">
        <v>8.3773947675616292</v>
      </c>
      <c r="H1418" s="805">
        <v>228.87</v>
      </c>
      <c r="I1418" s="805">
        <v>48.46</v>
      </c>
      <c r="J1418" s="805">
        <v>2604.4699999999998</v>
      </c>
      <c r="K1418" s="805">
        <v>6915.1109999999999</v>
      </c>
    </row>
    <row r="1419" spans="3:11">
      <c r="C1419" s="861">
        <v>43195</v>
      </c>
      <c r="D1419" s="805">
        <v>50.38</v>
      </c>
      <c r="E1419" s="805">
        <v>55.344999999999999</v>
      </c>
      <c r="F1419" s="806">
        <v>10.02</v>
      </c>
      <c r="G1419" s="805">
        <v>8.3773947675616292</v>
      </c>
      <c r="H1419" s="805">
        <v>236.31</v>
      </c>
      <c r="I1419" s="805">
        <v>49.84</v>
      </c>
      <c r="J1419" s="805">
        <v>2662.84</v>
      </c>
      <c r="K1419" s="805">
        <v>7076.5519999999997</v>
      </c>
    </row>
    <row r="1420" spans="3:11">
      <c r="C1420" s="861">
        <v>43194</v>
      </c>
      <c r="D1420" s="805">
        <v>49.99</v>
      </c>
      <c r="E1420" s="805">
        <v>56.56</v>
      </c>
      <c r="F1420" s="806">
        <v>9.77</v>
      </c>
      <c r="G1420" s="805">
        <v>8.3773947675616292</v>
      </c>
      <c r="H1420" s="805">
        <v>236.99</v>
      </c>
      <c r="I1420" s="805">
        <v>53.39</v>
      </c>
      <c r="J1420" s="805">
        <v>2644.69</v>
      </c>
      <c r="K1420" s="805">
        <v>7042.107</v>
      </c>
    </row>
    <row r="1421" spans="3:11">
      <c r="C1421" s="861">
        <v>43193</v>
      </c>
      <c r="D1421" s="805">
        <v>49.75</v>
      </c>
      <c r="E1421" s="805">
        <v>56.337499999999999</v>
      </c>
      <c r="F1421" s="806">
        <v>9.5500000000000007</v>
      </c>
      <c r="G1421" s="805">
        <v>8.3773947675616292</v>
      </c>
      <c r="H1421" s="805">
        <v>236.78</v>
      </c>
      <c r="I1421" s="805">
        <v>51.55</v>
      </c>
      <c r="J1421" s="805">
        <v>2614.4499999999998</v>
      </c>
      <c r="K1421" s="805">
        <v>6941.2820000000002</v>
      </c>
    </row>
    <row r="1422" spans="3:11">
      <c r="C1422" s="861">
        <v>43192</v>
      </c>
      <c r="D1422" s="805">
        <v>48.92</v>
      </c>
      <c r="E1422" s="805">
        <v>55.262500000000003</v>
      </c>
      <c r="F1422" s="806">
        <v>9.5299999999999994</v>
      </c>
      <c r="G1422" s="805">
        <v>8.4626476242790396</v>
      </c>
      <c r="H1422" s="805">
        <v>227.68</v>
      </c>
      <c r="I1422" s="805">
        <v>50.06</v>
      </c>
      <c r="J1422" s="805">
        <v>2581.88</v>
      </c>
      <c r="K1422" s="805">
        <v>6870.1189999999997</v>
      </c>
    </row>
    <row r="1423" spans="3:11">
      <c r="C1423" s="861">
        <v>43191</v>
      </c>
      <c r="D1423" s="805">
        <v>52.08</v>
      </c>
      <c r="E1423" s="805">
        <v>57.897500000000001</v>
      </c>
      <c r="F1423" s="806">
        <v>10.050000000000001</v>
      </c>
      <c r="G1423" s="805">
        <v>8.5124677558039608</v>
      </c>
      <c r="H1423" s="805">
        <v>235.65</v>
      </c>
      <c r="I1423" s="805">
        <v>52.14</v>
      </c>
      <c r="J1423" s="805">
        <v>2640.87</v>
      </c>
      <c r="K1423" s="805">
        <v>7063.4449999999997</v>
      </c>
    </row>
    <row r="1424" spans="3:11">
      <c r="C1424" s="861">
        <v>43190</v>
      </c>
      <c r="D1424" s="805">
        <v>52.08</v>
      </c>
      <c r="E1424" s="805">
        <v>57.897500000000001</v>
      </c>
      <c r="F1424" s="806">
        <v>10.050000000000001</v>
      </c>
      <c r="G1424" s="805">
        <v>8.5124677558039608</v>
      </c>
      <c r="H1424" s="805">
        <v>235.65</v>
      </c>
      <c r="I1424" s="805">
        <v>52.14</v>
      </c>
      <c r="J1424" s="805">
        <v>2640.87</v>
      </c>
      <c r="K1424" s="805">
        <v>7063.4449999999997</v>
      </c>
    </row>
    <row r="1425" spans="3:11">
      <c r="C1425" s="861">
        <v>43189</v>
      </c>
      <c r="D1425" s="805">
        <v>52.08</v>
      </c>
      <c r="E1425" s="805">
        <v>57.897500000000001</v>
      </c>
      <c r="F1425" s="806">
        <v>10.050000000000001</v>
      </c>
      <c r="G1425" s="805">
        <v>8.4608770421324202</v>
      </c>
      <c r="H1425" s="805">
        <v>235.65</v>
      </c>
      <c r="I1425" s="805">
        <v>52.14</v>
      </c>
      <c r="J1425" s="805">
        <v>2640.87</v>
      </c>
      <c r="K1425" s="805">
        <v>7063.4449999999997</v>
      </c>
    </row>
    <row r="1426" spans="3:11">
      <c r="C1426" s="861">
        <v>43188</v>
      </c>
      <c r="D1426" s="805">
        <v>52.08</v>
      </c>
      <c r="E1426" s="805">
        <v>57.897500000000001</v>
      </c>
      <c r="F1426" s="806">
        <v>10.050000000000001</v>
      </c>
      <c r="G1426" s="805">
        <v>8.3840153936020307</v>
      </c>
      <c r="H1426" s="805">
        <v>235.65</v>
      </c>
      <c r="I1426" s="805">
        <v>52.14</v>
      </c>
      <c r="J1426" s="805">
        <v>2640.87</v>
      </c>
      <c r="K1426" s="805">
        <v>7063.4449999999997</v>
      </c>
    </row>
    <row r="1427" spans="3:11">
      <c r="C1427" s="861">
        <v>43187</v>
      </c>
      <c r="D1427" s="805">
        <v>49.6</v>
      </c>
      <c r="E1427" s="805">
        <v>55.337499999999999</v>
      </c>
      <c r="F1427" s="806">
        <v>9.81</v>
      </c>
      <c r="G1427" s="805">
        <v>8.4085526993170205</v>
      </c>
      <c r="H1427" s="805">
        <v>236.68</v>
      </c>
      <c r="I1427" s="805">
        <v>51.49</v>
      </c>
      <c r="J1427" s="805">
        <v>2605</v>
      </c>
      <c r="K1427" s="805">
        <v>6949.2259999999997</v>
      </c>
    </row>
    <row r="1428" spans="3:11">
      <c r="C1428" s="861">
        <v>43186</v>
      </c>
      <c r="D1428" s="805">
        <v>51.19</v>
      </c>
      <c r="E1428" s="805">
        <v>56.38</v>
      </c>
      <c r="F1428" s="806">
        <v>10</v>
      </c>
      <c r="G1428" s="805">
        <v>8.6014872691134592</v>
      </c>
      <c r="H1428" s="805">
        <v>244.37</v>
      </c>
      <c r="I1428" s="805">
        <v>52.4</v>
      </c>
      <c r="J1428" s="805">
        <v>2612.62</v>
      </c>
      <c r="K1428" s="805">
        <v>7008.8059999999996</v>
      </c>
    </row>
    <row r="1429" spans="3:11">
      <c r="C1429" s="861">
        <v>43185</v>
      </c>
      <c r="D1429" s="805">
        <v>52.48</v>
      </c>
      <c r="E1429" s="805">
        <v>61.12</v>
      </c>
      <c r="F1429" s="806">
        <v>10.44</v>
      </c>
      <c r="G1429" s="805">
        <v>8.3743164700622508</v>
      </c>
      <c r="H1429" s="805">
        <v>247.73</v>
      </c>
      <c r="I1429" s="805">
        <v>55.56</v>
      </c>
      <c r="J1429" s="805">
        <v>2658.55</v>
      </c>
      <c r="K1429" s="805">
        <v>7220.5429999999997</v>
      </c>
    </row>
    <row r="1430" spans="3:11">
      <c r="C1430" s="861">
        <v>43184</v>
      </c>
      <c r="D1430" s="805">
        <v>49.36</v>
      </c>
      <c r="E1430" s="805">
        <v>58.2425</v>
      </c>
      <c r="F1430" s="806">
        <v>10.63</v>
      </c>
      <c r="G1430" s="805">
        <v>8.3970250539808795</v>
      </c>
      <c r="H1430" s="805">
        <v>242.48</v>
      </c>
      <c r="I1430" s="805">
        <v>54.21</v>
      </c>
      <c r="J1430" s="805">
        <v>2588.2600000000002</v>
      </c>
      <c r="K1430" s="805">
        <v>6992.6660000000002</v>
      </c>
    </row>
    <row r="1431" spans="3:11">
      <c r="C1431" s="861">
        <v>43183</v>
      </c>
      <c r="D1431" s="805">
        <v>49.36</v>
      </c>
      <c r="E1431" s="805">
        <v>58.2425</v>
      </c>
      <c r="F1431" s="806">
        <v>10.63</v>
      </c>
      <c r="G1431" s="805">
        <v>8.3970250539808795</v>
      </c>
      <c r="H1431" s="805">
        <v>242.48</v>
      </c>
      <c r="I1431" s="805">
        <v>54.21</v>
      </c>
      <c r="J1431" s="805">
        <v>2588.2600000000002</v>
      </c>
      <c r="K1431" s="805">
        <v>6992.6660000000002</v>
      </c>
    </row>
    <row r="1432" spans="3:11">
      <c r="C1432" s="861">
        <v>43182</v>
      </c>
      <c r="D1432" s="805">
        <v>49.36</v>
      </c>
      <c r="E1432" s="805">
        <v>58.2425</v>
      </c>
      <c r="F1432" s="806">
        <v>10.63</v>
      </c>
      <c r="G1432" s="805">
        <v>8.3970250539808795</v>
      </c>
      <c r="H1432" s="805">
        <v>242.48</v>
      </c>
      <c r="I1432" s="805">
        <v>54.21</v>
      </c>
      <c r="J1432" s="805">
        <v>2588.2600000000002</v>
      </c>
      <c r="K1432" s="805">
        <v>6992.6660000000002</v>
      </c>
    </row>
    <row r="1433" spans="3:11">
      <c r="C1433" s="861">
        <v>43181</v>
      </c>
      <c r="D1433" s="805">
        <v>50.83</v>
      </c>
      <c r="E1433" s="805">
        <v>60.462499999999999</v>
      </c>
      <c r="F1433" s="806">
        <v>10.91</v>
      </c>
      <c r="G1433" s="805">
        <v>8.6198032696987408</v>
      </c>
      <c r="H1433" s="805">
        <v>243.57</v>
      </c>
      <c r="I1433" s="805">
        <v>58.92</v>
      </c>
      <c r="J1433" s="805">
        <v>2643.69</v>
      </c>
      <c r="K1433" s="805">
        <v>7166.6769999999997</v>
      </c>
    </row>
    <row r="1434" spans="3:11">
      <c r="C1434" s="861">
        <v>43180</v>
      </c>
      <c r="D1434" s="805">
        <v>51.56</v>
      </c>
      <c r="E1434" s="805">
        <v>62.14</v>
      </c>
      <c r="F1434" s="806">
        <v>11.26</v>
      </c>
      <c r="G1434" s="805">
        <v>8.6856317292146805</v>
      </c>
      <c r="H1434" s="805">
        <v>246</v>
      </c>
      <c r="I1434" s="805">
        <v>61.07</v>
      </c>
      <c r="J1434" s="805">
        <v>2711.93</v>
      </c>
      <c r="K1434" s="805">
        <v>7345.2849999999999</v>
      </c>
    </row>
    <row r="1435" spans="3:11">
      <c r="C1435" s="861">
        <v>43179</v>
      </c>
      <c r="D1435" s="805">
        <v>51.55</v>
      </c>
      <c r="E1435" s="805">
        <v>62.395000000000003</v>
      </c>
      <c r="F1435" s="806">
        <v>11.11</v>
      </c>
      <c r="G1435" s="805">
        <v>8.6786498353457695</v>
      </c>
      <c r="H1435" s="805">
        <v>242.36</v>
      </c>
      <c r="I1435" s="805">
        <v>61.15</v>
      </c>
      <c r="J1435" s="805">
        <v>2716.94</v>
      </c>
      <c r="K1435" s="805">
        <v>7364.3019999999997</v>
      </c>
    </row>
    <row r="1436" spans="3:11">
      <c r="C1436" s="861">
        <v>43178</v>
      </c>
      <c r="D1436" s="805">
        <v>50.83</v>
      </c>
      <c r="E1436" s="805">
        <v>60.25</v>
      </c>
      <c r="F1436" s="806">
        <v>11.43</v>
      </c>
      <c r="G1436" s="805">
        <v>8.7427572256317099</v>
      </c>
      <c r="H1436" s="805">
        <v>244.95</v>
      </c>
      <c r="I1436" s="805">
        <v>60.14</v>
      </c>
      <c r="J1436" s="805">
        <v>2712.92</v>
      </c>
      <c r="K1436" s="805">
        <v>7344.2439999999997</v>
      </c>
    </row>
    <row r="1437" spans="3:11">
      <c r="C1437" s="861">
        <v>43177</v>
      </c>
      <c r="D1437" s="805">
        <v>51.17</v>
      </c>
      <c r="E1437" s="805">
        <v>62.62</v>
      </c>
      <c r="F1437" s="806">
        <v>11.47</v>
      </c>
      <c r="G1437" s="805">
        <v>8.7589736543811991</v>
      </c>
      <c r="H1437" s="805">
        <v>254.87</v>
      </c>
      <c r="I1437" s="805">
        <v>60.58</v>
      </c>
      <c r="J1437" s="805">
        <v>2752.01</v>
      </c>
      <c r="K1437" s="805">
        <v>7481.9880000000003</v>
      </c>
    </row>
    <row r="1438" spans="3:11">
      <c r="C1438" s="861">
        <v>43176</v>
      </c>
      <c r="D1438" s="805">
        <v>51.17</v>
      </c>
      <c r="E1438" s="805">
        <v>62.62</v>
      </c>
      <c r="F1438" s="806">
        <v>11.47</v>
      </c>
      <c r="G1438" s="805">
        <v>8.7589736543811991</v>
      </c>
      <c r="H1438" s="805">
        <v>254.87</v>
      </c>
      <c r="I1438" s="805">
        <v>60.58</v>
      </c>
      <c r="J1438" s="805">
        <v>2752.01</v>
      </c>
      <c r="K1438" s="805">
        <v>7481.9880000000003</v>
      </c>
    </row>
    <row r="1439" spans="3:11">
      <c r="C1439" s="861">
        <v>43175</v>
      </c>
      <c r="D1439" s="805">
        <v>51.17</v>
      </c>
      <c r="E1439" s="805">
        <v>62.62</v>
      </c>
      <c r="F1439" s="806">
        <v>11.47</v>
      </c>
      <c r="G1439" s="805">
        <v>8.7589736543811991</v>
      </c>
      <c r="H1439" s="805">
        <v>254.87</v>
      </c>
      <c r="I1439" s="805">
        <v>60.58</v>
      </c>
      <c r="J1439" s="805">
        <v>2752.01</v>
      </c>
      <c r="K1439" s="805">
        <v>7481.9880000000003</v>
      </c>
    </row>
    <row r="1440" spans="3:11">
      <c r="C1440" s="861">
        <v>43174</v>
      </c>
      <c r="D1440" s="805">
        <v>50.88</v>
      </c>
      <c r="E1440" s="805">
        <v>62.335000000000001</v>
      </c>
      <c r="F1440" s="806">
        <v>11.46</v>
      </c>
      <c r="G1440" s="805">
        <v>8.7544630595990096</v>
      </c>
      <c r="H1440" s="805">
        <v>267.76</v>
      </c>
      <c r="I1440" s="805">
        <v>58.84</v>
      </c>
      <c r="J1440" s="805">
        <v>2747.33</v>
      </c>
      <c r="K1440" s="805">
        <v>7481.741</v>
      </c>
    </row>
    <row r="1441" spans="3:11">
      <c r="C1441" s="861">
        <v>43173</v>
      </c>
      <c r="D1441" s="805">
        <v>51.86</v>
      </c>
      <c r="E1441" s="805">
        <v>62.185000000000002</v>
      </c>
      <c r="F1441" s="806">
        <v>11.36</v>
      </c>
      <c r="G1441" s="805">
        <v>8.8040834503785401</v>
      </c>
      <c r="H1441" s="805">
        <v>260.58999999999997</v>
      </c>
      <c r="I1441" s="805">
        <v>59.78</v>
      </c>
      <c r="J1441" s="805">
        <v>2749.48</v>
      </c>
      <c r="K1441" s="805">
        <v>7496.8109999999997</v>
      </c>
    </row>
    <row r="1442" spans="3:11">
      <c r="C1442" s="861">
        <v>43172</v>
      </c>
      <c r="D1442" s="805">
        <v>51.78</v>
      </c>
      <c r="E1442" s="805">
        <v>61.927500000000002</v>
      </c>
      <c r="F1442" s="806">
        <v>11.64</v>
      </c>
      <c r="G1442" s="805">
        <v>8.8553063457330392</v>
      </c>
      <c r="H1442" s="805">
        <v>261.22000000000003</v>
      </c>
      <c r="I1442" s="805">
        <v>59.43</v>
      </c>
      <c r="J1442" s="805">
        <v>2765.31</v>
      </c>
      <c r="K1442" s="805">
        <v>7511.0119999999997</v>
      </c>
    </row>
    <row r="1443" spans="3:11">
      <c r="C1443" s="861">
        <v>43171</v>
      </c>
      <c r="D1443" s="805">
        <v>51.52</v>
      </c>
      <c r="E1443" s="805">
        <v>62.44</v>
      </c>
      <c r="F1443" s="806">
        <v>11.52</v>
      </c>
      <c r="G1443" s="805">
        <v>8.6819797648345602</v>
      </c>
      <c r="H1443" s="805">
        <v>262.83999999999997</v>
      </c>
      <c r="I1443" s="805">
        <v>59.37</v>
      </c>
      <c r="J1443" s="805">
        <v>2783.02</v>
      </c>
      <c r="K1443" s="805">
        <v>7588.3249999999998</v>
      </c>
    </row>
    <row r="1444" spans="3:11">
      <c r="C1444" s="861">
        <v>43170</v>
      </c>
      <c r="D1444" s="805">
        <v>52.19</v>
      </c>
      <c r="E1444" s="805">
        <v>61.332500000000003</v>
      </c>
      <c r="F1444" s="806">
        <v>11.7</v>
      </c>
      <c r="G1444" s="805">
        <v>8.5673244639009507</v>
      </c>
      <c r="H1444" s="805">
        <v>253.78</v>
      </c>
      <c r="I1444" s="805">
        <v>54.59</v>
      </c>
      <c r="J1444" s="805">
        <v>2786.57</v>
      </c>
      <c r="K1444" s="805">
        <v>7560.81</v>
      </c>
    </row>
    <row r="1445" spans="3:11">
      <c r="C1445" s="861">
        <v>43169</v>
      </c>
      <c r="D1445" s="805">
        <v>52.19</v>
      </c>
      <c r="E1445" s="805">
        <v>61.332500000000003</v>
      </c>
      <c r="F1445" s="806">
        <v>11.7</v>
      </c>
      <c r="G1445" s="805">
        <v>8.5673244639009507</v>
      </c>
      <c r="H1445" s="805">
        <v>253.78</v>
      </c>
      <c r="I1445" s="805">
        <v>54.59</v>
      </c>
      <c r="J1445" s="805">
        <v>2786.57</v>
      </c>
      <c r="K1445" s="805">
        <v>7560.81</v>
      </c>
    </row>
    <row r="1446" spans="3:11">
      <c r="C1446" s="861">
        <v>43168</v>
      </c>
      <c r="D1446" s="805">
        <v>52.19</v>
      </c>
      <c r="E1446" s="805">
        <v>61.332500000000003</v>
      </c>
      <c r="F1446" s="806">
        <v>11.7</v>
      </c>
      <c r="G1446" s="805">
        <v>8.5673244639009507</v>
      </c>
      <c r="H1446" s="805">
        <v>253.78</v>
      </c>
      <c r="I1446" s="805">
        <v>54.59</v>
      </c>
      <c r="J1446" s="805">
        <v>2786.57</v>
      </c>
      <c r="K1446" s="805">
        <v>7560.81</v>
      </c>
    </row>
    <row r="1447" spans="3:11">
      <c r="C1447" s="861">
        <v>43167</v>
      </c>
      <c r="D1447" s="805">
        <v>50.74</v>
      </c>
      <c r="E1447" s="805">
        <v>60.295000000000002</v>
      </c>
      <c r="F1447" s="806">
        <v>11.97</v>
      </c>
      <c r="G1447" s="805">
        <v>8.5098400354718802</v>
      </c>
      <c r="H1447" s="805">
        <v>246.95</v>
      </c>
      <c r="I1447" s="805">
        <v>55.22</v>
      </c>
      <c r="J1447" s="805">
        <v>2738.97</v>
      </c>
      <c r="K1447" s="805">
        <v>7427.9459999999999</v>
      </c>
    </row>
    <row r="1448" spans="3:11">
      <c r="C1448" s="861">
        <v>43166</v>
      </c>
      <c r="D1448" s="805">
        <v>51.32</v>
      </c>
      <c r="E1448" s="805">
        <v>60.46</v>
      </c>
      <c r="F1448" s="806">
        <v>12.24</v>
      </c>
      <c r="G1448" s="805">
        <v>8.4438670860112097</v>
      </c>
      <c r="H1448" s="805">
        <v>247.05</v>
      </c>
      <c r="I1448" s="805">
        <v>53.97</v>
      </c>
      <c r="J1448" s="805">
        <v>2726.8</v>
      </c>
      <c r="K1448" s="805">
        <v>7396.6490000000003</v>
      </c>
    </row>
    <row r="1449" spans="3:11">
      <c r="C1449" s="861">
        <v>43165</v>
      </c>
      <c r="D1449" s="805">
        <v>50.71</v>
      </c>
      <c r="E1449" s="805">
        <v>60.54</v>
      </c>
      <c r="F1449" s="806">
        <v>11.76</v>
      </c>
      <c r="G1449" s="805">
        <v>8.5631101215961607</v>
      </c>
      <c r="H1449" s="805">
        <v>250.96</v>
      </c>
      <c r="I1449" s="805">
        <v>53.74</v>
      </c>
      <c r="J1449" s="805">
        <v>2728.12</v>
      </c>
      <c r="K1449" s="805">
        <v>7372.0069999999996</v>
      </c>
    </row>
    <row r="1450" spans="3:11">
      <c r="C1450" s="861">
        <v>43164</v>
      </c>
      <c r="D1450" s="805">
        <v>49.75</v>
      </c>
      <c r="E1450" s="805">
        <v>58.912500000000001</v>
      </c>
      <c r="F1450" s="806">
        <v>11.91</v>
      </c>
      <c r="G1450" s="805">
        <v>8.2544348361076008</v>
      </c>
      <c r="H1450" s="805">
        <v>246.98</v>
      </c>
      <c r="I1450" s="805">
        <v>52.03</v>
      </c>
      <c r="J1450" s="805">
        <v>2720.94</v>
      </c>
      <c r="K1450" s="805">
        <v>7330.7049999999999</v>
      </c>
    </row>
    <row r="1451" spans="3:11">
      <c r="C1451" s="861">
        <v>43163</v>
      </c>
      <c r="D1451" s="805">
        <v>48.98</v>
      </c>
      <c r="E1451" s="805">
        <v>59.134999999999998</v>
      </c>
      <c r="F1451" s="806">
        <v>11.81</v>
      </c>
      <c r="G1451" s="805">
        <v>8.2003621826630706</v>
      </c>
      <c r="H1451" s="805">
        <v>250.87</v>
      </c>
      <c r="I1451" s="805">
        <v>49.11</v>
      </c>
      <c r="J1451" s="805">
        <v>2691.25</v>
      </c>
      <c r="K1451" s="805">
        <v>7257.866</v>
      </c>
    </row>
    <row r="1452" spans="3:11">
      <c r="C1452" s="861">
        <v>43162</v>
      </c>
      <c r="D1452" s="805">
        <v>48.98</v>
      </c>
      <c r="E1452" s="805">
        <v>59.134999999999998</v>
      </c>
      <c r="F1452" s="806">
        <v>11.81</v>
      </c>
      <c r="G1452" s="805">
        <v>8.2003621826630706</v>
      </c>
      <c r="H1452" s="805">
        <v>250.87</v>
      </c>
      <c r="I1452" s="805">
        <v>49.11</v>
      </c>
      <c r="J1452" s="805">
        <v>2691.25</v>
      </c>
      <c r="K1452" s="805">
        <v>7257.866</v>
      </c>
    </row>
    <row r="1453" spans="3:11">
      <c r="C1453" s="861">
        <v>43161</v>
      </c>
      <c r="D1453" s="805">
        <v>48.98</v>
      </c>
      <c r="E1453" s="805">
        <v>59.134999999999998</v>
      </c>
      <c r="F1453" s="806">
        <v>11.81</v>
      </c>
      <c r="G1453" s="805">
        <v>8.2003621826630706</v>
      </c>
      <c r="H1453" s="805">
        <v>250.87</v>
      </c>
      <c r="I1453" s="805">
        <v>49.11</v>
      </c>
      <c r="J1453" s="805">
        <v>2691.25</v>
      </c>
      <c r="K1453" s="805">
        <v>7257.866</v>
      </c>
    </row>
    <row r="1454" spans="3:11">
      <c r="C1454" s="861">
        <v>43160</v>
      </c>
      <c r="D1454" s="805">
        <v>47.84</v>
      </c>
      <c r="E1454" s="805">
        <v>58.052500000000002</v>
      </c>
      <c r="F1454" s="806">
        <v>11.9</v>
      </c>
      <c r="G1454" s="805">
        <v>8.2969134116361705</v>
      </c>
      <c r="H1454" s="805">
        <v>243.31</v>
      </c>
      <c r="I1454" s="805">
        <v>47.62</v>
      </c>
      <c r="J1454" s="805">
        <v>2677.67</v>
      </c>
      <c r="K1454" s="805">
        <v>7180.5609999999997</v>
      </c>
    </row>
    <row r="1455" spans="3:11">
      <c r="C1455" s="861">
        <v>43159</v>
      </c>
      <c r="D1455" s="805">
        <v>49.29</v>
      </c>
      <c r="E1455" s="805">
        <v>60.5</v>
      </c>
      <c r="F1455" s="806">
        <v>12.11</v>
      </c>
      <c r="G1455" s="805">
        <v>8.4025002561737896</v>
      </c>
      <c r="H1455" s="805">
        <v>246.46</v>
      </c>
      <c r="I1455" s="805">
        <v>48.81</v>
      </c>
      <c r="J1455" s="805">
        <v>2713.83</v>
      </c>
      <c r="K1455" s="805">
        <v>7273.009</v>
      </c>
    </row>
    <row r="1456" spans="3:11">
      <c r="C1456" s="861">
        <v>43158</v>
      </c>
      <c r="D1456" s="805">
        <v>49.91</v>
      </c>
      <c r="E1456" s="805">
        <v>61.515000000000001</v>
      </c>
      <c r="F1456" s="806">
        <v>12.53</v>
      </c>
      <c r="G1456" s="805">
        <v>8.4025002561737896</v>
      </c>
      <c r="H1456" s="805">
        <v>251.81</v>
      </c>
      <c r="I1456" s="805">
        <v>48.58</v>
      </c>
      <c r="J1456" s="805">
        <v>2744.28</v>
      </c>
      <c r="K1456" s="805">
        <v>7330.3540000000003</v>
      </c>
    </row>
    <row r="1457" spans="3:11">
      <c r="C1457" s="861">
        <v>43157</v>
      </c>
      <c r="D1457" s="805">
        <v>49.11</v>
      </c>
      <c r="E1457" s="805">
        <v>61.645000000000003</v>
      </c>
      <c r="F1457" s="806">
        <v>12.42</v>
      </c>
      <c r="G1457" s="805">
        <v>8.4420699339018501</v>
      </c>
      <c r="H1457" s="805">
        <v>252.95</v>
      </c>
      <c r="I1457" s="805">
        <v>47.98</v>
      </c>
      <c r="J1457" s="805">
        <v>2779.6</v>
      </c>
      <c r="K1457" s="805">
        <v>7421.4639999999999</v>
      </c>
    </row>
    <row r="1458" spans="3:11">
      <c r="C1458" s="861">
        <v>43156</v>
      </c>
      <c r="D1458" s="805">
        <v>47.73</v>
      </c>
      <c r="E1458" s="805">
        <v>61.482500000000002</v>
      </c>
      <c r="F1458" s="806">
        <v>12.07</v>
      </c>
      <c r="G1458" s="805">
        <v>8.3789329685362492</v>
      </c>
      <c r="H1458" s="805">
        <v>253.71</v>
      </c>
      <c r="I1458" s="805">
        <v>46.53</v>
      </c>
      <c r="J1458" s="805">
        <v>2747.3</v>
      </c>
      <c r="K1458" s="805">
        <v>7337.39</v>
      </c>
    </row>
    <row r="1459" spans="3:11">
      <c r="C1459" s="861">
        <v>43155</v>
      </c>
      <c r="D1459" s="805">
        <v>47.73</v>
      </c>
      <c r="E1459" s="805">
        <v>61.482500000000002</v>
      </c>
      <c r="F1459" s="806">
        <v>12.07</v>
      </c>
      <c r="G1459" s="805">
        <v>8.3789329685362492</v>
      </c>
      <c r="H1459" s="805">
        <v>253.71</v>
      </c>
      <c r="I1459" s="805">
        <v>46.53</v>
      </c>
      <c r="J1459" s="805">
        <v>2747.3</v>
      </c>
      <c r="K1459" s="805">
        <v>7337.39</v>
      </c>
    </row>
    <row r="1460" spans="3:11">
      <c r="C1460" s="861">
        <v>43154</v>
      </c>
      <c r="D1460" s="805">
        <v>47.73</v>
      </c>
      <c r="E1460" s="805">
        <v>61.482500000000002</v>
      </c>
      <c r="F1460" s="806">
        <v>12.07</v>
      </c>
      <c r="G1460" s="805">
        <v>8.3789329685362492</v>
      </c>
      <c r="H1460" s="805">
        <v>253.71</v>
      </c>
      <c r="I1460" s="805">
        <v>46.53</v>
      </c>
      <c r="J1460" s="805">
        <v>2747.3</v>
      </c>
      <c r="K1460" s="805">
        <v>7337.39</v>
      </c>
    </row>
    <row r="1461" spans="3:11">
      <c r="C1461" s="861">
        <v>43153</v>
      </c>
      <c r="D1461" s="805">
        <v>45.8</v>
      </c>
      <c r="E1461" s="805">
        <v>60.537500000000001</v>
      </c>
      <c r="F1461" s="806">
        <v>11.84</v>
      </c>
      <c r="G1461" s="805">
        <v>8.1793654588299596</v>
      </c>
      <c r="H1461" s="805">
        <v>249.35</v>
      </c>
      <c r="I1461" s="805">
        <v>44.25</v>
      </c>
      <c r="J1461" s="805">
        <v>2703.96</v>
      </c>
      <c r="K1461" s="805">
        <v>7210.0860000000002</v>
      </c>
    </row>
    <row r="1462" spans="3:11">
      <c r="C1462" s="861">
        <v>43152</v>
      </c>
      <c r="D1462" s="805">
        <v>45.94</v>
      </c>
      <c r="E1462" s="805">
        <v>60.377499999999998</v>
      </c>
      <c r="F1462" s="806">
        <v>11.72</v>
      </c>
      <c r="G1462" s="805">
        <v>8.2974064189420407</v>
      </c>
      <c r="H1462" s="805">
        <v>248.62</v>
      </c>
      <c r="I1462" s="805">
        <v>44.54</v>
      </c>
      <c r="J1462" s="805">
        <v>2701.33</v>
      </c>
      <c r="K1462" s="805">
        <v>7218.2280000000001</v>
      </c>
    </row>
    <row r="1463" spans="3:11">
      <c r="C1463" s="861">
        <v>43151</v>
      </c>
      <c r="D1463" s="805">
        <v>46.32</v>
      </c>
      <c r="E1463" s="805">
        <v>62.27</v>
      </c>
      <c r="F1463" s="806">
        <v>12.02</v>
      </c>
      <c r="G1463" s="805">
        <v>8.0705705705705704</v>
      </c>
      <c r="H1463" s="805">
        <v>249.62</v>
      </c>
      <c r="I1463" s="805">
        <v>44.9</v>
      </c>
      <c r="J1463" s="805">
        <v>2716.26</v>
      </c>
      <c r="K1463" s="805">
        <v>7234.308</v>
      </c>
    </row>
    <row r="1464" spans="3:11">
      <c r="C1464" s="861">
        <v>43150</v>
      </c>
      <c r="D1464" s="805">
        <v>45.56</v>
      </c>
      <c r="E1464" s="805">
        <v>60.96</v>
      </c>
      <c r="F1464" s="806">
        <v>11.82</v>
      </c>
      <c r="G1464" s="805">
        <v>8.0705705705705704</v>
      </c>
      <c r="H1464" s="805">
        <v>248.89</v>
      </c>
      <c r="I1464" s="805">
        <v>44.21</v>
      </c>
      <c r="J1464" s="805">
        <v>2732.22</v>
      </c>
      <c r="K1464" s="805">
        <v>7239.4650000000001</v>
      </c>
    </row>
    <row r="1465" spans="3:11">
      <c r="C1465" s="861">
        <v>43149</v>
      </c>
      <c r="D1465" s="805">
        <v>45.56</v>
      </c>
      <c r="E1465" s="805">
        <v>60.96</v>
      </c>
      <c r="F1465" s="806">
        <v>11.82</v>
      </c>
      <c r="G1465" s="805">
        <v>8.0705705705705704</v>
      </c>
      <c r="H1465" s="805">
        <v>248.89</v>
      </c>
      <c r="I1465" s="805">
        <v>44.21</v>
      </c>
      <c r="J1465" s="805">
        <v>2732.22</v>
      </c>
      <c r="K1465" s="805">
        <v>7239.4650000000001</v>
      </c>
    </row>
    <row r="1466" spans="3:11">
      <c r="C1466" s="861">
        <v>43148</v>
      </c>
      <c r="D1466" s="805">
        <v>45.56</v>
      </c>
      <c r="E1466" s="805">
        <v>60.96</v>
      </c>
      <c r="F1466" s="806">
        <v>11.82</v>
      </c>
      <c r="G1466" s="805">
        <v>8.0705705705705704</v>
      </c>
      <c r="H1466" s="805">
        <v>248.89</v>
      </c>
      <c r="I1466" s="805">
        <v>44.21</v>
      </c>
      <c r="J1466" s="805">
        <v>2732.22</v>
      </c>
      <c r="K1466" s="805">
        <v>7239.4650000000001</v>
      </c>
    </row>
    <row r="1467" spans="3:11">
      <c r="C1467" s="861">
        <v>43147</v>
      </c>
      <c r="D1467" s="805">
        <v>45.56</v>
      </c>
      <c r="E1467" s="805">
        <v>60.96</v>
      </c>
      <c r="F1467" s="806">
        <v>11.82</v>
      </c>
      <c r="G1467" s="805">
        <v>8.0705705705705704</v>
      </c>
      <c r="H1467" s="805">
        <v>248.89</v>
      </c>
      <c r="I1467" s="805">
        <v>44.21</v>
      </c>
      <c r="J1467" s="805">
        <v>2732.22</v>
      </c>
      <c r="K1467" s="805">
        <v>7239.4650000000001</v>
      </c>
    </row>
    <row r="1468" spans="3:11">
      <c r="C1468" s="861">
        <v>43146</v>
      </c>
      <c r="D1468" s="805">
        <v>45.92</v>
      </c>
      <c r="E1468" s="805">
        <v>61.625</v>
      </c>
      <c r="F1468" s="806">
        <v>12.19</v>
      </c>
      <c r="G1468" s="805">
        <v>8.0705705705705704</v>
      </c>
      <c r="H1468" s="805">
        <v>251.83</v>
      </c>
      <c r="I1468" s="805">
        <v>43.5</v>
      </c>
      <c r="J1468" s="805">
        <v>2731.2</v>
      </c>
      <c r="K1468" s="805">
        <v>7256.43</v>
      </c>
    </row>
    <row r="1469" spans="3:11">
      <c r="C1469" s="861">
        <v>43145</v>
      </c>
      <c r="D1469" s="805">
        <v>45.38</v>
      </c>
      <c r="E1469" s="805">
        <v>60.354999999999997</v>
      </c>
      <c r="F1469" s="806">
        <v>12.2</v>
      </c>
      <c r="G1469" s="805">
        <v>8.0705705705705704</v>
      </c>
      <c r="H1469" s="805">
        <v>247.66</v>
      </c>
      <c r="I1469" s="805">
        <v>43.45</v>
      </c>
      <c r="J1469" s="805">
        <v>2698.63</v>
      </c>
      <c r="K1469" s="805">
        <v>7143.6149999999998</v>
      </c>
    </row>
    <row r="1470" spans="3:11">
      <c r="C1470" s="861">
        <v>43144</v>
      </c>
      <c r="D1470" s="805">
        <v>44.46</v>
      </c>
      <c r="E1470" s="805">
        <v>58.157499999999999</v>
      </c>
      <c r="F1470" s="806">
        <v>11.78</v>
      </c>
      <c r="G1470" s="805">
        <v>8.0705705705705704</v>
      </c>
      <c r="H1470" s="805">
        <v>245.86</v>
      </c>
      <c r="I1470" s="805">
        <v>42.63</v>
      </c>
      <c r="J1470" s="805">
        <v>2662.94</v>
      </c>
      <c r="K1470" s="805">
        <v>7013.51</v>
      </c>
    </row>
    <row r="1471" spans="3:11">
      <c r="C1471" s="861">
        <v>43143</v>
      </c>
      <c r="D1471" s="805">
        <v>44.83</v>
      </c>
      <c r="E1471" s="805">
        <v>57.0075</v>
      </c>
      <c r="F1471" s="806">
        <v>11.68</v>
      </c>
      <c r="G1471" s="805">
        <v>8.0705705705705704</v>
      </c>
      <c r="H1471" s="805">
        <v>244.4</v>
      </c>
      <c r="I1471" s="805">
        <v>42.19</v>
      </c>
      <c r="J1471" s="805">
        <v>2656</v>
      </c>
      <c r="K1471" s="805">
        <v>6981.9639999999999</v>
      </c>
    </row>
    <row r="1472" spans="3:11">
      <c r="C1472" s="861">
        <v>43142</v>
      </c>
      <c r="D1472" s="805">
        <v>43.95</v>
      </c>
      <c r="E1472" s="805">
        <v>58.02</v>
      </c>
      <c r="F1472" s="806">
        <v>11.31</v>
      </c>
      <c r="G1472" s="805">
        <v>7.9319050218340603</v>
      </c>
      <c r="H1472" s="805">
        <v>235.5</v>
      </c>
      <c r="I1472" s="805">
        <v>40.409999999999997</v>
      </c>
      <c r="J1472" s="805">
        <v>2619.5500000000002</v>
      </c>
      <c r="K1472" s="805">
        <v>6874.491</v>
      </c>
    </row>
    <row r="1473" spans="3:11">
      <c r="C1473" s="861">
        <v>43141</v>
      </c>
      <c r="D1473" s="805">
        <v>43.95</v>
      </c>
      <c r="E1473" s="805">
        <v>58.02</v>
      </c>
      <c r="F1473" s="806">
        <v>11.31</v>
      </c>
      <c r="G1473" s="805">
        <v>7.9319050218340603</v>
      </c>
      <c r="H1473" s="805">
        <v>235.5</v>
      </c>
      <c r="I1473" s="805">
        <v>40.409999999999997</v>
      </c>
      <c r="J1473" s="805">
        <v>2619.5500000000002</v>
      </c>
      <c r="K1473" s="805">
        <v>6874.491</v>
      </c>
    </row>
    <row r="1474" spans="3:11">
      <c r="C1474" s="861">
        <v>43140</v>
      </c>
      <c r="D1474" s="805">
        <v>43.95</v>
      </c>
      <c r="E1474" s="805">
        <v>58.02</v>
      </c>
      <c r="F1474" s="806">
        <v>11.31</v>
      </c>
      <c r="G1474" s="805">
        <v>7.9319050218340603</v>
      </c>
      <c r="H1474" s="805">
        <v>235.5</v>
      </c>
      <c r="I1474" s="805">
        <v>40.409999999999997</v>
      </c>
      <c r="J1474" s="805">
        <v>2619.5500000000002</v>
      </c>
      <c r="K1474" s="805">
        <v>6874.491</v>
      </c>
    </row>
    <row r="1475" spans="3:11">
      <c r="C1475" s="861">
        <v>43139</v>
      </c>
      <c r="D1475" s="805">
        <v>42.75</v>
      </c>
      <c r="E1475" s="805">
        <v>54.38</v>
      </c>
      <c r="F1475" s="806">
        <v>11.22</v>
      </c>
      <c r="G1475" s="805">
        <v>8.1042509089673498</v>
      </c>
      <c r="H1475" s="805">
        <v>229.57</v>
      </c>
      <c r="I1475" s="805">
        <v>40</v>
      </c>
      <c r="J1475" s="805">
        <v>2581</v>
      </c>
      <c r="K1475" s="805">
        <v>6777.1589999999997</v>
      </c>
    </row>
    <row r="1476" spans="3:11">
      <c r="C1476" s="861">
        <v>43138</v>
      </c>
      <c r="D1476" s="805">
        <v>45.2</v>
      </c>
      <c r="E1476" s="805">
        <v>57.2</v>
      </c>
      <c r="F1476" s="806">
        <v>11.6</v>
      </c>
      <c r="G1476" s="805">
        <v>8.1785653433293604</v>
      </c>
      <c r="H1476" s="805">
        <v>237.38</v>
      </c>
      <c r="I1476" s="805">
        <v>42.01</v>
      </c>
      <c r="J1476" s="805">
        <v>2681.66</v>
      </c>
      <c r="K1476" s="805">
        <v>7051.9840000000004</v>
      </c>
    </row>
    <row r="1477" spans="3:11">
      <c r="C1477" s="861">
        <v>43137</v>
      </c>
      <c r="D1477" s="805">
        <v>44.91</v>
      </c>
      <c r="E1477" s="805">
        <v>56.395000000000003</v>
      </c>
      <c r="F1477" s="806">
        <v>11.65</v>
      </c>
      <c r="G1477" s="805">
        <v>8.1838104369264499</v>
      </c>
      <c r="H1477" s="805">
        <v>240.38</v>
      </c>
      <c r="I1477" s="805">
        <v>43.88</v>
      </c>
      <c r="J1477" s="805">
        <v>2695.14</v>
      </c>
      <c r="K1477" s="805">
        <v>7115.8819999999996</v>
      </c>
    </row>
    <row r="1478" spans="3:11">
      <c r="C1478" s="861">
        <v>43136</v>
      </c>
      <c r="D1478" s="805">
        <v>44.52</v>
      </c>
      <c r="E1478" s="805">
        <v>53.424999999999997</v>
      </c>
      <c r="F1478" s="806">
        <v>11.57</v>
      </c>
      <c r="G1478" s="805">
        <v>8.6069059363837397</v>
      </c>
      <c r="H1478" s="805">
        <v>228.1</v>
      </c>
      <c r="I1478" s="805">
        <v>39.4</v>
      </c>
      <c r="J1478" s="805">
        <v>2648.94</v>
      </c>
      <c r="K1478" s="805">
        <v>6967.5259999999998</v>
      </c>
    </row>
    <row r="1479" spans="3:11">
      <c r="C1479" s="861">
        <v>43135</v>
      </c>
      <c r="D1479" s="805">
        <v>46.15</v>
      </c>
      <c r="E1479" s="805">
        <v>58.38</v>
      </c>
      <c r="F1479" s="806">
        <v>12.45</v>
      </c>
      <c r="G1479" s="805">
        <v>8.8560507815166201</v>
      </c>
      <c r="H1479" s="805">
        <v>235.48</v>
      </c>
      <c r="I1479" s="805">
        <v>40.82</v>
      </c>
      <c r="J1479" s="805">
        <v>2762.13</v>
      </c>
      <c r="K1479" s="805">
        <v>7240.9459999999999</v>
      </c>
    </row>
    <row r="1480" spans="3:11">
      <c r="C1480" s="861">
        <v>43134</v>
      </c>
      <c r="D1480" s="805">
        <v>46.15</v>
      </c>
      <c r="E1480" s="805">
        <v>58.38</v>
      </c>
      <c r="F1480" s="806">
        <v>12.45</v>
      </c>
      <c r="G1480" s="805">
        <v>8.8560507815166201</v>
      </c>
      <c r="H1480" s="805">
        <v>235.48</v>
      </c>
      <c r="I1480" s="805">
        <v>40.82</v>
      </c>
      <c r="J1480" s="805">
        <v>2762.13</v>
      </c>
      <c r="K1480" s="805">
        <v>7240.9459999999999</v>
      </c>
    </row>
    <row r="1481" spans="3:11">
      <c r="C1481" s="861">
        <v>43133</v>
      </c>
      <c r="D1481" s="805">
        <v>46.15</v>
      </c>
      <c r="E1481" s="805">
        <v>58.38</v>
      </c>
      <c r="F1481" s="806">
        <v>12.45</v>
      </c>
      <c r="G1481" s="805">
        <v>8.8560507815166201</v>
      </c>
      <c r="H1481" s="805">
        <v>235.48</v>
      </c>
      <c r="I1481" s="805">
        <v>40.82</v>
      </c>
      <c r="J1481" s="805">
        <v>2762.13</v>
      </c>
      <c r="K1481" s="805">
        <v>7240.9459999999999</v>
      </c>
    </row>
    <row r="1482" spans="3:11">
      <c r="C1482" s="861">
        <v>43132</v>
      </c>
      <c r="D1482" s="805">
        <v>47.65</v>
      </c>
      <c r="E1482" s="805">
        <v>60.125</v>
      </c>
      <c r="F1482" s="806">
        <v>13.25</v>
      </c>
      <c r="G1482" s="805">
        <v>8.9007031383982191</v>
      </c>
      <c r="H1482" s="805">
        <v>238.79</v>
      </c>
      <c r="I1482" s="805">
        <v>42.49</v>
      </c>
      <c r="J1482" s="805">
        <v>2821.98</v>
      </c>
      <c r="K1482" s="805">
        <v>7385.8630000000003</v>
      </c>
    </row>
    <row r="1483" spans="3:11">
      <c r="C1483" s="861">
        <v>43131</v>
      </c>
      <c r="D1483" s="805">
        <v>48.14</v>
      </c>
      <c r="E1483" s="805">
        <v>61.45</v>
      </c>
      <c r="F1483" s="806">
        <v>13.74</v>
      </c>
      <c r="G1483" s="805">
        <v>8.7445560851822606</v>
      </c>
      <c r="H1483" s="805">
        <v>248.03</v>
      </c>
      <c r="I1483" s="805">
        <v>43.72</v>
      </c>
      <c r="J1483" s="805">
        <v>2823.81</v>
      </c>
      <c r="K1483" s="805">
        <v>7411.482</v>
      </c>
    </row>
    <row r="1484" spans="3:11">
      <c r="C1484" s="861">
        <v>43130</v>
      </c>
      <c r="D1484" s="805">
        <v>48.79</v>
      </c>
      <c r="E1484" s="805">
        <v>60.68</v>
      </c>
      <c r="F1484" s="806">
        <v>12.87</v>
      </c>
      <c r="G1484" s="805">
        <v>8.6587494438550294</v>
      </c>
      <c r="H1484" s="805">
        <v>240.98</v>
      </c>
      <c r="I1484" s="805">
        <v>41.67</v>
      </c>
      <c r="J1484" s="805">
        <v>2822.43</v>
      </c>
      <c r="K1484" s="805">
        <v>7402.482</v>
      </c>
    </row>
    <row r="1485" spans="3:11">
      <c r="C1485" s="861">
        <v>43129</v>
      </c>
      <c r="D1485" s="805">
        <v>49.98</v>
      </c>
      <c r="E1485" s="805">
        <v>61.712499999999999</v>
      </c>
      <c r="F1485" s="806">
        <v>13.32</v>
      </c>
      <c r="G1485" s="805">
        <v>8.8569862262728698</v>
      </c>
      <c r="H1485" s="805">
        <v>245.47</v>
      </c>
      <c r="I1485" s="805">
        <v>43.29</v>
      </c>
      <c r="J1485" s="805">
        <v>2853.53</v>
      </c>
      <c r="K1485" s="805">
        <v>7466.5050000000001</v>
      </c>
    </row>
    <row r="1486" spans="3:11">
      <c r="C1486" s="861">
        <v>43128</v>
      </c>
      <c r="D1486" s="805">
        <v>50.08</v>
      </c>
      <c r="E1486" s="805">
        <v>60.832500000000003</v>
      </c>
      <c r="F1486" s="806">
        <v>12.95</v>
      </c>
      <c r="G1486" s="805">
        <v>8.7707229827337194</v>
      </c>
      <c r="H1486" s="805">
        <v>250.79</v>
      </c>
      <c r="I1486" s="805">
        <v>43.67</v>
      </c>
      <c r="J1486" s="805">
        <v>2872.87</v>
      </c>
      <c r="K1486" s="805">
        <v>7505.7719999999999</v>
      </c>
    </row>
    <row r="1487" spans="3:11">
      <c r="C1487" s="861">
        <v>43127</v>
      </c>
      <c r="D1487" s="805">
        <v>50.08</v>
      </c>
      <c r="E1487" s="805">
        <v>60.832500000000003</v>
      </c>
      <c r="F1487" s="806">
        <v>12.95</v>
      </c>
      <c r="G1487" s="805">
        <v>8.7707229827337194</v>
      </c>
      <c r="H1487" s="805">
        <v>250.79</v>
      </c>
      <c r="I1487" s="805">
        <v>43.67</v>
      </c>
      <c r="J1487" s="805">
        <v>2872.87</v>
      </c>
      <c r="K1487" s="805">
        <v>7505.7719999999999</v>
      </c>
    </row>
    <row r="1488" spans="3:11">
      <c r="C1488" s="861">
        <v>43126</v>
      </c>
      <c r="D1488" s="805">
        <v>50.08</v>
      </c>
      <c r="E1488" s="805">
        <v>60.832500000000003</v>
      </c>
      <c r="F1488" s="806">
        <v>12.95</v>
      </c>
      <c r="G1488" s="805">
        <v>8.7707229827337194</v>
      </c>
      <c r="H1488" s="805">
        <v>250.79</v>
      </c>
      <c r="I1488" s="805">
        <v>43.67</v>
      </c>
      <c r="J1488" s="805">
        <v>2872.87</v>
      </c>
      <c r="K1488" s="805">
        <v>7505.7719999999999</v>
      </c>
    </row>
    <row r="1489" spans="3:11">
      <c r="C1489" s="861">
        <v>43125</v>
      </c>
      <c r="D1489" s="805">
        <v>45.3</v>
      </c>
      <c r="E1489" s="805">
        <v>59.087499999999999</v>
      </c>
      <c r="F1489" s="806">
        <v>12.41</v>
      </c>
      <c r="G1489" s="805">
        <v>8.8623248145094795</v>
      </c>
      <c r="H1489" s="805">
        <v>247.29</v>
      </c>
      <c r="I1489" s="805">
        <v>43.01</v>
      </c>
      <c r="J1489" s="805">
        <v>2839.25</v>
      </c>
      <c r="K1489" s="805">
        <v>7411.1639999999998</v>
      </c>
    </row>
    <row r="1490" spans="3:11">
      <c r="C1490" s="861">
        <v>43124</v>
      </c>
      <c r="D1490" s="805">
        <v>45.51</v>
      </c>
      <c r="E1490" s="805">
        <v>58.95</v>
      </c>
      <c r="F1490" s="806">
        <v>12.71</v>
      </c>
      <c r="G1490" s="805">
        <v>8.8641517212945793</v>
      </c>
      <c r="H1490" s="805">
        <v>256.86</v>
      </c>
      <c r="I1490" s="805">
        <v>43.08</v>
      </c>
      <c r="J1490" s="805">
        <v>2837.54</v>
      </c>
      <c r="K1490" s="805">
        <v>7415.0590000000002</v>
      </c>
    </row>
    <row r="1491" spans="3:11">
      <c r="C1491" s="861">
        <v>43123</v>
      </c>
      <c r="D1491" s="805">
        <v>46.06</v>
      </c>
      <c r="E1491" s="805">
        <v>59.727499999999999</v>
      </c>
      <c r="F1491" s="806">
        <v>12.94</v>
      </c>
      <c r="G1491" s="805">
        <v>9.1074057588934192</v>
      </c>
      <c r="H1491" s="805">
        <v>262.89999999999998</v>
      </c>
      <c r="I1491" s="805">
        <v>43.95</v>
      </c>
      <c r="J1491" s="805">
        <v>2839.13</v>
      </c>
      <c r="K1491" s="805">
        <v>7460.2889999999998</v>
      </c>
    </row>
    <row r="1492" spans="3:11">
      <c r="C1492" s="861">
        <v>43122</v>
      </c>
      <c r="D1492" s="805">
        <v>45.75</v>
      </c>
      <c r="E1492" s="805">
        <v>58.422499999999999</v>
      </c>
      <c r="F1492" s="806">
        <v>12.65</v>
      </c>
      <c r="G1492" s="805">
        <v>8.9619246718530405</v>
      </c>
      <c r="H1492" s="805">
        <v>262.11</v>
      </c>
      <c r="I1492" s="805">
        <v>42.88</v>
      </c>
      <c r="J1492" s="805">
        <v>2832.97</v>
      </c>
      <c r="K1492" s="805">
        <v>7408.0320000000002</v>
      </c>
    </row>
    <row r="1493" spans="3:11">
      <c r="C1493" s="861">
        <v>43121</v>
      </c>
      <c r="D1493" s="805">
        <v>44.82</v>
      </c>
      <c r="E1493" s="805">
        <v>57.527500000000003</v>
      </c>
      <c r="F1493" s="806">
        <v>12.59</v>
      </c>
      <c r="G1493" s="805">
        <v>8.7079513309021497</v>
      </c>
      <c r="H1493" s="805">
        <v>266.39</v>
      </c>
      <c r="I1493" s="805">
        <v>42.75</v>
      </c>
      <c r="J1493" s="805">
        <v>2810.3</v>
      </c>
      <c r="K1493" s="805">
        <v>7336.38</v>
      </c>
    </row>
    <row r="1494" spans="3:11">
      <c r="C1494" s="861">
        <v>43120</v>
      </c>
      <c r="D1494" s="805">
        <v>44.82</v>
      </c>
      <c r="E1494" s="805">
        <v>57.527500000000003</v>
      </c>
      <c r="F1494" s="806">
        <v>12.59</v>
      </c>
      <c r="G1494" s="805">
        <v>8.7079513309021497</v>
      </c>
      <c r="H1494" s="805">
        <v>266.39</v>
      </c>
      <c r="I1494" s="805">
        <v>42.75</v>
      </c>
      <c r="J1494" s="805">
        <v>2810.3</v>
      </c>
      <c r="K1494" s="805">
        <v>7336.38</v>
      </c>
    </row>
    <row r="1495" spans="3:11">
      <c r="C1495" s="861">
        <v>43119</v>
      </c>
      <c r="D1495" s="805">
        <v>44.82</v>
      </c>
      <c r="E1495" s="805">
        <v>57.527500000000003</v>
      </c>
      <c r="F1495" s="806">
        <v>12.59</v>
      </c>
      <c r="G1495" s="805">
        <v>8.7079513309021497</v>
      </c>
      <c r="H1495" s="805">
        <v>266.39</v>
      </c>
      <c r="I1495" s="805">
        <v>42.75</v>
      </c>
      <c r="J1495" s="805">
        <v>2810.3</v>
      </c>
      <c r="K1495" s="805">
        <v>7336.38</v>
      </c>
    </row>
    <row r="1496" spans="3:11">
      <c r="C1496" s="861">
        <v>43118</v>
      </c>
      <c r="D1496" s="805">
        <v>44.48</v>
      </c>
      <c r="E1496" s="805">
        <v>56.11</v>
      </c>
      <c r="F1496" s="806">
        <v>12.47</v>
      </c>
      <c r="G1496" s="805">
        <v>8.4083372809095192</v>
      </c>
      <c r="H1496" s="805">
        <v>269.8</v>
      </c>
      <c r="I1496" s="805">
        <v>43.99</v>
      </c>
      <c r="J1496" s="805">
        <v>2798.03</v>
      </c>
      <c r="K1496" s="805">
        <v>7296.0469999999996</v>
      </c>
    </row>
    <row r="1497" spans="3:11">
      <c r="C1497" s="861">
        <v>43117</v>
      </c>
      <c r="D1497" s="805">
        <v>44.39</v>
      </c>
      <c r="E1497" s="805">
        <v>56.18</v>
      </c>
      <c r="F1497" s="806">
        <v>12.18</v>
      </c>
      <c r="G1497" s="805">
        <v>8.1917270326992107</v>
      </c>
      <c r="H1497" s="805">
        <v>265.81</v>
      </c>
      <c r="I1497" s="805">
        <v>44.26</v>
      </c>
      <c r="J1497" s="805">
        <v>2802.56</v>
      </c>
      <c r="K1497" s="805">
        <v>7298.2790000000005</v>
      </c>
    </row>
    <row r="1498" spans="3:11">
      <c r="C1498" s="861">
        <v>43116</v>
      </c>
      <c r="D1498" s="805">
        <v>43.14</v>
      </c>
      <c r="E1498" s="805">
        <v>55.027500000000003</v>
      </c>
      <c r="F1498" s="806">
        <v>11.91</v>
      </c>
      <c r="G1498" s="805">
        <v>8.1426056338028197</v>
      </c>
      <c r="H1498" s="805">
        <v>263.25</v>
      </c>
      <c r="I1498" s="805">
        <v>42.92</v>
      </c>
      <c r="J1498" s="805">
        <v>2776.42</v>
      </c>
      <c r="K1498" s="805">
        <v>7223.6850000000004</v>
      </c>
    </row>
    <row r="1499" spans="3:11">
      <c r="C1499" s="861">
        <v>43115</v>
      </c>
      <c r="D1499" s="805">
        <v>43.24</v>
      </c>
      <c r="E1499" s="805">
        <v>55.744999999999997</v>
      </c>
      <c r="F1499" s="806">
        <v>12.02</v>
      </c>
      <c r="G1499" s="805">
        <v>8.1295305196124907</v>
      </c>
      <c r="H1499" s="805">
        <v>264.29000000000002</v>
      </c>
      <c r="I1499" s="805">
        <v>42.81</v>
      </c>
      <c r="J1499" s="805">
        <v>2786.24</v>
      </c>
      <c r="K1499" s="805">
        <v>7261.0619999999999</v>
      </c>
    </row>
    <row r="1500" spans="3:11">
      <c r="C1500" s="861">
        <v>43114</v>
      </c>
      <c r="D1500" s="805">
        <v>43.24</v>
      </c>
      <c r="E1500" s="805">
        <v>55.744999999999997</v>
      </c>
      <c r="F1500" s="806">
        <v>12.02</v>
      </c>
      <c r="G1500" s="805">
        <v>8.0108162920398893</v>
      </c>
      <c r="H1500" s="805">
        <v>264.29000000000002</v>
      </c>
      <c r="I1500" s="805">
        <v>42.81</v>
      </c>
      <c r="J1500" s="805">
        <v>2786.24</v>
      </c>
      <c r="K1500" s="805">
        <v>7261.0619999999999</v>
      </c>
    </row>
    <row r="1501" spans="3:11">
      <c r="C1501" s="861">
        <v>43113</v>
      </c>
      <c r="D1501" s="805">
        <v>43.24</v>
      </c>
      <c r="E1501" s="805">
        <v>55.744999999999997</v>
      </c>
      <c r="F1501" s="806">
        <v>12.02</v>
      </c>
      <c r="G1501" s="805">
        <v>8.0108162920398893</v>
      </c>
      <c r="H1501" s="805">
        <v>264.29000000000002</v>
      </c>
      <c r="I1501" s="805">
        <v>42.81</v>
      </c>
      <c r="J1501" s="805">
        <v>2786.24</v>
      </c>
      <c r="K1501" s="805">
        <v>7261.0619999999999</v>
      </c>
    </row>
    <row r="1502" spans="3:11">
      <c r="C1502" s="861">
        <v>43112</v>
      </c>
      <c r="D1502" s="805">
        <v>43.24</v>
      </c>
      <c r="E1502" s="805">
        <v>55.744999999999997</v>
      </c>
      <c r="F1502" s="806">
        <v>12.02</v>
      </c>
      <c r="G1502" s="805">
        <v>8.0108162920398893</v>
      </c>
      <c r="H1502" s="805">
        <v>264.29000000000002</v>
      </c>
      <c r="I1502" s="805">
        <v>42.81</v>
      </c>
      <c r="J1502" s="805">
        <v>2786.24</v>
      </c>
      <c r="K1502" s="805">
        <v>7261.0619999999999</v>
      </c>
    </row>
    <row r="1503" spans="3:11">
      <c r="C1503" s="861">
        <v>43111</v>
      </c>
      <c r="D1503" s="805">
        <v>43.41</v>
      </c>
      <c r="E1503" s="805">
        <v>56.02</v>
      </c>
      <c r="F1503" s="806">
        <v>12.14</v>
      </c>
      <c r="G1503" s="805">
        <v>7.9424090847640896</v>
      </c>
      <c r="H1503" s="805">
        <v>263.5</v>
      </c>
      <c r="I1503" s="805">
        <v>42.82</v>
      </c>
      <c r="J1503" s="805">
        <v>2767.56</v>
      </c>
      <c r="K1503" s="805">
        <v>7211.777</v>
      </c>
    </row>
    <row r="1504" spans="3:11">
      <c r="C1504" s="861">
        <v>43110</v>
      </c>
      <c r="D1504" s="805">
        <v>42.5</v>
      </c>
      <c r="E1504" s="805">
        <v>55.92</v>
      </c>
      <c r="F1504" s="806">
        <v>11.96</v>
      </c>
      <c r="G1504" s="805">
        <v>7.9952670723461798</v>
      </c>
      <c r="H1504" s="805">
        <v>262.83</v>
      </c>
      <c r="I1504" s="805">
        <v>43.31</v>
      </c>
      <c r="J1504" s="805">
        <v>2748.23</v>
      </c>
      <c r="K1504" s="805">
        <v>7153.5720000000001</v>
      </c>
    </row>
    <row r="1505" spans="3:11">
      <c r="C1505" s="861">
        <v>43109</v>
      </c>
      <c r="D1505" s="805">
        <v>43.62</v>
      </c>
      <c r="E1505" s="805">
        <v>55.484999999999999</v>
      </c>
      <c r="F1505" s="806">
        <v>11.82</v>
      </c>
      <c r="G1505" s="805">
        <v>8.1956109455432102</v>
      </c>
      <c r="H1505" s="805">
        <v>268.5</v>
      </c>
      <c r="I1505" s="805">
        <v>42.97</v>
      </c>
      <c r="J1505" s="805">
        <v>2751.29</v>
      </c>
      <c r="K1505" s="805">
        <v>7163.5780000000004</v>
      </c>
    </row>
    <row r="1506" spans="3:11">
      <c r="C1506" s="861">
        <v>43108</v>
      </c>
      <c r="D1506" s="805">
        <v>44.74</v>
      </c>
      <c r="E1506" s="805">
        <v>55.5</v>
      </c>
      <c r="F1506" s="806">
        <v>12.28</v>
      </c>
      <c r="G1506" s="805">
        <v>8.1994985430643101</v>
      </c>
      <c r="H1506" s="805">
        <v>272.27</v>
      </c>
      <c r="I1506" s="805">
        <v>45.55</v>
      </c>
      <c r="J1506" s="805">
        <v>2747.71</v>
      </c>
      <c r="K1506" s="805">
        <v>7157.3860000000004</v>
      </c>
    </row>
    <row r="1507" spans="3:11">
      <c r="C1507" s="861">
        <v>43107</v>
      </c>
      <c r="D1507" s="805">
        <v>44.74</v>
      </c>
      <c r="E1507" s="805">
        <v>53.85</v>
      </c>
      <c r="F1507" s="806">
        <v>11.88</v>
      </c>
      <c r="G1507" s="805">
        <v>8.1516201345017301</v>
      </c>
      <c r="H1507" s="805">
        <v>271.62</v>
      </c>
      <c r="I1507" s="805">
        <v>45.8</v>
      </c>
      <c r="J1507" s="805">
        <v>2743.15</v>
      </c>
      <c r="K1507" s="805">
        <v>7136.558</v>
      </c>
    </row>
    <row r="1508" spans="3:11">
      <c r="C1508" s="861">
        <v>43106</v>
      </c>
      <c r="D1508" s="805">
        <v>44.74</v>
      </c>
      <c r="E1508" s="805">
        <v>53.85</v>
      </c>
      <c r="F1508" s="806">
        <v>11.88</v>
      </c>
      <c r="G1508" s="805">
        <v>8.1516201345017301</v>
      </c>
      <c r="H1508" s="805">
        <v>271.62</v>
      </c>
      <c r="I1508" s="805">
        <v>45.8</v>
      </c>
      <c r="J1508" s="805">
        <v>2743.15</v>
      </c>
      <c r="K1508" s="805">
        <v>7136.558</v>
      </c>
    </row>
    <row r="1509" spans="3:11">
      <c r="C1509" s="861">
        <v>43105</v>
      </c>
      <c r="D1509" s="805">
        <v>44.74</v>
      </c>
      <c r="E1509" s="805">
        <v>53.85</v>
      </c>
      <c r="F1509" s="806">
        <v>11.88</v>
      </c>
      <c r="G1509" s="805">
        <v>8.1516201345017301</v>
      </c>
      <c r="H1509" s="805">
        <v>271.62</v>
      </c>
      <c r="I1509" s="805">
        <v>45.8</v>
      </c>
      <c r="J1509" s="805">
        <v>2743.15</v>
      </c>
      <c r="K1509" s="805">
        <v>7136.558</v>
      </c>
    </row>
    <row r="1510" spans="3:11">
      <c r="C1510" s="861">
        <v>43104</v>
      </c>
      <c r="D1510" s="805">
        <v>44.43</v>
      </c>
      <c r="E1510" s="805">
        <v>53.397500000000001</v>
      </c>
      <c r="F1510" s="806">
        <v>12.12</v>
      </c>
      <c r="G1510" s="805">
        <v>8.0966869506423294</v>
      </c>
      <c r="H1510" s="805">
        <v>270.02</v>
      </c>
      <c r="I1510" s="805">
        <v>46.88</v>
      </c>
      <c r="J1510" s="805">
        <v>2723.99</v>
      </c>
      <c r="K1510" s="805">
        <v>7077.915</v>
      </c>
    </row>
    <row r="1511" spans="3:11">
      <c r="C1511" s="861">
        <v>43103</v>
      </c>
      <c r="D1511" s="805">
        <v>45.26</v>
      </c>
      <c r="E1511" s="805">
        <v>53.1175</v>
      </c>
      <c r="F1511" s="806">
        <v>11.55</v>
      </c>
      <c r="G1511" s="805">
        <v>8.0127121509229795</v>
      </c>
      <c r="H1511" s="805">
        <v>269.93</v>
      </c>
      <c r="I1511" s="805">
        <v>44.98</v>
      </c>
      <c r="J1511" s="805">
        <v>2713.06</v>
      </c>
      <c r="K1511" s="805">
        <v>7065.5309999999999</v>
      </c>
    </row>
    <row r="1512" spans="3:11">
      <c r="C1512" s="861">
        <v>43102</v>
      </c>
      <c r="D1512" s="805">
        <v>46.85</v>
      </c>
      <c r="E1512" s="805">
        <v>49.837499999999999</v>
      </c>
      <c r="F1512" s="806">
        <v>10.98</v>
      </c>
      <c r="G1512" s="805">
        <v>7.8499561077723001</v>
      </c>
      <c r="H1512" s="805">
        <v>267.01</v>
      </c>
      <c r="I1512" s="805">
        <v>43.67</v>
      </c>
      <c r="J1512" s="805">
        <v>2695.81</v>
      </c>
      <c r="K1512" s="805">
        <v>7006.8980000000001</v>
      </c>
    </row>
    <row r="1513" spans="3:11">
      <c r="C1513" s="861">
        <v>43101</v>
      </c>
      <c r="D1513" s="805">
        <v>46.16</v>
      </c>
      <c r="E1513" s="805">
        <v>48.375</v>
      </c>
      <c r="F1513" s="806">
        <v>10.28</v>
      </c>
      <c r="G1513" s="805">
        <v>7.7371721394376598</v>
      </c>
      <c r="H1513" s="805">
        <v>256.89999999999998</v>
      </c>
      <c r="I1513" s="805">
        <v>41.12</v>
      </c>
      <c r="J1513" s="805">
        <v>2673.61</v>
      </c>
      <c r="K1513" s="805">
        <v>6903.3890000000001</v>
      </c>
    </row>
    <row r="1514" spans="3:11">
      <c r="C1514" s="861">
        <v>43100</v>
      </c>
      <c r="D1514" s="805">
        <v>46.16</v>
      </c>
      <c r="E1514" s="805">
        <v>48.375</v>
      </c>
      <c r="F1514" s="806">
        <v>10.28</v>
      </c>
      <c r="G1514" s="805">
        <v>7.7371721394376598</v>
      </c>
      <c r="H1514" s="805">
        <v>256.89999999999998</v>
      </c>
      <c r="I1514" s="805">
        <v>41.12</v>
      </c>
      <c r="J1514" s="805">
        <v>2673.61</v>
      </c>
      <c r="K1514" s="805">
        <v>6903.3890000000001</v>
      </c>
    </row>
    <row r="1515" spans="3:11">
      <c r="C1515" s="861">
        <v>43099</v>
      </c>
      <c r="D1515" s="805">
        <v>46.16</v>
      </c>
      <c r="E1515" s="805">
        <v>48.375</v>
      </c>
      <c r="F1515" s="806">
        <v>10.28</v>
      </c>
      <c r="G1515" s="805">
        <v>7.7371721394376598</v>
      </c>
      <c r="H1515" s="805">
        <v>256.89999999999998</v>
      </c>
      <c r="I1515" s="805">
        <v>41.12</v>
      </c>
      <c r="J1515" s="805">
        <v>2673.61</v>
      </c>
      <c r="K1515" s="805">
        <v>6903.3890000000001</v>
      </c>
    </row>
    <row r="1516" spans="3:11">
      <c r="C1516" s="861">
        <v>43098</v>
      </c>
      <c r="D1516" s="805">
        <v>46.16</v>
      </c>
      <c r="E1516" s="805">
        <v>48.375</v>
      </c>
      <c r="F1516" s="806">
        <v>10.28</v>
      </c>
      <c r="G1516" s="805">
        <v>7.7371721394376598</v>
      </c>
      <c r="H1516" s="805">
        <v>256.89999999999998</v>
      </c>
      <c r="I1516" s="805">
        <v>41.12</v>
      </c>
      <c r="J1516" s="805">
        <v>2673.61</v>
      </c>
      <c r="K1516" s="805">
        <v>6903.3890000000001</v>
      </c>
    </row>
    <row r="1517" spans="3:11">
      <c r="C1517" s="861">
        <v>43097</v>
      </c>
      <c r="D1517" s="805">
        <v>46.22</v>
      </c>
      <c r="E1517" s="805">
        <v>49.35</v>
      </c>
      <c r="F1517" s="806">
        <v>10.55</v>
      </c>
      <c r="G1517" s="805">
        <v>7.5788061703554597</v>
      </c>
      <c r="H1517" s="805">
        <v>260.42</v>
      </c>
      <c r="I1517" s="805">
        <v>41.81</v>
      </c>
      <c r="J1517" s="805">
        <v>2687.54</v>
      </c>
      <c r="K1517" s="805">
        <v>6950.16</v>
      </c>
    </row>
    <row r="1518" spans="3:11">
      <c r="C1518" s="861">
        <v>43096</v>
      </c>
      <c r="D1518" s="805">
        <v>46.11</v>
      </c>
      <c r="E1518" s="805">
        <v>49.292499999999997</v>
      </c>
      <c r="F1518" s="806">
        <v>10.53</v>
      </c>
      <c r="G1518" s="805">
        <v>7.5195508321636302</v>
      </c>
      <c r="H1518" s="805">
        <v>259.12</v>
      </c>
      <c r="I1518" s="805">
        <v>42.48</v>
      </c>
      <c r="J1518" s="805">
        <v>2682.62</v>
      </c>
      <c r="K1518" s="805">
        <v>6939.3360000000002</v>
      </c>
    </row>
    <row r="1519" spans="3:11">
      <c r="C1519" s="861">
        <v>43095</v>
      </c>
      <c r="D1519" s="805">
        <v>46.08</v>
      </c>
      <c r="E1519" s="805">
        <v>49.36</v>
      </c>
      <c r="F1519" s="806">
        <v>10.46</v>
      </c>
      <c r="G1519" s="805">
        <v>7.5494388027792603</v>
      </c>
      <c r="H1519" s="805">
        <v>258.10000000000002</v>
      </c>
      <c r="I1519" s="805">
        <v>42.25</v>
      </c>
      <c r="J1519" s="805">
        <v>2680.5</v>
      </c>
      <c r="K1519" s="805">
        <v>6936.2489999999998</v>
      </c>
    </row>
    <row r="1520" spans="3:11">
      <c r="C1520" s="861">
        <v>43094</v>
      </c>
      <c r="D1520" s="805">
        <v>46.7</v>
      </c>
      <c r="E1520" s="805">
        <v>48.817500000000003</v>
      </c>
      <c r="F1520" s="806">
        <v>10.54</v>
      </c>
      <c r="G1520" s="805">
        <v>7.6426516823867798</v>
      </c>
      <c r="H1520" s="805">
        <v>262.35000000000002</v>
      </c>
      <c r="I1520" s="805">
        <v>44.12</v>
      </c>
      <c r="J1520" s="805">
        <v>2683.34</v>
      </c>
      <c r="K1520" s="805">
        <v>6959.96</v>
      </c>
    </row>
    <row r="1521" spans="3:11">
      <c r="C1521" s="861">
        <v>43093</v>
      </c>
      <c r="D1521" s="805">
        <v>46.7</v>
      </c>
      <c r="E1521" s="805">
        <v>48.817500000000003</v>
      </c>
      <c r="F1521" s="806">
        <v>10.54</v>
      </c>
      <c r="G1521" s="805">
        <v>7.6117505353319102</v>
      </c>
      <c r="H1521" s="805">
        <v>262.35000000000002</v>
      </c>
      <c r="I1521" s="805">
        <v>44.12</v>
      </c>
      <c r="J1521" s="805">
        <v>2683.34</v>
      </c>
      <c r="K1521" s="805">
        <v>6959.96</v>
      </c>
    </row>
    <row r="1522" spans="3:11">
      <c r="C1522" s="861">
        <v>43092</v>
      </c>
      <c r="D1522" s="805">
        <v>46.7</v>
      </c>
      <c r="E1522" s="805">
        <v>48.817500000000003</v>
      </c>
      <c r="F1522" s="806">
        <v>10.54</v>
      </c>
      <c r="G1522" s="805">
        <v>7.6117505353319102</v>
      </c>
      <c r="H1522" s="805">
        <v>262.35000000000002</v>
      </c>
      <c r="I1522" s="805">
        <v>44.12</v>
      </c>
      <c r="J1522" s="805">
        <v>2683.34</v>
      </c>
      <c r="K1522" s="805">
        <v>6959.96</v>
      </c>
    </row>
    <row r="1523" spans="3:11">
      <c r="C1523" s="861">
        <v>43091</v>
      </c>
      <c r="D1523" s="805">
        <v>46.7</v>
      </c>
      <c r="E1523" s="805">
        <v>48.817500000000003</v>
      </c>
      <c r="F1523" s="806">
        <v>10.54</v>
      </c>
      <c r="G1523" s="805">
        <v>7.6117505353319102</v>
      </c>
      <c r="H1523" s="805">
        <v>262.35000000000002</v>
      </c>
      <c r="I1523" s="805">
        <v>44.12</v>
      </c>
      <c r="J1523" s="805">
        <v>2683.34</v>
      </c>
      <c r="K1523" s="805">
        <v>6959.96</v>
      </c>
    </row>
    <row r="1524" spans="3:11">
      <c r="C1524" s="861">
        <v>43090</v>
      </c>
      <c r="D1524" s="805">
        <v>46.76</v>
      </c>
      <c r="E1524" s="805">
        <v>48.972499999999997</v>
      </c>
      <c r="F1524" s="806">
        <v>10.89</v>
      </c>
      <c r="G1524" s="805">
        <v>7.5092614224209902</v>
      </c>
      <c r="H1524" s="805">
        <v>261.52999999999997</v>
      </c>
      <c r="I1524" s="805">
        <v>44.42</v>
      </c>
      <c r="J1524" s="805">
        <v>2684.57</v>
      </c>
      <c r="K1524" s="805">
        <v>6965.3609999999999</v>
      </c>
    </row>
    <row r="1525" spans="3:11">
      <c r="C1525" s="861">
        <v>43089</v>
      </c>
      <c r="D1525" s="805">
        <v>47.56</v>
      </c>
      <c r="E1525" s="805">
        <v>49.2</v>
      </c>
      <c r="F1525" s="806">
        <v>10.98</v>
      </c>
      <c r="G1525" s="805">
        <v>7.4893247931678699</v>
      </c>
      <c r="H1525" s="805">
        <v>265.64</v>
      </c>
      <c r="I1525" s="805">
        <v>45.75</v>
      </c>
      <c r="J1525" s="805">
        <v>2679.25</v>
      </c>
      <c r="K1525" s="805">
        <v>6960.9589999999998</v>
      </c>
    </row>
    <row r="1526" spans="3:11">
      <c r="C1526" s="861">
        <v>43088</v>
      </c>
      <c r="D1526" s="805">
        <v>47.04</v>
      </c>
      <c r="E1526" s="805">
        <v>49.027500000000003</v>
      </c>
      <c r="F1526" s="806">
        <v>10.95</v>
      </c>
      <c r="G1526" s="805">
        <v>7.5090108129755704</v>
      </c>
      <c r="H1526" s="805">
        <v>263.7</v>
      </c>
      <c r="I1526" s="805">
        <v>43.98</v>
      </c>
      <c r="J1526" s="805">
        <v>2681.47</v>
      </c>
      <c r="K1526" s="805">
        <v>6963.8509999999997</v>
      </c>
    </row>
    <row r="1527" spans="3:11">
      <c r="C1527" s="861">
        <v>43087</v>
      </c>
      <c r="D1527" s="805">
        <v>46.26</v>
      </c>
      <c r="E1527" s="805">
        <v>49.475000000000001</v>
      </c>
      <c r="F1527" s="806">
        <v>10.98</v>
      </c>
      <c r="G1527" s="805">
        <v>7.5694421287805502</v>
      </c>
      <c r="H1527" s="805">
        <v>264.39</v>
      </c>
      <c r="I1527" s="805">
        <v>43.71</v>
      </c>
      <c r="J1527" s="805">
        <v>2690.16</v>
      </c>
      <c r="K1527" s="805">
        <v>6994.759</v>
      </c>
    </row>
    <row r="1528" spans="3:11">
      <c r="C1528" s="861">
        <v>43086</v>
      </c>
      <c r="D1528" s="805">
        <v>44.56</v>
      </c>
      <c r="E1528" s="805">
        <v>47.89</v>
      </c>
      <c r="F1528" s="806">
        <v>10.29</v>
      </c>
      <c r="G1528" s="805">
        <v>7.6799786296246797</v>
      </c>
      <c r="H1528" s="805">
        <v>265.73</v>
      </c>
      <c r="I1528" s="805">
        <v>42.4</v>
      </c>
      <c r="J1528" s="805">
        <v>2675.81</v>
      </c>
      <c r="K1528" s="805">
        <v>6936.5829999999996</v>
      </c>
    </row>
    <row r="1529" spans="3:11">
      <c r="C1529" s="861">
        <v>43085</v>
      </c>
      <c r="D1529" s="805">
        <v>44.56</v>
      </c>
      <c r="E1529" s="805">
        <v>47.89</v>
      </c>
      <c r="F1529" s="806">
        <v>10.29</v>
      </c>
      <c r="G1529" s="805">
        <v>7.6799786296246797</v>
      </c>
      <c r="H1529" s="805">
        <v>265.73</v>
      </c>
      <c r="I1529" s="805">
        <v>42.4</v>
      </c>
      <c r="J1529" s="805">
        <v>2675.81</v>
      </c>
      <c r="K1529" s="805">
        <v>6936.5829999999996</v>
      </c>
    </row>
    <row r="1530" spans="3:11">
      <c r="C1530" s="861">
        <v>43084</v>
      </c>
      <c r="D1530" s="805">
        <v>44.56</v>
      </c>
      <c r="E1530" s="805">
        <v>47.89</v>
      </c>
      <c r="F1530" s="806">
        <v>10.29</v>
      </c>
      <c r="G1530" s="805">
        <v>7.6799786296246797</v>
      </c>
      <c r="H1530" s="805">
        <v>265.73</v>
      </c>
      <c r="I1530" s="805">
        <v>42.4</v>
      </c>
      <c r="J1530" s="805">
        <v>2675.81</v>
      </c>
      <c r="K1530" s="805">
        <v>6936.5829999999996</v>
      </c>
    </row>
    <row r="1531" spans="3:11">
      <c r="C1531" s="861">
        <v>43083</v>
      </c>
      <c r="D1531" s="805">
        <v>43.26</v>
      </c>
      <c r="E1531" s="805">
        <v>46.6175</v>
      </c>
      <c r="F1531" s="806">
        <v>10.130000000000001</v>
      </c>
      <c r="G1531" s="805">
        <v>7.6858952984328104</v>
      </c>
      <c r="H1531" s="805">
        <v>259.33999999999997</v>
      </c>
      <c r="I1531" s="805">
        <v>42.24</v>
      </c>
      <c r="J1531" s="805">
        <v>2652.01</v>
      </c>
      <c r="K1531" s="805">
        <v>6856.5259999999998</v>
      </c>
    </row>
    <row r="1532" spans="3:11">
      <c r="C1532" s="861">
        <v>43082</v>
      </c>
      <c r="D1532" s="805">
        <v>43.34</v>
      </c>
      <c r="E1532" s="805">
        <v>46.545000000000002</v>
      </c>
      <c r="F1532" s="806">
        <v>10.11</v>
      </c>
      <c r="G1532" s="805">
        <v>7.5646494268195097</v>
      </c>
      <c r="H1532" s="805">
        <v>262.02999999999997</v>
      </c>
      <c r="I1532" s="805">
        <v>42.05</v>
      </c>
      <c r="J1532" s="805">
        <v>2662.85</v>
      </c>
      <c r="K1532" s="805">
        <v>6875.799</v>
      </c>
    </row>
    <row r="1533" spans="3:11">
      <c r="C1533" s="861">
        <v>43081</v>
      </c>
      <c r="D1533" s="805">
        <v>43.33</v>
      </c>
      <c r="E1533" s="805">
        <v>47.71</v>
      </c>
      <c r="F1533" s="806">
        <v>9.9</v>
      </c>
      <c r="G1533" s="805">
        <v>7.5830805639812002</v>
      </c>
      <c r="H1533" s="805">
        <v>258.7</v>
      </c>
      <c r="I1533" s="805">
        <v>41.86</v>
      </c>
      <c r="J1533" s="805">
        <v>2664.11</v>
      </c>
      <c r="K1533" s="805">
        <v>6862.317</v>
      </c>
    </row>
    <row r="1534" spans="3:11">
      <c r="C1534" s="861">
        <v>43080</v>
      </c>
      <c r="D1534" s="805">
        <v>43.66</v>
      </c>
      <c r="E1534" s="805">
        <v>48.664999999999999</v>
      </c>
      <c r="F1534" s="806">
        <v>10.16</v>
      </c>
      <c r="G1534" s="805">
        <v>7.5820696550574898</v>
      </c>
      <c r="H1534" s="805">
        <v>259.95</v>
      </c>
      <c r="I1534" s="805">
        <v>43.01</v>
      </c>
      <c r="J1534" s="805">
        <v>2659.99</v>
      </c>
      <c r="K1534" s="805">
        <v>6875.0780000000004</v>
      </c>
    </row>
    <row r="1535" spans="3:11">
      <c r="C1535" s="861">
        <v>43079</v>
      </c>
      <c r="D1535" s="805">
        <v>43.35</v>
      </c>
      <c r="E1535" s="805">
        <v>47.872500000000002</v>
      </c>
      <c r="F1535" s="806">
        <v>9.94</v>
      </c>
      <c r="G1535" s="805">
        <v>7.56313720263877</v>
      </c>
      <c r="H1535" s="805">
        <v>259.91000000000003</v>
      </c>
      <c r="I1535" s="805">
        <v>43.21</v>
      </c>
      <c r="J1535" s="805">
        <v>2651.5</v>
      </c>
      <c r="K1535" s="805">
        <v>6840.0810000000001</v>
      </c>
    </row>
    <row r="1536" spans="3:11">
      <c r="C1536" s="861">
        <v>43078</v>
      </c>
      <c r="D1536" s="805">
        <v>43.35</v>
      </c>
      <c r="E1536" s="805">
        <v>47.872500000000002</v>
      </c>
      <c r="F1536" s="806">
        <v>9.94</v>
      </c>
      <c r="G1536" s="805">
        <v>7.56313720263877</v>
      </c>
      <c r="H1536" s="805">
        <v>259.91000000000003</v>
      </c>
      <c r="I1536" s="805">
        <v>43.21</v>
      </c>
      <c r="J1536" s="805">
        <v>2651.5</v>
      </c>
      <c r="K1536" s="805">
        <v>6840.0810000000001</v>
      </c>
    </row>
    <row r="1537" spans="3:11">
      <c r="C1537" s="861">
        <v>43077</v>
      </c>
      <c r="D1537" s="805">
        <v>43.35</v>
      </c>
      <c r="E1537" s="805">
        <v>47.872500000000002</v>
      </c>
      <c r="F1537" s="806">
        <v>9.94</v>
      </c>
      <c r="G1537" s="805">
        <v>7.56313720263877</v>
      </c>
      <c r="H1537" s="805">
        <v>259.91000000000003</v>
      </c>
      <c r="I1537" s="805">
        <v>43.21</v>
      </c>
      <c r="J1537" s="805">
        <v>2651.5</v>
      </c>
      <c r="K1537" s="805">
        <v>6840.0810000000001</v>
      </c>
    </row>
    <row r="1538" spans="3:11">
      <c r="C1538" s="861">
        <v>43076</v>
      </c>
      <c r="D1538" s="805">
        <v>43.08</v>
      </c>
      <c r="E1538" s="805">
        <v>47.997500000000002</v>
      </c>
      <c r="F1538" s="806">
        <v>10.039999999999999</v>
      </c>
      <c r="G1538" s="805">
        <v>7.5444673905802402</v>
      </c>
      <c r="H1538" s="805">
        <v>263.89</v>
      </c>
      <c r="I1538" s="805">
        <v>43.2</v>
      </c>
      <c r="J1538" s="805">
        <v>2636.98</v>
      </c>
      <c r="K1538" s="805">
        <v>6812.8410000000003</v>
      </c>
    </row>
    <row r="1539" spans="3:11">
      <c r="C1539" s="861">
        <v>43075</v>
      </c>
      <c r="D1539" s="805">
        <v>43.45</v>
      </c>
      <c r="E1539" s="805">
        <v>47.314999999999998</v>
      </c>
      <c r="F1539" s="806">
        <v>10</v>
      </c>
      <c r="G1539" s="805">
        <v>7.5651536359394802</v>
      </c>
      <c r="H1539" s="805">
        <v>263.89</v>
      </c>
      <c r="I1539" s="805">
        <v>41.58</v>
      </c>
      <c r="J1539" s="805">
        <v>2629.27</v>
      </c>
      <c r="K1539" s="805">
        <v>6776.375</v>
      </c>
    </row>
    <row r="1540" spans="3:11">
      <c r="C1540" s="861">
        <v>43074</v>
      </c>
      <c r="D1540" s="805">
        <v>43.44</v>
      </c>
      <c r="E1540" s="805">
        <v>46.935000000000002</v>
      </c>
      <c r="F1540" s="806">
        <v>9.91</v>
      </c>
      <c r="G1540" s="805">
        <v>7.6563803169307798</v>
      </c>
      <c r="H1540" s="805">
        <v>261.64999999999998</v>
      </c>
      <c r="I1540" s="805">
        <v>41.21</v>
      </c>
      <c r="J1540" s="805">
        <v>2629.57</v>
      </c>
      <c r="K1540" s="805">
        <v>6762.2129999999997</v>
      </c>
    </row>
    <row r="1541" spans="3:11">
      <c r="C1541" s="861">
        <v>43073</v>
      </c>
      <c r="D1541" s="805">
        <v>44.49</v>
      </c>
      <c r="E1541" s="805">
        <v>46.664999999999999</v>
      </c>
      <c r="F1541" s="806">
        <v>10.029999999999999</v>
      </c>
      <c r="G1541" s="805">
        <v>7.7958422174840099</v>
      </c>
      <c r="H1541" s="805">
        <v>263.61</v>
      </c>
      <c r="I1541" s="805">
        <v>39.9</v>
      </c>
      <c r="J1541" s="805">
        <v>2639.44</v>
      </c>
      <c r="K1541" s="805">
        <v>6775.366</v>
      </c>
    </row>
    <row r="1542" spans="3:11">
      <c r="C1542" s="861">
        <v>43072</v>
      </c>
      <c r="D1542" s="805">
        <v>44.68</v>
      </c>
      <c r="E1542" s="805">
        <v>49.42</v>
      </c>
      <c r="F1542" s="806">
        <v>10.73</v>
      </c>
      <c r="G1542" s="805">
        <v>7.7084793272599903</v>
      </c>
      <c r="H1542" s="805">
        <v>271.56</v>
      </c>
      <c r="I1542" s="805">
        <v>41.99</v>
      </c>
      <c r="J1542" s="805">
        <v>2642.22</v>
      </c>
      <c r="K1542" s="805">
        <v>6847.5860000000002</v>
      </c>
    </row>
    <row r="1543" spans="3:11">
      <c r="C1543" s="861">
        <v>43071</v>
      </c>
      <c r="D1543" s="805">
        <v>44.68</v>
      </c>
      <c r="E1543" s="805">
        <v>49.42</v>
      </c>
      <c r="F1543" s="806">
        <v>10.73</v>
      </c>
      <c r="G1543" s="805">
        <v>7.7084793272599903</v>
      </c>
      <c r="H1543" s="805">
        <v>271.56</v>
      </c>
      <c r="I1543" s="805">
        <v>41.99</v>
      </c>
      <c r="J1543" s="805">
        <v>2642.22</v>
      </c>
      <c r="K1543" s="805">
        <v>6847.5860000000002</v>
      </c>
    </row>
    <row r="1544" spans="3:11">
      <c r="C1544" s="861">
        <v>43070</v>
      </c>
      <c r="D1544" s="805">
        <v>44.68</v>
      </c>
      <c r="E1544" s="805">
        <v>49.42</v>
      </c>
      <c r="F1544" s="806">
        <v>10.73</v>
      </c>
      <c r="G1544" s="805">
        <v>7.7084793272599903</v>
      </c>
      <c r="H1544" s="805">
        <v>271.56</v>
      </c>
      <c r="I1544" s="805">
        <v>41.99</v>
      </c>
      <c r="J1544" s="805">
        <v>2642.22</v>
      </c>
      <c r="K1544" s="805">
        <v>6847.5860000000002</v>
      </c>
    </row>
    <row r="1545" spans="3:11">
      <c r="C1545" s="861">
        <v>43069</v>
      </c>
      <c r="D1545" s="805">
        <v>44.84</v>
      </c>
      <c r="E1545" s="805">
        <v>50.177500000000002</v>
      </c>
      <c r="F1545" s="806">
        <v>10.89</v>
      </c>
      <c r="G1545" s="805">
        <v>7.5373532550693696</v>
      </c>
      <c r="H1545" s="805">
        <v>277.94</v>
      </c>
      <c r="I1545" s="805">
        <v>42.39</v>
      </c>
      <c r="J1545" s="805">
        <v>2647.58</v>
      </c>
      <c r="K1545" s="805">
        <v>6873.973</v>
      </c>
    </row>
    <row r="1546" spans="3:11">
      <c r="C1546" s="861">
        <v>43068</v>
      </c>
      <c r="D1546" s="805">
        <v>43.95</v>
      </c>
      <c r="E1546" s="805">
        <v>49.104999999999997</v>
      </c>
      <c r="F1546" s="806">
        <v>10.83</v>
      </c>
      <c r="G1546" s="805">
        <v>7.82266404243253</v>
      </c>
      <c r="H1546" s="805">
        <v>271.5</v>
      </c>
      <c r="I1546" s="805">
        <v>43.74</v>
      </c>
      <c r="J1546" s="805">
        <v>2626.07</v>
      </c>
      <c r="K1546" s="805">
        <v>6824.3890000000001</v>
      </c>
    </row>
    <row r="1547" spans="3:11">
      <c r="C1547" s="861">
        <v>43067</v>
      </c>
      <c r="D1547" s="805">
        <v>44.73</v>
      </c>
      <c r="E1547" s="805">
        <v>52.677500000000002</v>
      </c>
      <c r="F1547" s="806">
        <v>11.17</v>
      </c>
      <c r="G1547" s="805">
        <v>7.8049431306494101</v>
      </c>
      <c r="H1547" s="805">
        <v>277.39999999999998</v>
      </c>
      <c r="I1547" s="805">
        <v>47.93</v>
      </c>
      <c r="J1547" s="805">
        <v>2627.04</v>
      </c>
      <c r="K1547" s="805">
        <v>6912.3580000000002</v>
      </c>
    </row>
    <row r="1548" spans="3:11">
      <c r="C1548" s="861">
        <v>43066</v>
      </c>
      <c r="D1548" s="805">
        <v>44.49</v>
      </c>
      <c r="E1548" s="805">
        <v>53.534999999999997</v>
      </c>
      <c r="F1548" s="806">
        <v>11.55</v>
      </c>
      <c r="G1548" s="805">
        <v>7.9039519759879902</v>
      </c>
      <c r="H1548" s="805">
        <v>284.62</v>
      </c>
      <c r="I1548" s="805">
        <v>48.05</v>
      </c>
      <c r="J1548" s="805">
        <v>2601.42</v>
      </c>
      <c r="K1548" s="805">
        <v>6878.5209999999997</v>
      </c>
    </row>
    <row r="1549" spans="3:11">
      <c r="C1549" s="861">
        <v>43065</v>
      </c>
      <c r="D1549" s="805">
        <v>44.75</v>
      </c>
      <c r="E1549" s="805">
        <v>54.24</v>
      </c>
      <c r="F1549" s="806">
        <v>11.38</v>
      </c>
      <c r="G1549" s="805">
        <v>8.1455516608245695</v>
      </c>
      <c r="H1549" s="805">
        <v>282.38</v>
      </c>
      <c r="I1549" s="805">
        <v>49.68</v>
      </c>
      <c r="J1549" s="805">
        <v>2602.42</v>
      </c>
      <c r="K1549" s="805">
        <v>6889.16</v>
      </c>
    </row>
    <row r="1550" spans="3:11">
      <c r="C1550" s="861">
        <v>43064</v>
      </c>
      <c r="D1550" s="805">
        <v>44.75</v>
      </c>
      <c r="E1550" s="805">
        <v>54.24</v>
      </c>
      <c r="F1550" s="806">
        <v>11.38</v>
      </c>
      <c r="G1550" s="805">
        <v>8.1455516608245695</v>
      </c>
      <c r="H1550" s="805">
        <v>282.38</v>
      </c>
      <c r="I1550" s="805">
        <v>49.68</v>
      </c>
      <c r="J1550" s="805">
        <v>2602.42</v>
      </c>
      <c r="K1550" s="805">
        <v>6889.16</v>
      </c>
    </row>
    <row r="1551" spans="3:11">
      <c r="C1551" s="861">
        <v>43063</v>
      </c>
      <c r="D1551" s="805">
        <v>44.75</v>
      </c>
      <c r="E1551" s="805">
        <v>54.24</v>
      </c>
      <c r="F1551" s="806">
        <v>11.38</v>
      </c>
      <c r="G1551" s="805">
        <v>8.1455516608245695</v>
      </c>
      <c r="H1551" s="805">
        <v>282.38</v>
      </c>
      <c r="I1551" s="805">
        <v>49.68</v>
      </c>
      <c r="J1551" s="805">
        <v>2602.42</v>
      </c>
      <c r="K1551" s="805">
        <v>6889.16</v>
      </c>
    </row>
    <row r="1552" spans="3:11">
      <c r="C1552" s="861">
        <v>43062</v>
      </c>
      <c r="D1552" s="805">
        <v>44.65</v>
      </c>
      <c r="E1552" s="805">
        <v>53.732500000000002</v>
      </c>
      <c r="F1552" s="806">
        <v>11.37</v>
      </c>
      <c r="G1552" s="805">
        <v>8.0862983093801102</v>
      </c>
      <c r="H1552" s="805">
        <v>275.37</v>
      </c>
      <c r="I1552" s="805">
        <v>49.14</v>
      </c>
      <c r="J1552" s="805">
        <v>2597.08</v>
      </c>
      <c r="K1552" s="805">
        <v>6867.3609999999999</v>
      </c>
    </row>
    <row r="1553" spans="3:11">
      <c r="C1553" s="861">
        <v>43061</v>
      </c>
      <c r="D1553" s="805">
        <v>44.65</v>
      </c>
      <c r="E1553" s="805">
        <v>53.732500000000002</v>
      </c>
      <c r="F1553" s="806">
        <v>11.37</v>
      </c>
      <c r="G1553" s="805">
        <v>8.0825623726662492</v>
      </c>
      <c r="H1553" s="805">
        <v>275.37</v>
      </c>
      <c r="I1553" s="805">
        <v>49.14</v>
      </c>
      <c r="J1553" s="805">
        <v>2597.08</v>
      </c>
      <c r="K1553" s="805">
        <v>6867.3609999999999</v>
      </c>
    </row>
    <row r="1554" spans="3:11">
      <c r="C1554" s="861">
        <v>43060</v>
      </c>
      <c r="D1554" s="805">
        <v>44.94</v>
      </c>
      <c r="E1554" s="805">
        <v>54.012500000000003</v>
      </c>
      <c r="F1554" s="806">
        <v>11.4</v>
      </c>
      <c r="G1554" s="805">
        <v>8.1013502250375105</v>
      </c>
      <c r="H1554" s="805">
        <v>276.58999999999997</v>
      </c>
      <c r="I1554" s="805">
        <v>49.4</v>
      </c>
      <c r="J1554" s="805">
        <v>2599.0300000000002</v>
      </c>
      <c r="K1554" s="805">
        <v>6862.4769999999999</v>
      </c>
    </row>
    <row r="1555" spans="3:11">
      <c r="C1555" s="861">
        <v>43059</v>
      </c>
      <c r="D1555" s="805">
        <v>44.62</v>
      </c>
      <c r="E1555" s="805">
        <v>53.52</v>
      </c>
      <c r="F1555" s="806">
        <v>11.34</v>
      </c>
      <c r="G1555" s="805">
        <v>7.9296472387538603</v>
      </c>
      <c r="H1555" s="805">
        <v>274.88</v>
      </c>
      <c r="I1555" s="805">
        <v>47.64</v>
      </c>
      <c r="J1555" s="805">
        <v>2582.14</v>
      </c>
      <c r="K1555" s="805">
        <v>6790.7139999999999</v>
      </c>
    </row>
    <row r="1556" spans="3:11">
      <c r="C1556" s="861">
        <v>43058</v>
      </c>
      <c r="D1556" s="805">
        <v>44.63</v>
      </c>
      <c r="E1556" s="805">
        <v>52.84</v>
      </c>
      <c r="F1556" s="806">
        <v>11.38</v>
      </c>
      <c r="G1556" s="805">
        <v>8.0366056572379403</v>
      </c>
      <c r="H1556" s="805">
        <v>271.86</v>
      </c>
      <c r="I1556" s="805">
        <v>46.16</v>
      </c>
      <c r="J1556" s="805">
        <v>2578.85</v>
      </c>
      <c r="K1556" s="805">
        <v>6782.7910000000002</v>
      </c>
    </row>
    <row r="1557" spans="3:11">
      <c r="C1557" s="861">
        <v>43057</v>
      </c>
      <c r="D1557" s="805">
        <v>44.63</v>
      </c>
      <c r="E1557" s="805">
        <v>52.84</v>
      </c>
      <c r="F1557" s="806">
        <v>11.38</v>
      </c>
      <c r="G1557" s="805">
        <v>8.0366056572379403</v>
      </c>
      <c r="H1557" s="805">
        <v>271.86</v>
      </c>
      <c r="I1557" s="805">
        <v>46.16</v>
      </c>
      <c r="J1557" s="805">
        <v>2578.85</v>
      </c>
      <c r="K1557" s="805">
        <v>6782.7910000000002</v>
      </c>
    </row>
    <row r="1558" spans="3:11">
      <c r="C1558" s="861">
        <v>43056</v>
      </c>
      <c r="D1558" s="805">
        <v>44.63</v>
      </c>
      <c r="E1558" s="805">
        <v>52.84</v>
      </c>
      <c r="F1558" s="806">
        <v>11.38</v>
      </c>
      <c r="G1558" s="805">
        <v>8.0366056572379403</v>
      </c>
      <c r="H1558" s="805">
        <v>271.86</v>
      </c>
      <c r="I1558" s="805">
        <v>46.16</v>
      </c>
      <c r="J1558" s="805">
        <v>2578.85</v>
      </c>
      <c r="K1558" s="805">
        <v>6782.7910000000002</v>
      </c>
    </row>
    <row r="1559" spans="3:11">
      <c r="C1559" s="861">
        <v>43055</v>
      </c>
      <c r="D1559" s="805">
        <v>45.65</v>
      </c>
      <c r="E1559" s="805">
        <v>52.902500000000003</v>
      </c>
      <c r="F1559" s="806">
        <v>11.25</v>
      </c>
      <c r="G1559" s="805">
        <v>7.9180251513740103</v>
      </c>
      <c r="H1559" s="805">
        <v>272.11</v>
      </c>
      <c r="I1559" s="805">
        <v>46.18</v>
      </c>
      <c r="J1559" s="805">
        <v>2585.64</v>
      </c>
      <c r="K1559" s="805">
        <v>6793.2910000000002</v>
      </c>
    </row>
    <row r="1560" spans="3:11">
      <c r="C1560" s="861">
        <v>43054</v>
      </c>
      <c r="D1560" s="805">
        <v>45.46</v>
      </c>
      <c r="E1560" s="805">
        <v>52.494999999999997</v>
      </c>
      <c r="F1560" s="806">
        <v>11.07</v>
      </c>
      <c r="G1560" s="805">
        <v>7.8966617901316702</v>
      </c>
      <c r="H1560" s="805">
        <v>265.60000000000002</v>
      </c>
      <c r="I1560" s="805">
        <v>45.36</v>
      </c>
      <c r="J1560" s="805">
        <v>2564.62</v>
      </c>
      <c r="K1560" s="805">
        <v>6706.2079999999996</v>
      </c>
    </row>
    <row r="1561" spans="3:11">
      <c r="C1561" s="861">
        <v>43053</v>
      </c>
      <c r="D1561" s="805">
        <v>45.86</v>
      </c>
      <c r="E1561" s="805">
        <v>53.545000000000002</v>
      </c>
      <c r="F1561" s="806">
        <v>11.12</v>
      </c>
      <c r="G1561" s="805">
        <v>7.9742166993388004</v>
      </c>
      <c r="H1561" s="805">
        <v>263.26</v>
      </c>
      <c r="I1561" s="805">
        <v>45.8</v>
      </c>
      <c r="J1561" s="805">
        <v>2578.87</v>
      </c>
      <c r="K1561" s="805">
        <v>6737.8720000000003</v>
      </c>
    </row>
    <row r="1562" spans="3:11">
      <c r="C1562" s="861">
        <v>43052</v>
      </c>
      <c r="D1562" s="805">
        <v>45.75</v>
      </c>
      <c r="E1562" s="805">
        <v>53.157499999999999</v>
      </c>
      <c r="F1562" s="806">
        <v>11.09</v>
      </c>
      <c r="G1562" s="805">
        <v>7.9372970106714398</v>
      </c>
      <c r="H1562" s="805">
        <v>265.01</v>
      </c>
      <c r="I1562" s="805">
        <v>45.6</v>
      </c>
      <c r="J1562" s="805">
        <v>2584.84</v>
      </c>
      <c r="K1562" s="805">
        <v>6757.5950000000003</v>
      </c>
    </row>
    <row r="1563" spans="3:11">
      <c r="C1563" s="861">
        <v>43051</v>
      </c>
      <c r="D1563" s="805">
        <v>45.58</v>
      </c>
      <c r="E1563" s="805">
        <v>54.034999999999997</v>
      </c>
      <c r="F1563" s="806">
        <v>11.26</v>
      </c>
      <c r="G1563" s="805">
        <v>7.9765181917680996</v>
      </c>
      <c r="H1563" s="805">
        <v>264.95999999999998</v>
      </c>
      <c r="I1563" s="805">
        <v>44.78</v>
      </c>
      <c r="J1563" s="805">
        <v>2582.3000000000002</v>
      </c>
      <c r="K1563" s="805">
        <v>6750.9390000000003</v>
      </c>
    </row>
    <row r="1564" spans="3:11">
      <c r="C1564" s="861">
        <v>43050</v>
      </c>
      <c r="D1564" s="805">
        <v>45.58</v>
      </c>
      <c r="E1564" s="805">
        <v>54.034999999999997</v>
      </c>
      <c r="F1564" s="806">
        <v>11.26</v>
      </c>
      <c r="G1564" s="805">
        <v>7.9765181917680996</v>
      </c>
      <c r="H1564" s="805">
        <v>264.95999999999998</v>
      </c>
      <c r="I1564" s="805">
        <v>44.78</v>
      </c>
      <c r="J1564" s="805">
        <v>2582.3000000000002</v>
      </c>
      <c r="K1564" s="805">
        <v>6750.9390000000003</v>
      </c>
    </row>
    <row r="1565" spans="3:11">
      <c r="C1565" s="861">
        <v>43049</v>
      </c>
      <c r="D1565" s="805">
        <v>45.58</v>
      </c>
      <c r="E1565" s="805">
        <v>54.034999999999997</v>
      </c>
      <c r="F1565" s="806">
        <v>11.26</v>
      </c>
      <c r="G1565" s="805">
        <v>7.9765181917680996</v>
      </c>
      <c r="H1565" s="805">
        <v>264.95999999999998</v>
      </c>
      <c r="I1565" s="805">
        <v>44.78</v>
      </c>
      <c r="J1565" s="805">
        <v>2582.3000000000002</v>
      </c>
      <c r="K1565" s="805">
        <v>6750.9390000000003</v>
      </c>
    </row>
    <row r="1566" spans="3:11">
      <c r="C1566" s="861">
        <v>43048</v>
      </c>
      <c r="D1566" s="805">
        <v>46.3</v>
      </c>
      <c r="E1566" s="805">
        <v>51.33</v>
      </c>
      <c r="F1566" s="806">
        <v>11.12</v>
      </c>
      <c r="G1566" s="805">
        <v>7.98092525747591</v>
      </c>
      <c r="H1566" s="805">
        <v>265.64</v>
      </c>
      <c r="I1566" s="805">
        <v>43.5</v>
      </c>
      <c r="J1566" s="805">
        <v>2584.62</v>
      </c>
      <c r="K1566" s="805">
        <v>6750.0529999999999</v>
      </c>
    </row>
    <row r="1567" spans="3:11">
      <c r="C1567" s="861">
        <v>43047</v>
      </c>
      <c r="D1567" s="805">
        <v>46.7</v>
      </c>
      <c r="E1567" s="805">
        <v>52.29</v>
      </c>
      <c r="F1567" s="806">
        <v>11.71</v>
      </c>
      <c r="G1567" s="805">
        <v>8.0385852090032106</v>
      </c>
      <c r="H1567" s="805">
        <v>272.39999999999998</v>
      </c>
      <c r="I1567" s="805">
        <v>44.09</v>
      </c>
      <c r="J1567" s="805">
        <v>2594.38</v>
      </c>
      <c r="K1567" s="805">
        <v>6789.1180000000004</v>
      </c>
    </row>
    <row r="1568" spans="3:11">
      <c r="C1568" s="861">
        <v>43046</v>
      </c>
      <c r="D1568" s="805">
        <v>46.78</v>
      </c>
      <c r="E1568" s="805">
        <v>53.0075</v>
      </c>
      <c r="F1568" s="806">
        <v>12.05</v>
      </c>
      <c r="G1568" s="805">
        <v>8.0915271099320201</v>
      </c>
      <c r="H1568" s="805">
        <v>271.32</v>
      </c>
      <c r="I1568" s="805">
        <v>43.95</v>
      </c>
      <c r="J1568" s="805">
        <v>2590.64</v>
      </c>
      <c r="K1568" s="805">
        <v>6767.7830000000004</v>
      </c>
    </row>
    <row r="1569" spans="3:11">
      <c r="C1569" s="861">
        <v>43045</v>
      </c>
      <c r="D1569" s="805">
        <v>46.7</v>
      </c>
      <c r="E1569" s="805">
        <v>52.407499999999999</v>
      </c>
      <c r="F1569" s="806">
        <v>11.93</v>
      </c>
      <c r="G1569" s="805">
        <v>7.93545608164077</v>
      </c>
      <c r="H1569" s="805">
        <v>277.52</v>
      </c>
      <c r="I1569" s="805">
        <v>43.25</v>
      </c>
      <c r="J1569" s="805">
        <v>2591.13</v>
      </c>
      <c r="K1569" s="805">
        <v>6786.4359999999997</v>
      </c>
    </row>
    <row r="1570" spans="3:11">
      <c r="C1570" s="861">
        <v>43044</v>
      </c>
      <c r="D1570" s="805">
        <v>46.34</v>
      </c>
      <c r="E1570" s="805">
        <v>52.172499999999999</v>
      </c>
      <c r="F1570" s="806">
        <v>11.12</v>
      </c>
      <c r="G1570" s="805">
        <v>7.9254543042843899</v>
      </c>
      <c r="H1570" s="805">
        <v>273.63</v>
      </c>
      <c r="I1570" s="805">
        <v>43.71</v>
      </c>
      <c r="J1570" s="805">
        <v>2587.84</v>
      </c>
      <c r="K1570" s="805">
        <v>6764.4350000000004</v>
      </c>
    </row>
    <row r="1571" spans="3:11">
      <c r="C1571" s="861">
        <v>43043</v>
      </c>
      <c r="D1571" s="805">
        <v>46.34</v>
      </c>
      <c r="E1571" s="805">
        <v>52.172499999999999</v>
      </c>
      <c r="F1571" s="806">
        <v>11.12</v>
      </c>
      <c r="G1571" s="805">
        <v>7.9254543042843899</v>
      </c>
      <c r="H1571" s="805">
        <v>273.63</v>
      </c>
      <c r="I1571" s="805">
        <v>43.71</v>
      </c>
      <c r="J1571" s="805">
        <v>2587.84</v>
      </c>
      <c r="K1571" s="805">
        <v>6764.4350000000004</v>
      </c>
    </row>
    <row r="1572" spans="3:11">
      <c r="C1572" s="861">
        <v>43042</v>
      </c>
      <c r="D1572" s="805">
        <v>46.34</v>
      </c>
      <c r="E1572" s="805">
        <v>52.172499999999999</v>
      </c>
      <c r="F1572" s="806">
        <v>11.12</v>
      </c>
      <c r="G1572" s="805">
        <v>7.9254543042843899</v>
      </c>
      <c r="H1572" s="805">
        <v>273.63</v>
      </c>
      <c r="I1572" s="805">
        <v>43.71</v>
      </c>
      <c r="J1572" s="805">
        <v>2587.84</v>
      </c>
      <c r="K1572" s="805">
        <v>6764.4350000000004</v>
      </c>
    </row>
    <row r="1573" spans="3:11">
      <c r="C1573" s="861">
        <v>43041</v>
      </c>
      <c r="D1573" s="805">
        <v>47.1</v>
      </c>
      <c r="E1573" s="805">
        <v>51.484999999999999</v>
      </c>
      <c r="F1573" s="806">
        <v>10.85</v>
      </c>
      <c r="G1573" s="805">
        <v>7.98939167909829</v>
      </c>
      <c r="H1573" s="805">
        <v>259.5</v>
      </c>
      <c r="I1573" s="805">
        <v>44.34</v>
      </c>
      <c r="J1573" s="805">
        <v>2579.85</v>
      </c>
      <c r="K1573" s="805">
        <v>6714.9430000000002</v>
      </c>
    </row>
    <row r="1574" spans="3:11">
      <c r="C1574" s="861">
        <v>43040</v>
      </c>
      <c r="D1574" s="805">
        <v>46.71</v>
      </c>
      <c r="E1574" s="805">
        <v>51.8</v>
      </c>
      <c r="F1574" s="806">
        <v>10.8</v>
      </c>
      <c r="G1574" s="805">
        <v>8.0484566876866896</v>
      </c>
      <c r="H1574" s="805">
        <v>259.29000000000002</v>
      </c>
      <c r="I1574" s="805">
        <v>44.38</v>
      </c>
      <c r="J1574" s="805">
        <v>2579.36</v>
      </c>
      <c r="K1574" s="805">
        <v>6716.5330000000004</v>
      </c>
    </row>
    <row r="1575" spans="3:11">
      <c r="C1575" s="861">
        <v>43039</v>
      </c>
      <c r="D1575" s="805">
        <v>45.49</v>
      </c>
      <c r="E1575" s="805">
        <v>51.702500000000001</v>
      </c>
      <c r="F1575" s="806">
        <v>10.984999999999999</v>
      </c>
      <c r="G1575" s="805">
        <v>8.0588996119789105</v>
      </c>
      <c r="H1575" s="805">
        <v>263.91000000000003</v>
      </c>
      <c r="I1575" s="805">
        <v>44.31</v>
      </c>
      <c r="J1575" s="805">
        <v>2575.2600000000002</v>
      </c>
      <c r="K1575" s="805">
        <v>6727.6689999999999</v>
      </c>
    </row>
    <row r="1576" spans="3:11">
      <c r="C1576" s="861">
        <v>43038</v>
      </c>
      <c r="D1576" s="805">
        <v>44.37</v>
      </c>
      <c r="E1576" s="805">
        <v>50.96</v>
      </c>
      <c r="F1576" s="806">
        <v>10.89</v>
      </c>
      <c r="G1576" s="805">
        <v>8.0508895736010295</v>
      </c>
      <c r="H1576" s="805">
        <v>261.23</v>
      </c>
      <c r="I1576" s="805">
        <v>41.65</v>
      </c>
      <c r="J1576" s="805">
        <v>2572.83</v>
      </c>
      <c r="K1576" s="805">
        <v>6698.9629999999997</v>
      </c>
    </row>
    <row r="1577" spans="3:11">
      <c r="C1577" s="861">
        <v>43037</v>
      </c>
      <c r="D1577" s="805">
        <v>44.4</v>
      </c>
      <c r="E1577" s="805">
        <v>50.465000000000003</v>
      </c>
      <c r="F1577" s="806">
        <v>11.84</v>
      </c>
      <c r="G1577" s="805">
        <v>7.9304509407041204</v>
      </c>
      <c r="H1577" s="805">
        <v>252.9</v>
      </c>
      <c r="I1577" s="805">
        <v>40.85</v>
      </c>
      <c r="J1577" s="805">
        <v>2581.0700000000002</v>
      </c>
      <c r="K1577" s="805">
        <v>6701.2629999999999</v>
      </c>
    </row>
    <row r="1578" spans="3:11">
      <c r="C1578" s="861">
        <v>43036</v>
      </c>
      <c r="D1578" s="805">
        <v>44.4</v>
      </c>
      <c r="E1578" s="805">
        <v>50.465000000000003</v>
      </c>
      <c r="F1578" s="806">
        <v>11.84</v>
      </c>
      <c r="G1578" s="805">
        <v>7.9304509407041204</v>
      </c>
      <c r="H1578" s="805">
        <v>252.9</v>
      </c>
      <c r="I1578" s="805">
        <v>40.85</v>
      </c>
      <c r="J1578" s="805">
        <v>2581.0700000000002</v>
      </c>
      <c r="K1578" s="805">
        <v>6701.2629999999999</v>
      </c>
    </row>
    <row r="1579" spans="3:11">
      <c r="C1579" s="861">
        <v>43035</v>
      </c>
      <c r="D1579" s="805">
        <v>44.4</v>
      </c>
      <c r="E1579" s="805">
        <v>50.465000000000003</v>
      </c>
      <c r="F1579" s="806">
        <v>11.84</v>
      </c>
      <c r="G1579" s="805">
        <v>7.9304509407041204</v>
      </c>
      <c r="H1579" s="805">
        <v>252.9</v>
      </c>
      <c r="I1579" s="805">
        <v>40.85</v>
      </c>
      <c r="J1579" s="805">
        <v>2581.0700000000002</v>
      </c>
      <c r="K1579" s="805">
        <v>6701.2629999999999</v>
      </c>
    </row>
    <row r="1580" spans="3:11">
      <c r="C1580" s="861">
        <v>43034</v>
      </c>
      <c r="D1580" s="805">
        <v>41.35</v>
      </c>
      <c r="E1580" s="805">
        <v>48.922499999999999</v>
      </c>
      <c r="F1580" s="806">
        <v>12.005000000000001</v>
      </c>
      <c r="G1580" s="805">
        <v>7.8112070962830602</v>
      </c>
      <c r="H1580" s="805">
        <v>243.76</v>
      </c>
      <c r="I1580" s="805">
        <v>40.6</v>
      </c>
      <c r="J1580" s="805">
        <v>2560.4</v>
      </c>
      <c r="K1580" s="805">
        <v>6556.7740000000003</v>
      </c>
    </row>
    <row r="1581" spans="3:11">
      <c r="C1581" s="861">
        <v>43033</v>
      </c>
      <c r="D1581" s="805">
        <v>40.78</v>
      </c>
      <c r="E1581" s="805">
        <v>48.414999999999999</v>
      </c>
      <c r="F1581" s="806">
        <v>12.33</v>
      </c>
      <c r="G1581" s="805">
        <v>7.8659483755825104</v>
      </c>
      <c r="H1581" s="805">
        <v>245.82</v>
      </c>
      <c r="I1581" s="805">
        <v>41.06</v>
      </c>
      <c r="J1581" s="805">
        <v>2557.15</v>
      </c>
      <c r="K1581" s="805">
        <v>6563.8909999999996</v>
      </c>
    </row>
    <row r="1582" spans="3:11">
      <c r="C1582" s="861">
        <v>43032</v>
      </c>
      <c r="D1582" s="805">
        <v>40.950000000000003</v>
      </c>
      <c r="E1582" s="805">
        <v>49.67</v>
      </c>
      <c r="F1582" s="806">
        <v>14.25</v>
      </c>
      <c r="G1582" s="805">
        <v>7.8669883978448398</v>
      </c>
      <c r="H1582" s="805">
        <v>247.68</v>
      </c>
      <c r="I1582" s="805">
        <v>41.6</v>
      </c>
      <c r="J1582" s="805">
        <v>2569.13</v>
      </c>
      <c r="K1582" s="805">
        <v>6598.43</v>
      </c>
    </row>
    <row r="1583" spans="3:11">
      <c r="C1583" s="861">
        <v>43031</v>
      </c>
      <c r="D1583" s="805">
        <v>40.83</v>
      </c>
      <c r="E1583" s="805">
        <v>49.155000000000001</v>
      </c>
      <c r="F1583" s="806">
        <v>14.1</v>
      </c>
      <c r="G1583" s="805">
        <v>7.9029164737781903</v>
      </c>
      <c r="H1583" s="805">
        <v>244.27</v>
      </c>
      <c r="I1583" s="805">
        <v>41.56</v>
      </c>
      <c r="J1583" s="805">
        <v>2564.98</v>
      </c>
      <c r="K1583" s="805">
        <v>6586.826</v>
      </c>
    </row>
    <row r="1584" spans="3:11">
      <c r="C1584" s="861">
        <v>43030</v>
      </c>
      <c r="D1584" s="805">
        <v>40.43</v>
      </c>
      <c r="E1584" s="805">
        <v>49.225000000000001</v>
      </c>
      <c r="F1584" s="806">
        <v>13.81</v>
      </c>
      <c r="G1584" s="805">
        <v>7.8585136655416603</v>
      </c>
      <c r="H1584" s="805">
        <v>244.24</v>
      </c>
      <c r="I1584" s="805">
        <v>41.5</v>
      </c>
      <c r="J1584" s="805">
        <v>2575.21</v>
      </c>
      <c r="K1584" s="805">
        <v>6629.0529999999999</v>
      </c>
    </row>
    <row r="1585" spans="3:11">
      <c r="C1585" s="861">
        <v>43029</v>
      </c>
      <c r="D1585" s="805">
        <v>40.43</v>
      </c>
      <c r="E1585" s="805">
        <v>49.225000000000001</v>
      </c>
      <c r="F1585" s="806">
        <v>13.81</v>
      </c>
      <c r="G1585" s="805">
        <v>7.8585136655416603</v>
      </c>
      <c r="H1585" s="805">
        <v>244.24</v>
      </c>
      <c r="I1585" s="805">
        <v>41.5</v>
      </c>
      <c r="J1585" s="805">
        <v>2575.21</v>
      </c>
      <c r="K1585" s="805">
        <v>6629.0529999999999</v>
      </c>
    </row>
    <row r="1586" spans="3:11">
      <c r="C1586" s="861">
        <v>43028</v>
      </c>
      <c r="D1586" s="805">
        <v>40.43</v>
      </c>
      <c r="E1586" s="805">
        <v>49.225000000000001</v>
      </c>
      <c r="F1586" s="806">
        <v>13.81</v>
      </c>
      <c r="G1586" s="805">
        <v>7.8585136655416603</v>
      </c>
      <c r="H1586" s="805">
        <v>244.24</v>
      </c>
      <c r="I1586" s="805">
        <v>41.5</v>
      </c>
      <c r="J1586" s="805">
        <v>2575.21</v>
      </c>
      <c r="K1586" s="805">
        <v>6629.0529999999999</v>
      </c>
    </row>
    <row r="1587" spans="3:11">
      <c r="C1587" s="861">
        <v>43027</v>
      </c>
      <c r="D1587" s="805">
        <v>40.090000000000003</v>
      </c>
      <c r="E1587" s="805">
        <v>49.45</v>
      </c>
      <c r="F1587" s="806">
        <v>13.95</v>
      </c>
      <c r="G1587" s="805">
        <v>7.9115495382170904</v>
      </c>
      <c r="H1587" s="805">
        <v>244.29</v>
      </c>
      <c r="I1587" s="805">
        <v>41.31</v>
      </c>
      <c r="J1587" s="805">
        <v>2562.1</v>
      </c>
      <c r="K1587" s="805">
        <v>6605.067</v>
      </c>
    </row>
    <row r="1588" spans="3:11">
      <c r="C1588" s="861">
        <v>43026</v>
      </c>
      <c r="D1588" s="805">
        <v>40.25</v>
      </c>
      <c r="E1588" s="805">
        <v>49.395000000000003</v>
      </c>
      <c r="F1588" s="806">
        <v>14.07</v>
      </c>
      <c r="G1588" s="805">
        <v>7.8671039120209398</v>
      </c>
      <c r="H1588" s="805">
        <v>244</v>
      </c>
      <c r="I1588" s="805">
        <v>41.65</v>
      </c>
      <c r="J1588" s="805">
        <v>2561.2600000000002</v>
      </c>
      <c r="K1588" s="805">
        <v>6624.22</v>
      </c>
    </row>
    <row r="1589" spans="3:11">
      <c r="C1589" s="861">
        <v>43025</v>
      </c>
      <c r="D1589" s="805">
        <v>39.79</v>
      </c>
      <c r="E1589" s="805">
        <v>49.4375</v>
      </c>
      <c r="F1589" s="806">
        <v>14.16</v>
      </c>
      <c r="G1589" s="805">
        <v>7.8029223683774598</v>
      </c>
      <c r="H1589" s="805">
        <v>242.62</v>
      </c>
      <c r="I1589" s="805">
        <v>40.39</v>
      </c>
      <c r="J1589" s="805">
        <v>2559.36</v>
      </c>
      <c r="K1589" s="805">
        <v>6623.6570000000002</v>
      </c>
    </row>
    <row r="1590" spans="3:11">
      <c r="C1590" s="861">
        <v>43024</v>
      </c>
      <c r="D1590" s="805">
        <v>39.76</v>
      </c>
      <c r="E1590" s="805">
        <v>49.482500000000002</v>
      </c>
      <c r="F1590" s="806">
        <v>14.26</v>
      </c>
      <c r="G1590" s="805">
        <v>7.8959591267998102</v>
      </c>
      <c r="H1590" s="805">
        <v>246.67</v>
      </c>
      <c r="I1590" s="805">
        <v>41.49</v>
      </c>
      <c r="J1590" s="805">
        <v>2557.64</v>
      </c>
      <c r="K1590" s="805">
        <v>6624.0050000000001</v>
      </c>
    </row>
    <row r="1591" spans="3:11">
      <c r="C1591" s="861">
        <v>43023</v>
      </c>
      <c r="D1591" s="805">
        <v>39.67</v>
      </c>
      <c r="E1591" s="805">
        <v>48.647500000000001</v>
      </c>
      <c r="F1591" s="806">
        <v>14.22</v>
      </c>
      <c r="G1591" s="805">
        <v>7.8885309064337203</v>
      </c>
      <c r="H1591" s="805">
        <v>247.96</v>
      </c>
      <c r="I1591" s="805">
        <v>40.4</v>
      </c>
      <c r="J1591" s="805">
        <v>2553.17</v>
      </c>
      <c r="K1591" s="805">
        <v>6605.8010000000004</v>
      </c>
    </row>
    <row r="1592" spans="3:11">
      <c r="C1592" s="861">
        <v>43022</v>
      </c>
      <c r="D1592" s="805">
        <v>39.67</v>
      </c>
      <c r="E1592" s="805">
        <v>48.647500000000001</v>
      </c>
      <c r="F1592" s="806">
        <v>14.22</v>
      </c>
      <c r="G1592" s="805">
        <v>7.8885309064337203</v>
      </c>
      <c r="H1592" s="805">
        <v>247.96</v>
      </c>
      <c r="I1592" s="805">
        <v>40.4</v>
      </c>
      <c r="J1592" s="805">
        <v>2553.17</v>
      </c>
      <c r="K1592" s="805">
        <v>6605.8010000000004</v>
      </c>
    </row>
    <row r="1593" spans="3:11">
      <c r="C1593" s="861">
        <v>43021</v>
      </c>
      <c r="D1593" s="805">
        <v>39.67</v>
      </c>
      <c r="E1593" s="805">
        <v>48.647500000000001</v>
      </c>
      <c r="F1593" s="806">
        <v>14.22</v>
      </c>
      <c r="G1593" s="805">
        <v>7.8885309064337203</v>
      </c>
      <c r="H1593" s="805">
        <v>247.96</v>
      </c>
      <c r="I1593" s="805">
        <v>40.4</v>
      </c>
      <c r="J1593" s="805">
        <v>2553.17</v>
      </c>
      <c r="K1593" s="805">
        <v>6605.8010000000004</v>
      </c>
    </row>
    <row r="1594" spans="3:11">
      <c r="C1594" s="861">
        <v>43020</v>
      </c>
      <c r="D1594" s="805">
        <v>39.19</v>
      </c>
      <c r="E1594" s="805">
        <v>47.7575</v>
      </c>
      <c r="F1594" s="806">
        <v>14.2</v>
      </c>
      <c r="G1594" s="805">
        <v>7.8665827564506001</v>
      </c>
      <c r="H1594" s="805">
        <v>248.74</v>
      </c>
      <c r="I1594" s="805">
        <v>40.58</v>
      </c>
      <c r="J1594" s="805">
        <v>2550.9299999999998</v>
      </c>
      <c r="K1594" s="805">
        <v>6591.51</v>
      </c>
    </row>
    <row r="1595" spans="3:11">
      <c r="C1595" s="861">
        <v>43019</v>
      </c>
      <c r="D1595" s="805">
        <v>39.299999999999997</v>
      </c>
      <c r="E1595" s="805">
        <v>47.734999999999999</v>
      </c>
      <c r="F1595" s="806">
        <v>13.88</v>
      </c>
      <c r="G1595" s="805">
        <v>7.7119120908218299</v>
      </c>
      <c r="H1595" s="805">
        <v>250.4</v>
      </c>
      <c r="I1595" s="805">
        <v>41.61</v>
      </c>
      <c r="J1595" s="805">
        <v>2555.2399999999998</v>
      </c>
      <c r="K1595" s="805">
        <v>6603.5479999999998</v>
      </c>
    </row>
    <row r="1596" spans="3:11">
      <c r="C1596" s="861">
        <v>43018</v>
      </c>
      <c r="D1596" s="805">
        <v>39.65</v>
      </c>
      <c r="E1596" s="805">
        <v>47.232500000000002</v>
      </c>
      <c r="F1596" s="806">
        <v>13.7</v>
      </c>
      <c r="G1596" s="805">
        <v>7.3921633190648697</v>
      </c>
      <c r="H1596" s="805">
        <v>245.99</v>
      </c>
      <c r="I1596" s="805">
        <v>41.98</v>
      </c>
      <c r="J1596" s="805">
        <v>2550.64</v>
      </c>
      <c r="K1596" s="805">
        <v>6587.2520000000004</v>
      </c>
    </row>
    <row r="1597" spans="3:11">
      <c r="C1597" s="861">
        <v>43017</v>
      </c>
      <c r="D1597" s="805">
        <v>39.86</v>
      </c>
      <c r="E1597" s="805">
        <v>46.347499999999997</v>
      </c>
      <c r="F1597" s="806">
        <v>13.47</v>
      </c>
      <c r="G1597" s="805">
        <v>7.3921633190648697</v>
      </c>
      <c r="H1597" s="805">
        <v>246.42</v>
      </c>
      <c r="I1597" s="805">
        <v>40.96</v>
      </c>
      <c r="J1597" s="805">
        <v>2544.73</v>
      </c>
      <c r="K1597" s="805">
        <v>6579.7309999999998</v>
      </c>
    </row>
    <row r="1598" spans="3:11">
      <c r="C1598" s="861">
        <v>43016</v>
      </c>
      <c r="D1598" s="805">
        <v>39.630000000000003</v>
      </c>
      <c r="E1598" s="805">
        <v>45.325000000000003</v>
      </c>
      <c r="F1598" s="806">
        <v>13.23</v>
      </c>
      <c r="G1598" s="805">
        <v>7.3921633190648697</v>
      </c>
      <c r="H1598" s="805">
        <v>245.74</v>
      </c>
      <c r="I1598" s="805">
        <v>39.67</v>
      </c>
      <c r="J1598" s="805">
        <v>2549.33</v>
      </c>
      <c r="K1598" s="805">
        <v>6590.18</v>
      </c>
    </row>
    <row r="1599" spans="3:11">
      <c r="C1599" s="861">
        <v>43015</v>
      </c>
      <c r="D1599" s="805">
        <v>39.630000000000003</v>
      </c>
      <c r="E1599" s="805">
        <v>45.325000000000003</v>
      </c>
      <c r="F1599" s="806">
        <v>13.23</v>
      </c>
      <c r="G1599" s="805">
        <v>7.3921633190648697</v>
      </c>
      <c r="H1599" s="805">
        <v>245.74</v>
      </c>
      <c r="I1599" s="805">
        <v>39.67</v>
      </c>
      <c r="J1599" s="805">
        <v>2549.33</v>
      </c>
      <c r="K1599" s="805">
        <v>6590.18</v>
      </c>
    </row>
    <row r="1600" spans="3:11">
      <c r="C1600" s="861">
        <v>43014</v>
      </c>
      <c r="D1600" s="805">
        <v>39.630000000000003</v>
      </c>
      <c r="E1600" s="805">
        <v>45.325000000000003</v>
      </c>
      <c r="F1600" s="806">
        <v>13.23</v>
      </c>
      <c r="G1600" s="805">
        <v>7.3921633190648697</v>
      </c>
      <c r="H1600" s="805">
        <v>245.74</v>
      </c>
      <c r="I1600" s="805">
        <v>39.67</v>
      </c>
      <c r="J1600" s="805">
        <v>2549.33</v>
      </c>
      <c r="K1600" s="805">
        <v>6590.18</v>
      </c>
    </row>
    <row r="1601" spans="3:11">
      <c r="C1601" s="861">
        <v>43013</v>
      </c>
      <c r="D1601" s="805">
        <v>39.53</v>
      </c>
      <c r="E1601" s="805">
        <v>45.192500000000003</v>
      </c>
      <c r="F1601" s="806">
        <v>13.34</v>
      </c>
      <c r="G1601" s="805">
        <v>7.39849723174268</v>
      </c>
      <c r="H1601" s="805">
        <v>243.67</v>
      </c>
      <c r="I1601" s="805">
        <v>39.369999999999997</v>
      </c>
      <c r="J1601" s="805">
        <v>2552.0700000000002</v>
      </c>
      <c r="K1601" s="805">
        <v>6585.3559999999998</v>
      </c>
    </row>
    <row r="1602" spans="3:11">
      <c r="C1602" s="861">
        <v>43012</v>
      </c>
      <c r="D1602" s="805">
        <v>39.340000000000003</v>
      </c>
      <c r="E1602" s="805">
        <v>45.217500000000001</v>
      </c>
      <c r="F1602" s="806">
        <v>13.31</v>
      </c>
      <c r="G1602" s="805">
        <v>7.3123438937820397</v>
      </c>
      <c r="H1602" s="805">
        <v>242</v>
      </c>
      <c r="I1602" s="805">
        <v>39.56</v>
      </c>
      <c r="J1602" s="805">
        <v>2537.7399999999998</v>
      </c>
      <c r="K1602" s="805">
        <v>6534.6270000000004</v>
      </c>
    </row>
    <row r="1603" spans="3:11">
      <c r="C1603" s="861">
        <v>43011</v>
      </c>
      <c r="D1603" s="805">
        <v>39.380000000000003</v>
      </c>
      <c r="E1603" s="805">
        <v>44.842500000000001</v>
      </c>
      <c r="F1603" s="806">
        <v>13.42</v>
      </c>
      <c r="G1603" s="805">
        <v>7.3123438937820397</v>
      </c>
      <c r="H1603" s="805">
        <v>239.5</v>
      </c>
      <c r="I1603" s="805">
        <v>40.369999999999997</v>
      </c>
      <c r="J1603" s="805">
        <v>2534.58</v>
      </c>
      <c r="K1603" s="805">
        <v>6531.7139999999999</v>
      </c>
    </row>
    <row r="1604" spans="3:11">
      <c r="C1604" s="861">
        <v>43010</v>
      </c>
      <c r="D1604" s="805">
        <v>39.04</v>
      </c>
      <c r="E1604" s="805">
        <v>44.75</v>
      </c>
      <c r="F1604" s="806">
        <v>12.71</v>
      </c>
      <c r="G1604" s="805">
        <v>7.2542439794709797</v>
      </c>
      <c r="H1604" s="805">
        <v>240.47</v>
      </c>
      <c r="I1604" s="805">
        <v>40.01</v>
      </c>
      <c r="J1604" s="805">
        <v>2529.12</v>
      </c>
      <c r="K1604" s="805">
        <v>6516.7179999999998</v>
      </c>
    </row>
    <row r="1605" spans="3:11">
      <c r="C1605" s="861">
        <v>43009</v>
      </c>
      <c r="D1605" s="805">
        <v>38.08</v>
      </c>
      <c r="E1605" s="805">
        <v>44.692500000000003</v>
      </c>
      <c r="F1605" s="806">
        <v>12.75</v>
      </c>
      <c r="G1605" s="805">
        <v>7.1421502325734796</v>
      </c>
      <c r="H1605" s="805">
        <v>242.54</v>
      </c>
      <c r="I1605" s="805">
        <v>39.33</v>
      </c>
      <c r="J1605" s="805">
        <v>2519.36</v>
      </c>
      <c r="K1605" s="805">
        <v>6495.9589999999998</v>
      </c>
    </row>
    <row r="1606" spans="3:11">
      <c r="C1606" s="861">
        <v>43008</v>
      </c>
      <c r="D1606" s="805">
        <v>38.08</v>
      </c>
      <c r="E1606" s="805">
        <v>44.692500000000003</v>
      </c>
      <c r="F1606" s="806">
        <v>12.75</v>
      </c>
      <c r="G1606" s="805">
        <v>7.1421502325734796</v>
      </c>
      <c r="H1606" s="805">
        <v>242.54</v>
      </c>
      <c r="I1606" s="805">
        <v>39.33</v>
      </c>
      <c r="J1606" s="805">
        <v>2519.36</v>
      </c>
      <c r="K1606" s="805">
        <v>6495.9589999999998</v>
      </c>
    </row>
    <row r="1607" spans="3:11">
      <c r="C1607" s="861">
        <v>43007</v>
      </c>
      <c r="D1607" s="805">
        <v>38.08</v>
      </c>
      <c r="E1607" s="805">
        <v>44.692500000000003</v>
      </c>
      <c r="F1607" s="806">
        <v>12.75</v>
      </c>
      <c r="G1607" s="805">
        <v>7.1412079031566398</v>
      </c>
      <c r="H1607" s="805">
        <v>242.54</v>
      </c>
      <c r="I1607" s="805">
        <v>39.33</v>
      </c>
      <c r="J1607" s="805">
        <v>2519.36</v>
      </c>
      <c r="K1607" s="805">
        <v>6495.9589999999998</v>
      </c>
    </row>
    <row r="1608" spans="3:11">
      <c r="C1608" s="861">
        <v>43006</v>
      </c>
      <c r="D1608" s="805">
        <v>37.83</v>
      </c>
      <c r="E1608" s="805">
        <v>43.92</v>
      </c>
      <c r="F1608" s="806">
        <v>12.74</v>
      </c>
      <c r="G1608" s="805">
        <v>7.0410949889777301</v>
      </c>
      <c r="H1608" s="805">
        <v>242.94</v>
      </c>
      <c r="I1608" s="805">
        <v>37.96</v>
      </c>
      <c r="J1608" s="805">
        <v>2510.06</v>
      </c>
      <c r="K1608" s="805">
        <v>6453.451</v>
      </c>
    </row>
    <row r="1609" spans="3:11">
      <c r="C1609" s="861">
        <v>43005</v>
      </c>
      <c r="D1609" s="805">
        <v>37.54</v>
      </c>
      <c r="E1609" s="805">
        <v>43.932499999999997</v>
      </c>
      <c r="F1609" s="806">
        <v>12.74</v>
      </c>
      <c r="G1609" s="805">
        <v>7.09500709500709</v>
      </c>
      <c r="H1609" s="805">
        <v>240.58</v>
      </c>
      <c r="I1609" s="805">
        <v>37.090000000000003</v>
      </c>
      <c r="J1609" s="805">
        <v>2507.04</v>
      </c>
      <c r="K1609" s="805">
        <v>6453.2629999999999</v>
      </c>
    </row>
    <row r="1610" spans="3:11">
      <c r="C1610" s="861">
        <v>43004</v>
      </c>
      <c r="D1610" s="805">
        <v>37.47</v>
      </c>
      <c r="E1610" s="805">
        <v>42.99</v>
      </c>
      <c r="F1610" s="806">
        <v>12.45</v>
      </c>
      <c r="G1610" s="805">
        <v>7.0722760170527801</v>
      </c>
      <c r="H1610" s="805">
        <v>237.27</v>
      </c>
      <c r="I1610" s="805">
        <v>34.18</v>
      </c>
      <c r="J1610" s="805">
        <v>2496.84</v>
      </c>
      <c r="K1610" s="805">
        <v>6380.1639999999998</v>
      </c>
    </row>
    <row r="1611" spans="3:11">
      <c r="C1611" s="861">
        <v>43003</v>
      </c>
      <c r="D1611" s="805">
        <v>37.159999999999997</v>
      </c>
      <c r="E1611" s="805">
        <v>42.75</v>
      </c>
      <c r="F1611" s="806">
        <v>12.61</v>
      </c>
      <c r="G1611" s="805">
        <v>7.1887630027164899</v>
      </c>
      <c r="H1611" s="805">
        <v>235.51</v>
      </c>
      <c r="I1611" s="805">
        <v>34.869999999999997</v>
      </c>
      <c r="J1611" s="805">
        <v>2496.66</v>
      </c>
      <c r="K1611" s="805">
        <v>6370.5929999999998</v>
      </c>
    </row>
    <row r="1612" spans="3:11">
      <c r="C1612" s="861">
        <v>43002</v>
      </c>
      <c r="D1612" s="805">
        <v>37.18</v>
      </c>
      <c r="E1612" s="805">
        <v>44.75</v>
      </c>
      <c r="F1612" s="806">
        <v>13.3</v>
      </c>
      <c r="G1612" s="805">
        <v>7.2430138893492897</v>
      </c>
      <c r="H1612" s="805">
        <v>239.24</v>
      </c>
      <c r="I1612" s="805">
        <v>36.07</v>
      </c>
      <c r="J1612" s="805">
        <v>2502.2199999999998</v>
      </c>
      <c r="K1612" s="805">
        <v>6426.9219999999996</v>
      </c>
    </row>
    <row r="1613" spans="3:11">
      <c r="C1613" s="861">
        <v>43001</v>
      </c>
      <c r="D1613" s="805">
        <v>37.18</v>
      </c>
      <c r="E1613" s="805">
        <v>44.75</v>
      </c>
      <c r="F1613" s="806">
        <v>13.3</v>
      </c>
      <c r="G1613" s="805">
        <v>7.2430138893492897</v>
      </c>
      <c r="H1613" s="805">
        <v>239.24</v>
      </c>
      <c r="I1613" s="805">
        <v>36.07</v>
      </c>
      <c r="J1613" s="805">
        <v>2502.2199999999998</v>
      </c>
      <c r="K1613" s="805">
        <v>6426.9219999999996</v>
      </c>
    </row>
    <row r="1614" spans="3:11">
      <c r="C1614" s="861">
        <v>43000</v>
      </c>
      <c r="D1614" s="805">
        <v>37.18</v>
      </c>
      <c r="E1614" s="805">
        <v>44.75</v>
      </c>
      <c r="F1614" s="806">
        <v>13.3</v>
      </c>
      <c r="G1614" s="805">
        <v>7.2430138893492897</v>
      </c>
      <c r="H1614" s="805">
        <v>239.24</v>
      </c>
      <c r="I1614" s="805">
        <v>36.07</v>
      </c>
      <c r="J1614" s="805">
        <v>2502.2199999999998</v>
      </c>
      <c r="K1614" s="805">
        <v>6426.9219999999996</v>
      </c>
    </row>
    <row r="1615" spans="3:11">
      <c r="C1615" s="861">
        <v>42999</v>
      </c>
      <c r="D1615" s="805">
        <v>37.200000000000003</v>
      </c>
      <c r="E1615" s="805">
        <v>45.19</v>
      </c>
      <c r="F1615" s="806">
        <v>13.41</v>
      </c>
      <c r="G1615" s="805">
        <v>7.3200622702129801</v>
      </c>
      <c r="H1615" s="805">
        <v>240.38</v>
      </c>
      <c r="I1615" s="805">
        <v>35.909999999999997</v>
      </c>
      <c r="J1615" s="805">
        <v>2500.6</v>
      </c>
      <c r="K1615" s="805">
        <v>6422.6930000000002</v>
      </c>
    </row>
    <row r="1616" spans="3:11">
      <c r="C1616" s="861">
        <v>42998</v>
      </c>
      <c r="D1616" s="805">
        <v>37.07</v>
      </c>
      <c r="E1616" s="805">
        <v>46.46</v>
      </c>
      <c r="F1616" s="806">
        <v>13.74</v>
      </c>
      <c r="G1616" s="805">
        <v>7.3556271377810303</v>
      </c>
      <c r="H1616" s="805">
        <v>242.91</v>
      </c>
      <c r="I1616" s="805">
        <v>35.97</v>
      </c>
      <c r="J1616" s="805">
        <v>2508.2399999999998</v>
      </c>
      <c r="K1616" s="805">
        <v>6456.0439999999999</v>
      </c>
    </row>
    <row r="1617" spans="3:11">
      <c r="C1617" s="861">
        <v>42997</v>
      </c>
      <c r="D1617" s="805">
        <v>37.229999999999997</v>
      </c>
      <c r="E1617" s="805">
        <v>46.837499999999999</v>
      </c>
      <c r="F1617" s="806">
        <v>13.12</v>
      </c>
      <c r="G1617" s="805">
        <v>7.3690864328963999</v>
      </c>
      <c r="H1617" s="805">
        <v>249.76</v>
      </c>
      <c r="I1617" s="805">
        <v>35.950000000000003</v>
      </c>
      <c r="J1617" s="805">
        <v>2506.65</v>
      </c>
      <c r="K1617" s="805">
        <v>6461.3230000000003</v>
      </c>
    </row>
    <row r="1618" spans="3:11">
      <c r="C1618" s="861">
        <v>42996</v>
      </c>
      <c r="D1618" s="805">
        <v>37</v>
      </c>
      <c r="E1618" s="805">
        <v>46.887500000000003</v>
      </c>
      <c r="F1618" s="806">
        <v>13.08</v>
      </c>
      <c r="G1618" s="805">
        <v>7.2950247598790297</v>
      </c>
      <c r="H1618" s="805">
        <v>249.82</v>
      </c>
      <c r="I1618" s="805">
        <v>35.43</v>
      </c>
      <c r="J1618" s="805">
        <v>2503.87</v>
      </c>
      <c r="K1618" s="805">
        <v>6454.6390000000001</v>
      </c>
    </row>
    <row r="1619" spans="3:11">
      <c r="C1619" s="861">
        <v>42995</v>
      </c>
      <c r="D1619" s="805">
        <v>37</v>
      </c>
      <c r="E1619" s="805">
        <v>45.027500000000003</v>
      </c>
      <c r="F1619" s="806">
        <v>12.52</v>
      </c>
      <c r="G1619" s="805">
        <v>7.2678286322511996</v>
      </c>
      <c r="H1619" s="805">
        <v>250.55</v>
      </c>
      <c r="I1619" s="805">
        <v>34.65</v>
      </c>
      <c r="J1619" s="805">
        <v>2500.23</v>
      </c>
      <c r="K1619" s="805">
        <v>6448.4669999999996</v>
      </c>
    </row>
    <row r="1620" spans="3:11">
      <c r="C1620" s="861">
        <v>42994</v>
      </c>
      <c r="D1620" s="805">
        <v>37</v>
      </c>
      <c r="E1620" s="805">
        <v>45.027500000000003</v>
      </c>
      <c r="F1620" s="806">
        <v>12.52</v>
      </c>
      <c r="G1620" s="805">
        <v>7.2678286322511996</v>
      </c>
      <c r="H1620" s="805">
        <v>250.55</v>
      </c>
      <c r="I1620" s="805">
        <v>34.65</v>
      </c>
      <c r="J1620" s="805">
        <v>2500.23</v>
      </c>
      <c r="K1620" s="805">
        <v>6448.4669999999996</v>
      </c>
    </row>
    <row r="1621" spans="3:11">
      <c r="C1621" s="861">
        <v>42993</v>
      </c>
      <c r="D1621" s="805">
        <v>37</v>
      </c>
      <c r="E1621" s="805">
        <v>45.027500000000003</v>
      </c>
      <c r="F1621" s="806">
        <v>12.52</v>
      </c>
      <c r="G1621" s="805">
        <v>7.2678286322511996</v>
      </c>
      <c r="H1621" s="805">
        <v>250.55</v>
      </c>
      <c r="I1621" s="805">
        <v>34.65</v>
      </c>
      <c r="J1621" s="805">
        <v>2500.23</v>
      </c>
      <c r="K1621" s="805">
        <v>6448.4669999999996</v>
      </c>
    </row>
    <row r="1622" spans="3:11">
      <c r="C1622" s="861">
        <v>42992</v>
      </c>
      <c r="D1622" s="805">
        <v>36.479999999999997</v>
      </c>
      <c r="E1622" s="805">
        <v>42.35</v>
      </c>
      <c r="F1622" s="806">
        <v>12.26</v>
      </c>
      <c r="G1622" s="805">
        <v>7.2617900229319696</v>
      </c>
      <c r="H1622" s="805">
        <v>246.95</v>
      </c>
      <c r="I1622" s="805">
        <v>34.58</v>
      </c>
      <c r="J1622" s="805">
        <v>2495.62</v>
      </c>
      <c r="K1622" s="805">
        <v>6429.0839999999998</v>
      </c>
    </row>
    <row r="1623" spans="3:11">
      <c r="C1623" s="861">
        <v>42991</v>
      </c>
      <c r="D1623" s="805">
        <v>36.33</v>
      </c>
      <c r="E1623" s="805">
        <v>42.592500000000001</v>
      </c>
      <c r="F1623" s="806">
        <v>12.22</v>
      </c>
      <c r="G1623" s="805">
        <v>7.25771548423611</v>
      </c>
      <c r="H1623" s="805">
        <v>246.24</v>
      </c>
      <c r="I1623" s="805">
        <v>34.590000000000003</v>
      </c>
      <c r="J1623" s="805">
        <v>2498.37</v>
      </c>
      <c r="K1623" s="805">
        <v>6460.1880000000001</v>
      </c>
    </row>
    <row r="1624" spans="3:11">
      <c r="C1624" s="861">
        <v>42990</v>
      </c>
      <c r="D1624" s="805">
        <v>36.090000000000003</v>
      </c>
      <c r="E1624" s="805">
        <v>42.402500000000003</v>
      </c>
      <c r="F1624" s="806">
        <v>12.3</v>
      </c>
      <c r="G1624" s="805">
        <v>7.2982970640184002</v>
      </c>
      <c r="H1624" s="805">
        <v>247.14</v>
      </c>
      <c r="I1624" s="805">
        <v>34.29</v>
      </c>
      <c r="J1624" s="805">
        <v>2496.48</v>
      </c>
      <c r="K1624" s="805">
        <v>6454.2820000000002</v>
      </c>
    </row>
    <row r="1625" spans="3:11">
      <c r="C1625" s="861">
        <v>42989</v>
      </c>
      <c r="D1625" s="805">
        <v>35.770000000000003</v>
      </c>
      <c r="E1625" s="805">
        <v>42.25</v>
      </c>
      <c r="F1625" s="806">
        <v>12.55</v>
      </c>
      <c r="G1625" s="805">
        <v>7.2314049586776896</v>
      </c>
      <c r="H1625" s="805">
        <v>247.74</v>
      </c>
      <c r="I1625" s="805">
        <v>33.44</v>
      </c>
      <c r="J1625" s="805">
        <v>2488.11</v>
      </c>
      <c r="K1625" s="805">
        <v>6432.2640000000001</v>
      </c>
    </row>
    <row r="1626" spans="3:11">
      <c r="C1626" s="861">
        <v>42988</v>
      </c>
      <c r="D1626" s="805">
        <v>35.19</v>
      </c>
      <c r="E1626" s="805">
        <v>40.922499999999999</v>
      </c>
      <c r="F1626" s="806">
        <v>12.25</v>
      </c>
      <c r="G1626" s="805">
        <v>7.2688473208629203</v>
      </c>
      <c r="H1626" s="805">
        <v>244.11</v>
      </c>
      <c r="I1626" s="805">
        <v>32.450000000000003</v>
      </c>
      <c r="J1626" s="805">
        <v>2461.4299999999998</v>
      </c>
      <c r="K1626" s="805">
        <v>6360.192</v>
      </c>
    </row>
    <row r="1627" spans="3:11">
      <c r="C1627" s="861">
        <v>42987</v>
      </c>
      <c r="D1627" s="805">
        <v>35.19</v>
      </c>
      <c r="E1627" s="805">
        <v>40.922499999999999</v>
      </c>
      <c r="F1627" s="806">
        <v>12.25</v>
      </c>
      <c r="G1627" s="805">
        <v>7.2688473208629203</v>
      </c>
      <c r="H1627" s="805">
        <v>244.11</v>
      </c>
      <c r="I1627" s="805">
        <v>32.450000000000003</v>
      </c>
      <c r="J1627" s="805">
        <v>2461.4299999999998</v>
      </c>
      <c r="K1627" s="805">
        <v>6360.192</v>
      </c>
    </row>
    <row r="1628" spans="3:11">
      <c r="C1628" s="861">
        <v>42986</v>
      </c>
      <c r="D1628" s="805">
        <v>35.19</v>
      </c>
      <c r="E1628" s="805">
        <v>40.922499999999999</v>
      </c>
      <c r="F1628" s="806">
        <v>12.25</v>
      </c>
      <c r="G1628" s="805">
        <v>7.2688473208629203</v>
      </c>
      <c r="H1628" s="805">
        <v>244.11</v>
      </c>
      <c r="I1628" s="805">
        <v>32.450000000000003</v>
      </c>
      <c r="J1628" s="805">
        <v>2461.4299999999998</v>
      </c>
      <c r="K1628" s="805">
        <v>6360.192</v>
      </c>
    </row>
    <row r="1629" spans="3:11">
      <c r="C1629" s="861">
        <v>42985</v>
      </c>
      <c r="D1629" s="805">
        <v>35.54</v>
      </c>
      <c r="E1629" s="805">
        <v>41.645000000000003</v>
      </c>
      <c r="F1629" s="806">
        <v>12.63</v>
      </c>
      <c r="G1629" s="805">
        <v>7.2473448667423703</v>
      </c>
      <c r="H1629" s="805">
        <v>246.55</v>
      </c>
      <c r="I1629" s="805">
        <v>32.79</v>
      </c>
      <c r="J1629" s="805">
        <v>2465.1</v>
      </c>
      <c r="K1629" s="805">
        <v>6397.8689999999997</v>
      </c>
    </row>
    <row r="1630" spans="3:11">
      <c r="C1630" s="861">
        <v>42984</v>
      </c>
      <c r="D1630" s="805">
        <v>35.76</v>
      </c>
      <c r="E1630" s="805">
        <v>41.452500000000001</v>
      </c>
      <c r="F1630" s="806">
        <v>12.86</v>
      </c>
      <c r="G1630" s="805">
        <v>7.2138559223430097</v>
      </c>
      <c r="H1630" s="805">
        <v>249.38</v>
      </c>
      <c r="I1630" s="805">
        <v>32.25</v>
      </c>
      <c r="J1630" s="805">
        <v>2465.54</v>
      </c>
      <c r="K1630" s="805">
        <v>6393.3140000000003</v>
      </c>
    </row>
    <row r="1631" spans="3:11">
      <c r="C1631" s="861">
        <v>42983</v>
      </c>
      <c r="D1631" s="805">
        <v>35.020000000000003</v>
      </c>
      <c r="E1631" s="805">
        <v>41.477499999999999</v>
      </c>
      <c r="F1631" s="806">
        <v>12.92</v>
      </c>
      <c r="G1631" s="805">
        <v>7.2533688238229903</v>
      </c>
      <c r="H1631" s="805">
        <v>249.05</v>
      </c>
      <c r="I1631" s="805">
        <v>32.07</v>
      </c>
      <c r="J1631" s="805">
        <v>2457.85</v>
      </c>
      <c r="K1631" s="805">
        <v>6375.5739999999996</v>
      </c>
    </row>
    <row r="1632" spans="3:11">
      <c r="C1632" s="861">
        <v>42982</v>
      </c>
      <c r="D1632" s="805">
        <v>35.090000000000003</v>
      </c>
      <c r="E1632" s="805">
        <v>42.615000000000002</v>
      </c>
      <c r="F1632" s="806">
        <v>13.19</v>
      </c>
      <c r="G1632" s="805">
        <v>7.2319201995012499</v>
      </c>
      <c r="H1632" s="805">
        <v>252.73</v>
      </c>
      <c r="I1632" s="805">
        <v>32.6</v>
      </c>
      <c r="J1632" s="805">
        <v>2476.5500000000002</v>
      </c>
      <c r="K1632" s="805">
        <v>6435.3310000000001</v>
      </c>
    </row>
    <row r="1633" spans="3:11">
      <c r="C1633" s="861">
        <v>42981</v>
      </c>
      <c r="D1633" s="805">
        <v>35.090000000000003</v>
      </c>
      <c r="E1633" s="805">
        <v>42.615000000000002</v>
      </c>
      <c r="F1633" s="806">
        <v>13.19</v>
      </c>
      <c r="G1633" s="805">
        <v>7.1917353175657697</v>
      </c>
      <c r="H1633" s="805">
        <v>252.73</v>
      </c>
      <c r="I1633" s="805">
        <v>32.6</v>
      </c>
      <c r="J1633" s="805">
        <v>2476.5500000000002</v>
      </c>
      <c r="K1633" s="805">
        <v>6435.3310000000001</v>
      </c>
    </row>
    <row r="1634" spans="3:11">
      <c r="C1634" s="861">
        <v>42980</v>
      </c>
      <c r="D1634" s="805">
        <v>35.090000000000003</v>
      </c>
      <c r="E1634" s="805">
        <v>42.615000000000002</v>
      </c>
      <c r="F1634" s="806">
        <v>13.19</v>
      </c>
      <c r="G1634" s="805">
        <v>7.1917353175657697</v>
      </c>
      <c r="H1634" s="805">
        <v>252.73</v>
      </c>
      <c r="I1634" s="805">
        <v>32.6</v>
      </c>
      <c r="J1634" s="805">
        <v>2476.5500000000002</v>
      </c>
      <c r="K1634" s="805">
        <v>6435.3310000000001</v>
      </c>
    </row>
    <row r="1635" spans="3:11">
      <c r="C1635" s="861">
        <v>42979</v>
      </c>
      <c r="D1635" s="805">
        <v>35.090000000000003</v>
      </c>
      <c r="E1635" s="805">
        <v>42.615000000000002</v>
      </c>
      <c r="F1635" s="806">
        <v>13.19</v>
      </c>
      <c r="G1635" s="805">
        <v>7.1917353175657697</v>
      </c>
      <c r="H1635" s="805">
        <v>252.73</v>
      </c>
      <c r="I1635" s="805">
        <v>32.6</v>
      </c>
      <c r="J1635" s="805">
        <v>2476.5500000000002</v>
      </c>
      <c r="K1635" s="805">
        <v>6435.3310000000001</v>
      </c>
    </row>
    <row r="1636" spans="3:11">
      <c r="C1636" s="861">
        <v>42978</v>
      </c>
      <c r="D1636" s="805">
        <v>35.07</v>
      </c>
      <c r="E1636" s="805">
        <v>42.36</v>
      </c>
      <c r="F1636" s="806">
        <v>13</v>
      </c>
      <c r="G1636" s="805">
        <v>7.1738626197024402</v>
      </c>
      <c r="H1636" s="805">
        <v>252.07</v>
      </c>
      <c r="I1636" s="805">
        <v>31.97</v>
      </c>
      <c r="J1636" s="805">
        <v>2471.65</v>
      </c>
      <c r="K1636" s="805">
        <v>6428.6620000000003</v>
      </c>
    </row>
    <row r="1637" spans="3:11">
      <c r="C1637" s="861">
        <v>42977</v>
      </c>
      <c r="D1637" s="805">
        <v>34.89</v>
      </c>
      <c r="E1637" s="805">
        <v>41.42</v>
      </c>
      <c r="F1637" s="806">
        <v>12.67</v>
      </c>
      <c r="G1637" s="805">
        <v>7.2175211548033804</v>
      </c>
      <c r="H1637" s="805">
        <v>246.02</v>
      </c>
      <c r="I1637" s="805">
        <v>31.61</v>
      </c>
      <c r="J1637" s="805">
        <v>2457.59</v>
      </c>
      <c r="K1637" s="805">
        <v>6368.3090000000002</v>
      </c>
    </row>
    <row r="1638" spans="3:11">
      <c r="C1638" s="861">
        <v>42976</v>
      </c>
      <c r="D1638" s="805">
        <v>34.729999999999997</v>
      </c>
      <c r="E1638" s="805">
        <v>41.174999999999997</v>
      </c>
      <c r="F1638" s="806">
        <v>12.15</v>
      </c>
      <c r="G1638" s="805">
        <v>7.1568205162188097</v>
      </c>
      <c r="H1638" s="805">
        <v>241.73</v>
      </c>
      <c r="I1638" s="805">
        <v>31.48</v>
      </c>
      <c r="J1638" s="805">
        <v>2446.3000000000002</v>
      </c>
      <c r="K1638" s="805">
        <v>6301.8860000000004</v>
      </c>
    </row>
    <row r="1639" spans="3:11">
      <c r="C1639" s="861">
        <v>42975</v>
      </c>
      <c r="D1639" s="805">
        <v>34.65</v>
      </c>
      <c r="E1639" s="805">
        <v>41.2425</v>
      </c>
      <c r="F1639" s="806">
        <v>12.23</v>
      </c>
      <c r="G1639" s="805">
        <v>7.1722672333643303</v>
      </c>
      <c r="H1639" s="805">
        <v>243.25</v>
      </c>
      <c r="I1639" s="805">
        <v>31.08</v>
      </c>
      <c r="J1639" s="805">
        <v>2444.2399999999998</v>
      </c>
      <c r="K1639" s="805">
        <v>6283.0150000000003</v>
      </c>
    </row>
    <row r="1640" spans="3:11">
      <c r="C1640" s="861">
        <v>42974</v>
      </c>
      <c r="D1640" s="805">
        <v>34.67</v>
      </c>
      <c r="E1640" s="805">
        <v>40.952500000000001</v>
      </c>
      <c r="F1640" s="806">
        <v>12.43</v>
      </c>
      <c r="G1640" s="805">
        <v>7.2280748396530496</v>
      </c>
      <c r="H1640" s="805">
        <v>245.59</v>
      </c>
      <c r="I1640" s="805">
        <v>30.29</v>
      </c>
      <c r="J1640" s="805">
        <v>2443.0500000000002</v>
      </c>
      <c r="K1640" s="805">
        <v>6265.643</v>
      </c>
    </row>
    <row r="1641" spans="3:11">
      <c r="C1641" s="861">
        <v>42973</v>
      </c>
      <c r="D1641" s="805">
        <v>34.67</v>
      </c>
      <c r="E1641" s="805">
        <v>40.952500000000001</v>
      </c>
      <c r="F1641" s="806">
        <v>12.43</v>
      </c>
      <c r="G1641" s="805">
        <v>7.2280748396530496</v>
      </c>
      <c r="H1641" s="805">
        <v>245.59</v>
      </c>
      <c r="I1641" s="805">
        <v>30.29</v>
      </c>
      <c r="J1641" s="805">
        <v>2443.0500000000002</v>
      </c>
      <c r="K1641" s="805">
        <v>6265.643</v>
      </c>
    </row>
    <row r="1642" spans="3:11">
      <c r="C1642" s="861">
        <v>42972</v>
      </c>
      <c r="D1642" s="805">
        <v>34.67</v>
      </c>
      <c r="E1642" s="805">
        <v>40.952500000000001</v>
      </c>
      <c r="F1642" s="806">
        <v>12.43</v>
      </c>
      <c r="G1642" s="805">
        <v>7.2280748396530496</v>
      </c>
      <c r="H1642" s="805">
        <v>245.59</v>
      </c>
      <c r="I1642" s="805">
        <v>30.29</v>
      </c>
      <c r="J1642" s="805">
        <v>2443.0500000000002</v>
      </c>
      <c r="K1642" s="805">
        <v>6265.643</v>
      </c>
    </row>
    <row r="1643" spans="3:11">
      <c r="C1643" s="861">
        <v>42971</v>
      </c>
      <c r="D1643" s="805">
        <v>34.71</v>
      </c>
      <c r="E1643" s="805">
        <v>41.297499999999999</v>
      </c>
      <c r="F1643" s="806">
        <v>12.5</v>
      </c>
      <c r="G1643" s="805">
        <v>7.1756886346351001</v>
      </c>
      <c r="H1643" s="805">
        <v>255.05</v>
      </c>
      <c r="I1643" s="805">
        <v>30.22</v>
      </c>
      <c r="J1643" s="805">
        <v>2438.9699999999998</v>
      </c>
      <c r="K1643" s="805">
        <v>6271.326</v>
      </c>
    </row>
    <row r="1644" spans="3:11">
      <c r="C1644" s="861">
        <v>42970</v>
      </c>
      <c r="D1644" s="805">
        <v>34.659999999999997</v>
      </c>
      <c r="E1644" s="805">
        <v>41.45</v>
      </c>
      <c r="F1644" s="806">
        <v>12.48</v>
      </c>
      <c r="G1644" s="805">
        <v>7.1192599933927996</v>
      </c>
      <c r="H1644" s="805">
        <v>256.92</v>
      </c>
      <c r="I1644" s="805">
        <v>30.45</v>
      </c>
      <c r="J1644" s="805">
        <v>2444.04</v>
      </c>
      <c r="K1644" s="805">
        <v>6278.4059999999999</v>
      </c>
    </row>
    <row r="1645" spans="3:11">
      <c r="C1645" s="861">
        <v>42969</v>
      </c>
      <c r="D1645" s="805">
        <v>34.65</v>
      </c>
      <c r="E1645" s="805">
        <v>40.637500000000003</v>
      </c>
      <c r="F1645" s="806">
        <v>12.17</v>
      </c>
      <c r="G1645" s="805">
        <v>7.0850536746490498</v>
      </c>
      <c r="H1645" s="805">
        <v>255.19</v>
      </c>
      <c r="I1645" s="805">
        <v>30.45</v>
      </c>
      <c r="J1645" s="805">
        <v>2452.5100000000002</v>
      </c>
      <c r="K1645" s="805">
        <v>6297.4780000000001</v>
      </c>
    </row>
    <row r="1646" spans="3:11">
      <c r="C1646" s="861">
        <v>42968</v>
      </c>
      <c r="D1646" s="805">
        <v>34.92</v>
      </c>
      <c r="E1646" s="805">
        <v>39.787500000000001</v>
      </c>
      <c r="F1646" s="806">
        <v>12.05</v>
      </c>
      <c r="G1646" s="805">
        <v>6.9785858052595096</v>
      </c>
      <c r="H1646" s="805">
        <v>249.62</v>
      </c>
      <c r="I1646" s="805">
        <v>29.56</v>
      </c>
      <c r="J1646" s="805">
        <v>2428.37</v>
      </c>
      <c r="K1646" s="805">
        <v>6213.1270000000004</v>
      </c>
    </row>
    <row r="1647" spans="3:11">
      <c r="C1647" s="861">
        <v>42967</v>
      </c>
      <c r="D1647" s="805">
        <v>35.01</v>
      </c>
      <c r="E1647" s="805">
        <v>40.375</v>
      </c>
      <c r="F1647" s="806">
        <v>12.37</v>
      </c>
      <c r="G1647" s="805">
        <v>7.0113501385772699</v>
      </c>
      <c r="H1647" s="805">
        <v>249.37</v>
      </c>
      <c r="I1647" s="805">
        <v>30.38</v>
      </c>
      <c r="J1647" s="805">
        <v>2425.5500000000002</v>
      </c>
      <c r="K1647" s="805">
        <v>6216.527</v>
      </c>
    </row>
    <row r="1648" spans="3:11">
      <c r="C1648" s="861">
        <v>42966</v>
      </c>
      <c r="D1648" s="805">
        <v>35.01</v>
      </c>
      <c r="E1648" s="805">
        <v>40.375</v>
      </c>
      <c r="F1648" s="806">
        <v>12.37</v>
      </c>
      <c r="G1648" s="805">
        <v>7.0113501385772699</v>
      </c>
      <c r="H1648" s="805">
        <v>249.37</v>
      </c>
      <c r="I1648" s="805">
        <v>30.38</v>
      </c>
      <c r="J1648" s="805">
        <v>2425.5500000000002</v>
      </c>
      <c r="K1648" s="805">
        <v>6216.527</v>
      </c>
    </row>
    <row r="1649" spans="3:11">
      <c r="C1649" s="861">
        <v>42965</v>
      </c>
      <c r="D1649" s="805">
        <v>35.01</v>
      </c>
      <c r="E1649" s="805">
        <v>40.375</v>
      </c>
      <c r="F1649" s="806">
        <v>12.37</v>
      </c>
      <c r="G1649" s="805">
        <v>7.0113501385772699</v>
      </c>
      <c r="H1649" s="805">
        <v>249.37</v>
      </c>
      <c r="I1649" s="805">
        <v>30.38</v>
      </c>
      <c r="J1649" s="805">
        <v>2425.5500000000002</v>
      </c>
      <c r="K1649" s="805">
        <v>6216.527</v>
      </c>
    </row>
    <row r="1650" spans="3:11">
      <c r="C1650" s="861">
        <v>42964</v>
      </c>
      <c r="D1650" s="805">
        <v>35.17</v>
      </c>
      <c r="E1650" s="805">
        <v>40.3675</v>
      </c>
      <c r="F1650" s="806">
        <v>12.34</v>
      </c>
      <c r="G1650" s="805">
        <v>7.0617740232312602</v>
      </c>
      <c r="H1650" s="805">
        <v>246.95</v>
      </c>
      <c r="I1650" s="805">
        <v>29.62</v>
      </c>
      <c r="J1650" s="805">
        <v>2430.0100000000002</v>
      </c>
      <c r="K1650" s="805">
        <v>6221.9139999999998</v>
      </c>
    </row>
    <row r="1651" spans="3:11">
      <c r="C1651" s="861">
        <v>42963</v>
      </c>
      <c r="D1651" s="805">
        <v>35.81</v>
      </c>
      <c r="E1651" s="805">
        <v>41.287500000000001</v>
      </c>
      <c r="F1651" s="806">
        <v>12.63</v>
      </c>
      <c r="G1651" s="805">
        <v>7.0276155597347296</v>
      </c>
      <c r="H1651" s="805">
        <v>253.42</v>
      </c>
      <c r="I1651" s="805">
        <v>30.69</v>
      </c>
      <c r="J1651" s="805">
        <v>2468.11</v>
      </c>
      <c r="K1651" s="805">
        <v>6345.1090000000004</v>
      </c>
    </row>
    <row r="1652" spans="3:11">
      <c r="C1652" s="861">
        <v>42962</v>
      </c>
      <c r="D1652" s="805">
        <v>36</v>
      </c>
      <c r="E1652" s="805">
        <v>41.744999999999997</v>
      </c>
      <c r="F1652" s="806">
        <v>13.02</v>
      </c>
      <c r="G1652" s="805">
        <v>7.06597107574457</v>
      </c>
      <c r="H1652" s="805">
        <v>253.69</v>
      </c>
      <c r="I1652" s="805">
        <v>29.68</v>
      </c>
      <c r="J1652" s="805">
        <v>2464.61</v>
      </c>
      <c r="K1652" s="805">
        <v>6333.0129999999999</v>
      </c>
    </row>
    <row r="1653" spans="3:11">
      <c r="C1653" s="861">
        <v>42961</v>
      </c>
      <c r="D1653" s="805">
        <v>36.340000000000003</v>
      </c>
      <c r="E1653" s="805">
        <v>42.1</v>
      </c>
      <c r="F1653" s="806">
        <v>12.76</v>
      </c>
      <c r="G1653" s="805">
        <v>6.9676055872931997</v>
      </c>
      <c r="H1653" s="805">
        <v>250.91</v>
      </c>
      <c r="I1653" s="805">
        <v>29.24</v>
      </c>
      <c r="J1653" s="805">
        <v>2465.84</v>
      </c>
      <c r="K1653" s="805">
        <v>6340.232</v>
      </c>
    </row>
    <row r="1654" spans="3:11">
      <c r="C1654" s="861">
        <v>42960</v>
      </c>
      <c r="D1654" s="805">
        <v>35.869999999999997</v>
      </c>
      <c r="E1654" s="805">
        <v>38.99</v>
      </c>
      <c r="F1654" s="806">
        <v>12.23</v>
      </c>
      <c r="G1654" s="805">
        <v>7.00580245285507</v>
      </c>
      <c r="H1654" s="805">
        <v>244.17</v>
      </c>
      <c r="I1654" s="805">
        <v>28.01</v>
      </c>
      <c r="J1654" s="805">
        <v>2441.3200000000002</v>
      </c>
      <c r="K1654" s="805">
        <v>6256.5550000000003</v>
      </c>
    </row>
    <row r="1655" spans="3:11">
      <c r="C1655" s="861">
        <v>42959</v>
      </c>
      <c r="D1655" s="805">
        <v>35.869999999999997</v>
      </c>
      <c r="E1655" s="805">
        <v>38.99</v>
      </c>
      <c r="F1655" s="806">
        <v>12.23</v>
      </c>
      <c r="G1655" s="805">
        <v>7.00580245285507</v>
      </c>
      <c r="H1655" s="805">
        <v>244.17</v>
      </c>
      <c r="I1655" s="805">
        <v>28.01</v>
      </c>
      <c r="J1655" s="805">
        <v>2441.3200000000002</v>
      </c>
      <c r="K1655" s="805">
        <v>6256.5550000000003</v>
      </c>
    </row>
    <row r="1656" spans="3:11">
      <c r="C1656" s="861">
        <v>42958</v>
      </c>
      <c r="D1656" s="805">
        <v>35.869999999999997</v>
      </c>
      <c r="E1656" s="805">
        <v>38.99</v>
      </c>
      <c r="F1656" s="806">
        <v>12.23</v>
      </c>
      <c r="G1656" s="805">
        <v>7.00580245285507</v>
      </c>
      <c r="H1656" s="805">
        <v>244.17</v>
      </c>
      <c r="I1656" s="805">
        <v>28.01</v>
      </c>
      <c r="J1656" s="805">
        <v>2441.3200000000002</v>
      </c>
      <c r="K1656" s="805">
        <v>6256.5550000000003</v>
      </c>
    </row>
    <row r="1657" spans="3:11">
      <c r="C1657" s="861">
        <v>42957</v>
      </c>
      <c r="D1657" s="805">
        <v>36.14</v>
      </c>
      <c r="E1657" s="805">
        <v>41.185000000000002</v>
      </c>
      <c r="F1657" s="806">
        <v>12.12</v>
      </c>
      <c r="G1657" s="805">
        <v>7.0566510584976596</v>
      </c>
      <c r="H1657" s="805">
        <v>240.71</v>
      </c>
      <c r="I1657" s="805">
        <v>27.49</v>
      </c>
      <c r="J1657" s="805">
        <v>2438.21</v>
      </c>
      <c r="K1657" s="805">
        <v>6216.8720000000003</v>
      </c>
    </row>
    <row r="1658" spans="3:11">
      <c r="C1658" s="861">
        <v>42956</v>
      </c>
      <c r="D1658" s="805">
        <v>36.590000000000003</v>
      </c>
      <c r="E1658" s="805">
        <v>43.027500000000003</v>
      </c>
      <c r="F1658" s="806">
        <v>12.83</v>
      </c>
      <c r="G1658" s="805">
        <v>7.1014732660155602</v>
      </c>
      <c r="H1658" s="805">
        <v>249.17</v>
      </c>
      <c r="I1658" s="805">
        <v>28.58</v>
      </c>
      <c r="J1658" s="805">
        <v>2474.02</v>
      </c>
      <c r="K1658" s="805">
        <v>6352.3320000000003</v>
      </c>
    </row>
    <row r="1659" spans="3:11">
      <c r="C1659" s="861">
        <v>42955</v>
      </c>
      <c r="D1659" s="805">
        <v>36.409999999999997</v>
      </c>
      <c r="E1659" s="805">
        <v>42.575000000000003</v>
      </c>
      <c r="F1659" s="806">
        <v>13.11</v>
      </c>
      <c r="G1659" s="805">
        <v>7.2072370601100104</v>
      </c>
      <c r="H1659" s="805">
        <v>251.36</v>
      </c>
      <c r="I1659" s="805">
        <v>28.84</v>
      </c>
      <c r="J1659" s="805">
        <v>2474.92</v>
      </c>
      <c r="K1659" s="805">
        <v>6370.46</v>
      </c>
    </row>
    <row r="1660" spans="3:11">
      <c r="C1660" s="861">
        <v>42954</v>
      </c>
      <c r="D1660" s="805">
        <v>36.43</v>
      </c>
      <c r="E1660" s="805">
        <v>43.087499999999999</v>
      </c>
      <c r="F1660" s="806">
        <v>13.43</v>
      </c>
      <c r="G1660" s="805">
        <v>7.1490037730853198</v>
      </c>
      <c r="H1660" s="805">
        <v>252.44</v>
      </c>
      <c r="I1660" s="805">
        <v>28.59</v>
      </c>
      <c r="J1660" s="805">
        <v>2480.91</v>
      </c>
      <c r="K1660" s="805">
        <v>6383.7719999999999</v>
      </c>
    </row>
    <row r="1661" spans="3:11">
      <c r="C1661" s="861">
        <v>42953</v>
      </c>
      <c r="D1661" s="805">
        <v>36.299999999999997</v>
      </c>
      <c r="E1661" s="805">
        <v>41.802500000000002</v>
      </c>
      <c r="F1661" s="806">
        <v>13.12</v>
      </c>
      <c r="G1661" s="805">
        <v>7.0536808292214497</v>
      </c>
      <c r="H1661" s="805">
        <v>249.17</v>
      </c>
      <c r="I1661" s="805">
        <v>27.92</v>
      </c>
      <c r="J1661" s="805">
        <v>2476.83</v>
      </c>
      <c r="K1661" s="805">
        <v>6351.5640000000003</v>
      </c>
    </row>
    <row r="1662" spans="3:11">
      <c r="C1662" s="861">
        <v>42952</v>
      </c>
      <c r="D1662" s="805">
        <v>36.299999999999997</v>
      </c>
      <c r="E1662" s="805">
        <v>41.802500000000002</v>
      </c>
      <c r="F1662" s="806">
        <v>13.12</v>
      </c>
      <c r="G1662" s="805">
        <v>7.0536808292214497</v>
      </c>
      <c r="H1662" s="805">
        <v>249.17</v>
      </c>
      <c r="I1662" s="805">
        <v>27.92</v>
      </c>
      <c r="J1662" s="805">
        <v>2476.83</v>
      </c>
      <c r="K1662" s="805">
        <v>6351.5640000000003</v>
      </c>
    </row>
    <row r="1663" spans="3:11">
      <c r="C1663" s="861">
        <v>42951</v>
      </c>
      <c r="D1663" s="805">
        <v>36.299999999999997</v>
      </c>
      <c r="E1663" s="805">
        <v>41.802500000000002</v>
      </c>
      <c r="F1663" s="806">
        <v>13.12</v>
      </c>
      <c r="G1663" s="805">
        <v>7.0536808292214497</v>
      </c>
      <c r="H1663" s="805">
        <v>249.17</v>
      </c>
      <c r="I1663" s="805">
        <v>27.92</v>
      </c>
      <c r="J1663" s="805">
        <v>2476.83</v>
      </c>
      <c r="K1663" s="805">
        <v>6351.5640000000003</v>
      </c>
    </row>
    <row r="1664" spans="3:11">
      <c r="C1664" s="861">
        <v>42950</v>
      </c>
      <c r="D1664" s="805">
        <v>36.49</v>
      </c>
      <c r="E1664" s="805">
        <v>41.62</v>
      </c>
      <c r="F1664" s="806">
        <v>13.24</v>
      </c>
      <c r="G1664" s="805">
        <v>7.0683661645422902</v>
      </c>
      <c r="H1664" s="805">
        <v>250.29</v>
      </c>
      <c r="I1664" s="805">
        <v>27.83</v>
      </c>
      <c r="J1664" s="805">
        <v>2472.16</v>
      </c>
      <c r="K1664" s="805">
        <v>6340.3410000000003</v>
      </c>
    </row>
    <row r="1665" spans="3:11">
      <c r="C1665" s="861">
        <v>42949</v>
      </c>
      <c r="D1665" s="805">
        <v>36.64</v>
      </c>
      <c r="E1665" s="805">
        <v>41.097499999999997</v>
      </c>
      <c r="F1665" s="806">
        <v>13.37</v>
      </c>
      <c r="G1665" s="805">
        <v>7.1454563498627097</v>
      </c>
      <c r="H1665" s="805">
        <v>253.36</v>
      </c>
      <c r="I1665" s="805">
        <v>28.63</v>
      </c>
      <c r="J1665" s="805">
        <v>2477.5700000000002</v>
      </c>
      <c r="K1665" s="805">
        <v>6362.6450000000004</v>
      </c>
    </row>
    <row r="1666" spans="3:11">
      <c r="C1666" s="861">
        <v>42948</v>
      </c>
      <c r="D1666" s="805">
        <v>36.35</v>
      </c>
      <c r="E1666" s="805">
        <v>41.122500000000002</v>
      </c>
      <c r="F1666" s="806">
        <v>13.71</v>
      </c>
      <c r="G1666" s="805">
        <v>7.0112775738333797</v>
      </c>
      <c r="H1666" s="805">
        <v>248.39</v>
      </c>
      <c r="I1666" s="805">
        <v>28.34</v>
      </c>
      <c r="J1666" s="805">
        <v>2476.35</v>
      </c>
      <c r="K1666" s="805">
        <v>6362.9380000000001</v>
      </c>
    </row>
    <row r="1667" spans="3:11">
      <c r="C1667" s="861">
        <v>42947</v>
      </c>
      <c r="D1667" s="805">
        <v>35.47</v>
      </c>
      <c r="E1667" s="805">
        <v>40.627499999999998</v>
      </c>
      <c r="F1667" s="806">
        <v>13.61</v>
      </c>
      <c r="G1667" s="805">
        <v>7.1028842014636204</v>
      </c>
      <c r="H1667" s="805">
        <v>246.66</v>
      </c>
      <c r="I1667" s="805">
        <v>28.12</v>
      </c>
      <c r="J1667" s="805">
        <v>2470.3000000000002</v>
      </c>
      <c r="K1667" s="805">
        <v>6348.1229999999996</v>
      </c>
    </row>
    <row r="1668" spans="3:11">
      <c r="C1668" s="861">
        <v>42946</v>
      </c>
      <c r="D1668" s="805">
        <v>35.31</v>
      </c>
      <c r="E1668" s="805">
        <v>41.097499999999997</v>
      </c>
      <c r="F1668" s="806">
        <v>13.95</v>
      </c>
      <c r="G1668" s="805">
        <v>7.0345784206876099</v>
      </c>
      <c r="H1668" s="805">
        <v>250.37</v>
      </c>
      <c r="I1668" s="805">
        <v>29.28</v>
      </c>
      <c r="J1668" s="805">
        <v>2472.1</v>
      </c>
      <c r="K1668" s="805">
        <v>6374.6769999999997</v>
      </c>
    </row>
    <row r="1669" spans="3:11">
      <c r="C1669" s="861">
        <v>42945</v>
      </c>
      <c r="D1669" s="805">
        <v>35.31</v>
      </c>
      <c r="E1669" s="805">
        <v>41.097499999999997</v>
      </c>
      <c r="F1669" s="806">
        <v>13.95</v>
      </c>
      <c r="G1669" s="805">
        <v>7.0345784206876099</v>
      </c>
      <c r="H1669" s="805">
        <v>250.37</v>
      </c>
      <c r="I1669" s="805">
        <v>29.28</v>
      </c>
      <c r="J1669" s="805">
        <v>2472.1</v>
      </c>
      <c r="K1669" s="805">
        <v>6374.6769999999997</v>
      </c>
    </row>
    <row r="1670" spans="3:11">
      <c r="C1670" s="861">
        <v>42944</v>
      </c>
      <c r="D1670" s="805">
        <v>35.31</v>
      </c>
      <c r="E1670" s="805">
        <v>41.097499999999997</v>
      </c>
      <c r="F1670" s="806">
        <v>13.95</v>
      </c>
      <c r="G1670" s="805">
        <v>7.0345784206876099</v>
      </c>
      <c r="H1670" s="805">
        <v>250.37</v>
      </c>
      <c r="I1670" s="805">
        <v>29.28</v>
      </c>
      <c r="J1670" s="805">
        <v>2472.1</v>
      </c>
      <c r="K1670" s="805">
        <v>6374.6769999999997</v>
      </c>
    </row>
    <row r="1671" spans="3:11">
      <c r="C1671" s="861">
        <v>42943</v>
      </c>
      <c r="D1671" s="805">
        <v>34.97</v>
      </c>
      <c r="E1671" s="805">
        <v>40.435000000000002</v>
      </c>
      <c r="F1671" s="806">
        <v>14.12</v>
      </c>
      <c r="G1671" s="805">
        <v>7.1258514648502098</v>
      </c>
      <c r="H1671" s="805">
        <v>250.95</v>
      </c>
      <c r="I1671" s="805">
        <v>30.24</v>
      </c>
      <c r="J1671" s="805">
        <v>2475.42</v>
      </c>
      <c r="K1671" s="805">
        <v>6382.1859999999997</v>
      </c>
    </row>
    <row r="1672" spans="3:11">
      <c r="C1672" s="861">
        <v>42942</v>
      </c>
      <c r="D1672" s="805">
        <v>34.75</v>
      </c>
      <c r="E1672" s="805">
        <v>41.814999999999998</v>
      </c>
      <c r="F1672" s="806">
        <v>14.76</v>
      </c>
      <c r="G1672" s="805">
        <v>7.0487788735190904</v>
      </c>
      <c r="H1672" s="805">
        <v>257.01</v>
      </c>
      <c r="I1672" s="805">
        <v>29.81</v>
      </c>
      <c r="J1672" s="805">
        <v>2477.83</v>
      </c>
      <c r="K1672" s="805">
        <v>6422.7470000000003</v>
      </c>
    </row>
    <row r="1673" spans="3:11">
      <c r="C1673" s="861">
        <v>42941</v>
      </c>
      <c r="D1673" s="805">
        <v>34.67</v>
      </c>
      <c r="E1673" s="805">
        <v>41.337499999999999</v>
      </c>
      <c r="F1673" s="806">
        <v>14.11</v>
      </c>
      <c r="G1673" s="805">
        <v>7.0545574418988002</v>
      </c>
      <c r="H1673" s="805">
        <v>254.3</v>
      </c>
      <c r="I1673" s="805">
        <v>29.9</v>
      </c>
      <c r="J1673" s="805">
        <v>2477.13</v>
      </c>
      <c r="K1673" s="805">
        <v>6412.174</v>
      </c>
    </row>
    <row r="1674" spans="3:11">
      <c r="C1674" s="861">
        <v>42940</v>
      </c>
      <c r="D1674" s="805">
        <v>34.5</v>
      </c>
      <c r="E1674" s="805">
        <v>41.537500000000001</v>
      </c>
      <c r="F1674" s="806">
        <v>14.16</v>
      </c>
      <c r="G1674" s="805">
        <v>7.0715062802887996</v>
      </c>
      <c r="H1674" s="805">
        <v>253.03</v>
      </c>
      <c r="I1674" s="805">
        <v>31.67</v>
      </c>
      <c r="J1674" s="805">
        <v>2469.91</v>
      </c>
      <c r="K1674" s="805">
        <v>6410.808</v>
      </c>
    </row>
    <row r="1675" spans="3:11">
      <c r="C1675" s="861">
        <v>42939</v>
      </c>
      <c r="D1675" s="805">
        <v>34.729999999999997</v>
      </c>
      <c r="E1675" s="805">
        <v>42.024999999999999</v>
      </c>
      <c r="F1675" s="806">
        <v>13.88</v>
      </c>
      <c r="G1675" s="805">
        <v>7.0320715036803403</v>
      </c>
      <c r="H1675" s="805">
        <v>253.11</v>
      </c>
      <c r="I1675" s="805">
        <v>32.01</v>
      </c>
      <c r="J1675" s="805">
        <v>2472.54</v>
      </c>
      <c r="K1675" s="805">
        <v>6387.7539999999999</v>
      </c>
    </row>
    <row r="1676" spans="3:11">
      <c r="C1676" s="861">
        <v>42938</v>
      </c>
      <c r="D1676" s="805">
        <v>34.729999999999997</v>
      </c>
      <c r="E1676" s="805">
        <v>42.024999999999999</v>
      </c>
      <c r="F1676" s="806">
        <v>13.88</v>
      </c>
      <c r="G1676" s="805">
        <v>7.0320715036803403</v>
      </c>
      <c r="H1676" s="805">
        <v>253.11</v>
      </c>
      <c r="I1676" s="805">
        <v>32.01</v>
      </c>
      <c r="J1676" s="805">
        <v>2472.54</v>
      </c>
      <c r="K1676" s="805">
        <v>6387.7539999999999</v>
      </c>
    </row>
    <row r="1677" spans="3:11">
      <c r="C1677" s="861">
        <v>42937</v>
      </c>
      <c r="D1677" s="805">
        <v>34.729999999999997</v>
      </c>
      <c r="E1677" s="805">
        <v>42.024999999999999</v>
      </c>
      <c r="F1677" s="806">
        <v>13.88</v>
      </c>
      <c r="G1677" s="805">
        <v>7.0320715036803403</v>
      </c>
      <c r="H1677" s="805">
        <v>253.11</v>
      </c>
      <c r="I1677" s="805">
        <v>32.01</v>
      </c>
      <c r="J1677" s="805">
        <v>2472.54</v>
      </c>
      <c r="K1677" s="805">
        <v>6387.7539999999999</v>
      </c>
    </row>
    <row r="1678" spans="3:11">
      <c r="C1678" s="861">
        <v>42936</v>
      </c>
      <c r="D1678" s="805">
        <v>34.75</v>
      </c>
      <c r="E1678" s="805">
        <v>41.875</v>
      </c>
      <c r="F1678" s="806">
        <v>13.8</v>
      </c>
      <c r="G1678" s="805">
        <v>7.0797332369657404</v>
      </c>
      <c r="H1678" s="805">
        <v>253.43</v>
      </c>
      <c r="I1678" s="805">
        <v>32</v>
      </c>
      <c r="J1678" s="805">
        <v>2473.4499999999998</v>
      </c>
      <c r="K1678" s="805">
        <v>6390.0020000000004</v>
      </c>
    </row>
    <row r="1679" spans="3:11">
      <c r="C1679" s="861">
        <v>42935</v>
      </c>
      <c r="D1679" s="805">
        <v>34.56</v>
      </c>
      <c r="E1679" s="805">
        <v>41.274999999999999</v>
      </c>
      <c r="F1679" s="806">
        <v>13.55</v>
      </c>
      <c r="G1679" s="805">
        <v>7.0617283950617296</v>
      </c>
      <c r="H1679" s="805">
        <v>254.4</v>
      </c>
      <c r="I1679" s="805">
        <v>31.82</v>
      </c>
      <c r="J1679" s="805">
        <v>2473.83</v>
      </c>
      <c r="K1679" s="805">
        <v>6385.0420000000004</v>
      </c>
    </row>
    <row r="1680" spans="3:11">
      <c r="C1680" s="861">
        <v>42934</v>
      </c>
      <c r="D1680" s="805">
        <v>34.53</v>
      </c>
      <c r="E1680" s="805">
        <v>41.49</v>
      </c>
      <c r="F1680" s="806">
        <v>13.48</v>
      </c>
      <c r="G1680" s="805">
        <v>7.0513031730864304</v>
      </c>
      <c r="H1680" s="805">
        <v>250.88</v>
      </c>
      <c r="I1680" s="805">
        <v>31.9</v>
      </c>
      <c r="J1680" s="805">
        <v>2460.61</v>
      </c>
      <c r="K1680" s="805">
        <v>6344.3050000000003</v>
      </c>
    </row>
    <row r="1681" spans="3:11">
      <c r="C1681" s="861">
        <v>42933</v>
      </c>
      <c r="D1681" s="805">
        <v>34.47</v>
      </c>
      <c r="E1681" s="805">
        <v>41.0625</v>
      </c>
      <c r="F1681" s="806">
        <v>13.8</v>
      </c>
      <c r="G1681" s="805">
        <v>7.0068094345208696</v>
      </c>
      <c r="H1681" s="805">
        <v>249.02</v>
      </c>
      <c r="I1681" s="805">
        <v>31.72</v>
      </c>
      <c r="J1681" s="805">
        <v>2459.14</v>
      </c>
      <c r="K1681" s="805">
        <v>6314.4309999999996</v>
      </c>
    </row>
    <row r="1682" spans="3:11">
      <c r="C1682" s="861">
        <v>42932</v>
      </c>
      <c r="D1682" s="805">
        <v>34.68</v>
      </c>
      <c r="E1682" s="805">
        <v>41.237499999999997</v>
      </c>
      <c r="F1682" s="806">
        <v>13.92</v>
      </c>
      <c r="G1682" s="805">
        <v>7.0396932941137598</v>
      </c>
      <c r="H1682" s="805">
        <v>250.29</v>
      </c>
      <c r="I1682" s="805">
        <v>31.79</v>
      </c>
      <c r="J1682" s="805">
        <v>2459.27</v>
      </c>
      <c r="K1682" s="805">
        <v>6312.4650000000001</v>
      </c>
    </row>
    <row r="1683" spans="3:11">
      <c r="C1683" s="861">
        <v>42931</v>
      </c>
      <c r="D1683" s="805">
        <v>34.68</v>
      </c>
      <c r="E1683" s="805">
        <v>41.237499999999997</v>
      </c>
      <c r="F1683" s="806">
        <v>13.92</v>
      </c>
      <c r="G1683" s="805">
        <v>7.0396932941137598</v>
      </c>
      <c r="H1683" s="805">
        <v>250.29</v>
      </c>
      <c r="I1683" s="805">
        <v>31.79</v>
      </c>
      <c r="J1683" s="805">
        <v>2459.27</v>
      </c>
      <c r="K1683" s="805">
        <v>6312.4650000000001</v>
      </c>
    </row>
    <row r="1684" spans="3:11">
      <c r="C1684" s="861">
        <v>42930</v>
      </c>
      <c r="D1684" s="805">
        <v>34.68</v>
      </c>
      <c r="E1684" s="805">
        <v>41.237499999999997</v>
      </c>
      <c r="F1684" s="806">
        <v>13.92</v>
      </c>
      <c r="G1684" s="805">
        <v>7.0396932941137598</v>
      </c>
      <c r="H1684" s="805">
        <v>250.29</v>
      </c>
      <c r="I1684" s="805">
        <v>31.79</v>
      </c>
      <c r="J1684" s="805">
        <v>2459.27</v>
      </c>
      <c r="K1684" s="805">
        <v>6312.4650000000001</v>
      </c>
    </row>
    <row r="1685" spans="3:11">
      <c r="C1685" s="861">
        <v>42929</v>
      </c>
      <c r="D1685" s="805">
        <v>34.24</v>
      </c>
      <c r="E1685" s="805">
        <v>40.157499999999999</v>
      </c>
      <c r="F1685" s="806">
        <v>13.53</v>
      </c>
      <c r="G1685" s="805">
        <v>7.0649846842989401</v>
      </c>
      <c r="H1685" s="805">
        <v>247.31</v>
      </c>
      <c r="I1685" s="805">
        <v>31.13</v>
      </c>
      <c r="J1685" s="805">
        <v>2447.83</v>
      </c>
      <c r="K1685" s="805">
        <v>6274.4369999999999</v>
      </c>
    </row>
    <row r="1686" spans="3:11">
      <c r="C1686" s="861">
        <v>42928</v>
      </c>
      <c r="D1686" s="805">
        <v>34.25</v>
      </c>
      <c r="E1686" s="805">
        <v>40.627499999999998</v>
      </c>
      <c r="F1686" s="806">
        <v>14.29</v>
      </c>
      <c r="G1686" s="805">
        <v>6.94009429296759</v>
      </c>
      <c r="H1686" s="805">
        <v>246.42</v>
      </c>
      <c r="I1686" s="805">
        <v>31.45</v>
      </c>
      <c r="J1686" s="805">
        <v>2443.25</v>
      </c>
      <c r="K1686" s="805">
        <v>6261.1710000000003</v>
      </c>
    </row>
    <row r="1687" spans="3:11">
      <c r="C1687" s="861">
        <v>42927</v>
      </c>
      <c r="D1687" s="805">
        <v>33.92</v>
      </c>
      <c r="E1687" s="805">
        <v>38.97</v>
      </c>
      <c r="F1687" s="806">
        <v>13.89</v>
      </c>
      <c r="G1687" s="805">
        <v>6.9444444444444402</v>
      </c>
      <c r="H1687" s="805">
        <v>240.89</v>
      </c>
      <c r="I1687" s="805">
        <v>31.37</v>
      </c>
      <c r="J1687" s="805">
        <v>2425.5300000000002</v>
      </c>
      <c r="K1687" s="805">
        <v>6193.3050000000003</v>
      </c>
    </row>
    <row r="1688" spans="3:11">
      <c r="C1688" s="861">
        <v>42926</v>
      </c>
      <c r="D1688" s="805">
        <v>33.65</v>
      </c>
      <c r="E1688" s="805">
        <v>38.424999999999997</v>
      </c>
      <c r="F1688" s="806">
        <v>13.81</v>
      </c>
      <c r="G1688" s="805">
        <v>6.7479035639412999</v>
      </c>
      <c r="H1688" s="805">
        <v>241.77</v>
      </c>
      <c r="I1688" s="805">
        <v>30.5</v>
      </c>
      <c r="J1688" s="805">
        <v>2427.4299999999998</v>
      </c>
      <c r="K1688" s="805">
        <v>6176.393</v>
      </c>
    </row>
    <row r="1689" spans="3:11">
      <c r="C1689" s="861">
        <v>42925</v>
      </c>
      <c r="D1689" s="805">
        <v>33.880000000000003</v>
      </c>
      <c r="E1689" s="805">
        <v>36.69</v>
      </c>
      <c r="F1689" s="806">
        <v>13.36</v>
      </c>
      <c r="G1689" s="805">
        <v>6.7439271917763399</v>
      </c>
      <c r="H1689" s="805">
        <v>239.62</v>
      </c>
      <c r="I1689" s="805">
        <v>30.2</v>
      </c>
      <c r="J1689" s="805">
        <v>2425.1799999999998</v>
      </c>
      <c r="K1689" s="805">
        <v>6153.0789999999997</v>
      </c>
    </row>
    <row r="1690" spans="3:11">
      <c r="C1690" s="861">
        <v>42924</v>
      </c>
      <c r="D1690" s="805">
        <v>33.880000000000003</v>
      </c>
      <c r="E1690" s="805">
        <v>36.69</v>
      </c>
      <c r="F1690" s="806">
        <v>13.36</v>
      </c>
      <c r="G1690" s="805">
        <v>6.7439271917763399</v>
      </c>
      <c r="H1690" s="805">
        <v>239.62</v>
      </c>
      <c r="I1690" s="805">
        <v>30.2</v>
      </c>
      <c r="J1690" s="805">
        <v>2425.1799999999998</v>
      </c>
      <c r="K1690" s="805">
        <v>6153.0789999999997</v>
      </c>
    </row>
    <row r="1691" spans="3:11">
      <c r="C1691" s="861">
        <v>42923</v>
      </c>
      <c r="D1691" s="805">
        <v>33.880000000000003</v>
      </c>
      <c r="E1691" s="805">
        <v>36.69</v>
      </c>
      <c r="F1691" s="806">
        <v>13.36</v>
      </c>
      <c r="G1691" s="805">
        <v>6.7439271917763399</v>
      </c>
      <c r="H1691" s="805">
        <v>239.62</v>
      </c>
      <c r="I1691" s="805">
        <v>30.2</v>
      </c>
      <c r="J1691" s="805">
        <v>2425.1799999999998</v>
      </c>
      <c r="K1691" s="805">
        <v>6153.0789999999997</v>
      </c>
    </row>
    <row r="1692" spans="3:11">
      <c r="C1692" s="861">
        <v>42922</v>
      </c>
      <c r="D1692" s="805">
        <v>33.630000000000003</v>
      </c>
      <c r="E1692" s="805">
        <v>35.869999999999997</v>
      </c>
      <c r="F1692" s="806">
        <v>13.02</v>
      </c>
      <c r="G1692" s="805">
        <v>6.78614644994604</v>
      </c>
      <c r="H1692" s="805">
        <v>235.04</v>
      </c>
      <c r="I1692" s="805">
        <v>30.1</v>
      </c>
      <c r="J1692" s="805">
        <v>2409.75</v>
      </c>
      <c r="K1692" s="805">
        <v>6089.4639999999999</v>
      </c>
    </row>
    <row r="1693" spans="3:11">
      <c r="C1693" s="861">
        <v>42921</v>
      </c>
      <c r="D1693" s="805">
        <v>34.340000000000003</v>
      </c>
      <c r="E1693" s="805">
        <v>35.762500000000003</v>
      </c>
      <c r="F1693" s="806">
        <v>13.19</v>
      </c>
      <c r="G1693" s="805">
        <v>6.8398779647672496</v>
      </c>
      <c r="H1693" s="805">
        <v>231.61</v>
      </c>
      <c r="I1693" s="805">
        <v>30.51</v>
      </c>
      <c r="J1693" s="805">
        <v>2432.54</v>
      </c>
      <c r="K1693" s="805">
        <v>6150.8549999999996</v>
      </c>
    </row>
    <row r="1694" spans="3:11">
      <c r="C1694" s="861">
        <v>42920</v>
      </c>
      <c r="D1694" s="805">
        <v>33.46</v>
      </c>
      <c r="E1694" s="805">
        <v>34.832500000000003</v>
      </c>
      <c r="F1694" s="806">
        <v>12.15</v>
      </c>
      <c r="G1694" s="805">
        <v>6.7851055460862701</v>
      </c>
      <c r="H1694" s="805">
        <v>229.76</v>
      </c>
      <c r="I1694" s="805">
        <v>29.14</v>
      </c>
      <c r="J1694" s="805">
        <v>2429.0100000000002</v>
      </c>
      <c r="K1694" s="805">
        <v>6110.06</v>
      </c>
    </row>
    <row r="1695" spans="3:11">
      <c r="C1695" s="861">
        <v>42919</v>
      </c>
      <c r="D1695" s="805">
        <v>33.46</v>
      </c>
      <c r="E1695" s="805">
        <v>34.832500000000003</v>
      </c>
      <c r="F1695" s="806">
        <v>12.15</v>
      </c>
      <c r="G1695" s="805">
        <v>6.8481929289950498</v>
      </c>
      <c r="H1695" s="805">
        <v>229.76</v>
      </c>
      <c r="I1695" s="805">
        <v>29.14</v>
      </c>
      <c r="J1695" s="805">
        <v>2429.0100000000002</v>
      </c>
      <c r="K1695" s="805">
        <v>6110.06</v>
      </c>
    </row>
    <row r="1696" spans="3:11">
      <c r="C1696" s="861">
        <v>42918</v>
      </c>
      <c r="D1696" s="805">
        <v>33.74</v>
      </c>
      <c r="E1696" s="805">
        <v>36.14</v>
      </c>
      <c r="F1696" s="806">
        <v>12.48</v>
      </c>
      <c r="G1696" s="805">
        <v>6.8547194003353402</v>
      </c>
      <c r="H1696" s="805">
        <v>233.05</v>
      </c>
      <c r="I1696" s="805">
        <v>29.86</v>
      </c>
      <c r="J1696" s="805">
        <v>2423.41</v>
      </c>
      <c r="K1696" s="805">
        <v>6140.42</v>
      </c>
    </row>
    <row r="1697" spans="3:11">
      <c r="C1697" s="861">
        <v>42917</v>
      </c>
      <c r="D1697" s="805">
        <v>33.74</v>
      </c>
      <c r="E1697" s="805">
        <v>36.14</v>
      </c>
      <c r="F1697" s="806">
        <v>12.48</v>
      </c>
      <c r="G1697" s="805">
        <v>6.8547194003353402</v>
      </c>
      <c r="H1697" s="805">
        <v>233.05</v>
      </c>
      <c r="I1697" s="805">
        <v>29.86</v>
      </c>
      <c r="J1697" s="805">
        <v>2423.41</v>
      </c>
      <c r="K1697" s="805">
        <v>6140.42</v>
      </c>
    </row>
    <row r="1698" spans="3:11">
      <c r="C1698" s="861">
        <v>42916</v>
      </c>
      <c r="D1698" s="805">
        <v>33.74</v>
      </c>
      <c r="E1698" s="805">
        <v>36.14</v>
      </c>
      <c r="F1698" s="806">
        <v>12.48</v>
      </c>
      <c r="G1698" s="805">
        <v>6.8547194003353402</v>
      </c>
      <c r="H1698" s="805">
        <v>233.05</v>
      </c>
      <c r="I1698" s="805">
        <v>29.86</v>
      </c>
      <c r="J1698" s="805">
        <v>2423.41</v>
      </c>
      <c r="K1698" s="805">
        <v>6140.42</v>
      </c>
    </row>
    <row r="1699" spans="3:11">
      <c r="C1699" s="861">
        <v>42915</v>
      </c>
      <c r="D1699" s="805">
        <v>33.54</v>
      </c>
      <c r="E1699" s="805">
        <v>36.67</v>
      </c>
      <c r="F1699" s="806">
        <v>12.6</v>
      </c>
      <c r="G1699" s="805">
        <v>6.9126699364692703</v>
      </c>
      <c r="H1699" s="805">
        <v>234.04</v>
      </c>
      <c r="I1699" s="805">
        <v>31.47</v>
      </c>
      <c r="J1699" s="805">
        <v>2419.6999999999998</v>
      </c>
      <c r="K1699" s="805">
        <v>6144.3509999999997</v>
      </c>
    </row>
    <row r="1700" spans="3:11">
      <c r="C1700" s="861">
        <v>42914</v>
      </c>
      <c r="D1700" s="805">
        <v>34.200000000000003</v>
      </c>
      <c r="E1700" s="805">
        <v>37.9375</v>
      </c>
      <c r="F1700" s="806">
        <v>13.23</v>
      </c>
      <c r="G1700" s="805">
        <v>6.8551701463093897</v>
      </c>
      <c r="H1700" s="805">
        <v>241.05</v>
      </c>
      <c r="I1700" s="805">
        <v>32.24</v>
      </c>
      <c r="J1700" s="805">
        <v>2440.69</v>
      </c>
      <c r="K1700" s="805">
        <v>6234.4139999999998</v>
      </c>
    </row>
    <row r="1701" spans="3:11">
      <c r="C1701" s="861">
        <v>42913</v>
      </c>
      <c r="D1701" s="805">
        <v>33.65</v>
      </c>
      <c r="E1701" s="805">
        <v>36.645000000000003</v>
      </c>
      <c r="F1701" s="806">
        <v>13.4</v>
      </c>
      <c r="G1701" s="805">
        <v>6.9650266745702396</v>
      </c>
      <c r="H1701" s="805">
        <v>235.33</v>
      </c>
      <c r="I1701" s="805">
        <v>31.66</v>
      </c>
      <c r="J1701" s="805">
        <v>2419.38</v>
      </c>
      <c r="K1701" s="805">
        <v>6146.6229999999996</v>
      </c>
    </row>
    <row r="1702" spans="3:11">
      <c r="C1702" s="861">
        <v>42912</v>
      </c>
      <c r="D1702" s="805">
        <v>34.07</v>
      </c>
      <c r="E1702" s="805">
        <v>38.037500000000001</v>
      </c>
      <c r="F1702" s="806">
        <v>14.08</v>
      </c>
      <c r="G1702" s="805">
        <v>7.0926665127173196</v>
      </c>
      <c r="H1702" s="805">
        <v>242.75</v>
      </c>
      <c r="I1702" s="805">
        <v>32.5</v>
      </c>
      <c r="J1702" s="805">
        <v>2439.0700000000002</v>
      </c>
      <c r="K1702" s="805">
        <v>6247.1490000000003</v>
      </c>
    </row>
    <row r="1703" spans="3:11">
      <c r="C1703" s="861">
        <v>42911</v>
      </c>
      <c r="D1703" s="805">
        <v>34.19</v>
      </c>
      <c r="E1703" s="805">
        <v>38.457500000000003</v>
      </c>
      <c r="F1703" s="806">
        <v>14.17</v>
      </c>
      <c r="G1703" s="805">
        <v>7.1428571428571397</v>
      </c>
      <c r="H1703" s="805">
        <v>245.26</v>
      </c>
      <c r="I1703" s="805">
        <v>31.73</v>
      </c>
      <c r="J1703" s="805">
        <v>2438.3000000000002</v>
      </c>
      <c r="K1703" s="805">
        <v>6265.25</v>
      </c>
    </row>
    <row r="1704" spans="3:11">
      <c r="C1704" s="861">
        <v>42910</v>
      </c>
      <c r="D1704" s="805">
        <v>34.19</v>
      </c>
      <c r="E1704" s="805">
        <v>38.457500000000003</v>
      </c>
      <c r="F1704" s="806">
        <v>14.17</v>
      </c>
      <c r="G1704" s="805">
        <v>7.1428571428571397</v>
      </c>
      <c r="H1704" s="805">
        <v>245.26</v>
      </c>
      <c r="I1704" s="805">
        <v>31.73</v>
      </c>
      <c r="J1704" s="805">
        <v>2438.3000000000002</v>
      </c>
      <c r="K1704" s="805">
        <v>6265.25</v>
      </c>
    </row>
    <row r="1705" spans="3:11">
      <c r="C1705" s="861">
        <v>42909</v>
      </c>
      <c r="D1705" s="805">
        <v>34.19</v>
      </c>
      <c r="E1705" s="805">
        <v>38.457500000000003</v>
      </c>
      <c r="F1705" s="806">
        <v>14.17</v>
      </c>
      <c r="G1705" s="805">
        <v>7.1428571428571397</v>
      </c>
      <c r="H1705" s="805">
        <v>245.26</v>
      </c>
      <c r="I1705" s="805">
        <v>31.73</v>
      </c>
      <c r="J1705" s="805">
        <v>2438.3000000000002</v>
      </c>
      <c r="K1705" s="805">
        <v>6265.25</v>
      </c>
    </row>
    <row r="1706" spans="3:11">
      <c r="C1706" s="861">
        <v>42908</v>
      </c>
      <c r="D1706" s="805">
        <v>34.36</v>
      </c>
      <c r="E1706" s="805">
        <v>39.592500000000001</v>
      </c>
      <c r="F1706" s="806">
        <v>14.38</v>
      </c>
      <c r="G1706" s="805">
        <v>7.1646892562526698</v>
      </c>
      <c r="H1706" s="805">
        <v>244.04</v>
      </c>
      <c r="I1706" s="805">
        <v>31.89</v>
      </c>
      <c r="J1706" s="805">
        <v>2434.5</v>
      </c>
      <c r="K1706" s="805">
        <v>6236.6850000000004</v>
      </c>
    </row>
    <row r="1707" spans="3:11">
      <c r="C1707" s="861">
        <v>42907</v>
      </c>
      <c r="D1707" s="805">
        <v>34.58</v>
      </c>
      <c r="E1707" s="805">
        <v>39.8675</v>
      </c>
      <c r="F1707" s="806">
        <v>13.98</v>
      </c>
      <c r="G1707" s="805">
        <v>7.0788030089018799</v>
      </c>
      <c r="H1707" s="805">
        <v>245.12</v>
      </c>
      <c r="I1707" s="805">
        <v>32.01</v>
      </c>
      <c r="J1707" s="805">
        <v>2435.61</v>
      </c>
      <c r="K1707" s="805">
        <v>6233.9530000000004</v>
      </c>
    </row>
    <row r="1708" spans="3:11">
      <c r="C1708" s="861">
        <v>42906</v>
      </c>
      <c r="D1708" s="805">
        <v>34.86</v>
      </c>
      <c r="E1708" s="805">
        <v>39.272500000000001</v>
      </c>
      <c r="F1708" s="806">
        <v>12.64</v>
      </c>
      <c r="G1708" s="805">
        <v>7.1100164203612497</v>
      </c>
      <c r="H1708" s="805">
        <v>239.99</v>
      </c>
      <c r="I1708" s="805">
        <v>30.83</v>
      </c>
      <c r="J1708" s="805">
        <v>2437.0300000000002</v>
      </c>
      <c r="K1708" s="805">
        <v>6188.0309999999999</v>
      </c>
    </row>
    <row r="1709" spans="3:11">
      <c r="C1709" s="861">
        <v>42905</v>
      </c>
      <c r="D1709" s="805">
        <v>35.51</v>
      </c>
      <c r="E1709" s="805">
        <v>39.33</v>
      </c>
      <c r="F1709" s="806">
        <v>11.93</v>
      </c>
      <c r="G1709" s="805">
        <v>7.0197409616715598</v>
      </c>
      <c r="H1709" s="805">
        <v>241.15</v>
      </c>
      <c r="I1709" s="805">
        <v>31.2</v>
      </c>
      <c r="J1709" s="805">
        <v>2453.46</v>
      </c>
      <c r="K1709" s="805">
        <v>6239.0129999999999</v>
      </c>
    </row>
    <row r="1710" spans="3:11">
      <c r="C1710" s="861">
        <v>42904</v>
      </c>
      <c r="D1710" s="805">
        <v>35.21</v>
      </c>
      <c r="E1710" s="805">
        <v>37.905000000000001</v>
      </c>
      <c r="F1710" s="806">
        <v>11.44</v>
      </c>
      <c r="G1710" s="805">
        <v>6.9668621121285996</v>
      </c>
      <c r="H1710" s="805">
        <v>236.25</v>
      </c>
      <c r="I1710" s="805">
        <v>29.86</v>
      </c>
      <c r="J1710" s="805">
        <v>2433.15</v>
      </c>
      <c r="K1710" s="805">
        <v>6151.7579999999998</v>
      </c>
    </row>
    <row r="1711" spans="3:11">
      <c r="C1711" s="861">
        <v>42903</v>
      </c>
      <c r="D1711" s="805">
        <v>35.21</v>
      </c>
      <c r="E1711" s="805">
        <v>37.905000000000001</v>
      </c>
      <c r="F1711" s="806">
        <v>11.44</v>
      </c>
      <c r="G1711" s="805">
        <v>6.9668621121285996</v>
      </c>
      <c r="H1711" s="805">
        <v>236.25</v>
      </c>
      <c r="I1711" s="805">
        <v>29.86</v>
      </c>
      <c r="J1711" s="805">
        <v>2433.15</v>
      </c>
      <c r="K1711" s="805">
        <v>6151.7579999999998</v>
      </c>
    </row>
    <row r="1712" spans="3:11">
      <c r="C1712" s="861">
        <v>42902</v>
      </c>
      <c r="D1712" s="805">
        <v>35.21</v>
      </c>
      <c r="E1712" s="805">
        <v>37.905000000000001</v>
      </c>
      <c r="F1712" s="806">
        <v>11.44</v>
      </c>
      <c r="G1712" s="805">
        <v>6.9668621121285996</v>
      </c>
      <c r="H1712" s="805">
        <v>236.25</v>
      </c>
      <c r="I1712" s="805">
        <v>29.86</v>
      </c>
      <c r="J1712" s="805">
        <v>2433.15</v>
      </c>
      <c r="K1712" s="805">
        <v>6151.7579999999998</v>
      </c>
    </row>
    <row r="1713" spans="3:11">
      <c r="C1713" s="861">
        <v>42901</v>
      </c>
      <c r="D1713" s="805">
        <v>35.31</v>
      </c>
      <c r="E1713" s="805">
        <v>38.092500000000001</v>
      </c>
      <c r="F1713" s="806">
        <v>11.5</v>
      </c>
      <c r="G1713" s="805">
        <v>6.8748967112873904</v>
      </c>
      <c r="H1713" s="805">
        <v>237.99</v>
      </c>
      <c r="I1713" s="805">
        <v>30.56</v>
      </c>
      <c r="J1713" s="805">
        <v>2432.46</v>
      </c>
      <c r="K1713" s="805">
        <v>6165.5010000000002</v>
      </c>
    </row>
    <row r="1714" spans="3:11">
      <c r="C1714" s="861">
        <v>42900</v>
      </c>
      <c r="D1714" s="805">
        <v>35.53</v>
      </c>
      <c r="E1714" s="805">
        <v>37.93</v>
      </c>
      <c r="F1714" s="806">
        <v>11.77</v>
      </c>
      <c r="G1714" s="805">
        <v>6.8627125949010397</v>
      </c>
      <c r="H1714" s="805">
        <v>240.54</v>
      </c>
      <c r="I1714" s="805">
        <v>31.06</v>
      </c>
      <c r="J1714" s="805">
        <v>2437.92</v>
      </c>
      <c r="K1714" s="805">
        <v>6194.8919999999998</v>
      </c>
    </row>
    <row r="1715" spans="3:11">
      <c r="C1715" s="861">
        <v>42899</v>
      </c>
      <c r="D1715" s="805">
        <v>35.880000000000003</v>
      </c>
      <c r="E1715" s="805">
        <v>37.85</v>
      </c>
      <c r="F1715" s="806">
        <v>11.96</v>
      </c>
      <c r="G1715" s="805">
        <v>6.8865050986624299</v>
      </c>
      <c r="H1715" s="805">
        <v>242.94</v>
      </c>
      <c r="I1715" s="805">
        <v>31.54</v>
      </c>
      <c r="J1715" s="805">
        <v>2440.35</v>
      </c>
      <c r="K1715" s="805">
        <v>6220.3689999999997</v>
      </c>
    </row>
    <row r="1716" spans="3:11">
      <c r="C1716" s="861">
        <v>42898</v>
      </c>
      <c r="D1716" s="805">
        <v>35.729999999999997</v>
      </c>
      <c r="E1716" s="805">
        <v>37.4925</v>
      </c>
      <c r="F1716" s="806">
        <v>12.09</v>
      </c>
      <c r="G1716" s="805">
        <v>6.8806578903737101</v>
      </c>
      <c r="H1716" s="805">
        <v>242.67</v>
      </c>
      <c r="I1716" s="805">
        <v>31.2</v>
      </c>
      <c r="J1716" s="805">
        <v>2429.39</v>
      </c>
      <c r="K1716" s="805">
        <v>6175.4650000000001</v>
      </c>
    </row>
    <row r="1717" spans="3:11">
      <c r="C1717" s="861">
        <v>42897</v>
      </c>
      <c r="D1717" s="805">
        <v>35.71</v>
      </c>
      <c r="E1717" s="805">
        <v>37.4</v>
      </c>
      <c r="F1717" s="806">
        <v>12.28</v>
      </c>
      <c r="G1717" s="805">
        <v>7.0462325921494298</v>
      </c>
      <c r="H1717" s="805">
        <v>243.34</v>
      </c>
      <c r="I1717" s="805">
        <v>30.6</v>
      </c>
      <c r="J1717" s="805">
        <v>2431.77</v>
      </c>
      <c r="K1717" s="805">
        <v>6207.9179999999997</v>
      </c>
    </row>
    <row r="1718" spans="3:11">
      <c r="C1718" s="861">
        <v>42896</v>
      </c>
      <c r="D1718" s="805">
        <v>35.71</v>
      </c>
      <c r="E1718" s="805">
        <v>37.4</v>
      </c>
      <c r="F1718" s="806">
        <v>12.28</v>
      </c>
      <c r="G1718" s="805">
        <v>7.0462325921494298</v>
      </c>
      <c r="H1718" s="805">
        <v>243.34</v>
      </c>
      <c r="I1718" s="805">
        <v>30.6</v>
      </c>
      <c r="J1718" s="805">
        <v>2431.77</v>
      </c>
      <c r="K1718" s="805">
        <v>6207.9179999999997</v>
      </c>
    </row>
    <row r="1719" spans="3:11">
      <c r="C1719" s="861">
        <v>42895</v>
      </c>
      <c r="D1719" s="805">
        <v>35.71</v>
      </c>
      <c r="E1719" s="805">
        <v>37.4</v>
      </c>
      <c r="F1719" s="806">
        <v>12.28</v>
      </c>
      <c r="G1719" s="805">
        <v>7.0462325921494298</v>
      </c>
      <c r="H1719" s="805">
        <v>243.34</v>
      </c>
      <c r="I1719" s="805">
        <v>30.6</v>
      </c>
      <c r="J1719" s="805">
        <v>2431.77</v>
      </c>
      <c r="K1719" s="805">
        <v>6207.9179999999997</v>
      </c>
    </row>
    <row r="1720" spans="3:11">
      <c r="C1720" s="861">
        <v>42894</v>
      </c>
      <c r="D1720" s="805">
        <v>36.479999999999997</v>
      </c>
      <c r="E1720" s="805">
        <v>39.984999999999999</v>
      </c>
      <c r="F1720" s="806">
        <v>12.9</v>
      </c>
      <c r="G1720" s="805">
        <v>7.0768821848627796</v>
      </c>
      <c r="H1720" s="805">
        <v>254.95</v>
      </c>
      <c r="I1720" s="805">
        <v>32.450000000000003</v>
      </c>
      <c r="J1720" s="805">
        <v>2433.79</v>
      </c>
      <c r="K1720" s="805">
        <v>6321.7640000000001</v>
      </c>
    </row>
    <row r="1721" spans="3:11">
      <c r="C1721" s="861">
        <v>42893</v>
      </c>
      <c r="D1721" s="805">
        <v>36.26</v>
      </c>
      <c r="E1721" s="805">
        <v>37.28</v>
      </c>
      <c r="F1721" s="806">
        <v>12.38</v>
      </c>
      <c r="G1721" s="805">
        <v>7.0132970786218802</v>
      </c>
      <c r="H1721" s="805">
        <v>254.28</v>
      </c>
      <c r="I1721" s="805">
        <v>32.5</v>
      </c>
      <c r="J1721" s="805">
        <v>2433.14</v>
      </c>
      <c r="K1721" s="805">
        <v>6297.38</v>
      </c>
    </row>
    <row r="1722" spans="3:11">
      <c r="C1722" s="861">
        <v>42892</v>
      </c>
      <c r="D1722" s="805">
        <v>36.130000000000003</v>
      </c>
      <c r="E1722" s="805">
        <v>36.835000000000001</v>
      </c>
      <c r="F1722" s="806">
        <v>12.03</v>
      </c>
      <c r="G1722" s="805">
        <v>6.9996342233897497</v>
      </c>
      <c r="H1722" s="805">
        <v>253.86</v>
      </c>
      <c r="I1722" s="805">
        <v>31.57</v>
      </c>
      <c r="J1722" s="805">
        <v>2429.33</v>
      </c>
      <c r="K1722" s="805">
        <v>6275.058</v>
      </c>
    </row>
    <row r="1723" spans="3:11">
      <c r="C1723" s="861">
        <v>42891</v>
      </c>
      <c r="D1723" s="805">
        <v>36.340000000000003</v>
      </c>
      <c r="E1723" s="805">
        <v>37.002499999999998</v>
      </c>
      <c r="F1723" s="806">
        <v>11.24</v>
      </c>
      <c r="G1723" s="805">
        <v>7.0497472732109596</v>
      </c>
      <c r="H1723" s="805">
        <v>252.21</v>
      </c>
      <c r="I1723" s="805">
        <v>31.21</v>
      </c>
      <c r="J1723" s="805">
        <v>2436.1</v>
      </c>
      <c r="K1723" s="805">
        <v>6295.6840000000002</v>
      </c>
    </row>
    <row r="1724" spans="3:11">
      <c r="C1724" s="861">
        <v>42890</v>
      </c>
      <c r="D1724" s="805">
        <v>36.32</v>
      </c>
      <c r="E1724" s="805">
        <v>35.909999999999997</v>
      </c>
      <c r="F1724" s="806">
        <v>10.9</v>
      </c>
      <c r="G1724" s="805">
        <v>6.9469835466179202</v>
      </c>
      <c r="H1724" s="805">
        <v>254.53</v>
      </c>
      <c r="I1724" s="805">
        <v>31.21</v>
      </c>
      <c r="J1724" s="805">
        <v>2439.0700000000002</v>
      </c>
      <c r="K1724" s="805">
        <v>6305.7960000000003</v>
      </c>
    </row>
    <row r="1725" spans="3:11">
      <c r="C1725" s="861">
        <v>42889</v>
      </c>
      <c r="D1725" s="805">
        <v>36.32</v>
      </c>
      <c r="E1725" s="805">
        <v>35.909999999999997</v>
      </c>
      <c r="F1725" s="806">
        <v>10.9</v>
      </c>
      <c r="G1725" s="805">
        <v>6.9469835466179202</v>
      </c>
      <c r="H1725" s="805">
        <v>254.53</v>
      </c>
      <c r="I1725" s="805">
        <v>31.21</v>
      </c>
      <c r="J1725" s="805">
        <v>2439.0700000000002</v>
      </c>
      <c r="K1725" s="805">
        <v>6305.7960000000003</v>
      </c>
    </row>
    <row r="1726" spans="3:11">
      <c r="C1726" s="861">
        <v>42888</v>
      </c>
      <c r="D1726" s="805">
        <v>36.32</v>
      </c>
      <c r="E1726" s="805">
        <v>35.909999999999997</v>
      </c>
      <c r="F1726" s="806">
        <v>10.9</v>
      </c>
      <c r="G1726" s="805">
        <v>6.9469835466179202</v>
      </c>
      <c r="H1726" s="805">
        <v>254.53</v>
      </c>
      <c r="I1726" s="805">
        <v>31.21</v>
      </c>
      <c r="J1726" s="805">
        <v>2439.0700000000002</v>
      </c>
      <c r="K1726" s="805">
        <v>6305.7960000000003</v>
      </c>
    </row>
    <row r="1727" spans="3:11">
      <c r="C1727" s="861">
        <v>42887</v>
      </c>
      <c r="D1727" s="805">
        <v>36.119999999999997</v>
      </c>
      <c r="E1727" s="805">
        <v>36.090000000000003</v>
      </c>
      <c r="F1727" s="806">
        <v>10.93</v>
      </c>
      <c r="G1727" s="805">
        <v>6.8791332956698001</v>
      </c>
      <c r="H1727" s="805">
        <v>234.59</v>
      </c>
      <c r="I1727" s="805">
        <v>30.76</v>
      </c>
      <c r="J1727" s="805">
        <v>2430.06</v>
      </c>
      <c r="K1727" s="805">
        <v>6246.83</v>
      </c>
    </row>
    <row r="1728" spans="3:11">
      <c r="C1728" s="861">
        <v>42886</v>
      </c>
      <c r="D1728" s="805">
        <v>36.11</v>
      </c>
      <c r="E1728" s="805">
        <v>36.087499999999999</v>
      </c>
      <c r="F1728" s="806">
        <v>11.19</v>
      </c>
      <c r="G1728" s="805">
        <v>6.7484458628370101</v>
      </c>
      <c r="H1728" s="805">
        <v>239.48</v>
      </c>
      <c r="I1728" s="805">
        <v>30.77</v>
      </c>
      <c r="J1728" s="805">
        <v>2411.8000000000002</v>
      </c>
      <c r="K1728" s="805">
        <v>6198.5169999999998</v>
      </c>
    </row>
    <row r="1729" spans="3:11">
      <c r="C1729" s="861">
        <v>42885</v>
      </c>
      <c r="D1729" s="805">
        <v>36.18</v>
      </c>
      <c r="E1729" s="805">
        <v>36.217500000000001</v>
      </c>
      <c r="F1729" s="806">
        <v>11.12</v>
      </c>
      <c r="G1729" s="805">
        <v>6.8779904306220097</v>
      </c>
      <c r="H1729" s="805">
        <v>239.82</v>
      </c>
      <c r="I1729" s="805">
        <v>30.7</v>
      </c>
      <c r="J1729" s="805">
        <v>2412.91</v>
      </c>
      <c r="K1729" s="805">
        <v>6203.1890000000003</v>
      </c>
    </row>
    <row r="1730" spans="3:11">
      <c r="C1730" s="861">
        <v>42884</v>
      </c>
      <c r="D1730" s="805">
        <v>36.26</v>
      </c>
      <c r="E1730" s="805">
        <v>35.46</v>
      </c>
      <c r="F1730" s="806">
        <v>11</v>
      </c>
      <c r="G1730" s="805">
        <v>6.8779904306220097</v>
      </c>
      <c r="H1730" s="805">
        <v>241.21</v>
      </c>
      <c r="I1730" s="805">
        <v>29.76</v>
      </c>
      <c r="J1730" s="805">
        <v>2415.8200000000002</v>
      </c>
      <c r="K1730" s="805">
        <v>6210.1940000000004</v>
      </c>
    </row>
    <row r="1731" spans="3:11">
      <c r="C1731" s="861">
        <v>42883</v>
      </c>
      <c r="D1731" s="805">
        <v>36.26</v>
      </c>
      <c r="E1731" s="805">
        <v>35.46</v>
      </c>
      <c r="F1731" s="806">
        <v>11</v>
      </c>
      <c r="G1731" s="805">
        <v>6.8779904306220097</v>
      </c>
      <c r="H1731" s="805">
        <v>241.21</v>
      </c>
      <c r="I1731" s="805">
        <v>29.76</v>
      </c>
      <c r="J1731" s="805">
        <v>2415.8200000000002</v>
      </c>
      <c r="K1731" s="805">
        <v>6210.1940000000004</v>
      </c>
    </row>
    <row r="1732" spans="3:11">
      <c r="C1732" s="861">
        <v>42882</v>
      </c>
      <c r="D1732" s="805">
        <v>36.26</v>
      </c>
      <c r="E1732" s="805">
        <v>35.46</v>
      </c>
      <c r="F1732" s="806">
        <v>11</v>
      </c>
      <c r="G1732" s="805">
        <v>6.8779904306220097</v>
      </c>
      <c r="H1732" s="805">
        <v>241.21</v>
      </c>
      <c r="I1732" s="805">
        <v>29.76</v>
      </c>
      <c r="J1732" s="805">
        <v>2415.8200000000002</v>
      </c>
      <c r="K1732" s="805">
        <v>6210.1940000000004</v>
      </c>
    </row>
    <row r="1733" spans="3:11">
      <c r="C1733" s="861">
        <v>42881</v>
      </c>
      <c r="D1733" s="805">
        <v>36.26</v>
      </c>
      <c r="E1733" s="805">
        <v>35.46</v>
      </c>
      <c r="F1733" s="806">
        <v>11</v>
      </c>
      <c r="G1733" s="805">
        <v>6.8779904306220097</v>
      </c>
      <c r="H1733" s="805">
        <v>241.21</v>
      </c>
      <c r="I1733" s="805">
        <v>29.76</v>
      </c>
      <c r="J1733" s="805">
        <v>2415.8200000000002</v>
      </c>
      <c r="K1733" s="805">
        <v>6210.1940000000004</v>
      </c>
    </row>
    <row r="1734" spans="3:11">
      <c r="C1734" s="861">
        <v>42880</v>
      </c>
      <c r="D1734" s="805">
        <v>36.26</v>
      </c>
      <c r="E1734" s="805">
        <v>34.564999999999998</v>
      </c>
      <c r="F1734" s="806">
        <v>10.98</v>
      </c>
      <c r="G1734" s="805">
        <v>6.8834796488427799</v>
      </c>
      <c r="H1734" s="805">
        <v>240.86</v>
      </c>
      <c r="I1734" s="805">
        <v>29.43</v>
      </c>
      <c r="J1734" s="805">
        <v>2415.0700000000002</v>
      </c>
      <c r="K1734" s="805">
        <v>6205.2569999999996</v>
      </c>
    </row>
    <row r="1735" spans="3:11">
      <c r="C1735" s="861">
        <v>42879</v>
      </c>
      <c r="D1735" s="805">
        <v>36.119999999999997</v>
      </c>
      <c r="E1735" s="805">
        <v>34.642499999999998</v>
      </c>
      <c r="F1735" s="806">
        <v>10.89</v>
      </c>
      <c r="G1735" s="805">
        <v>6.8143382962496304</v>
      </c>
      <c r="H1735" s="805">
        <v>239.6</v>
      </c>
      <c r="I1735" s="805">
        <v>28.99</v>
      </c>
      <c r="J1735" s="805">
        <v>2404.39</v>
      </c>
      <c r="K1735" s="805">
        <v>6163.0240000000003</v>
      </c>
    </row>
    <row r="1736" spans="3:11">
      <c r="C1736" s="861">
        <v>42878</v>
      </c>
      <c r="D1736" s="805">
        <v>35.86</v>
      </c>
      <c r="E1736" s="805">
        <v>34.2575</v>
      </c>
      <c r="F1736" s="806">
        <v>10.89</v>
      </c>
      <c r="G1736" s="805">
        <v>6.8027210884353702</v>
      </c>
      <c r="H1736" s="805">
        <v>236.54</v>
      </c>
      <c r="I1736" s="805">
        <v>28.29</v>
      </c>
      <c r="J1736" s="805">
        <v>2398.42</v>
      </c>
      <c r="K1736" s="805">
        <v>6138.7120000000004</v>
      </c>
    </row>
    <row r="1737" spans="3:11">
      <c r="C1737" s="861">
        <v>42877</v>
      </c>
      <c r="D1737" s="805">
        <v>35.770000000000003</v>
      </c>
      <c r="E1737" s="805">
        <v>34.725000000000001</v>
      </c>
      <c r="F1737" s="806">
        <v>11.04</v>
      </c>
      <c r="G1737" s="805">
        <v>6.8390325271059202</v>
      </c>
      <c r="H1737" s="805">
        <v>238.38</v>
      </c>
      <c r="I1737" s="805">
        <v>28.06</v>
      </c>
      <c r="J1737" s="805">
        <v>2394.02</v>
      </c>
      <c r="K1737" s="805">
        <v>6133.6180000000004</v>
      </c>
    </row>
    <row r="1738" spans="3:11">
      <c r="C1738" s="861">
        <v>42876</v>
      </c>
      <c r="D1738" s="805">
        <v>35.4</v>
      </c>
      <c r="E1738" s="805">
        <v>34</v>
      </c>
      <c r="F1738" s="806">
        <v>11.41</v>
      </c>
      <c r="G1738" s="805">
        <v>6.7686972758494202</v>
      </c>
      <c r="H1738" s="805">
        <v>234.1</v>
      </c>
      <c r="I1738" s="805">
        <v>27.82</v>
      </c>
      <c r="J1738" s="805">
        <v>2381.73</v>
      </c>
      <c r="K1738" s="805">
        <v>6083.7030000000004</v>
      </c>
    </row>
    <row r="1739" spans="3:11">
      <c r="C1739" s="861">
        <v>42875</v>
      </c>
      <c r="D1739" s="805">
        <v>35.4</v>
      </c>
      <c r="E1739" s="805">
        <v>34</v>
      </c>
      <c r="F1739" s="806">
        <v>11.41</v>
      </c>
      <c r="G1739" s="805">
        <v>6.7686972758494202</v>
      </c>
      <c r="H1739" s="805">
        <v>234.1</v>
      </c>
      <c r="I1739" s="805">
        <v>27.82</v>
      </c>
      <c r="J1739" s="805">
        <v>2381.73</v>
      </c>
      <c r="K1739" s="805">
        <v>6083.7030000000004</v>
      </c>
    </row>
    <row r="1740" spans="3:11">
      <c r="C1740" s="861">
        <v>42874</v>
      </c>
      <c r="D1740" s="805">
        <v>35.4</v>
      </c>
      <c r="E1740" s="805">
        <v>34</v>
      </c>
      <c r="F1740" s="806">
        <v>11.41</v>
      </c>
      <c r="G1740" s="805">
        <v>6.7686972758494202</v>
      </c>
      <c r="H1740" s="805">
        <v>234.1</v>
      </c>
      <c r="I1740" s="805">
        <v>27.82</v>
      </c>
      <c r="J1740" s="805">
        <v>2381.73</v>
      </c>
      <c r="K1740" s="805">
        <v>6083.7030000000004</v>
      </c>
    </row>
    <row r="1741" spans="3:11">
      <c r="C1741" s="861">
        <v>42873</v>
      </c>
      <c r="D1741" s="805">
        <v>35.22</v>
      </c>
      <c r="E1741" s="805">
        <v>33.267499999999998</v>
      </c>
      <c r="F1741" s="806">
        <v>11.275</v>
      </c>
      <c r="G1741" s="805">
        <v>6.7386337295937002</v>
      </c>
      <c r="H1741" s="805">
        <v>237.66</v>
      </c>
      <c r="I1741" s="805">
        <v>27.48</v>
      </c>
      <c r="J1741" s="805">
        <v>2365.7199999999998</v>
      </c>
      <c r="K1741" s="805">
        <v>6055.13</v>
      </c>
    </row>
    <row r="1742" spans="3:11">
      <c r="C1742" s="861">
        <v>42872</v>
      </c>
      <c r="D1742" s="805">
        <v>35.04</v>
      </c>
      <c r="E1742" s="805">
        <v>31.93</v>
      </c>
      <c r="F1742" s="806">
        <v>11.2</v>
      </c>
      <c r="G1742" s="805">
        <v>6.77313323815532</v>
      </c>
      <c r="H1742" s="805">
        <v>231.18</v>
      </c>
      <c r="I1742" s="805">
        <v>27</v>
      </c>
      <c r="J1742" s="805">
        <v>2357.0300000000002</v>
      </c>
      <c r="K1742" s="805">
        <v>6011.2359999999999</v>
      </c>
    </row>
    <row r="1743" spans="3:11">
      <c r="C1743" s="861">
        <v>42871</v>
      </c>
      <c r="D1743" s="805">
        <v>35.82</v>
      </c>
      <c r="E1743" s="805">
        <v>34.202500000000001</v>
      </c>
      <c r="F1743" s="806">
        <v>12.75</v>
      </c>
      <c r="G1743" s="805">
        <v>6.79605197567379</v>
      </c>
      <c r="H1743" s="805">
        <v>240.68</v>
      </c>
      <c r="I1743" s="805">
        <v>29.02</v>
      </c>
      <c r="J1743" s="805">
        <v>2400.67</v>
      </c>
      <c r="K1743" s="805">
        <v>6169.87</v>
      </c>
    </row>
    <row r="1744" spans="3:11">
      <c r="C1744" s="861">
        <v>42870</v>
      </c>
      <c r="D1744" s="805">
        <v>35.630000000000003</v>
      </c>
      <c r="E1744" s="805">
        <v>33.577500000000001</v>
      </c>
      <c r="F1744" s="806">
        <v>11.42</v>
      </c>
      <c r="G1744" s="805">
        <v>6.8595784356165304</v>
      </c>
      <c r="H1744" s="805">
        <v>239.03</v>
      </c>
      <c r="I1744" s="805">
        <v>28.83</v>
      </c>
      <c r="J1744" s="805">
        <v>2402.3200000000002</v>
      </c>
      <c r="K1744" s="805">
        <v>6149.674</v>
      </c>
    </row>
    <row r="1745" spans="3:11">
      <c r="C1745" s="861">
        <v>42869</v>
      </c>
      <c r="D1745" s="805">
        <v>35.53</v>
      </c>
      <c r="E1745" s="805">
        <v>31.9725</v>
      </c>
      <c r="F1745" s="806">
        <v>11.26</v>
      </c>
      <c r="G1745" s="805">
        <v>6.8268434134217104</v>
      </c>
      <c r="H1745" s="805">
        <v>235.96</v>
      </c>
      <c r="I1745" s="805">
        <v>28.93</v>
      </c>
      <c r="J1745" s="805">
        <v>2390.9</v>
      </c>
      <c r="K1745" s="805">
        <v>6121.232</v>
      </c>
    </row>
    <row r="1746" spans="3:11">
      <c r="C1746" s="861">
        <v>42868</v>
      </c>
      <c r="D1746" s="805">
        <v>35.53</v>
      </c>
      <c r="E1746" s="805">
        <v>31.9725</v>
      </c>
      <c r="F1746" s="806">
        <v>11.26</v>
      </c>
      <c r="G1746" s="805">
        <v>6.8268434134217104</v>
      </c>
      <c r="H1746" s="805">
        <v>235.96</v>
      </c>
      <c r="I1746" s="805">
        <v>28.93</v>
      </c>
      <c r="J1746" s="805">
        <v>2390.9</v>
      </c>
      <c r="K1746" s="805">
        <v>6121.232</v>
      </c>
    </row>
    <row r="1747" spans="3:11">
      <c r="C1747" s="861">
        <v>42867</v>
      </c>
      <c r="D1747" s="805">
        <v>35.53</v>
      </c>
      <c r="E1747" s="805">
        <v>31.9725</v>
      </c>
      <c r="F1747" s="806">
        <v>11.26</v>
      </c>
      <c r="G1747" s="805">
        <v>6.8268434134217104</v>
      </c>
      <c r="H1747" s="805">
        <v>235.96</v>
      </c>
      <c r="I1747" s="805">
        <v>28.93</v>
      </c>
      <c r="J1747" s="805">
        <v>2390.9</v>
      </c>
      <c r="K1747" s="805">
        <v>6121.232</v>
      </c>
    </row>
    <row r="1748" spans="3:11">
      <c r="C1748" s="861">
        <v>42866</v>
      </c>
      <c r="D1748" s="805">
        <v>35.69</v>
      </c>
      <c r="E1748" s="805">
        <v>31.625</v>
      </c>
      <c r="F1748" s="806">
        <v>11.07</v>
      </c>
      <c r="G1748" s="805">
        <v>6.8897964604708299</v>
      </c>
      <c r="H1748" s="805">
        <v>231.09</v>
      </c>
      <c r="I1748" s="805">
        <v>29.03</v>
      </c>
      <c r="J1748" s="805">
        <v>2394.44</v>
      </c>
      <c r="K1748" s="805">
        <v>6115.9639999999999</v>
      </c>
    </row>
    <row r="1749" spans="3:11">
      <c r="C1749" s="861">
        <v>42865</v>
      </c>
      <c r="D1749" s="805">
        <v>36.01</v>
      </c>
      <c r="E1749" s="805">
        <v>30.322500000000002</v>
      </c>
      <c r="F1749" s="806">
        <v>10.79</v>
      </c>
      <c r="G1749" s="805">
        <v>6.7949608173792297</v>
      </c>
      <c r="H1749" s="805">
        <v>231.33</v>
      </c>
      <c r="I1749" s="805">
        <v>29.32</v>
      </c>
      <c r="J1749" s="805">
        <v>2399.63</v>
      </c>
      <c r="K1749" s="805">
        <v>6129.143</v>
      </c>
    </row>
    <row r="1750" spans="3:11">
      <c r="C1750" s="861">
        <v>42864</v>
      </c>
      <c r="D1750" s="805">
        <v>36.369999999999997</v>
      </c>
      <c r="E1750" s="805">
        <v>25.734999999999999</v>
      </c>
      <c r="F1750" s="806">
        <v>10.18</v>
      </c>
      <c r="G1750" s="805">
        <v>6.7312781159036801</v>
      </c>
      <c r="H1750" s="805">
        <v>228.46</v>
      </c>
      <c r="I1750" s="805">
        <v>28.81</v>
      </c>
      <c r="J1750" s="805">
        <v>2396.92</v>
      </c>
      <c r="K1750" s="805">
        <v>6120.5870000000004</v>
      </c>
    </row>
    <row r="1751" spans="3:11">
      <c r="C1751" s="861">
        <v>42863</v>
      </c>
      <c r="D1751" s="805">
        <v>36.54</v>
      </c>
      <c r="E1751" s="805">
        <v>25.692499999999999</v>
      </c>
      <c r="F1751" s="806">
        <v>10.039999999999999</v>
      </c>
      <c r="G1751" s="805">
        <v>6.7166406845998203</v>
      </c>
      <c r="H1751" s="805">
        <v>225.08</v>
      </c>
      <c r="I1751" s="805">
        <v>28.06</v>
      </c>
      <c r="J1751" s="805">
        <v>2399.38</v>
      </c>
      <c r="K1751" s="805">
        <v>6102.66</v>
      </c>
    </row>
    <row r="1752" spans="3:11">
      <c r="C1752" s="861">
        <v>42862</v>
      </c>
      <c r="D1752" s="805">
        <v>36.82</v>
      </c>
      <c r="E1752" s="805">
        <v>25.965</v>
      </c>
      <c r="F1752" s="806">
        <v>10.19</v>
      </c>
      <c r="G1752" s="805">
        <v>6.5462379847530698</v>
      </c>
      <c r="H1752" s="805">
        <v>226.45</v>
      </c>
      <c r="I1752" s="805">
        <v>28.2</v>
      </c>
      <c r="J1752" s="805">
        <v>2399.29</v>
      </c>
      <c r="K1752" s="805">
        <v>6100.7579999999998</v>
      </c>
    </row>
    <row r="1753" spans="3:11">
      <c r="C1753" s="861">
        <v>42861</v>
      </c>
      <c r="D1753" s="805">
        <v>36.82</v>
      </c>
      <c r="E1753" s="805">
        <v>25.965</v>
      </c>
      <c r="F1753" s="806">
        <v>10.19</v>
      </c>
      <c r="G1753" s="805">
        <v>6.5462379847530698</v>
      </c>
      <c r="H1753" s="805">
        <v>226.45</v>
      </c>
      <c r="I1753" s="805">
        <v>28.2</v>
      </c>
      <c r="J1753" s="805">
        <v>2399.29</v>
      </c>
      <c r="K1753" s="805">
        <v>6100.7579999999998</v>
      </c>
    </row>
    <row r="1754" spans="3:11">
      <c r="C1754" s="861">
        <v>42860</v>
      </c>
      <c r="D1754" s="805">
        <v>36.82</v>
      </c>
      <c r="E1754" s="805">
        <v>25.965</v>
      </c>
      <c r="F1754" s="806">
        <v>10.19</v>
      </c>
      <c r="G1754" s="805">
        <v>6.5462379847530698</v>
      </c>
      <c r="H1754" s="805">
        <v>226.45</v>
      </c>
      <c r="I1754" s="805">
        <v>28.2</v>
      </c>
      <c r="J1754" s="805">
        <v>2399.29</v>
      </c>
      <c r="K1754" s="805">
        <v>6100.7579999999998</v>
      </c>
    </row>
    <row r="1755" spans="3:11">
      <c r="C1755" s="861">
        <v>42859</v>
      </c>
      <c r="D1755" s="805">
        <v>36.85</v>
      </c>
      <c r="E1755" s="805">
        <v>25.962499999999999</v>
      </c>
      <c r="F1755" s="806">
        <v>10.1</v>
      </c>
      <c r="G1755" s="805">
        <v>6.5743599960155397</v>
      </c>
      <c r="H1755" s="805">
        <v>223.4</v>
      </c>
      <c r="I1755" s="805">
        <v>27.79</v>
      </c>
      <c r="J1755" s="805">
        <v>2389.52</v>
      </c>
      <c r="K1755" s="805">
        <v>6075.3370000000004</v>
      </c>
    </row>
    <row r="1756" spans="3:11">
      <c r="C1756" s="861">
        <v>42858</v>
      </c>
      <c r="D1756" s="805">
        <v>36.979999999999997</v>
      </c>
      <c r="E1756" s="805">
        <v>26.0625</v>
      </c>
      <c r="F1756" s="806">
        <v>10.39</v>
      </c>
      <c r="G1756" s="805">
        <v>6.59165057593715</v>
      </c>
      <c r="H1756" s="805">
        <v>224.9</v>
      </c>
      <c r="I1756" s="805">
        <v>28</v>
      </c>
      <c r="J1756" s="805">
        <v>2388.13</v>
      </c>
      <c r="K1756" s="805">
        <v>6072.55</v>
      </c>
    </row>
    <row r="1757" spans="3:11">
      <c r="C1757" s="861">
        <v>42857</v>
      </c>
      <c r="D1757" s="805">
        <v>36.97</v>
      </c>
      <c r="E1757" s="805">
        <v>25.87</v>
      </c>
      <c r="F1757" s="806">
        <v>10.32</v>
      </c>
      <c r="G1757" s="805">
        <v>6.5419316176715396</v>
      </c>
      <c r="H1757" s="805">
        <v>225.45</v>
      </c>
      <c r="I1757" s="805">
        <v>27.77</v>
      </c>
      <c r="J1757" s="805">
        <v>2391.17</v>
      </c>
      <c r="K1757" s="805">
        <v>6095.366</v>
      </c>
    </row>
    <row r="1758" spans="3:11">
      <c r="C1758" s="861">
        <v>42856</v>
      </c>
      <c r="D1758" s="805">
        <v>36.31</v>
      </c>
      <c r="E1758" s="805">
        <v>26.66</v>
      </c>
      <c r="F1758" s="806">
        <v>13.62</v>
      </c>
      <c r="G1758" s="805">
        <v>6.4414638185130002</v>
      </c>
      <c r="H1758" s="805">
        <v>221.32</v>
      </c>
      <c r="I1758" s="805">
        <v>28.29</v>
      </c>
      <c r="J1758" s="805">
        <v>2388.33</v>
      </c>
      <c r="K1758" s="805">
        <v>6091.6019999999999</v>
      </c>
    </row>
    <row r="1759" spans="3:11">
      <c r="C1759" s="861">
        <v>42855</v>
      </c>
      <c r="D1759" s="805">
        <v>36.15</v>
      </c>
      <c r="E1759" s="805">
        <v>26.074999999999999</v>
      </c>
      <c r="F1759" s="806">
        <v>13.3</v>
      </c>
      <c r="G1759" s="805">
        <v>6.4495805285671697</v>
      </c>
      <c r="H1759" s="805">
        <v>220.81</v>
      </c>
      <c r="I1759" s="805">
        <v>27.67</v>
      </c>
      <c r="J1759" s="805">
        <v>2384.1999999999998</v>
      </c>
      <c r="K1759" s="805">
        <v>6047.6059999999998</v>
      </c>
    </row>
    <row r="1760" spans="3:11">
      <c r="C1760" s="861">
        <v>42854</v>
      </c>
      <c r="D1760" s="805">
        <v>36.15</v>
      </c>
      <c r="E1760" s="805">
        <v>26.074999999999999</v>
      </c>
      <c r="F1760" s="806">
        <v>13.3</v>
      </c>
      <c r="G1760" s="805">
        <v>6.4495805285671697</v>
      </c>
      <c r="H1760" s="805">
        <v>220.81</v>
      </c>
      <c r="I1760" s="805">
        <v>27.67</v>
      </c>
      <c r="J1760" s="805">
        <v>2384.1999999999998</v>
      </c>
      <c r="K1760" s="805">
        <v>6047.6059999999998</v>
      </c>
    </row>
    <row r="1761" spans="3:11">
      <c r="C1761" s="861">
        <v>42853</v>
      </c>
      <c r="D1761" s="805">
        <v>36.15</v>
      </c>
      <c r="E1761" s="805">
        <v>26.074999999999999</v>
      </c>
      <c r="F1761" s="806">
        <v>13.3</v>
      </c>
      <c r="G1761" s="805">
        <v>6.4495805285671697</v>
      </c>
      <c r="H1761" s="805">
        <v>220.81</v>
      </c>
      <c r="I1761" s="805">
        <v>27.67</v>
      </c>
      <c r="J1761" s="805">
        <v>2384.1999999999998</v>
      </c>
      <c r="K1761" s="805">
        <v>6047.6059999999998</v>
      </c>
    </row>
    <row r="1762" spans="3:11">
      <c r="C1762" s="861">
        <v>42852</v>
      </c>
      <c r="D1762" s="805">
        <v>37.43</v>
      </c>
      <c r="E1762" s="805">
        <v>26.41</v>
      </c>
      <c r="F1762" s="806">
        <v>13.62</v>
      </c>
      <c r="G1762" s="805">
        <v>6.4017513599575402</v>
      </c>
      <c r="H1762" s="805">
        <v>223.09</v>
      </c>
      <c r="I1762" s="805">
        <v>27.63</v>
      </c>
      <c r="J1762" s="805">
        <v>2388.77</v>
      </c>
      <c r="K1762" s="805">
        <v>6048.9369999999999</v>
      </c>
    </row>
    <row r="1763" spans="3:11">
      <c r="C1763" s="861">
        <v>42851</v>
      </c>
      <c r="D1763" s="805">
        <v>36.93</v>
      </c>
      <c r="E1763" s="805">
        <v>26.004999999999999</v>
      </c>
      <c r="F1763" s="806">
        <v>13.41</v>
      </c>
      <c r="G1763" s="805">
        <v>6.3436181872529804</v>
      </c>
      <c r="H1763" s="805">
        <v>221.68</v>
      </c>
      <c r="I1763" s="805">
        <v>26.79</v>
      </c>
      <c r="J1763" s="805">
        <v>2387.4499999999998</v>
      </c>
      <c r="K1763" s="805">
        <v>6025.2250000000004</v>
      </c>
    </row>
    <row r="1764" spans="3:11">
      <c r="C1764" s="861">
        <v>42850</v>
      </c>
      <c r="D1764" s="805">
        <v>36.869999999999997</v>
      </c>
      <c r="E1764" s="805">
        <v>26.184999999999999</v>
      </c>
      <c r="F1764" s="806">
        <v>13.49</v>
      </c>
      <c r="G1764" s="805">
        <v>6.3711176002123704</v>
      </c>
      <c r="H1764" s="805">
        <v>223.2</v>
      </c>
      <c r="I1764" s="805">
        <v>26.99</v>
      </c>
      <c r="J1764" s="805">
        <v>2388.61</v>
      </c>
      <c r="K1764" s="805">
        <v>6025.4920000000002</v>
      </c>
    </row>
    <row r="1765" spans="3:11">
      <c r="C1765" s="861">
        <v>42849</v>
      </c>
      <c r="D1765" s="805">
        <v>36.75</v>
      </c>
      <c r="E1765" s="805">
        <v>25.737500000000001</v>
      </c>
      <c r="F1765" s="806">
        <v>13.13</v>
      </c>
      <c r="G1765" s="805">
        <v>6.2805764908105202</v>
      </c>
      <c r="H1765" s="805">
        <v>221.24</v>
      </c>
      <c r="I1765" s="805">
        <v>26.57</v>
      </c>
      <c r="J1765" s="805">
        <v>2374.15</v>
      </c>
      <c r="K1765" s="805">
        <v>5983.8190000000004</v>
      </c>
    </row>
    <row r="1766" spans="3:11">
      <c r="C1766" s="861">
        <v>42848</v>
      </c>
      <c r="D1766" s="805">
        <v>36.32</v>
      </c>
      <c r="E1766" s="805">
        <v>25.42</v>
      </c>
      <c r="F1766" s="806">
        <v>13</v>
      </c>
      <c r="G1766" s="805">
        <v>6.2572040177836303</v>
      </c>
      <c r="H1766" s="805">
        <v>217.66</v>
      </c>
      <c r="I1766" s="805">
        <v>27.32</v>
      </c>
      <c r="J1766" s="805">
        <v>2348.69</v>
      </c>
      <c r="K1766" s="805">
        <v>5910.5219999999999</v>
      </c>
    </row>
    <row r="1767" spans="3:11">
      <c r="C1767" s="861">
        <v>42847</v>
      </c>
      <c r="D1767" s="805">
        <v>36.32</v>
      </c>
      <c r="E1767" s="805">
        <v>25.42</v>
      </c>
      <c r="F1767" s="806">
        <v>13</v>
      </c>
      <c r="G1767" s="805">
        <v>6.2572040177836303</v>
      </c>
      <c r="H1767" s="805">
        <v>217.66</v>
      </c>
      <c r="I1767" s="805">
        <v>27.32</v>
      </c>
      <c r="J1767" s="805">
        <v>2348.69</v>
      </c>
      <c r="K1767" s="805">
        <v>5910.5219999999999</v>
      </c>
    </row>
    <row r="1768" spans="3:11">
      <c r="C1768" s="861">
        <v>42846</v>
      </c>
      <c r="D1768" s="805">
        <v>36.32</v>
      </c>
      <c r="E1768" s="805">
        <v>25.42</v>
      </c>
      <c r="F1768" s="806">
        <v>13</v>
      </c>
      <c r="G1768" s="805">
        <v>6.2572040177836303</v>
      </c>
      <c r="H1768" s="805">
        <v>217.66</v>
      </c>
      <c r="I1768" s="805">
        <v>27.32</v>
      </c>
      <c r="J1768" s="805">
        <v>2348.69</v>
      </c>
      <c r="K1768" s="805">
        <v>5910.5219999999999</v>
      </c>
    </row>
    <row r="1769" spans="3:11">
      <c r="C1769" s="861">
        <v>42845</v>
      </c>
      <c r="D1769" s="805">
        <v>36.18</v>
      </c>
      <c r="E1769" s="805">
        <v>25.315000000000001</v>
      </c>
      <c r="F1769" s="806">
        <v>13.11</v>
      </c>
      <c r="G1769" s="805">
        <v>6.1535424002105996</v>
      </c>
      <c r="H1769" s="805">
        <v>218.21</v>
      </c>
      <c r="I1769" s="805">
        <v>27.96</v>
      </c>
      <c r="J1769" s="805">
        <v>2355.84</v>
      </c>
      <c r="K1769" s="805">
        <v>5916.777</v>
      </c>
    </row>
    <row r="1770" spans="3:11">
      <c r="C1770" s="861">
        <v>42844</v>
      </c>
      <c r="D1770" s="805">
        <v>35.909999999999997</v>
      </c>
      <c r="E1770" s="805">
        <v>24.92</v>
      </c>
      <c r="F1770" s="806">
        <v>12.84</v>
      </c>
      <c r="G1770" s="805">
        <v>6.1348684210526301</v>
      </c>
      <c r="H1770" s="805">
        <v>213.63</v>
      </c>
      <c r="I1770" s="805">
        <v>27.26</v>
      </c>
      <c r="J1770" s="805">
        <v>2338.17</v>
      </c>
      <c r="K1770" s="805">
        <v>5863.0339999999997</v>
      </c>
    </row>
    <row r="1771" spans="3:11">
      <c r="C1771" s="861">
        <v>42843</v>
      </c>
      <c r="D1771" s="805">
        <v>35.765000000000001</v>
      </c>
      <c r="E1771" s="805">
        <v>24.822500000000002</v>
      </c>
      <c r="F1771" s="806">
        <v>12.95</v>
      </c>
      <c r="G1771" s="805">
        <v>6.1872634523613597</v>
      </c>
      <c r="H1771" s="805">
        <v>213.1</v>
      </c>
      <c r="I1771" s="805">
        <v>27.14</v>
      </c>
      <c r="J1771" s="805">
        <v>2342.19</v>
      </c>
      <c r="K1771" s="805">
        <v>5849.4709999999995</v>
      </c>
    </row>
    <row r="1772" spans="3:11">
      <c r="C1772" s="861">
        <v>42842</v>
      </c>
      <c r="D1772" s="805">
        <v>35.479999999999997</v>
      </c>
      <c r="E1772" s="805">
        <v>24.807500000000001</v>
      </c>
      <c r="F1772" s="806">
        <v>12.79</v>
      </c>
      <c r="G1772" s="805">
        <v>6.1819980217606298</v>
      </c>
      <c r="H1772" s="805">
        <v>213.87</v>
      </c>
      <c r="I1772" s="805">
        <v>27.13</v>
      </c>
      <c r="J1772" s="805">
        <v>2349.0100000000002</v>
      </c>
      <c r="K1772" s="805">
        <v>5856.7879999999996</v>
      </c>
    </row>
    <row r="1773" spans="3:11">
      <c r="C1773" s="861">
        <v>42841</v>
      </c>
      <c r="D1773" s="805">
        <v>35.25</v>
      </c>
      <c r="E1773" s="805">
        <v>23.872499999999999</v>
      </c>
      <c r="F1773" s="806">
        <v>12.31</v>
      </c>
      <c r="G1773" s="805">
        <v>6.2226319428439698</v>
      </c>
      <c r="H1773" s="805">
        <v>211.32</v>
      </c>
      <c r="I1773" s="805">
        <v>26.74</v>
      </c>
      <c r="J1773" s="805">
        <v>2328.9499999999998</v>
      </c>
      <c r="K1773" s="805">
        <v>5805.15</v>
      </c>
    </row>
    <row r="1774" spans="3:11">
      <c r="C1774" s="861">
        <v>42840</v>
      </c>
      <c r="D1774" s="805">
        <v>35.25</v>
      </c>
      <c r="E1774" s="805">
        <v>23.872499999999999</v>
      </c>
      <c r="F1774" s="806">
        <v>12.31</v>
      </c>
      <c r="G1774" s="805">
        <v>6.2226319428439698</v>
      </c>
      <c r="H1774" s="805">
        <v>211.32</v>
      </c>
      <c r="I1774" s="805">
        <v>26.74</v>
      </c>
      <c r="J1774" s="805">
        <v>2328.9499999999998</v>
      </c>
      <c r="K1774" s="805">
        <v>5805.15</v>
      </c>
    </row>
    <row r="1775" spans="3:11">
      <c r="C1775" s="861">
        <v>42839</v>
      </c>
      <c r="D1775" s="805">
        <v>35.25</v>
      </c>
      <c r="E1775" s="805">
        <v>23.872499999999999</v>
      </c>
      <c r="F1775" s="806">
        <v>12.31</v>
      </c>
      <c r="G1775" s="805">
        <v>6.2226319428439698</v>
      </c>
      <c r="H1775" s="805">
        <v>211.32</v>
      </c>
      <c r="I1775" s="805">
        <v>26.74</v>
      </c>
      <c r="J1775" s="805">
        <v>2328.9499999999998</v>
      </c>
      <c r="K1775" s="805">
        <v>5805.15</v>
      </c>
    </row>
    <row r="1776" spans="3:11">
      <c r="C1776" s="861">
        <v>42838</v>
      </c>
      <c r="D1776" s="805">
        <v>35.25</v>
      </c>
      <c r="E1776" s="805">
        <v>23.872499999999999</v>
      </c>
      <c r="F1776" s="806">
        <v>12.31</v>
      </c>
      <c r="G1776" s="805">
        <v>6.31908925919815</v>
      </c>
      <c r="H1776" s="805">
        <v>211.32</v>
      </c>
      <c r="I1776" s="805">
        <v>26.74</v>
      </c>
      <c r="J1776" s="805">
        <v>2328.9499999999998</v>
      </c>
      <c r="K1776" s="805">
        <v>5805.15</v>
      </c>
    </row>
    <row r="1777" spans="3:11">
      <c r="C1777" s="861">
        <v>42837</v>
      </c>
      <c r="D1777" s="805">
        <v>35.630000000000003</v>
      </c>
      <c r="E1777" s="805">
        <v>24.327500000000001</v>
      </c>
      <c r="F1777" s="806">
        <v>12.76</v>
      </c>
      <c r="G1777" s="805">
        <v>6.2855826504755301</v>
      </c>
      <c r="H1777" s="805">
        <v>209.2</v>
      </c>
      <c r="I1777" s="805">
        <v>26.69</v>
      </c>
      <c r="J1777" s="805">
        <v>2344.9299999999998</v>
      </c>
      <c r="K1777" s="805">
        <v>5836.16</v>
      </c>
    </row>
    <row r="1778" spans="3:11">
      <c r="C1778" s="861">
        <v>42836</v>
      </c>
      <c r="D1778" s="805">
        <v>35.74</v>
      </c>
      <c r="E1778" s="805">
        <v>24.53</v>
      </c>
      <c r="F1778" s="806">
        <v>13.1</v>
      </c>
      <c r="G1778" s="805">
        <v>6.2332745904314404</v>
      </c>
      <c r="H1778" s="805">
        <v>217.55</v>
      </c>
      <c r="I1778" s="805">
        <v>27.18</v>
      </c>
      <c r="J1778" s="805">
        <v>2353.7800000000002</v>
      </c>
      <c r="K1778" s="805">
        <v>5866.7719999999999</v>
      </c>
    </row>
    <row r="1779" spans="3:11">
      <c r="C1779" s="861">
        <v>42835</v>
      </c>
      <c r="D1779" s="805">
        <v>35.799999999999997</v>
      </c>
      <c r="E1779" s="805">
        <v>24.442499999999999</v>
      </c>
      <c r="F1779" s="806">
        <v>13.1</v>
      </c>
      <c r="G1779" s="805">
        <v>6.2032714094485604</v>
      </c>
      <c r="H1779" s="805">
        <v>218.02</v>
      </c>
      <c r="I1779" s="805">
        <v>27.64</v>
      </c>
      <c r="J1779" s="805">
        <v>2357.16</v>
      </c>
      <c r="K1779" s="805">
        <v>5880.9260000000004</v>
      </c>
    </row>
    <row r="1780" spans="3:11">
      <c r="C1780" s="861">
        <v>42834</v>
      </c>
      <c r="D1780" s="805">
        <v>36.03</v>
      </c>
      <c r="E1780" s="805">
        <v>25.0825</v>
      </c>
      <c r="F1780" s="806">
        <v>13.52</v>
      </c>
      <c r="G1780" s="805">
        <v>6.2414221292725998</v>
      </c>
      <c r="H1780" s="805">
        <v>218.25</v>
      </c>
      <c r="I1780" s="805">
        <v>28.52</v>
      </c>
      <c r="J1780" s="805">
        <v>2355.54</v>
      </c>
      <c r="K1780" s="805">
        <v>5877.8119999999999</v>
      </c>
    </row>
    <row r="1781" spans="3:11">
      <c r="C1781" s="861">
        <v>42833</v>
      </c>
      <c r="D1781" s="805">
        <v>36.03</v>
      </c>
      <c r="E1781" s="805">
        <v>25.0825</v>
      </c>
      <c r="F1781" s="806">
        <v>13.52</v>
      </c>
      <c r="G1781" s="805">
        <v>6.2414221292725998</v>
      </c>
      <c r="H1781" s="805">
        <v>218.25</v>
      </c>
      <c r="I1781" s="805">
        <v>28.52</v>
      </c>
      <c r="J1781" s="805">
        <v>2355.54</v>
      </c>
      <c r="K1781" s="805">
        <v>5877.8119999999999</v>
      </c>
    </row>
    <row r="1782" spans="3:11">
      <c r="C1782" s="861">
        <v>42832</v>
      </c>
      <c r="D1782" s="805">
        <v>36.03</v>
      </c>
      <c r="E1782" s="805">
        <v>25.0825</v>
      </c>
      <c r="F1782" s="806">
        <v>13.52</v>
      </c>
      <c r="G1782" s="805">
        <v>6.2414221292725998</v>
      </c>
      <c r="H1782" s="805">
        <v>218.25</v>
      </c>
      <c r="I1782" s="805">
        <v>28.52</v>
      </c>
      <c r="J1782" s="805">
        <v>2355.54</v>
      </c>
      <c r="K1782" s="805">
        <v>5877.8119999999999</v>
      </c>
    </row>
    <row r="1783" spans="3:11">
      <c r="C1783" s="861">
        <v>42831</v>
      </c>
      <c r="D1783" s="805">
        <v>36.03</v>
      </c>
      <c r="E1783" s="805">
        <v>25.19</v>
      </c>
      <c r="F1783" s="806">
        <v>13.27</v>
      </c>
      <c r="G1783" s="805">
        <v>6.2706702904482796</v>
      </c>
      <c r="H1783" s="805">
        <v>217.5</v>
      </c>
      <c r="I1783" s="805">
        <v>28.62</v>
      </c>
      <c r="J1783" s="805">
        <v>2357.4899999999998</v>
      </c>
      <c r="K1783" s="805">
        <v>5878.95</v>
      </c>
    </row>
    <row r="1784" spans="3:11">
      <c r="C1784" s="861">
        <v>42830</v>
      </c>
      <c r="D1784" s="805">
        <v>36.22</v>
      </c>
      <c r="E1784" s="805">
        <v>25.0075</v>
      </c>
      <c r="F1784" s="806">
        <v>14.17</v>
      </c>
      <c r="G1784" s="805">
        <v>6.3539094650205801</v>
      </c>
      <c r="H1784" s="805">
        <v>217.13</v>
      </c>
      <c r="I1784" s="805">
        <v>28.26</v>
      </c>
      <c r="J1784" s="805">
        <v>2352.9499999999998</v>
      </c>
      <c r="K1784" s="805">
        <v>5864.4769999999999</v>
      </c>
    </row>
    <row r="1785" spans="3:11">
      <c r="C1785" s="861">
        <v>42829</v>
      </c>
      <c r="D1785" s="805">
        <v>36.28</v>
      </c>
      <c r="E1785" s="805">
        <v>25.195</v>
      </c>
      <c r="F1785" s="806">
        <v>14.16</v>
      </c>
      <c r="G1785" s="805">
        <v>6.2345373577436902</v>
      </c>
      <c r="H1785" s="805">
        <v>218.96</v>
      </c>
      <c r="I1785" s="805">
        <v>28.59</v>
      </c>
      <c r="J1785" s="805">
        <v>2360.16</v>
      </c>
      <c r="K1785" s="805">
        <v>5898.6080000000002</v>
      </c>
    </row>
    <row r="1786" spans="3:11">
      <c r="C1786" s="861">
        <v>42828</v>
      </c>
      <c r="D1786" s="805">
        <v>36.159999999999997</v>
      </c>
      <c r="E1786" s="805">
        <v>27.094999999999999</v>
      </c>
      <c r="F1786" s="806">
        <v>14.64</v>
      </c>
      <c r="G1786" s="805">
        <v>6.2345373577436902</v>
      </c>
      <c r="H1786" s="805">
        <v>218.8</v>
      </c>
      <c r="I1786" s="805">
        <v>28.64</v>
      </c>
      <c r="J1786" s="805">
        <v>2358.84</v>
      </c>
      <c r="K1786" s="805">
        <v>5894.6819999999998</v>
      </c>
    </row>
    <row r="1787" spans="3:11">
      <c r="C1787" s="861">
        <v>42827</v>
      </c>
      <c r="D1787" s="805">
        <v>36.07</v>
      </c>
      <c r="E1787" s="805">
        <v>27.232500000000002</v>
      </c>
      <c r="F1787" s="806">
        <v>14.55</v>
      </c>
      <c r="G1787" s="805">
        <v>6.2345373577436902</v>
      </c>
      <c r="H1787" s="805">
        <v>218.96</v>
      </c>
      <c r="I1787" s="805">
        <v>28.9</v>
      </c>
      <c r="J1787" s="805">
        <v>2362.7199999999998</v>
      </c>
      <c r="K1787" s="805">
        <v>5911.7380000000003</v>
      </c>
    </row>
    <row r="1788" spans="3:11">
      <c r="C1788" s="861">
        <v>42826</v>
      </c>
      <c r="D1788" s="805">
        <v>36.07</v>
      </c>
      <c r="E1788" s="805">
        <v>27.232500000000002</v>
      </c>
      <c r="F1788" s="806">
        <v>14.55</v>
      </c>
      <c r="G1788" s="805">
        <v>6.2345373577436902</v>
      </c>
      <c r="H1788" s="805">
        <v>218.96</v>
      </c>
      <c r="I1788" s="805">
        <v>28.9</v>
      </c>
      <c r="J1788" s="805">
        <v>2362.7199999999998</v>
      </c>
      <c r="K1788" s="805">
        <v>5911.7380000000003</v>
      </c>
    </row>
    <row r="1789" spans="3:11">
      <c r="C1789" s="861">
        <v>42825</v>
      </c>
      <c r="D1789" s="805">
        <v>36.07</v>
      </c>
      <c r="E1789" s="805">
        <v>27.232500000000002</v>
      </c>
      <c r="F1789" s="806">
        <v>14.55</v>
      </c>
      <c r="G1789" s="805">
        <v>6.2345373577436902</v>
      </c>
      <c r="H1789" s="805">
        <v>218.96</v>
      </c>
      <c r="I1789" s="805">
        <v>28.9</v>
      </c>
      <c r="J1789" s="805">
        <v>2362.7199999999998</v>
      </c>
      <c r="K1789" s="805">
        <v>5911.7380000000003</v>
      </c>
    </row>
    <row r="1790" spans="3:11">
      <c r="C1790" s="861">
        <v>42824</v>
      </c>
      <c r="D1790" s="805">
        <v>35.75</v>
      </c>
      <c r="E1790" s="805">
        <v>27.35</v>
      </c>
      <c r="F1790" s="806">
        <v>14.05</v>
      </c>
      <c r="G1790" s="805">
        <v>6.3184637719414001</v>
      </c>
      <c r="H1790" s="805">
        <v>220.04</v>
      </c>
      <c r="I1790" s="805">
        <v>28.97</v>
      </c>
      <c r="J1790" s="805">
        <v>2368.06</v>
      </c>
      <c r="K1790" s="805">
        <v>5914.3440000000001</v>
      </c>
    </row>
    <row r="1791" spans="3:11">
      <c r="C1791" s="861">
        <v>42823</v>
      </c>
      <c r="D1791" s="805">
        <v>35.57</v>
      </c>
      <c r="E1791" s="805">
        <v>26.835000000000001</v>
      </c>
      <c r="F1791" s="806">
        <v>13.71</v>
      </c>
      <c r="G1791" s="805">
        <v>6.3492589768243803</v>
      </c>
      <c r="H1791" s="805">
        <v>221.31</v>
      </c>
      <c r="I1791" s="805">
        <v>28.5</v>
      </c>
      <c r="J1791" s="805">
        <v>2361.13</v>
      </c>
      <c r="K1791" s="805">
        <v>5897.5469999999996</v>
      </c>
    </row>
    <row r="1792" spans="3:11">
      <c r="C1792" s="861">
        <v>42822</v>
      </c>
      <c r="D1792" s="805">
        <v>35.6</v>
      </c>
      <c r="E1792" s="805">
        <v>26.922499999999999</v>
      </c>
      <c r="F1792" s="806">
        <v>13.69</v>
      </c>
      <c r="G1792" s="805">
        <v>6.4299646269298201</v>
      </c>
      <c r="H1792" s="805">
        <v>220.95</v>
      </c>
      <c r="I1792" s="805">
        <v>28.69</v>
      </c>
      <c r="J1792" s="805">
        <v>2358.5700000000002</v>
      </c>
      <c r="K1792" s="805">
        <v>5875.14</v>
      </c>
    </row>
    <row r="1793" spans="3:11">
      <c r="C1793" s="861">
        <v>42821</v>
      </c>
      <c r="D1793" s="805">
        <v>35.39</v>
      </c>
      <c r="E1793" s="805">
        <v>27.0625</v>
      </c>
      <c r="F1793" s="806">
        <v>13.7</v>
      </c>
      <c r="G1793" s="805">
        <v>6.3845975718680696</v>
      </c>
      <c r="H1793" s="805">
        <v>219.05</v>
      </c>
      <c r="I1793" s="805">
        <v>28.76</v>
      </c>
      <c r="J1793" s="805">
        <v>2341.59</v>
      </c>
      <c r="K1793" s="805">
        <v>5840.3739999999998</v>
      </c>
    </row>
    <row r="1794" spans="3:11">
      <c r="C1794" s="861">
        <v>42820</v>
      </c>
      <c r="D1794" s="805">
        <v>35.159999999999997</v>
      </c>
      <c r="E1794" s="805">
        <v>26.8675</v>
      </c>
      <c r="F1794" s="806">
        <v>13.7</v>
      </c>
      <c r="G1794" s="805">
        <v>6.3397444341983897</v>
      </c>
      <c r="H1794" s="805">
        <v>218.97</v>
      </c>
      <c r="I1794" s="805">
        <v>28.43</v>
      </c>
      <c r="J1794" s="805">
        <v>2343.98</v>
      </c>
      <c r="K1794" s="805">
        <v>5828.7380000000003</v>
      </c>
    </row>
    <row r="1795" spans="3:11">
      <c r="C1795" s="861">
        <v>42819</v>
      </c>
      <c r="D1795" s="805">
        <v>35.159999999999997</v>
      </c>
      <c r="E1795" s="805">
        <v>26.8675</v>
      </c>
      <c r="F1795" s="806">
        <v>13.7</v>
      </c>
      <c r="G1795" s="805">
        <v>6.3397444341983897</v>
      </c>
      <c r="H1795" s="805">
        <v>218.97</v>
      </c>
      <c r="I1795" s="805">
        <v>28.43</v>
      </c>
      <c r="J1795" s="805">
        <v>2343.98</v>
      </c>
      <c r="K1795" s="805">
        <v>5828.7380000000003</v>
      </c>
    </row>
    <row r="1796" spans="3:11">
      <c r="C1796" s="861">
        <v>42818</v>
      </c>
      <c r="D1796" s="805">
        <v>35.159999999999997</v>
      </c>
      <c r="E1796" s="805">
        <v>26.8675</v>
      </c>
      <c r="F1796" s="806">
        <v>13.7</v>
      </c>
      <c r="G1796" s="805">
        <v>6.3397444341983897</v>
      </c>
      <c r="H1796" s="805">
        <v>218.97</v>
      </c>
      <c r="I1796" s="805">
        <v>28.43</v>
      </c>
      <c r="J1796" s="805">
        <v>2343.98</v>
      </c>
      <c r="K1796" s="805">
        <v>5828.7380000000003</v>
      </c>
    </row>
    <row r="1797" spans="3:11">
      <c r="C1797" s="861">
        <v>42817</v>
      </c>
      <c r="D1797" s="805">
        <v>35.270000000000003</v>
      </c>
      <c r="E1797" s="805">
        <v>26.772500000000001</v>
      </c>
      <c r="F1797" s="806">
        <v>13.79</v>
      </c>
      <c r="G1797" s="805">
        <v>6.3521764821745101</v>
      </c>
      <c r="H1797" s="805">
        <v>216.86</v>
      </c>
      <c r="I1797" s="805">
        <v>26.47</v>
      </c>
      <c r="J1797" s="805">
        <v>2345.96</v>
      </c>
      <c r="K1797" s="805">
        <v>5817.6930000000002</v>
      </c>
    </row>
    <row r="1798" spans="3:11">
      <c r="C1798" s="861">
        <v>42816</v>
      </c>
      <c r="D1798" s="805">
        <v>35.369999999999997</v>
      </c>
      <c r="E1798" s="805">
        <v>27.017499999999998</v>
      </c>
      <c r="F1798" s="806">
        <v>14.1</v>
      </c>
      <c r="G1798" s="805">
        <v>6.34842519685039</v>
      </c>
      <c r="H1798" s="805">
        <v>217.42</v>
      </c>
      <c r="I1798" s="805">
        <v>26.06</v>
      </c>
      <c r="J1798" s="805">
        <v>2348.4499999999998</v>
      </c>
      <c r="K1798" s="805">
        <v>5821.6409999999996</v>
      </c>
    </row>
    <row r="1799" spans="3:11">
      <c r="C1799" s="861">
        <v>42815</v>
      </c>
      <c r="D1799" s="805">
        <v>35.04</v>
      </c>
      <c r="E1799" s="805">
        <v>26.477499999999999</v>
      </c>
      <c r="F1799" s="806">
        <v>13.82</v>
      </c>
      <c r="G1799" s="805">
        <v>6.3944909001475603</v>
      </c>
      <c r="H1799" s="805">
        <v>216.02</v>
      </c>
      <c r="I1799" s="805">
        <v>25.52</v>
      </c>
      <c r="J1799" s="805">
        <v>2344.02</v>
      </c>
      <c r="K1799" s="805">
        <v>5793.8249999999998</v>
      </c>
    </row>
    <row r="1800" spans="3:11">
      <c r="C1800" s="861">
        <v>42814</v>
      </c>
      <c r="D1800" s="805">
        <v>35.43</v>
      </c>
      <c r="E1800" s="805">
        <v>27.362500000000001</v>
      </c>
      <c r="F1800" s="806">
        <v>14.4</v>
      </c>
      <c r="G1800" s="805">
        <v>6.3059799789251798</v>
      </c>
      <c r="H1800" s="805">
        <v>221.24</v>
      </c>
      <c r="I1800" s="805">
        <v>26.21</v>
      </c>
      <c r="J1800" s="805">
        <v>2373.4699999999998</v>
      </c>
      <c r="K1800" s="805">
        <v>5901.5290000000005</v>
      </c>
    </row>
    <row r="1801" spans="3:11">
      <c r="C1801" s="861">
        <v>42813</v>
      </c>
      <c r="D1801" s="805">
        <v>35.270000000000003</v>
      </c>
      <c r="E1801" s="805">
        <v>26.517499999999998</v>
      </c>
      <c r="F1801" s="806">
        <v>13.49</v>
      </c>
      <c r="G1801" s="805">
        <v>6.2749852546038403</v>
      </c>
      <c r="H1801" s="805">
        <v>221.18</v>
      </c>
      <c r="I1801" s="805">
        <v>25.8</v>
      </c>
      <c r="J1801" s="805">
        <v>2378.25</v>
      </c>
      <c r="K1801" s="805">
        <v>5900.9960000000001</v>
      </c>
    </row>
    <row r="1802" spans="3:11">
      <c r="C1802" s="861">
        <v>42812</v>
      </c>
      <c r="D1802" s="805">
        <v>35.270000000000003</v>
      </c>
      <c r="E1802" s="805">
        <v>26.517499999999998</v>
      </c>
      <c r="F1802" s="806">
        <v>13.49</v>
      </c>
      <c r="G1802" s="805">
        <v>6.2749852546038403</v>
      </c>
      <c r="H1802" s="805">
        <v>221.18</v>
      </c>
      <c r="I1802" s="805">
        <v>25.8</v>
      </c>
      <c r="J1802" s="805">
        <v>2378.25</v>
      </c>
      <c r="K1802" s="805">
        <v>5900.9960000000001</v>
      </c>
    </row>
    <row r="1803" spans="3:11">
      <c r="C1803" s="861">
        <v>42811</v>
      </c>
      <c r="D1803" s="805">
        <v>35.270000000000003</v>
      </c>
      <c r="E1803" s="805">
        <v>26.517499999999998</v>
      </c>
      <c r="F1803" s="806">
        <v>13.49</v>
      </c>
      <c r="G1803" s="805">
        <v>6.2749852546038403</v>
      </c>
      <c r="H1803" s="805">
        <v>221.18</v>
      </c>
      <c r="I1803" s="805">
        <v>25.8</v>
      </c>
      <c r="J1803" s="805">
        <v>2378.25</v>
      </c>
      <c r="K1803" s="805">
        <v>5900.9960000000001</v>
      </c>
    </row>
    <row r="1804" spans="3:11">
      <c r="C1804" s="861">
        <v>42810</v>
      </c>
      <c r="D1804" s="805">
        <v>35.14</v>
      </c>
      <c r="E1804" s="805">
        <v>25.952500000000001</v>
      </c>
      <c r="F1804" s="806">
        <v>13.65</v>
      </c>
      <c r="G1804" s="805">
        <v>6.2317557151759697</v>
      </c>
      <c r="H1804" s="805">
        <v>222.36</v>
      </c>
      <c r="I1804" s="805">
        <v>26.04</v>
      </c>
      <c r="J1804" s="805">
        <v>2381.38</v>
      </c>
      <c r="K1804" s="805">
        <v>5900.76</v>
      </c>
    </row>
    <row r="1805" spans="3:11">
      <c r="C1805" s="861">
        <v>42809</v>
      </c>
      <c r="D1805" s="805">
        <v>35.1</v>
      </c>
      <c r="E1805" s="805">
        <v>25.637499999999999</v>
      </c>
      <c r="F1805" s="806">
        <v>13.98</v>
      </c>
      <c r="G1805" s="805">
        <v>6.1155561385099704</v>
      </c>
      <c r="H1805" s="805">
        <v>225.93</v>
      </c>
      <c r="I1805" s="805">
        <v>26.12</v>
      </c>
      <c r="J1805" s="805">
        <v>2385.2600000000002</v>
      </c>
      <c r="K1805" s="805">
        <v>5900.0469999999996</v>
      </c>
    </row>
    <row r="1806" spans="3:11">
      <c r="C1806" s="861">
        <v>42808</v>
      </c>
      <c r="D1806" s="805">
        <v>35.18</v>
      </c>
      <c r="E1806" s="805">
        <v>25.445</v>
      </c>
      <c r="F1806" s="806">
        <v>14.1</v>
      </c>
      <c r="G1806" s="805">
        <v>6.0100814269096503</v>
      </c>
      <c r="H1806" s="805">
        <v>224.35</v>
      </c>
      <c r="I1806" s="805">
        <v>25.58</v>
      </c>
      <c r="J1806" s="805">
        <v>2365.4499999999998</v>
      </c>
      <c r="K1806" s="805">
        <v>5856.8159999999998</v>
      </c>
    </row>
    <row r="1807" spans="3:11">
      <c r="C1807" s="861">
        <v>42807</v>
      </c>
      <c r="D1807" s="805">
        <v>35.159999999999997</v>
      </c>
      <c r="E1807" s="805">
        <v>25.462499999999999</v>
      </c>
      <c r="F1807" s="806">
        <v>14.28</v>
      </c>
      <c r="G1807" s="805">
        <v>6.0322799754180503</v>
      </c>
      <c r="H1807" s="805">
        <v>226.45</v>
      </c>
      <c r="I1807" s="805">
        <v>25.7</v>
      </c>
      <c r="J1807" s="805">
        <v>2373.4699999999998</v>
      </c>
      <c r="K1807" s="805">
        <v>5875.7839999999997</v>
      </c>
    </row>
    <row r="1808" spans="3:11">
      <c r="C1808" s="861">
        <v>42806</v>
      </c>
      <c r="D1808" s="805">
        <v>35.909999999999997</v>
      </c>
      <c r="E1808" s="805">
        <v>24.78</v>
      </c>
      <c r="F1808" s="806">
        <v>13.91</v>
      </c>
      <c r="G1808" s="805">
        <v>5.91382255309549</v>
      </c>
      <c r="H1808" s="805">
        <v>226.35</v>
      </c>
      <c r="I1808" s="805">
        <v>25.18</v>
      </c>
      <c r="J1808" s="805">
        <v>2372.6</v>
      </c>
      <c r="K1808" s="805">
        <v>5861.7250000000004</v>
      </c>
    </row>
    <row r="1809" spans="3:11">
      <c r="C1809" s="861">
        <v>42805</v>
      </c>
      <c r="D1809" s="805">
        <v>35.909999999999997</v>
      </c>
      <c r="E1809" s="805">
        <v>24.78</v>
      </c>
      <c r="F1809" s="806">
        <v>13.91</v>
      </c>
      <c r="G1809" s="805">
        <v>5.91382255309549</v>
      </c>
      <c r="H1809" s="805">
        <v>226.35</v>
      </c>
      <c r="I1809" s="805">
        <v>25.18</v>
      </c>
      <c r="J1809" s="805">
        <v>2372.6</v>
      </c>
      <c r="K1809" s="805">
        <v>5861.7250000000004</v>
      </c>
    </row>
    <row r="1810" spans="3:11">
      <c r="C1810" s="861">
        <v>42804</v>
      </c>
      <c r="D1810" s="805">
        <v>35.909999999999997</v>
      </c>
      <c r="E1810" s="805">
        <v>24.78</v>
      </c>
      <c r="F1810" s="806">
        <v>13.91</v>
      </c>
      <c r="G1810" s="805">
        <v>5.91382255309549</v>
      </c>
      <c r="H1810" s="805">
        <v>226.35</v>
      </c>
      <c r="I1810" s="805">
        <v>25.18</v>
      </c>
      <c r="J1810" s="805">
        <v>2372.6</v>
      </c>
      <c r="K1810" s="805">
        <v>5861.7250000000004</v>
      </c>
    </row>
    <row r="1811" spans="3:11">
      <c r="C1811" s="861">
        <v>42803</v>
      </c>
      <c r="D1811" s="805">
        <v>35.82</v>
      </c>
      <c r="E1811" s="805">
        <v>24.635000000000002</v>
      </c>
      <c r="F1811" s="806">
        <v>13.33</v>
      </c>
      <c r="G1811" s="805">
        <v>5.9502692940303801</v>
      </c>
      <c r="H1811" s="805">
        <v>222.01</v>
      </c>
      <c r="I1811" s="805">
        <v>25.15</v>
      </c>
      <c r="J1811" s="805">
        <v>2364.87</v>
      </c>
      <c r="K1811" s="805">
        <v>5838.8069999999998</v>
      </c>
    </row>
    <row r="1812" spans="3:11">
      <c r="C1812" s="861">
        <v>42802</v>
      </c>
      <c r="D1812" s="805">
        <v>35.619999999999997</v>
      </c>
      <c r="E1812" s="805">
        <v>24.64</v>
      </c>
      <c r="F1812" s="806">
        <v>13.22</v>
      </c>
      <c r="G1812" s="805">
        <v>6.05275934617252</v>
      </c>
      <c r="H1812" s="805">
        <v>219.63</v>
      </c>
      <c r="I1812" s="805">
        <v>25.38</v>
      </c>
      <c r="J1812" s="805">
        <v>2362.98</v>
      </c>
      <c r="K1812" s="805">
        <v>5837.5519999999997</v>
      </c>
    </row>
    <row r="1813" spans="3:11">
      <c r="C1813" s="861">
        <v>42801</v>
      </c>
      <c r="D1813" s="805">
        <v>35.799999999999997</v>
      </c>
      <c r="E1813" s="805">
        <v>24.684999999999999</v>
      </c>
      <c r="F1813" s="806">
        <v>13.05</v>
      </c>
      <c r="G1813" s="805">
        <v>6.0119915734889</v>
      </c>
      <c r="H1813" s="805">
        <v>219.25</v>
      </c>
      <c r="I1813" s="805">
        <v>25.64</v>
      </c>
      <c r="J1813" s="805">
        <v>2368.39</v>
      </c>
      <c r="K1813" s="805">
        <v>5833.9290000000001</v>
      </c>
    </row>
    <row r="1814" spans="3:11">
      <c r="C1814" s="861">
        <v>42800</v>
      </c>
      <c r="D1814" s="805">
        <v>35.57</v>
      </c>
      <c r="E1814" s="805">
        <v>24.4175</v>
      </c>
      <c r="F1814" s="806">
        <v>13.04</v>
      </c>
      <c r="G1814" s="805">
        <v>5.9260455352817702</v>
      </c>
      <c r="H1814" s="805">
        <v>217.94</v>
      </c>
      <c r="I1814" s="805">
        <v>25.71</v>
      </c>
      <c r="J1814" s="805">
        <v>2375.31</v>
      </c>
      <c r="K1814" s="805">
        <v>5849.1750000000002</v>
      </c>
    </row>
    <row r="1815" spans="3:11">
      <c r="C1815" s="861">
        <v>42799</v>
      </c>
      <c r="D1815" s="805">
        <v>35.9</v>
      </c>
      <c r="E1815" s="805">
        <v>24.607500000000002</v>
      </c>
      <c r="F1815" s="806">
        <v>13.03</v>
      </c>
      <c r="G1815" s="805">
        <v>5.95161081640574</v>
      </c>
      <c r="H1815" s="805">
        <v>218.32</v>
      </c>
      <c r="I1815" s="805">
        <v>25.57</v>
      </c>
      <c r="J1815" s="805">
        <v>2383.12</v>
      </c>
      <c r="K1815" s="805">
        <v>5870.7529999999997</v>
      </c>
    </row>
    <row r="1816" spans="3:11">
      <c r="C1816" s="861">
        <v>42798</v>
      </c>
      <c r="D1816" s="805">
        <v>35.9</v>
      </c>
      <c r="E1816" s="805">
        <v>24.607500000000002</v>
      </c>
      <c r="F1816" s="806">
        <v>13.03</v>
      </c>
      <c r="G1816" s="805">
        <v>5.95161081640574</v>
      </c>
      <c r="H1816" s="805">
        <v>218.32</v>
      </c>
      <c r="I1816" s="805">
        <v>25.57</v>
      </c>
      <c r="J1816" s="805">
        <v>2383.12</v>
      </c>
      <c r="K1816" s="805">
        <v>5870.7529999999997</v>
      </c>
    </row>
    <row r="1817" spans="3:11">
      <c r="C1817" s="861">
        <v>42797</v>
      </c>
      <c r="D1817" s="805">
        <v>35.9</v>
      </c>
      <c r="E1817" s="805">
        <v>24.607500000000002</v>
      </c>
      <c r="F1817" s="806">
        <v>13.03</v>
      </c>
      <c r="G1817" s="805">
        <v>5.95161081640574</v>
      </c>
      <c r="H1817" s="805">
        <v>218.32</v>
      </c>
      <c r="I1817" s="805">
        <v>25.57</v>
      </c>
      <c r="J1817" s="805">
        <v>2383.12</v>
      </c>
      <c r="K1817" s="805">
        <v>5870.7529999999997</v>
      </c>
    </row>
    <row r="1818" spans="3:11">
      <c r="C1818" s="861">
        <v>42796</v>
      </c>
      <c r="D1818" s="805">
        <v>35.909999999999997</v>
      </c>
      <c r="E1818" s="805">
        <v>24.75</v>
      </c>
      <c r="F1818" s="806">
        <v>13.9</v>
      </c>
      <c r="G1818" s="805">
        <v>6.0200019419361102</v>
      </c>
      <c r="H1818" s="805">
        <v>217.29</v>
      </c>
      <c r="I1818" s="805">
        <v>24.7</v>
      </c>
      <c r="J1818" s="805">
        <v>2381.92</v>
      </c>
      <c r="K1818" s="805">
        <v>5861.2219999999998</v>
      </c>
    </row>
    <row r="1819" spans="3:11">
      <c r="C1819" s="861">
        <v>42795</v>
      </c>
      <c r="D1819" s="805">
        <v>35.93</v>
      </c>
      <c r="E1819" s="805">
        <v>25.697500000000002</v>
      </c>
      <c r="F1819" s="806">
        <v>14.96</v>
      </c>
      <c r="G1819" s="805">
        <v>6.0476004682013302</v>
      </c>
      <c r="H1819" s="805">
        <v>215.14</v>
      </c>
      <c r="I1819" s="805">
        <v>24.55</v>
      </c>
      <c r="J1819" s="805">
        <v>2395.96</v>
      </c>
      <c r="K1819" s="805">
        <v>5904.0290000000005</v>
      </c>
    </row>
    <row r="1820" spans="3:11">
      <c r="C1820" s="861">
        <v>42794</v>
      </c>
      <c r="D1820" s="805">
        <v>36.200000000000003</v>
      </c>
      <c r="E1820" s="805">
        <v>25.37</v>
      </c>
      <c r="F1820" s="806">
        <v>14.46</v>
      </c>
      <c r="G1820" s="805">
        <v>6.1663947797716103</v>
      </c>
      <c r="H1820" s="805">
        <v>210.93</v>
      </c>
      <c r="I1820" s="805">
        <v>23.44</v>
      </c>
      <c r="J1820" s="805">
        <v>2363.64</v>
      </c>
      <c r="K1820" s="805">
        <v>5825.4380000000001</v>
      </c>
    </row>
    <row r="1821" spans="3:11">
      <c r="C1821" s="861">
        <v>42793</v>
      </c>
      <c r="D1821" s="805">
        <v>36.51</v>
      </c>
      <c r="E1821" s="805">
        <v>26.102499999999999</v>
      </c>
      <c r="F1821" s="806">
        <v>15.2</v>
      </c>
      <c r="G1821" s="805">
        <v>6.1663947797716103</v>
      </c>
      <c r="H1821" s="805">
        <v>213.28</v>
      </c>
      <c r="I1821" s="805">
        <v>23.76</v>
      </c>
      <c r="J1821" s="805">
        <v>2369.75</v>
      </c>
      <c r="K1821" s="805">
        <v>5861.8990000000003</v>
      </c>
    </row>
    <row r="1822" spans="3:11">
      <c r="C1822" s="861">
        <v>42792</v>
      </c>
      <c r="D1822" s="805">
        <v>36.53</v>
      </c>
      <c r="E1822" s="805">
        <v>25.364999999999998</v>
      </c>
      <c r="F1822" s="806">
        <v>14.12</v>
      </c>
      <c r="G1822" s="805">
        <v>6.1663947797716103</v>
      </c>
      <c r="H1822" s="805">
        <v>210.37</v>
      </c>
      <c r="I1822" s="805">
        <v>23.24</v>
      </c>
      <c r="J1822" s="805">
        <v>2367.34</v>
      </c>
      <c r="K1822" s="805">
        <v>5845.3059999999996</v>
      </c>
    </row>
    <row r="1823" spans="3:11">
      <c r="C1823" s="861">
        <v>42791</v>
      </c>
      <c r="D1823" s="805">
        <v>36.53</v>
      </c>
      <c r="E1823" s="805">
        <v>25.364999999999998</v>
      </c>
      <c r="F1823" s="806">
        <v>14.12</v>
      </c>
      <c r="G1823" s="805">
        <v>6.1663947797716103</v>
      </c>
      <c r="H1823" s="805">
        <v>210.37</v>
      </c>
      <c r="I1823" s="805">
        <v>23.24</v>
      </c>
      <c r="J1823" s="805">
        <v>2367.34</v>
      </c>
      <c r="K1823" s="805">
        <v>5845.3059999999996</v>
      </c>
    </row>
    <row r="1824" spans="3:11">
      <c r="C1824" s="861">
        <v>42790</v>
      </c>
      <c r="D1824" s="805">
        <v>36.53</v>
      </c>
      <c r="E1824" s="805">
        <v>25.364999999999998</v>
      </c>
      <c r="F1824" s="806">
        <v>14.12</v>
      </c>
      <c r="G1824" s="805">
        <v>6.1663947797716103</v>
      </c>
      <c r="H1824" s="805">
        <v>210.37</v>
      </c>
      <c r="I1824" s="805">
        <v>23.24</v>
      </c>
      <c r="J1824" s="805">
        <v>2367.34</v>
      </c>
      <c r="K1824" s="805">
        <v>5845.3059999999996</v>
      </c>
    </row>
    <row r="1825" spans="3:11">
      <c r="C1825" s="861">
        <v>42789</v>
      </c>
      <c r="D1825" s="805">
        <v>36.18</v>
      </c>
      <c r="E1825" s="805">
        <v>25.122499999999999</v>
      </c>
      <c r="F1825" s="806">
        <v>14.32</v>
      </c>
      <c r="G1825" s="805">
        <v>6.1360677083333304</v>
      </c>
      <c r="H1825" s="805">
        <v>210.58</v>
      </c>
      <c r="I1825" s="805">
        <v>23.48</v>
      </c>
      <c r="J1825" s="805">
        <v>2363.81</v>
      </c>
      <c r="K1825" s="805">
        <v>5835.5069999999996</v>
      </c>
    </row>
    <row r="1826" spans="3:11">
      <c r="C1826" s="861">
        <v>42788</v>
      </c>
      <c r="D1826" s="805">
        <v>36.07</v>
      </c>
      <c r="E1826" s="805">
        <v>27.69</v>
      </c>
      <c r="F1826" s="806">
        <v>14.28</v>
      </c>
      <c r="G1826" s="805">
        <v>6.1266941853284402</v>
      </c>
      <c r="H1826" s="805">
        <v>214.16</v>
      </c>
      <c r="I1826" s="805">
        <v>23.75</v>
      </c>
      <c r="J1826" s="805">
        <v>2362.8200000000002</v>
      </c>
      <c r="K1826" s="805">
        <v>5860.6260000000002</v>
      </c>
    </row>
    <row r="1827" spans="3:11">
      <c r="C1827" s="861">
        <v>42787</v>
      </c>
      <c r="D1827" s="805">
        <v>36.520000000000003</v>
      </c>
      <c r="E1827" s="805">
        <v>27.767499999999998</v>
      </c>
      <c r="F1827" s="806">
        <v>14</v>
      </c>
      <c r="G1827" s="805">
        <v>6.1734412060954602</v>
      </c>
      <c r="H1827" s="805">
        <v>212.75</v>
      </c>
      <c r="I1827" s="805">
        <v>23.77</v>
      </c>
      <c r="J1827" s="805">
        <v>2365.38</v>
      </c>
      <c r="K1827" s="805">
        <v>5865.9489999999996</v>
      </c>
    </row>
    <row r="1828" spans="3:11">
      <c r="C1828" s="861">
        <v>42786</v>
      </c>
      <c r="D1828" s="805">
        <v>36.479999999999997</v>
      </c>
      <c r="E1828" s="805">
        <v>26.807500000000001</v>
      </c>
      <c r="F1828" s="806">
        <v>13.13</v>
      </c>
      <c r="G1828" s="805">
        <v>6.1722379235292202</v>
      </c>
      <c r="H1828" s="805">
        <v>210.41</v>
      </c>
      <c r="I1828" s="805">
        <v>23.35</v>
      </c>
      <c r="J1828" s="805">
        <v>2351.16</v>
      </c>
      <c r="K1828" s="805">
        <v>5838.5780000000004</v>
      </c>
    </row>
    <row r="1829" spans="3:11">
      <c r="C1829" s="861">
        <v>42785</v>
      </c>
      <c r="D1829" s="805">
        <v>36.479999999999997</v>
      </c>
      <c r="E1829" s="805">
        <v>26.807500000000001</v>
      </c>
      <c r="F1829" s="806">
        <v>13.13</v>
      </c>
      <c r="G1829" s="805">
        <v>6.1344728237998103</v>
      </c>
      <c r="H1829" s="805">
        <v>210.41</v>
      </c>
      <c r="I1829" s="805">
        <v>23.35</v>
      </c>
      <c r="J1829" s="805">
        <v>2351.16</v>
      </c>
      <c r="K1829" s="805">
        <v>5838.5780000000004</v>
      </c>
    </row>
    <row r="1830" spans="3:11">
      <c r="C1830" s="861">
        <v>42784</v>
      </c>
      <c r="D1830" s="805">
        <v>36.479999999999997</v>
      </c>
      <c r="E1830" s="805">
        <v>26.807500000000001</v>
      </c>
      <c r="F1830" s="806">
        <v>13.13</v>
      </c>
      <c r="G1830" s="805">
        <v>6.1344728237998103</v>
      </c>
      <c r="H1830" s="805">
        <v>210.41</v>
      </c>
      <c r="I1830" s="805">
        <v>23.35</v>
      </c>
      <c r="J1830" s="805">
        <v>2351.16</v>
      </c>
      <c r="K1830" s="805">
        <v>5838.5780000000004</v>
      </c>
    </row>
    <row r="1831" spans="3:11">
      <c r="C1831" s="861">
        <v>42783</v>
      </c>
      <c r="D1831" s="805">
        <v>36.479999999999997</v>
      </c>
      <c r="E1831" s="805">
        <v>26.807500000000001</v>
      </c>
      <c r="F1831" s="806">
        <v>13.13</v>
      </c>
      <c r="G1831" s="805">
        <v>6.1344728237998103</v>
      </c>
      <c r="H1831" s="805">
        <v>210.41</v>
      </c>
      <c r="I1831" s="805">
        <v>23.35</v>
      </c>
      <c r="J1831" s="805">
        <v>2351.16</v>
      </c>
      <c r="K1831" s="805">
        <v>5838.5780000000004</v>
      </c>
    </row>
    <row r="1832" spans="3:11">
      <c r="C1832" s="861">
        <v>42782</v>
      </c>
      <c r="D1832" s="805">
        <v>36.409999999999997</v>
      </c>
      <c r="E1832" s="805">
        <v>26.8125</v>
      </c>
      <c r="F1832" s="806">
        <v>12.97</v>
      </c>
      <c r="G1832" s="805">
        <v>6.1405503752558603</v>
      </c>
      <c r="H1832" s="805">
        <v>208.18</v>
      </c>
      <c r="I1832" s="805">
        <v>22.98</v>
      </c>
      <c r="J1832" s="805">
        <v>2347.2199999999998</v>
      </c>
      <c r="K1832" s="805">
        <v>5814.9</v>
      </c>
    </row>
    <row r="1833" spans="3:11">
      <c r="C1833" s="861">
        <v>42781</v>
      </c>
      <c r="D1833" s="805">
        <v>36.049999999999997</v>
      </c>
      <c r="E1833" s="805">
        <v>27.25</v>
      </c>
      <c r="F1833" s="806">
        <v>13.3</v>
      </c>
      <c r="G1833" s="805">
        <v>6.1473410310619601</v>
      </c>
      <c r="H1833" s="805">
        <v>205.99</v>
      </c>
      <c r="I1833" s="805">
        <v>23.02</v>
      </c>
      <c r="J1833" s="805">
        <v>2349.25</v>
      </c>
      <c r="K1833" s="805">
        <v>5819.44</v>
      </c>
    </row>
    <row r="1834" spans="3:11">
      <c r="C1834" s="861">
        <v>42780</v>
      </c>
      <c r="D1834" s="805">
        <v>35.93</v>
      </c>
      <c r="E1834" s="805">
        <v>27.195</v>
      </c>
      <c r="F1834" s="806">
        <v>13.26</v>
      </c>
      <c r="G1834" s="805">
        <v>6.0995445673389703</v>
      </c>
      <c r="H1834" s="805">
        <v>205.33</v>
      </c>
      <c r="I1834" s="805">
        <v>23.12</v>
      </c>
      <c r="J1834" s="805">
        <v>2337.58</v>
      </c>
      <c r="K1834" s="805">
        <v>5782.5720000000001</v>
      </c>
    </row>
    <row r="1835" spans="3:11">
      <c r="C1835" s="861">
        <v>42779</v>
      </c>
      <c r="D1835" s="805">
        <v>35.799999999999997</v>
      </c>
      <c r="E1835" s="805">
        <v>27.094999999999999</v>
      </c>
      <c r="F1835" s="806">
        <v>13.49</v>
      </c>
      <c r="G1835" s="805">
        <v>6.0620756547041701</v>
      </c>
      <c r="H1835" s="805">
        <v>206.71</v>
      </c>
      <c r="I1835" s="805">
        <v>23.9</v>
      </c>
      <c r="J1835" s="805">
        <v>2328.25</v>
      </c>
      <c r="K1835" s="805">
        <v>5763.9560000000001</v>
      </c>
    </row>
    <row r="1836" spans="3:11">
      <c r="C1836" s="861">
        <v>42778</v>
      </c>
      <c r="D1836" s="805">
        <v>35.340000000000003</v>
      </c>
      <c r="E1836" s="805">
        <v>28.405000000000001</v>
      </c>
      <c r="F1836" s="806">
        <v>13.58</v>
      </c>
      <c r="G1836" s="805">
        <v>5.99276345545002</v>
      </c>
      <c r="H1836" s="805">
        <v>205.52</v>
      </c>
      <c r="I1836" s="805">
        <v>24.05</v>
      </c>
      <c r="J1836" s="805">
        <v>2316.1</v>
      </c>
      <c r="K1836" s="805">
        <v>5734.1270000000004</v>
      </c>
    </row>
    <row r="1837" spans="3:11">
      <c r="C1837" s="861">
        <v>42777</v>
      </c>
      <c r="D1837" s="805">
        <v>35.340000000000003</v>
      </c>
      <c r="E1837" s="805">
        <v>28.405000000000001</v>
      </c>
      <c r="F1837" s="806">
        <v>13.58</v>
      </c>
      <c r="G1837" s="805">
        <v>5.99276345545002</v>
      </c>
      <c r="H1837" s="805">
        <v>205.52</v>
      </c>
      <c r="I1837" s="805">
        <v>24.05</v>
      </c>
      <c r="J1837" s="805">
        <v>2316.1</v>
      </c>
      <c r="K1837" s="805">
        <v>5734.1270000000004</v>
      </c>
    </row>
    <row r="1838" spans="3:11">
      <c r="C1838" s="861">
        <v>42776</v>
      </c>
      <c r="D1838" s="805">
        <v>35.340000000000003</v>
      </c>
      <c r="E1838" s="805">
        <v>28.405000000000001</v>
      </c>
      <c r="F1838" s="806">
        <v>13.58</v>
      </c>
      <c r="G1838" s="805">
        <v>5.99276345545002</v>
      </c>
      <c r="H1838" s="805">
        <v>205.52</v>
      </c>
      <c r="I1838" s="805">
        <v>24.05</v>
      </c>
      <c r="J1838" s="805">
        <v>2316.1</v>
      </c>
      <c r="K1838" s="805">
        <v>5734.1270000000004</v>
      </c>
    </row>
    <row r="1839" spans="3:11">
      <c r="C1839" s="861">
        <v>42775</v>
      </c>
      <c r="D1839" s="805">
        <v>35.46</v>
      </c>
      <c r="E1839" s="805">
        <v>29.094999999999999</v>
      </c>
      <c r="F1839" s="806">
        <v>13.42</v>
      </c>
      <c r="G1839" s="805">
        <v>5.9278350515463902</v>
      </c>
      <c r="H1839" s="805">
        <v>205.34</v>
      </c>
      <c r="I1839" s="805">
        <v>24.45</v>
      </c>
      <c r="J1839" s="805">
        <v>2307.87</v>
      </c>
      <c r="K1839" s="805">
        <v>5715.18</v>
      </c>
    </row>
    <row r="1840" spans="3:11">
      <c r="C1840" s="861">
        <v>42774</v>
      </c>
      <c r="D1840" s="805">
        <v>36.380000000000003</v>
      </c>
      <c r="E1840" s="805">
        <v>29.6525</v>
      </c>
      <c r="F1840" s="806">
        <v>13.56</v>
      </c>
      <c r="G1840" s="805">
        <v>5.9060186675249398</v>
      </c>
      <c r="H1840" s="805">
        <v>206.89</v>
      </c>
      <c r="I1840" s="805">
        <v>24.21</v>
      </c>
      <c r="J1840" s="805">
        <v>2294.67</v>
      </c>
      <c r="K1840" s="805">
        <v>5682.4539999999997</v>
      </c>
    </row>
    <row r="1841" spans="3:11">
      <c r="C1841" s="861">
        <v>42773</v>
      </c>
      <c r="D1841" s="805">
        <v>36.35</v>
      </c>
      <c r="E1841" s="805">
        <v>29.782499999999999</v>
      </c>
      <c r="F1841" s="806">
        <v>13.29</v>
      </c>
      <c r="G1841" s="805">
        <v>5.9443263096849002</v>
      </c>
      <c r="H1841" s="805">
        <v>205.91</v>
      </c>
      <c r="I1841" s="805">
        <v>24.6</v>
      </c>
      <c r="J1841" s="805">
        <v>2293.08</v>
      </c>
      <c r="K1841" s="805">
        <v>5674.2169999999996</v>
      </c>
    </row>
    <row r="1842" spans="3:11">
      <c r="C1842" s="861">
        <v>42772</v>
      </c>
      <c r="D1842" s="805">
        <v>36.270000000000003</v>
      </c>
      <c r="E1842" s="805">
        <v>29.327500000000001</v>
      </c>
      <c r="F1842" s="806">
        <v>13.63</v>
      </c>
      <c r="G1842" s="805">
        <v>5.98249027237354</v>
      </c>
      <c r="H1842" s="805">
        <v>206.56</v>
      </c>
      <c r="I1842" s="805">
        <v>24.34</v>
      </c>
      <c r="J1842" s="805">
        <v>2292.56</v>
      </c>
      <c r="K1842" s="805">
        <v>5663.5519999999997</v>
      </c>
    </row>
    <row r="1843" spans="3:11">
      <c r="C1843" s="861">
        <v>42771</v>
      </c>
      <c r="D1843" s="805">
        <v>36.520000000000003</v>
      </c>
      <c r="E1843" s="805">
        <v>28.594999999999999</v>
      </c>
      <c r="F1843" s="806">
        <v>12.24</v>
      </c>
      <c r="G1843" s="805">
        <v>5.9881211255720403</v>
      </c>
      <c r="H1843" s="805">
        <v>206.16</v>
      </c>
      <c r="I1843" s="805">
        <v>24.6</v>
      </c>
      <c r="J1843" s="805">
        <v>2297.42</v>
      </c>
      <c r="K1843" s="805">
        <v>5666.7659999999996</v>
      </c>
    </row>
    <row r="1844" spans="3:11">
      <c r="C1844" s="861">
        <v>42770</v>
      </c>
      <c r="D1844" s="805">
        <v>36.520000000000003</v>
      </c>
      <c r="E1844" s="805">
        <v>28.594999999999999</v>
      </c>
      <c r="F1844" s="806">
        <v>12.24</v>
      </c>
      <c r="G1844" s="805">
        <v>5.9881211255720403</v>
      </c>
      <c r="H1844" s="805">
        <v>206.16</v>
      </c>
      <c r="I1844" s="805">
        <v>24.6</v>
      </c>
      <c r="J1844" s="805">
        <v>2297.42</v>
      </c>
      <c r="K1844" s="805">
        <v>5666.7659999999996</v>
      </c>
    </row>
    <row r="1845" spans="3:11">
      <c r="C1845" s="861">
        <v>42769</v>
      </c>
      <c r="D1845" s="805">
        <v>36.520000000000003</v>
      </c>
      <c r="E1845" s="805">
        <v>28.594999999999999</v>
      </c>
      <c r="F1845" s="806">
        <v>12.24</v>
      </c>
      <c r="G1845" s="805">
        <v>5.9881211255720403</v>
      </c>
      <c r="H1845" s="805">
        <v>206.16</v>
      </c>
      <c r="I1845" s="805">
        <v>24.6</v>
      </c>
      <c r="J1845" s="805">
        <v>2297.42</v>
      </c>
      <c r="K1845" s="805">
        <v>5666.7659999999996</v>
      </c>
    </row>
    <row r="1846" spans="3:11">
      <c r="C1846" s="861">
        <v>42768</v>
      </c>
      <c r="D1846" s="805">
        <v>36.68</v>
      </c>
      <c r="E1846" s="805">
        <v>28.8475</v>
      </c>
      <c r="F1846" s="806">
        <v>12.28</v>
      </c>
      <c r="G1846" s="805">
        <v>5.9364844428713903</v>
      </c>
      <c r="H1846" s="805">
        <v>204.05</v>
      </c>
      <c r="I1846" s="805">
        <v>24.79</v>
      </c>
      <c r="J1846" s="805">
        <v>2280.85</v>
      </c>
      <c r="K1846" s="805">
        <v>5636.1970000000001</v>
      </c>
    </row>
    <row r="1847" spans="3:11">
      <c r="C1847" s="861">
        <v>42767</v>
      </c>
      <c r="D1847" s="805">
        <v>36.520000000000003</v>
      </c>
      <c r="E1847" s="805">
        <v>28.487500000000001</v>
      </c>
      <c r="F1847" s="806">
        <v>12.06</v>
      </c>
      <c r="G1847" s="805">
        <v>5.9127275045421204</v>
      </c>
      <c r="H1847" s="805">
        <v>203.69</v>
      </c>
      <c r="I1847" s="805">
        <v>24.75</v>
      </c>
      <c r="J1847" s="805">
        <v>2279.5500000000002</v>
      </c>
      <c r="K1847" s="805">
        <v>5642.6509999999998</v>
      </c>
    </row>
    <row r="1848" spans="3:11">
      <c r="C1848" s="861">
        <v>42766</v>
      </c>
      <c r="D1848" s="805">
        <v>36.82</v>
      </c>
      <c r="E1848" s="805">
        <v>27.295000000000002</v>
      </c>
      <c r="F1848" s="806">
        <v>10.37</v>
      </c>
      <c r="G1848" s="805">
        <v>5.9127275045421204</v>
      </c>
      <c r="H1848" s="805">
        <v>199.5</v>
      </c>
      <c r="I1848" s="805">
        <v>24.11</v>
      </c>
      <c r="J1848" s="805">
        <v>2278.87</v>
      </c>
      <c r="K1848" s="805">
        <v>5614.7860000000001</v>
      </c>
    </row>
    <row r="1849" spans="3:11">
      <c r="C1849" s="861">
        <v>42765</v>
      </c>
      <c r="D1849" s="805">
        <v>37.42</v>
      </c>
      <c r="E1849" s="805">
        <v>27.504999999999999</v>
      </c>
      <c r="F1849" s="806">
        <v>10.61</v>
      </c>
      <c r="G1849" s="805">
        <v>5.9127275045421204</v>
      </c>
      <c r="H1849" s="805">
        <v>203.22</v>
      </c>
      <c r="I1849" s="805">
        <v>24.18</v>
      </c>
      <c r="J1849" s="805">
        <v>2280.9</v>
      </c>
      <c r="K1849" s="805">
        <v>5613.7120000000004</v>
      </c>
    </row>
    <row r="1850" spans="3:11">
      <c r="C1850" s="861">
        <v>42764</v>
      </c>
      <c r="D1850" s="805">
        <v>37.979999999999997</v>
      </c>
      <c r="E1850" s="805">
        <v>27.942499999999999</v>
      </c>
      <c r="F1850" s="806">
        <v>10.67</v>
      </c>
      <c r="G1850" s="805">
        <v>5.9127275045421204</v>
      </c>
      <c r="H1850" s="805">
        <v>205.71</v>
      </c>
      <c r="I1850" s="805">
        <v>23.97</v>
      </c>
      <c r="J1850" s="805">
        <v>2294.69</v>
      </c>
      <c r="K1850" s="805">
        <v>5660.7820000000002</v>
      </c>
    </row>
    <row r="1851" spans="3:11">
      <c r="C1851" s="861">
        <v>42763</v>
      </c>
      <c r="D1851" s="805">
        <v>37.979999999999997</v>
      </c>
      <c r="E1851" s="805">
        <v>27.942499999999999</v>
      </c>
      <c r="F1851" s="806">
        <v>10.67</v>
      </c>
      <c r="G1851" s="805">
        <v>5.9127275045421204</v>
      </c>
      <c r="H1851" s="805">
        <v>205.71</v>
      </c>
      <c r="I1851" s="805">
        <v>23.97</v>
      </c>
      <c r="J1851" s="805">
        <v>2294.69</v>
      </c>
      <c r="K1851" s="805">
        <v>5660.7820000000002</v>
      </c>
    </row>
    <row r="1852" spans="3:11">
      <c r="C1852" s="861">
        <v>42762</v>
      </c>
      <c r="D1852" s="805">
        <v>37.979999999999997</v>
      </c>
      <c r="E1852" s="805">
        <v>27.942499999999999</v>
      </c>
      <c r="F1852" s="806">
        <v>10.67</v>
      </c>
      <c r="G1852" s="805">
        <v>5.9127275045421204</v>
      </c>
      <c r="H1852" s="805">
        <v>205.71</v>
      </c>
      <c r="I1852" s="805">
        <v>23.97</v>
      </c>
      <c r="J1852" s="805">
        <v>2294.69</v>
      </c>
      <c r="K1852" s="805">
        <v>5660.7820000000002</v>
      </c>
    </row>
    <row r="1853" spans="3:11">
      <c r="C1853" s="861">
        <v>42761</v>
      </c>
      <c r="D1853" s="805">
        <v>37.56</v>
      </c>
      <c r="E1853" s="805">
        <v>27.412500000000001</v>
      </c>
      <c r="F1853" s="806">
        <v>10.52</v>
      </c>
      <c r="G1853" s="805">
        <v>5.9127275045421204</v>
      </c>
      <c r="H1853" s="805">
        <v>204.17</v>
      </c>
      <c r="I1853" s="805">
        <v>23.52</v>
      </c>
      <c r="J1853" s="805">
        <v>2296.6799999999998</v>
      </c>
      <c r="K1853" s="805">
        <v>5655.1760000000004</v>
      </c>
    </row>
    <row r="1854" spans="3:11">
      <c r="C1854" s="861">
        <v>42760</v>
      </c>
      <c r="D1854" s="805">
        <v>37.799999999999997</v>
      </c>
      <c r="E1854" s="805">
        <v>26.947500000000002</v>
      </c>
      <c r="F1854" s="806">
        <v>10.35</v>
      </c>
      <c r="G1854" s="805">
        <v>5.9127275045421204</v>
      </c>
      <c r="H1854" s="805">
        <v>202.48</v>
      </c>
      <c r="I1854" s="805">
        <v>23.56</v>
      </c>
      <c r="J1854" s="805">
        <v>2298.37</v>
      </c>
      <c r="K1854" s="805">
        <v>5656.3389999999999</v>
      </c>
    </row>
    <row r="1855" spans="3:11">
      <c r="C1855" s="861">
        <v>42759</v>
      </c>
      <c r="D1855" s="805">
        <v>37.619999999999997</v>
      </c>
      <c r="E1855" s="805">
        <v>26.8325</v>
      </c>
      <c r="F1855" s="806">
        <v>10.44</v>
      </c>
      <c r="G1855" s="805">
        <v>5.9127275045421204</v>
      </c>
      <c r="H1855" s="805">
        <v>197.75</v>
      </c>
      <c r="I1855" s="805">
        <v>22.85</v>
      </c>
      <c r="J1855" s="805">
        <v>2280.0700000000002</v>
      </c>
      <c r="K1855" s="805">
        <v>5600.9570000000003</v>
      </c>
    </row>
    <row r="1856" spans="3:11">
      <c r="C1856" s="861">
        <v>42758</v>
      </c>
      <c r="D1856" s="805">
        <v>36.770000000000003</v>
      </c>
      <c r="E1856" s="805">
        <v>26.272500000000001</v>
      </c>
      <c r="F1856" s="806">
        <v>9.91</v>
      </c>
      <c r="G1856" s="805">
        <v>5.9077119591250202</v>
      </c>
      <c r="H1856" s="805">
        <v>191</v>
      </c>
      <c r="I1856" s="805">
        <v>21.89</v>
      </c>
      <c r="J1856" s="805">
        <v>2265.1999999999998</v>
      </c>
      <c r="K1856" s="805">
        <v>5552.9430000000002</v>
      </c>
    </row>
    <row r="1857" spans="3:11">
      <c r="C1857" s="861">
        <v>42757</v>
      </c>
      <c r="D1857" s="805">
        <v>36.94</v>
      </c>
      <c r="E1857" s="805">
        <v>26.002500000000001</v>
      </c>
      <c r="F1857" s="806">
        <v>9.75</v>
      </c>
      <c r="G1857" s="805">
        <v>5.7460317460317496</v>
      </c>
      <c r="H1857" s="805">
        <v>191.08</v>
      </c>
      <c r="I1857" s="805">
        <v>21.96</v>
      </c>
      <c r="J1857" s="805">
        <v>2271.31</v>
      </c>
      <c r="K1857" s="805">
        <v>5555.3339999999998</v>
      </c>
    </row>
    <row r="1858" spans="3:11">
      <c r="C1858" s="861">
        <v>42756</v>
      </c>
      <c r="D1858" s="805">
        <v>36.94</v>
      </c>
      <c r="E1858" s="805">
        <v>26.002500000000001</v>
      </c>
      <c r="F1858" s="806">
        <v>9.75</v>
      </c>
      <c r="G1858" s="805">
        <v>5.7460317460317496</v>
      </c>
      <c r="H1858" s="805">
        <v>191.08</v>
      </c>
      <c r="I1858" s="805">
        <v>21.96</v>
      </c>
      <c r="J1858" s="805">
        <v>2271.31</v>
      </c>
      <c r="K1858" s="805">
        <v>5555.3339999999998</v>
      </c>
    </row>
    <row r="1859" spans="3:11">
      <c r="C1859" s="861">
        <v>42755</v>
      </c>
      <c r="D1859" s="805">
        <v>36.94</v>
      </c>
      <c r="E1859" s="805">
        <v>26.002500000000001</v>
      </c>
      <c r="F1859" s="806">
        <v>9.75</v>
      </c>
      <c r="G1859" s="805">
        <v>5.7460317460317496</v>
      </c>
      <c r="H1859" s="805">
        <v>191.08</v>
      </c>
      <c r="I1859" s="805">
        <v>21.96</v>
      </c>
      <c r="J1859" s="805">
        <v>2271.31</v>
      </c>
      <c r="K1859" s="805">
        <v>5555.3339999999998</v>
      </c>
    </row>
    <row r="1860" spans="3:11">
      <c r="C1860" s="861">
        <v>42754</v>
      </c>
      <c r="D1860" s="805">
        <v>36.57</v>
      </c>
      <c r="E1860" s="805">
        <v>26.29</v>
      </c>
      <c r="F1860" s="806">
        <v>9.77</v>
      </c>
      <c r="G1860" s="805">
        <v>5.7210776545166402</v>
      </c>
      <c r="H1860" s="805">
        <v>185.56</v>
      </c>
      <c r="I1860" s="805">
        <v>21.71</v>
      </c>
      <c r="J1860" s="805">
        <v>2263.69</v>
      </c>
      <c r="K1860" s="805">
        <v>5540.0810000000001</v>
      </c>
    </row>
    <row r="1861" spans="3:11">
      <c r="C1861" s="861">
        <v>42753</v>
      </c>
      <c r="D1861" s="805">
        <v>36.76</v>
      </c>
      <c r="E1861" s="805">
        <v>25.737500000000001</v>
      </c>
      <c r="F1861" s="806">
        <v>9.8800000000000008</v>
      </c>
      <c r="G1861" s="805">
        <v>5.70941896410321</v>
      </c>
      <c r="H1861" s="805">
        <v>185.02</v>
      </c>
      <c r="I1861" s="805">
        <v>22.32</v>
      </c>
      <c r="J1861" s="805">
        <v>2271.89</v>
      </c>
      <c r="K1861" s="805">
        <v>5555.6540000000005</v>
      </c>
    </row>
    <row r="1862" spans="3:11">
      <c r="C1862" s="861">
        <v>42752</v>
      </c>
      <c r="D1862" s="805">
        <v>36.799999999999997</v>
      </c>
      <c r="E1862" s="805">
        <v>25.2775</v>
      </c>
      <c r="F1862" s="806">
        <v>9.82</v>
      </c>
      <c r="G1862" s="805">
        <v>5.7689243027888404</v>
      </c>
      <c r="H1862" s="805">
        <v>179.11</v>
      </c>
      <c r="I1862" s="805">
        <v>21.74</v>
      </c>
      <c r="J1862" s="805">
        <v>2267.89</v>
      </c>
      <c r="K1862" s="805">
        <v>5538.7269999999999</v>
      </c>
    </row>
    <row r="1863" spans="3:11">
      <c r="C1863" s="861">
        <v>42751</v>
      </c>
      <c r="D1863" s="805">
        <v>36.79</v>
      </c>
      <c r="E1863" s="805">
        <v>25.857500000000002</v>
      </c>
      <c r="F1863" s="806">
        <v>10.58</v>
      </c>
      <c r="G1863" s="805">
        <v>5.6660353535353503</v>
      </c>
      <c r="H1863" s="805">
        <v>180.45</v>
      </c>
      <c r="I1863" s="805">
        <v>22.18</v>
      </c>
      <c r="J1863" s="805">
        <v>2274.64</v>
      </c>
      <c r="K1863" s="805">
        <v>5574.116</v>
      </c>
    </row>
    <row r="1864" spans="3:11">
      <c r="C1864" s="861">
        <v>42750</v>
      </c>
      <c r="D1864" s="805">
        <v>36.79</v>
      </c>
      <c r="E1864" s="805">
        <v>25.857500000000002</v>
      </c>
      <c r="F1864" s="806">
        <v>10.58</v>
      </c>
      <c r="G1864" s="805">
        <v>5.7509505703422104</v>
      </c>
      <c r="H1864" s="805">
        <v>180.45</v>
      </c>
      <c r="I1864" s="805">
        <v>22.18</v>
      </c>
      <c r="J1864" s="805">
        <v>2274.64</v>
      </c>
      <c r="K1864" s="805">
        <v>5574.116</v>
      </c>
    </row>
    <row r="1865" spans="3:11">
      <c r="C1865" s="861">
        <v>42749</v>
      </c>
      <c r="D1865" s="805">
        <v>36.79</v>
      </c>
      <c r="E1865" s="805">
        <v>25.857500000000002</v>
      </c>
      <c r="F1865" s="806">
        <v>10.58</v>
      </c>
      <c r="G1865" s="805">
        <v>5.7509505703422104</v>
      </c>
      <c r="H1865" s="805">
        <v>180.45</v>
      </c>
      <c r="I1865" s="805">
        <v>22.18</v>
      </c>
      <c r="J1865" s="805">
        <v>2274.64</v>
      </c>
      <c r="K1865" s="805">
        <v>5574.116</v>
      </c>
    </row>
    <row r="1866" spans="3:11">
      <c r="C1866" s="861">
        <v>42748</v>
      </c>
      <c r="D1866" s="805">
        <v>36.79</v>
      </c>
      <c r="E1866" s="805">
        <v>25.857500000000002</v>
      </c>
      <c r="F1866" s="806">
        <v>10.58</v>
      </c>
      <c r="G1866" s="805">
        <v>5.7509505703422104</v>
      </c>
      <c r="H1866" s="805">
        <v>180.45</v>
      </c>
      <c r="I1866" s="805">
        <v>22.18</v>
      </c>
      <c r="J1866" s="805">
        <v>2274.64</v>
      </c>
      <c r="K1866" s="805">
        <v>5574.116</v>
      </c>
    </row>
    <row r="1867" spans="3:11">
      <c r="C1867" s="861">
        <v>42747</v>
      </c>
      <c r="D1867" s="805">
        <v>36.71</v>
      </c>
      <c r="E1867" s="805">
        <v>25.86</v>
      </c>
      <c r="F1867" s="806">
        <v>10.76</v>
      </c>
      <c r="G1867" s="805">
        <v>5.8411954663458499</v>
      </c>
      <c r="H1867" s="805">
        <v>178.86</v>
      </c>
      <c r="I1867" s="805">
        <v>22.31</v>
      </c>
      <c r="J1867" s="805">
        <v>2270.44</v>
      </c>
      <c r="K1867" s="805">
        <v>5547.4870000000001</v>
      </c>
    </row>
    <row r="1868" spans="3:11">
      <c r="C1868" s="861">
        <v>42746</v>
      </c>
      <c r="D1868" s="805">
        <v>36.950000000000003</v>
      </c>
      <c r="E1868" s="805">
        <v>26.29</v>
      </c>
      <c r="F1868" s="806">
        <v>11.2</v>
      </c>
      <c r="G1868" s="805">
        <v>5.7377049180327901</v>
      </c>
      <c r="H1868" s="805">
        <v>179.42</v>
      </c>
      <c r="I1868" s="805">
        <v>22.79</v>
      </c>
      <c r="J1868" s="805">
        <v>2275.3200000000002</v>
      </c>
      <c r="K1868" s="805">
        <v>5563.65</v>
      </c>
    </row>
    <row r="1869" spans="3:11">
      <c r="C1869" s="861">
        <v>42745</v>
      </c>
      <c r="D1869" s="805">
        <v>36.54</v>
      </c>
      <c r="E1869" s="805">
        <v>26.6175</v>
      </c>
      <c r="F1869" s="806">
        <v>11.44</v>
      </c>
      <c r="G1869" s="805">
        <v>5.7627861818409603</v>
      </c>
      <c r="H1869" s="805">
        <v>180.57</v>
      </c>
      <c r="I1869" s="805">
        <v>22.48</v>
      </c>
      <c r="J1869" s="805">
        <v>2268.9</v>
      </c>
      <c r="K1869" s="805">
        <v>5551.8190000000004</v>
      </c>
    </row>
    <row r="1870" spans="3:11">
      <c r="C1870" s="861">
        <v>42744</v>
      </c>
      <c r="D1870" s="805">
        <v>36.61</v>
      </c>
      <c r="E1870" s="805">
        <v>26.82</v>
      </c>
      <c r="F1870" s="806">
        <v>11.49</v>
      </c>
      <c r="G1870" s="805">
        <v>5.7378071597854596</v>
      </c>
      <c r="H1870" s="805">
        <v>176.97</v>
      </c>
      <c r="I1870" s="805">
        <v>22.34</v>
      </c>
      <c r="J1870" s="805">
        <v>2268.9</v>
      </c>
      <c r="K1870" s="805">
        <v>5531.8180000000002</v>
      </c>
    </row>
    <row r="1871" spans="3:11">
      <c r="C1871" s="861">
        <v>42743</v>
      </c>
      <c r="D1871" s="805">
        <v>36.479999999999997</v>
      </c>
      <c r="E1871" s="805">
        <v>25.774999999999999</v>
      </c>
      <c r="F1871" s="806">
        <v>11.32</v>
      </c>
      <c r="G1871" s="805">
        <v>5.75</v>
      </c>
      <c r="H1871" s="805">
        <v>176.59</v>
      </c>
      <c r="I1871" s="805">
        <v>22.04</v>
      </c>
      <c r="J1871" s="805">
        <v>2276.98</v>
      </c>
      <c r="K1871" s="805">
        <v>5521.0550000000003</v>
      </c>
    </row>
    <row r="1872" spans="3:11">
      <c r="C1872" s="861">
        <v>42742</v>
      </c>
      <c r="D1872" s="805">
        <v>36.479999999999997</v>
      </c>
      <c r="E1872" s="805">
        <v>25.774999999999999</v>
      </c>
      <c r="F1872" s="806">
        <v>11.32</v>
      </c>
      <c r="G1872" s="805">
        <v>5.75</v>
      </c>
      <c r="H1872" s="805">
        <v>176.59</v>
      </c>
      <c r="I1872" s="805">
        <v>22.04</v>
      </c>
      <c r="J1872" s="805">
        <v>2276.98</v>
      </c>
      <c r="K1872" s="805">
        <v>5521.0550000000003</v>
      </c>
    </row>
    <row r="1873" spans="3:11">
      <c r="C1873" s="861">
        <v>42741</v>
      </c>
      <c r="D1873" s="805">
        <v>36.479999999999997</v>
      </c>
      <c r="E1873" s="805">
        <v>25.774999999999999</v>
      </c>
      <c r="F1873" s="806">
        <v>11.32</v>
      </c>
      <c r="G1873" s="805">
        <v>5.75</v>
      </c>
      <c r="H1873" s="805">
        <v>176.59</v>
      </c>
      <c r="I1873" s="805">
        <v>22.04</v>
      </c>
      <c r="J1873" s="805">
        <v>2276.98</v>
      </c>
      <c r="K1873" s="805">
        <v>5521.0550000000003</v>
      </c>
    </row>
    <row r="1874" spans="3:11">
      <c r="C1874" s="861">
        <v>42740</v>
      </c>
      <c r="D1874" s="805">
        <v>36.35</v>
      </c>
      <c r="E1874" s="805">
        <v>25.434999999999999</v>
      </c>
      <c r="F1874" s="806">
        <v>11.24</v>
      </c>
      <c r="G1874" s="805">
        <v>5.7706217176640804</v>
      </c>
      <c r="H1874" s="805">
        <v>174.28</v>
      </c>
      <c r="I1874" s="805">
        <v>22.11</v>
      </c>
      <c r="J1874" s="805">
        <v>2269</v>
      </c>
      <c r="K1874" s="805">
        <v>5487.9350000000004</v>
      </c>
    </row>
    <row r="1875" spans="3:11">
      <c r="C1875" s="861">
        <v>42739</v>
      </c>
      <c r="D1875" s="805">
        <v>36.409999999999997</v>
      </c>
      <c r="E1875" s="805">
        <v>26.0975</v>
      </c>
      <c r="F1875" s="806">
        <v>11.43</v>
      </c>
      <c r="G1875" s="805">
        <v>5.6841124398198497</v>
      </c>
      <c r="H1875" s="805">
        <v>177.07</v>
      </c>
      <c r="I1875" s="805">
        <v>22.36</v>
      </c>
      <c r="J1875" s="805">
        <v>2270.75</v>
      </c>
      <c r="K1875" s="805">
        <v>5477.0050000000001</v>
      </c>
    </row>
    <row r="1876" spans="3:11">
      <c r="C1876" s="861">
        <v>42738</v>
      </c>
      <c r="D1876" s="805">
        <v>36.6</v>
      </c>
      <c r="E1876" s="805">
        <v>25.502500000000001</v>
      </c>
      <c r="F1876" s="806">
        <v>11.43</v>
      </c>
      <c r="G1876" s="805">
        <v>5.6700232378001498</v>
      </c>
      <c r="H1876" s="805">
        <v>178.34</v>
      </c>
      <c r="I1876" s="805">
        <v>22.55</v>
      </c>
      <c r="J1876" s="805">
        <v>2257.83</v>
      </c>
      <c r="K1876" s="805">
        <v>5429.0839999999998</v>
      </c>
    </row>
    <row r="1877" spans="3:11">
      <c r="C1877" s="861">
        <v>42737</v>
      </c>
      <c r="D1877" s="805">
        <v>36.270000000000003</v>
      </c>
      <c r="E1877" s="805">
        <v>26.684999999999999</v>
      </c>
      <c r="F1877" s="806">
        <v>11.34</v>
      </c>
      <c r="G1877" s="805">
        <v>5.59511698880977</v>
      </c>
      <c r="H1877" s="805">
        <v>176.77</v>
      </c>
      <c r="I1877" s="805">
        <v>21.92</v>
      </c>
      <c r="J1877" s="805">
        <v>2238.83</v>
      </c>
      <c r="K1877" s="805">
        <v>5383.1170000000002</v>
      </c>
    </row>
    <row r="1878" spans="3:11">
      <c r="C1878" s="861">
        <v>42736</v>
      </c>
      <c r="D1878" s="805">
        <v>36.270000000000003</v>
      </c>
      <c r="E1878" s="805">
        <v>26.684999999999999</v>
      </c>
      <c r="F1878" s="806">
        <v>11.34</v>
      </c>
      <c r="G1878" s="805">
        <v>5.59511698880977</v>
      </c>
      <c r="H1878" s="805">
        <v>176.77</v>
      </c>
      <c r="I1878" s="805">
        <v>21.92</v>
      </c>
      <c r="J1878" s="805">
        <v>2238.83</v>
      </c>
      <c r="K1878" s="805">
        <v>5383.1170000000002</v>
      </c>
    </row>
    <row r="1879" spans="3:11">
      <c r="C1879" s="861">
        <v>42735</v>
      </c>
      <c r="D1879" s="805">
        <v>36.270000000000003</v>
      </c>
      <c r="E1879" s="805">
        <v>26.684999999999999</v>
      </c>
      <c r="F1879" s="806">
        <v>11.34</v>
      </c>
      <c r="G1879" s="805">
        <v>5.59511698880977</v>
      </c>
      <c r="H1879" s="805">
        <v>176.77</v>
      </c>
      <c r="I1879" s="805">
        <v>21.92</v>
      </c>
      <c r="J1879" s="805">
        <v>2238.83</v>
      </c>
      <c r="K1879" s="805">
        <v>5383.1170000000002</v>
      </c>
    </row>
    <row r="1880" spans="3:11">
      <c r="C1880" s="861">
        <v>42734</v>
      </c>
      <c r="D1880" s="805">
        <v>36.270000000000003</v>
      </c>
      <c r="E1880" s="805">
        <v>26.684999999999999</v>
      </c>
      <c r="F1880" s="806">
        <v>11.34</v>
      </c>
      <c r="G1880" s="805">
        <v>5.59511698880977</v>
      </c>
      <c r="H1880" s="805">
        <v>176.77</v>
      </c>
      <c r="I1880" s="805">
        <v>21.92</v>
      </c>
      <c r="J1880" s="805">
        <v>2238.83</v>
      </c>
      <c r="K1880" s="805">
        <v>5383.1170000000002</v>
      </c>
    </row>
    <row r="1881" spans="3:11">
      <c r="C1881" s="861">
        <v>42733</v>
      </c>
      <c r="D1881" s="805">
        <v>36.659999999999997</v>
      </c>
      <c r="E1881" s="805">
        <v>27.857500000000002</v>
      </c>
      <c r="F1881" s="806">
        <v>11.59</v>
      </c>
      <c r="G1881" s="805">
        <v>5.5788005578800597</v>
      </c>
      <c r="H1881" s="805">
        <v>179.87</v>
      </c>
      <c r="I1881" s="805">
        <v>22.27</v>
      </c>
      <c r="J1881" s="805">
        <v>2249.2600000000002</v>
      </c>
      <c r="K1881" s="805">
        <v>5432.0879999999997</v>
      </c>
    </row>
    <row r="1882" spans="3:11">
      <c r="C1882" s="861">
        <v>42732</v>
      </c>
      <c r="D1882" s="805">
        <v>36.630000000000003</v>
      </c>
      <c r="E1882" s="805">
        <v>27.3125</v>
      </c>
      <c r="F1882" s="806">
        <v>11.55</v>
      </c>
      <c r="G1882" s="805">
        <v>5.6138186304750199</v>
      </c>
      <c r="H1882" s="805">
        <v>180.19</v>
      </c>
      <c r="I1882" s="805">
        <v>22.78</v>
      </c>
      <c r="J1882" s="805">
        <v>2249.92</v>
      </c>
      <c r="K1882" s="805">
        <v>5438.5550000000003</v>
      </c>
    </row>
    <row r="1883" spans="3:11">
      <c r="C1883" s="861">
        <v>42731</v>
      </c>
      <c r="D1883" s="805">
        <v>37.07</v>
      </c>
      <c r="E1883" s="805">
        <v>29.33</v>
      </c>
      <c r="F1883" s="806">
        <v>12.07</v>
      </c>
      <c r="G1883" s="805">
        <v>5.5812222876810003</v>
      </c>
      <c r="H1883" s="805">
        <v>182.31</v>
      </c>
      <c r="I1883" s="805">
        <v>23.3</v>
      </c>
      <c r="J1883" s="805">
        <v>2268.88</v>
      </c>
      <c r="K1883" s="805">
        <v>5487.4409999999998</v>
      </c>
    </row>
    <row r="1884" spans="3:11">
      <c r="C1884" s="861">
        <v>42730</v>
      </c>
      <c r="D1884" s="805">
        <v>36.97</v>
      </c>
      <c r="E1884" s="805">
        <v>27.445</v>
      </c>
      <c r="F1884" s="806">
        <v>11.58</v>
      </c>
      <c r="G1884" s="805">
        <v>5.5736686849868002</v>
      </c>
      <c r="H1884" s="805">
        <v>181.94</v>
      </c>
      <c r="I1884" s="805">
        <v>23.26</v>
      </c>
      <c r="J1884" s="805">
        <v>2263.79</v>
      </c>
      <c r="K1884" s="805">
        <v>5462.6890000000003</v>
      </c>
    </row>
    <row r="1885" spans="3:11">
      <c r="C1885" s="861">
        <v>42729</v>
      </c>
      <c r="D1885" s="805">
        <v>36.97</v>
      </c>
      <c r="E1885" s="805">
        <v>27.445</v>
      </c>
      <c r="F1885" s="806">
        <v>11.58</v>
      </c>
      <c r="G1885" s="805">
        <v>5.5534814261713699</v>
      </c>
      <c r="H1885" s="805">
        <v>181.94</v>
      </c>
      <c r="I1885" s="805">
        <v>23.26</v>
      </c>
      <c r="J1885" s="805">
        <v>2263.79</v>
      </c>
      <c r="K1885" s="805">
        <v>5462.6890000000003</v>
      </c>
    </row>
    <row r="1886" spans="3:11">
      <c r="C1886" s="861">
        <v>42728</v>
      </c>
      <c r="D1886" s="805">
        <v>36.97</v>
      </c>
      <c r="E1886" s="805">
        <v>27.445</v>
      </c>
      <c r="F1886" s="806">
        <v>11.58</v>
      </c>
      <c r="G1886" s="805">
        <v>5.5534814261713699</v>
      </c>
      <c r="H1886" s="805">
        <v>181.94</v>
      </c>
      <c r="I1886" s="805">
        <v>23.26</v>
      </c>
      <c r="J1886" s="805">
        <v>2263.79</v>
      </c>
      <c r="K1886" s="805">
        <v>5462.6890000000003</v>
      </c>
    </row>
    <row r="1887" spans="3:11">
      <c r="C1887" s="861">
        <v>42727</v>
      </c>
      <c r="D1887" s="805">
        <v>36.97</v>
      </c>
      <c r="E1887" s="805">
        <v>27.445</v>
      </c>
      <c r="F1887" s="806">
        <v>11.58</v>
      </c>
      <c r="G1887" s="805">
        <v>5.5534814261713699</v>
      </c>
      <c r="H1887" s="805">
        <v>181.94</v>
      </c>
      <c r="I1887" s="805">
        <v>23.26</v>
      </c>
      <c r="J1887" s="805">
        <v>2263.79</v>
      </c>
      <c r="K1887" s="805">
        <v>5462.6890000000003</v>
      </c>
    </row>
    <row r="1888" spans="3:11">
      <c r="C1888" s="861">
        <v>42726</v>
      </c>
      <c r="D1888" s="805">
        <v>36.93</v>
      </c>
      <c r="E1888" s="805">
        <v>26.7775</v>
      </c>
      <c r="F1888" s="806">
        <v>11.6</v>
      </c>
      <c r="G1888" s="805">
        <v>5.5652282054470801</v>
      </c>
      <c r="H1888" s="805">
        <v>180.6</v>
      </c>
      <c r="I1888" s="805">
        <v>23.19</v>
      </c>
      <c r="J1888" s="805">
        <v>2260.96</v>
      </c>
      <c r="K1888" s="805">
        <v>5447.4219999999996</v>
      </c>
    </row>
    <row r="1889" spans="3:11">
      <c r="C1889" s="861">
        <v>42725</v>
      </c>
      <c r="D1889" s="805">
        <v>36.979999999999997</v>
      </c>
      <c r="E1889" s="805">
        <v>26.4575</v>
      </c>
      <c r="F1889" s="806">
        <v>11.47</v>
      </c>
      <c r="G1889" s="805">
        <v>5.625</v>
      </c>
      <c r="H1889" s="805">
        <v>182.29</v>
      </c>
      <c r="I1889" s="805">
        <v>20.58</v>
      </c>
      <c r="J1889" s="805">
        <v>2265.1799999999998</v>
      </c>
      <c r="K1889" s="805">
        <v>5471.433</v>
      </c>
    </row>
    <row r="1890" spans="3:11">
      <c r="C1890" s="861">
        <v>42724</v>
      </c>
      <c r="D1890" s="805">
        <v>37.21</v>
      </c>
      <c r="E1890" s="805">
        <v>26.2925</v>
      </c>
      <c r="F1890" s="806">
        <v>11.51</v>
      </c>
      <c r="G1890" s="805">
        <v>5.7013433302093102</v>
      </c>
      <c r="H1890" s="805">
        <v>182.07</v>
      </c>
      <c r="I1890" s="805">
        <v>20.65</v>
      </c>
      <c r="J1890" s="805">
        <v>2270.7600000000002</v>
      </c>
      <c r="K1890" s="805">
        <v>5483.9440000000004</v>
      </c>
    </row>
    <row r="1891" spans="3:11">
      <c r="C1891" s="861">
        <v>42723</v>
      </c>
      <c r="D1891" s="805">
        <v>36.89</v>
      </c>
      <c r="E1891" s="805">
        <v>25.407499999999999</v>
      </c>
      <c r="F1891" s="806">
        <v>10.95</v>
      </c>
      <c r="G1891" s="805">
        <v>5.7120500782472599</v>
      </c>
      <c r="H1891" s="805">
        <v>180.46</v>
      </c>
      <c r="I1891" s="805">
        <v>20.350000000000001</v>
      </c>
      <c r="J1891" s="805">
        <v>2262.5300000000002</v>
      </c>
      <c r="K1891" s="805">
        <v>5457.4409999999998</v>
      </c>
    </row>
    <row r="1892" spans="3:11">
      <c r="C1892" s="861">
        <v>42722</v>
      </c>
      <c r="D1892" s="805">
        <v>36.31</v>
      </c>
      <c r="E1892" s="805">
        <v>25.102499999999999</v>
      </c>
      <c r="F1892" s="806">
        <v>10.66</v>
      </c>
      <c r="G1892" s="805">
        <v>5.7817920430040299</v>
      </c>
      <c r="H1892" s="805">
        <v>178.42</v>
      </c>
      <c r="I1892" s="805">
        <v>20.27</v>
      </c>
      <c r="J1892" s="805">
        <v>2258.0700000000002</v>
      </c>
      <c r="K1892" s="805">
        <v>5437.1620000000003</v>
      </c>
    </row>
    <row r="1893" spans="3:11">
      <c r="C1893" s="861">
        <v>42721</v>
      </c>
      <c r="D1893" s="805">
        <v>36.31</v>
      </c>
      <c r="E1893" s="805">
        <v>25.102499999999999</v>
      </c>
      <c r="F1893" s="806">
        <v>10.66</v>
      </c>
      <c r="G1893" s="805">
        <v>5.7817920430040299</v>
      </c>
      <c r="H1893" s="805">
        <v>178.42</v>
      </c>
      <c r="I1893" s="805">
        <v>20.27</v>
      </c>
      <c r="J1893" s="805">
        <v>2258.0700000000002</v>
      </c>
      <c r="K1893" s="805">
        <v>5437.1620000000003</v>
      </c>
    </row>
    <row r="1894" spans="3:11">
      <c r="C1894" s="861">
        <v>42720</v>
      </c>
      <c r="D1894" s="805">
        <v>36.31</v>
      </c>
      <c r="E1894" s="805">
        <v>25.102499999999999</v>
      </c>
      <c r="F1894" s="806">
        <v>10.66</v>
      </c>
      <c r="G1894" s="805">
        <v>5.7817920430040299</v>
      </c>
      <c r="H1894" s="805">
        <v>178.42</v>
      </c>
      <c r="I1894" s="805">
        <v>20.27</v>
      </c>
      <c r="J1894" s="805">
        <v>2258.0700000000002</v>
      </c>
      <c r="K1894" s="805">
        <v>5437.1620000000003</v>
      </c>
    </row>
    <row r="1895" spans="3:11">
      <c r="C1895" s="861">
        <v>42719</v>
      </c>
      <c r="D1895" s="805">
        <v>36.79</v>
      </c>
      <c r="E1895" s="805">
        <v>24.677499999999998</v>
      </c>
      <c r="F1895" s="806">
        <v>10.86</v>
      </c>
      <c r="G1895" s="805">
        <v>5.8639071809344596</v>
      </c>
      <c r="H1895" s="805">
        <v>180.01</v>
      </c>
      <c r="I1895" s="805">
        <v>20.29</v>
      </c>
      <c r="J1895" s="805">
        <v>2262.0300000000002</v>
      </c>
      <c r="K1895" s="805">
        <v>5456.8549999999996</v>
      </c>
    </row>
    <row r="1896" spans="3:11">
      <c r="C1896" s="861">
        <v>42718</v>
      </c>
      <c r="D1896" s="805">
        <v>36.549999999999997</v>
      </c>
      <c r="E1896" s="805">
        <v>24.112500000000001</v>
      </c>
      <c r="F1896" s="806">
        <v>10.55</v>
      </c>
      <c r="G1896" s="805">
        <v>5.8747963403935302</v>
      </c>
      <c r="H1896" s="805">
        <v>177.62</v>
      </c>
      <c r="I1896" s="805">
        <v>20.02</v>
      </c>
      <c r="J1896" s="805">
        <v>2253.2800000000002</v>
      </c>
      <c r="K1896" s="805">
        <v>5436.6719999999996</v>
      </c>
    </row>
    <row r="1897" spans="3:11">
      <c r="C1897" s="861">
        <v>42717</v>
      </c>
      <c r="D1897" s="805">
        <v>36.799999999999997</v>
      </c>
      <c r="E1897" s="805">
        <v>22.7925</v>
      </c>
      <c r="F1897" s="806">
        <v>10.54</v>
      </c>
      <c r="G1897" s="805">
        <v>5.8584522347160499</v>
      </c>
      <c r="H1897" s="805">
        <v>179.44</v>
      </c>
      <c r="I1897" s="805">
        <v>20.13</v>
      </c>
      <c r="J1897" s="805">
        <v>2271.7199999999998</v>
      </c>
      <c r="K1897" s="805">
        <v>5463.8280000000004</v>
      </c>
    </row>
    <row r="1898" spans="3:11">
      <c r="C1898" s="861">
        <v>42716</v>
      </c>
      <c r="D1898" s="805">
        <v>35.97</v>
      </c>
      <c r="E1898" s="805">
        <v>22.397500000000001</v>
      </c>
      <c r="F1898" s="806">
        <v>10.68</v>
      </c>
      <c r="G1898" s="805">
        <v>5.8221872541306103</v>
      </c>
      <c r="H1898" s="805">
        <v>178.16</v>
      </c>
      <c r="I1898" s="805">
        <v>20.02</v>
      </c>
      <c r="J1898" s="805">
        <v>2256.96</v>
      </c>
      <c r="K1898" s="805">
        <v>5412.54</v>
      </c>
    </row>
    <row r="1899" spans="3:11">
      <c r="C1899" s="861">
        <v>42715</v>
      </c>
      <c r="D1899" s="805">
        <v>35.76</v>
      </c>
      <c r="E1899" s="805">
        <v>22.954999999999998</v>
      </c>
      <c r="F1899" s="806">
        <v>10.34</v>
      </c>
      <c r="G1899" s="805">
        <v>5.8518168947616802</v>
      </c>
      <c r="H1899" s="805">
        <v>179.09</v>
      </c>
      <c r="I1899" s="805">
        <v>20.5</v>
      </c>
      <c r="J1899" s="805">
        <v>2259.5300000000002</v>
      </c>
      <c r="K1899" s="805">
        <v>5444.4979999999996</v>
      </c>
    </row>
    <row r="1900" spans="3:11">
      <c r="C1900" s="861">
        <v>42714</v>
      </c>
      <c r="D1900" s="805">
        <v>35.76</v>
      </c>
      <c r="E1900" s="805">
        <v>22.954999999999998</v>
      </c>
      <c r="F1900" s="806">
        <v>10.34</v>
      </c>
      <c r="G1900" s="805">
        <v>5.8518168947616802</v>
      </c>
      <c r="H1900" s="805">
        <v>179.09</v>
      </c>
      <c r="I1900" s="805">
        <v>20.5</v>
      </c>
      <c r="J1900" s="805">
        <v>2259.5300000000002</v>
      </c>
      <c r="K1900" s="805">
        <v>5444.4979999999996</v>
      </c>
    </row>
    <row r="1901" spans="3:11">
      <c r="C1901" s="861">
        <v>42713</v>
      </c>
      <c r="D1901" s="805">
        <v>35.76</v>
      </c>
      <c r="E1901" s="805">
        <v>22.954999999999998</v>
      </c>
      <c r="F1901" s="806">
        <v>10.34</v>
      </c>
      <c r="G1901" s="805">
        <v>5.8518168947616802</v>
      </c>
      <c r="H1901" s="805">
        <v>179.09</v>
      </c>
      <c r="I1901" s="805">
        <v>20.5</v>
      </c>
      <c r="J1901" s="805">
        <v>2259.5300000000002</v>
      </c>
      <c r="K1901" s="805">
        <v>5444.4979999999996</v>
      </c>
    </row>
    <row r="1902" spans="3:11">
      <c r="C1902" s="861">
        <v>42712</v>
      </c>
      <c r="D1902" s="805">
        <v>35.700000000000003</v>
      </c>
      <c r="E1902" s="805">
        <v>23.37</v>
      </c>
      <c r="F1902" s="806">
        <v>10.34</v>
      </c>
      <c r="G1902" s="805">
        <v>5.8485985433679097</v>
      </c>
      <c r="H1902" s="805">
        <v>170.71</v>
      </c>
      <c r="I1902" s="805">
        <v>20.66</v>
      </c>
      <c r="J1902" s="805">
        <v>2246.19</v>
      </c>
      <c r="K1902" s="805">
        <v>5417.3559999999998</v>
      </c>
    </row>
    <row r="1903" spans="3:11">
      <c r="C1903" s="861">
        <v>42711</v>
      </c>
      <c r="D1903" s="805">
        <v>35.5</v>
      </c>
      <c r="E1903" s="805">
        <v>23.767499999999998</v>
      </c>
      <c r="F1903" s="806">
        <v>9.56</v>
      </c>
      <c r="G1903" s="805">
        <v>5.7248296744890199</v>
      </c>
      <c r="H1903" s="805">
        <v>168.55</v>
      </c>
      <c r="I1903" s="805">
        <v>20.440000000000001</v>
      </c>
      <c r="J1903" s="805">
        <v>2241.35</v>
      </c>
      <c r="K1903" s="805">
        <v>5393.7619999999997</v>
      </c>
    </row>
    <row r="1904" spans="3:11">
      <c r="C1904" s="861">
        <v>42710</v>
      </c>
      <c r="D1904" s="805">
        <v>34.72</v>
      </c>
      <c r="E1904" s="805">
        <v>23.3475</v>
      </c>
      <c r="F1904" s="806">
        <v>9.4499999999999993</v>
      </c>
      <c r="G1904" s="805">
        <v>5.7005042753782096</v>
      </c>
      <c r="H1904" s="805">
        <v>164.76</v>
      </c>
      <c r="I1904" s="805">
        <v>19.059999999999999</v>
      </c>
      <c r="J1904" s="805">
        <v>2212.23</v>
      </c>
      <c r="K1904" s="805">
        <v>5333.0010000000002</v>
      </c>
    </row>
    <row r="1905" spans="3:11">
      <c r="C1905" s="861">
        <v>42709</v>
      </c>
      <c r="D1905" s="805">
        <v>34.39</v>
      </c>
      <c r="E1905" s="805">
        <v>22.97</v>
      </c>
      <c r="F1905" s="806">
        <v>8.68</v>
      </c>
      <c r="G1905" s="805">
        <v>5.5928761131073301</v>
      </c>
      <c r="H1905" s="805">
        <v>166.13</v>
      </c>
      <c r="I1905" s="805">
        <v>18.61</v>
      </c>
      <c r="J1905" s="805">
        <v>2204.71</v>
      </c>
      <c r="K1905" s="805">
        <v>5308.8919999999998</v>
      </c>
    </row>
    <row r="1906" spans="3:11">
      <c r="C1906" s="861">
        <v>42708</v>
      </c>
      <c r="D1906" s="805">
        <v>34.159999999999997</v>
      </c>
      <c r="E1906" s="805">
        <v>22.112500000000001</v>
      </c>
      <c r="F1906" s="806">
        <v>8.5299999999999994</v>
      </c>
      <c r="G1906" s="805">
        <v>5.5865921787709496</v>
      </c>
      <c r="H1906" s="805">
        <v>164.22</v>
      </c>
      <c r="I1906" s="805">
        <v>18.79</v>
      </c>
      <c r="J1906" s="805">
        <v>2191.9499999999998</v>
      </c>
      <c r="K1906" s="805">
        <v>5255.652</v>
      </c>
    </row>
    <row r="1907" spans="3:11">
      <c r="C1907" s="861">
        <v>42707</v>
      </c>
      <c r="D1907" s="805">
        <v>34.159999999999997</v>
      </c>
      <c r="E1907" s="805">
        <v>22.112500000000001</v>
      </c>
      <c r="F1907" s="806">
        <v>8.5299999999999994</v>
      </c>
      <c r="G1907" s="805">
        <v>5.5865921787709496</v>
      </c>
      <c r="H1907" s="805">
        <v>164.22</v>
      </c>
      <c r="I1907" s="805">
        <v>18.79</v>
      </c>
      <c r="J1907" s="805">
        <v>2191.9499999999998</v>
      </c>
      <c r="K1907" s="805">
        <v>5255.652</v>
      </c>
    </row>
    <row r="1908" spans="3:11">
      <c r="C1908" s="861">
        <v>42706</v>
      </c>
      <c r="D1908" s="805">
        <v>34.159999999999997</v>
      </c>
      <c r="E1908" s="805">
        <v>22.112500000000001</v>
      </c>
      <c r="F1908" s="806">
        <v>8.5299999999999994</v>
      </c>
      <c r="G1908" s="805">
        <v>5.5865921787709496</v>
      </c>
      <c r="H1908" s="805">
        <v>164.22</v>
      </c>
      <c r="I1908" s="805">
        <v>18.79</v>
      </c>
      <c r="J1908" s="805">
        <v>2191.9499999999998</v>
      </c>
      <c r="K1908" s="805">
        <v>5255.652</v>
      </c>
    </row>
    <row r="1909" spans="3:11">
      <c r="C1909" s="861">
        <v>42705</v>
      </c>
      <c r="D1909" s="805">
        <v>33.76</v>
      </c>
      <c r="E1909" s="805">
        <v>21.91</v>
      </c>
      <c r="F1909" s="806">
        <v>8.39</v>
      </c>
      <c r="G1909" s="805">
        <v>5.7411764705882398</v>
      </c>
      <c r="H1909" s="805">
        <v>162.79</v>
      </c>
      <c r="I1909" s="805">
        <v>18.48</v>
      </c>
      <c r="J1909" s="805">
        <v>2191.08</v>
      </c>
      <c r="K1909" s="805">
        <v>5251.107</v>
      </c>
    </row>
    <row r="1910" spans="3:11">
      <c r="C1910" s="861">
        <v>42704</v>
      </c>
      <c r="D1910" s="805">
        <v>34.700000000000003</v>
      </c>
      <c r="E1910" s="805">
        <v>23.05</v>
      </c>
      <c r="F1910" s="806">
        <v>8.91</v>
      </c>
      <c r="G1910" s="805">
        <v>5.7397359094188101</v>
      </c>
      <c r="H1910" s="805">
        <v>170.49</v>
      </c>
      <c r="I1910" s="805">
        <v>19.53</v>
      </c>
      <c r="J1910" s="805">
        <v>2198.81</v>
      </c>
      <c r="K1910" s="805">
        <v>5323.6809999999996</v>
      </c>
    </row>
    <row r="1911" spans="3:11">
      <c r="C1911" s="861">
        <v>42703</v>
      </c>
      <c r="D1911" s="805">
        <v>35.31</v>
      </c>
      <c r="E1911" s="805">
        <v>23.3125</v>
      </c>
      <c r="F1911" s="806">
        <v>8.93</v>
      </c>
      <c r="G1911" s="805">
        <v>5.7238104223668902</v>
      </c>
      <c r="H1911" s="805">
        <v>175.45</v>
      </c>
      <c r="I1911" s="805">
        <v>19.420000000000002</v>
      </c>
      <c r="J1911" s="805">
        <v>2204.66</v>
      </c>
      <c r="K1911" s="805">
        <v>5379.9179999999997</v>
      </c>
    </row>
    <row r="1912" spans="3:11">
      <c r="C1912" s="861">
        <v>42702</v>
      </c>
      <c r="D1912" s="805">
        <v>35.51</v>
      </c>
      <c r="E1912" s="805">
        <v>23.5275</v>
      </c>
      <c r="F1912" s="806">
        <v>8.83</v>
      </c>
      <c r="G1912" s="805">
        <v>5.7925389579726101</v>
      </c>
      <c r="H1912" s="805">
        <v>174.65</v>
      </c>
      <c r="I1912" s="805">
        <v>19.989999999999998</v>
      </c>
      <c r="J1912" s="805">
        <v>2201.7199999999998</v>
      </c>
      <c r="K1912" s="805">
        <v>5368.8119999999999</v>
      </c>
    </row>
    <row r="1913" spans="3:11">
      <c r="C1913" s="861">
        <v>42701</v>
      </c>
      <c r="D1913" s="805">
        <v>35.44</v>
      </c>
      <c r="E1913" s="805">
        <v>23.54</v>
      </c>
      <c r="F1913" s="806">
        <v>8.77</v>
      </c>
      <c r="G1913" s="805">
        <v>5.7151829172554596</v>
      </c>
      <c r="H1913" s="805">
        <v>176.75</v>
      </c>
      <c r="I1913" s="805">
        <v>20.13</v>
      </c>
      <c r="J1913" s="805">
        <v>2213.35</v>
      </c>
      <c r="K1913" s="805">
        <v>5398.92</v>
      </c>
    </row>
    <row r="1914" spans="3:11">
      <c r="C1914" s="861">
        <v>42700</v>
      </c>
      <c r="D1914" s="805">
        <v>35.44</v>
      </c>
      <c r="E1914" s="805">
        <v>23.54</v>
      </c>
      <c r="F1914" s="806">
        <v>8.77</v>
      </c>
      <c r="G1914" s="805">
        <v>5.7151829172554596</v>
      </c>
      <c r="H1914" s="805">
        <v>176.75</v>
      </c>
      <c r="I1914" s="805">
        <v>20.13</v>
      </c>
      <c r="J1914" s="805">
        <v>2213.35</v>
      </c>
      <c r="K1914" s="805">
        <v>5398.92</v>
      </c>
    </row>
    <row r="1915" spans="3:11">
      <c r="C1915" s="861">
        <v>42699</v>
      </c>
      <c r="D1915" s="805">
        <v>35.44</v>
      </c>
      <c r="E1915" s="805">
        <v>23.54</v>
      </c>
      <c r="F1915" s="806">
        <v>8.77</v>
      </c>
      <c r="G1915" s="805">
        <v>5.7151829172554596</v>
      </c>
      <c r="H1915" s="805">
        <v>176.75</v>
      </c>
      <c r="I1915" s="805">
        <v>20.13</v>
      </c>
      <c r="J1915" s="805">
        <v>2213.35</v>
      </c>
      <c r="K1915" s="805">
        <v>5398.92</v>
      </c>
    </row>
    <row r="1916" spans="3:11">
      <c r="C1916" s="861">
        <v>42698</v>
      </c>
      <c r="D1916" s="805">
        <v>35.200000000000003</v>
      </c>
      <c r="E1916" s="805">
        <v>23.4925</v>
      </c>
      <c r="F1916" s="806">
        <v>8.8000000000000007</v>
      </c>
      <c r="G1916" s="805">
        <v>5.7361376673040096</v>
      </c>
      <c r="H1916" s="805">
        <v>177.08</v>
      </c>
      <c r="I1916" s="805">
        <v>19.91</v>
      </c>
      <c r="J1916" s="805">
        <v>2204.7199999999998</v>
      </c>
      <c r="K1916" s="805">
        <v>5380.6779999999999</v>
      </c>
    </row>
    <row r="1917" spans="3:11">
      <c r="C1917" s="861">
        <v>42697</v>
      </c>
      <c r="D1917" s="805">
        <v>35.200000000000003</v>
      </c>
      <c r="E1917" s="805">
        <v>23.4925</v>
      </c>
      <c r="F1917" s="806">
        <v>8.8000000000000007</v>
      </c>
      <c r="G1917" s="805">
        <v>5.8141357154051097</v>
      </c>
      <c r="H1917" s="805">
        <v>177.08</v>
      </c>
      <c r="I1917" s="805">
        <v>19.91</v>
      </c>
      <c r="J1917" s="805">
        <v>2204.7199999999998</v>
      </c>
      <c r="K1917" s="805">
        <v>5380.6779999999999</v>
      </c>
    </row>
    <row r="1918" spans="3:11">
      <c r="C1918" s="861">
        <v>42696</v>
      </c>
      <c r="D1918" s="805">
        <v>35.479999999999997</v>
      </c>
      <c r="E1918" s="805">
        <v>23.412500000000001</v>
      </c>
      <c r="F1918" s="806">
        <v>8.69</v>
      </c>
      <c r="G1918" s="805">
        <v>5.7929036929761004</v>
      </c>
      <c r="H1918" s="805">
        <v>177.02</v>
      </c>
      <c r="I1918" s="805">
        <v>19.739999999999998</v>
      </c>
      <c r="J1918" s="805">
        <v>2202.94</v>
      </c>
      <c r="K1918" s="805">
        <v>5386.35</v>
      </c>
    </row>
    <row r="1919" spans="3:11">
      <c r="C1919" s="861">
        <v>42695</v>
      </c>
      <c r="D1919" s="805">
        <v>34.979999999999997</v>
      </c>
      <c r="E1919" s="805">
        <v>23.245000000000001</v>
      </c>
      <c r="F1919" s="806">
        <v>8.94</v>
      </c>
      <c r="G1919" s="805">
        <v>5.6642153027695201</v>
      </c>
      <c r="H1919" s="805">
        <v>172.58</v>
      </c>
      <c r="I1919" s="805">
        <v>19.489999999999998</v>
      </c>
      <c r="J1919" s="805">
        <v>2198.1799999999998</v>
      </c>
      <c r="K1919" s="805">
        <v>5368.86</v>
      </c>
    </row>
    <row r="1920" spans="3:11">
      <c r="C1920" s="861">
        <v>42694</v>
      </c>
      <c r="D1920" s="805">
        <v>34.950000000000003</v>
      </c>
      <c r="E1920" s="805">
        <v>23.34</v>
      </c>
      <c r="F1920" s="806">
        <v>8.7100000000000009</v>
      </c>
      <c r="G1920" s="805">
        <v>5.6521874902413902</v>
      </c>
      <c r="H1920" s="805">
        <v>168.16</v>
      </c>
      <c r="I1920" s="805">
        <v>19.21</v>
      </c>
      <c r="J1920" s="805">
        <v>2181.9</v>
      </c>
      <c r="K1920" s="805">
        <v>5321.5129999999999</v>
      </c>
    </row>
    <row r="1921" spans="3:11">
      <c r="C1921" s="861">
        <v>42693</v>
      </c>
      <c r="D1921" s="805">
        <v>34.950000000000003</v>
      </c>
      <c r="E1921" s="805">
        <v>23.34</v>
      </c>
      <c r="F1921" s="806">
        <v>8.7100000000000009</v>
      </c>
      <c r="G1921" s="805">
        <v>5.6521874902413902</v>
      </c>
      <c r="H1921" s="805">
        <v>168.16</v>
      </c>
      <c r="I1921" s="805">
        <v>19.21</v>
      </c>
      <c r="J1921" s="805">
        <v>2181.9</v>
      </c>
      <c r="K1921" s="805">
        <v>5321.5129999999999</v>
      </c>
    </row>
    <row r="1922" spans="3:11">
      <c r="C1922" s="861">
        <v>42692</v>
      </c>
      <c r="D1922" s="805">
        <v>34.950000000000003</v>
      </c>
      <c r="E1922" s="805">
        <v>23.34</v>
      </c>
      <c r="F1922" s="806">
        <v>8.7100000000000009</v>
      </c>
      <c r="G1922" s="805">
        <v>5.6521874902413902</v>
      </c>
      <c r="H1922" s="805">
        <v>168.16</v>
      </c>
      <c r="I1922" s="805">
        <v>19.21</v>
      </c>
      <c r="J1922" s="805">
        <v>2181.9</v>
      </c>
      <c r="K1922" s="805">
        <v>5321.5129999999999</v>
      </c>
    </row>
    <row r="1923" spans="3:11">
      <c r="C1923" s="861">
        <v>42691</v>
      </c>
      <c r="D1923" s="805">
        <v>35.020000000000003</v>
      </c>
      <c r="E1923" s="805">
        <v>23.0975</v>
      </c>
      <c r="F1923" s="806">
        <v>8.4600000000000009</v>
      </c>
      <c r="G1923" s="805">
        <v>5.6811067985476402</v>
      </c>
      <c r="H1923" s="805">
        <v>167.04</v>
      </c>
      <c r="I1923" s="805">
        <v>19.18</v>
      </c>
      <c r="J1923" s="805">
        <v>2187.12</v>
      </c>
      <c r="K1923" s="805">
        <v>5333.973</v>
      </c>
    </row>
    <row r="1924" spans="3:11">
      <c r="C1924" s="861">
        <v>42690</v>
      </c>
      <c r="D1924" s="805">
        <v>34.840000000000003</v>
      </c>
      <c r="E1924" s="805">
        <v>22.907499999999999</v>
      </c>
      <c r="F1924" s="806">
        <v>7.67</v>
      </c>
      <c r="G1924" s="805">
        <v>5.66304860783388</v>
      </c>
      <c r="H1924" s="805">
        <v>167.83</v>
      </c>
      <c r="I1924" s="805">
        <v>18.239999999999998</v>
      </c>
      <c r="J1924" s="805">
        <v>2176.94</v>
      </c>
      <c r="K1924" s="805">
        <v>5294.5839999999998</v>
      </c>
    </row>
    <row r="1925" spans="3:11">
      <c r="C1925" s="861">
        <v>42689</v>
      </c>
      <c r="D1925" s="805">
        <v>34.909999999999997</v>
      </c>
      <c r="E1925" s="805">
        <v>21.547499999999999</v>
      </c>
      <c r="F1925" s="806">
        <v>6.97</v>
      </c>
      <c r="G1925" s="805">
        <v>5.6545094713033697</v>
      </c>
      <c r="H1925" s="805">
        <v>166.45</v>
      </c>
      <c r="I1925" s="805">
        <v>18.100000000000001</v>
      </c>
      <c r="J1925" s="805">
        <v>2180.39</v>
      </c>
      <c r="K1925" s="805">
        <v>5275.6210000000001</v>
      </c>
    </row>
    <row r="1926" spans="3:11">
      <c r="C1926" s="861">
        <v>42688</v>
      </c>
      <c r="D1926" s="805">
        <v>34.479999999999997</v>
      </c>
      <c r="E1926" s="805">
        <v>20.91</v>
      </c>
      <c r="F1926" s="806">
        <v>6.79</v>
      </c>
      <c r="G1926" s="805">
        <v>5.6400962409774102</v>
      </c>
      <c r="H1926" s="805">
        <v>163.78</v>
      </c>
      <c r="I1926" s="805">
        <v>17.71</v>
      </c>
      <c r="J1926" s="805">
        <v>2164.1999999999998</v>
      </c>
      <c r="K1926" s="805">
        <v>5218.3959999999997</v>
      </c>
    </row>
    <row r="1927" spans="3:11">
      <c r="C1927" s="861">
        <v>42687</v>
      </c>
      <c r="D1927" s="805">
        <v>34.61</v>
      </c>
      <c r="E1927" s="805">
        <v>21.9925</v>
      </c>
      <c r="F1927" s="806">
        <v>6.6849999999999996</v>
      </c>
      <c r="G1927" s="805">
        <v>5.6859120954857296</v>
      </c>
      <c r="H1927" s="805">
        <v>167.54</v>
      </c>
      <c r="I1927" s="805">
        <v>17.670000000000002</v>
      </c>
      <c r="J1927" s="805">
        <v>2164.4499999999998</v>
      </c>
      <c r="K1927" s="805">
        <v>5237.1139999999996</v>
      </c>
    </row>
    <row r="1928" spans="3:11">
      <c r="C1928" s="861">
        <v>42686</v>
      </c>
      <c r="D1928" s="805">
        <v>34.61</v>
      </c>
      <c r="E1928" s="805">
        <v>21.9925</v>
      </c>
      <c r="F1928" s="806">
        <v>6.6849999999999996</v>
      </c>
      <c r="G1928" s="805">
        <v>5.6859120954857296</v>
      </c>
      <c r="H1928" s="805">
        <v>167.54</v>
      </c>
      <c r="I1928" s="805">
        <v>17.670000000000002</v>
      </c>
      <c r="J1928" s="805">
        <v>2164.4499999999998</v>
      </c>
      <c r="K1928" s="805">
        <v>5237.1139999999996</v>
      </c>
    </row>
    <row r="1929" spans="3:11">
      <c r="C1929" s="861">
        <v>42685</v>
      </c>
      <c r="D1929" s="805">
        <v>34.61</v>
      </c>
      <c r="E1929" s="805">
        <v>21.9925</v>
      </c>
      <c r="F1929" s="806">
        <v>6.6849999999999996</v>
      </c>
      <c r="G1929" s="805">
        <v>5.6859120954857296</v>
      </c>
      <c r="H1929" s="805">
        <v>167.54</v>
      </c>
      <c r="I1929" s="805">
        <v>17.670000000000002</v>
      </c>
      <c r="J1929" s="805">
        <v>2164.4499999999998</v>
      </c>
      <c r="K1929" s="805">
        <v>5237.1139999999996</v>
      </c>
    </row>
    <row r="1930" spans="3:11">
      <c r="C1930" s="861">
        <v>42684</v>
      </c>
      <c r="D1930" s="805">
        <v>34.5</v>
      </c>
      <c r="E1930" s="805">
        <v>16.942499999999999</v>
      </c>
      <c r="F1930" s="806">
        <v>6.2949999999999999</v>
      </c>
      <c r="G1930" s="805">
        <v>5.8497051496326202</v>
      </c>
      <c r="H1930" s="805">
        <v>167.94</v>
      </c>
      <c r="I1930" s="805">
        <v>16.989999999999998</v>
      </c>
      <c r="J1930" s="805">
        <v>2167.48</v>
      </c>
      <c r="K1930" s="805">
        <v>5208.7960000000003</v>
      </c>
    </row>
    <row r="1931" spans="3:11">
      <c r="C1931" s="861">
        <v>42683</v>
      </c>
      <c r="D1931" s="805">
        <v>34.75</v>
      </c>
      <c r="E1931" s="805">
        <v>17.489999999999998</v>
      </c>
      <c r="F1931" s="806">
        <v>6.94</v>
      </c>
      <c r="G1931" s="805">
        <v>5.75366717248356</v>
      </c>
      <c r="H1931" s="805">
        <v>173.42</v>
      </c>
      <c r="I1931" s="805">
        <v>17.2</v>
      </c>
      <c r="J1931" s="805">
        <v>2163.2600000000002</v>
      </c>
      <c r="K1931" s="805">
        <v>5251.0720000000001</v>
      </c>
    </row>
    <row r="1932" spans="3:11">
      <c r="C1932" s="861">
        <v>42682</v>
      </c>
      <c r="D1932" s="805">
        <v>34.74</v>
      </c>
      <c r="E1932" s="805">
        <v>17.79</v>
      </c>
      <c r="F1932" s="806">
        <v>7</v>
      </c>
      <c r="G1932" s="805">
        <v>6.0248665579953302</v>
      </c>
      <c r="H1932" s="805">
        <v>177</v>
      </c>
      <c r="I1932" s="805">
        <v>17.41</v>
      </c>
      <c r="J1932" s="805">
        <v>2139.56</v>
      </c>
      <c r="K1932" s="805">
        <v>5193.4889999999996</v>
      </c>
    </row>
    <row r="1933" spans="3:11">
      <c r="C1933" s="861">
        <v>42681</v>
      </c>
      <c r="D1933" s="805">
        <v>34.69</v>
      </c>
      <c r="E1933" s="805">
        <v>17.817499999999999</v>
      </c>
      <c r="F1933" s="806">
        <v>6.96</v>
      </c>
      <c r="G1933" s="805">
        <v>6.0095389507154202</v>
      </c>
      <c r="H1933" s="805">
        <v>176.96</v>
      </c>
      <c r="I1933" s="805">
        <v>17.375</v>
      </c>
      <c r="J1933" s="805">
        <v>2131.52</v>
      </c>
      <c r="K1933" s="805">
        <v>5166.1729999999998</v>
      </c>
    </row>
    <row r="1934" spans="3:11">
      <c r="C1934" s="861">
        <v>42680</v>
      </c>
      <c r="D1934" s="805">
        <v>33.61</v>
      </c>
      <c r="E1934" s="805">
        <v>16.892499999999998</v>
      </c>
      <c r="F1934" s="806">
        <v>6.56</v>
      </c>
      <c r="G1934" s="805">
        <v>5.8640307662969198</v>
      </c>
      <c r="H1934" s="805">
        <v>172.17</v>
      </c>
      <c r="I1934" s="805">
        <v>16.68</v>
      </c>
      <c r="J1934" s="805">
        <v>2085.1799999999998</v>
      </c>
      <c r="K1934" s="805">
        <v>5046.37</v>
      </c>
    </row>
    <row r="1935" spans="3:11">
      <c r="C1935" s="861">
        <v>42679</v>
      </c>
      <c r="D1935" s="805">
        <v>33.61</v>
      </c>
      <c r="E1935" s="805">
        <v>16.892499999999998</v>
      </c>
      <c r="F1935" s="806">
        <v>6.56</v>
      </c>
      <c r="G1935" s="805">
        <v>5.8640307662969198</v>
      </c>
      <c r="H1935" s="805">
        <v>172.17</v>
      </c>
      <c r="I1935" s="805">
        <v>16.68</v>
      </c>
      <c r="J1935" s="805">
        <v>2085.1799999999998</v>
      </c>
      <c r="K1935" s="805">
        <v>5046.37</v>
      </c>
    </row>
    <row r="1936" spans="3:11">
      <c r="C1936" s="861">
        <v>42678</v>
      </c>
      <c r="D1936" s="805">
        <v>33.61</v>
      </c>
      <c r="E1936" s="805">
        <v>16.892499999999998</v>
      </c>
      <c r="F1936" s="806">
        <v>6.56</v>
      </c>
      <c r="G1936" s="805">
        <v>5.8640307662969198</v>
      </c>
      <c r="H1936" s="805">
        <v>172.17</v>
      </c>
      <c r="I1936" s="805">
        <v>16.68</v>
      </c>
      <c r="J1936" s="805">
        <v>2085.1799999999998</v>
      </c>
      <c r="K1936" s="805">
        <v>5046.37</v>
      </c>
    </row>
    <row r="1937" spans="3:11">
      <c r="C1937" s="861">
        <v>42677</v>
      </c>
      <c r="D1937" s="805">
        <v>33.93</v>
      </c>
      <c r="E1937" s="805">
        <v>16.989999999999998</v>
      </c>
      <c r="F1937" s="806">
        <v>6.7</v>
      </c>
      <c r="G1937" s="805">
        <v>5.8595610887032699</v>
      </c>
      <c r="H1937" s="805">
        <v>172.99</v>
      </c>
      <c r="I1937" s="805">
        <v>16.62</v>
      </c>
      <c r="J1937" s="805">
        <v>2088.66</v>
      </c>
      <c r="K1937" s="805">
        <v>5058.4080000000004</v>
      </c>
    </row>
    <row r="1938" spans="3:11">
      <c r="C1938" s="861">
        <v>42676</v>
      </c>
      <c r="D1938" s="805">
        <v>34.6</v>
      </c>
      <c r="E1938" s="805">
        <v>17.190000000000001</v>
      </c>
      <c r="F1938" s="806">
        <v>6.76</v>
      </c>
      <c r="G1938" s="805">
        <v>5.9071997967415104</v>
      </c>
      <c r="H1938" s="805">
        <v>172.56</v>
      </c>
      <c r="I1938" s="805">
        <v>16.68</v>
      </c>
      <c r="J1938" s="805">
        <v>2097.94</v>
      </c>
      <c r="K1938" s="805">
        <v>5105.5659999999998</v>
      </c>
    </row>
    <row r="1939" spans="3:11">
      <c r="C1939" s="861">
        <v>42675</v>
      </c>
      <c r="D1939" s="805">
        <v>34.520000000000003</v>
      </c>
      <c r="E1939" s="805">
        <v>17.262499999999999</v>
      </c>
      <c r="F1939" s="806">
        <v>7.09</v>
      </c>
      <c r="G1939" s="805">
        <v>6.0069103242780599</v>
      </c>
      <c r="H1939" s="805">
        <v>168.8</v>
      </c>
      <c r="I1939" s="805">
        <v>16.98</v>
      </c>
      <c r="J1939" s="805">
        <v>2111.7199999999998</v>
      </c>
      <c r="K1939" s="805">
        <v>5153.5770000000002</v>
      </c>
    </row>
    <row r="1940" spans="3:11">
      <c r="C1940" s="861">
        <v>42674</v>
      </c>
      <c r="D1940" s="805">
        <v>34.869999999999997</v>
      </c>
      <c r="E1940" s="805">
        <v>17.79</v>
      </c>
      <c r="F1940" s="806">
        <v>7.23</v>
      </c>
      <c r="G1940" s="805">
        <v>5.9808991972586201</v>
      </c>
      <c r="H1940" s="805">
        <v>170.28</v>
      </c>
      <c r="I1940" s="805">
        <v>17.16</v>
      </c>
      <c r="J1940" s="805">
        <v>2126.15</v>
      </c>
      <c r="K1940" s="805">
        <v>5189.1350000000002</v>
      </c>
    </row>
    <row r="1941" spans="3:11">
      <c r="C1941" s="861">
        <v>42673</v>
      </c>
      <c r="D1941" s="805">
        <v>34.74</v>
      </c>
      <c r="E1941" s="805">
        <v>17.64</v>
      </c>
      <c r="F1941" s="806">
        <v>7.2</v>
      </c>
      <c r="G1941" s="805">
        <v>5.9922843410068296</v>
      </c>
      <c r="H1941" s="805">
        <v>169.35</v>
      </c>
      <c r="I1941" s="805">
        <v>17.2</v>
      </c>
      <c r="J1941" s="805">
        <v>2126.41</v>
      </c>
      <c r="K1941" s="805">
        <v>5190.1040000000003</v>
      </c>
    </row>
    <row r="1942" spans="3:11">
      <c r="C1942" s="861">
        <v>42672</v>
      </c>
      <c r="D1942" s="805">
        <v>34.74</v>
      </c>
      <c r="E1942" s="805">
        <v>17.64</v>
      </c>
      <c r="F1942" s="806">
        <v>7.2</v>
      </c>
      <c r="G1942" s="805">
        <v>5.9922843410068296</v>
      </c>
      <c r="H1942" s="805">
        <v>169.35</v>
      </c>
      <c r="I1942" s="805">
        <v>17.2</v>
      </c>
      <c r="J1942" s="805">
        <v>2126.41</v>
      </c>
      <c r="K1942" s="805">
        <v>5190.1040000000003</v>
      </c>
    </row>
    <row r="1943" spans="3:11">
      <c r="C1943" s="861">
        <v>42671</v>
      </c>
      <c r="D1943" s="805">
        <v>34.74</v>
      </c>
      <c r="E1943" s="805">
        <v>17.64</v>
      </c>
      <c r="F1943" s="806">
        <v>7.2</v>
      </c>
      <c r="G1943" s="805">
        <v>5.9922843410068296</v>
      </c>
      <c r="H1943" s="805">
        <v>169.35</v>
      </c>
      <c r="I1943" s="805">
        <v>17.2</v>
      </c>
      <c r="J1943" s="805">
        <v>2126.41</v>
      </c>
      <c r="K1943" s="805">
        <v>5190.1040000000003</v>
      </c>
    </row>
    <row r="1944" spans="3:11">
      <c r="C1944" s="861">
        <v>42670</v>
      </c>
      <c r="D1944" s="805">
        <v>34.81</v>
      </c>
      <c r="E1944" s="805">
        <v>17.670000000000002</v>
      </c>
      <c r="F1944" s="806">
        <v>7.11</v>
      </c>
      <c r="G1944" s="805">
        <v>5.9405628565125603</v>
      </c>
      <c r="H1944" s="805">
        <v>172.24</v>
      </c>
      <c r="I1944" s="805">
        <v>17.53</v>
      </c>
      <c r="J1944" s="805">
        <v>2133.04</v>
      </c>
      <c r="K1944" s="805">
        <v>5215.9740000000002</v>
      </c>
    </row>
    <row r="1945" spans="3:11">
      <c r="C1945" s="861">
        <v>42669</v>
      </c>
      <c r="D1945" s="805">
        <v>34.92</v>
      </c>
      <c r="E1945" s="805">
        <v>18.04</v>
      </c>
      <c r="F1945" s="806">
        <v>7.29</v>
      </c>
      <c r="G1945" s="805">
        <v>6.0758931404276897</v>
      </c>
      <c r="H1945" s="805">
        <v>173</v>
      </c>
      <c r="I1945" s="805">
        <v>17.64</v>
      </c>
      <c r="J1945" s="805">
        <v>2139.4299999999998</v>
      </c>
      <c r="K1945" s="805">
        <v>5250.268</v>
      </c>
    </row>
    <row r="1946" spans="3:11">
      <c r="C1946" s="861">
        <v>42668</v>
      </c>
      <c r="D1946" s="805">
        <v>35.1</v>
      </c>
      <c r="E1946" s="805">
        <v>17.967500000000001</v>
      </c>
      <c r="F1946" s="806">
        <v>7.5</v>
      </c>
      <c r="G1946" s="805">
        <v>6.12678962572617</v>
      </c>
      <c r="H1946" s="805">
        <v>173.65</v>
      </c>
      <c r="I1946" s="805">
        <v>17.54</v>
      </c>
      <c r="J1946" s="805">
        <v>2143.16</v>
      </c>
      <c r="K1946" s="805">
        <v>5283.3990000000003</v>
      </c>
    </row>
    <row r="1947" spans="3:11">
      <c r="C1947" s="861">
        <v>42667</v>
      </c>
      <c r="D1947" s="805">
        <v>35.26</v>
      </c>
      <c r="E1947" s="805">
        <v>17.677499999999998</v>
      </c>
      <c r="F1947" s="806">
        <v>7.0049999999999999</v>
      </c>
      <c r="G1947" s="805">
        <v>6.0315154577320298</v>
      </c>
      <c r="H1947" s="805">
        <v>176.55</v>
      </c>
      <c r="I1947" s="805">
        <v>17.059999999999999</v>
      </c>
      <c r="J1947" s="805">
        <v>2151.33</v>
      </c>
      <c r="K1947" s="805">
        <v>5309.8270000000002</v>
      </c>
    </row>
    <row r="1948" spans="3:11">
      <c r="C1948" s="861">
        <v>42666</v>
      </c>
      <c r="D1948" s="805">
        <v>35.15</v>
      </c>
      <c r="E1948" s="805">
        <v>16.885000000000002</v>
      </c>
      <c r="F1948" s="806">
        <v>6.52</v>
      </c>
      <c r="G1948" s="805">
        <v>5.9362599987403204</v>
      </c>
      <c r="H1948" s="805">
        <v>172.92</v>
      </c>
      <c r="I1948" s="805">
        <v>16.940000000000001</v>
      </c>
      <c r="J1948" s="805">
        <v>2141.16</v>
      </c>
      <c r="K1948" s="805">
        <v>5257.402</v>
      </c>
    </row>
    <row r="1949" spans="3:11">
      <c r="C1949" s="861">
        <v>42665</v>
      </c>
      <c r="D1949" s="805">
        <v>35.15</v>
      </c>
      <c r="E1949" s="805">
        <v>16.885000000000002</v>
      </c>
      <c r="F1949" s="806">
        <v>6.52</v>
      </c>
      <c r="G1949" s="805">
        <v>5.9362599987403204</v>
      </c>
      <c r="H1949" s="805">
        <v>172.92</v>
      </c>
      <c r="I1949" s="805">
        <v>16.940000000000001</v>
      </c>
      <c r="J1949" s="805">
        <v>2141.16</v>
      </c>
      <c r="K1949" s="805">
        <v>5257.402</v>
      </c>
    </row>
    <row r="1950" spans="3:11">
      <c r="C1950" s="861">
        <v>42664</v>
      </c>
      <c r="D1950" s="805">
        <v>35.15</v>
      </c>
      <c r="E1950" s="805">
        <v>16.885000000000002</v>
      </c>
      <c r="F1950" s="806">
        <v>6.52</v>
      </c>
      <c r="G1950" s="805">
        <v>5.9362599987403204</v>
      </c>
      <c r="H1950" s="805">
        <v>172.92</v>
      </c>
      <c r="I1950" s="805">
        <v>16.940000000000001</v>
      </c>
      <c r="J1950" s="805">
        <v>2141.16</v>
      </c>
      <c r="K1950" s="805">
        <v>5257.402</v>
      </c>
    </row>
    <row r="1951" spans="3:11">
      <c r="C1951" s="861">
        <v>42663</v>
      </c>
      <c r="D1951" s="805">
        <v>35.43</v>
      </c>
      <c r="E1951" s="805">
        <v>16.932500000000001</v>
      </c>
      <c r="F1951" s="806">
        <v>6.96</v>
      </c>
      <c r="G1951" s="805">
        <v>6.03172592850584</v>
      </c>
      <c r="H1951" s="805">
        <v>173.41</v>
      </c>
      <c r="I1951" s="805">
        <v>17.204999999999998</v>
      </c>
      <c r="J1951" s="805">
        <v>2141.34</v>
      </c>
      <c r="K1951" s="805">
        <v>5241.8329999999996</v>
      </c>
    </row>
    <row r="1952" spans="3:11">
      <c r="C1952" s="861">
        <v>42662</v>
      </c>
      <c r="D1952" s="805">
        <v>35.51</v>
      </c>
      <c r="E1952" s="805">
        <v>16.6175</v>
      </c>
      <c r="F1952" s="806">
        <v>6.77</v>
      </c>
      <c r="G1952" s="805">
        <v>6.0252456201710602</v>
      </c>
      <c r="H1952" s="805">
        <v>171.87</v>
      </c>
      <c r="I1952" s="805">
        <v>17.215</v>
      </c>
      <c r="J1952" s="805">
        <v>2144.29</v>
      </c>
      <c r="K1952" s="805">
        <v>5246.4120000000003</v>
      </c>
    </row>
    <row r="1953" spans="3:11">
      <c r="C1953" s="861">
        <v>42661</v>
      </c>
      <c r="D1953" s="805">
        <v>37.75</v>
      </c>
      <c r="E1953" s="805">
        <v>16.6525</v>
      </c>
      <c r="F1953" s="806">
        <v>6.73</v>
      </c>
      <c r="G1953" s="805">
        <v>5.9323646976714697</v>
      </c>
      <c r="H1953" s="805">
        <v>172.17</v>
      </c>
      <c r="I1953" s="805">
        <v>17.41</v>
      </c>
      <c r="J1953" s="805">
        <v>2139.6</v>
      </c>
      <c r="K1953" s="805">
        <v>5243.8360000000002</v>
      </c>
    </row>
    <row r="1954" spans="3:11">
      <c r="C1954" s="861">
        <v>42660</v>
      </c>
      <c r="D1954" s="805">
        <v>37.29</v>
      </c>
      <c r="E1954" s="805">
        <v>16.4025</v>
      </c>
      <c r="F1954" s="806">
        <v>6.67</v>
      </c>
      <c r="G1954" s="805">
        <v>5.8673629899956001</v>
      </c>
      <c r="H1954" s="805">
        <v>168.88</v>
      </c>
      <c r="I1954" s="805">
        <v>16.989999999999998</v>
      </c>
      <c r="J1954" s="805">
        <v>2126.5</v>
      </c>
      <c r="K1954" s="805">
        <v>5199.8230000000003</v>
      </c>
    </row>
    <row r="1955" spans="3:11">
      <c r="C1955" s="861">
        <v>42659</v>
      </c>
      <c r="D1955" s="805">
        <v>37.450000000000003</v>
      </c>
      <c r="E1955" s="805">
        <v>16.497499999999999</v>
      </c>
      <c r="F1955" s="806">
        <v>6.75</v>
      </c>
      <c r="G1955" s="805">
        <v>5.93190925440949</v>
      </c>
      <c r="H1955" s="805">
        <v>170.09</v>
      </c>
      <c r="I1955" s="805">
        <v>17.13</v>
      </c>
      <c r="J1955" s="805">
        <v>2132.98</v>
      </c>
      <c r="K1955" s="805">
        <v>5214.1610000000001</v>
      </c>
    </row>
    <row r="1956" spans="3:11">
      <c r="C1956" s="861">
        <v>42658</v>
      </c>
      <c r="D1956" s="805">
        <v>37.450000000000003</v>
      </c>
      <c r="E1956" s="805">
        <v>16.497499999999999</v>
      </c>
      <c r="F1956" s="806">
        <v>6.75</v>
      </c>
      <c r="G1956" s="805">
        <v>5.93190925440949</v>
      </c>
      <c r="H1956" s="805">
        <v>170.09</v>
      </c>
      <c r="I1956" s="805">
        <v>17.13</v>
      </c>
      <c r="J1956" s="805">
        <v>2132.98</v>
      </c>
      <c r="K1956" s="805">
        <v>5214.1610000000001</v>
      </c>
    </row>
    <row r="1957" spans="3:11">
      <c r="C1957" s="861">
        <v>42657</v>
      </c>
      <c r="D1957" s="805">
        <v>37.450000000000003</v>
      </c>
      <c r="E1957" s="805">
        <v>16.497499999999999</v>
      </c>
      <c r="F1957" s="806">
        <v>6.75</v>
      </c>
      <c r="G1957" s="805">
        <v>5.93190925440949</v>
      </c>
      <c r="H1957" s="805">
        <v>170.09</v>
      </c>
      <c r="I1957" s="805">
        <v>17.13</v>
      </c>
      <c r="J1957" s="805">
        <v>2132.98</v>
      </c>
      <c r="K1957" s="805">
        <v>5214.1610000000001</v>
      </c>
    </row>
    <row r="1958" spans="3:11">
      <c r="C1958" s="861">
        <v>42656</v>
      </c>
      <c r="D1958" s="805">
        <v>36.97</v>
      </c>
      <c r="E1958" s="805">
        <v>16.337499999999999</v>
      </c>
      <c r="F1958" s="806">
        <v>6.49</v>
      </c>
      <c r="G1958" s="805">
        <v>5.9435598297335703</v>
      </c>
      <c r="H1958" s="805">
        <v>168.94</v>
      </c>
      <c r="I1958" s="805">
        <v>16.850000000000001</v>
      </c>
      <c r="J1958" s="805">
        <v>2132.5500000000002</v>
      </c>
      <c r="K1958" s="805">
        <v>5213.3329999999996</v>
      </c>
    </row>
    <row r="1959" spans="3:11">
      <c r="C1959" s="861">
        <v>42655</v>
      </c>
      <c r="D1959" s="805">
        <v>37.130000000000003</v>
      </c>
      <c r="E1959" s="805">
        <v>16.607500000000002</v>
      </c>
      <c r="F1959" s="806">
        <v>6.62</v>
      </c>
      <c r="G1959" s="805">
        <v>5.99247383233722</v>
      </c>
      <c r="H1959" s="805">
        <v>170.47</v>
      </c>
      <c r="I1959" s="805">
        <v>16.78</v>
      </c>
      <c r="J1959" s="805">
        <v>2139.1799999999998</v>
      </c>
      <c r="K1959" s="805">
        <v>5239.0190000000002</v>
      </c>
    </row>
    <row r="1960" spans="3:11">
      <c r="C1960" s="861">
        <v>42654</v>
      </c>
      <c r="D1960" s="805">
        <v>37.270000000000003</v>
      </c>
      <c r="E1960" s="805">
        <v>16.532499999999999</v>
      </c>
      <c r="F1960" s="806">
        <v>6.5</v>
      </c>
      <c r="G1960" s="805">
        <v>5.9391827684510599</v>
      </c>
      <c r="H1960" s="805">
        <v>171.17</v>
      </c>
      <c r="I1960" s="805">
        <v>16.86</v>
      </c>
      <c r="J1960" s="805">
        <v>2136.73</v>
      </c>
      <c r="K1960" s="805">
        <v>5246.7879999999996</v>
      </c>
    </row>
    <row r="1961" spans="3:11">
      <c r="C1961" s="861">
        <v>42653</v>
      </c>
      <c r="D1961" s="805">
        <v>38.020000000000003</v>
      </c>
      <c r="E1961" s="805">
        <v>16.774999999999999</v>
      </c>
      <c r="F1961" s="806">
        <v>6.84</v>
      </c>
      <c r="G1961" s="805">
        <v>5.9786929559548403</v>
      </c>
      <c r="H1961" s="805">
        <v>174.77</v>
      </c>
      <c r="I1961" s="805">
        <v>17.5</v>
      </c>
      <c r="J1961" s="805">
        <v>2163.66</v>
      </c>
      <c r="K1961" s="805">
        <v>5328.674</v>
      </c>
    </row>
    <row r="1962" spans="3:11">
      <c r="C1962" s="861">
        <v>42652</v>
      </c>
      <c r="D1962" s="805">
        <v>38.1</v>
      </c>
      <c r="E1962" s="805">
        <v>16.712499999999999</v>
      </c>
      <c r="F1962" s="806">
        <v>6.75</v>
      </c>
      <c r="G1962" s="805">
        <v>5.9786929559548403</v>
      </c>
      <c r="H1962" s="805">
        <v>174.21</v>
      </c>
      <c r="I1962" s="805">
        <v>17.61</v>
      </c>
      <c r="J1962" s="805">
        <v>2153.7399999999998</v>
      </c>
      <c r="K1962" s="805">
        <v>5292.4049999999997</v>
      </c>
    </row>
    <row r="1963" spans="3:11">
      <c r="C1963" s="861">
        <v>42651</v>
      </c>
      <c r="D1963" s="805">
        <v>38.1</v>
      </c>
      <c r="E1963" s="805">
        <v>16.712499999999999</v>
      </c>
      <c r="F1963" s="806">
        <v>6.75</v>
      </c>
      <c r="G1963" s="805">
        <v>5.9786929559548403</v>
      </c>
      <c r="H1963" s="805">
        <v>174.21</v>
      </c>
      <c r="I1963" s="805">
        <v>17.61</v>
      </c>
      <c r="J1963" s="805">
        <v>2153.7399999999998</v>
      </c>
      <c r="K1963" s="805">
        <v>5292.4049999999997</v>
      </c>
    </row>
    <row r="1964" spans="3:11">
      <c r="C1964" s="861">
        <v>42650</v>
      </c>
      <c r="D1964" s="805">
        <v>38.1</v>
      </c>
      <c r="E1964" s="805">
        <v>16.712499999999999</v>
      </c>
      <c r="F1964" s="806">
        <v>6.75</v>
      </c>
      <c r="G1964" s="805">
        <v>5.9786929559548403</v>
      </c>
      <c r="H1964" s="805">
        <v>174.21</v>
      </c>
      <c r="I1964" s="805">
        <v>17.61</v>
      </c>
      <c r="J1964" s="805">
        <v>2153.7399999999998</v>
      </c>
      <c r="K1964" s="805">
        <v>5292.4049999999997</v>
      </c>
    </row>
    <row r="1965" spans="3:11">
      <c r="C1965" s="861">
        <v>42649</v>
      </c>
      <c r="D1965" s="805">
        <v>38.07</v>
      </c>
      <c r="E1965" s="805">
        <v>16.835000000000001</v>
      </c>
      <c r="F1965" s="806">
        <v>6.96</v>
      </c>
      <c r="G1965" s="805">
        <v>5.9576766649720403</v>
      </c>
      <c r="H1965" s="805">
        <v>174.19</v>
      </c>
      <c r="I1965" s="805">
        <v>17.73</v>
      </c>
      <c r="J1965" s="805">
        <v>2160.77</v>
      </c>
      <c r="K1965" s="805">
        <v>5306.8519999999999</v>
      </c>
    </row>
    <row r="1966" spans="3:11">
      <c r="C1966" s="861">
        <v>42648</v>
      </c>
      <c r="D1966" s="805">
        <v>37.99</v>
      </c>
      <c r="E1966" s="805">
        <v>17.057500000000001</v>
      </c>
      <c r="F1966" s="806">
        <v>6.78</v>
      </c>
      <c r="G1966" s="805">
        <v>5.9141494435612101</v>
      </c>
      <c r="H1966" s="805">
        <v>173.48</v>
      </c>
      <c r="I1966" s="805">
        <v>17.7</v>
      </c>
      <c r="J1966" s="805">
        <v>2159.73</v>
      </c>
      <c r="K1966" s="805">
        <v>5316.02</v>
      </c>
    </row>
    <row r="1967" spans="3:11">
      <c r="C1967" s="861">
        <v>42647</v>
      </c>
      <c r="D1967" s="805">
        <v>37.54</v>
      </c>
      <c r="E1967" s="805">
        <v>17.074999999999999</v>
      </c>
      <c r="F1967" s="806">
        <v>6.97</v>
      </c>
      <c r="G1967" s="805">
        <v>5.9417895271987797</v>
      </c>
      <c r="H1967" s="805">
        <v>169.05</v>
      </c>
      <c r="I1967" s="805">
        <v>17.8</v>
      </c>
      <c r="J1967" s="805">
        <v>2150.4899999999998</v>
      </c>
      <c r="K1967" s="805">
        <v>5289.6570000000002</v>
      </c>
    </row>
    <row r="1968" spans="3:11">
      <c r="C1968" s="861">
        <v>42646</v>
      </c>
      <c r="D1968" s="805">
        <v>37.659999999999997</v>
      </c>
      <c r="E1968" s="805">
        <v>17.112500000000001</v>
      </c>
      <c r="F1968" s="806">
        <v>6.95</v>
      </c>
      <c r="G1968" s="805">
        <v>5.9364228265032599</v>
      </c>
      <c r="H1968" s="805">
        <v>170.07</v>
      </c>
      <c r="I1968" s="805">
        <v>17.73</v>
      </c>
      <c r="J1968" s="805">
        <v>2161.1999999999998</v>
      </c>
      <c r="K1968" s="805">
        <v>5300.8739999999998</v>
      </c>
    </row>
    <row r="1969" spans="3:11">
      <c r="C1969" s="861">
        <v>42645</v>
      </c>
      <c r="D1969" s="805">
        <v>37.75</v>
      </c>
      <c r="E1969" s="805">
        <v>17.13</v>
      </c>
      <c r="F1969" s="806">
        <v>6.91</v>
      </c>
      <c r="G1969" s="805">
        <v>5.8297396582015697</v>
      </c>
      <c r="H1969" s="805">
        <v>172.52</v>
      </c>
      <c r="I1969" s="805">
        <v>17.78</v>
      </c>
      <c r="J1969" s="805">
        <v>2168.27</v>
      </c>
      <c r="K1969" s="805">
        <v>5312.0020000000004</v>
      </c>
    </row>
    <row r="1970" spans="3:11">
      <c r="C1970" s="861">
        <v>42644</v>
      </c>
      <c r="D1970" s="805">
        <v>37.75</v>
      </c>
      <c r="E1970" s="805">
        <v>17.13</v>
      </c>
      <c r="F1970" s="806">
        <v>6.91</v>
      </c>
      <c r="G1970" s="805">
        <v>5.8297396582015697</v>
      </c>
      <c r="H1970" s="805">
        <v>172.52</v>
      </c>
      <c r="I1970" s="805">
        <v>17.78</v>
      </c>
      <c r="J1970" s="805">
        <v>2168.27</v>
      </c>
      <c r="K1970" s="805">
        <v>5312.0020000000004</v>
      </c>
    </row>
    <row r="1971" spans="3:11">
      <c r="C1971" s="861">
        <v>42643</v>
      </c>
      <c r="D1971" s="805">
        <v>37.75</v>
      </c>
      <c r="E1971" s="805">
        <v>17.13</v>
      </c>
      <c r="F1971" s="806">
        <v>6.91</v>
      </c>
      <c r="G1971" s="805">
        <v>5.8297396582015697</v>
      </c>
      <c r="H1971" s="805">
        <v>172.52</v>
      </c>
      <c r="I1971" s="805">
        <v>17.78</v>
      </c>
      <c r="J1971" s="805">
        <v>2168.27</v>
      </c>
      <c r="K1971" s="805">
        <v>5312.0020000000004</v>
      </c>
    </row>
    <row r="1972" spans="3:11">
      <c r="C1972" s="861">
        <v>42642</v>
      </c>
      <c r="D1972" s="805">
        <v>37.32</v>
      </c>
      <c r="E1972" s="805">
        <v>16.850000000000001</v>
      </c>
      <c r="F1972" s="806">
        <v>6.67</v>
      </c>
      <c r="G1972" s="805">
        <v>5.9046345811051699</v>
      </c>
      <c r="H1972" s="805">
        <v>172.46</v>
      </c>
      <c r="I1972" s="805">
        <v>17.54</v>
      </c>
      <c r="J1972" s="805">
        <v>2151.13</v>
      </c>
      <c r="K1972" s="805">
        <v>5269.1540000000005</v>
      </c>
    </row>
    <row r="1973" spans="3:11">
      <c r="C1973" s="861">
        <v>42641</v>
      </c>
      <c r="D1973" s="805">
        <v>37.44</v>
      </c>
      <c r="E1973" s="805">
        <v>16.695</v>
      </c>
      <c r="F1973" s="806">
        <v>6.59</v>
      </c>
      <c r="G1973" s="805">
        <v>5.8228331424207704</v>
      </c>
      <c r="H1973" s="805">
        <v>170.7</v>
      </c>
      <c r="I1973" s="805">
        <v>17.440000000000001</v>
      </c>
      <c r="J1973" s="805">
        <v>2171.37</v>
      </c>
      <c r="K1973" s="805">
        <v>5318.5479999999998</v>
      </c>
    </row>
    <row r="1974" spans="3:11">
      <c r="C1974" s="861">
        <v>42640</v>
      </c>
      <c r="D1974" s="805">
        <v>37.18</v>
      </c>
      <c r="E1974" s="805">
        <v>16.635000000000002</v>
      </c>
      <c r="F1974" s="806">
        <v>6.54</v>
      </c>
      <c r="G1974" s="805">
        <v>5.8228331424207704</v>
      </c>
      <c r="H1974" s="805">
        <v>170.86</v>
      </c>
      <c r="I1974" s="805">
        <v>18</v>
      </c>
      <c r="J1974" s="805">
        <v>2159.9299999999998</v>
      </c>
      <c r="K1974" s="805">
        <v>5305.7120000000004</v>
      </c>
    </row>
    <row r="1975" spans="3:11">
      <c r="C1975" s="861">
        <v>42639</v>
      </c>
      <c r="D1975" s="805">
        <v>36.65</v>
      </c>
      <c r="E1975" s="805">
        <v>16.085000000000001</v>
      </c>
      <c r="F1975" s="806">
        <v>6.32</v>
      </c>
      <c r="G1975" s="805">
        <v>5.8228331424207704</v>
      </c>
      <c r="H1975" s="805">
        <v>166.69</v>
      </c>
      <c r="I1975" s="805">
        <v>17.36</v>
      </c>
      <c r="J1975" s="805">
        <v>2146.1</v>
      </c>
      <c r="K1975" s="805">
        <v>5257.491</v>
      </c>
    </row>
    <row r="1976" spans="3:11">
      <c r="C1976" s="861">
        <v>42638</v>
      </c>
      <c r="D1976" s="805">
        <v>37.19</v>
      </c>
      <c r="E1976" s="805">
        <v>16.237500000000001</v>
      </c>
      <c r="F1976" s="806">
        <v>6.55</v>
      </c>
      <c r="G1976" s="805">
        <v>5.9892672331182499</v>
      </c>
      <c r="H1976" s="805">
        <v>166.65</v>
      </c>
      <c r="I1976" s="805">
        <v>17.48</v>
      </c>
      <c r="J1976" s="805">
        <v>2164.69</v>
      </c>
      <c r="K1976" s="805">
        <v>5305.7470000000003</v>
      </c>
    </row>
    <row r="1977" spans="3:11">
      <c r="C1977" s="861">
        <v>42637</v>
      </c>
      <c r="D1977" s="805">
        <v>37.19</v>
      </c>
      <c r="E1977" s="805">
        <v>16.237500000000001</v>
      </c>
      <c r="F1977" s="806">
        <v>6.55</v>
      </c>
      <c r="G1977" s="805">
        <v>5.9892672331182499</v>
      </c>
      <c r="H1977" s="805">
        <v>166.65</v>
      </c>
      <c r="I1977" s="805">
        <v>17.48</v>
      </c>
      <c r="J1977" s="805">
        <v>2164.69</v>
      </c>
      <c r="K1977" s="805">
        <v>5305.7470000000003</v>
      </c>
    </row>
    <row r="1978" spans="3:11">
      <c r="C1978" s="861">
        <v>42636</v>
      </c>
      <c r="D1978" s="805">
        <v>37.19</v>
      </c>
      <c r="E1978" s="805">
        <v>16.237500000000001</v>
      </c>
      <c r="F1978" s="806">
        <v>6.55</v>
      </c>
      <c r="G1978" s="805">
        <v>5.9892672331182499</v>
      </c>
      <c r="H1978" s="805">
        <v>166.65</v>
      </c>
      <c r="I1978" s="805">
        <v>17.48</v>
      </c>
      <c r="J1978" s="805">
        <v>2164.69</v>
      </c>
      <c r="K1978" s="805">
        <v>5305.7470000000003</v>
      </c>
    </row>
    <row r="1979" spans="3:11">
      <c r="C1979" s="861">
        <v>42635</v>
      </c>
      <c r="D1979" s="805">
        <v>37.549999999999997</v>
      </c>
      <c r="E1979" s="805">
        <v>16.254999999999999</v>
      </c>
      <c r="F1979" s="806">
        <v>6.37</v>
      </c>
      <c r="G1979" s="805">
        <v>5.9236787482037396</v>
      </c>
      <c r="H1979" s="805">
        <v>168.84</v>
      </c>
      <c r="I1979" s="805">
        <v>17.59</v>
      </c>
      <c r="J1979" s="805">
        <v>2177.1799999999998</v>
      </c>
      <c r="K1979" s="805">
        <v>5339.5230000000001</v>
      </c>
    </row>
    <row r="1980" spans="3:11">
      <c r="C1980" s="861">
        <v>42634</v>
      </c>
      <c r="D1980" s="805">
        <v>37.450000000000003</v>
      </c>
      <c r="E1980" s="805">
        <v>16.215</v>
      </c>
      <c r="F1980" s="806">
        <v>6.29</v>
      </c>
      <c r="G1980" s="805">
        <v>5.9120264755968304</v>
      </c>
      <c r="H1980" s="805">
        <v>169.83</v>
      </c>
      <c r="I1980" s="805">
        <v>17.66</v>
      </c>
      <c r="J1980" s="805">
        <v>2163.12</v>
      </c>
      <c r="K1980" s="805">
        <v>5295.1819999999998</v>
      </c>
    </row>
    <row r="1981" spans="3:11">
      <c r="C1981" s="861">
        <v>42633</v>
      </c>
      <c r="D1981" s="805">
        <v>37.14</v>
      </c>
      <c r="E1981" s="805">
        <v>15.772500000000001</v>
      </c>
      <c r="F1981" s="806">
        <v>6.17</v>
      </c>
      <c r="G1981" s="805">
        <v>5.8421657515004499</v>
      </c>
      <c r="H1981" s="805">
        <v>168.23</v>
      </c>
      <c r="I1981" s="805">
        <v>16.920000000000002</v>
      </c>
      <c r="J1981" s="805">
        <v>2139.7600000000002</v>
      </c>
      <c r="K1981" s="805">
        <v>5241.3519999999999</v>
      </c>
    </row>
    <row r="1982" spans="3:11">
      <c r="C1982" s="861">
        <v>42632</v>
      </c>
      <c r="D1982" s="805">
        <v>37.159999999999997</v>
      </c>
      <c r="E1982" s="805">
        <v>15.9175</v>
      </c>
      <c r="F1982" s="806">
        <v>6.16</v>
      </c>
      <c r="G1982" s="805">
        <v>5.80877204150487</v>
      </c>
      <c r="H1982" s="805">
        <v>170.73</v>
      </c>
      <c r="I1982" s="805">
        <v>16.95</v>
      </c>
      <c r="J1982" s="805">
        <v>2139.12</v>
      </c>
      <c r="K1982" s="805">
        <v>5235.027</v>
      </c>
    </row>
    <row r="1983" spans="3:11">
      <c r="C1983" s="861">
        <v>42631</v>
      </c>
      <c r="D1983" s="805">
        <v>37.67</v>
      </c>
      <c r="E1983" s="805">
        <v>15.71</v>
      </c>
      <c r="F1983" s="806">
        <v>6.05</v>
      </c>
      <c r="G1983" s="805">
        <v>5.4752587730371101</v>
      </c>
      <c r="H1983" s="805">
        <v>171.24</v>
      </c>
      <c r="I1983" s="805">
        <v>17.48</v>
      </c>
      <c r="J1983" s="805">
        <v>2139.16</v>
      </c>
      <c r="K1983" s="805">
        <v>5244.567</v>
      </c>
    </row>
    <row r="1984" spans="3:11">
      <c r="C1984" s="861">
        <v>42630</v>
      </c>
      <c r="D1984" s="805">
        <v>37.67</v>
      </c>
      <c r="E1984" s="805">
        <v>15.71</v>
      </c>
      <c r="F1984" s="806">
        <v>6.05</v>
      </c>
      <c r="G1984" s="805">
        <v>5.4752587730371101</v>
      </c>
      <c r="H1984" s="805">
        <v>171.24</v>
      </c>
      <c r="I1984" s="805">
        <v>17.48</v>
      </c>
      <c r="J1984" s="805">
        <v>2139.16</v>
      </c>
      <c r="K1984" s="805">
        <v>5244.567</v>
      </c>
    </row>
    <row r="1985" spans="3:11">
      <c r="C1985" s="861">
        <v>42629</v>
      </c>
      <c r="D1985" s="805">
        <v>37.67</v>
      </c>
      <c r="E1985" s="805">
        <v>15.71</v>
      </c>
      <c r="F1985" s="806">
        <v>6.05</v>
      </c>
      <c r="G1985" s="805">
        <v>5.4752587730371101</v>
      </c>
      <c r="H1985" s="805">
        <v>171.24</v>
      </c>
      <c r="I1985" s="805">
        <v>17.48</v>
      </c>
      <c r="J1985" s="805">
        <v>2139.16</v>
      </c>
      <c r="K1985" s="805">
        <v>5244.567</v>
      </c>
    </row>
    <row r="1986" spans="3:11">
      <c r="C1986" s="861">
        <v>42628</v>
      </c>
      <c r="D1986" s="805">
        <v>36.56</v>
      </c>
      <c r="E1986" s="805">
        <v>15.672499999999999</v>
      </c>
      <c r="F1986" s="806">
        <v>6.02</v>
      </c>
      <c r="G1986" s="805">
        <v>5.4752587730371101</v>
      </c>
      <c r="H1986" s="805">
        <v>172.72</v>
      </c>
      <c r="I1986" s="805">
        <v>17.45</v>
      </c>
      <c r="J1986" s="805">
        <v>2147.2600000000002</v>
      </c>
      <c r="K1986" s="805">
        <v>5249.6859999999997</v>
      </c>
    </row>
    <row r="1987" spans="3:11">
      <c r="C1987" s="861">
        <v>42627</v>
      </c>
      <c r="D1987" s="805">
        <v>35.619999999999997</v>
      </c>
      <c r="E1987" s="805">
        <v>15.1</v>
      </c>
      <c r="F1987" s="806">
        <v>6.04</v>
      </c>
      <c r="G1987" s="805">
        <v>5.4752587730371101</v>
      </c>
      <c r="H1987" s="805">
        <v>169.61</v>
      </c>
      <c r="I1987" s="805">
        <v>16.93</v>
      </c>
      <c r="J1987" s="805">
        <v>2125.77</v>
      </c>
      <c r="K1987" s="805">
        <v>5173.7719999999999</v>
      </c>
    </row>
    <row r="1988" spans="3:11">
      <c r="C1988" s="861">
        <v>42626</v>
      </c>
      <c r="D1988" s="805">
        <v>35.61</v>
      </c>
      <c r="E1988" s="805">
        <v>14.967499999999999</v>
      </c>
      <c r="F1988" s="806">
        <v>5.74</v>
      </c>
      <c r="G1988" s="805">
        <v>5.4974397637671597</v>
      </c>
      <c r="H1988" s="805">
        <v>165.24</v>
      </c>
      <c r="I1988" s="805">
        <v>16.75</v>
      </c>
      <c r="J1988" s="805">
        <v>2127.02</v>
      </c>
      <c r="K1988" s="805">
        <v>5155.2550000000001</v>
      </c>
    </row>
    <row r="1989" spans="3:11">
      <c r="C1989" s="861">
        <v>42625</v>
      </c>
      <c r="D1989" s="805">
        <v>36.08</v>
      </c>
      <c r="E1989" s="805">
        <v>15.1875</v>
      </c>
      <c r="F1989" s="806">
        <v>5.94</v>
      </c>
      <c r="G1989" s="805">
        <v>5.5292259083728297</v>
      </c>
      <c r="H1989" s="805">
        <v>164.48</v>
      </c>
      <c r="I1989" s="805">
        <v>17.149999999999999</v>
      </c>
      <c r="J1989" s="805">
        <v>2159.04</v>
      </c>
      <c r="K1989" s="805">
        <v>5211.8879999999999</v>
      </c>
    </row>
    <row r="1990" spans="3:11">
      <c r="C1990" s="861">
        <v>42624</v>
      </c>
      <c r="D1990" s="805">
        <v>35.44</v>
      </c>
      <c r="E1990" s="805">
        <v>14.88</v>
      </c>
      <c r="F1990" s="806">
        <v>5.9</v>
      </c>
      <c r="G1990" s="805">
        <v>5.6286364786238297</v>
      </c>
      <c r="H1990" s="805">
        <v>160.78</v>
      </c>
      <c r="I1990" s="805">
        <v>16.809999999999999</v>
      </c>
      <c r="J1990" s="805">
        <v>2127.81</v>
      </c>
      <c r="K1990" s="805">
        <v>5125.9080000000004</v>
      </c>
    </row>
    <row r="1991" spans="3:11">
      <c r="C1991" s="861">
        <v>42623</v>
      </c>
      <c r="D1991" s="805">
        <v>35.44</v>
      </c>
      <c r="E1991" s="805">
        <v>14.88</v>
      </c>
      <c r="F1991" s="806">
        <v>5.9</v>
      </c>
      <c r="G1991" s="805">
        <v>5.6286364786238297</v>
      </c>
      <c r="H1991" s="805">
        <v>160.78</v>
      </c>
      <c r="I1991" s="805">
        <v>16.809999999999999</v>
      </c>
      <c r="J1991" s="805">
        <v>2127.81</v>
      </c>
      <c r="K1991" s="805">
        <v>5125.9080000000004</v>
      </c>
    </row>
    <row r="1992" spans="3:11">
      <c r="C1992" s="861">
        <v>42622</v>
      </c>
      <c r="D1992" s="805">
        <v>35.44</v>
      </c>
      <c r="E1992" s="805">
        <v>14.88</v>
      </c>
      <c r="F1992" s="806">
        <v>5.9</v>
      </c>
      <c r="G1992" s="805">
        <v>5.6760688084998696</v>
      </c>
      <c r="H1992" s="805">
        <v>160.78</v>
      </c>
      <c r="I1992" s="805">
        <v>16.809999999999999</v>
      </c>
      <c r="J1992" s="805">
        <v>2127.81</v>
      </c>
      <c r="K1992" s="805">
        <v>5125.9080000000004</v>
      </c>
    </row>
    <row r="1993" spans="3:11">
      <c r="C1993" s="861">
        <v>42621</v>
      </c>
      <c r="D1993" s="805">
        <v>36.44</v>
      </c>
      <c r="E1993" s="805">
        <v>15.66</v>
      </c>
      <c r="F1993" s="806">
        <v>6.2249999999999996</v>
      </c>
      <c r="G1993" s="805">
        <v>5.8440314236443802</v>
      </c>
      <c r="H1993" s="805">
        <v>168.38</v>
      </c>
      <c r="I1993" s="805">
        <v>17.45</v>
      </c>
      <c r="J1993" s="805">
        <v>2181.3000000000002</v>
      </c>
      <c r="K1993" s="805">
        <v>5259.4830000000002</v>
      </c>
    </row>
    <row r="1994" spans="3:11">
      <c r="C1994" s="861">
        <v>42620</v>
      </c>
      <c r="D1994" s="805">
        <v>36.46</v>
      </c>
      <c r="E1994" s="805">
        <v>15.547499999999999</v>
      </c>
      <c r="F1994" s="806">
        <v>6.84</v>
      </c>
      <c r="G1994" s="805">
        <v>5.8898847631241997</v>
      </c>
      <c r="H1994" s="805">
        <v>168.9</v>
      </c>
      <c r="I1994" s="805">
        <v>17.16</v>
      </c>
      <c r="J1994" s="805">
        <v>2186.16</v>
      </c>
      <c r="K1994" s="805">
        <v>5283.9260000000004</v>
      </c>
    </row>
    <row r="1995" spans="3:11">
      <c r="C1995" s="861">
        <v>42619</v>
      </c>
      <c r="D1995" s="805">
        <v>36.57</v>
      </c>
      <c r="E1995" s="805">
        <v>15.78</v>
      </c>
      <c r="F1995" s="806">
        <v>7.34</v>
      </c>
      <c r="G1995" s="805">
        <v>5.7486029931273697</v>
      </c>
      <c r="H1995" s="805">
        <v>171.1</v>
      </c>
      <c r="I1995" s="805">
        <v>17.010000000000002</v>
      </c>
      <c r="J1995" s="805">
        <v>2186.48</v>
      </c>
      <c r="K1995" s="805">
        <v>5275.9080000000004</v>
      </c>
    </row>
    <row r="1996" spans="3:11">
      <c r="C1996" s="861">
        <v>42618</v>
      </c>
      <c r="D1996" s="805">
        <v>36.08</v>
      </c>
      <c r="E1996" s="805">
        <v>15.6325</v>
      </c>
      <c r="F1996" s="806">
        <v>7.51</v>
      </c>
      <c r="G1996" s="805">
        <v>5.6217352528984597</v>
      </c>
      <c r="H1996" s="805">
        <v>173.11</v>
      </c>
      <c r="I1996" s="805">
        <v>16.7</v>
      </c>
      <c r="J1996" s="805">
        <v>2179.98</v>
      </c>
      <c r="K1996" s="805">
        <v>5249.8990000000003</v>
      </c>
    </row>
    <row r="1997" spans="3:11">
      <c r="C1997" s="861">
        <v>42617</v>
      </c>
      <c r="D1997" s="805">
        <v>36.08</v>
      </c>
      <c r="E1997" s="805">
        <v>15.6325</v>
      </c>
      <c r="F1997" s="806">
        <v>7.51</v>
      </c>
      <c r="G1997" s="805">
        <v>5.5186590765338401</v>
      </c>
      <c r="H1997" s="805">
        <v>173.11</v>
      </c>
      <c r="I1997" s="805">
        <v>16.7</v>
      </c>
      <c r="J1997" s="805">
        <v>2179.98</v>
      </c>
      <c r="K1997" s="805">
        <v>5249.8990000000003</v>
      </c>
    </row>
    <row r="1998" spans="3:11">
      <c r="C1998" s="861">
        <v>42616</v>
      </c>
      <c r="D1998" s="805">
        <v>36.08</v>
      </c>
      <c r="E1998" s="805">
        <v>15.6325</v>
      </c>
      <c r="F1998" s="806">
        <v>7.51</v>
      </c>
      <c r="G1998" s="805">
        <v>5.5186590765338401</v>
      </c>
      <c r="H1998" s="805">
        <v>173.11</v>
      </c>
      <c r="I1998" s="805">
        <v>16.7</v>
      </c>
      <c r="J1998" s="805">
        <v>2179.98</v>
      </c>
      <c r="K1998" s="805">
        <v>5249.8990000000003</v>
      </c>
    </row>
    <row r="1999" spans="3:11">
      <c r="C1999" s="861">
        <v>42615</v>
      </c>
      <c r="D1999" s="805">
        <v>36.08</v>
      </c>
      <c r="E1999" s="805">
        <v>15.6325</v>
      </c>
      <c r="F1999" s="806">
        <v>7.51</v>
      </c>
      <c r="G1999" s="805">
        <v>5.5186590765338401</v>
      </c>
      <c r="H1999" s="805">
        <v>173.11</v>
      </c>
      <c r="I1999" s="805">
        <v>16.7</v>
      </c>
      <c r="J1999" s="805">
        <v>2179.98</v>
      </c>
      <c r="K1999" s="805">
        <v>5249.8990000000003</v>
      </c>
    </row>
    <row r="2000" spans="3:11">
      <c r="C2000" s="861">
        <v>42614</v>
      </c>
      <c r="D2000" s="805">
        <v>36.020000000000003</v>
      </c>
      <c r="E2000" s="805">
        <v>15.7875</v>
      </c>
      <c r="F2000" s="806">
        <v>7.35</v>
      </c>
      <c r="G2000" s="805">
        <v>5.4726682017474699</v>
      </c>
      <c r="H2000" s="805">
        <v>177.09</v>
      </c>
      <c r="I2000" s="805">
        <v>16.64</v>
      </c>
      <c r="J2000" s="805">
        <v>2170.86</v>
      </c>
      <c r="K2000" s="805">
        <v>5227.2060000000001</v>
      </c>
    </row>
    <row r="2001" spans="3:11">
      <c r="C2001" s="861">
        <v>42613</v>
      </c>
      <c r="D2001" s="805">
        <v>35.89</v>
      </c>
      <c r="E2001" s="805">
        <v>15.335000000000001</v>
      </c>
      <c r="F2001" s="806">
        <v>7.4</v>
      </c>
      <c r="G2001" s="805">
        <v>5.5464515315769596</v>
      </c>
      <c r="H2001" s="805">
        <v>176.42</v>
      </c>
      <c r="I2001" s="805">
        <v>16.489999999999998</v>
      </c>
      <c r="J2001" s="805">
        <v>2170.9499999999998</v>
      </c>
      <c r="K2001" s="805">
        <v>5213.2190000000001</v>
      </c>
    </row>
    <row r="2002" spans="3:11">
      <c r="C2002" s="861">
        <v>42612</v>
      </c>
      <c r="D2002" s="805">
        <v>35.700000000000003</v>
      </c>
      <c r="E2002" s="805">
        <v>15.407500000000001</v>
      </c>
      <c r="F2002" s="806">
        <v>7.49</v>
      </c>
      <c r="G2002" s="805">
        <v>5.4974481759183398</v>
      </c>
      <c r="H2002" s="805">
        <v>177</v>
      </c>
      <c r="I2002" s="805">
        <v>16.739999999999998</v>
      </c>
      <c r="J2002" s="805">
        <v>2176.12</v>
      </c>
      <c r="K2002" s="805">
        <v>5222.9889999999996</v>
      </c>
    </row>
    <row r="2003" spans="3:11">
      <c r="C2003" s="861">
        <v>42611</v>
      </c>
      <c r="D2003" s="805">
        <v>35.549999999999997</v>
      </c>
      <c r="E2003" s="805">
        <v>15.4975</v>
      </c>
      <c r="F2003" s="806">
        <v>7.59</v>
      </c>
      <c r="G2003" s="805">
        <v>5.5706350208307001</v>
      </c>
      <c r="H2003" s="805">
        <v>177.4</v>
      </c>
      <c r="I2003" s="805">
        <v>16.91</v>
      </c>
      <c r="J2003" s="805">
        <v>2180.38</v>
      </c>
      <c r="K2003" s="805">
        <v>5232.3280000000004</v>
      </c>
    </row>
    <row r="2004" spans="3:11">
      <c r="C2004" s="861">
        <v>42610</v>
      </c>
      <c r="D2004" s="805">
        <v>35.26</v>
      </c>
      <c r="E2004" s="805">
        <v>15.5075</v>
      </c>
      <c r="F2004" s="806">
        <v>7.67</v>
      </c>
      <c r="G2004" s="805">
        <v>5.5737498425494403</v>
      </c>
      <c r="H2004" s="805">
        <v>177.16</v>
      </c>
      <c r="I2004" s="805">
        <v>16.510000000000002</v>
      </c>
      <c r="J2004" s="805">
        <v>2169.04</v>
      </c>
      <c r="K2004" s="805">
        <v>5218.9170000000004</v>
      </c>
    </row>
    <row r="2005" spans="3:11">
      <c r="C2005" s="861">
        <v>42609</v>
      </c>
      <c r="D2005" s="805">
        <v>35.26</v>
      </c>
      <c r="E2005" s="805">
        <v>15.5075</v>
      </c>
      <c r="F2005" s="806">
        <v>7.67</v>
      </c>
      <c r="G2005" s="805">
        <v>5.5737498425494403</v>
      </c>
      <c r="H2005" s="805">
        <v>177.16</v>
      </c>
      <c r="I2005" s="805">
        <v>16.510000000000002</v>
      </c>
      <c r="J2005" s="805">
        <v>2169.04</v>
      </c>
      <c r="K2005" s="805">
        <v>5218.9170000000004</v>
      </c>
    </row>
    <row r="2006" spans="3:11">
      <c r="C2006" s="861">
        <v>42608</v>
      </c>
      <c r="D2006" s="805">
        <v>35.26</v>
      </c>
      <c r="E2006" s="805">
        <v>15.5075</v>
      </c>
      <c r="F2006" s="806">
        <v>7.67</v>
      </c>
      <c r="G2006" s="805">
        <v>5.5737498425494403</v>
      </c>
      <c r="H2006" s="805">
        <v>177.16</v>
      </c>
      <c r="I2006" s="805">
        <v>16.510000000000002</v>
      </c>
      <c r="J2006" s="805">
        <v>2169.04</v>
      </c>
      <c r="K2006" s="805">
        <v>5218.9170000000004</v>
      </c>
    </row>
    <row r="2007" spans="3:11">
      <c r="C2007" s="861">
        <v>42607</v>
      </c>
      <c r="D2007" s="805">
        <v>35.090000000000003</v>
      </c>
      <c r="E2007" s="805">
        <v>15.3825</v>
      </c>
      <c r="F2007" s="806">
        <v>7.4649999999999999</v>
      </c>
      <c r="G2007" s="805">
        <v>5.59047408483623</v>
      </c>
      <c r="H2007" s="805">
        <v>176.04</v>
      </c>
      <c r="I2007" s="805">
        <v>16.2</v>
      </c>
      <c r="J2007" s="805">
        <v>2172.4699999999998</v>
      </c>
      <c r="K2007" s="805">
        <v>5212.2039999999997</v>
      </c>
    </row>
    <row r="2008" spans="3:11">
      <c r="C2008" s="861">
        <v>42606</v>
      </c>
      <c r="D2008" s="805">
        <v>35.15</v>
      </c>
      <c r="E2008" s="805">
        <v>15.484999999999999</v>
      </c>
      <c r="F2008" s="806">
        <v>7.43</v>
      </c>
      <c r="G2008" s="805">
        <v>5.4678390217768102</v>
      </c>
      <c r="H2008" s="805">
        <v>175.3</v>
      </c>
      <c r="I2008" s="805">
        <v>15.51</v>
      </c>
      <c r="J2008" s="805">
        <v>2175.44</v>
      </c>
      <c r="K2008" s="805">
        <v>5217.6949999999997</v>
      </c>
    </row>
    <row r="2009" spans="3:11">
      <c r="C2009" s="861">
        <v>42605</v>
      </c>
      <c r="D2009" s="805">
        <v>35.4</v>
      </c>
      <c r="E2009" s="805">
        <v>15.727499999999999</v>
      </c>
      <c r="F2009" s="806">
        <v>7.67</v>
      </c>
      <c r="G2009" s="805">
        <v>5.4704939164334903</v>
      </c>
      <c r="H2009" s="805">
        <v>177.34</v>
      </c>
      <c r="I2009" s="805">
        <v>16.18</v>
      </c>
      <c r="J2009" s="805">
        <v>2186.9</v>
      </c>
      <c r="K2009" s="805">
        <v>5260.0780000000004</v>
      </c>
    </row>
    <row r="2010" spans="3:11">
      <c r="C2010" s="861">
        <v>42604</v>
      </c>
      <c r="D2010" s="805">
        <v>35.36</v>
      </c>
      <c r="E2010" s="805">
        <v>15.63</v>
      </c>
      <c r="F2010" s="806">
        <v>7.58</v>
      </c>
      <c r="G2010" s="805">
        <v>5.4409359667882802</v>
      </c>
      <c r="H2010" s="805">
        <v>175.93</v>
      </c>
      <c r="I2010" s="805">
        <v>16.190000000000001</v>
      </c>
      <c r="J2010" s="805">
        <v>2182.64</v>
      </c>
      <c r="K2010" s="805">
        <v>5244.6030000000001</v>
      </c>
    </row>
    <row r="2011" spans="3:11">
      <c r="C2011" s="861">
        <v>42603</v>
      </c>
      <c r="D2011" s="805">
        <v>35.24</v>
      </c>
      <c r="E2011" s="805">
        <v>15.565</v>
      </c>
      <c r="F2011" s="806">
        <v>7.62</v>
      </c>
      <c r="G2011" s="805">
        <v>5.5200556750601004</v>
      </c>
      <c r="H2011" s="805">
        <v>174.93</v>
      </c>
      <c r="I2011" s="805">
        <v>16.25</v>
      </c>
      <c r="J2011" s="805">
        <v>2183.87</v>
      </c>
      <c r="K2011" s="805">
        <v>5238.3779999999997</v>
      </c>
    </row>
    <row r="2012" spans="3:11">
      <c r="C2012" s="861">
        <v>42602</v>
      </c>
      <c r="D2012" s="805">
        <v>35.24</v>
      </c>
      <c r="E2012" s="805">
        <v>15.565</v>
      </c>
      <c r="F2012" s="806">
        <v>7.62</v>
      </c>
      <c r="G2012" s="805">
        <v>5.5200556750601004</v>
      </c>
      <c r="H2012" s="805">
        <v>174.93</v>
      </c>
      <c r="I2012" s="805">
        <v>16.25</v>
      </c>
      <c r="J2012" s="805">
        <v>2183.87</v>
      </c>
      <c r="K2012" s="805">
        <v>5238.3779999999997</v>
      </c>
    </row>
    <row r="2013" spans="3:11">
      <c r="C2013" s="861">
        <v>42601</v>
      </c>
      <c r="D2013" s="805">
        <v>35.24</v>
      </c>
      <c r="E2013" s="805">
        <v>15.565</v>
      </c>
      <c r="F2013" s="806">
        <v>7.62</v>
      </c>
      <c r="G2013" s="805">
        <v>5.5200556750601004</v>
      </c>
      <c r="H2013" s="805">
        <v>174.93</v>
      </c>
      <c r="I2013" s="805">
        <v>16.25</v>
      </c>
      <c r="J2013" s="805">
        <v>2183.87</v>
      </c>
      <c r="K2013" s="805">
        <v>5238.3779999999997</v>
      </c>
    </row>
    <row r="2014" spans="3:11">
      <c r="C2014" s="861">
        <v>42600</v>
      </c>
      <c r="D2014" s="805">
        <v>34.97</v>
      </c>
      <c r="E2014" s="805">
        <v>15.525</v>
      </c>
      <c r="F2014" s="806">
        <v>7.04</v>
      </c>
      <c r="G2014" s="805">
        <v>5.6040247086543999</v>
      </c>
      <c r="H2014" s="805">
        <v>173.93</v>
      </c>
      <c r="I2014" s="805">
        <v>15.77</v>
      </c>
      <c r="J2014" s="805">
        <v>2187.02</v>
      </c>
      <c r="K2014" s="805">
        <v>5240.1450000000004</v>
      </c>
    </row>
    <row r="2015" spans="3:11">
      <c r="C2015" s="861">
        <v>42599</v>
      </c>
      <c r="D2015" s="805">
        <v>35.020000000000003</v>
      </c>
      <c r="E2015" s="805">
        <v>15.2875</v>
      </c>
      <c r="F2015" s="806">
        <v>6.68</v>
      </c>
      <c r="G2015" s="805">
        <v>5.63766084851573</v>
      </c>
      <c r="H2015" s="805">
        <v>173.03</v>
      </c>
      <c r="I2015" s="805">
        <v>15.52</v>
      </c>
      <c r="J2015" s="805">
        <v>2182.2199999999998</v>
      </c>
      <c r="K2015" s="805">
        <v>5228.6570000000002</v>
      </c>
    </row>
    <row r="2016" spans="3:11">
      <c r="C2016" s="861">
        <v>42598</v>
      </c>
      <c r="D2016" s="805">
        <v>35.21</v>
      </c>
      <c r="E2016" s="805">
        <v>15.65</v>
      </c>
      <c r="F2016" s="806">
        <v>6.78</v>
      </c>
      <c r="G2016" s="805">
        <v>5.6089999680398899</v>
      </c>
      <c r="H2016" s="805">
        <v>172.4</v>
      </c>
      <c r="I2016" s="805">
        <v>15.49</v>
      </c>
      <c r="J2016" s="805">
        <v>2178.15</v>
      </c>
      <c r="K2016" s="805">
        <v>5227.1109999999999</v>
      </c>
    </row>
    <row r="2017" spans="3:11">
      <c r="C2017" s="861">
        <v>42597</v>
      </c>
      <c r="D2017" s="805">
        <v>34.909999999999997</v>
      </c>
      <c r="E2017" s="805">
        <v>15.744999999999999</v>
      </c>
      <c r="F2017" s="806">
        <v>6.95</v>
      </c>
      <c r="G2017" s="805">
        <v>5.7148330247110701</v>
      </c>
      <c r="H2017" s="805">
        <v>175.54</v>
      </c>
      <c r="I2017" s="805">
        <v>15.53</v>
      </c>
      <c r="J2017" s="805">
        <v>2190.15</v>
      </c>
      <c r="K2017" s="805">
        <v>5262.0150000000003</v>
      </c>
    </row>
    <row r="2018" spans="3:11">
      <c r="C2018" s="861">
        <v>42596</v>
      </c>
      <c r="D2018" s="805">
        <v>34.57</v>
      </c>
      <c r="E2018" s="805">
        <v>15.76</v>
      </c>
      <c r="F2018" s="806">
        <v>6.73</v>
      </c>
      <c r="G2018" s="805">
        <v>5.65124645802159</v>
      </c>
      <c r="H2018" s="805">
        <v>172.47</v>
      </c>
      <c r="I2018" s="805">
        <v>14.93</v>
      </c>
      <c r="J2018" s="805">
        <v>2184.0500000000002</v>
      </c>
      <c r="K2018" s="805">
        <v>5232.8950000000004</v>
      </c>
    </row>
    <row r="2019" spans="3:11">
      <c r="C2019" s="861">
        <v>42595</v>
      </c>
      <c r="D2019" s="805">
        <v>34.57</v>
      </c>
      <c r="E2019" s="805">
        <v>15.76</v>
      </c>
      <c r="F2019" s="806">
        <v>6.73</v>
      </c>
      <c r="G2019" s="805">
        <v>5.65124645802159</v>
      </c>
      <c r="H2019" s="805">
        <v>172.47</v>
      </c>
      <c r="I2019" s="805">
        <v>14.93</v>
      </c>
      <c r="J2019" s="805">
        <v>2184.0500000000002</v>
      </c>
      <c r="K2019" s="805">
        <v>5232.8950000000004</v>
      </c>
    </row>
    <row r="2020" spans="3:11">
      <c r="C2020" s="861">
        <v>42594</v>
      </c>
      <c r="D2020" s="805">
        <v>34.57</v>
      </c>
      <c r="E2020" s="805">
        <v>15.76</v>
      </c>
      <c r="F2020" s="806">
        <v>6.73</v>
      </c>
      <c r="G2020" s="805">
        <v>5.65124645802159</v>
      </c>
      <c r="H2020" s="805">
        <v>172.47</v>
      </c>
      <c r="I2020" s="805">
        <v>14.93</v>
      </c>
      <c r="J2020" s="805">
        <v>2184.0500000000002</v>
      </c>
      <c r="K2020" s="805">
        <v>5232.8950000000004</v>
      </c>
    </row>
    <row r="2021" spans="3:11">
      <c r="C2021" s="861">
        <v>42593</v>
      </c>
      <c r="D2021" s="805">
        <v>34.68</v>
      </c>
      <c r="E2021" s="805">
        <v>14.925000000000001</v>
      </c>
      <c r="F2021" s="806">
        <v>6.58</v>
      </c>
      <c r="G2021" s="805">
        <v>5.6416813169250402</v>
      </c>
      <c r="H2021" s="805">
        <v>172.09</v>
      </c>
      <c r="I2021" s="805">
        <v>14.43</v>
      </c>
      <c r="J2021" s="805">
        <v>2185.79</v>
      </c>
      <c r="K2021" s="805">
        <v>5228.3990000000003</v>
      </c>
    </row>
    <row r="2022" spans="3:11">
      <c r="C2022" s="861">
        <v>42592</v>
      </c>
      <c r="D2022" s="805">
        <v>34.53</v>
      </c>
      <c r="E2022" s="805">
        <v>14.6275</v>
      </c>
      <c r="F2022" s="806">
        <v>6.49</v>
      </c>
      <c r="G2022" s="805">
        <v>5.7808122121670804</v>
      </c>
      <c r="H2022" s="805">
        <v>171.85</v>
      </c>
      <c r="I2022" s="805">
        <v>14.2</v>
      </c>
      <c r="J2022" s="805">
        <v>2175.4899999999998</v>
      </c>
      <c r="K2022" s="805">
        <v>5204.585</v>
      </c>
    </row>
    <row r="2023" spans="3:11">
      <c r="C2023" s="861">
        <v>42591</v>
      </c>
      <c r="D2023" s="805">
        <v>34.92</v>
      </c>
      <c r="E2023" s="805">
        <v>14.7225</v>
      </c>
      <c r="F2023" s="806">
        <v>6.6</v>
      </c>
      <c r="G2023" s="805">
        <v>5.6946881480299902</v>
      </c>
      <c r="H2023" s="805">
        <v>171.17</v>
      </c>
      <c r="I2023" s="805">
        <v>14.48</v>
      </c>
      <c r="J2023" s="805">
        <v>2181.7399999999998</v>
      </c>
      <c r="K2023" s="805">
        <v>5225.4799999999996</v>
      </c>
    </row>
    <row r="2024" spans="3:11">
      <c r="C2024" s="861">
        <v>42590</v>
      </c>
      <c r="D2024" s="805">
        <v>35.04</v>
      </c>
      <c r="E2024" s="805">
        <v>14.685</v>
      </c>
      <c r="F2024" s="806">
        <v>6.68</v>
      </c>
      <c r="G2024" s="805">
        <v>5.6653617237976999</v>
      </c>
      <c r="H2024" s="805">
        <v>168.35</v>
      </c>
      <c r="I2024" s="805">
        <v>14.42</v>
      </c>
      <c r="J2024" s="805">
        <v>2180.89</v>
      </c>
      <c r="K2024" s="805">
        <v>5213.1409999999996</v>
      </c>
    </row>
    <row r="2025" spans="3:11">
      <c r="C2025" s="861">
        <v>42589</v>
      </c>
      <c r="D2025" s="805">
        <v>34.979999999999997</v>
      </c>
      <c r="E2025" s="805">
        <v>14.55</v>
      </c>
      <c r="F2025" s="806">
        <v>6.61</v>
      </c>
      <c r="G2025" s="805">
        <v>5.6096092289164297</v>
      </c>
      <c r="H2025" s="805">
        <v>170.12</v>
      </c>
      <c r="I2025" s="805">
        <v>14.52</v>
      </c>
      <c r="J2025" s="805">
        <v>2182.87</v>
      </c>
      <c r="K2025" s="805">
        <v>5221.1210000000001</v>
      </c>
    </row>
    <row r="2026" spans="3:11">
      <c r="C2026" s="861">
        <v>42588</v>
      </c>
      <c r="D2026" s="805">
        <v>34.979999999999997</v>
      </c>
      <c r="E2026" s="805">
        <v>14.55</v>
      </c>
      <c r="F2026" s="806">
        <v>6.61</v>
      </c>
      <c r="G2026" s="805">
        <v>5.6096092289164297</v>
      </c>
      <c r="H2026" s="805">
        <v>170.12</v>
      </c>
      <c r="I2026" s="805">
        <v>14.52</v>
      </c>
      <c r="J2026" s="805">
        <v>2182.87</v>
      </c>
      <c r="K2026" s="805">
        <v>5221.1210000000001</v>
      </c>
    </row>
    <row r="2027" spans="3:11">
      <c r="C2027" s="861">
        <v>42587</v>
      </c>
      <c r="D2027" s="805">
        <v>34.979999999999997</v>
      </c>
      <c r="E2027" s="805">
        <v>14.55</v>
      </c>
      <c r="F2027" s="806">
        <v>6.61</v>
      </c>
      <c r="G2027" s="805">
        <v>5.6096092289164297</v>
      </c>
      <c r="H2027" s="805">
        <v>170.12</v>
      </c>
      <c r="I2027" s="805">
        <v>14.52</v>
      </c>
      <c r="J2027" s="805">
        <v>2182.87</v>
      </c>
      <c r="K2027" s="805">
        <v>5221.1210000000001</v>
      </c>
    </row>
    <row r="2028" spans="3:11">
      <c r="C2028" s="861">
        <v>42586</v>
      </c>
      <c r="D2028" s="805">
        <v>34.58</v>
      </c>
      <c r="E2028" s="805">
        <v>14.307499999999999</v>
      </c>
      <c r="F2028" s="806">
        <v>6.47</v>
      </c>
      <c r="G2028" s="805">
        <v>5.5108163587557204</v>
      </c>
      <c r="H2028" s="805">
        <v>166.99</v>
      </c>
      <c r="I2028" s="805">
        <v>14.03</v>
      </c>
      <c r="J2028" s="805">
        <v>2164.25</v>
      </c>
      <c r="K2028" s="805">
        <v>5166.2479999999996</v>
      </c>
    </row>
    <row r="2029" spans="3:11">
      <c r="C2029" s="861">
        <v>42585</v>
      </c>
      <c r="D2029" s="805">
        <v>34.25</v>
      </c>
      <c r="E2029" s="805">
        <v>14.047499999999999</v>
      </c>
      <c r="F2029" s="806">
        <v>6.3</v>
      </c>
      <c r="G2029" s="805">
        <v>5.4452476403926902</v>
      </c>
      <c r="H2029" s="805">
        <v>164.11</v>
      </c>
      <c r="I2029" s="805">
        <v>13.51</v>
      </c>
      <c r="J2029" s="805">
        <v>2163.79</v>
      </c>
      <c r="K2029" s="805">
        <v>5159.7370000000001</v>
      </c>
    </row>
    <row r="2030" spans="3:11">
      <c r="C2030" s="861">
        <v>42584</v>
      </c>
      <c r="D2030" s="805">
        <v>34.56</v>
      </c>
      <c r="E2030" s="805">
        <v>14.01</v>
      </c>
      <c r="F2030" s="806">
        <v>6.26</v>
      </c>
      <c r="G2030" s="805">
        <v>5.5653933721224398</v>
      </c>
      <c r="H2030" s="805">
        <v>162.88999999999999</v>
      </c>
      <c r="I2030" s="805">
        <v>13.4</v>
      </c>
      <c r="J2030" s="805">
        <v>2157.0300000000002</v>
      </c>
      <c r="K2030" s="805">
        <v>5137.732</v>
      </c>
    </row>
    <row r="2031" spans="3:11">
      <c r="C2031" s="861">
        <v>42583</v>
      </c>
      <c r="D2031" s="805">
        <v>34.85</v>
      </c>
      <c r="E2031" s="805">
        <v>14.182499999999999</v>
      </c>
      <c r="F2031" s="806">
        <v>6.64</v>
      </c>
      <c r="G2031" s="805">
        <v>5.61227725283785</v>
      </c>
      <c r="H2031" s="805">
        <v>163.51</v>
      </c>
      <c r="I2031" s="805">
        <v>13.56</v>
      </c>
      <c r="J2031" s="805">
        <v>2170.84</v>
      </c>
      <c r="K2031" s="805">
        <v>5184.1959999999999</v>
      </c>
    </row>
    <row r="2032" spans="3:11">
      <c r="C2032" s="861">
        <v>42582</v>
      </c>
      <c r="D2032" s="805">
        <v>34.86</v>
      </c>
      <c r="E2032" s="805">
        <v>14.275</v>
      </c>
      <c r="F2032" s="806">
        <v>6.86</v>
      </c>
      <c r="G2032" s="805">
        <v>5.4214595511974402</v>
      </c>
      <c r="H2032" s="805">
        <v>161.97999999999999</v>
      </c>
      <c r="I2032" s="805">
        <v>13.74</v>
      </c>
      <c r="J2032" s="805">
        <v>2173.6</v>
      </c>
      <c r="K2032" s="805">
        <v>5162.1310000000003</v>
      </c>
    </row>
    <row r="2033" spans="3:11">
      <c r="C2033" s="861">
        <v>42581</v>
      </c>
      <c r="D2033" s="805">
        <v>34.86</v>
      </c>
      <c r="E2033" s="805">
        <v>14.275</v>
      </c>
      <c r="F2033" s="806">
        <v>6.86</v>
      </c>
      <c r="G2033" s="805">
        <v>5.4214595511974402</v>
      </c>
      <c r="H2033" s="805">
        <v>161.97999999999999</v>
      </c>
      <c r="I2033" s="805">
        <v>13.74</v>
      </c>
      <c r="J2033" s="805">
        <v>2173.6</v>
      </c>
      <c r="K2033" s="805">
        <v>5162.1310000000003</v>
      </c>
    </row>
    <row r="2034" spans="3:11">
      <c r="C2034" s="861">
        <v>42580</v>
      </c>
      <c r="D2034" s="805">
        <v>34.86</v>
      </c>
      <c r="E2034" s="805">
        <v>14.275</v>
      </c>
      <c r="F2034" s="806">
        <v>6.86</v>
      </c>
      <c r="G2034" s="805">
        <v>5.4214595511974402</v>
      </c>
      <c r="H2034" s="805">
        <v>161.97999999999999</v>
      </c>
      <c r="I2034" s="805">
        <v>13.74</v>
      </c>
      <c r="J2034" s="805">
        <v>2173.6</v>
      </c>
      <c r="K2034" s="805">
        <v>5162.1310000000003</v>
      </c>
    </row>
    <row r="2035" spans="3:11">
      <c r="C2035" s="861">
        <v>42579</v>
      </c>
      <c r="D2035" s="805">
        <v>34.770000000000003</v>
      </c>
      <c r="E2035" s="805">
        <v>14.045</v>
      </c>
      <c r="F2035" s="806">
        <v>6.82</v>
      </c>
      <c r="G2035" s="805">
        <v>5.5206280691877003</v>
      </c>
      <c r="H2035" s="805">
        <v>164.23</v>
      </c>
      <c r="I2035" s="805">
        <v>13.81</v>
      </c>
      <c r="J2035" s="805">
        <v>2170.06</v>
      </c>
      <c r="K2035" s="805">
        <v>5154.982</v>
      </c>
    </row>
    <row r="2036" spans="3:11">
      <c r="C2036" s="861">
        <v>42578</v>
      </c>
      <c r="D2036" s="805">
        <v>34.83</v>
      </c>
      <c r="E2036" s="805">
        <v>14.015000000000001</v>
      </c>
      <c r="F2036" s="806">
        <v>6.85</v>
      </c>
      <c r="G2036" s="805">
        <v>5.4682373527481802</v>
      </c>
      <c r="H2036" s="805">
        <v>165.66</v>
      </c>
      <c r="I2036" s="805">
        <v>14.19</v>
      </c>
      <c r="J2036" s="805">
        <v>2166.58</v>
      </c>
      <c r="K2036" s="805">
        <v>5139.8100000000004</v>
      </c>
    </row>
    <row r="2037" spans="3:11">
      <c r="C2037" s="861">
        <v>42577</v>
      </c>
      <c r="D2037" s="805">
        <v>35.090000000000003</v>
      </c>
      <c r="E2037" s="805">
        <v>14.157500000000001</v>
      </c>
      <c r="F2037" s="806">
        <v>6.98</v>
      </c>
      <c r="G2037" s="805">
        <v>5.38991182976602</v>
      </c>
      <c r="H2037" s="805">
        <v>163.44</v>
      </c>
      <c r="I2037" s="805">
        <v>14.67</v>
      </c>
      <c r="J2037" s="805">
        <v>2169.1799999999998</v>
      </c>
      <c r="K2037" s="805">
        <v>5110.0469999999996</v>
      </c>
    </row>
    <row r="2038" spans="3:11">
      <c r="C2038" s="861">
        <v>42576</v>
      </c>
      <c r="D2038" s="805">
        <v>34.69</v>
      </c>
      <c r="E2038" s="805">
        <v>13.92</v>
      </c>
      <c r="F2038" s="806">
        <v>6.7</v>
      </c>
      <c r="G2038" s="805">
        <v>5.3284036537625097</v>
      </c>
      <c r="H2038" s="805">
        <v>159.78</v>
      </c>
      <c r="I2038" s="805">
        <v>13.92</v>
      </c>
      <c r="J2038" s="805">
        <v>2168.48</v>
      </c>
      <c r="K2038" s="805">
        <v>5097.6279999999997</v>
      </c>
    </row>
    <row r="2039" spans="3:11">
      <c r="C2039" s="861">
        <v>42575</v>
      </c>
      <c r="D2039" s="805">
        <v>34.659999999999997</v>
      </c>
      <c r="E2039" s="805">
        <v>13.6675</v>
      </c>
      <c r="F2039" s="806">
        <v>5.84</v>
      </c>
      <c r="G2039" s="805">
        <v>5.3467575511225096</v>
      </c>
      <c r="H2039" s="805">
        <v>159.66999999999999</v>
      </c>
      <c r="I2039" s="805">
        <v>13.13</v>
      </c>
      <c r="J2039" s="805">
        <v>2175.0300000000002</v>
      </c>
      <c r="K2039" s="805">
        <v>5100.1620000000003</v>
      </c>
    </row>
    <row r="2040" spans="3:11">
      <c r="C2040" s="861">
        <v>42574</v>
      </c>
      <c r="D2040" s="805">
        <v>34.659999999999997</v>
      </c>
      <c r="E2040" s="805">
        <v>13.6675</v>
      </c>
      <c r="F2040" s="806">
        <v>5.84</v>
      </c>
      <c r="G2040" s="805">
        <v>5.3467575511225096</v>
      </c>
      <c r="H2040" s="805">
        <v>159.66999999999999</v>
      </c>
      <c r="I2040" s="805">
        <v>13.13</v>
      </c>
      <c r="J2040" s="805">
        <v>2175.0300000000002</v>
      </c>
      <c r="K2040" s="805">
        <v>5100.1620000000003</v>
      </c>
    </row>
    <row r="2041" spans="3:11">
      <c r="C2041" s="861">
        <v>42573</v>
      </c>
      <c r="D2041" s="805">
        <v>34.659999999999997</v>
      </c>
      <c r="E2041" s="805">
        <v>13.6675</v>
      </c>
      <c r="F2041" s="806">
        <v>5.84</v>
      </c>
      <c r="G2041" s="805">
        <v>5.3467575511225096</v>
      </c>
      <c r="H2041" s="805">
        <v>159.66999999999999</v>
      </c>
      <c r="I2041" s="805">
        <v>13.13</v>
      </c>
      <c r="J2041" s="805">
        <v>2175.0300000000002</v>
      </c>
      <c r="K2041" s="805">
        <v>5100.1620000000003</v>
      </c>
    </row>
    <row r="2042" spans="3:11">
      <c r="C2042" s="861">
        <v>42572</v>
      </c>
      <c r="D2042" s="805">
        <v>34.270000000000003</v>
      </c>
      <c r="E2042" s="805">
        <v>13.305</v>
      </c>
      <c r="F2042" s="806">
        <v>5.22</v>
      </c>
      <c r="G2042" s="805">
        <v>5.3724816492269296</v>
      </c>
      <c r="H2042" s="805">
        <v>160.41</v>
      </c>
      <c r="I2042" s="805">
        <v>13.18</v>
      </c>
      <c r="J2042" s="805">
        <v>2165.17</v>
      </c>
      <c r="K2042" s="805">
        <v>5073.9040000000005</v>
      </c>
    </row>
    <row r="2043" spans="3:11">
      <c r="C2043" s="861">
        <v>42571</v>
      </c>
      <c r="D2043" s="805">
        <v>35.69</v>
      </c>
      <c r="E2043" s="805">
        <v>13.555</v>
      </c>
      <c r="F2043" s="806">
        <v>5.41</v>
      </c>
      <c r="G2043" s="805">
        <v>5.3047087090835303</v>
      </c>
      <c r="H2043" s="805">
        <v>162.66999999999999</v>
      </c>
      <c r="I2043" s="805">
        <v>13.59</v>
      </c>
      <c r="J2043" s="805">
        <v>2173.02</v>
      </c>
      <c r="K2043" s="805">
        <v>5089.933</v>
      </c>
    </row>
    <row r="2044" spans="3:11">
      <c r="C2044" s="861">
        <v>42570</v>
      </c>
      <c r="D2044" s="805">
        <v>35.15</v>
      </c>
      <c r="E2044" s="805">
        <v>13.38</v>
      </c>
      <c r="F2044" s="806">
        <v>5.41</v>
      </c>
      <c r="G2044" s="805">
        <v>5.3269597275595997</v>
      </c>
      <c r="H2044" s="805">
        <v>160.53</v>
      </c>
      <c r="I2044" s="805">
        <v>13.22</v>
      </c>
      <c r="J2044" s="805">
        <v>2163.7800000000002</v>
      </c>
      <c r="K2044" s="805">
        <v>5036.3729999999996</v>
      </c>
    </row>
    <row r="2045" spans="3:11">
      <c r="C2045" s="861">
        <v>42569</v>
      </c>
      <c r="D2045" s="805">
        <v>35.049999999999997</v>
      </c>
      <c r="E2045" s="805">
        <v>13.2425</v>
      </c>
      <c r="F2045" s="806">
        <v>5.51</v>
      </c>
      <c r="G2045" s="805">
        <v>5.3084873160037596</v>
      </c>
      <c r="H2045" s="805">
        <v>162.33000000000001</v>
      </c>
      <c r="I2045" s="805">
        <v>13.34</v>
      </c>
      <c r="J2045" s="805">
        <v>2166.89</v>
      </c>
      <c r="K2045" s="805">
        <v>5055.7830000000004</v>
      </c>
    </row>
    <row r="2046" spans="3:11">
      <c r="C2046" s="861">
        <v>42568</v>
      </c>
      <c r="D2046" s="805">
        <v>35.07</v>
      </c>
      <c r="E2046" s="805">
        <v>13.175000000000001</v>
      </c>
      <c r="F2046" s="806">
        <v>5.14</v>
      </c>
      <c r="G2046" s="805">
        <v>5.3134796238244499</v>
      </c>
      <c r="H2046" s="805">
        <v>161.16</v>
      </c>
      <c r="I2046" s="805">
        <v>13.13</v>
      </c>
      <c r="J2046" s="805">
        <v>2161.7399999999998</v>
      </c>
      <c r="K2046" s="805">
        <v>5029.5879999999997</v>
      </c>
    </row>
    <row r="2047" spans="3:11">
      <c r="C2047" s="861">
        <v>42567</v>
      </c>
      <c r="D2047" s="805">
        <v>35.07</v>
      </c>
      <c r="E2047" s="805">
        <v>13.175000000000001</v>
      </c>
      <c r="F2047" s="806">
        <v>5.14</v>
      </c>
      <c r="G2047" s="805">
        <v>5.3134796238244499</v>
      </c>
      <c r="H2047" s="805">
        <v>161.16</v>
      </c>
      <c r="I2047" s="805">
        <v>13.13</v>
      </c>
      <c r="J2047" s="805">
        <v>2161.7399999999998</v>
      </c>
      <c r="K2047" s="805">
        <v>5029.5879999999997</v>
      </c>
    </row>
    <row r="2048" spans="3:11">
      <c r="C2048" s="861">
        <v>42566</v>
      </c>
      <c r="D2048" s="805">
        <v>35.07</v>
      </c>
      <c r="E2048" s="805">
        <v>13.175000000000001</v>
      </c>
      <c r="F2048" s="806">
        <v>5.14</v>
      </c>
      <c r="G2048" s="805">
        <v>5.3134796238244499</v>
      </c>
      <c r="H2048" s="805">
        <v>161.16</v>
      </c>
      <c r="I2048" s="805">
        <v>13.13</v>
      </c>
      <c r="J2048" s="805">
        <v>2161.7399999999998</v>
      </c>
      <c r="K2048" s="805">
        <v>5029.5879999999997</v>
      </c>
    </row>
    <row r="2049" spans="3:11">
      <c r="C2049" s="861">
        <v>42565</v>
      </c>
      <c r="D2049" s="805">
        <v>35.200000000000003</v>
      </c>
      <c r="E2049" s="805">
        <v>13.33</v>
      </c>
      <c r="F2049" s="806">
        <v>5.17</v>
      </c>
      <c r="G2049" s="805">
        <v>5.2840571553637901</v>
      </c>
      <c r="H2049" s="805">
        <v>160.79</v>
      </c>
      <c r="I2049" s="805">
        <v>13.29</v>
      </c>
      <c r="J2049" s="805">
        <v>2163.75</v>
      </c>
      <c r="K2049" s="805">
        <v>5034.058</v>
      </c>
    </row>
    <row r="2050" spans="3:11">
      <c r="C2050" s="861">
        <v>42564</v>
      </c>
      <c r="D2050" s="805">
        <v>35.01</v>
      </c>
      <c r="E2050" s="805">
        <v>13.195</v>
      </c>
      <c r="F2050" s="806">
        <v>5.09</v>
      </c>
      <c r="G2050" s="805">
        <v>5.2364969855180599</v>
      </c>
      <c r="H2050" s="805">
        <v>157.41</v>
      </c>
      <c r="I2050" s="805">
        <v>13.29</v>
      </c>
      <c r="J2050" s="805">
        <v>2152.4299999999998</v>
      </c>
      <c r="K2050" s="805">
        <v>5005.7269999999999</v>
      </c>
    </row>
    <row r="2051" spans="3:11">
      <c r="C2051" s="861">
        <v>42563</v>
      </c>
      <c r="D2051" s="805">
        <v>34.94</v>
      </c>
      <c r="E2051" s="805">
        <v>13.2</v>
      </c>
      <c r="F2051" s="806">
        <v>5.14</v>
      </c>
      <c r="G2051" s="805">
        <v>5.3242830899523597</v>
      </c>
      <c r="H2051" s="805">
        <v>158.59</v>
      </c>
      <c r="I2051" s="805">
        <v>13.23</v>
      </c>
      <c r="J2051" s="805">
        <v>2152.14</v>
      </c>
      <c r="K2051" s="805">
        <v>5022.82</v>
      </c>
    </row>
    <row r="2052" spans="3:11">
      <c r="C2052" s="861">
        <v>42562</v>
      </c>
      <c r="D2052" s="805">
        <v>34.380000000000003</v>
      </c>
      <c r="E2052" s="805">
        <v>13.005000000000001</v>
      </c>
      <c r="F2052" s="806">
        <v>5.01</v>
      </c>
      <c r="G2052" s="805">
        <v>5.2844264843021396</v>
      </c>
      <c r="H2052" s="805">
        <v>157.36000000000001</v>
      </c>
      <c r="I2052" s="805">
        <v>12.64</v>
      </c>
      <c r="J2052" s="805">
        <v>2137.16</v>
      </c>
      <c r="K2052" s="805">
        <v>4988.6390000000001</v>
      </c>
    </row>
    <row r="2053" spans="3:11">
      <c r="C2053" s="861">
        <v>42561</v>
      </c>
      <c r="D2053" s="805">
        <v>34</v>
      </c>
      <c r="E2053" s="805">
        <v>12.7125</v>
      </c>
      <c r="F2053" s="806">
        <v>5.0999999999999996</v>
      </c>
      <c r="G2053" s="805">
        <v>5.0853221219240803</v>
      </c>
      <c r="H2053" s="805">
        <v>155.13999999999999</v>
      </c>
      <c r="I2053" s="805">
        <v>12.62</v>
      </c>
      <c r="J2053" s="805">
        <v>2129.9</v>
      </c>
      <c r="K2053" s="805">
        <v>4956.7569999999996</v>
      </c>
    </row>
    <row r="2054" spans="3:11">
      <c r="C2054" s="861">
        <v>42560</v>
      </c>
      <c r="D2054" s="805">
        <v>34</v>
      </c>
      <c r="E2054" s="805">
        <v>12.7125</v>
      </c>
      <c r="F2054" s="806">
        <v>5.0999999999999996</v>
      </c>
      <c r="G2054" s="805">
        <v>5.0853221219240803</v>
      </c>
      <c r="H2054" s="805">
        <v>155.13999999999999</v>
      </c>
      <c r="I2054" s="805">
        <v>12.62</v>
      </c>
      <c r="J2054" s="805">
        <v>2129.9</v>
      </c>
      <c r="K2054" s="805">
        <v>4956.7569999999996</v>
      </c>
    </row>
    <row r="2055" spans="3:11">
      <c r="C2055" s="861">
        <v>42559</v>
      </c>
      <c r="D2055" s="805">
        <v>34</v>
      </c>
      <c r="E2055" s="805">
        <v>12.7125</v>
      </c>
      <c r="F2055" s="806">
        <v>5.0999999999999996</v>
      </c>
      <c r="G2055" s="805">
        <v>5.0853221219240803</v>
      </c>
      <c r="H2055" s="805">
        <v>155.13999999999999</v>
      </c>
      <c r="I2055" s="805">
        <v>12.62</v>
      </c>
      <c r="J2055" s="805">
        <v>2129.9</v>
      </c>
      <c r="K2055" s="805">
        <v>4956.7569999999996</v>
      </c>
    </row>
    <row r="2056" spans="3:11">
      <c r="C2056" s="861">
        <v>42558</v>
      </c>
      <c r="D2056" s="805">
        <v>33.200000000000003</v>
      </c>
      <c r="E2056" s="805">
        <v>12.2225</v>
      </c>
      <c r="F2056" s="806">
        <v>5.0199999999999996</v>
      </c>
      <c r="G2056" s="805">
        <v>5.0853221219240803</v>
      </c>
      <c r="H2056" s="805">
        <v>150.99</v>
      </c>
      <c r="I2056" s="805">
        <v>12.2</v>
      </c>
      <c r="J2056" s="805">
        <v>2097.9</v>
      </c>
      <c r="K2056" s="805">
        <v>4876.8069999999998</v>
      </c>
    </row>
    <row r="2057" spans="3:11">
      <c r="C2057" s="861">
        <v>42557</v>
      </c>
      <c r="D2057" s="805">
        <v>32.97</v>
      </c>
      <c r="E2057" s="805">
        <v>11.9125</v>
      </c>
      <c r="F2057" s="806">
        <v>5.04</v>
      </c>
      <c r="G2057" s="805">
        <v>4.9911920140927801</v>
      </c>
      <c r="H2057" s="805">
        <v>150.63</v>
      </c>
      <c r="I2057" s="805">
        <v>11.73</v>
      </c>
      <c r="J2057" s="805">
        <v>2099.73</v>
      </c>
      <c r="K2057" s="805">
        <v>4859.1610000000001</v>
      </c>
    </row>
    <row r="2058" spans="3:11">
      <c r="C2058" s="861">
        <v>42556</v>
      </c>
      <c r="D2058" s="805">
        <v>32.68</v>
      </c>
      <c r="E2058" s="805">
        <v>11.8375</v>
      </c>
      <c r="F2058" s="806">
        <v>4.96</v>
      </c>
      <c r="G2058" s="805">
        <v>5.0704922087558701</v>
      </c>
      <c r="H2058" s="805">
        <v>150.76</v>
      </c>
      <c r="I2058" s="805">
        <v>11.91</v>
      </c>
      <c r="J2058" s="805">
        <v>2088.5500000000002</v>
      </c>
      <c r="K2058" s="805">
        <v>4822.902</v>
      </c>
    </row>
    <row r="2059" spans="3:11">
      <c r="C2059" s="861">
        <v>42555</v>
      </c>
      <c r="D2059" s="805">
        <v>32.75</v>
      </c>
      <c r="E2059" s="805">
        <v>11.664999999999999</v>
      </c>
      <c r="F2059" s="806">
        <v>5.07</v>
      </c>
      <c r="G2059" s="805">
        <v>5.1565606361828999</v>
      </c>
      <c r="H2059" s="805">
        <v>154.22</v>
      </c>
      <c r="I2059" s="805">
        <v>12.5</v>
      </c>
      <c r="J2059" s="805">
        <v>2102.9499999999998</v>
      </c>
      <c r="K2059" s="805">
        <v>4862.567</v>
      </c>
    </row>
    <row r="2060" spans="3:11">
      <c r="C2060" s="861">
        <v>42554</v>
      </c>
      <c r="D2060" s="805">
        <v>32.75</v>
      </c>
      <c r="E2060" s="805">
        <v>11.664999999999999</v>
      </c>
      <c r="F2060" s="806">
        <v>5.07</v>
      </c>
      <c r="G2060" s="805">
        <v>5.1522393618672204</v>
      </c>
      <c r="H2060" s="805">
        <v>154.22</v>
      </c>
      <c r="I2060" s="805">
        <v>12.5</v>
      </c>
      <c r="J2060" s="805">
        <v>2102.9499999999998</v>
      </c>
      <c r="K2060" s="805">
        <v>4862.567</v>
      </c>
    </row>
    <row r="2061" spans="3:11">
      <c r="C2061" s="861">
        <v>42553</v>
      </c>
      <c r="D2061" s="805">
        <v>32.75</v>
      </c>
      <c r="E2061" s="805">
        <v>11.664999999999999</v>
      </c>
      <c r="F2061" s="806">
        <v>5.07</v>
      </c>
      <c r="G2061" s="805">
        <v>5.1522393618672204</v>
      </c>
      <c r="H2061" s="805">
        <v>154.22</v>
      </c>
      <c r="I2061" s="805">
        <v>12.5</v>
      </c>
      <c r="J2061" s="805">
        <v>2102.9499999999998</v>
      </c>
      <c r="K2061" s="805">
        <v>4862.567</v>
      </c>
    </row>
    <row r="2062" spans="3:11">
      <c r="C2062" s="861">
        <v>42552</v>
      </c>
      <c r="D2062" s="805">
        <v>32.75</v>
      </c>
      <c r="E2062" s="805">
        <v>11.664999999999999</v>
      </c>
      <c r="F2062" s="806">
        <v>5.07</v>
      </c>
      <c r="G2062" s="805">
        <v>5.1522393618672204</v>
      </c>
      <c r="H2062" s="805">
        <v>154.22</v>
      </c>
      <c r="I2062" s="805">
        <v>12.5</v>
      </c>
      <c r="J2062" s="805">
        <v>2102.9499999999998</v>
      </c>
      <c r="K2062" s="805">
        <v>4862.567</v>
      </c>
    </row>
    <row r="2063" spans="3:11">
      <c r="C2063" s="861">
        <v>42551</v>
      </c>
      <c r="D2063" s="805">
        <v>32.799999999999997</v>
      </c>
      <c r="E2063" s="805">
        <v>11.7525</v>
      </c>
      <c r="F2063" s="806">
        <v>5.14</v>
      </c>
      <c r="G2063" s="805">
        <v>5.04470383707935</v>
      </c>
      <c r="H2063" s="805">
        <v>155.4</v>
      </c>
      <c r="I2063" s="805">
        <v>13.76</v>
      </c>
      <c r="J2063" s="805">
        <v>2098.86</v>
      </c>
      <c r="K2063" s="805">
        <v>4842.6719999999996</v>
      </c>
    </row>
    <row r="2064" spans="3:11">
      <c r="C2064" s="861">
        <v>42550</v>
      </c>
      <c r="D2064" s="805">
        <v>31.93</v>
      </c>
      <c r="E2064" s="805">
        <v>11.6625</v>
      </c>
      <c r="F2064" s="806">
        <v>5.13</v>
      </c>
      <c r="G2064" s="805">
        <v>4.9303854383081704</v>
      </c>
      <c r="H2064" s="805">
        <v>155</v>
      </c>
      <c r="I2064" s="805">
        <v>13.19</v>
      </c>
      <c r="J2064" s="805">
        <v>2070.77</v>
      </c>
      <c r="K2064" s="805">
        <v>4779.2449999999999</v>
      </c>
    </row>
    <row r="2065" spans="3:11">
      <c r="C2065" s="861">
        <v>42549</v>
      </c>
      <c r="D2065" s="805">
        <v>31.19</v>
      </c>
      <c r="E2065" s="805">
        <v>11.475</v>
      </c>
      <c r="F2065" s="806">
        <v>5.12</v>
      </c>
      <c r="G2065" s="805">
        <v>4.8495706431086703</v>
      </c>
      <c r="H2065" s="805">
        <v>149.77000000000001</v>
      </c>
      <c r="I2065" s="805">
        <v>12.99</v>
      </c>
      <c r="J2065" s="805">
        <v>2036.09</v>
      </c>
      <c r="K2065" s="805">
        <v>4691.8670000000002</v>
      </c>
    </row>
    <row r="2066" spans="3:11">
      <c r="C2066" s="861">
        <v>42548</v>
      </c>
      <c r="D2066" s="805">
        <v>30.72</v>
      </c>
      <c r="E2066" s="805">
        <v>11.31</v>
      </c>
      <c r="F2066" s="806">
        <v>4.72</v>
      </c>
      <c r="G2066" s="805">
        <v>4.7781465093411999</v>
      </c>
      <c r="H2066" s="805">
        <v>143.63</v>
      </c>
      <c r="I2066" s="805">
        <v>12.23</v>
      </c>
      <c r="J2066" s="805">
        <v>2000.54</v>
      </c>
      <c r="K2066" s="805">
        <v>4594.4430000000002</v>
      </c>
    </row>
    <row r="2067" spans="3:11">
      <c r="C2067" s="861">
        <v>42547</v>
      </c>
      <c r="D2067" s="805">
        <v>31.55</v>
      </c>
      <c r="E2067" s="805">
        <v>11.432499999999999</v>
      </c>
      <c r="F2067" s="806">
        <v>4.88</v>
      </c>
      <c r="G2067" s="805">
        <v>4.8998459167950701</v>
      </c>
      <c r="H2067" s="805">
        <v>148.72</v>
      </c>
      <c r="I2067" s="805">
        <v>13.21</v>
      </c>
      <c r="J2067" s="805">
        <v>2037.41</v>
      </c>
      <c r="K2067" s="805">
        <v>4707.9790000000003</v>
      </c>
    </row>
    <row r="2068" spans="3:11">
      <c r="C2068" s="861">
        <v>42546</v>
      </c>
      <c r="D2068" s="805">
        <v>31.55</v>
      </c>
      <c r="E2068" s="805">
        <v>11.432499999999999</v>
      </c>
      <c r="F2068" s="806">
        <v>4.88</v>
      </c>
      <c r="G2068" s="805">
        <v>4.8998459167950701</v>
      </c>
      <c r="H2068" s="805">
        <v>148.72</v>
      </c>
      <c r="I2068" s="805">
        <v>13.21</v>
      </c>
      <c r="J2068" s="805">
        <v>2037.41</v>
      </c>
      <c r="K2068" s="805">
        <v>4707.9790000000003</v>
      </c>
    </row>
    <row r="2069" spans="3:11">
      <c r="C2069" s="861">
        <v>42545</v>
      </c>
      <c r="D2069" s="805">
        <v>31.55</v>
      </c>
      <c r="E2069" s="805">
        <v>11.432499999999999</v>
      </c>
      <c r="F2069" s="806">
        <v>4.88</v>
      </c>
      <c r="G2069" s="805">
        <v>4.8998459167950701</v>
      </c>
      <c r="H2069" s="805">
        <v>148.72</v>
      </c>
      <c r="I2069" s="805">
        <v>13.21</v>
      </c>
      <c r="J2069" s="805">
        <v>2037.41</v>
      </c>
      <c r="K2069" s="805">
        <v>4707.9790000000003</v>
      </c>
    </row>
    <row r="2070" spans="3:11">
      <c r="C2070" s="861">
        <v>42544</v>
      </c>
      <c r="D2070" s="805">
        <v>32.99</v>
      </c>
      <c r="E2070" s="805">
        <v>12.1225</v>
      </c>
      <c r="F2070" s="806">
        <v>5.21</v>
      </c>
      <c r="G2070" s="805">
        <v>5.1391326146903999</v>
      </c>
      <c r="H2070" s="805">
        <v>158.62</v>
      </c>
      <c r="I2070" s="805">
        <v>14.05</v>
      </c>
      <c r="J2070" s="805">
        <v>2113.3200000000002</v>
      </c>
      <c r="K2070" s="805">
        <v>4910.0410000000002</v>
      </c>
    </row>
    <row r="2071" spans="3:11">
      <c r="C2071" s="861">
        <v>42543</v>
      </c>
      <c r="D2071" s="805">
        <v>32.29</v>
      </c>
      <c r="E2071" s="805">
        <v>11.807499999999999</v>
      </c>
      <c r="F2071" s="806">
        <v>5.0199999999999996</v>
      </c>
      <c r="G2071" s="805">
        <v>5.1686022978484898</v>
      </c>
      <c r="H2071" s="805">
        <v>155.13999999999999</v>
      </c>
      <c r="I2071" s="805">
        <v>12.72</v>
      </c>
      <c r="J2071" s="805">
        <v>2085.4499999999998</v>
      </c>
      <c r="K2071" s="805">
        <v>4833.3190000000004</v>
      </c>
    </row>
    <row r="2072" spans="3:11">
      <c r="C2072" s="861">
        <v>42542</v>
      </c>
      <c r="D2072" s="805">
        <v>32.32</v>
      </c>
      <c r="E2072" s="805">
        <v>11.817500000000001</v>
      </c>
      <c r="F2072" s="806">
        <v>5.45</v>
      </c>
      <c r="G2072" s="805">
        <v>5.1464643323589803</v>
      </c>
      <c r="H2072" s="805">
        <v>155.81</v>
      </c>
      <c r="I2072" s="805">
        <v>12.75</v>
      </c>
      <c r="J2072" s="805">
        <v>2088.9</v>
      </c>
      <c r="K2072" s="805">
        <v>4843.7629999999999</v>
      </c>
    </row>
    <row r="2073" spans="3:11">
      <c r="C2073" s="861">
        <v>42541</v>
      </c>
      <c r="D2073" s="805">
        <v>32.17</v>
      </c>
      <c r="E2073" s="805">
        <v>11.89</v>
      </c>
      <c r="F2073" s="806">
        <v>5.0999999999999996</v>
      </c>
      <c r="G2073" s="805">
        <v>5.0558312655086901</v>
      </c>
      <c r="H2073" s="805">
        <v>156.93</v>
      </c>
      <c r="I2073" s="805">
        <v>12.32</v>
      </c>
      <c r="J2073" s="805">
        <v>2083.25</v>
      </c>
      <c r="K2073" s="805">
        <v>4837.2139999999999</v>
      </c>
    </row>
    <row r="2074" spans="3:11">
      <c r="C2074" s="861">
        <v>42540</v>
      </c>
      <c r="D2074" s="805">
        <v>31.76</v>
      </c>
      <c r="E2074" s="805">
        <v>11.68</v>
      </c>
      <c r="F2074" s="806">
        <v>5.26</v>
      </c>
      <c r="G2074" s="805">
        <v>5.0416009402740398</v>
      </c>
      <c r="H2074" s="805">
        <v>156</v>
      </c>
      <c r="I2074" s="805">
        <v>12.2</v>
      </c>
      <c r="J2074" s="805">
        <v>2071.2199999999998</v>
      </c>
      <c r="K2074" s="805">
        <v>4800.3379999999997</v>
      </c>
    </row>
    <row r="2075" spans="3:11">
      <c r="C2075" s="861">
        <v>42539</v>
      </c>
      <c r="D2075" s="805">
        <v>31.76</v>
      </c>
      <c r="E2075" s="805">
        <v>11.68</v>
      </c>
      <c r="F2075" s="806">
        <v>5.26</v>
      </c>
      <c r="G2075" s="805">
        <v>5.0416009402740398</v>
      </c>
      <c r="H2075" s="805">
        <v>156</v>
      </c>
      <c r="I2075" s="805">
        <v>12.2</v>
      </c>
      <c r="J2075" s="805">
        <v>2071.2199999999998</v>
      </c>
      <c r="K2075" s="805">
        <v>4800.3379999999997</v>
      </c>
    </row>
    <row r="2076" spans="3:11">
      <c r="C2076" s="861">
        <v>42538</v>
      </c>
      <c r="D2076" s="805">
        <v>31.76</v>
      </c>
      <c r="E2076" s="805">
        <v>11.68</v>
      </c>
      <c r="F2076" s="806">
        <v>5.26</v>
      </c>
      <c r="G2076" s="805">
        <v>5.0416009402740398</v>
      </c>
      <c r="H2076" s="805">
        <v>156</v>
      </c>
      <c r="I2076" s="805">
        <v>12.2</v>
      </c>
      <c r="J2076" s="805">
        <v>2071.2199999999998</v>
      </c>
      <c r="K2076" s="805">
        <v>4800.3379999999997</v>
      </c>
    </row>
    <row r="2077" spans="3:11">
      <c r="C2077" s="861">
        <v>42537</v>
      </c>
      <c r="D2077" s="805">
        <v>31.69</v>
      </c>
      <c r="E2077" s="805">
        <v>11.887499999999999</v>
      </c>
      <c r="F2077" s="806">
        <v>4.75</v>
      </c>
      <c r="G2077" s="805">
        <v>4.9613601236476104</v>
      </c>
      <c r="H2077" s="805">
        <v>158.63</v>
      </c>
      <c r="I2077" s="805">
        <v>11.95</v>
      </c>
      <c r="J2077" s="805">
        <v>2077.9899999999998</v>
      </c>
      <c r="K2077" s="805">
        <v>4844.915</v>
      </c>
    </row>
    <row r="2078" spans="3:11">
      <c r="C2078" s="861">
        <v>42536</v>
      </c>
      <c r="D2078" s="805">
        <v>31.61</v>
      </c>
      <c r="E2078" s="805">
        <v>11.84</v>
      </c>
      <c r="F2078" s="806">
        <v>4.42</v>
      </c>
      <c r="G2078" s="805">
        <v>5.0380169376274999</v>
      </c>
      <c r="H2078" s="805">
        <v>158.4</v>
      </c>
      <c r="I2078" s="805">
        <v>12.02</v>
      </c>
      <c r="J2078" s="805">
        <v>2071.5</v>
      </c>
      <c r="K2078" s="805">
        <v>4834.9309999999996</v>
      </c>
    </row>
    <row r="2079" spans="3:11">
      <c r="C2079" s="861">
        <v>42535</v>
      </c>
      <c r="D2079" s="805">
        <v>32.14</v>
      </c>
      <c r="E2079" s="805">
        <v>11.72</v>
      </c>
      <c r="F2079" s="806">
        <v>4.3899999999999997</v>
      </c>
      <c r="G2079" s="805">
        <v>4.9990742455100898</v>
      </c>
      <c r="H2079" s="805">
        <v>158.99</v>
      </c>
      <c r="I2079" s="805">
        <v>11.92</v>
      </c>
      <c r="J2079" s="805">
        <v>2075.3200000000002</v>
      </c>
      <c r="K2079" s="805">
        <v>4843.5510000000004</v>
      </c>
    </row>
    <row r="2080" spans="3:11">
      <c r="C2080" s="861">
        <v>42534</v>
      </c>
      <c r="D2080" s="805">
        <v>32.17</v>
      </c>
      <c r="E2080" s="805">
        <v>11.6975</v>
      </c>
      <c r="F2080" s="806">
        <v>4.4000000000000004</v>
      </c>
      <c r="G2080" s="805">
        <v>5.0004630058338702</v>
      </c>
      <c r="H2080" s="805">
        <v>160.01</v>
      </c>
      <c r="I2080" s="805">
        <v>12.05</v>
      </c>
      <c r="J2080" s="805">
        <v>2079.06</v>
      </c>
      <c r="K2080" s="805">
        <v>4848.4399999999996</v>
      </c>
    </row>
    <row r="2081" spans="3:11">
      <c r="C2081" s="861">
        <v>42533</v>
      </c>
      <c r="D2081" s="805">
        <v>32.04</v>
      </c>
      <c r="E2081" s="805">
        <v>11.55</v>
      </c>
      <c r="F2081" s="806">
        <v>4.32</v>
      </c>
      <c r="G2081" s="805">
        <v>5.1477449455676503</v>
      </c>
      <c r="H2081" s="805">
        <v>160.82</v>
      </c>
      <c r="I2081" s="805">
        <v>12.14</v>
      </c>
      <c r="J2081" s="805">
        <v>2096.0700000000002</v>
      </c>
      <c r="K2081" s="805">
        <v>4894.5479999999998</v>
      </c>
    </row>
    <row r="2082" spans="3:11">
      <c r="C2082" s="861">
        <v>42532</v>
      </c>
      <c r="D2082" s="805">
        <v>32.04</v>
      </c>
      <c r="E2082" s="805">
        <v>11.55</v>
      </c>
      <c r="F2082" s="806">
        <v>4.32</v>
      </c>
      <c r="G2082" s="805">
        <v>5.1477449455676503</v>
      </c>
      <c r="H2082" s="805">
        <v>160.82</v>
      </c>
      <c r="I2082" s="805">
        <v>12.14</v>
      </c>
      <c r="J2082" s="805">
        <v>2096.0700000000002</v>
      </c>
      <c r="K2082" s="805">
        <v>4894.5479999999998</v>
      </c>
    </row>
    <row r="2083" spans="3:11">
      <c r="C2083" s="861">
        <v>42531</v>
      </c>
      <c r="D2083" s="805">
        <v>32.04</v>
      </c>
      <c r="E2083" s="805">
        <v>11.55</v>
      </c>
      <c r="F2083" s="806">
        <v>4.32</v>
      </c>
      <c r="G2083" s="805">
        <v>5.1477449455676503</v>
      </c>
      <c r="H2083" s="805">
        <v>160.82</v>
      </c>
      <c r="I2083" s="805">
        <v>12.14</v>
      </c>
      <c r="J2083" s="805">
        <v>2096.0700000000002</v>
      </c>
      <c r="K2083" s="805">
        <v>4894.5479999999998</v>
      </c>
    </row>
    <row r="2084" spans="3:11">
      <c r="C2084" s="861">
        <v>42530</v>
      </c>
      <c r="D2084" s="805">
        <v>31.94</v>
      </c>
      <c r="E2084" s="805">
        <v>11.845000000000001</v>
      </c>
      <c r="F2084" s="806">
        <v>4.5199999999999996</v>
      </c>
      <c r="G2084" s="805">
        <v>5.1477449455676503</v>
      </c>
      <c r="H2084" s="805">
        <v>164.14</v>
      </c>
      <c r="I2084" s="805">
        <v>12.51</v>
      </c>
      <c r="J2084" s="805">
        <v>2115.48</v>
      </c>
      <c r="K2084" s="805">
        <v>4958.616</v>
      </c>
    </row>
    <row r="2085" spans="3:11">
      <c r="C2085" s="861">
        <v>42529</v>
      </c>
      <c r="D2085" s="805">
        <v>31.89</v>
      </c>
      <c r="E2085" s="805">
        <v>11.545</v>
      </c>
      <c r="F2085" s="806">
        <v>4.46</v>
      </c>
      <c r="G2085" s="805">
        <v>5.1477449455676503</v>
      </c>
      <c r="H2085" s="805">
        <v>163.69999999999999</v>
      </c>
      <c r="I2085" s="805">
        <v>12.58</v>
      </c>
      <c r="J2085" s="805">
        <v>2119.12</v>
      </c>
      <c r="K2085" s="805">
        <v>4974.6419999999998</v>
      </c>
    </row>
    <row r="2086" spans="3:11">
      <c r="C2086" s="861">
        <v>42528</v>
      </c>
      <c r="D2086" s="805">
        <v>31.88</v>
      </c>
      <c r="E2086" s="805">
        <v>11.5825</v>
      </c>
      <c r="F2086" s="806">
        <v>4.51</v>
      </c>
      <c r="G2086" s="805">
        <v>5.0404480398257601</v>
      </c>
      <c r="H2086" s="805">
        <v>164.84</v>
      </c>
      <c r="I2086" s="805">
        <v>13</v>
      </c>
      <c r="J2086" s="805">
        <v>2112.13</v>
      </c>
      <c r="K2086" s="805">
        <v>4961.7539999999999</v>
      </c>
    </row>
    <row r="2087" spans="3:11">
      <c r="C2087" s="861">
        <v>42527</v>
      </c>
      <c r="D2087" s="805">
        <v>31.68</v>
      </c>
      <c r="E2087" s="805">
        <v>11.56</v>
      </c>
      <c r="F2087" s="806">
        <v>4.47</v>
      </c>
      <c r="G2087" s="805">
        <v>4.9924028652051202</v>
      </c>
      <c r="H2087" s="805">
        <v>162.84</v>
      </c>
      <c r="I2087" s="805">
        <v>12.77</v>
      </c>
      <c r="J2087" s="805">
        <v>2109.41</v>
      </c>
      <c r="K2087" s="805">
        <v>4968.7129999999997</v>
      </c>
    </row>
    <row r="2088" spans="3:11">
      <c r="C2088" s="861">
        <v>42526</v>
      </c>
      <c r="D2088" s="805">
        <v>31.62</v>
      </c>
      <c r="E2088" s="805">
        <v>11.62</v>
      </c>
      <c r="F2088" s="806">
        <v>4.16</v>
      </c>
      <c r="G2088" s="805">
        <v>4.93370336108541</v>
      </c>
      <c r="H2088" s="805">
        <v>162.56</v>
      </c>
      <c r="I2088" s="805">
        <v>12.86</v>
      </c>
      <c r="J2088" s="805">
        <v>2099.13</v>
      </c>
      <c r="K2088" s="805">
        <v>4942.5169999999998</v>
      </c>
    </row>
    <row r="2089" spans="3:11">
      <c r="C2089" s="861">
        <v>42525</v>
      </c>
      <c r="D2089" s="805">
        <v>31.62</v>
      </c>
      <c r="E2089" s="805">
        <v>11.62</v>
      </c>
      <c r="F2089" s="806">
        <v>4.16</v>
      </c>
      <c r="G2089" s="805">
        <v>4.93370336108541</v>
      </c>
      <c r="H2089" s="805">
        <v>162.56</v>
      </c>
      <c r="I2089" s="805">
        <v>12.86</v>
      </c>
      <c r="J2089" s="805">
        <v>2099.13</v>
      </c>
      <c r="K2089" s="805">
        <v>4942.5169999999998</v>
      </c>
    </row>
    <row r="2090" spans="3:11">
      <c r="C2090" s="861">
        <v>42524</v>
      </c>
      <c r="D2090" s="805">
        <v>31.62</v>
      </c>
      <c r="E2090" s="805">
        <v>11.62</v>
      </c>
      <c r="F2090" s="806">
        <v>4.16</v>
      </c>
      <c r="G2090" s="805">
        <v>4.9736597458940199</v>
      </c>
      <c r="H2090" s="805">
        <v>162.56</v>
      </c>
      <c r="I2090" s="805">
        <v>12.86</v>
      </c>
      <c r="J2090" s="805">
        <v>2099.13</v>
      </c>
      <c r="K2090" s="805">
        <v>4942.5169999999998</v>
      </c>
    </row>
    <row r="2091" spans="3:11">
      <c r="C2091" s="861">
        <v>42523</v>
      </c>
      <c r="D2091" s="805">
        <v>31.76</v>
      </c>
      <c r="E2091" s="805">
        <v>11.785</v>
      </c>
      <c r="F2091" s="806">
        <v>4.24</v>
      </c>
      <c r="G2091" s="805">
        <v>4.8765526759699398</v>
      </c>
      <c r="H2091" s="805">
        <v>154.91</v>
      </c>
      <c r="I2091" s="805">
        <v>13.11</v>
      </c>
      <c r="J2091" s="805">
        <v>2105.2600000000002</v>
      </c>
      <c r="K2091" s="805">
        <v>4971.3630000000003</v>
      </c>
    </row>
    <row r="2092" spans="3:11">
      <c r="C2092" s="861">
        <v>42522</v>
      </c>
      <c r="D2092" s="805">
        <v>31.66</v>
      </c>
      <c r="E2092" s="805">
        <v>11.702500000000001</v>
      </c>
      <c r="F2092" s="806">
        <v>4.43</v>
      </c>
      <c r="G2092" s="805">
        <v>4.8764031159909198</v>
      </c>
      <c r="H2092" s="805">
        <v>154.77000000000001</v>
      </c>
      <c r="I2092" s="805">
        <v>13.09</v>
      </c>
      <c r="J2092" s="805">
        <v>2099.33</v>
      </c>
      <c r="K2092" s="805">
        <v>4952.2510000000002</v>
      </c>
    </row>
    <row r="2093" spans="3:11">
      <c r="C2093" s="861">
        <v>42521</v>
      </c>
      <c r="D2093" s="805">
        <v>31.59</v>
      </c>
      <c r="E2093" s="805">
        <v>11.68</v>
      </c>
      <c r="F2093" s="806">
        <v>4.57</v>
      </c>
      <c r="G2093" s="805">
        <v>4.8029707832064803</v>
      </c>
      <c r="H2093" s="805">
        <v>154.36000000000001</v>
      </c>
      <c r="I2093" s="805">
        <v>12.72</v>
      </c>
      <c r="J2093" s="805">
        <v>2096.96</v>
      </c>
      <c r="K2093" s="805">
        <v>4948.0550000000003</v>
      </c>
    </row>
    <row r="2094" spans="3:11">
      <c r="C2094" s="861">
        <v>42520</v>
      </c>
      <c r="D2094" s="805">
        <v>31.57</v>
      </c>
      <c r="E2094" s="805">
        <v>11.475</v>
      </c>
      <c r="F2094" s="806">
        <v>4.5999999999999996</v>
      </c>
      <c r="G2094" s="805">
        <v>4.8129981606376502</v>
      </c>
      <c r="H2094" s="805">
        <v>153.30000000000001</v>
      </c>
      <c r="I2094" s="805">
        <v>12.31</v>
      </c>
      <c r="J2094" s="805">
        <v>2099.06</v>
      </c>
      <c r="K2094" s="805">
        <v>4933.5050000000001</v>
      </c>
    </row>
    <row r="2095" spans="3:11">
      <c r="C2095" s="861">
        <v>42519</v>
      </c>
      <c r="D2095" s="805">
        <v>31.57</v>
      </c>
      <c r="E2095" s="805">
        <v>11.475</v>
      </c>
      <c r="F2095" s="806">
        <v>4.5999999999999996</v>
      </c>
      <c r="G2095" s="805">
        <v>4.8072492704653698</v>
      </c>
      <c r="H2095" s="805">
        <v>153.30000000000001</v>
      </c>
      <c r="I2095" s="805">
        <v>12.31</v>
      </c>
      <c r="J2095" s="805">
        <v>2099.06</v>
      </c>
      <c r="K2095" s="805">
        <v>4933.5050000000001</v>
      </c>
    </row>
    <row r="2096" spans="3:11">
      <c r="C2096" s="861">
        <v>42518</v>
      </c>
      <c r="D2096" s="805">
        <v>31.57</v>
      </c>
      <c r="E2096" s="805">
        <v>11.475</v>
      </c>
      <c r="F2096" s="806">
        <v>4.5999999999999996</v>
      </c>
      <c r="G2096" s="805">
        <v>4.8072492704653698</v>
      </c>
      <c r="H2096" s="805">
        <v>153.30000000000001</v>
      </c>
      <c r="I2096" s="805">
        <v>12.31</v>
      </c>
      <c r="J2096" s="805">
        <v>2099.06</v>
      </c>
      <c r="K2096" s="805">
        <v>4933.5050000000001</v>
      </c>
    </row>
    <row r="2097" spans="3:11">
      <c r="C2097" s="861">
        <v>42517</v>
      </c>
      <c r="D2097" s="805">
        <v>31.57</v>
      </c>
      <c r="E2097" s="805">
        <v>11.475</v>
      </c>
      <c r="F2097" s="806">
        <v>4.5999999999999996</v>
      </c>
      <c r="G2097" s="805">
        <v>4.8072492704653698</v>
      </c>
      <c r="H2097" s="805">
        <v>153.30000000000001</v>
      </c>
      <c r="I2097" s="805">
        <v>12.31</v>
      </c>
      <c r="J2097" s="805">
        <v>2099.06</v>
      </c>
      <c r="K2097" s="805">
        <v>4933.5050000000001</v>
      </c>
    </row>
    <row r="2098" spans="3:11">
      <c r="C2098" s="861">
        <v>42516</v>
      </c>
      <c r="D2098" s="805">
        <v>31.49</v>
      </c>
      <c r="E2098" s="805">
        <v>11.4125</v>
      </c>
      <c r="F2098" s="806">
        <v>4.3499999999999996</v>
      </c>
      <c r="G2098" s="805">
        <v>4.7711392249207396</v>
      </c>
      <c r="H2098" s="805">
        <v>153.02000000000001</v>
      </c>
      <c r="I2098" s="805">
        <v>11.95</v>
      </c>
      <c r="J2098" s="805">
        <v>2090.1</v>
      </c>
      <c r="K2098" s="805">
        <v>4901.7659999999996</v>
      </c>
    </row>
    <row r="2099" spans="3:11">
      <c r="C2099" s="861">
        <v>42515</v>
      </c>
      <c r="D2099" s="805">
        <v>31.39</v>
      </c>
      <c r="E2099" s="805">
        <v>11.2925</v>
      </c>
      <c r="F2099" s="806">
        <v>4.18</v>
      </c>
      <c r="G2099" s="805">
        <v>4.7430466015840897</v>
      </c>
      <c r="H2099" s="805">
        <v>153.57</v>
      </c>
      <c r="I2099" s="805">
        <v>11.6</v>
      </c>
      <c r="J2099" s="805">
        <v>2090.54</v>
      </c>
      <c r="K2099" s="805">
        <v>4894.8909999999996</v>
      </c>
    </row>
    <row r="2100" spans="3:11">
      <c r="C2100" s="861">
        <v>42514</v>
      </c>
      <c r="D2100" s="805">
        <v>31.06</v>
      </c>
      <c r="E2100" s="805">
        <v>11.34</v>
      </c>
      <c r="F2100" s="806">
        <v>4.2</v>
      </c>
      <c r="G2100" s="805">
        <v>4.6256586202671199</v>
      </c>
      <c r="H2100" s="805">
        <v>151.41999999999999</v>
      </c>
      <c r="I2100" s="805">
        <v>11.49</v>
      </c>
      <c r="J2100" s="805">
        <v>2076.06</v>
      </c>
      <c r="K2100" s="805">
        <v>4861.0559999999996</v>
      </c>
    </row>
    <row r="2101" spans="3:11">
      <c r="C2101" s="861">
        <v>42513</v>
      </c>
      <c r="D2101" s="805">
        <v>30.23</v>
      </c>
      <c r="E2101" s="805">
        <v>11.1</v>
      </c>
      <c r="F2101" s="806">
        <v>4.04</v>
      </c>
      <c r="G2101" s="805">
        <v>4.7221881516006396</v>
      </c>
      <c r="H2101" s="805">
        <v>148.1</v>
      </c>
      <c r="I2101" s="805">
        <v>11.14</v>
      </c>
      <c r="J2101" s="805">
        <v>2048.04</v>
      </c>
      <c r="K2101" s="805">
        <v>4765.7820000000002</v>
      </c>
    </row>
    <row r="2102" spans="3:11">
      <c r="C2102" s="861">
        <v>42512</v>
      </c>
      <c r="D2102" s="805">
        <v>30.15</v>
      </c>
      <c r="E2102" s="805">
        <v>11.0825</v>
      </c>
      <c r="F2102" s="806">
        <v>3.87</v>
      </c>
      <c r="G2102" s="805">
        <v>4.5422567522099504</v>
      </c>
      <c r="H2102" s="805">
        <v>146.72999999999999</v>
      </c>
      <c r="I2102" s="805">
        <v>10.8</v>
      </c>
      <c r="J2102" s="805">
        <v>2052.3200000000002</v>
      </c>
      <c r="K2102" s="805">
        <v>4769.558</v>
      </c>
    </row>
    <row r="2103" spans="3:11">
      <c r="C2103" s="861">
        <v>42511</v>
      </c>
      <c r="D2103" s="805">
        <v>30.15</v>
      </c>
      <c r="E2103" s="805">
        <v>11.0825</v>
      </c>
      <c r="F2103" s="806">
        <v>3.87</v>
      </c>
      <c r="G2103" s="805">
        <v>4.5422567522099504</v>
      </c>
      <c r="H2103" s="805">
        <v>146.72999999999999</v>
      </c>
      <c r="I2103" s="805">
        <v>10.8</v>
      </c>
      <c r="J2103" s="805">
        <v>2052.3200000000002</v>
      </c>
      <c r="K2103" s="805">
        <v>4769.558</v>
      </c>
    </row>
    <row r="2104" spans="3:11">
      <c r="C2104" s="861">
        <v>42510</v>
      </c>
      <c r="D2104" s="805">
        <v>30.15</v>
      </c>
      <c r="E2104" s="805">
        <v>11.0825</v>
      </c>
      <c r="F2104" s="806">
        <v>3.87</v>
      </c>
      <c r="G2104" s="805">
        <v>4.5422567522099504</v>
      </c>
      <c r="H2104" s="805">
        <v>146.72999999999999</v>
      </c>
      <c r="I2104" s="805">
        <v>10.8</v>
      </c>
      <c r="J2104" s="805">
        <v>2052.3200000000002</v>
      </c>
      <c r="K2104" s="805">
        <v>4769.558</v>
      </c>
    </row>
    <row r="2105" spans="3:11">
      <c r="C2105" s="861">
        <v>42509</v>
      </c>
      <c r="D2105" s="805">
        <v>29.63</v>
      </c>
      <c r="E2105" s="805">
        <v>10.887499999999999</v>
      </c>
      <c r="F2105" s="806">
        <v>3.77</v>
      </c>
      <c r="G2105" s="805">
        <v>4.4878644481758503</v>
      </c>
      <c r="H2105" s="805">
        <v>142.74</v>
      </c>
      <c r="I2105" s="805">
        <v>10.07</v>
      </c>
      <c r="J2105" s="805">
        <v>2040.04</v>
      </c>
      <c r="K2105" s="805">
        <v>4712.5330000000004</v>
      </c>
    </row>
    <row r="2106" spans="3:11">
      <c r="C2106" s="861">
        <v>42508</v>
      </c>
      <c r="D2106" s="805">
        <v>29.99</v>
      </c>
      <c r="E2106" s="805">
        <v>10.84</v>
      </c>
      <c r="F2106" s="806">
        <v>3.84</v>
      </c>
      <c r="G2106" s="805">
        <v>4.4862208929715903</v>
      </c>
      <c r="H2106" s="805">
        <v>143.88</v>
      </c>
      <c r="I2106" s="805">
        <v>10.050000000000001</v>
      </c>
      <c r="J2106" s="805">
        <v>2047.63</v>
      </c>
      <c r="K2106" s="805">
        <v>4739.1189999999997</v>
      </c>
    </row>
    <row r="2107" spans="3:11">
      <c r="C2107" s="861">
        <v>42507</v>
      </c>
      <c r="D2107" s="805">
        <v>29.98</v>
      </c>
      <c r="E2107" s="805">
        <v>10.57</v>
      </c>
      <c r="F2107" s="806">
        <v>3.79</v>
      </c>
      <c r="G2107" s="805">
        <v>4.5105860693464201</v>
      </c>
      <c r="H2107" s="805">
        <v>141.16999999999999</v>
      </c>
      <c r="I2107" s="805">
        <v>9.67</v>
      </c>
      <c r="J2107" s="805">
        <v>2047.21</v>
      </c>
      <c r="K2107" s="805">
        <v>4715.7330000000002</v>
      </c>
    </row>
    <row r="2108" spans="3:11">
      <c r="C2108" s="861">
        <v>42506</v>
      </c>
      <c r="D2108" s="805">
        <v>30.39</v>
      </c>
      <c r="E2108" s="805">
        <v>10.547499999999999</v>
      </c>
      <c r="F2108" s="806">
        <v>3.79</v>
      </c>
      <c r="G2108" s="805">
        <v>4.4250497626703398</v>
      </c>
      <c r="H2108" s="805">
        <v>142.65</v>
      </c>
      <c r="I2108" s="805">
        <v>9.68</v>
      </c>
      <c r="J2108" s="805">
        <v>2066.66</v>
      </c>
      <c r="K2108" s="805">
        <v>4775.4589999999998</v>
      </c>
    </row>
    <row r="2109" spans="3:11">
      <c r="C2109" s="861">
        <v>42505</v>
      </c>
      <c r="D2109" s="805">
        <v>29.91</v>
      </c>
      <c r="E2109" s="805">
        <v>10.244999999999999</v>
      </c>
      <c r="F2109" s="806">
        <v>3.67</v>
      </c>
      <c r="G2109" s="805">
        <v>4.40798334761846</v>
      </c>
      <c r="H2109" s="805">
        <v>140.05000000000001</v>
      </c>
      <c r="I2109" s="805">
        <v>9.56</v>
      </c>
      <c r="J2109" s="805">
        <v>2046.61</v>
      </c>
      <c r="K2109" s="805">
        <v>4717.6760000000004</v>
      </c>
    </row>
    <row r="2110" spans="3:11">
      <c r="C2110" s="861">
        <v>42504</v>
      </c>
      <c r="D2110" s="805">
        <v>29.91</v>
      </c>
      <c r="E2110" s="805">
        <v>10.244999999999999</v>
      </c>
      <c r="F2110" s="806">
        <v>3.67</v>
      </c>
      <c r="G2110" s="805">
        <v>4.40798334761846</v>
      </c>
      <c r="H2110" s="805">
        <v>140.05000000000001</v>
      </c>
      <c r="I2110" s="805">
        <v>9.56</v>
      </c>
      <c r="J2110" s="805">
        <v>2046.61</v>
      </c>
      <c r="K2110" s="805">
        <v>4717.6760000000004</v>
      </c>
    </row>
    <row r="2111" spans="3:11">
      <c r="C2111" s="861">
        <v>42503</v>
      </c>
      <c r="D2111" s="805">
        <v>29.91</v>
      </c>
      <c r="E2111" s="805">
        <v>10.244999999999999</v>
      </c>
      <c r="F2111" s="806">
        <v>3.67</v>
      </c>
      <c r="G2111" s="805">
        <v>4.40798334761846</v>
      </c>
      <c r="H2111" s="805">
        <v>140.05000000000001</v>
      </c>
      <c r="I2111" s="805">
        <v>9.56</v>
      </c>
      <c r="J2111" s="805">
        <v>2046.61</v>
      </c>
      <c r="K2111" s="805">
        <v>4717.6760000000004</v>
      </c>
    </row>
    <row r="2112" spans="3:11">
      <c r="C2112" s="861">
        <v>42502</v>
      </c>
      <c r="D2112" s="805">
        <v>29.76</v>
      </c>
      <c r="E2112" s="805">
        <v>8.8925000000000001</v>
      </c>
      <c r="F2112" s="806">
        <v>3.59</v>
      </c>
      <c r="G2112" s="805">
        <v>4.4778408219598198</v>
      </c>
      <c r="H2112" s="805">
        <v>141.04</v>
      </c>
      <c r="I2112" s="805">
        <v>9.6300000000000008</v>
      </c>
      <c r="J2112" s="805">
        <v>2064.11</v>
      </c>
      <c r="K2112" s="805">
        <v>4737.3339999999998</v>
      </c>
    </row>
    <row r="2113" spans="3:11">
      <c r="C2113" s="861">
        <v>42501</v>
      </c>
      <c r="D2113" s="805">
        <v>30.06</v>
      </c>
      <c r="E2113" s="805">
        <v>9.0150000000000006</v>
      </c>
      <c r="F2113" s="806">
        <v>3.65</v>
      </c>
      <c r="G2113" s="805">
        <v>4.5226594468202901</v>
      </c>
      <c r="H2113" s="805">
        <v>143.85</v>
      </c>
      <c r="I2113" s="805">
        <v>10.1</v>
      </c>
      <c r="J2113" s="805">
        <v>2064.46</v>
      </c>
      <c r="K2113" s="805">
        <v>4760.6880000000001</v>
      </c>
    </row>
    <row r="2114" spans="3:11">
      <c r="C2114" s="861">
        <v>42500</v>
      </c>
      <c r="D2114" s="805">
        <v>30.14</v>
      </c>
      <c r="E2114" s="805">
        <v>8.99</v>
      </c>
      <c r="F2114" s="806">
        <v>3.64</v>
      </c>
      <c r="G2114" s="805">
        <v>4.52112935966045</v>
      </c>
      <c r="H2114" s="805">
        <v>144.61000000000001</v>
      </c>
      <c r="I2114" s="805">
        <v>10.09</v>
      </c>
      <c r="J2114" s="805">
        <v>2084.39</v>
      </c>
      <c r="K2114" s="805">
        <v>4809.88</v>
      </c>
    </row>
    <row r="2115" spans="3:11">
      <c r="C2115" s="861">
        <v>42499</v>
      </c>
      <c r="D2115" s="805">
        <v>29.8</v>
      </c>
      <c r="E2115" s="805">
        <v>8.82</v>
      </c>
      <c r="F2115" s="806">
        <v>3.65</v>
      </c>
      <c r="G2115" s="805">
        <v>4.5270394696458203</v>
      </c>
      <c r="H2115" s="805">
        <v>142.4</v>
      </c>
      <c r="I2115" s="805">
        <v>9.8699999999999992</v>
      </c>
      <c r="J2115" s="805">
        <v>2058.69</v>
      </c>
      <c r="K2115" s="805">
        <v>4750.2089999999998</v>
      </c>
    </row>
    <row r="2116" spans="3:11">
      <c r="C2116" s="861">
        <v>42498</v>
      </c>
      <c r="D2116" s="805">
        <v>30.04</v>
      </c>
      <c r="E2116" s="805">
        <v>8.8324999999999996</v>
      </c>
      <c r="F2116" s="806">
        <v>3.68</v>
      </c>
      <c r="G2116" s="805">
        <v>4.5700169831712198</v>
      </c>
      <c r="H2116" s="805">
        <v>141.88999999999999</v>
      </c>
      <c r="I2116" s="805">
        <v>9.99</v>
      </c>
      <c r="J2116" s="805">
        <v>2057.14</v>
      </c>
      <c r="K2116" s="805">
        <v>4736.1549999999997</v>
      </c>
    </row>
    <row r="2117" spans="3:11">
      <c r="C2117" s="861">
        <v>42497</v>
      </c>
      <c r="D2117" s="805">
        <v>30.04</v>
      </c>
      <c r="E2117" s="805">
        <v>8.8324999999999996</v>
      </c>
      <c r="F2117" s="806">
        <v>3.68</v>
      </c>
      <c r="G2117" s="805">
        <v>4.5700169831712198</v>
      </c>
      <c r="H2117" s="805">
        <v>141.88999999999999</v>
      </c>
      <c r="I2117" s="805">
        <v>9.99</v>
      </c>
      <c r="J2117" s="805">
        <v>2057.14</v>
      </c>
      <c r="K2117" s="805">
        <v>4736.1549999999997</v>
      </c>
    </row>
    <row r="2118" spans="3:11">
      <c r="C2118" s="861">
        <v>42496</v>
      </c>
      <c r="D2118" s="805">
        <v>30.04</v>
      </c>
      <c r="E2118" s="805">
        <v>8.8324999999999996</v>
      </c>
      <c r="F2118" s="806">
        <v>3.68</v>
      </c>
      <c r="G2118" s="805">
        <v>4.5700169831712198</v>
      </c>
      <c r="H2118" s="805">
        <v>141.88999999999999</v>
      </c>
      <c r="I2118" s="805">
        <v>9.99</v>
      </c>
      <c r="J2118" s="805">
        <v>2057.14</v>
      </c>
      <c r="K2118" s="805">
        <v>4736.1549999999997</v>
      </c>
    </row>
    <row r="2119" spans="3:11">
      <c r="C2119" s="861">
        <v>42495</v>
      </c>
      <c r="D2119" s="805">
        <v>29.9</v>
      </c>
      <c r="E2119" s="805">
        <v>8.7424999999999997</v>
      </c>
      <c r="F2119" s="806">
        <v>3.66</v>
      </c>
      <c r="G2119" s="805">
        <v>4.55415586019513</v>
      </c>
      <c r="H2119" s="805">
        <v>142.58000000000001</v>
      </c>
      <c r="I2119" s="805">
        <v>10.06</v>
      </c>
      <c r="J2119" s="805">
        <v>2050.63</v>
      </c>
      <c r="K2119" s="805">
        <v>4717.0940000000001</v>
      </c>
    </row>
    <row r="2120" spans="3:11">
      <c r="C2120" s="861">
        <v>42494</v>
      </c>
      <c r="D2120" s="805">
        <v>29.85</v>
      </c>
      <c r="E2120" s="805">
        <v>8.69</v>
      </c>
      <c r="F2120" s="806">
        <v>3.6</v>
      </c>
      <c r="G2120" s="805">
        <v>4.5411016032868901</v>
      </c>
      <c r="H2120" s="805">
        <v>142.07</v>
      </c>
      <c r="I2120" s="805">
        <v>10</v>
      </c>
      <c r="J2120" s="805">
        <v>2051.12</v>
      </c>
      <c r="K2120" s="805">
        <v>4725.6390000000001</v>
      </c>
    </row>
    <row r="2121" spans="3:11">
      <c r="C2121" s="861">
        <v>42493</v>
      </c>
      <c r="D2121" s="805">
        <v>30.36</v>
      </c>
      <c r="E2121" s="805">
        <v>8.8925000000000001</v>
      </c>
      <c r="F2121" s="806">
        <v>3.6</v>
      </c>
      <c r="G2121" s="805">
        <v>4.5616205350239696</v>
      </c>
      <c r="H2121" s="805">
        <v>143.19999999999999</v>
      </c>
      <c r="I2121" s="805">
        <v>10.36</v>
      </c>
      <c r="J2121" s="805">
        <v>2063.37</v>
      </c>
      <c r="K2121" s="805">
        <v>4763.2240000000002</v>
      </c>
    </row>
    <row r="2122" spans="3:11">
      <c r="C2122" s="861">
        <v>42492</v>
      </c>
      <c r="D2122" s="805">
        <v>30.61</v>
      </c>
      <c r="E2122" s="805">
        <v>9</v>
      </c>
      <c r="F2122" s="806">
        <v>3.74</v>
      </c>
      <c r="G2122" s="805">
        <v>4.6459765842780198</v>
      </c>
      <c r="H2122" s="805">
        <v>146.08000000000001</v>
      </c>
      <c r="I2122" s="805">
        <v>10.62</v>
      </c>
      <c r="J2122" s="805">
        <v>2081.4299999999998</v>
      </c>
      <c r="K2122" s="805">
        <v>4817.5940000000001</v>
      </c>
    </row>
    <row r="2123" spans="3:11">
      <c r="C2123" s="861">
        <v>42491</v>
      </c>
      <c r="D2123" s="805">
        <v>30.28</v>
      </c>
      <c r="E2123" s="805">
        <v>8.8825000000000003</v>
      </c>
      <c r="F2123" s="806">
        <v>3.55</v>
      </c>
      <c r="G2123" s="805">
        <v>4.6459765842780198</v>
      </c>
      <c r="H2123" s="805">
        <v>145.75</v>
      </c>
      <c r="I2123" s="805">
        <v>10.75</v>
      </c>
      <c r="J2123" s="805">
        <v>2065.3000000000002</v>
      </c>
      <c r="K2123" s="805">
        <v>4775.3580000000002</v>
      </c>
    </row>
    <row r="2124" spans="3:11">
      <c r="C2124" s="861">
        <v>42490</v>
      </c>
      <c r="D2124" s="805">
        <v>30.28</v>
      </c>
      <c r="E2124" s="805">
        <v>8.8825000000000003</v>
      </c>
      <c r="F2124" s="806">
        <v>3.55</v>
      </c>
      <c r="G2124" s="805">
        <v>4.6459765842780198</v>
      </c>
      <c r="H2124" s="805">
        <v>145.75</v>
      </c>
      <c r="I2124" s="805">
        <v>10.75</v>
      </c>
      <c r="J2124" s="805">
        <v>2065.3000000000002</v>
      </c>
      <c r="K2124" s="805">
        <v>4775.3580000000002</v>
      </c>
    </row>
    <row r="2125" spans="3:11">
      <c r="C2125" s="861">
        <v>42489</v>
      </c>
      <c r="D2125" s="805">
        <v>30.28</v>
      </c>
      <c r="E2125" s="805">
        <v>8.8825000000000003</v>
      </c>
      <c r="F2125" s="806">
        <v>3.55</v>
      </c>
      <c r="G2125" s="805">
        <v>4.6459765842780198</v>
      </c>
      <c r="H2125" s="805">
        <v>145.75</v>
      </c>
      <c r="I2125" s="805">
        <v>10.75</v>
      </c>
      <c r="J2125" s="805">
        <v>2065.3000000000002</v>
      </c>
      <c r="K2125" s="805">
        <v>4775.3580000000002</v>
      </c>
    </row>
    <row r="2126" spans="3:11">
      <c r="C2126" s="861">
        <v>42488</v>
      </c>
      <c r="D2126" s="805">
        <v>31.11</v>
      </c>
      <c r="E2126" s="805">
        <v>9.0500000000000007</v>
      </c>
      <c r="F2126" s="806">
        <v>3.61</v>
      </c>
      <c r="G2126" s="805">
        <v>4.7506675774700398</v>
      </c>
      <c r="H2126" s="805">
        <v>147.99</v>
      </c>
      <c r="I2126" s="805">
        <v>11.62</v>
      </c>
      <c r="J2126" s="805">
        <v>2075.81</v>
      </c>
      <c r="K2126" s="805">
        <v>4805.2910000000002</v>
      </c>
    </row>
    <row r="2127" spans="3:11">
      <c r="C2127" s="861">
        <v>42487</v>
      </c>
      <c r="D2127" s="805">
        <v>31.75</v>
      </c>
      <c r="E2127" s="805">
        <v>9.3275000000000006</v>
      </c>
      <c r="F2127" s="806">
        <v>3.73</v>
      </c>
      <c r="G2127" s="805">
        <v>4.8416037619106502</v>
      </c>
      <c r="H2127" s="805">
        <v>151.53</v>
      </c>
      <c r="I2127" s="805">
        <v>11.56</v>
      </c>
      <c r="J2127" s="805">
        <v>2095.15</v>
      </c>
      <c r="K2127" s="805">
        <v>4863.1409999999996</v>
      </c>
    </row>
    <row r="2128" spans="3:11">
      <c r="C2128" s="861">
        <v>42486</v>
      </c>
      <c r="D2128" s="805">
        <v>31.4</v>
      </c>
      <c r="E2128" s="805">
        <v>9.1199999999999992</v>
      </c>
      <c r="F2128" s="806">
        <v>3.66</v>
      </c>
      <c r="G2128" s="805">
        <v>4.8907323716956599</v>
      </c>
      <c r="H2128" s="805">
        <v>150.76</v>
      </c>
      <c r="I2128" s="805">
        <v>11.51</v>
      </c>
      <c r="J2128" s="805">
        <v>2091.6999999999998</v>
      </c>
      <c r="K2128" s="805">
        <v>4888.2830000000004</v>
      </c>
    </row>
    <row r="2129" spans="3:11">
      <c r="C2129" s="861">
        <v>42485</v>
      </c>
      <c r="D2129" s="805">
        <v>31.39</v>
      </c>
      <c r="E2129" s="805">
        <v>9.1125000000000007</v>
      </c>
      <c r="F2129" s="806">
        <v>3.45</v>
      </c>
      <c r="G2129" s="805">
        <v>4.86847392661742</v>
      </c>
      <c r="H2129" s="805">
        <v>149.1</v>
      </c>
      <c r="I2129" s="805">
        <v>10.55</v>
      </c>
      <c r="J2129" s="805">
        <v>2087.79</v>
      </c>
      <c r="K2129" s="805">
        <v>4895.7860000000001</v>
      </c>
    </row>
    <row r="2130" spans="3:11">
      <c r="C2130" s="861">
        <v>42484</v>
      </c>
      <c r="D2130" s="805">
        <v>31.64</v>
      </c>
      <c r="E2130" s="805">
        <v>9.0675000000000008</v>
      </c>
      <c r="F2130" s="806">
        <v>3.99</v>
      </c>
      <c r="G2130" s="805">
        <v>4.8324841747722704</v>
      </c>
      <c r="H2130" s="805">
        <v>150.33000000000001</v>
      </c>
      <c r="I2130" s="805">
        <v>10.66</v>
      </c>
      <c r="J2130" s="805">
        <v>2091.58</v>
      </c>
      <c r="K2130" s="805">
        <v>4906.2280000000001</v>
      </c>
    </row>
    <row r="2131" spans="3:11">
      <c r="C2131" s="861">
        <v>42483</v>
      </c>
      <c r="D2131" s="805">
        <v>31.64</v>
      </c>
      <c r="E2131" s="805">
        <v>9.0675000000000008</v>
      </c>
      <c r="F2131" s="806">
        <v>3.99</v>
      </c>
      <c r="G2131" s="805">
        <v>4.8324841747722704</v>
      </c>
      <c r="H2131" s="805">
        <v>150.33000000000001</v>
      </c>
      <c r="I2131" s="805">
        <v>10.66</v>
      </c>
      <c r="J2131" s="805">
        <v>2091.58</v>
      </c>
      <c r="K2131" s="805">
        <v>4906.2280000000001</v>
      </c>
    </row>
    <row r="2132" spans="3:11">
      <c r="C2132" s="861">
        <v>42482</v>
      </c>
      <c r="D2132" s="805">
        <v>31.64</v>
      </c>
      <c r="E2132" s="805">
        <v>9.0675000000000008</v>
      </c>
      <c r="F2132" s="806">
        <v>3.99</v>
      </c>
      <c r="G2132" s="805">
        <v>4.8324841747722704</v>
      </c>
      <c r="H2132" s="805">
        <v>150.33000000000001</v>
      </c>
      <c r="I2132" s="805">
        <v>10.66</v>
      </c>
      <c r="J2132" s="805">
        <v>2091.58</v>
      </c>
      <c r="K2132" s="805">
        <v>4906.2280000000001</v>
      </c>
    </row>
    <row r="2133" spans="3:11">
      <c r="C2133" s="861">
        <v>42481</v>
      </c>
      <c r="D2133" s="805">
        <v>31.97</v>
      </c>
      <c r="E2133" s="805">
        <v>9.1024999999999991</v>
      </c>
      <c r="F2133" s="806">
        <v>2.62</v>
      </c>
      <c r="G2133" s="805">
        <v>4.8620358613855297</v>
      </c>
      <c r="H2133" s="805">
        <v>151.35</v>
      </c>
      <c r="I2133" s="805">
        <v>10.65</v>
      </c>
      <c r="J2133" s="805">
        <v>2091.48</v>
      </c>
      <c r="K2133" s="805">
        <v>4945.8860000000004</v>
      </c>
    </row>
    <row r="2134" spans="3:11">
      <c r="C2134" s="861">
        <v>42480</v>
      </c>
      <c r="D2134" s="805">
        <v>32</v>
      </c>
      <c r="E2134" s="805">
        <v>9.1125000000000007</v>
      </c>
      <c r="F2134" s="806">
        <v>2.7</v>
      </c>
      <c r="G2134" s="805">
        <v>4.7774158523344203</v>
      </c>
      <c r="H2134" s="805">
        <v>153.22999999999999</v>
      </c>
      <c r="I2134" s="805">
        <v>10.75</v>
      </c>
      <c r="J2134" s="805">
        <v>2102.4</v>
      </c>
      <c r="K2134" s="805">
        <v>4948.13</v>
      </c>
    </row>
    <row r="2135" spans="3:11">
      <c r="C2135" s="861">
        <v>42479</v>
      </c>
      <c r="D2135" s="805">
        <v>31.6</v>
      </c>
      <c r="E2135" s="805">
        <v>9.0775000000000006</v>
      </c>
      <c r="F2135" s="806">
        <v>2.62</v>
      </c>
      <c r="G2135" s="805">
        <v>4.8963223179034401</v>
      </c>
      <c r="H2135" s="805">
        <v>151.07</v>
      </c>
      <c r="I2135" s="805">
        <v>10.72</v>
      </c>
      <c r="J2135" s="805">
        <v>2100.8000000000002</v>
      </c>
      <c r="K2135" s="805">
        <v>4940.33</v>
      </c>
    </row>
    <row r="2136" spans="3:11">
      <c r="C2136" s="861">
        <v>42478</v>
      </c>
      <c r="D2136" s="805">
        <v>31.65</v>
      </c>
      <c r="E2136" s="805">
        <v>9.2424999999999997</v>
      </c>
      <c r="F2136" s="806">
        <v>2.76</v>
      </c>
      <c r="G2136" s="805">
        <v>4.8901268956979296</v>
      </c>
      <c r="H2136" s="805">
        <v>155.9</v>
      </c>
      <c r="I2136" s="805">
        <v>10.89</v>
      </c>
      <c r="J2136" s="805">
        <v>2094.34</v>
      </c>
      <c r="K2136" s="805">
        <v>4960.0169999999998</v>
      </c>
    </row>
    <row r="2137" spans="3:11">
      <c r="C2137" s="861">
        <v>42477</v>
      </c>
      <c r="D2137" s="805">
        <v>31.46</v>
      </c>
      <c r="E2137" s="805">
        <v>9.2825000000000006</v>
      </c>
      <c r="F2137" s="806">
        <v>2.7</v>
      </c>
      <c r="G2137" s="805">
        <v>4.9388450224492901</v>
      </c>
      <c r="H2137" s="805">
        <v>155.49</v>
      </c>
      <c r="I2137" s="805">
        <v>10.69</v>
      </c>
      <c r="J2137" s="805">
        <v>2080.73</v>
      </c>
      <c r="K2137" s="805">
        <v>4938.2160000000003</v>
      </c>
    </row>
    <row r="2138" spans="3:11">
      <c r="C2138" s="861">
        <v>42476</v>
      </c>
      <c r="D2138" s="805">
        <v>31.46</v>
      </c>
      <c r="E2138" s="805">
        <v>9.2825000000000006</v>
      </c>
      <c r="F2138" s="806">
        <v>2.7</v>
      </c>
      <c r="G2138" s="805">
        <v>4.9388450224492901</v>
      </c>
      <c r="H2138" s="805">
        <v>155.49</v>
      </c>
      <c r="I2138" s="805">
        <v>10.69</v>
      </c>
      <c r="J2138" s="805">
        <v>2080.73</v>
      </c>
      <c r="K2138" s="805">
        <v>4938.2160000000003</v>
      </c>
    </row>
    <row r="2139" spans="3:11">
      <c r="C2139" s="861">
        <v>42475</v>
      </c>
      <c r="D2139" s="805">
        <v>31.46</v>
      </c>
      <c r="E2139" s="805">
        <v>9.2825000000000006</v>
      </c>
      <c r="F2139" s="806">
        <v>2.7</v>
      </c>
      <c r="G2139" s="805">
        <v>4.9388450224492901</v>
      </c>
      <c r="H2139" s="805">
        <v>155.49</v>
      </c>
      <c r="I2139" s="805">
        <v>10.69</v>
      </c>
      <c r="J2139" s="805">
        <v>2080.73</v>
      </c>
      <c r="K2139" s="805">
        <v>4938.2160000000003</v>
      </c>
    </row>
    <row r="2140" spans="3:11">
      <c r="C2140" s="861">
        <v>42474</v>
      </c>
      <c r="D2140" s="805">
        <v>31.8</v>
      </c>
      <c r="E2140" s="805">
        <v>9.2100000000000009</v>
      </c>
      <c r="F2140" s="806">
        <v>2.72</v>
      </c>
      <c r="G2140" s="805">
        <v>4.9814929056138197</v>
      </c>
      <c r="H2140" s="805">
        <v>158.82</v>
      </c>
      <c r="I2140" s="805">
        <v>10.4</v>
      </c>
      <c r="J2140" s="805">
        <v>2082.7800000000002</v>
      </c>
      <c r="K2140" s="805">
        <v>4945.8860000000004</v>
      </c>
    </row>
    <row r="2141" spans="3:11">
      <c r="C2141" s="861">
        <v>42473</v>
      </c>
      <c r="D2141" s="805">
        <v>32.130000000000003</v>
      </c>
      <c r="E2141" s="805">
        <v>9.1850000000000005</v>
      </c>
      <c r="F2141" s="806">
        <v>2.8</v>
      </c>
      <c r="G2141" s="805">
        <v>4.9873386449261901</v>
      </c>
      <c r="H2141" s="805">
        <v>159.47999999999999</v>
      </c>
      <c r="I2141" s="805">
        <v>10.88</v>
      </c>
      <c r="J2141" s="805">
        <v>2082.42</v>
      </c>
      <c r="K2141" s="805">
        <v>4947.42</v>
      </c>
    </row>
    <row r="2142" spans="3:11">
      <c r="C2142" s="861">
        <v>42472</v>
      </c>
      <c r="D2142" s="805">
        <v>31.86</v>
      </c>
      <c r="E2142" s="805">
        <v>8.9600000000000009</v>
      </c>
      <c r="F2142" s="806">
        <v>2.81</v>
      </c>
      <c r="G2142" s="805">
        <v>4.9037807066394397</v>
      </c>
      <c r="H2142" s="805">
        <v>155.43</v>
      </c>
      <c r="I2142" s="805">
        <v>10.17</v>
      </c>
      <c r="J2142" s="805">
        <v>2061.7199999999998</v>
      </c>
      <c r="K2142" s="805">
        <v>4872.0910000000003</v>
      </c>
    </row>
    <row r="2143" spans="3:11">
      <c r="C2143" s="861">
        <v>42471</v>
      </c>
      <c r="D2143" s="805">
        <v>31.67</v>
      </c>
      <c r="E2143" s="805">
        <v>8.9700000000000006</v>
      </c>
      <c r="F2143" s="806">
        <v>2.76</v>
      </c>
      <c r="G2143" s="805">
        <v>4.8968116658428098</v>
      </c>
      <c r="H2143" s="805">
        <v>155.61000000000001</v>
      </c>
      <c r="I2143" s="805">
        <v>10.45</v>
      </c>
      <c r="J2143" s="805">
        <v>2041.99</v>
      </c>
      <c r="K2143" s="805">
        <v>4833.3990000000003</v>
      </c>
    </row>
    <row r="2144" spans="3:11">
      <c r="C2144" s="861">
        <v>42470</v>
      </c>
      <c r="D2144" s="805">
        <v>31.63</v>
      </c>
      <c r="E2144" s="805">
        <v>8.9149999999999991</v>
      </c>
      <c r="F2144" s="806">
        <v>2.74</v>
      </c>
      <c r="G2144" s="805">
        <v>4.8588616381304996</v>
      </c>
      <c r="H2144" s="805">
        <v>156.15</v>
      </c>
      <c r="I2144" s="805">
        <v>10.72</v>
      </c>
      <c r="J2144" s="805">
        <v>2047.6</v>
      </c>
      <c r="K2144" s="805">
        <v>4850.6890000000003</v>
      </c>
    </row>
    <row r="2145" spans="3:11">
      <c r="C2145" s="861">
        <v>42469</v>
      </c>
      <c r="D2145" s="805">
        <v>31.63</v>
      </c>
      <c r="E2145" s="805">
        <v>8.9149999999999991</v>
      </c>
      <c r="F2145" s="806">
        <v>2.74</v>
      </c>
      <c r="G2145" s="805">
        <v>4.8588616381304996</v>
      </c>
      <c r="H2145" s="805">
        <v>156.15</v>
      </c>
      <c r="I2145" s="805">
        <v>10.72</v>
      </c>
      <c r="J2145" s="805">
        <v>2047.6</v>
      </c>
      <c r="K2145" s="805">
        <v>4850.6890000000003</v>
      </c>
    </row>
    <row r="2146" spans="3:11">
      <c r="C2146" s="861">
        <v>42468</v>
      </c>
      <c r="D2146" s="805">
        <v>31.63</v>
      </c>
      <c r="E2146" s="805">
        <v>8.9149999999999991</v>
      </c>
      <c r="F2146" s="806">
        <v>2.74</v>
      </c>
      <c r="G2146" s="805">
        <v>4.8588616381304996</v>
      </c>
      <c r="H2146" s="805">
        <v>156.15</v>
      </c>
      <c r="I2146" s="805">
        <v>10.72</v>
      </c>
      <c r="J2146" s="805">
        <v>2047.6</v>
      </c>
      <c r="K2146" s="805">
        <v>4850.6890000000003</v>
      </c>
    </row>
    <row r="2147" spans="3:11">
      <c r="C2147" s="861">
        <v>42467</v>
      </c>
      <c r="D2147" s="805">
        <v>31.55</v>
      </c>
      <c r="E2147" s="805">
        <v>8.8574999999999999</v>
      </c>
      <c r="F2147" s="806">
        <v>2.64</v>
      </c>
      <c r="G2147" s="805">
        <v>4.7626387176325498</v>
      </c>
      <c r="H2147" s="805">
        <v>154.97</v>
      </c>
      <c r="I2147" s="805">
        <v>10.51</v>
      </c>
      <c r="J2147" s="805">
        <v>2041.91</v>
      </c>
      <c r="K2147" s="805">
        <v>4848.366</v>
      </c>
    </row>
    <row r="2148" spans="3:11">
      <c r="C2148" s="861">
        <v>42466</v>
      </c>
      <c r="D2148" s="805">
        <v>32.08</v>
      </c>
      <c r="E2148" s="805">
        <v>8.9499999999999993</v>
      </c>
      <c r="F2148" s="806">
        <v>2.8</v>
      </c>
      <c r="G2148" s="805">
        <v>4.7369233143033496</v>
      </c>
      <c r="H2148" s="805">
        <v>157.54</v>
      </c>
      <c r="I2148" s="805">
        <v>10.47</v>
      </c>
      <c r="J2148" s="805">
        <v>2066.66</v>
      </c>
      <c r="K2148" s="805">
        <v>4920.7150000000001</v>
      </c>
    </row>
    <row r="2149" spans="3:11">
      <c r="C2149" s="861">
        <v>42465</v>
      </c>
      <c r="D2149" s="805">
        <v>31.9</v>
      </c>
      <c r="E2149" s="805">
        <v>8.9375</v>
      </c>
      <c r="F2149" s="806">
        <v>2.76</v>
      </c>
      <c r="G2149" s="805">
        <v>4.9107696120956801</v>
      </c>
      <c r="H2149" s="805">
        <v>155.03</v>
      </c>
      <c r="I2149" s="805">
        <v>10.4</v>
      </c>
      <c r="J2149" s="805">
        <v>2045.17</v>
      </c>
      <c r="K2149" s="805">
        <v>4843.9319999999998</v>
      </c>
    </row>
    <row r="2150" spans="3:11">
      <c r="C2150" s="861">
        <v>42464</v>
      </c>
      <c r="D2150" s="805">
        <v>32</v>
      </c>
      <c r="E2150" s="805">
        <v>8.9499999999999993</v>
      </c>
      <c r="F2150" s="806">
        <v>2.83</v>
      </c>
      <c r="G2150" s="805">
        <v>4.9107696120956801</v>
      </c>
      <c r="H2150" s="805">
        <v>156.01</v>
      </c>
      <c r="I2150" s="805">
        <v>10.8</v>
      </c>
      <c r="J2150" s="805">
        <v>2066.13</v>
      </c>
      <c r="K2150" s="805">
        <v>4891.7950000000001</v>
      </c>
    </row>
    <row r="2151" spans="3:11">
      <c r="C2151" s="861">
        <v>42463</v>
      </c>
      <c r="D2151" s="805">
        <v>32.450000000000003</v>
      </c>
      <c r="E2151" s="805">
        <v>9.0374999999999996</v>
      </c>
      <c r="F2151" s="806">
        <v>2.83</v>
      </c>
      <c r="G2151" s="805">
        <v>4.9107696120956801</v>
      </c>
      <c r="H2151" s="805">
        <v>157.80000000000001</v>
      </c>
      <c r="I2151" s="805">
        <v>11.03</v>
      </c>
      <c r="J2151" s="805">
        <v>2072.7800000000002</v>
      </c>
      <c r="K2151" s="805">
        <v>4914.5420000000004</v>
      </c>
    </row>
    <row r="2152" spans="3:11">
      <c r="C2152" s="861">
        <v>42462</v>
      </c>
      <c r="D2152" s="805">
        <v>32.450000000000003</v>
      </c>
      <c r="E2152" s="805">
        <v>9.0374999999999996</v>
      </c>
      <c r="F2152" s="806">
        <v>2.83</v>
      </c>
      <c r="G2152" s="805">
        <v>4.9107696120956801</v>
      </c>
      <c r="H2152" s="805">
        <v>157.80000000000001</v>
      </c>
      <c r="I2152" s="805">
        <v>11.03</v>
      </c>
      <c r="J2152" s="805">
        <v>2072.7800000000002</v>
      </c>
      <c r="K2152" s="805">
        <v>4914.5420000000004</v>
      </c>
    </row>
    <row r="2153" spans="3:11">
      <c r="C2153" s="861">
        <v>42461</v>
      </c>
      <c r="D2153" s="805">
        <v>32.450000000000003</v>
      </c>
      <c r="E2153" s="805">
        <v>9.0374999999999996</v>
      </c>
      <c r="F2153" s="806">
        <v>2.83</v>
      </c>
      <c r="G2153" s="805">
        <v>4.9107696120956801</v>
      </c>
      <c r="H2153" s="805">
        <v>157.80000000000001</v>
      </c>
      <c r="I2153" s="805">
        <v>11.03</v>
      </c>
      <c r="J2153" s="805">
        <v>2072.7800000000002</v>
      </c>
      <c r="K2153" s="805">
        <v>4914.5420000000004</v>
      </c>
    </row>
    <row r="2154" spans="3:11">
      <c r="C2154" s="861">
        <v>42460</v>
      </c>
      <c r="D2154" s="805">
        <v>32.35</v>
      </c>
      <c r="E2154" s="805">
        <v>8.9075000000000006</v>
      </c>
      <c r="F2154" s="806">
        <v>2.85</v>
      </c>
      <c r="G2154" s="805">
        <v>5.03074343208496</v>
      </c>
      <c r="H2154" s="805">
        <v>154.5</v>
      </c>
      <c r="I2154" s="805">
        <v>10.47</v>
      </c>
      <c r="J2154" s="805">
        <v>2059.7399999999998</v>
      </c>
      <c r="K2154" s="805">
        <v>4869.8469999999998</v>
      </c>
    </row>
    <row r="2155" spans="3:11">
      <c r="C2155" s="861">
        <v>42459</v>
      </c>
      <c r="D2155" s="805">
        <v>32.71</v>
      </c>
      <c r="E2155" s="805">
        <v>8.94</v>
      </c>
      <c r="F2155" s="806">
        <v>2.86</v>
      </c>
      <c r="G2155" s="805">
        <v>5.0247347624529404</v>
      </c>
      <c r="H2155" s="805">
        <v>156.93</v>
      </c>
      <c r="I2155" s="805">
        <v>10.48</v>
      </c>
      <c r="J2155" s="805">
        <v>2063.9499999999998</v>
      </c>
      <c r="K2155" s="805">
        <v>4869.2939999999999</v>
      </c>
    </row>
    <row r="2156" spans="3:11">
      <c r="C2156" s="861">
        <v>42458</v>
      </c>
      <c r="D2156" s="805">
        <v>32.380000000000003</v>
      </c>
      <c r="E2156" s="805">
        <v>8.8475000000000001</v>
      </c>
      <c r="F2156" s="806">
        <v>2.86</v>
      </c>
      <c r="G2156" s="805">
        <v>4.9140808505377702</v>
      </c>
      <c r="H2156" s="805">
        <v>154.13</v>
      </c>
      <c r="I2156" s="805">
        <v>10.45</v>
      </c>
      <c r="J2156" s="805">
        <v>2055.0100000000002</v>
      </c>
      <c r="K2156" s="805">
        <v>4846.6229999999996</v>
      </c>
    </row>
    <row r="2157" spans="3:11">
      <c r="C2157" s="861">
        <v>42457</v>
      </c>
      <c r="D2157" s="805">
        <v>31.9</v>
      </c>
      <c r="E2157" s="805">
        <v>8.7074999999999996</v>
      </c>
      <c r="F2157" s="806">
        <v>2.78</v>
      </c>
      <c r="G2157" s="805">
        <v>4.87774948614903</v>
      </c>
      <c r="H2157" s="805">
        <v>153.1</v>
      </c>
      <c r="I2157" s="805">
        <v>10.38</v>
      </c>
      <c r="J2157" s="805">
        <v>2037.05</v>
      </c>
      <c r="K2157" s="805">
        <v>4766.7870000000003</v>
      </c>
    </row>
    <row r="2158" spans="3:11">
      <c r="C2158" s="861">
        <v>42456</v>
      </c>
      <c r="D2158" s="805">
        <v>31.88</v>
      </c>
      <c r="E2158" s="805">
        <v>8.6199999999999992</v>
      </c>
      <c r="F2158" s="806">
        <v>2.79</v>
      </c>
      <c r="G2158" s="805">
        <v>4.8603420696443997</v>
      </c>
      <c r="H2158" s="805">
        <v>153</v>
      </c>
      <c r="I2158" s="805">
        <v>10.5</v>
      </c>
      <c r="J2158" s="805">
        <v>2035.94</v>
      </c>
      <c r="K2158" s="805">
        <v>4773.5050000000001</v>
      </c>
    </row>
    <row r="2159" spans="3:11">
      <c r="C2159" s="861">
        <v>42455</v>
      </c>
      <c r="D2159" s="805">
        <v>31.88</v>
      </c>
      <c r="E2159" s="805">
        <v>8.6199999999999992</v>
      </c>
      <c r="F2159" s="806">
        <v>2.79</v>
      </c>
      <c r="G2159" s="805">
        <v>4.8603420696443997</v>
      </c>
      <c r="H2159" s="805">
        <v>153</v>
      </c>
      <c r="I2159" s="805">
        <v>10.5</v>
      </c>
      <c r="J2159" s="805">
        <v>2035.94</v>
      </c>
      <c r="K2159" s="805">
        <v>4773.5050000000001</v>
      </c>
    </row>
    <row r="2160" spans="3:11">
      <c r="C2160" s="861">
        <v>42454</v>
      </c>
      <c r="D2160" s="805">
        <v>31.88</v>
      </c>
      <c r="E2160" s="805">
        <v>8.6199999999999992</v>
      </c>
      <c r="F2160" s="806">
        <v>2.79</v>
      </c>
      <c r="G2160" s="805">
        <v>4.8603420696443997</v>
      </c>
      <c r="H2160" s="805">
        <v>153</v>
      </c>
      <c r="I2160" s="805">
        <v>10.5</v>
      </c>
      <c r="J2160" s="805">
        <v>2035.94</v>
      </c>
      <c r="K2160" s="805">
        <v>4773.5050000000001</v>
      </c>
    </row>
    <row r="2161" spans="3:11">
      <c r="C2161" s="861">
        <v>42453</v>
      </c>
      <c r="D2161" s="805">
        <v>31.88</v>
      </c>
      <c r="E2161" s="805">
        <v>8.6199999999999992</v>
      </c>
      <c r="F2161" s="806">
        <v>2.79</v>
      </c>
      <c r="G2161" s="805">
        <v>4.8667403586342397</v>
      </c>
      <c r="H2161" s="805">
        <v>153</v>
      </c>
      <c r="I2161" s="805">
        <v>10.5</v>
      </c>
      <c r="J2161" s="805">
        <v>2035.94</v>
      </c>
      <c r="K2161" s="805">
        <v>4773.5050000000001</v>
      </c>
    </row>
    <row r="2162" spans="3:11">
      <c r="C2162" s="861">
        <v>42452</v>
      </c>
      <c r="D2162" s="805">
        <v>32</v>
      </c>
      <c r="E2162" s="805">
        <v>8.6074999999999999</v>
      </c>
      <c r="F2162" s="806">
        <v>2.68</v>
      </c>
      <c r="G2162" s="805">
        <v>4.9069373942470396</v>
      </c>
      <c r="H2162" s="805">
        <v>152.99</v>
      </c>
      <c r="I2162" s="805">
        <v>10.65</v>
      </c>
      <c r="J2162" s="805">
        <v>2036.71</v>
      </c>
      <c r="K2162" s="805">
        <v>4768.8609999999999</v>
      </c>
    </row>
    <row r="2163" spans="3:11">
      <c r="C2163" s="861">
        <v>42451</v>
      </c>
      <c r="D2163" s="805">
        <v>32.32</v>
      </c>
      <c r="E2163" s="805">
        <v>8.4625000000000004</v>
      </c>
      <c r="F2163" s="806">
        <v>2.79</v>
      </c>
      <c r="G2163" s="805">
        <v>4.9019607843137303</v>
      </c>
      <c r="H2163" s="805">
        <v>154.76</v>
      </c>
      <c r="I2163" s="805">
        <v>11.44</v>
      </c>
      <c r="J2163" s="805">
        <v>2049.8000000000002</v>
      </c>
      <c r="K2163" s="805">
        <v>4821.6589999999997</v>
      </c>
    </row>
    <row r="2164" spans="3:11">
      <c r="C2164" s="861">
        <v>42450</v>
      </c>
      <c r="D2164" s="805">
        <v>32.340000000000003</v>
      </c>
      <c r="E2164" s="805">
        <v>8.4774999999999991</v>
      </c>
      <c r="F2164" s="806">
        <v>2.8</v>
      </c>
      <c r="G2164" s="805">
        <v>4.9428483163422898</v>
      </c>
      <c r="H2164" s="805">
        <v>152.88999999999999</v>
      </c>
      <c r="I2164" s="805">
        <v>11.53</v>
      </c>
      <c r="J2164" s="805">
        <v>2051.6</v>
      </c>
      <c r="K2164" s="805">
        <v>4808.8720000000003</v>
      </c>
    </row>
    <row r="2165" spans="3:11">
      <c r="C2165" s="861">
        <v>42449</v>
      </c>
      <c r="D2165" s="805">
        <v>32.68</v>
      </c>
      <c r="E2165" s="805">
        <v>8.4525000000000006</v>
      </c>
      <c r="F2165" s="806">
        <v>2.93</v>
      </c>
      <c r="G2165" s="805">
        <v>4.9356355984651596</v>
      </c>
      <c r="H2165" s="805">
        <v>152.49</v>
      </c>
      <c r="I2165" s="805">
        <v>11.14</v>
      </c>
      <c r="J2165" s="805">
        <v>2049.58</v>
      </c>
      <c r="K2165" s="805">
        <v>4795.6469999999999</v>
      </c>
    </row>
    <row r="2166" spans="3:11">
      <c r="C2166" s="861">
        <v>42448</v>
      </c>
      <c r="D2166" s="805">
        <v>32.68</v>
      </c>
      <c r="E2166" s="805">
        <v>8.4525000000000006</v>
      </c>
      <c r="F2166" s="806">
        <v>2.93</v>
      </c>
      <c r="G2166" s="805">
        <v>4.9356355984651596</v>
      </c>
      <c r="H2166" s="805">
        <v>152.49</v>
      </c>
      <c r="I2166" s="805">
        <v>11.14</v>
      </c>
      <c r="J2166" s="805">
        <v>2049.58</v>
      </c>
      <c r="K2166" s="805">
        <v>4795.6469999999999</v>
      </c>
    </row>
    <row r="2167" spans="3:11">
      <c r="C2167" s="861">
        <v>42447</v>
      </c>
      <c r="D2167" s="805">
        <v>32.68</v>
      </c>
      <c r="E2167" s="805">
        <v>8.4525000000000006</v>
      </c>
      <c r="F2167" s="806">
        <v>2.93</v>
      </c>
      <c r="G2167" s="805">
        <v>4.9356355984651596</v>
      </c>
      <c r="H2167" s="805">
        <v>152.49</v>
      </c>
      <c r="I2167" s="805">
        <v>11.14</v>
      </c>
      <c r="J2167" s="805">
        <v>2049.58</v>
      </c>
      <c r="K2167" s="805">
        <v>4795.6469999999999</v>
      </c>
    </row>
    <row r="2168" spans="3:11">
      <c r="C2168" s="861">
        <v>42446</v>
      </c>
      <c r="D2168" s="805">
        <v>31.98</v>
      </c>
      <c r="E2168" s="805">
        <v>8.2050000000000001</v>
      </c>
      <c r="F2168" s="806">
        <v>2.8</v>
      </c>
      <c r="G2168" s="805">
        <v>4.9063612443894096</v>
      </c>
      <c r="H2168" s="805">
        <v>151.55000000000001</v>
      </c>
      <c r="I2168" s="805">
        <v>10.87</v>
      </c>
      <c r="J2168" s="805">
        <v>2040.59</v>
      </c>
      <c r="K2168" s="805">
        <v>4774.9849999999997</v>
      </c>
    </row>
    <row r="2169" spans="3:11">
      <c r="C2169" s="861">
        <v>42445</v>
      </c>
      <c r="D2169" s="805">
        <v>31.69</v>
      </c>
      <c r="E2169" s="805">
        <v>8.2750000000000004</v>
      </c>
      <c r="F2169" s="806">
        <v>2.63</v>
      </c>
      <c r="G2169" s="805">
        <v>4.8029556650246299</v>
      </c>
      <c r="H2169" s="805">
        <v>148.63</v>
      </c>
      <c r="I2169" s="805">
        <v>10.72</v>
      </c>
      <c r="J2169" s="805">
        <v>2027.22</v>
      </c>
      <c r="K2169" s="805">
        <v>4763.97</v>
      </c>
    </row>
    <row r="2170" spans="3:11">
      <c r="C2170" s="861">
        <v>42444</v>
      </c>
      <c r="D2170" s="805">
        <v>31.65</v>
      </c>
      <c r="E2170" s="805">
        <v>8.0350000000000001</v>
      </c>
      <c r="F2170" s="806">
        <v>2.4900000000000002</v>
      </c>
      <c r="G2170" s="805">
        <v>4.7123772341853201</v>
      </c>
      <c r="H2170" s="805">
        <v>148.47</v>
      </c>
      <c r="I2170" s="805">
        <v>10.85</v>
      </c>
      <c r="J2170" s="805">
        <v>2015.93</v>
      </c>
      <c r="K2170" s="805">
        <v>4728.6679999999997</v>
      </c>
    </row>
    <row r="2171" spans="3:11">
      <c r="C2171" s="861">
        <v>42443</v>
      </c>
      <c r="D2171" s="805">
        <v>31.43</v>
      </c>
      <c r="E2171" s="805">
        <v>8.0749999999999993</v>
      </c>
      <c r="F2171" s="806">
        <v>2.72</v>
      </c>
      <c r="G2171" s="805">
        <v>4.7754614748829098</v>
      </c>
      <c r="H2171" s="805">
        <v>148.13999999999999</v>
      </c>
      <c r="I2171" s="805">
        <v>11.15</v>
      </c>
      <c r="J2171" s="805">
        <v>2019.64</v>
      </c>
      <c r="K2171" s="805">
        <v>4750.28</v>
      </c>
    </row>
    <row r="2172" spans="3:11">
      <c r="C2172" s="861">
        <v>42442</v>
      </c>
      <c r="D2172" s="805">
        <v>31.76</v>
      </c>
      <c r="E2172" s="805">
        <v>8.0549999999999997</v>
      </c>
      <c r="F2172" s="806">
        <v>2.52</v>
      </c>
      <c r="G2172" s="805">
        <v>4.7465931710304696</v>
      </c>
      <c r="H2172" s="805">
        <v>148.82</v>
      </c>
      <c r="I2172" s="805">
        <v>11.39</v>
      </c>
      <c r="J2172" s="805">
        <v>2022.19</v>
      </c>
      <c r="K2172" s="805">
        <v>4748.4660000000003</v>
      </c>
    </row>
    <row r="2173" spans="3:11">
      <c r="C2173" s="861">
        <v>42441</v>
      </c>
      <c r="D2173" s="805">
        <v>31.76</v>
      </c>
      <c r="E2173" s="805">
        <v>8.0549999999999997</v>
      </c>
      <c r="F2173" s="806">
        <v>2.52</v>
      </c>
      <c r="G2173" s="805">
        <v>4.7465931710304696</v>
      </c>
      <c r="H2173" s="805">
        <v>148.82</v>
      </c>
      <c r="I2173" s="805">
        <v>11.39</v>
      </c>
      <c r="J2173" s="805">
        <v>2022.19</v>
      </c>
      <c r="K2173" s="805">
        <v>4748.4660000000003</v>
      </c>
    </row>
    <row r="2174" spans="3:11">
      <c r="C2174" s="861">
        <v>42440</v>
      </c>
      <c r="D2174" s="805">
        <v>31.76</v>
      </c>
      <c r="E2174" s="805">
        <v>8.0549999999999997</v>
      </c>
      <c r="F2174" s="806">
        <v>2.52</v>
      </c>
      <c r="G2174" s="805">
        <v>4.7465931710304696</v>
      </c>
      <c r="H2174" s="805">
        <v>148.82</v>
      </c>
      <c r="I2174" s="805">
        <v>11.39</v>
      </c>
      <c r="J2174" s="805">
        <v>2022.19</v>
      </c>
      <c r="K2174" s="805">
        <v>4748.4660000000003</v>
      </c>
    </row>
    <row r="2175" spans="3:11">
      <c r="C2175" s="861">
        <v>42439</v>
      </c>
      <c r="D2175" s="805">
        <v>31.25</v>
      </c>
      <c r="E2175" s="805">
        <v>7.92</v>
      </c>
      <c r="F2175" s="806">
        <v>2.2599999999999998</v>
      </c>
      <c r="G2175" s="805">
        <v>4.6996197718631203</v>
      </c>
      <c r="H2175" s="805">
        <v>144.41999999999999</v>
      </c>
      <c r="I2175" s="805">
        <v>10.88</v>
      </c>
      <c r="J2175" s="805">
        <v>1989.57</v>
      </c>
      <c r="K2175" s="805">
        <v>4662.1559999999999</v>
      </c>
    </row>
    <row r="2176" spans="3:11">
      <c r="C2176" s="861">
        <v>42438</v>
      </c>
      <c r="D2176" s="805">
        <v>30.864999999999998</v>
      </c>
      <c r="E2176" s="805">
        <v>7.9325000000000001</v>
      </c>
      <c r="F2176" s="806">
        <v>2.2599999999999998</v>
      </c>
      <c r="G2176" s="805">
        <v>4.6634967081199701</v>
      </c>
      <c r="H2176" s="805">
        <v>141.96</v>
      </c>
      <c r="I2176" s="805">
        <v>10.81</v>
      </c>
      <c r="J2176" s="805">
        <v>1989.26</v>
      </c>
      <c r="K2176" s="805">
        <v>4674.3789999999999</v>
      </c>
    </row>
    <row r="2177" spans="3:11">
      <c r="C2177" s="861">
        <v>42437</v>
      </c>
      <c r="D2177" s="805">
        <v>30.56</v>
      </c>
      <c r="E2177" s="805">
        <v>7.9375</v>
      </c>
      <c r="F2177" s="806">
        <v>2.2999999999999998</v>
      </c>
      <c r="G2177" s="805">
        <v>4.6373981755499303</v>
      </c>
      <c r="H2177" s="805">
        <v>139.63</v>
      </c>
      <c r="I2177" s="805">
        <v>10.66</v>
      </c>
      <c r="J2177" s="805">
        <v>1979.26</v>
      </c>
      <c r="K2177" s="805">
        <v>4648.8249999999998</v>
      </c>
    </row>
    <row r="2178" spans="3:11">
      <c r="C2178" s="861">
        <v>42436</v>
      </c>
      <c r="D2178" s="805">
        <v>30.94</v>
      </c>
      <c r="E2178" s="805">
        <v>8.0850000000000009</v>
      </c>
      <c r="F2178" s="806">
        <v>2.4700000000000002</v>
      </c>
      <c r="G2178" s="805">
        <v>4.6602894285013496</v>
      </c>
      <c r="H2178" s="805">
        <v>143.51</v>
      </c>
      <c r="I2178" s="805">
        <v>11.58</v>
      </c>
      <c r="J2178" s="805">
        <v>2001.76</v>
      </c>
      <c r="K2178" s="805">
        <v>4708.2539999999999</v>
      </c>
    </row>
    <row r="2179" spans="3:11">
      <c r="C2179" s="861">
        <v>42435</v>
      </c>
      <c r="D2179" s="805">
        <v>30.63</v>
      </c>
      <c r="E2179" s="805">
        <v>8.1374999999999993</v>
      </c>
      <c r="F2179" s="806">
        <v>2.37</v>
      </c>
      <c r="G2179" s="805">
        <v>4.6930296968764402</v>
      </c>
      <c r="H2179" s="805">
        <v>146.06</v>
      </c>
      <c r="I2179" s="805">
        <v>11.88</v>
      </c>
      <c r="J2179" s="805">
        <v>1999.99</v>
      </c>
      <c r="K2179" s="805">
        <v>4717.0209999999997</v>
      </c>
    </row>
    <row r="2180" spans="3:11">
      <c r="C2180" s="861">
        <v>42434</v>
      </c>
      <c r="D2180" s="805">
        <v>30.63</v>
      </c>
      <c r="E2180" s="805">
        <v>8.1374999999999993</v>
      </c>
      <c r="F2180" s="806">
        <v>2.37</v>
      </c>
      <c r="G2180" s="805">
        <v>4.6930296968764402</v>
      </c>
      <c r="H2180" s="805">
        <v>146.06</v>
      </c>
      <c r="I2180" s="805">
        <v>11.88</v>
      </c>
      <c r="J2180" s="805">
        <v>1999.99</v>
      </c>
      <c r="K2180" s="805">
        <v>4717.0209999999997</v>
      </c>
    </row>
    <row r="2181" spans="3:11">
      <c r="C2181" s="861">
        <v>42433</v>
      </c>
      <c r="D2181" s="805">
        <v>30.63</v>
      </c>
      <c r="E2181" s="805">
        <v>8.1374999999999993</v>
      </c>
      <c r="F2181" s="806">
        <v>2.37</v>
      </c>
      <c r="G2181" s="805">
        <v>4.6930296968764402</v>
      </c>
      <c r="H2181" s="805">
        <v>146.06</v>
      </c>
      <c r="I2181" s="805">
        <v>11.88</v>
      </c>
      <c r="J2181" s="805">
        <v>1999.99</v>
      </c>
      <c r="K2181" s="805">
        <v>4717.0209999999997</v>
      </c>
    </row>
    <row r="2182" spans="3:11">
      <c r="C2182" s="861">
        <v>42432</v>
      </c>
      <c r="D2182" s="805">
        <v>30.58</v>
      </c>
      <c r="E2182" s="805">
        <v>8.1624999999999996</v>
      </c>
      <c r="F2182" s="806">
        <v>2.46</v>
      </c>
      <c r="G2182" s="805">
        <v>4.68711955198442</v>
      </c>
      <c r="H2182" s="805">
        <v>137.33000000000001</v>
      </c>
      <c r="I2182" s="805">
        <v>11.79</v>
      </c>
      <c r="J2182" s="805">
        <v>1993.4</v>
      </c>
      <c r="K2182" s="805">
        <v>4707.4229999999998</v>
      </c>
    </row>
    <row r="2183" spans="3:11">
      <c r="C2183" s="861">
        <v>42431</v>
      </c>
      <c r="D2183" s="805">
        <v>30.54</v>
      </c>
      <c r="E2183" s="805">
        <v>8.2349999999999994</v>
      </c>
      <c r="F2183" s="806">
        <v>2.3199999999999998</v>
      </c>
      <c r="G2183" s="805">
        <v>4.6258503401360498</v>
      </c>
      <c r="H2183" s="805">
        <v>136.97</v>
      </c>
      <c r="I2183" s="805">
        <v>11.68</v>
      </c>
      <c r="J2183" s="805">
        <v>1986.45</v>
      </c>
      <c r="K2183" s="805">
        <v>4703.4219999999996</v>
      </c>
    </row>
    <row r="2184" spans="3:11">
      <c r="C2184" s="861">
        <v>42430</v>
      </c>
      <c r="D2184" s="805">
        <v>30.37</v>
      </c>
      <c r="E2184" s="805">
        <v>8.1875</v>
      </c>
      <c r="F2184" s="806">
        <v>2.1800000000000002</v>
      </c>
      <c r="G2184" s="805">
        <v>4.6035495790175096</v>
      </c>
      <c r="H2184" s="805">
        <v>138.43</v>
      </c>
      <c r="I2184" s="805">
        <v>11.07</v>
      </c>
      <c r="J2184" s="805">
        <v>1978.35</v>
      </c>
      <c r="K2184" s="805">
        <v>4689.5950000000003</v>
      </c>
    </row>
    <row r="2185" spans="3:11">
      <c r="C2185" s="861">
        <v>42429</v>
      </c>
      <c r="D2185" s="805">
        <v>29.59</v>
      </c>
      <c r="E2185" s="805">
        <v>7.84</v>
      </c>
      <c r="F2185" s="806">
        <v>2.14</v>
      </c>
      <c r="G2185" s="805">
        <v>4.4755496816051901</v>
      </c>
      <c r="H2185" s="805">
        <v>133.97</v>
      </c>
      <c r="I2185" s="805">
        <v>10.63</v>
      </c>
      <c r="J2185" s="805">
        <v>1932.23</v>
      </c>
      <c r="K2185" s="805">
        <v>4557.95</v>
      </c>
    </row>
    <row r="2186" spans="3:11">
      <c r="C2186" s="861">
        <v>42428</v>
      </c>
      <c r="D2186" s="805">
        <v>29.8</v>
      </c>
      <c r="E2186" s="805">
        <v>7.92</v>
      </c>
      <c r="F2186" s="806">
        <v>2.0699999999999998</v>
      </c>
      <c r="G2186" s="805">
        <v>4.4755496816051901</v>
      </c>
      <c r="H2186" s="805">
        <v>133.11000000000001</v>
      </c>
      <c r="I2186" s="805">
        <v>10.7</v>
      </c>
      <c r="J2186" s="805">
        <v>1948.05</v>
      </c>
      <c r="K2186" s="805">
        <v>4590.473</v>
      </c>
    </row>
    <row r="2187" spans="3:11">
      <c r="C2187" s="861">
        <v>42427</v>
      </c>
      <c r="D2187" s="805">
        <v>29.8</v>
      </c>
      <c r="E2187" s="805">
        <v>7.92</v>
      </c>
      <c r="F2187" s="806">
        <v>2.0699999999999998</v>
      </c>
      <c r="G2187" s="805">
        <v>4.4755496816051901</v>
      </c>
      <c r="H2187" s="805">
        <v>133.11000000000001</v>
      </c>
      <c r="I2187" s="805">
        <v>10.7</v>
      </c>
      <c r="J2187" s="805">
        <v>1948.05</v>
      </c>
      <c r="K2187" s="805">
        <v>4590.473</v>
      </c>
    </row>
    <row r="2188" spans="3:11">
      <c r="C2188" s="861">
        <v>42426</v>
      </c>
      <c r="D2188" s="805">
        <v>29.8</v>
      </c>
      <c r="E2188" s="805">
        <v>7.92</v>
      </c>
      <c r="F2188" s="806">
        <v>2.0699999999999998</v>
      </c>
      <c r="G2188" s="805">
        <v>4.4755496816051901</v>
      </c>
      <c r="H2188" s="805">
        <v>133.11000000000001</v>
      </c>
      <c r="I2188" s="805">
        <v>10.7</v>
      </c>
      <c r="J2188" s="805">
        <v>1948.05</v>
      </c>
      <c r="K2188" s="805">
        <v>4590.473</v>
      </c>
    </row>
    <row r="2189" spans="3:11">
      <c r="C2189" s="861">
        <v>42425</v>
      </c>
      <c r="D2189" s="805">
        <v>29.62</v>
      </c>
      <c r="E2189" s="805">
        <v>7.9725000000000001</v>
      </c>
      <c r="F2189" s="806">
        <v>2.0299999999999998</v>
      </c>
      <c r="G2189" s="805">
        <v>4.5269965408332098</v>
      </c>
      <c r="H2189" s="805">
        <v>132.47</v>
      </c>
      <c r="I2189" s="805">
        <v>10.72</v>
      </c>
      <c r="J2189" s="805">
        <v>1951.7</v>
      </c>
      <c r="K2189" s="805">
        <v>4582.2049999999999</v>
      </c>
    </row>
    <row r="2190" spans="3:11">
      <c r="C2190" s="861">
        <v>42424</v>
      </c>
      <c r="D2190" s="805">
        <v>29.19</v>
      </c>
      <c r="E2190" s="805">
        <v>7.9550000000000001</v>
      </c>
      <c r="F2190" s="806">
        <v>2.02</v>
      </c>
      <c r="G2190" s="805">
        <v>4.4491206974297297</v>
      </c>
      <c r="H2190" s="805">
        <v>130.34</v>
      </c>
      <c r="I2190" s="805">
        <v>10.64</v>
      </c>
      <c r="J2190" s="805">
        <v>1929.8</v>
      </c>
      <c r="K2190" s="805">
        <v>4542.6059999999998</v>
      </c>
    </row>
    <row r="2191" spans="3:11">
      <c r="C2191" s="861">
        <v>42423</v>
      </c>
      <c r="D2191" s="805">
        <v>28.8</v>
      </c>
      <c r="E2191" s="805">
        <v>7.9</v>
      </c>
      <c r="F2191" s="806">
        <v>1.97</v>
      </c>
      <c r="G2191" s="805">
        <v>4.4962406015037599</v>
      </c>
      <c r="H2191" s="805">
        <v>128.16</v>
      </c>
      <c r="I2191" s="805">
        <v>10.49</v>
      </c>
      <c r="J2191" s="805">
        <v>1921.27</v>
      </c>
      <c r="K2191" s="805">
        <v>4503.5829999999996</v>
      </c>
    </row>
    <row r="2192" spans="3:11">
      <c r="C2192" s="861">
        <v>42422</v>
      </c>
      <c r="D2192" s="805">
        <v>29.35</v>
      </c>
      <c r="E2192" s="805">
        <v>7.88</v>
      </c>
      <c r="F2192" s="806">
        <v>2.0099999999999998</v>
      </c>
      <c r="G2192" s="805">
        <v>4.5516201959306697</v>
      </c>
      <c r="H2192" s="805">
        <v>130.63999999999999</v>
      </c>
      <c r="I2192" s="805">
        <v>11.05</v>
      </c>
      <c r="J2192" s="805">
        <v>1945.5</v>
      </c>
      <c r="K2192" s="805">
        <v>4570.607</v>
      </c>
    </row>
    <row r="2193" spans="3:11">
      <c r="C2193" s="861">
        <v>42421</v>
      </c>
      <c r="D2193" s="805">
        <v>28.71</v>
      </c>
      <c r="E2193" s="805">
        <v>7.61</v>
      </c>
      <c r="F2193" s="806">
        <v>1.91</v>
      </c>
      <c r="G2193" s="805">
        <v>4.5466863388636298</v>
      </c>
      <c r="H2193" s="805">
        <v>128.66999999999999</v>
      </c>
      <c r="I2193" s="805">
        <v>11.16</v>
      </c>
      <c r="J2193" s="805">
        <v>1917.78</v>
      </c>
      <c r="K2193" s="805">
        <v>4504.4290000000001</v>
      </c>
    </row>
    <row r="2194" spans="3:11">
      <c r="C2194" s="861">
        <v>42420</v>
      </c>
      <c r="D2194" s="805">
        <v>28.71</v>
      </c>
      <c r="E2194" s="805">
        <v>7.61</v>
      </c>
      <c r="F2194" s="806">
        <v>1.91</v>
      </c>
      <c r="G2194" s="805">
        <v>4.5466863388636298</v>
      </c>
      <c r="H2194" s="805">
        <v>128.66999999999999</v>
      </c>
      <c r="I2194" s="805">
        <v>11.16</v>
      </c>
      <c r="J2194" s="805">
        <v>1917.78</v>
      </c>
      <c r="K2194" s="805">
        <v>4504.4290000000001</v>
      </c>
    </row>
    <row r="2195" spans="3:11">
      <c r="C2195" s="861">
        <v>42419</v>
      </c>
      <c r="D2195" s="805">
        <v>28.71</v>
      </c>
      <c r="E2195" s="805">
        <v>7.61</v>
      </c>
      <c r="F2195" s="806">
        <v>1.91</v>
      </c>
      <c r="G2195" s="805">
        <v>4.5466863388636298</v>
      </c>
      <c r="H2195" s="805">
        <v>128.66999999999999</v>
      </c>
      <c r="I2195" s="805">
        <v>11.16</v>
      </c>
      <c r="J2195" s="805">
        <v>1917.78</v>
      </c>
      <c r="K2195" s="805">
        <v>4504.4290000000001</v>
      </c>
    </row>
    <row r="2196" spans="3:11">
      <c r="C2196" s="861">
        <v>42418</v>
      </c>
      <c r="D2196" s="805">
        <v>29.42</v>
      </c>
      <c r="E2196" s="805">
        <v>7.51</v>
      </c>
      <c r="F2196" s="806">
        <v>1.91</v>
      </c>
      <c r="G2196" s="805">
        <v>4.5420363964505901</v>
      </c>
      <c r="H2196" s="805">
        <v>127.07</v>
      </c>
      <c r="I2196" s="805">
        <v>11.49</v>
      </c>
      <c r="J2196" s="805">
        <v>1917.83</v>
      </c>
      <c r="K2196" s="805">
        <v>4487.5370000000003</v>
      </c>
    </row>
    <row r="2197" spans="3:11">
      <c r="C2197" s="861">
        <v>42417</v>
      </c>
      <c r="D2197" s="805">
        <v>29.47</v>
      </c>
      <c r="E2197" s="805">
        <v>6.915</v>
      </c>
      <c r="F2197" s="806">
        <v>1.9</v>
      </c>
      <c r="G2197" s="805">
        <v>4.4464473486555498</v>
      </c>
      <c r="H2197" s="805">
        <v>130.68</v>
      </c>
      <c r="I2197" s="805">
        <v>11.43</v>
      </c>
      <c r="J2197" s="805">
        <v>1926.82</v>
      </c>
      <c r="K2197" s="805">
        <v>4534.0649999999996</v>
      </c>
    </row>
    <row r="2198" spans="3:11">
      <c r="C2198" s="861">
        <v>42416</v>
      </c>
      <c r="D2198" s="805">
        <v>28.78</v>
      </c>
      <c r="E2198" s="805">
        <v>6.7474999999999996</v>
      </c>
      <c r="F2198" s="806">
        <v>1.83</v>
      </c>
      <c r="G2198" s="805">
        <v>4.4404973357016004</v>
      </c>
      <c r="H2198" s="805">
        <v>126.24</v>
      </c>
      <c r="I2198" s="805">
        <v>10.81</v>
      </c>
      <c r="J2198" s="805">
        <v>1895.58</v>
      </c>
      <c r="K2198" s="805">
        <v>4435.9549999999999</v>
      </c>
    </row>
    <row r="2199" spans="3:11">
      <c r="C2199" s="861">
        <v>42415</v>
      </c>
      <c r="D2199" s="805">
        <v>28.64</v>
      </c>
      <c r="E2199" s="805">
        <v>6.4325000000000001</v>
      </c>
      <c r="F2199" s="806">
        <v>1.83</v>
      </c>
      <c r="G2199" s="805">
        <v>4.3819885161680299</v>
      </c>
      <c r="H2199" s="805">
        <v>121.66</v>
      </c>
      <c r="I2199" s="805">
        <v>10.02</v>
      </c>
      <c r="J2199" s="805">
        <v>1864.78</v>
      </c>
      <c r="K2199" s="805">
        <v>4337.5119999999997</v>
      </c>
    </row>
    <row r="2200" spans="3:11">
      <c r="C2200" s="861">
        <v>42414</v>
      </c>
      <c r="D2200" s="805">
        <v>28.64</v>
      </c>
      <c r="E2200" s="805">
        <v>6.4325000000000001</v>
      </c>
      <c r="F2200" s="806">
        <v>1.83</v>
      </c>
      <c r="G2200" s="805">
        <v>4.3830681477033897</v>
      </c>
      <c r="H2200" s="805">
        <v>121.66</v>
      </c>
      <c r="I2200" s="805">
        <v>10.02</v>
      </c>
      <c r="J2200" s="805">
        <v>1864.78</v>
      </c>
      <c r="K2200" s="805">
        <v>4337.5119999999997</v>
      </c>
    </row>
    <row r="2201" spans="3:11">
      <c r="C2201" s="861">
        <v>42413</v>
      </c>
      <c r="D2201" s="805">
        <v>28.64</v>
      </c>
      <c r="E2201" s="805">
        <v>6.4325000000000001</v>
      </c>
      <c r="F2201" s="806">
        <v>1.83</v>
      </c>
      <c r="G2201" s="805">
        <v>4.3830681477033897</v>
      </c>
      <c r="H2201" s="805">
        <v>121.66</v>
      </c>
      <c r="I2201" s="805">
        <v>10.02</v>
      </c>
      <c r="J2201" s="805">
        <v>1864.78</v>
      </c>
      <c r="K2201" s="805">
        <v>4337.5119999999997</v>
      </c>
    </row>
    <row r="2202" spans="3:11">
      <c r="C2202" s="861">
        <v>42412</v>
      </c>
      <c r="D2202" s="805">
        <v>28.64</v>
      </c>
      <c r="E2202" s="805">
        <v>6.4325000000000001</v>
      </c>
      <c r="F2202" s="806">
        <v>1.83</v>
      </c>
      <c r="G2202" s="805">
        <v>4.3830681477033897</v>
      </c>
      <c r="H2202" s="805">
        <v>121.66</v>
      </c>
      <c r="I2202" s="805">
        <v>10.02</v>
      </c>
      <c r="J2202" s="805">
        <v>1864.78</v>
      </c>
      <c r="K2202" s="805">
        <v>4337.5119999999997</v>
      </c>
    </row>
    <row r="2203" spans="3:11">
      <c r="C2203" s="861">
        <v>42411</v>
      </c>
      <c r="D2203" s="805">
        <v>28.22</v>
      </c>
      <c r="E2203" s="805">
        <v>6.3250000000000002</v>
      </c>
      <c r="F2203" s="806">
        <v>1.86</v>
      </c>
      <c r="G2203" s="805">
        <v>4.3830681477033897</v>
      </c>
      <c r="H2203" s="805">
        <v>116.31</v>
      </c>
      <c r="I2203" s="805">
        <v>9.69</v>
      </c>
      <c r="J2203" s="805">
        <v>1829.08</v>
      </c>
      <c r="K2203" s="805">
        <v>4266.8370000000004</v>
      </c>
    </row>
    <row r="2204" spans="3:11">
      <c r="C2204" s="861">
        <v>42410</v>
      </c>
      <c r="D2204" s="805">
        <v>28.23</v>
      </c>
      <c r="E2204" s="805">
        <v>6.3574999999999999</v>
      </c>
      <c r="F2204" s="806">
        <v>1.84</v>
      </c>
      <c r="G2204" s="805">
        <v>4.3830681477033897</v>
      </c>
      <c r="H2204" s="805">
        <v>119.2</v>
      </c>
      <c r="I2204" s="805">
        <v>9.9</v>
      </c>
      <c r="J2204" s="805">
        <v>1851.86</v>
      </c>
      <c r="K2204" s="805">
        <v>4283.5919999999996</v>
      </c>
    </row>
    <row r="2205" spans="3:11">
      <c r="C2205" s="861">
        <v>42409</v>
      </c>
      <c r="D2205" s="805">
        <v>28.81</v>
      </c>
      <c r="E2205" s="805">
        <v>6.3724999999999996</v>
      </c>
      <c r="F2205" s="806">
        <v>1.9</v>
      </c>
      <c r="G2205" s="805">
        <v>4.3830681477033897</v>
      </c>
      <c r="H2205" s="805">
        <v>119.71</v>
      </c>
      <c r="I2205" s="805">
        <v>9.98</v>
      </c>
      <c r="J2205" s="805">
        <v>1852.21</v>
      </c>
      <c r="K2205" s="805">
        <v>4268.7629999999999</v>
      </c>
    </row>
    <row r="2206" spans="3:11">
      <c r="C2206" s="861">
        <v>42408</v>
      </c>
      <c r="D2206" s="805">
        <v>28.82</v>
      </c>
      <c r="E2206" s="805">
        <v>6.3049999999999997</v>
      </c>
      <c r="F2206" s="806">
        <v>1.93</v>
      </c>
      <c r="G2206" s="805">
        <v>4.3830681477033897</v>
      </c>
      <c r="H2206" s="805">
        <v>121.86</v>
      </c>
      <c r="I2206" s="805">
        <v>10.17</v>
      </c>
      <c r="J2206" s="805">
        <v>1853.44</v>
      </c>
      <c r="K2206" s="805">
        <v>4283.7529999999997</v>
      </c>
    </row>
    <row r="2207" spans="3:11">
      <c r="C2207" s="861">
        <v>42407</v>
      </c>
      <c r="D2207" s="805">
        <v>29.04</v>
      </c>
      <c r="E2207" s="805">
        <v>6.6074999999999999</v>
      </c>
      <c r="F2207" s="806">
        <v>1.98</v>
      </c>
      <c r="G2207" s="805">
        <v>4.3830681477033897</v>
      </c>
      <c r="H2207" s="805">
        <v>128.36000000000001</v>
      </c>
      <c r="I2207" s="805">
        <v>11</v>
      </c>
      <c r="J2207" s="805">
        <v>1880.05</v>
      </c>
      <c r="K2207" s="805">
        <v>4363.1440000000002</v>
      </c>
    </row>
    <row r="2208" spans="3:11">
      <c r="C2208" s="861">
        <v>42406</v>
      </c>
      <c r="D2208" s="805">
        <v>29.04</v>
      </c>
      <c r="E2208" s="805">
        <v>6.6074999999999999</v>
      </c>
      <c r="F2208" s="806">
        <v>1.98</v>
      </c>
      <c r="G2208" s="805">
        <v>4.3830681477033897</v>
      </c>
      <c r="H2208" s="805">
        <v>128.36000000000001</v>
      </c>
      <c r="I2208" s="805">
        <v>11</v>
      </c>
      <c r="J2208" s="805">
        <v>1880.05</v>
      </c>
      <c r="K2208" s="805">
        <v>4363.1440000000002</v>
      </c>
    </row>
    <row r="2209" spans="3:11">
      <c r="C2209" s="861">
        <v>42405</v>
      </c>
      <c r="D2209" s="805">
        <v>29.04</v>
      </c>
      <c r="E2209" s="805">
        <v>6.6074999999999999</v>
      </c>
      <c r="F2209" s="806">
        <v>1.98</v>
      </c>
      <c r="G2209" s="805">
        <v>4.3830681477033897</v>
      </c>
      <c r="H2209" s="805">
        <v>128.36000000000001</v>
      </c>
      <c r="I2209" s="805">
        <v>11</v>
      </c>
      <c r="J2209" s="805">
        <v>1880.05</v>
      </c>
      <c r="K2209" s="805">
        <v>4363.1440000000002</v>
      </c>
    </row>
    <row r="2210" spans="3:11">
      <c r="C2210" s="861">
        <v>42404</v>
      </c>
      <c r="D2210" s="805">
        <v>29.77</v>
      </c>
      <c r="E2210" s="805">
        <v>7.0525000000000002</v>
      </c>
      <c r="F2210" s="806">
        <v>2.09</v>
      </c>
      <c r="G2210" s="805">
        <v>4.3830681477033897</v>
      </c>
      <c r="H2210" s="805">
        <v>136.12</v>
      </c>
      <c r="I2210" s="805">
        <v>11.23</v>
      </c>
      <c r="J2210" s="805">
        <v>1915.45</v>
      </c>
      <c r="K2210" s="805">
        <v>4509.5590000000002</v>
      </c>
    </row>
    <row r="2211" spans="3:11">
      <c r="C2211" s="861">
        <v>42403</v>
      </c>
      <c r="D2211" s="805">
        <v>29.34</v>
      </c>
      <c r="E2211" s="805">
        <v>7.05</v>
      </c>
      <c r="F2211" s="806">
        <v>2.0699999999999998</v>
      </c>
      <c r="G2211" s="805">
        <v>4.3830681477033897</v>
      </c>
      <c r="H2211" s="805">
        <v>131.36000000000001</v>
      </c>
      <c r="I2211" s="805">
        <v>10.76</v>
      </c>
      <c r="J2211" s="805">
        <v>1912.53</v>
      </c>
      <c r="K2211" s="805">
        <v>4504.2380000000003</v>
      </c>
    </row>
    <row r="2212" spans="3:11">
      <c r="C2212" s="861">
        <v>42402</v>
      </c>
      <c r="D2212" s="805">
        <v>29.8</v>
      </c>
      <c r="E2212" s="805">
        <v>7.0149999999999997</v>
      </c>
      <c r="F2212" s="806">
        <v>1.99</v>
      </c>
      <c r="G2212" s="805">
        <v>4.2588164973102201</v>
      </c>
      <c r="H2212" s="805">
        <v>133.24</v>
      </c>
      <c r="I2212" s="805">
        <v>10.59</v>
      </c>
      <c r="J2212" s="805">
        <v>1903.03</v>
      </c>
      <c r="K2212" s="805">
        <v>4516.9459999999999</v>
      </c>
    </row>
    <row r="2213" spans="3:11">
      <c r="C2213" s="861">
        <v>42401</v>
      </c>
      <c r="D2213" s="805">
        <v>30.82</v>
      </c>
      <c r="E2213" s="805">
        <v>7.3250000000000002</v>
      </c>
      <c r="F2213" s="806">
        <v>2.14</v>
      </c>
      <c r="G2213" s="805">
        <v>4.3152532214564001</v>
      </c>
      <c r="H2213" s="805">
        <v>137.68</v>
      </c>
      <c r="I2213" s="805">
        <v>10.96</v>
      </c>
      <c r="J2213" s="805">
        <v>1939.38</v>
      </c>
      <c r="K2213" s="805">
        <v>4620.3670000000002</v>
      </c>
    </row>
    <row r="2214" spans="3:11">
      <c r="C2214" s="861">
        <v>42400</v>
      </c>
      <c r="D2214" s="805">
        <v>31.02</v>
      </c>
      <c r="E2214" s="805">
        <v>7.3224999999999998</v>
      </c>
      <c r="F2214" s="806">
        <v>2.2000000000000002</v>
      </c>
      <c r="G2214" s="805">
        <v>4.24095809813935</v>
      </c>
      <c r="H2214" s="805">
        <v>133.71</v>
      </c>
      <c r="I2214" s="805">
        <v>11.03</v>
      </c>
      <c r="J2214" s="805">
        <v>1940.24</v>
      </c>
      <c r="K2214" s="805">
        <v>4613.9530000000004</v>
      </c>
    </row>
    <row r="2215" spans="3:11">
      <c r="C2215" s="861">
        <v>42399</v>
      </c>
      <c r="D2215" s="805">
        <v>31.02</v>
      </c>
      <c r="E2215" s="805">
        <v>7.3224999999999998</v>
      </c>
      <c r="F2215" s="806">
        <v>2.2000000000000002</v>
      </c>
      <c r="G2215" s="805">
        <v>4.24095809813935</v>
      </c>
      <c r="H2215" s="805">
        <v>133.71</v>
      </c>
      <c r="I2215" s="805">
        <v>11.03</v>
      </c>
      <c r="J2215" s="805">
        <v>1940.24</v>
      </c>
      <c r="K2215" s="805">
        <v>4613.9530000000004</v>
      </c>
    </row>
    <row r="2216" spans="3:11">
      <c r="C2216" s="861">
        <v>42398</v>
      </c>
      <c r="D2216" s="805">
        <v>31.02</v>
      </c>
      <c r="E2216" s="805">
        <v>7.3224999999999998</v>
      </c>
      <c r="F2216" s="806">
        <v>2.2000000000000002</v>
      </c>
      <c r="G2216" s="805">
        <v>4.2708240002389299</v>
      </c>
      <c r="H2216" s="805">
        <v>133.71</v>
      </c>
      <c r="I2216" s="805">
        <v>11.03</v>
      </c>
      <c r="J2216" s="805">
        <v>1940.24</v>
      </c>
      <c r="K2216" s="805">
        <v>4613.9530000000004</v>
      </c>
    </row>
    <row r="2217" spans="3:11">
      <c r="C2217" s="861">
        <v>42397</v>
      </c>
      <c r="D2217" s="805">
        <v>29.97</v>
      </c>
      <c r="E2217" s="805">
        <v>7.0125000000000002</v>
      </c>
      <c r="F2217" s="806">
        <v>2.08</v>
      </c>
      <c r="G2217" s="805">
        <v>4.1716328963051303</v>
      </c>
      <c r="H2217" s="805">
        <v>126.37</v>
      </c>
      <c r="I2217" s="805">
        <v>9.8849999999999998</v>
      </c>
      <c r="J2217" s="805">
        <v>1893.36</v>
      </c>
      <c r="K2217" s="805">
        <v>4506.6760000000004</v>
      </c>
    </row>
    <row r="2218" spans="3:11">
      <c r="C2218" s="861">
        <v>42396</v>
      </c>
      <c r="D2218" s="805">
        <v>29.81</v>
      </c>
      <c r="E2218" s="805">
        <v>7.09</v>
      </c>
      <c r="F2218" s="806">
        <v>2.13</v>
      </c>
      <c r="G2218" s="805">
        <v>4.1536400178651203</v>
      </c>
      <c r="H2218" s="805">
        <v>122.35</v>
      </c>
      <c r="I2218" s="805">
        <v>10.39</v>
      </c>
      <c r="J2218" s="805">
        <v>1882.95</v>
      </c>
      <c r="K2218" s="805">
        <v>4468.1670000000004</v>
      </c>
    </row>
    <row r="2219" spans="3:11">
      <c r="C2219" s="861">
        <v>42395</v>
      </c>
      <c r="D2219" s="805">
        <v>29.94</v>
      </c>
      <c r="E2219" s="805">
        <v>7.1749999999999998</v>
      </c>
      <c r="F2219" s="806">
        <v>2.0699999999999998</v>
      </c>
      <c r="G2219" s="805">
        <v>4.1006829501058704</v>
      </c>
      <c r="H2219" s="805">
        <v>124.39</v>
      </c>
      <c r="I2219" s="805">
        <v>10.55</v>
      </c>
      <c r="J2219" s="805">
        <v>1903.63</v>
      </c>
      <c r="K2219" s="805">
        <v>4567.6729999999998</v>
      </c>
    </row>
    <row r="2220" spans="3:11">
      <c r="C2220" s="861">
        <v>42394</v>
      </c>
      <c r="D2220" s="805">
        <v>29.6</v>
      </c>
      <c r="E2220" s="805">
        <v>7.1050000000000004</v>
      </c>
      <c r="F2220" s="806">
        <v>2.12</v>
      </c>
      <c r="G2220" s="805">
        <v>4.1618186700080599</v>
      </c>
      <c r="H2220" s="805">
        <v>124.49</v>
      </c>
      <c r="I2220" s="805">
        <v>10.48</v>
      </c>
      <c r="J2220" s="805">
        <v>1877.08</v>
      </c>
      <c r="K2220" s="805">
        <v>4518.491</v>
      </c>
    </row>
    <row r="2221" spans="3:11">
      <c r="C2221" s="861">
        <v>42393</v>
      </c>
      <c r="D2221" s="805">
        <v>29.925000000000001</v>
      </c>
      <c r="E2221" s="805">
        <v>7.1124999999999998</v>
      </c>
      <c r="F2221" s="806">
        <v>2.02</v>
      </c>
      <c r="G2221" s="805">
        <v>4.1380340603525498</v>
      </c>
      <c r="H2221" s="805">
        <v>124.51</v>
      </c>
      <c r="I2221" s="805">
        <v>11.07</v>
      </c>
      <c r="J2221" s="805">
        <v>1906.9</v>
      </c>
      <c r="K2221" s="805">
        <v>4591.18</v>
      </c>
    </row>
    <row r="2222" spans="3:11">
      <c r="C2222" s="861">
        <v>42392</v>
      </c>
      <c r="D2222" s="805">
        <v>29.925000000000001</v>
      </c>
      <c r="E2222" s="805">
        <v>7.1124999999999998</v>
      </c>
      <c r="F2222" s="806">
        <v>2.02</v>
      </c>
      <c r="G2222" s="805">
        <v>4.1380340603525498</v>
      </c>
      <c r="H2222" s="805">
        <v>124.51</v>
      </c>
      <c r="I2222" s="805">
        <v>11.07</v>
      </c>
      <c r="J2222" s="805">
        <v>1906.9</v>
      </c>
      <c r="K2222" s="805">
        <v>4591.18</v>
      </c>
    </row>
    <row r="2223" spans="3:11">
      <c r="C2223" s="861">
        <v>42391</v>
      </c>
      <c r="D2223" s="805">
        <v>29.925000000000001</v>
      </c>
      <c r="E2223" s="805">
        <v>7.1124999999999998</v>
      </c>
      <c r="F2223" s="806">
        <v>2.02</v>
      </c>
      <c r="G2223" s="805">
        <v>4.1380340603525498</v>
      </c>
      <c r="H2223" s="805">
        <v>124.51</v>
      </c>
      <c r="I2223" s="805">
        <v>11.07</v>
      </c>
      <c r="J2223" s="805">
        <v>1906.9</v>
      </c>
      <c r="K2223" s="805">
        <v>4591.18</v>
      </c>
    </row>
    <row r="2224" spans="3:11">
      <c r="C2224" s="861">
        <v>42390</v>
      </c>
      <c r="D2224" s="805">
        <v>29.66</v>
      </c>
      <c r="E2224" s="805">
        <v>6.95</v>
      </c>
      <c r="F2224" s="806">
        <v>2.09</v>
      </c>
      <c r="G2224" s="805">
        <v>4.0166617078250502</v>
      </c>
      <c r="H2224" s="805">
        <v>124.53</v>
      </c>
      <c r="I2224" s="805">
        <v>10.85</v>
      </c>
      <c r="J2224" s="805">
        <v>1868.99</v>
      </c>
      <c r="K2224" s="805">
        <v>4472.0559999999996</v>
      </c>
    </row>
    <row r="2225" spans="3:11">
      <c r="C2225" s="861">
        <v>42389</v>
      </c>
      <c r="D2225" s="805">
        <v>29.59</v>
      </c>
      <c r="E2225" s="805">
        <v>6.87</v>
      </c>
      <c r="F2225" s="806">
        <v>1.8</v>
      </c>
      <c r="G2225" s="805">
        <v>3.9893222601216101</v>
      </c>
      <c r="H2225" s="805">
        <v>123.83</v>
      </c>
      <c r="I2225" s="805">
        <v>10.050000000000001</v>
      </c>
      <c r="J2225" s="805">
        <v>1859.33</v>
      </c>
      <c r="K2225" s="805">
        <v>4471.6859999999997</v>
      </c>
    </row>
    <row r="2226" spans="3:11">
      <c r="C2226" s="861">
        <v>42388</v>
      </c>
      <c r="D2226" s="805">
        <v>29.8</v>
      </c>
      <c r="E2226" s="805">
        <v>6.8324999999999996</v>
      </c>
      <c r="F2226" s="806">
        <v>1.95</v>
      </c>
      <c r="G2226" s="805">
        <v>4.1061651987622003</v>
      </c>
      <c r="H2226" s="805">
        <v>120.07</v>
      </c>
      <c r="I2226" s="805">
        <v>10.8</v>
      </c>
      <c r="J2226" s="805">
        <v>1881.33</v>
      </c>
      <c r="K2226" s="805">
        <v>4476.95</v>
      </c>
    </row>
    <row r="2227" spans="3:11">
      <c r="C2227" s="861">
        <v>42387</v>
      </c>
      <c r="D2227" s="805">
        <v>29.76</v>
      </c>
      <c r="E2227" s="805">
        <v>6.7774999999999999</v>
      </c>
      <c r="F2227" s="806">
        <v>2.0299999999999998</v>
      </c>
      <c r="G2227" s="805">
        <v>4.0767742895402499</v>
      </c>
      <c r="H2227" s="805">
        <v>119.97</v>
      </c>
      <c r="I2227" s="805">
        <v>11.08</v>
      </c>
      <c r="J2227" s="805">
        <v>1880.33</v>
      </c>
      <c r="K2227" s="805">
        <v>4488.4170000000004</v>
      </c>
    </row>
    <row r="2228" spans="3:11">
      <c r="C2228" s="861">
        <v>42386</v>
      </c>
      <c r="D2228" s="805">
        <v>29.76</v>
      </c>
      <c r="E2228" s="805">
        <v>6.7774999999999999</v>
      </c>
      <c r="F2228" s="806">
        <v>2.0299999999999998</v>
      </c>
      <c r="G2228" s="805">
        <v>4.0915063911121701</v>
      </c>
      <c r="H2228" s="805">
        <v>119.97</v>
      </c>
      <c r="I2228" s="805">
        <v>11.08</v>
      </c>
      <c r="J2228" s="805">
        <v>1880.33</v>
      </c>
      <c r="K2228" s="805">
        <v>4488.4170000000004</v>
      </c>
    </row>
    <row r="2229" spans="3:11">
      <c r="C2229" s="861">
        <v>42385</v>
      </c>
      <c r="D2229" s="805">
        <v>29.76</v>
      </c>
      <c r="E2229" s="805">
        <v>6.7774999999999999</v>
      </c>
      <c r="F2229" s="806">
        <v>2.0299999999999998</v>
      </c>
      <c r="G2229" s="805">
        <v>4.0915063911121701</v>
      </c>
      <c r="H2229" s="805">
        <v>119.97</v>
      </c>
      <c r="I2229" s="805">
        <v>11.08</v>
      </c>
      <c r="J2229" s="805">
        <v>1880.33</v>
      </c>
      <c r="K2229" s="805">
        <v>4488.4170000000004</v>
      </c>
    </row>
    <row r="2230" spans="3:11">
      <c r="C2230" s="861">
        <v>42384</v>
      </c>
      <c r="D2230" s="805">
        <v>29.76</v>
      </c>
      <c r="E2230" s="805">
        <v>6.7774999999999999</v>
      </c>
      <c r="F2230" s="806">
        <v>2.0299999999999998</v>
      </c>
      <c r="G2230" s="805">
        <v>4.0915063911121701</v>
      </c>
      <c r="H2230" s="805">
        <v>119.97</v>
      </c>
      <c r="I2230" s="805">
        <v>11.08</v>
      </c>
      <c r="J2230" s="805">
        <v>1880.33</v>
      </c>
      <c r="K2230" s="805">
        <v>4488.4170000000004</v>
      </c>
    </row>
    <row r="2231" spans="3:11">
      <c r="C2231" s="861">
        <v>42383</v>
      </c>
      <c r="D2231" s="805">
        <v>32.74</v>
      </c>
      <c r="E2231" s="805">
        <v>7.1675000000000004</v>
      </c>
      <c r="F2231" s="806">
        <v>2.21</v>
      </c>
      <c r="G2231" s="805">
        <v>3.9357117203400001</v>
      </c>
      <c r="H2231" s="805">
        <v>125.19</v>
      </c>
      <c r="I2231" s="805">
        <v>12.02</v>
      </c>
      <c r="J2231" s="805">
        <v>1921.84</v>
      </c>
      <c r="K2231" s="805">
        <v>4615.0029999999997</v>
      </c>
    </row>
    <row r="2232" spans="3:11">
      <c r="C2232" s="861">
        <v>42382</v>
      </c>
      <c r="D2232" s="805">
        <v>31.91</v>
      </c>
      <c r="E2232" s="805">
        <v>7.3150000000000004</v>
      </c>
      <c r="F2232" s="806">
        <v>2.25</v>
      </c>
      <c r="G2232" s="805">
        <v>4.00239844101334</v>
      </c>
      <c r="H2232" s="805">
        <v>123.31</v>
      </c>
      <c r="I2232" s="805">
        <v>12.06</v>
      </c>
      <c r="J2232" s="805">
        <v>1890.28</v>
      </c>
      <c r="K2232" s="805">
        <v>4526.0649999999996</v>
      </c>
    </row>
    <row r="2233" spans="3:11">
      <c r="C2233" s="861">
        <v>42381</v>
      </c>
      <c r="D2233" s="805">
        <v>32.68</v>
      </c>
      <c r="E2233" s="805">
        <v>7.5449999999999999</v>
      </c>
      <c r="F2233" s="806">
        <v>2.39</v>
      </c>
      <c r="G2233" s="805">
        <v>3.98454117858534</v>
      </c>
      <c r="H2233" s="805">
        <v>129.91999999999999</v>
      </c>
      <c r="I2233" s="805">
        <v>12.72</v>
      </c>
      <c r="J2233" s="805">
        <v>1938.68</v>
      </c>
      <c r="K2233" s="805">
        <v>4685.9189999999999</v>
      </c>
    </row>
    <row r="2234" spans="3:11">
      <c r="C2234" s="861">
        <v>42380</v>
      </c>
      <c r="D2234" s="805">
        <v>32.06</v>
      </c>
      <c r="E2234" s="805">
        <v>7.42</v>
      </c>
      <c r="F2234" s="806">
        <v>2.34</v>
      </c>
      <c r="G2234" s="805">
        <v>3.99351429257747</v>
      </c>
      <c r="H2234" s="805">
        <v>128.04</v>
      </c>
      <c r="I2234" s="805">
        <v>12.53</v>
      </c>
      <c r="J2234" s="805">
        <v>1923.67</v>
      </c>
      <c r="K2234" s="805">
        <v>4637.9889999999996</v>
      </c>
    </row>
    <row r="2235" spans="3:11">
      <c r="C2235" s="861">
        <v>42379</v>
      </c>
      <c r="D2235" s="805">
        <v>31.51</v>
      </c>
      <c r="E2235" s="805">
        <v>7.4074999999999998</v>
      </c>
      <c r="F2235" s="806">
        <v>2.14</v>
      </c>
      <c r="G2235" s="805">
        <v>4.0220914875735403</v>
      </c>
      <c r="H2235" s="805">
        <v>128.19999999999999</v>
      </c>
      <c r="I2235" s="805">
        <v>13.33</v>
      </c>
      <c r="J2235" s="805">
        <v>1922.03</v>
      </c>
      <c r="K2235" s="805">
        <v>4643.6310000000003</v>
      </c>
    </row>
    <row r="2236" spans="3:11">
      <c r="C2236" s="861">
        <v>42378</v>
      </c>
      <c r="D2236" s="805">
        <v>31.51</v>
      </c>
      <c r="E2236" s="805">
        <v>7.4074999999999998</v>
      </c>
      <c r="F2236" s="806">
        <v>2.14</v>
      </c>
      <c r="G2236" s="805">
        <v>4.0220914875735403</v>
      </c>
      <c r="H2236" s="805">
        <v>128.19999999999999</v>
      </c>
      <c r="I2236" s="805">
        <v>13.33</v>
      </c>
      <c r="J2236" s="805">
        <v>1922.03</v>
      </c>
      <c r="K2236" s="805">
        <v>4643.6310000000003</v>
      </c>
    </row>
    <row r="2237" spans="3:11">
      <c r="C2237" s="861">
        <v>42377</v>
      </c>
      <c r="D2237" s="805">
        <v>31.51</v>
      </c>
      <c r="E2237" s="805">
        <v>7.4074999999999998</v>
      </c>
      <c r="F2237" s="806">
        <v>2.14</v>
      </c>
      <c r="G2237" s="805">
        <v>4.0220914875735403</v>
      </c>
      <c r="H2237" s="805">
        <v>128.19999999999999</v>
      </c>
      <c r="I2237" s="805">
        <v>13.33</v>
      </c>
      <c r="J2237" s="805">
        <v>1922.03</v>
      </c>
      <c r="K2237" s="805">
        <v>4643.6310000000003</v>
      </c>
    </row>
    <row r="2238" spans="3:11">
      <c r="C2238" s="861">
        <v>42376</v>
      </c>
      <c r="D2238" s="805">
        <v>31.84</v>
      </c>
      <c r="E2238" s="805">
        <v>7.57</v>
      </c>
      <c r="F2238" s="806">
        <v>2.2749999999999999</v>
      </c>
      <c r="G2238" s="805">
        <v>4.0012033694344202</v>
      </c>
      <c r="H2238" s="805">
        <v>129.05000000000001</v>
      </c>
      <c r="I2238" s="805">
        <v>13.66</v>
      </c>
      <c r="J2238" s="805">
        <v>1943.09</v>
      </c>
      <c r="K2238" s="805">
        <v>4689.4260000000004</v>
      </c>
    </row>
    <row r="2239" spans="3:11">
      <c r="C2239" s="861">
        <v>42375</v>
      </c>
      <c r="D2239" s="805">
        <v>33.08</v>
      </c>
      <c r="E2239" s="805">
        <v>7.8825000000000003</v>
      </c>
      <c r="F2239" s="806">
        <v>2.5049999999999999</v>
      </c>
      <c r="G2239" s="805">
        <v>4.0739627179795503</v>
      </c>
      <c r="H2239" s="805">
        <v>133.29</v>
      </c>
      <c r="I2239" s="805">
        <v>14.22</v>
      </c>
      <c r="J2239" s="805">
        <v>1990.26</v>
      </c>
      <c r="K2239" s="805">
        <v>4835.7650000000003</v>
      </c>
    </row>
    <row r="2240" spans="3:11">
      <c r="C2240" s="861">
        <v>42374</v>
      </c>
      <c r="D2240" s="805">
        <v>33.83</v>
      </c>
      <c r="E2240" s="805">
        <v>8.2225000000000001</v>
      </c>
      <c r="F2240" s="806">
        <v>2.75</v>
      </c>
      <c r="G2240" s="805">
        <v>4.16440340394713</v>
      </c>
      <c r="H2240" s="805">
        <v>137.52000000000001</v>
      </c>
      <c r="I2240" s="805">
        <v>14.82</v>
      </c>
      <c r="J2240" s="805">
        <v>2016.71</v>
      </c>
      <c r="K2240" s="805">
        <v>4891.43</v>
      </c>
    </row>
    <row r="2241" spans="3:11">
      <c r="C2241" s="861">
        <v>42373</v>
      </c>
      <c r="D2241" s="805">
        <v>33.99</v>
      </c>
      <c r="E2241" s="805">
        <v>8.0924999999999994</v>
      </c>
      <c r="F2241" s="806">
        <v>2.77</v>
      </c>
      <c r="G2241" s="805">
        <v>4.2138649750792903</v>
      </c>
      <c r="H2241" s="805">
        <v>142.28</v>
      </c>
      <c r="I2241" s="805">
        <v>14.33</v>
      </c>
      <c r="J2241" s="805">
        <v>2012.66</v>
      </c>
      <c r="K2241" s="805">
        <v>4903.0889999999999</v>
      </c>
    </row>
    <row r="2242" spans="3:11">
      <c r="C2242" s="861">
        <v>42372</v>
      </c>
      <c r="D2242" s="805">
        <v>34.450000000000003</v>
      </c>
      <c r="E2242" s="805">
        <v>8.24</v>
      </c>
      <c r="F2242" s="806">
        <v>2.87</v>
      </c>
      <c r="G2242" s="805">
        <v>4.3577632180405299</v>
      </c>
      <c r="H2242" s="805">
        <v>145.15</v>
      </c>
      <c r="I2242" s="805">
        <v>14.16</v>
      </c>
      <c r="J2242" s="805">
        <v>2043.94</v>
      </c>
      <c r="K2242" s="805">
        <v>5007.4110000000001</v>
      </c>
    </row>
    <row r="2243" spans="3:11">
      <c r="C2243" s="861">
        <v>42371</v>
      </c>
      <c r="D2243" s="805">
        <v>34.450000000000003</v>
      </c>
      <c r="E2243" s="805">
        <v>8.24</v>
      </c>
      <c r="F2243" s="806">
        <v>2.87</v>
      </c>
      <c r="G2243" s="805">
        <v>4.3577632180405299</v>
      </c>
      <c r="H2243" s="805">
        <v>145.15</v>
      </c>
      <c r="I2243" s="805">
        <v>14.16</v>
      </c>
      <c r="J2243" s="805">
        <v>2043.94</v>
      </c>
      <c r="K2243" s="805">
        <v>5007.4110000000001</v>
      </c>
    </row>
    <row r="2244" spans="3:11">
      <c r="C2244" s="861">
        <v>42370</v>
      </c>
      <c r="D2244" s="805">
        <v>34.450000000000003</v>
      </c>
      <c r="E2244" s="805">
        <v>8.24</v>
      </c>
      <c r="F2244" s="806">
        <v>2.87</v>
      </c>
      <c r="G2244" s="805">
        <v>4.3577632180405299</v>
      </c>
      <c r="H2244" s="805">
        <v>145.15</v>
      </c>
      <c r="I2244" s="805">
        <v>14.16</v>
      </c>
      <c r="J2244" s="805">
        <v>2043.94</v>
      </c>
      <c r="K2244" s="805">
        <v>5007.4110000000001</v>
      </c>
    </row>
    <row r="2245" spans="3:11">
      <c r="C2245" s="861">
        <v>42369</v>
      </c>
      <c r="D2245" s="805">
        <v>34.450000000000003</v>
      </c>
      <c r="E2245" s="805">
        <v>8.24</v>
      </c>
      <c r="F2245" s="806">
        <v>2.87</v>
      </c>
      <c r="G2245" s="805">
        <v>4.3577632180405299</v>
      </c>
      <c r="H2245" s="805">
        <v>145.15</v>
      </c>
      <c r="I2245" s="805">
        <v>14.16</v>
      </c>
      <c r="J2245" s="805">
        <v>2043.94</v>
      </c>
      <c r="K2245" s="805">
        <v>5007.4110000000001</v>
      </c>
    </row>
    <row r="2246" spans="3:11">
      <c r="C2246" s="861">
        <v>42368</v>
      </c>
      <c r="D2246" s="805">
        <v>34.99</v>
      </c>
      <c r="E2246" s="805">
        <v>8.3475000000000001</v>
      </c>
      <c r="F2246" s="806">
        <v>2.98</v>
      </c>
      <c r="G2246" s="805">
        <v>4.3214556482183504</v>
      </c>
      <c r="H2246" s="805">
        <v>147.37</v>
      </c>
      <c r="I2246" s="805">
        <v>14.16</v>
      </c>
      <c r="J2246" s="805">
        <v>2063.36</v>
      </c>
      <c r="K2246" s="805">
        <v>5065.8459999999995</v>
      </c>
    </row>
    <row r="2247" spans="3:11">
      <c r="C2247" s="861">
        <v>42367</v>
      </c>
      <c r="D2247" s="805">
        <v>35.44</v>
      </c>
      <c r="E2247" s="805">
        <v>8.42</v>
      </c>
      <c r="F2247" s="806">
        <v>3</v>
      </c>
      <c r="G2247" s="805">
        <v>4.3272893493828999</v>
      </c>
      <c r="H2247" s="805">
        <v>147.94</v>
      </c>
      <c r="I2247" s="805">
        <v>14.34</v>
      </c>
      <c r="J2247" s="805">
        <v>2078.36</v>
      </c>
      <c r="K2247" s="805">
        <v>5107.9380000000001</v>
      </c>
    </row>
    <row r="2248" spans="3:11">
      <c r="C2248" s="861">
        <v>42366</v>
      </c>
      <c r="D2248" s="805">
        <v>34.93</v>
      </c>
      <c r="E2248" s="805">
        <v>8.2850000000000001</v>
      </c>
      <c r="F2248" s="806">
        <v>3</v>
      </c>
      <c r="G2248" s="805">
        <v>4.3840889649272903</v>
      </c>
      <c r="H2248" s="805">
        <v>146.35</v>
      </c>
      <c r="I2248" s="805">
        <v>14.19</v>
      </c>
      <c r="J2248" s="805">
        <v>2056.5</v>
      </c>
      <c r="K2248" s="805">
        <v>5040.9849999999997</v>
      </c>
    </row>
    <row r="2249" spans="3:11">
      <c r="C2249" s="861">
        <v>42365</v>
      </c>
      <c r="D2249" s="805">
        <v>34.979999999999997</v>
      </c>
      <c r="E2249" s="805">
        <v>8.2925000000000004</v>
      </c>
      <c r="F2249" s="806">
        <v>2.92</v>
      </c>
      <c r="G2249" s="805">
        <v>4.3637473298748901</v>
      </c>
      <c r="H2249" s="805">
        <v>146.32</v>
      </c>
      <c r="I2249" s="805">
        <v>14.48</v>
      </c>
      <c r="J2249" s="805">
        <v>2060.9899999999998</v>
      </c>
      <c r="K2249" s="805">
        <v>5048.4920000000002</v>
      </c>
    </row>
    <row r="2250" spans="3:11">
      <c r="C2250" s="861">
        <v>42364</v>
      </c>
      <c r="D2250" s="805">
        <v>34.979999999999997</v>
      </c>
      <c r="E2250" s="805">
        <v>8.2925000000000004</v>
      </c>
      <c r="F2250" s="806">
        <v>2.92</v>
      </c>
      <c r="G2250" s="805">
        <v>4.3637473298748901</v>
      </c>
      <c r="H2250" s="805">
        <v>146.32</v>
      </c>
      <c r="I2250" s="805">
        <v>14.48</v>
      </c>
      <c r="J2250" s="805">
        <v>2060.9899999999998</v>
      </c>
      <c r="K2250" s="805">
        <v>5048.4920000000002</v>
      </c>
    </row>
    <row r="2251" spans="3:11">
      <c r="C2251" s="861">
        <v>42363</v>
      </c>
      <c r="D2251" s="805">
        <v>34.979999999999997</v>
      </c>
      <c r="E2251" s="805">
        <v>8.2925000000000004</v>
      </c>
      <c r="F2251" s="806">
        <v>2.92</v>
      </c>
      <c r="G2251" s="805">
        <v>4.3637473298748901</v>
      </c>
      <c r="H2251" s="805">
        <v>146.32</v>
      </c>
      <c r="I2251" s="805">
        <v>14.48</v>
      </c>
      <c r="J2251" s="805">
        <v>2060.9899999999998</v>
      </c>
      <c r="K2251" s="805">
        <v>5048.4920000000002</v>
      </c>
    </row>
    <row r="2252" spans="3:11">
      <c r="C2252" s="861">
        <v>42362</v>
      </c>
      <c r="D2252" s="805">
        <v>34.979999999999997</v>
      </c>
      <c r="E2252" s="805">
        <v>8.2925000000000004</v>
      </c>
      <c r="F2252" s="806">
        <v>2.92</v>
      </c>
      <c r="G2252" s="805">
        <v>4.3319097010372198</v>
      </c>
      <c r="H2252" s="805">
        <v>146.32</v>
      </c>
      <c r="I2252" s="805">
        <v>14.48</v>
      </c>
      <c r="J2252" s="805">
        <v>2060.9899999999998</v>
      </c>
      <c r="K2252" s="805">
        <v>5048.4920000000002</v>
      </c>
    </row>
    <row r="2253" spans="3:11">
      <c r="C2253" s="861">
        <v>42361</v>
      </c>
      <c r="D2253" s="805">
        <v>35</v>
      </c>
      <c r="E2253" s="805">
        <v>8.2637499999999999</v>
      </c>
      <c r="F2253" s="806">
        <v>2.83</v>
      </c>
      <c r="G2253" s="805">
        <v>4.3127095397744597</v>
      </c>
      <c r="H2253" s="805">
        <v>146.51</v>
      </c>
      <c r="I2253" s="805">
        <v>14.3</v>
      </c>
      <c r="J2253" s="805">
        <v>2064.29</v>
      </c>
      <c r="K2253" s="805">
        <v>5045.9319999999998</v>
      </c>
    </row>
    <row r="2254" spans="3:11">
      <c r="C2254" s="861">
        <v>42360</v>
      </c>
      <c r="D2254" s="805">
        <v>34.729999999999997</v>
      </c>
      <c r="E2254" s="805">
        <v>8.2324999999999999</v>
      </c>
      <c r="F2254" s="806">
        <v>2.77</v>
      </c>
      <c r="G2254" s="805">
        <v>4.3239951278928102</v>
      </c>
      <c r="H2254" s="805">
        <v>145.1</v>
      </c>
      <c r="I2254" s="805">
        <v>14.61</v>
      </c>
      <c r="J2254" s="805">
        <v>2038.97</v>
      </c>
      <c r="K2254" s="805">
        <v>5001.1099999999997</v>
      </c>
    </row>
    <row r="2255" spans="3:11">
      <c r="C2255" s="861">
        <v>42359</v>
      </c>
      <c r="D2255" s="805">
        <v>34.24</v>
      </c>
      <c r="E2255" s="805">
        <v>8.2237500000000008</v>
      </c>
      <c r="F2255" s="806">
        <v>2.5299999999999998</v>
      </c>
      <c r="G2255" s="805">
        <v>4.3022195196108202</v>
      </c>
      <c r="H2255" s="805">
        <v>145.80000000000001</v>
      </c>
      <c r="I2255" s="805">
        <v>14.77</v>
      </c>
      <c r="J2255" s="805">
        <v>2021.15</v>
      </c>
      <c r="K2255" s="805">
        <v>4968.9229999999998</v>
      </c>
    </row>
    <row r="2256" spans="3:11">
      <c r="C2256" s="861">
        <v>42358</v>
      </c>
      <c r="D2256" s="805">
        <v>33.865000000000002</v>
      </c>
      <c r="E2256" s="805">
        <v>8.0350000000000001</v>
      </c>
      <c r="F2256" s="806">
        <v>2.4500000000000002</v>
      </c>
      <c r="G2256" s="805">
        <v>4.3159782377435301</v>
      </c>
      <c r="H2256" s="805">
        <v>140.19999999999999</v>
      </c>
      <c r="I2256" s="805">
        <v>14.36</v>
      </c>
      <c r="J2256" s="805">
        <v>2005.55</v>
      </c>
      <c r="K2256" s="805">
        <v>4923.0820000000003</v>
      </c>
    </row>
    <row r="2257" spans="3:11">
      <c r="C2257" s="861">
        <v>42357</v>
      </c>
      <c r="D2257" s="805">
        <v>33.865000000000002</v>
      </c>
      <c r="E2257" s="805">
        <v>8.0350000000000001</v>
      </c>
      <c r="F2257" s="806">
        <v>2.4500000000000002</v>
      </c>
      <c r="G2257" s="805">
        <v>4.3159782377435301</v>
      </c>
      <c r="H2257" s="805">
        <v>140.19999999999999</v>
      </c>
      <c r="I2257" s="805">
        <v>14.36</v>
      </c>
      <c r="J2257" s="805">
        <v>2005.55</v>
      </c>
      <c r="K2257" s="805">
        <v>4923.0820000000003</v>
      </c>
    </row>
    <row r="2258" spans="3:11">
      <c r="C2258" s="861">
        <v>42356</v>
      </c>
      <c r="D2258" s="805">
        <v>33.865000000000002</v>
      </c>
      <c r="E2258" s="805">
        <v>8.0350000000000001</v>
      </c>
      <c r="F2258" s="806">
        <v>2.4500000000000002</v>
      </c>
      <c r="G2258" s="805">
        <v>4.3159782377435301</v>
      </c>
      <c r="H2258" s="805">
        <v>140.19999999999999</v>
      </c>
      <c r="I2258" s="805">
        <v>14.36</v>
      </c>
      <c r="J2258" s="805">
        <v>2005.55</v>
      </c>
      <c r="K2258" s="805">
        <v>4923.0820000000003</v>
      </c>
    </row>
    <row r="2259" spans="3:11">
      <c r="C2259" s="861">
        <v>42355</v>
      </c>
      <c r="D2259" s="805">
        <v>34.909999999999997</v>
      </c>
      <c r="E2259" s="805">
        <v>8.1675000000000004</v>
      </c>
      <c r="F2259" s="806">
        <v>2.56</v>
      </c>
      <c r="G2259" s="805">
        <v>4.39567102191773</v>
      </c>
      <c r="H2259" s="805">
        <v>140.47999999999999</v>
      </c>
      <c r="I2259" s="805">
        <v>14.32</v>
      </c>
      <c r="J2259" s="805">
        <v>2041.89</v>
      </c>
      <c r="K2259" s="805">
        <v>5002.5529999999999</v>
      </c>
    </row>
    <row r="2260" spans="3:11">
      <c r="C2260" s="861">
        <v>42354</v>
      </c>
      <c r="D2260" s="805">
        <v>35.299999999999997</v>
      </c>
      <c r="E2260" s="805">
        <v>8.2925000000000004</v>
      </c>
      <c r="F2260" s="806">
        <v>2.54</v>
      </c>
      <c r="G2260" s="805">
        <v>4.3836871849702197</v>
      </c>
      <c r="H2260" s="805">
        <v>143.88</v>
      </c>
      <c r="I2260" s="805">
        <v>14.07</v>
      </c>
      <c r="J2260" s="805">
        <v>2073.0700000000002</v>
      </c>
      <c r="K2260" s="805">
        <v>5071.1319999999996</v>
      </c>
    </row>
    <row r="2261" spans="3:11">
      <c r="C2261" s="861">
        <v>42353</v>
      </c>
      <c r="D2261" s="805">
        <v>35.18</v>
      </c>
      <c r="E2261" s="805">
        <v>8.2424999999999997</v>
      </c>
      <c r="F2261" s="806">
        <v>2.36</v>
      </c>
      <c r="G2261" s="805">
        <v>4.2156712998319801</v>
      </c>
      <c r="H2261" s="805">
        <v>143.27000000000001</v>
      </c>
      <c r="I2261" s="805">
        <v>14.18</v>
      </c>
      <c r="J2261" s="805">
        <v>2043.41</v>
      </c>
      <c r="K2261" s="805">
        <v>4995.357</v>
      </c>
    </row>
    <row r="2262" spans="3:11">
      <c r="C2262" s="861">
        <v>42352</v>
      </c>
      <c r="D2262" s="805">
        <v>34.47</v>
      </c>
      <c r="E2262" s="805">
        <v>8.1425000000000001</v>
      </c>
      <c r="F2262" s="806">
        <v>2.34</v>
      </c>
      <c r="G2262" s="805">
        <v>4.22813688212928</v>
      </c>
      <c r="H2262" s="805">
        <v>142.51</v>
      </c>
      <c r="I2262" s="805">
        <v>13.66</v>
      </c>
      <c r="J2262" s="805">
        <v>2021.94</v>
      </c>
      <c r="K2262" s="805">
        <v>4952.2280000000001</v>
      </c>
    </row>
    <row r="2263" spans="3:11">
      <c r="C2263" s="861">
        <v>42351</v>
      </c>
      <c r="D2263" s="805">
        <v>34.270000000000003</v>
      </c>
      <c r="E2263" s="805">
        <v>8.1225000000000005</v>
      </c>
      <c r="F2263" s="806">
        <v>2.36</v>
      </c>
      <c r="G2263" s="805">
        <v>4.2221549636803903</v>
      </c>
      <c r="H2263" s="805">
        <v>144.41999999999999</v>
      </c>
      <c r="I2263" s="805">
        <v>14.04</v>
      </c>
      <c r="J2263" s="805">
        <v>2012.37</v>
      </c>
      <c r="K2263" s="805">
        <v>4933.4650000000001</v>
      </c>
    </row>
    <row r="2264" spans="3:11">
      <c r="C2264" s="861">
        <v>42350</v>
      </c>
      <c r="D2264" s="805">
        <v>34.270000000000003</v>
      </c>
      <c r="E2264" s="805">
        <v>8.1225000000000005</v>
      </c>
      <c r="F2264" s="806">
        <v>2.36</v>
      </c>
      <c r="G2264" s="805">
        <v>4.2221549636803903</v>
      </c>
      <c r="H2264" s="805">
        <v>144.41999999999999</v>
      </c>
      <c r="I2264" s="805">
        <v>14.04</v>
      </c>
      <c r="J2264" s="805">
        <v>2012.37</v>
      </c>
      <c r="K2264" s="805">
        <v>4933.4650000000001</v>
      </c>
    </row>
    <row r="2265" spans="3:11">
      <c r="C2265" s="861">
        <v>42349</v>
      </c>
      <c r="D2265" s="805">
        <v>34.270000000000003</v>
      </c>
      <c r="E2265" s="805">
        <v>8.1225000000000005</v>
      </c>
      <c r="F2265" s="806">
        <v>2.36</v>
      </c>
      <c r="G2265" s="805">
        <v>4.2221549636803903</v>
      </c>
      <c r="H2265" s="805">
        <v>144.41999999999999</v>
      </c>
      <c r="I2265" s="805">
        <v>14.04</v>
      </c>
      <c r="J2265" s="805">
        <v>2012.37</v>
      </c>
      <c r="K2265" s="805">
        <v>4933.4650000000001</v>
      </c>
    </row>
    <row r="2266" spans="3:11">
      <c r="C2266" s="861">
        <v>42348</v>
      </c>
      <c r="D2266" s="805">
        <v>34.770000000000003</v>
      </c>
      <c r="E2266" s="805">
        <v>8.2449999999999992</v>
      </c>
      <c r="F2266" s="806">
        <v>2.4500000000000002</v>
      </c>
      <c r="G2266" s="805">
        <v>4.3077111083954502</v>
      </c>
      <c r="H2266" s="805">
        <v>147.33000000000001</v>
      </c>
      <c r="I2266" s="805">
        <v>14.66</v>
      </c>
      <c r="J2266" s="805">
        <v>2052.23</v>
      </c>
      <c r="K2266" s="805">
        <v>5045.1719999999996</v>
      </c>
    </row>
    <row r="2267" spans="3:11">
      <c r="C2267" s="861">
        <v>42347</v>
      </c>
      <c r="D2267" s="805">
        <v>34.81</v>
      </c>
      <c r="E2267" s="805">
        <v>8.1775000000000002</v>
      </c>
      <c r="F2267" s="806">
        <v>2.35</v>
      </c>
      <c r="G2267" s="805">
        <v>4.2742843235678896</v>
      </c>
      <c r="H2267" s="805">
        <v>145.65</v>
      </c>
      <c r="I2267" s="805">
        <v>14.32</v>
      </c>
      <c r="J2267" s="805">
        <v>2047.62</v>
      </c>
      <c r="K2267" s="805">
        <v>5022.8649999999998</v>
      </c>
    </row>
    <row r="2268" spans="3:11">
      <c r="C2268" s="861">
        <v>42346</v>
      </c>
      <c r="D2268" s="805">
        <v>34.75</v>
      </c>
      <c r="E2268" s="805">
        <v>8.39</v>
      </c>
      <c r="F2268" s="806">
        <v>2.39</v>
      </c>
      <c r="G2268" s="805">
        <v>4.3281496780464099</v>
      </c>
      <c r="H2268" s="805">
        <v>147.78</v>
      </c>
      <c r="I2268" s="805">
        <v>14.6</v>
      </c>
      <c r="J2268" s="805">
        <v>2063.59</v>
      </c>
      <c r="K2268" s="805">
        <v>5098.2430000000004</v>
      </c>
    </row>
    <row r="2269" spans="3:11">
      <c r="C2269" s="861">
        <v>42345</v>
      </c>
      <c r="D2269" s="805">
        <v>34.984999999999999</v>
      </c>
      <c r="E2269" s="805">
        <v>8.2774999999999999</v>
      </c>
      <c r="F2269" s="806">
        <v>2.355</v>
      </c>
      <c r="G2269" s="805">
        <v>4.3628956249429898</v>
      </c>
      <c r="H2269" s="805">
        <v>148.83000000000001</v>
      </c>
      <c r="I2269" s="805">
        <v>14.85</v>
      </c>
      <c r="J2269" s="805">
        <v>2077.0700000000002</v>
      </c>
      <c r="K2269" s="805">
        <v>5101.8119999999999</v>
      </c>
    </row>
    <row r="2270" spans="3:11">
      <c r="C2270" s="861">
        <v>42344</v>
      </c>
      <c r="D2270" s="805">
        <v>34.935000000000002</v>
      </c>
      <c r="E2270" s="805">
        <v>8.4375</v>
      </c>
      <c r="F2270" s="806">
        <v>2.2799999999999998</v>
      </c>
      <c r="G2270" s="805">
        <v>4.2929601564409703</v>
      </c>
      <c r="H2270" s="805">
        <v>147.56</v>
      </c>
      <c r="I2270" s="805">
        <v>15.5</v>
      </c>
      <c r="J2270" s="805">
        <v>2091.69</v>
      </c>
      <c r="K2270" s="805">
        <v>5142.2709999999997</v>
      </c>
    </row>
    <row r="2271" spans="3:11">
      <c r="C2271" s="861">
        <v>42343</v>
      </c>
      <c r="D2271" s="805">
        <v>34.935000000000002</v>
      </c>
      <c r="E2271" s="805">
        <v>8.4375</v>
      </c>
      <c r="F2271" s="806">
        <v>2.2799999999999998</v>
      </c>
      <c r="G2271" s="805">
        <v>4.2929601564409703</v>
      </c>
      <c r="H2271" s="805">
        <v>147.56</v>
      </c>
      <c r="I2271" s="805">
        <v>15.5</v>
      </c>
      <c r="J2271" s="805">
        <v>2091.69</v>
      </c>
      <c r="K2271" s="805">
        <v>5142.2709999999997</v>
      </c>
    </row>
    <row r="2272" spans="3:11">
      <c r="C2272" s="861">
        <v>42342</v>
      </c>
      <c r="D2272" s="805">
        <v>34.935000000000002</v>
      </c>
      <c r="E2272" s="805">
        <v>8.4375</v>
      </c>
      <c r="F2272" s="806">
        <v>2.2799999999999998</v>
      </c>
      <c r="G2272" s="805">
        <v>4.2929601564409703</v>
      </c>
      <c r="H2272" s="805">
        <v>147.56</v>
      </c>
      <c r="I2272" s="805">
        <v>15.5</v>
      </c>
      <c r="J2272" s="805">
        <v>2091.69</v>
      </c>
      <c r="K2272" s="805">
        <v>5142.2709999999997</v>
      </c>
    </row>
    <row r="2273" spans="3:11">
      <c r="C2273" s="861">
        <v>42341</v>
      </c>
      <c r="D2273" s="805">
        <v>34.04</v>
      </c>
      <c r="E2273" s="805">
        <v>8.1074999999999999</v>
      </c>
      <c r="F2273" s="806">
        <v>2.23</v>
      </c>
      <c r="G2273" s="805">
        <v>4.3565991011648197</v>
      </c>
      <c r="H2273" s="805">
        <v>144.78</v>
      </c>
      <c r="I2273" s="805">
        <v>15.61</v>
      </c>
      <c r="J2273" s="805">
        <v>2049.62</v>
      </c>
      <c r="K2273" s="805">
        <v>5037.527</v>
      </c>
    </row>
    <row r="2274" spans="3:11">
      <c r="C2274" s="861">
        <v>42340</v>
      </c>
      <c r="D2274" s="805">
        <v>34.83</v>
      </c>
      <c r="E2274" s="805">
        <v>8.125</v>
      </c>
      <c r="F2274" s="806">
        <v>2.27</v>
      </c>
      <c r="G2274" s="805">
        <v>4.3455720907538398</v>
      </c>
      <c r="H2274" s="805">
        <v>132.21</v>
      </c>
      <c r="I2274" s="805">
        <v>15.82</v>
      </c>
      <c r="J2274" s="805">
        <v>2079.5100000000002</v>
      </c>
      <c r="K2274" s="805">
        <v>5123.2219999999998</v>
      </c>
    </row>
    <row r="2275" spans="3:11">
      <c r="C2275" s="861">
        <v>42339</v>
      </c>
      <c r="D2275" s="805">
        <v>35.090000000000003</v>
      </c>
      <c r="E2275" s="805">
        <v>8.1875</v>
      </c>
      <c r="F2275" s="806">
        <v>2.34</v>
      </c>
      <c r="G2275" s="805">
        <v>4.3704953228032499</v>
      </c>
      <c r="H2275" s="805">
        <v>132.88999999999999</v>
      </c>
      <c r="I2275" s="805">
        <v>16.55</v>
      </c>
      <c r="J2275" s="805">
        <v>2102.63</v>
      </c>
      <c r="K2275" s="805">
        <v>5156.3059999999996</v>
      </c>
    </row>
    <row r="2276" spans="3:11">
      <c r="C2276" s="861">
        <v>42338</v>
      </c>
      <c r="D2276" s="805">
        <v>34.770000000000003</v>
      </c>
      <c r="E2276" s="805">
        <v>7.93</v>
      </c>
      <c r="F2276" s="806">
        <v>2.36</v>
      </c>
      <c r="G2276" s="805">
        <v>4.2520648516365904</v>
      </c>
      <c r="H2276" s="805">
        <v>130.44999999999999</v>
      </c>
      <c r="I2276" s="805">
        <v>15.93</v>
      </c>
      <c r="J2276" s="805">
        <v>2080.41</v>
      </c>
      <c r="K2276" s="805">
        <v>5108.6660000000002</v>
      </c>
    </row>
    <row r="2277" spans="3:11">
      <c r="C2277" s="861">
        <v>42337</v>
      </c>
      <c r="D2277" s="805">
        <v>34.46</v>
      </c>
      <c r="E2277" s="805">
        <v>7.8475000000000001</v>
      </c>
      <c r="F2277" s="806">
        <v>2.33</v>
      </c>
      <c r="G2277" s="805">
        <v>4.2502446183952998</v>
      </c>
      <c r="H2277" s="805">
        <v>130.04</v>
      </c>
      <c r="I2277" s="805">
        <v>15.56</v>
      </c>
      <c r="J2277" s="805">
        <v>2090.11</v>
      </c>
      <c r="K2277" s="805">
        <v>5127.5249999999996</v>
      </c>
    </row>
    <row r="2278" spans="3:11">
      <c r="C2278" s="861">
        <v>42336</v>
      </c>
      <c r="D2278" s="805">
        <v>34.46</v>
      </c>
      <c r="E2278" s="805">
        <v>7.8475000000000001</v>
      </c>
      <c r="F2278" s="806">
        <v>2.33</v>
      </c>
      <c r="G2278" s="805">
        <v>4.2502446183952998</v>
      </c>
      <c r="H2278" s="805">
        <v>130.04</v>
      </c>
      <c r="I2278" s="805">
        <v>15.56</v>
      </c>
      <c r="J2278" s="805">
        <v>2090.11</v>
      </c>
      <c r="K2278" s="805">
        <v>5127.5249999999996</v>
      </c>
    </row>
    <row r="2279" spans="3:11">
      <c r="C2279" s="861">
        <v>42335</v>
      </c>
      <c r="D2279" s="805">
        <v>34.46</v>
      </c>
      <c r="E2279" s="805">
        <v>7.8475000000000001</v>
      </c>
      <c r="F2279" s="806">
        <v>2.33</v>
      </c>
      <c r="G2279" s="805">
        <v>4.2502446183952998</v>
      </c>
      <c r="H2279" s="805">
        <v>130.04</v>
      </c>
      <c r="I2279" s="805">
        <v>15.56</v>
      </c>
      <c r="J2279" s="805">
        <v>2090.11</v>
      </c>
      <c r="K2279" s="805">
        <v>5127.5249999999996</v>
      </c>
    </row>
    <row r="2280" spans="3:11">
      <c r="C2280" s="861">
        <v>42334</v>
      </c>
      <c r="D2280" s="805">
        <v>34.450000000000003</v>
      </c>
      <c r="E2280" s="805">
        <v>7.7824999999999998</v>
      </c>
      <c r="F2280" s="806">
        <v>2.38</v>
      </c>
      <c r="G2280" s="805">
        <v>4.3825926495463596</v>
      </c>
      <c r="H2280" s="805">
        <v>128.38999999999999</v>
      </c>
      <c r="I2280" s="805">
        <v>15.58</v>
      </c>
      <c r="J2280" s="805">
        <v>2088.87</v>
      </c>
      <c r="K2280" s="805">
        <v>5116.143</v>
      </c>
    </row>
    <row r="2281" spans="3:11">
      <c r="C2281" s="861">
        <v>42333</v>
      </c>
      <c r="D2281" s="805">
        <v>34.450000000000003</v>
      </c>
      <c r="E2281" s="805">
        <v>7.7824999999999998</v>
      </c>
      <c r="F2281" s="806">
        <v>2.38</v>
      </c>
      <c r="G2281" s="805">
        <v>4.3385950336933403</v>
      </c>
      <c r="H2281" s="805">
        <v>128.38999999999999</v>
      </c>
      <c r="I2281" s="805">
        <v>15.58</v>
      </c>
      <c r="J2281" s="805">
        <v>2088.87</v>
      </c>
      <c r="K2281" s="805">
        <v>5116.143</v>
      </c>
    </row>
    <row r="2282" spans="3:11">
      <c r="C2282" s="861">
        <v>42332</v>
      </c>
      <c r="D2282" s="805">
        <v>34.36</v>
      </c>
      <c r="E2282" s="805">
        <v>7.7925000000000004</v>
      </c>
      <c r="F2282" s="806">
        <v>2.34</v>
      </c>
      <c r="G2282" s="805">
        <v>4.2985240193510599</v>
      </c>
      <c r="H2282" s="805">
        <v>128.34</v>
      </c>
      <c r="I2282" s="805">
        <v>15.63</v>
      </c>
      <c r="J2282" s="805">
        <v>2089.14</v>
      </c>
      <c r="K2282" s="805">
        <v>5102.808</v>
      </c>
    </row>
    <row r="2283" spans="3:11">
      <c r="C2283" s="861">
        <v>42331</v>
      </c>
      <c r="D2283" s="805">
        <v>34.479999999999997</v>
      </c>
      <c r="E2283" s="805">
        <v>7.73</v>
      </c>
      <c r="F2283" s="806">
        <v>2.2200000000000002</v>
      </c>
      <c r="G2283" s="805">
        <v>4.3211768311369898</v>
      </c>
      <c r="H2283" s="805">
        <v>124.41</v>
      </c>
      <c r="I2283" s="805">
        <v>15.32</v>
      </c>
      <c r="J2283" s="805">
        <v>2086.59</v>
      </c>
      <c r="K2283" s="805">
        <v>5102.4780000000001</v>
      </c>
    </row>
    <row r="2284" spans="3:11">
      <c r="C2284" s="861">
        <v>42330</v>
      </c>
      <c r="D2284" s="805">
        <v>34.659999999999997</v>
      </c>
      <c r="E2284" s="805">
        <v>7.8475000000000001</v>
      </c>
      <c r="F2284" s="806">
        <v>2.2200000000000002</v>
      </c>
      <c r="G2284" s="805">
        <v>4.3388620488045104</v>
      </c>
      <c r="H2284" s="805">
        <v>126.4</v>
      </c>
      <c r="I2284" s="805">
        <v>15.43</v>
      </c>
      <c r="J2284" s="805">
        <v>2089.17</v>
      </c>
      <c r="K2284" s="805">
        <v>5104.9189999999999</v>
      </c>
    </row>
    <row r="2285" spans="3:11">
      <c r="C2285" s="861">
        <v>42329</v>
      </c>
      <c r="D2285" s="805">
        <v>34.659999999999997</v>
      </c>
      <c r="E2285" s="805">
        <v>7.8475000000000001</v>
      </c>
      <c r="F2285" s="806">
        <v>2.2200000000000002</v>
      </c>
      <c r="G2285" s="805">
        <v>4.3388620488045104</v>
      </c>
      <c r="H2285" s="805">
        <v>126.4</v>
      </c>
      <c r="I2285" s="805">
        <v>15.43</v>
      </c>
      <c r="J2285" s="805">
        <v>2089.17</v>
      </c>
      <c r="K2285" s="805">
        <v>5104.9189999999999</v>
      </c>
    </row>
    <row r="2286" spans="3:11">
      <c r="C2286" s="861">
        <v>42328</v>
      </c>
      <c r="D2286" s="805">
        <v>34.659999999999997</v>
      </c>
      <c r="E2286" s="805">
        <v>7.8475000000000001</v>
      </c>
      <c r="F2286" s="806">
        <v>2.2200000000000002</v>
      </c>
      <c r="G2286" s="805">
        <v>4.3388620488045104</v>
      </c>
      <c r="H2286" s="805">
        <v>126.4</v>
      </c>
      <c r="I2286" s="805">
        <v>15.43</v>
      </c>
      <c r="J2286" s="805">
        <v>2089.17</v>
      </c>
      <c r="K2286" s="805">
        <v>5104.9189999999999</v>
      </c>
    </row>
    <row r="2287" spans="3:11">
      <c r="C2287" s="861">
        <v>42327</v>
      </c>
      <c r="D2287" s="805">
        <v>34.299999999999997</v>
      </c>
      <c r="E2287" s="805">
        <v>7.78</v>
      </c>
      <c r="F2287" s="806">
        <v>2.14</v>
      </c>
      <c r="G2287" s="805">
        <v>4.3272044103606504</v>
      </c>
      <c r="H2287" s="805">
        <v>125.21</v>
      </c>
      <c r="I2287" s="805">
        <v>15.87</v>
      </c>
      <c r="J2287" s="805">
        <v>2081.2399999999998</v>
      </c>
      <c r="K2287" s="805">
        <v>5073.6390000000001</v>
      </c>
    </row>
    <row r="2288" spans="3:11">
      <c r="C2288" s="861">
        <v>42326</v>
      </c>
      <c r="D2288" s="805">
        <v>33.159999999999997</v>
      </c>
      <c r="E2288" s="805">
        <v>7.7575000000000003</v>
      </c>
      <c r="F2288" s="806">
        <v>2.12</v>
      </c>
      <c r="G2288" s="805">
        <v>4.1796326804564004</v>
      </c>
      <c r="H2288" s="805">
        <v>125.92</v>
      </c>
      <c r="I2288" s="805">
        <v>15.61</v>
      </c>
      <c r="J2288" s="805">
        <v>2083.58</v>
      </c>
      <c r="K2288" s="805">
        <v>5075.2030000000004</v>
      </c>
    </row>
    <row r="2289" spans="3:11">
      <c r="C2289" s="861">
        <v>42325</v>
      </c>
      <c r="D2289" s="805">
        <v>32.64</v>
      </c>
      <c r="E2289" s="805">
        <v>7.6</v>
      </c>
      <c r="F2289" s="806">
        <v>1.98</v>
      </c>
      <c r="G2289" s="805">
        <v>4.2251372788285497</v>
      </c>
      <c r="H2289" s="805">
        <v>122.06</v>
      </c>
      <c r="I2289" s="805">
        <v>15.28</v>
      </c>
      <c r="J2289" s="805">
        <v>2050.44</v>
      </c>
      <c r="K2289" s="805">
        <v>4986.0150000000003</v>
      </c>
    </row>
    <row r="2290" spans="3:11">
      <c r="C2290" s="861">
        <v>42324</v>
      </c>
      <c r="D2290" s="805">
        <v>32.1</v>
      </c>
      <c r="E2290" s="805">
        <v>7.6</v>
      </c>
      <c r="F2290" s="806">
        <v>1.99</v>
      </c>
      <c r="G2290" s="805">
        <v>4.1171088746569096</v>
      </c>
      <c r="H2290" s="805">
        <v>121.47</v>
      </c>
      <c r="I2290" s="805">
        <v>14.89</v>
      </c>
      <c r="J2290" s="805">
        <v>2053.19</v>
      </c>
      <c r="K2290" s="805">
        <v>4984.6170000000002</v>
      </c>
    </row>
    <row r="2291" spans="3:11">
      <c r="C2291" s="861">
        <v>42323</v>
      </c>
      <c r="D2291" s="805">
        <v>32.11</v>
      </c>
      <c r="E2291" s="805">
        <v>7.45</v>
      </c>
      <c r="F2291" s="806">
        <v>1.99</v>
      </c>
      <c r="G2291" s="805">
        <v>4.1412911084043804</v>
      </c>
      <c r="H2291" s="805">
        <v>117.54</v>
      </c>
      <c r="I2291" s="805">
        <v>15</v>
      </c>
      <c r="J2291" s="805">
        <v>2023.04</v>
      </c>
      <c r="K2291" s="805">
        <v>4927.8829999999998</v>
      </c>
    </row>
    <row r="2292" spans="3:11">
      <c r="C2292" s="861">
        <v>42322</v>
      </c>
      <c r="D2292" s="805">
        <v>32.11</v>
      </c>
      <c r="E2292" s="805">
        <v>7.45</v>
      </c>
      <c r="F2292" s="806">
        <v>1.99</v>
      </c>
      <c r="G2292" s="805">
        <v>4.1412911084043804</v>
      </c>
      <c r="H2292" s="805">
        <v>117.54</v>
      </c>
      <c r="I2292" s="805">
        <v>15</v>
      </c>
      <c r="J2292" s="805">
        <v>2023.04</v>
      </c>
      <c r="K2292" s="805">
        <v>4927.8829999999998</v>
      </c>
    </row>
    <row r="2293" spans="3:11">
      <c r="C2293" s="861">
        <v>42321</v>
      </c>
      <c r="D2293" s="805">
        <v>32.11</v>
      </c>
      <c r="E2293" s="805">
        <v>7.45</v>
      </c>
      <c r="F2293" s="806">
        <v>1.99</v>
      </c>
      <c r="G2293" s="805">
        <v>4.1412911084043804</v>
      </c>
      <c r="H2293" s="805">
        <v>117.54</v>
      </c>
      <c r="I2293" s="805">
        <v>15</v>
      </c>
      <c r="J2293" s="805">
        <v>2023.04</v>
      </c>
      <c r="K2293" s="805">
        <v>4927.8829999999998</v>
      </c>
    </row>
    <row r="2294" spans="3:11">
      <c r="C2294" s="861">
        <v>42320</v>
      </c>
      <c r="D2294" s="805">
        <v>32.4</v>
      </c>
      <c r="E2294" s="805">
        <v>7.6</v>
      </c>
      <c r="F2294" s="806">
        <v>2</v>
      </c>
      <c r="G2294" s="805">
        <v>4.2367696543285396</v>
      </c>
      <c r="H2294" s="805">
        <v>119.85</v>
      </c>
      <c r="I2294" s="805">
        <v>15.35</v>
      </c>
      <c r="J2294" s="805">
        <v>2045.97</v>
      </c>
      <c r="K2294" s="805">
        <v>5005.0789999999997</v>
      </c>
    </row>
    <row r="2295" spans="3:11">
      <c r="C2295" s="861">
        <v>42319</v>
      </c>
      <c r="D2295" s="805">
        <v>32.86</v>
      </c>
      <c r="E2295" s="805">
        <v>7.6275000000000004</v>
      </c>
      <c r="F2295" s="806">
        <v>2.0699999999999998</v>
      </c>
      <c r="G2295" s="805">
        <v>4.2119773319038103</v>
      </c>
      <c r="H2295" s="805">
        <v>119.95</v>
      </c>
      <c r="I2295" s="805">
        <v>15.5</v>
      </c>
      <c r="J2295" s="805">
        <v>2075</v>
      </c>
      <c r="K2295" s="805">
        <v>5067.0200000000004</v>
      </c>
    </row>
    <row r="2296" spans="3:11">
      <c r="C2296" s="861">
        <v>42318</v>
      </c>
      <c r="D2296" s="805">
        <v>33.21</v>
      </c>
      <c r="E2296" s="805">
        <v>7.7024999999999997</v>
      </c>
      <c r="F2296" s="806">
        <v>2.02</v>
      </c>
      <c r="G2296" s="805">
        <v>4.2611033050277998</v>
      </c>
      <c r="H2296" s="805">
        <v>119.86</v>
      </c>
      <c r="I2296" s="805">
        <v>15.545</v>
      </c>
      <c r="J2296" s="805">
        <v>2081.7199999999998</v>
      </c>
      <c r="K2296" s="805">
        <v>5083.2439999999997</v>
      </c>
    </row>
    <row r="2297" spans="3:11">
      <c r="C2297" s="861">
        <v>42317</v>
      </c>
      <c r="D2297" s="805">
        <v>33.35</v>
      </c>
      <c r="E2297" s="805">
        <v>7.8525</v>
      </c>
      <c r="F2297" s="806">
        <v>2.11</v>
      </c>
      <c r="G2297" s="805">
        <v>4.3378646708416104</v>
      </c>
      <c r="H2297" s="805">
        <v>126.5</v>
      </c>
      <c r="I2297" s="805">
        <v>15.84</v>
      </c>
      <c r="J2297" s="805">
        <v>2078.58</v>
      </c>
      <c r="K2297" s="805">
        <v>5095.3019999999997</v>
      </c>
    </row>
    <row r="2298" spans="3:11">
      <c r="C2298" s="861">
        <v>42316</v>
      </c>
      <c r="D2298" s="805">
        <v>33.840000000000003</v>
      </c>
      <c r="E2298" s="805">
        <v>7.8875000000000002</v>
      </c>
      <c r="F2298" s="806">
        <v>2.15</v>
      </c>
      <c r="G2298" s="805">
        <v>4.2785978423642304</v>
      </c>
      <c r="H2298" s="805">
        <v>129.66999999999999</v>
      </c>
      <c r="I2298" s="805">
        <v>16.45</v>
      </c>
      <c r="J2298" s="805">
        <v>2099.1999999999998</v>
      </c>
      <c r="K2298" s="805">
        <v>5147.12</v>
      </c>
    </row>
    <row r="2299" spans="3:11">
      <c r="C2299" s="861">
        <v>42315</v>
      </c>
      <c r="D2299" s="805">
        <v>33.840000000000003</v>
      </c>
      <c r="E2299" s="805">
        <v>7.8875000000000002</v>
      </c>
      <c r="F2299" s="806">
        <v>2.15</v>
      </c>
      <c r="G2299" s="805">
        <v>4.2785978423642304</v>
      </c>
      <c r="H2299" s="805">
        <v>129.66999999999999</v>
      </c>
      <c r="I2299" s="805">
        <v>16.45</v>
      </c>
      <c r="J2299" s="805">
        <v>2099.1999999999998</v>
      </c>
      <c r="K2299" s="805">
        <v>5147.12</v>
      </c>
    </row>
    <row r="2300" spans="3:11">
      <c r="C2300" s="861">
        <v>42314</v>
      </c>
      <c r="D2300" s="805">
        <v>33.840000000000003</v>
      </c>
      <c r="E2300" s="805">
        <v>7.8875000000000002</v>
      </c>
      <c r="F2300" s="806">
        <v>2.15</v>
      </c>
      <c r="G2300" s="805">
        <v>4.2785978423642304</v>
      </c>
      <c r="H2300" s="805">
        <v>129.66999999999999</v>
      </c>
      <c r="I2300" s="805">
        <v>16.45</v>
      </c>
      <c r="J2300" s="805">
        <v>2099.1999999999998</v>
      </c>
      <c r="K2300" s="805">
        <v>5147.12</v>
      </c>
    </row>
    <row r="2301" spans="3:11">
      <c r="C2301" s="861">
        <v>42313</v>
      </c>
      <c r="D2301" s="805">
        <v>34</v>
      </c>
      <c r="E2301" s="805">
        <v>6.9275000000000002</v>
      </c>
      <c r="F2301" s="806">
        <v>2.2000000000000002</v>
      </c>
      <c r="G2301" s="805">
        <v>4.3920480813684701</v>
      </c>
      <c r="H2301" s="805">
        <v>121.06</v>
      </c>
      <c r="I2301" s="805">
        <v>16.510000000000002</v>
      </c>
      <c r="J2301" s="805">
        <v>2099.9299999999998</v>
      </c>
      <c r="K2301" s="805">
        <v>5127.7380000000003</v>
      </c>
    </row>
    <row r="2302" spans="3:11">
      <c r="C2302" s="861">
        <v>42312</v>
      </c>
      <c r="D2302" s="805">
        <v>34.15</v>
      </c>
      <c r="E2302" s="805">
        <v>7.0075000000000003</v>
      </c>
      <c r="F2302" s="806">
        <v>2.2000000000000002</v>
      </c>
      <c r="G2302" s="805">
        <v>4.4569877548502497</v>
      </c>
      <c r="H2302" s="805">
        <v>124.11</v>
      </c>
      <c r="I2302" s="805">
        <v>17.440000000000001</v>
      </c>
      <c r="J2302" s="805">
        <v>2102.31</v>
      </c>
      <c r="K2302" s="805">
        <v>5142.4790000000003</v>
      </c>
    </row>
    <row r="2303" spans="3:11">
      <c r="C2303" s="861">
        <v>42311</v>
      </c>
      <c r="D2303" s="805">
        <v>34.31</v>
      </c>
      <c r="E2303" s="805">
        <v>7.125</v>
      </c>
      <c r="F2303" s="806">
        <v>2.2799999999999998</v>
      </c>
      <c r="G2303" s="805">
        <v>4.3015726179463503</v>
      </c>
      <c r="H2303" s="805">
        <v>122.14</v>
      </c>
      <c r="I2303" s="805">
        <v>17.835000000000001</v>
      </c>
      <c r="J2303" s="805">
        <v>2109.79</v>
      </c>
      <c r="K2303" s="805">
        <v>5145.1260000000002</v>
      </c>
    </row>
    <row r="2304" spans="3:11">
      <c r="C2304" s="861">
        <v>42310</v>
      </c>
      <c r="D2304" s="805">
        <v>34.11</v>
      </c>
      <c r="E2304" s="805">
        <v>7.1749999999999998</v>
      </c>
      <c r="F2304" s="806">
        <v>2.19</v>
      </c>
      <c r="G2304" s="805">
        <v>4.23990132593278</v>
      </c>
      <c r="H2304" s="805">
        <v>123.8</v>
      </c>
      <c r="I2304" s="805">
        <v>17.09</v>
      </c>
      <c r="J2304" s="805">
        <v>2104.0500000000002</v>
      </c>
      <c r="K2304" s="805">
        <v>5127.1450000000004</v>
      </c>
    </row>
    <row r="2305" spans="3:11">
      <c r="C2305" s="861">
        <v>42309</v>
      </c>
      <c r="D2305" s="805">
        <v>33.86</v>
      </c>
      <c r="E2305" s="805">
        <v>7.0925000000000002</v>
      </c>
      <c r="F2305" s="806">
        <v>2.12</v>
      </c>
      <c r="G2305" s="805">
        <v>4.2081573511730399</v>
      </c>
      <c r="H2305" s="805">
        <v>123.13</v>
      </c>
      <c r="I2305" s="805">
        <v>16.559999999999999</v>
      </c>
      <c r="J2305" s="805">
        <v>2079.36</v>
      </c>
      <c r="K2305" s="805">
        <v>5053.7479999999996</v>
      </c>
    </row>
    <row r="2306" spans="3:11">
      <c r="C2306" s="861">
        <v>42308</v>
      </c>
      <c r="D2306" s="805">
        <v>33.86</v>
      </c>
      <c r="E2306" s="805">
        <v>7.0925000000000002</v>
      </c>
      <c r="F2306" s="806">
        <v>2.12</v>
      </c>
      <c r="G2306" s="805">
        <v>4.2081573511730399</v>
      </c>
      <c r="H2306" s="805">
        <v>123.13</v>
      </c>
      <c r="I2306" s="805">
        <v>16.559999999999999</v>
      </c>
      <c r="J2306" s="805">
        <v>2079.36</v>
      </c>
      <c r="K2306" s="805">
        <v>5053.7479999999996</v>
      </c>
    </row>
    <row r="2307" spans="3:11">
      <c r="C2307" s="861">
        <v>42307</v>
      </c>
      <c r="D2307" s="805">
        <v>33.86</v>
      </c>
      <c r="E2307" s="805">
        <v>7.0925000000000002</v>
      </c>
      <c r="F2307" s="806">
        <v>2.12</v>
      </c>
      <c r="G2307" s="805">
        <v>4.2081573511730399</v>
      </c>
      <c r="H2307" s="805">
        <v>123.13</v>
      </c>
      <c r="I2307" s="805">
        <v>16.559999999999999</v>
      </c>
      <c r="J2307" s="805">
        <v>2079.36</v>
      </c>
      <c r="K2307" s="805">
        <v>5053.7479999999996</v>
      </c>
    </row>
    <row r="2308" spans="3:11">
      <c r="C2308" s="861">
        <v>42306</v>
      </c>
      <c r="D2308" s="805">
        <v>34.03</v>
      </c>
      <c r="E2308" s="805">
        <v>6.92</v>
      </c>
      <c r="F2308" s="806">
        <v>2.13</v>
      </c>
      <c r="G2308" s="805">
        <v>4.19741697416974</v>
      </c>
      <c r="H2308" s="805">
        <v>120.09</v>
      </c>
      <c r="I2308" s="805">
        <v>16.21</v>
      </c>
      <c r="J2308" s="805">
        <v>2089.41</v>
      </c>
      <c r="K2308" s="805">
        <v>5074.2740000000003</v>
      </c>
    </row>
    <row r="2309" spans="3:11">
      <c r="C2309" s="861">
        <v>42305</v>
      </c>
      <c r="D2309" s="805">
        <v>34.71</v>
      </c>
      <c r="E2309" s="805">
        <v>7.1675000000000004</v>
      </c>
      <c r="F2309" s="806">
        <v>2.1800000000000002</v>
      </c>
      <c r="G2309" s="805">
        <v>4.2323498742562702</v>
      </c>
      <c r="H2309" s="805">
        <v>127.09</v>
      </c>
      <c r="I2309" s="805">
        <v>16.920000000000002</v>
      </c>
      <c r="J2309" s="805">
        <v>2090.35</v>
      </c>
      <c r="K2309" s="805">
        <v>5095.6899999999996</v>
      </c>
    </row>
    <row r="2310" spans="3:11">
      <c r="C2310" s="861">
        <v>42304</v>
      </c>
      <c r="D2310" s="805">
        <v>34.47</v>
      </c>
      <c r="E2310" s="805">
        <v>7.11</v>
      </c>
      <c r="F2310" s="806">
        <v>2.15</v>
      </c>
      <c r="G2310" s="805">
        <v>4.2823253951138396</v>
      </c>
      <c r="H2310" s="805">
        <v>121.49</v>
      </c>
      <c r="I2310" s="805">
        <v>16.68</v>
      </c>
      <c r="J2310" s="805">
        <v>2065.89</v>
      </c>
      <c r="K2310" s="805">
        <v>5030.1450000000004</v>
      </c>
    </row>
    <row r="2311" spans="3:11">
      <c r="C2311" s="861">
        <v>42303</v>
      </c>
      <c r="D2311" s="805">
        <v>34.590000000000003</v>
      </c>
      <c r="E2311" s="805">
        <v>7.1150000000000002</v>
      </c>
      <c r="F2311" s="806">
        <v>2.15</v>
      </c>
      <c r="G2311" s="805">
        <v>4.3256604356558004</v>
      </c>
      <c r="H2311" s="805">
        <v>123.61</v>
      </c>
      <c r="I2311" s="805">
        <v>16.579999999999998</v>
      </c>
      <c r="J2311" s="805">
        <v>2071.1799999999998</v>
      </c>
      <c r="K2311" s="805">
        <v>5034.7039999999997</v>
      </c>
    </row>
    <row r="2312" spans="3:11">
      <c r="C2312" s="861">
        <v>42302</v>
      </c>
      <c r="D2312" s="805">
        <v>34.9</v>
      </c>
      <c r="E2312" s="805">
        <v>7.1475</v>
      </c>
      <c r="F2312" s="806">
        <v>2.21</v>
      </c>
      <c r="G2312" s="805">
        <v>4.3111412206688398</v>
      </c>
      <c r="H2312" s="805">
        <v>129.58000000000001</v>
      </c>
      <c r="I2312" s="805">
        <v>17.239999999999998</v>
      </c>
      <c r="J2312" s="805">
        <v>2075.15</v>
      </c>
      <c r="K2312" s="805">
        <v>5031.8639999999996</v>
      </c>
    </row>
    <row r="2313" spans="3:11">
      <c r="C2313" s="861">
        <v>42301</v>
      </c>
      <c r="D2313" s="805">
        <v>34.9</v>
      </c>
      <c r="E2313" s="805">
        <v>7.1475</v>
      </c>
      <c r="F2313" s="806">
        <v>2.21</v>
      </c>
      <c r="G2313" s="805">
        <v>4.3111412206688398</v>
      </c>
      <c r="H2313" s="805">
        <v>129.58000000000001</v>
      </c>
      <c r="I2313" s="805">
        <v>17.239999999999998</v>
      </c>
      <c r="J2313" s="805">
        <v>2075.15</v>
      </c>
      <c r="K2313" s="805">
        <v>5031.8639999999996</v>
      </c>
    </row>
    <row r="2314" spans="3:11">
      <c r="C2314" s="861">
        <v>42300</v>
      </c>
      <c r="D2314" s="805">
        <v>34.9</v>
      </c>
      <c r="E2314" s="805">
        <v>7.1475</v>
      </c>
      <c r="F2314" s="806">
        <v>2.21</v>
      </c>
      <c r="G2314" s="805">
        <v>4.3111412206688398</v>
      </c>
      <c r="H2314" s="805">
        <v>129.58000000000001</v>
      </c>
      <c r="I2314" s="805">
        <v>17.239999999999998</v>
      </c>
      <c r="J2314" s="805">
        <v>2075.15</v>
      </c>
      <c r="K2314" s="805">
        <v>5031.8639999999996</v>
      </c>
    </row>
    <row r="2315" spans="3:11">
      <c r="C2315" s="861">
        <v>42299</v>
      </c>
      <c r="D2315" s="805">
        <v>34.4</v>
      </c>
      <c r="E2315" s="805">
        <v>7.1</v>
      </c>
      <c r="F2315" s="806">
        <v>2.14</v>
      </c>
      <c r="G2315" s="805">
        <v>4.2396398618648297</v>
      </c>
      <c r="H2315" s="805">
        <v>125.34</v>
      </c>
      <c r="I2315" s="805">
        <v>16.72</v>
      </c>
      <c r="J2315" s="805">
        <v>2052.5100000000002</v>
      </c>
      <c r="K2315" s="805">
        <v>4920.05</v>
      </c>
    </row>
    <row r="2316" spans="3:11">
      <c r="C2316" s="861">
        <v>42298</v>
      </c>
      <c r="D2316" s="805">
        <v>33.369999999999997</v>
      </c>
      <c r="E2316" s="805">
        <v>6.8525</v>
      </c>
      <c r="F2316" s="806">
        <v>2.1</v>
      </c>
      <c r="G2316" s="805">
        <v>4.2678417354862601</v>
      </c>
      <c r="H2316" s="805">
        <v>120.5</v>
      </c>
      <c r="I2316" s="805">
        <v>16.43</v>
      </c>
      <c r="J2316" s="805">
        <v>2018.94</v>
      </c>
      <c r="K2316" s="805">
        <v>4840.1170000000002</v>
      </c>
    </row>
    <row r="2317" spans="3:11">
      <c r="C2317" s="861">
        <v>42297</v>
      </c>
      <c r="D2317" s="805">
        <v>33.44</v>
      </c>
      <c r="E2317" s="805">
        <v>6.9424999999999999</v>
      </c>
      <c r="F2317" s="806">
        <v>2.02</v>
      </c>
      <c r="G2317" s="805">
        <v>4.2975513232748002</v>
      </c>
      <c r="H2317" s="805">
        <v>119.89</v>
      </c>
      <c r="I2317" s="805">
        <v>17.09</v>
      </c>
      <c r="J2317" s="805">
        <v>2030.77</v>
      </c>
      <c r="K2317" s="805">
        <v>4880.9719999999998</v>
      </c>
    </row>
    <row r="2318" spans="3:11">
      <c r="C2318" s="861">
        <v>42296</v>
      </c>
      <c r="D2318" s="805">
        <v>33.590000000000003</v>
      </c>
      <c r="E2318" s="805">
        <v>6.9524999999999997</v>
      </c>
      <c r="F2318" s="806">
        <v>2.0099999999999998</v>
      </c>
      <c r="G2318" s="805">
        <v>4.2492917847025504</v>
      </c>
      <c r="H2318" s="805">
        <v>118.96</v>
      </c>
      <c r="I2318" s="805">
        <v>19.16</v>
      </c>
      <c r="J2318" s="805">
        <v>2033.66</v>
      </c>
      <c r="K2318" s="805">
        <v>4905.4709999999995</v>
      </c>
    </row>
    <row r="2319" spans="3:11">
      <c r="C2319" s="861">
        <v>42295</v>
      </c>
      <c r="D2319" s="805">
        <v>33.04</v>
      </c>
      <c r="E2319" s="805">
        <v>6.9649999999999999</v>
      </c>
      <c r="F2319" s="806">
        <v>1.94</v>
      </c>
      <c r="G2319" s="805">
        <v>4.2697885290190403</v>
      </c>
      <c r="H2319" s="805">
        <v>121.07</v>
      </c>
      <c r="I2319" s="805">
        <v>18.5</v>
      </c>
      <c r="J2319" s="805">
        <v>2033.11</v>
      </c>
      <c r="K2319" s="805">
        <v>4886.6880000000001</v>
      </c>
    </row>
    <row r="2320" spans="3:11">
      <c r="C2320" s="861">
        <v>42294</v>
      </c>
      <c r="D2320" s="805">
        <v>33.04</v>
      </c>
      <c r="E2320" s="805">
        <v>6.9649999999999999</v>
      </c>
      <c r="F2320" s="806">
        <v>1.94</v>
      </c>
      <c r="G2320" s="805">
        <v>4.2697885290190403</v>
      </c>
      <c r="H2320" s="805">
        <v>121.07</v>
      </c>
      <c r="I2320" s="805">
        <v>18.5</v>
      </c>
      <c r="J2320" s="805">
        <v>2033.11</v>
      </c>
      <c r="K2320" s="805">
        <v>4886.6880000000001</v>
      </c>
    </row>
    <row r="2321" spans="3:11">
      <c r="C2321" s="861">
        <v>42293</v>
      </c>
      <c r="D2321" s="805">
        <v>33.04</v>
      </c>
      <c r="E2321" s="805">
        <v>6.9649999999999999</v>
      </c>
      <c r="F2321" s="806">
        <v>1.94</v>
      </c>
      <c r="G2321" s="805">
        <v>4.2697885290190403</v>
      </c>
      <c r="H2321" s="805">
        <v>121.07</v>
      </c>
      <c r="I2321" s="805">
        <v>18.5</v>
      </c>
      <c r="J2321" s="805">
        <v>2033.11</v>
      </c>
      <c r="K2321" s="805">
        <v>4886.6880000000001</v>
      </c>
    </row>
    <row r="2322" spans="3:11">
      <c r="C2322" s="861">
        <v>42292</v>
      </c>
      <c r="D2322" s="805">
        <v>32.75</v>
      </c>
      <c r="E2322" s="805">
        <v>6.8574999999999999</v>
      </c>
      <c r="F2322" s="806">
        <v>1.97</v>
      </c>
      <c r="G2322" s="805">
        <v>4.3825324776960404</v>
      </c>
      <c r="H2322" s="805">
        <v>121.87</v>
      </c>
      <c r="I2322" s="805">
        <v>18.66</v>
      </c>
      <c r="J2322" s="805">
        <v>2023.86</v>
      </c>
      <c r="K2322" s="805">
        <v>4870.1000000000004</v>
      </c>
    </row>
    <row r="2323" spans="3:11">
      <c r="C2323" s="861">
        <v>42291</v>
      </c>
      <c r="D2323" s="805">
        <v>32.799999999999997</v>
      </c>
      <c r="E2323" s="805">
        <v>6.84</v>
      </c>
      <c r="F2323" s="806">
        <v>1.95</v>
      </c>
      <c r="G2323" s="805">
        <v>4.2240445613492197</v>
      </c>
      <c r="H2323" s="805">
        <v>117.46</v>
      </c>
      <c r="I2323" s="805">
        <v>18.82</v>
      </c>
      <c r="J2323" s="805">
        <v>1994.24</v>
      </c>
      <c r="K2323" s="805">
        <v>4782.848</v>
      </c>
    </row>
    <row r="2324" spans="3:11">
      <c r="C2324" s="861">
        <v>42290</v>
      </c>
      <c r="D2324" s="805">
        <v>32.04</v>
      </c>
      <c r="E2324" s="805">
        <v>6.6</v>
      </c>
      <c r="F2324" s="806">
        <v>1.92</v>
      </c>
      <c r="G2324" s="805">
        <v>4.2286874154262497</v>
      </c>
      <c r="H2324" s="805">
        <v>113.42</v>
      </c>
      <c r="I2324" s="805">
        <v>18.18</v>
      </c>
      <c r="J2324" s="805">
        <v>2003.69</v>
      </c>
      <c r="K2324" s="805">
        <v>4796.6090000000004</v>
      </c>
    </row>
    <row r="2325" spans="3:11">
      <c r="C2325" s="861">
        <v>42289</v>
      </c>
      <c r="D2325" s="805">
        <v>32.21</v>
      </c>
      <c r="E2325" s="805">
        <v>6.5875000000000004</v>
      </c>
      <c r="F2325" s="806">
        <v>1.87</v>
      </c>
      <c r="G2325" s="805">
        <v>4.2843443561109904</v>
      </c>
      <c r="H2325" s="805">
        <v>117.68</v>
      </c>
      <c r="I2325" s="805">
        <v>18.03</v>
      </c>
      <c r="J2325" s="805">
        <v>2017.46</v>
      </c>
      <c r="K2325" s="805">
        <v>4838.643</v>
      </c>
    </row>
    <row r="2326" spans="3:11">
      <c r="C2326" s="861">
        <v>42288</v>
      </c>
      <c r="D2326" s="805">
        <v>32.14</v>
      </c>
      <c r="E2326" s="805">
        <v>6.5175000000000001</v>
      </c>
      <c r="F2326" s="806">
        <v>1.96</v>
      </c>
      <c r="G2326" s="805">
        <v>4.2027194066749098</v>
      </c>
      <c r="H2326" s="805">
        <v>116.91</v>
      </c>
      <c r="I2326" s="805">
        <v>18.16</v>
      </c>
      <c r="J2326" s="805">
        <v>2014.89</v>
      </c>
      <c r="K2326" s="805">
        <v>4830.47</v>
      </c>
    </row>
    <row r="2327" spans="3:11">
      <c r="C2327" s="861">
        <v>42287</v>
      </c>
      <c r="D2327" s="805">
        <v>32.14</v>
      </c>
      <c r="E2327" s="805">
        <v>6.5175000000000001</v>
      </c>
      <c r="F2327" s="806">
        <v>1.96</v>
      </c>
      <c r="G2327" s="805">
        <v>4.2027194066749098</v>
      </c>
      <c r="H2327" s="805">
        <v>116.91</v>
      </c>
      <c r="I2327" s="805">
        <v>18.16</v>
      </c>
      <c r="J2327" s="805">
        <v>2014.89</v>
      </c>
      <c r="K2327" s="805">
        <v>4830.47</v>
      </c>
    </row>
    <row r="2328" spans="3:11">
      <c r="C2328" s="861">
        <v>42286</v>
      </c>
      <c r="D2328" s="805">
        <v>32.14</v>
      </c>
      <c r="E2328" s="805">
        <v>6.5175000000000001</v>
      </c>
      <c r="F2328" s="806">
        <v>1.96</v>
      </c>
      <c r="G2328" s="805">
        <v>4.2027194066749098</v>
      </c>
      <c r="H2328" s="805">
        <v>116.91</v>
      </c>
      <c r="I2328" s="805">
        <v>18.16</v>
      </c>
      <c r="J2328" s="805">
        <v>2014.89</v>
      </c>
      <c r="K2328" s="805">
        <v>4830.47</v>
      </c>
    </row>
    <row r="2329" spans="3:11">
      <c r="C2329" s="861">
        <v>42285</v>
      </c>
      <c r="D2329" s="805">
        <v>32.520000000000003</v>
      </c>
      <c r="E2329" s="805">
        <v>6.5425000000000004</v>
      </c>
      <c r="F2329" s="806">
        <v>1.93</v>
      </c>
      <c r="G2329" s="805">
        <v>4.2027194066749098</v>
      </c>
      <c r="H2329" s="805">
        <v>116.69</v>
      </c>
      <c r="I2329" s="805">
        <v>18.72</v>
      </c>
      <c r="J2329" s="805">
        <v>2013.43</v>
      </c>
      <c r="K2329" s="805">
        <v>4810.7879999999996</v>
      </c>
    </row>
    <row r="2330" spans="3:11">
      <c r="C2330" s="861">
        <v>42284</v>
      </c>
      <c r="D2330" s="805">
        <v>32.314999999999998</v>
      </c>
      <c r="E2330" s="805">
        <v>6.5049999999999999</v>
      </c>
      <c r="F2330" s="806">
        <v>1.86</v>
      </c>
      <c r="G2330" s="805">
        <v>4.1583243492992397</v>
      </c>
      <c r="H2330" s="805">
        <v>118.64</v>
      </c>
      <c r="I2330" s="805">
        <v>18.62</v>
      </c>
      <c r="J2330" s="805">
        <v>1995.83</v>
      </c>
      <c r="K2330" s="805">
        <v>4791.152</v>
      </c>
    </row>
    <row r="2331" spans="3:11">
      <c r="C2331" s="861">
        <v>42283</v>
      </c>
      <c r="D2331" s="805">
        <v>31.74</v>
      </c>
      <c r="E2331" s="805">
        <v>6.4375</v>
      </c>
      <c r="F2331" s="806">
        <v>1.83</v>
      </c>
      <c r="G2331" s="805">
        <v>4.0817579179965602</v>
      </c>
      <c r="H2331" s="805">
        <v>117.11</v>
      </c>
      <c r="I2331" s="805">
        <v>18.22</v>
      </c>
      <c r="J2331" s="805">
        <v>1979.92</v>
      </c>
      <c r="K2331" s="805">
        <v>4748.3599999999997</v>
      </c>
    </row>
    <row r="2332" spans="3:11">
      <c r="C2332" s="861">
        <v>42282</v>
      </c>
      <c r="D2332" s="805">
        <v>31.21</v>
      </c>
      <c r="E2332" s="805">
        <v>6.3550000000000004</v>
      </c>
      <c r="F2332" s="806">
        <v>1.8</v>
      </c>
      <c r="G2332" s="805">
        <v>4.0821985334894304</v>
      </c>
      <c r="H2332" s="805">
        <v>121.22</v>
      </c>
      <c r="I2332" s="805">
        <v>17.57</v>
      </c>
      <c r="J2332" s="805">
        <v>1987.05</v>
      </c>
      <c r="K2332" s="805">
        <v>4781.2640000000001</v>
      </c>
    </row>
    <row r="2333" spans="3:11">
      <c r="C2333" s="861">
        <v>42281</v>
      </c>
      <c r="D2333" s="805">
        <v>30.51</v>
      </c>
      <c r="E2333" s="805">
        <v>6.2</v>
      </c>
      <c r="F2333" s="806">
        <v>1.83</v>
      </c>
      <c r="G2333" s="805">
        <v>4.0342298288508598</v>
      </c>
      <c r="H2333" s="805">
        <v>123.33</v>
      </c>
      <c r="I2333" s="805">
        <v>15.91</v>
      </c>
      <c r="J2333" s="805">
        <v>1951.36</v>
      </c>
      <c r="K2333" s="805">
        <v>4707.7749999999996</v>
      </c>
    </row>
    <row r="2334" spans="3:11">
      <c r="C2334" s="861">
        <v>42280</v>
      </c>
      <c r="D2334" s="805">
        <v>30.51</v>
      </c>
      <c r="E2334" s="805">
        <v>6.2</v>
      </c>
      <c r="F2334" s="806">
        <v>1.83</v>
      </c>
      <c r="G2334" s="805">
        <v>4.0342298288508598</v>
      </c>
      <c r="H2334" s="805">
        <v>123.33</v>
      </c>
      <c r="I2334" s="805">
        <v>15.91</v>
      </c>
      <c r="J2334" s="805">
        <v>1951.36</v>
      </c>
      <c r="K2334" s="805">
        <v>4707.7749999999996</v>
      </c>
    </row>
    <row r="2335" spans="3:11">
      <c r="C2335" s="861">
        <v>42279</v>
      </c>
      <c r="D2335" s="805">
        <v>30.51</v>
      </c>
      <c r="E2335" s="805">
        <v>6.2</v>
      </c>
      <c r="F2335" s="806">
        <v>1.83</v>
      </c>
      <c r="G2335" s="805">
        <v>4.0342298288508598</v>
      </c>
      <c r="H2335" s="805">
        <v>123.33</v>
      </c>
      <c r="I2335" s="805">
        <v>15.91</v>
      </c>
      <c r="J2335" s="805">
        <v>1951.36</v>
      </c>
      <c r="K2335" s="805">
        <v>4707.7749999999996</v>
      </c>
    </row>
    <row r="2336" spans="3:11">
      <c r="C2336" s="861">
        <v>42278</v>
      </c>
      <c r="D2336" s="805">
        <v>30</v>
      </c>
      <c r="E2336" s="805">
        <v>6.0425000000000004</v>
      </c>
      <c r="F2336" s="806">
        <v>1.74</v>
      </c>
      <c r="G2336" s="805">
        <v>4.0713632204940504</v>
      </c>
      <c r="H2336" s="805">
        <v>122.14</v>
      </c>
      <c r="I2336" s="805">
        <v>14.77</v>
      </c>
      <c r="J2336" s="805">
        <v>1923.82</v>
      </c>
      <c r="K2336" s="805">
        <v>4627.0839999999998</v>
      </c>
    </row>
    <row r="2337" spans="3:11">
      <c r="C2337" s="861">
        <v>42277</v>
      </c>
      <c r="D2337" s="805">
        <v>30.14</v>
      </c>
      <c r="E2337" s="805">
        <v>6.1624999999999996</v>
      </c>
      <c r="F2337" s="806">
        <v>1.72</v>
      </c>
      <c r="G2337" s="805">
        <v>3.9408269673820802</v>
      </c>
      <c r="H2337" s="805">
        <v>125.01</v>
      </c>
      <c r="I2337" s="805">
        <v>14.98</v>
      </c>
      <c r="J2337" s="805">
        <v>1920.03</v>
      </c>
      <c r="K2337" s="805">
        <v>4620.165</v>
      </c>
    </row>
    <row r="2338" spans="3:11">
      <c r="C2338" s="861">
        <v>42276</v>
      </c>
      <c r="D2338" s="805">
        <v>29.24</v>
      </c>
      <c r="E2338" s="805">
        <v>5.9275000000000002</v>
      </c>
      <c r="F2338" s="806">
        <v>1.67</v>
      </c>
      <c r="G2338" s="805">
        <v>3.8361626291306701</v>
      </c>
      <c r="H2338" s="805">
        <v>119.67</v>
      </c>
      <c r="I2338" s="805">
        <v>14.38</v>
      </c>
      <c r="J2338" s="805">
        <v>1884.09</v>
      </c>
      <c r="K2338" s="805">
        <v>4517.3209999999999</v>
      </c>
    </row>
    <row r="2339" spans="3:11">
      <c r="C2339" s="861">
        <v>42275</v>
      </c>
      <c r="D2339" s="805">
        <v>28.76</v>
      </c>
      <c r="E2339" s="805">
        <v>5.8250000000000002</v>
      </c>
      <c r="F2339" s="806">
        <v>1.66</v>
      </c>
      <c r="G2339" s="805">
        <v>3.8361626291306701</v>
      </c>
      <c r="H2339" s="805">
        <v>120.85</v>
      </c>
      <c r="I2339" s="805">
        <v>14.06</v>
      </c>
      <c r="J2339" s="805">
        <v>1881.77</v>
      </c>
      <c r="K2339" s="805">
        <v>4543.9690000000001</v>
      </c>
    </row>
    <row r="2340" spans="3:11">
      <c r="C2340" s="861">
        <v>42274</v>
      </c>
      <c r="D2340" s="805">
        <v>28.81</v>
      </c>
      <c r="E2340" s="805">
        <v>5.9024999999999999</v>
      </c>
      <c r="F2340" s="806">
        <v>1.71</v>
      </c>
      <c r="G2340" s="805">
        <v>3.8361626291306701</v>
      </c>
      <c r="H2340" s="805">
        <v>126.74</v>
      </c>
      <c r="I2340" s="805">
        <v>14.91</v>
      </c>
      <c r="J2340" s="805">
        <v>1931.34</v>
      </c>
      <c r="K2340" s="805">
        <v>4686.4960000000001</v>
      </c>
    </row>
    <row r="2341" spans="3:11">
      <c r="C2341" s="861">
        <v>42273</v>
      </c>
      <c r="D2341" s="805">
        <v>28.81</v>
      </c>
      <c r="E2341" s="805">
        <v>5.9024999999999999</v>
      </c>
      <c r="F2341" s="806">
        <v>1.71</v>
      </c>
      <c r="G2341" s="805">
        <v>3.8361626291306701</v>
      </c>
      <c r="H2341" s="805">
        <v>126.74</v>
      </c>
      <c r="I2341" s="805">
        <v>14.91</v>
      </c>
      <c r="J2341" s="805">
        <v>1931.34</v>
      </c>
      <c r="K2341" s="805">
        <v>4686.4960000000001</v>
      </c>
    </row>
    <row r="2342" spans="3:11">
      <c r="C2342" s="861">
        <v>42272</v>
      </c>
      <c r="D2342" s="805">
        <v>28.81</v>
      </c>
      <c r="E2342" s="805">
        <v>5.9024999999999999</v>
      </c>
      <c r="F2342" s="806">
        <v>1.71</v>
      </c>
      <c r="G2342" s="805">
        <v>3.8361626291306701</v>
      </c>
      <c r="H2342" s="805">
        <v>126.74</v>
      </c>
      <c r="I2342" s="805">
        <v>14.91</v>
      </c>
      <c r="J2342" s="805">
        <v>1931.34</v>
      </c>
      <c r="K2342" s="805">
        <v>4686.4960000000001</v>
      </c>
    </row>
    <row r="2343" spans="3:11">
      <c r="C2343" s="861">
        <v>42271</v>
      </c>
      <c r="D2343" s="805">
        <v>28.48</v>
      </c>
      <c r="E2343" s="805">
        <v>5.86</v>
      </c>
      <c r="F2343" s="806">
        <v>1.72</v>
      </c>
      <c r="G2343" s="805">
        <v>3.83743767940777</v>
      </c>
      <c r="H2343" s="805">
        <v>124.1</v>
      </c>
      <c r="I2343" s="805">
        <v>15.34</v>
      </c>
      <c r="J2343" s="805">
        <v>1932.24</v>
      </c>
      <c r="K2343" s="805">
        <v>4734.4790000000003</v>
      </c>
    </row>
    <row r="2344" spans="3:11">
      <c r="C2344" s="861">
        <v>42270</v>
      </c>
      <c r="D2344" s="805">
        <v>28.74</v>
      </c>
      <c r="E2344" s="805">
        <v>5.75</v>
      </c>
      <c r="F2344" s="806">
        <v>1.7</v>
      </c>
      <c r="G2344" s="805">
        <v>3.7742140843362502</v>
      </c>
      <c r="H2344" s="805">
        <v>125.54</v>
      </c>
      <c r="I2344" s="805">
        <v>14.81</v>
      </c>
      <c r="J2344" s="805">
        <v>1938.76</v>
      </c>
      <c r="K2344" s="805">
        <v>4752.7439999999997</v>
      </c>
    </row>
    <row r="2345" spans="3:11">
      <c r="C2345" s="861">
        <v>42269</v>
      </c>
      <c r="D2345" s="805">
        <v>28.67</v>
      </c>
      <c r="E2345" s="805">
        <v>5.7225000000000001</v>
      </c>
      <c r="F2345" s="806">
        <v>1.73</v>
      </c>
      <c r="G2345" s="805">
        <v>3.9206151414764601</v>
      </c>
      <c r="H2345" s="805">
        <v>124.7</v>
      </c>
      <c r="I2345" s="805">
        <v>15.41</v>
      </c>
      <c r="J2345" s="805">
        <v>1942.74</v>
      </c>
      <c r="K2345" s="805">
        <v>4756.723</v>
      </c>
    </row>
    <row r="2346" spans="3:11">
      <c r="C2346" s="861">
        <v>42268</v>
      </c>
      <c r="D2346" s="805">
        <v>29.16</v>
      </c>
      <c r="E2346" s="805">
        <v>5.8825000000000003</v>
      </c>
      <c r="F2346" s="806">
        <v>1.81</v>
      </c>
      <c r="G2346" s="805">
        <v>3.9655805977462002</v>
      </c>
      <c r="H2346" s="805">
        <v>127.26</v>
      </c>
      <c r="I2346" s="805">
        <v>15.75</v>
      </c>
      <c r="J2346" s="805">
        <v>1966.97</v>
      </c>
      <c r="K2346" s="805">
        <v>4828.9549999999999</v>
      </c>
    </row>
    <row r="2347" spans="3:11">
      <c r="C2347" s="861">
        <v>42267</v>
      </c>
      <c r="D2347" s="805">
        <v>29.02</v>
      </c>
      <c r="E2347" s="805">
        <v>5.8224999999999998</v>
      </c>
      <c r="F2347" s="806">
        <v>1.87</v>
      </c>
      <c r="G2347" s="805">
        <v>4.0700733541737604</v>
      </c>
      <c r="H2347" s="805">
        <v>127.59</v>
      </c>
      <c r="I2347" s="805">
        <v>15.5</v>
      </c>
      <c r="J2347" s="805">
        <v>1958.03</v>
      </c>
      <c r="K2347" s="805">
        <v>4827.2280000000001</v>
      </c>
    </row>
    <row r="2348" spans="3:11">
      <c r="C2348" s="861">
        <v>42266</v>
      </c>
      <c r="D2348" s="805">
        <v>29.02</v>
      </c>
      <c r="E2348" s="805">
        <v>5.8224999999999998</v>
      </c>
      <c r="F2348" s="806">
        <v>1.87</v>
      </c>
      <c r="G2348" s="805">
        <v>4.0700733541737604</v>
      </c>
      <c r="H2348" s="805">
        <v>127.59</v>
      </c>
      <c r="I2348" s="805">
        <v>15.5</v>
      </c>
      <c r="J2348" s="805">
        <v>1958.03</v>
      </c>
      <c r="K2348" s="805">
        <v>4827.2280000000001</v>
      </c>
    </row>
    <row r="2349" spans="3:11">
      <c r="C2349" s="861">
        <v>42265</v>
      </c>
      <c r="D2349" s="805">
        <v>29.02</v>
      </c>
      <c r="E2349" s="805">
        <v>5.8224999999999998</v>
      </c>
      <c r="F2349" s="806">
        <v>1.87</v>
      </c>
      <c r="G2349" s="805">
        <v>4.0700733541737604</v>
      </c>
      <c r="H2349" s="805">
        <v>127.59</v>
      </c>
      <c r="I2349" s="805">
        <v>15.5</v>
      </c>
      <c r="J2349" s="805">
        <v>1958.03</v>
      </c>
      <c r="K2349" s="805">
        <v>4827.2280000000001</v>
      </c>
    </row>
    <row r="2350" spans="3:11">
      <c r="C2350" s="861">
        <v>42264</v>
      </c>
      <c r="D2350" s="805">
        <v>29.71</v>
      </c>
      <c r="E2350" s="805">
        <v>5.8274999999999997</v>
      </c>
      <c r="F2350" s="806">
        <v>1.89</v>
      </c>
      <c r="G2350" s="805">
        <v>4.04570722668314</v>
      </c>
      <c r="H2350" s="805">
        <v>130.61000000000001</v>
      </c>
      <c r="I2350" s="805">
        <v>16.41</v>
      </c>
      <c r="J2350" s="805">
        <v>1990.2</v>
      </c>
      <c r="K2350" s="805">
        <v>4893.9489999999996</v>
      </c>
    </row>
    <row r="2351" spans="3:11">
      <c r="C2351" s="861">
        <v>42263</v>
      </c>
      <c r="D2351" s="805">
        <v>29.77</v>
      </c>
      <c r="E2351" s="805">
        <v>5.7750000000000004</v>
      </c>
      <c r="F2351" s="806">
        <v>1.89</v>
      </c>
      <c r="G2351" s="805">
        <v>3.9889111350685398</v>
      </c>
      <c r="H2351" s="805">
        <v>131.49</v>
      </c>
      <c r="I2351" s="805">
        <v>16.68</v>
      </c>
      <c r="J2351" s="805">
        <v>1995.31</v>
      </c>
      <c r="K2351" s="805">
        <v>4889.2389999999996</v>
      </c>
    </row>
    <row r="2352" spans="3:11">
      <c r="C2352" s="861">
        <v>42262</v>
      </c>
      <c r="D2352" s="805">
        <v>29.73</v>
      </c>
      <c r="E2352" s="805">
        <v>5.7350000000000003</v>
      </c>
      <c r="F2352" s="806">
        <v>1.86</v>
      </c>
      <c r="G2352" s="805">
        <v>3.8781163434903001</v>
      </c>
      <c r="H2352" s="805">
        <v>134.38</v>
      </c>
      <c r="I2352" s="805">
        <v>16.52</v>
      </c>
      <c r="J2352" s="805">
        <v>1978.09</v>
      </c>
      <c r="K2352" s="805">
        <v>4860.5200000000004</v>
      </c>
    </row>
    <row r="2353" spans="3:11">
      <c r="C2353" s="861">
        <v>42261</v>
      </c>
      <c r="D2353" s="805">
        <v>29.39</v>
      </c>
      <c r="E2353" s="805">
        <v>5.6725000000000003</v>
      </c>
      <c r="F2353" s="806">
        <v>1.82</v>
      </c>
      <c r="G2353" s="805">
        <v>3.9248884100354</v>
      </c>
      <c r="H2353" s="805">
        <v>131.19</v>
      </c>
      <c r="I2353" s="805">
        <v>16.7</v>
      </c>
      <c r="J2353" s="805">
        <v>1953.03</v>
      </c>
      <c r="K2353" s="805">
        <v>4805.7629999999999</v>
      </c>
    </row>
    <row r="2354" spans="3:11">
      <c r="C2354" s="861">
        <v>42260</v>
      </c>
      <c r="D2354" s="805">
        <v>29.47</v>
      </c>
      <c r="E2354" s="805">
        <v>5.6624999999999996</v>
      </c>
      <c r="F2354" s="806">
        <v>2.0099999999999998</v>
      </c>
      <c r="G2354" s="805">
        <v>3.9327575570635398</v>
      </c>
      <c r="H2354" s="805">
        <v>131.08000000000001</v>
      </c>
      <c r="I2354" s="805">
        <v>16.8</v>
      </c>
      <c r="J2354" s="805">
        <v>1961.05</v>
      </c>
      <c r="K2354" s="805">
        <v>4822.3410000000003</v>
      </c>
    </row>
    <row r="2355" spans="3:11">
      <c r="C2355" s="861">
        <v>42259</v>
      </c>
      <c r="D2355" s="805">
        <v>29.47</v>
      </c>
      <c r="E2355" s="805">
        <v>5.6624999999999996</v>
      </c>
      <c r="F2355" s="806">
        <v>2.0099999999999998</v>
      </c>
      <c r="G2355" s="805">
        <v>3.9327575570635398</v>
      </c>
      <c r="H2355" s="805">
        <v>131.08000000000001</v>
      </c>
      <c r="I2355" s="805">
        <v>16.8</v>
      </c>
      <c r="J2355" s="805">
        <v>1961.05</v>
      </c>
      <c r="K2355" s="805">
        <v>4822.3410000000003</v>
      </c>
    </row>
    <row r="2356" spans="3:11">
      <c r="C2356" s="861">
        <v>42258</v>
      </c>
      <c r="D2356" s="805">
        <v>29.47</v>
      </c>
      <c r="E2356" s="805">
        <v>5.6624999999999996</v>
      </c>
      <c r="F2356" s="806">
        <v>2.0099999999999998</v>
      </c>
      <c r="G2356" s="805">
        <v>3.9327575570635398</v>
      </c>
      <c r="H2356" s="805">
        <v>131.08000000000001</v>
      </c>
      <c r="I2356" s="805">
        <v>16.8</v>
      </c>
      <c r="J2356" s="805">
        <v>1961.05</v>
      </c>
      <c r="K2356" s="805">
        <v>4822.3410000000003</v>
      </c>
    </row>
    <row r="2357" spans="3:11">
      <c r="C2357" s="861">
        <v>42257</v>
      </c>
      <c r="D2357" s="805">
        <v>29.27</v>
      </c>
      <c r="E2357" s="805">
        <v>5.6449999999999996</v>
      </c>
      <c r="F2357" s="806">
        <v>1.84</v>
      </c>
      <c r="G2357" s="805">
        <v>3.8636293388557501</v>
      </c>
      <c r="H2357" s="805">
        <v>128.72</v>
      </c>
      <c r="I2357" s="805">
        <v>17.2</v>
      </c>
      <c r="J2357" s="805">
        <v>1952.29</v>
      </c>
      <c r="K2357" s="805">
        <v>4796.2510000000002</v>
      </c>
    </row>
    <row r="2358" spans="3:11">
      <c r="C2358" s="861">
        <v>42256</v>
      </c>
      <c r="D2358" s="805">
        <v>29.24</v>
      </c>
      <c r="E2358" s="805">
        <v>5.5575000000000001</v>
      </c>
      <c r="F2358" s="806">
        <v>1.85</v>
      </c>
      <c r="G2358" s="805">
        <v>3.97167487684729</v>
      </c>
      <c r="H2358" s="805">
        <v>127.17</v>
      </c>
      <c r="I2358" s="805">
        <v>16.96</v>
      </c>
      <c r="J2358" s="805">
        <v>1942.04</v>
      </c>
      <c r="K2358" s="805">
        <v>4756.5280000000002</v>
      </c>
    </row>
    <row r="2359" spans="3:11">
      <c r="C2359" s="861">
        <v>42255</v>
      </c>
      <c r="D2359" s="805">
        <v>29.5</v>
      </c>
      <c r="E2359" s="805">
        <v>5.67</v>
      </c>
      <c r="F2359" s="806">
        <v>1.88</v>
      </c>
      <c r="G2359" s="805">
        <v>3.7683823529411802</v>
      </c>
      <c r="H2359" s="805">
        <v>129.16</v>
      </c>
      <c r="I2359" s="805">
        <v>17.53</v>
      </c>
      <c r="J2359" s="805">
        <v>1969.41</v>
      </c>
      <c r="K2359" s="805">
        <v>4811.93</v>
      </c>
    </row>
    <row r="2360" spans="3:11">
      <c r="C2360" s="861">
        <v>42254</v>
      </c>
      <c r="D2360" s="805">
        <v>28.52</v>
      </c>
      <c r="E2360" s="805">
        <v>5.4375</v>
      </c>
      <c r="F2360" s="806">
        <v>1.82</v>
      </c>
      <c r="G2360" s="805">
        <v>3.7400012212248899</v>
      </c>
      <c r="H2360" s="805">
        <v>121.15</v>
      </c>
      <c r="I2360" s="805">
        <v>16.82</v>
      </c>
      <c r="J2360" s="805">
        <v>1921.22</v>
      </c>
      <c r="K2360" s="805">
        <v>4683.9179999999997</v>
      </c>
    </row>
    <row r="2361" spans="3:11">
      <c r="C2361" s="861">
        <v>42253</v>
      </c>
      <c r="D2361" s="805">
        <v>28.52</v>
      </c>
      <c r="E2361" s="805">
        <v>5.4375</v>
      </c>
      <c r="F2361" s="806">
        <v>1.82</v>
      </c>
      <c r="G2361" s="805">
        <v>3.8250864469537</v>
      </c>
      <c r="H2361" s="805">
        <v>121.15</v>
      </c>
      <c r="I2361" s="805">
        <v>16.82</v>
      </c>
      <c r="J2361" s="805">
        <v>1921.22</v>
      </c>
      <c r="K2361" s="805">
        <v>4683.9179999999997</v>
      </c>
    </row>
    <row r="2362" spans="3:11">
      <c r="C2362" s="861">
        <v>42252</v>
      </c>
      <c r="D2362" s="805">
        <v>28.52</v>
      </c>
      <c r="E2362" s="805">
        <v>5.4375</v>
      </c>
      <c r="F2362" s="806">
        <v>1.82</v>
      </c>
      <c r="G2362" s="805">
        <v>3.8250864469537</v>
      </c>
      <c r="H2362" s="805">
        <v>121.15</v>
      </c>
      <c r="I2362" s="805">
        <v>16.82</v>
      </c>
      <c r="J2362" s="805">
        <v>1921.22</v>
      </c>
      <c r="K2362" s="805">
        <v>4683.9179999999997</v>
      </c>
    </row>
    <row r="2363" spans="3:11">
      <c r="C2363" s="861">
        <v>42251</v>
      </c>
      <c r="D2363" s="805">
        <v>28.52</v>
      </c>
      <c r="E2363" s="805">
        <v>5.4375</v>
      </c>
      <c r="F2363" s="806">
        <v>1.82</v>
      </c>
      <c r="G2363" s="805">
        <v>3.8250864469537</v>
      </c>
      <c r="H2363" s="805">
        <v>121.15</v>
      </c>
      <c r="I2363" s="805">
        <v>16.82</v>
      </c>
      <c r="J2363" s="805">
        <v>1921.22</v>
      </c>
      <c r="K2363" s="805">
        <v>4683.9179999999997</v>
      </c>
    </row>
    <row r="2364" spans="3:11">
      <c r="C2364" s="861">
        <v>42250</v>
      </c>
      <c r="D2364" s="805">
        <v>29.08</v>
      </c>
      <c r="E2364" s="805">
        <v>5.5674999999999999</v>
      </c>
      <c r="F2364" s="806">
        <v>1.79</v>
      </c>
      <c r="G2364" s="805">
        <v>3.9088950446291202</v>
      </c>
      <c r="H2364" s="805">
        <v>123.77</v>
      </c>
      <c r="I2364" s="805">
        <v>16.59</v>
      </c>
      <c r="J2364" s="805">
        <v>1951.13</v>
      </c>
      <c r="K2364" s="805">
        <v>4733.4970000000003</v>
      </c>
    </row>
    <row r="2365" spans="3:11">
      <c r="C2365" s="861">
        <v>42249</v>
      </c>
      <c r="D2365" s="805">
        <v>28.6</v>
      </c>
      <c r="E2365" s="805">
        <v>5.5525000000000002</v>
      </c>
      <c r="F2365" s="806">
        <v>1.77</v>
      </c>
      <c r="G2365" s="805">
        <v>3.8668926205515302</v>
      </c>
      <c r="H2365" s="805">
        <v>124.04</v>
      </c>
      <c r="I2365" s="805">
        <v>16.29</v>
      </c>
      <c r="J2365" s="805">
        <v>1948.86</v>
      </c>
      <c r="K2365" s="805">
        <v>4749.9790000000003</v>
      </c>
    </row>
    <row r="2366" spans="3:11">
      <c r="C2366" s="861">
        <v>42248</v>
      </c>
      <c r="D2366" s="805">
        <v>27.82</v>
      </c>
      <c r="E2366" s="805">
        <v>5.39</v>
      </c>
      <c r="F2366" s="806">
        <v>1.71</v>
      </c>
      <c r="G2366" s="805">
        <v>3.82503547411932</v>
      </c>
      <c r="H2366" s="805">
        <v>119.37</v>
      </c>
      <c r="I2366" s="805">
        <v>15.82</v>
      </c>
      <c r="J2366" s="805">
        <v>1913.85</v>
      </c>
      <c r="K2366" s="805">
        <v>4636.1049999999996</v>
      </c>
    </row>
    <row r="2367" spans="3:11">
      <c r="C2367" s="861">
        <v>42247</v>
      </c>
      <c r="D2367" s="805">
        <v>28.54</v>
      </c>
      <c r="E2367" s="805">
        <v>5.62</v>
      </c>
      <c r="F2367" s="806">
        <v>1.81</v>
      </c>
      <c r="G2367" s="805">
        <v>3.9697193500738499</v>
      </c>
      <c r="H2367" s="805">
        <v>125.97</v>
      </c>
      <c r="I2367" s="805">
        <v>16.41</v>
      </c>
      <c r="J2367" s="805">
        <v>1972.18</v>
      </c>
      <c r="K2367" s="805">
        <v>4776.5079999999998</v>
      </c>
    </row>
    <row r="2368" spans="3:11">
      <c r="C2368" s="861">
        <v>42246</v>
      </c>
      <c r="D2368" s="805">
        <v>28.42</v>
      </c>
      <c r="E2368" s="805">
        <v>5.6825000000000001</v>
      </c>
      <c r="F2368" s="806">
        <v>1.85</v>
      </c>
      <c r="G2368" s="805">
        <v>3.8654214855587901</v>
      </c>
      <c r="H2368" s="805">
        <v>127.62</v>
      </c>
      <c r="I2368" s="805">
        <v>15.96</v>
      </c>
      <c r="J2368" s="805">
        <v>1988.87</v>
      </c>
      <c r="K2368" s="805">
        <v>4828.3249999999998</v>
      </c>
    </row>
    <row r="2369" spans="3:11">
      <c r="C2369" s="861">
        <v>42245</v>
      </c>
      <c r="D2369" s="805">
        <v>28.42</v>
      </c>
      <c r="E2369" s="805">
        <v>5.6825000000000001</v>
      </c>
      <c r="F2369" s="806">
        <v>1.85</v>
      </c>
      <c r="G2369" s="805">
        <v>3.8654214855587901</v>
      </c>
      <c r="H2369" s="805">
        <v>127.62</v>
      </c>
      <c r="I2369" s="805">
        <v>15.96</v>
      </c>
      <c r="J2369" s="805">
        <v>1988.87</v>
      </c>
      <c r="K2369" s="805">
        <v>4828.3249999999998</v>
      </c>
    </row>
    <row r="2370" spans="3:11">
      <c r="C2370" s="861">
        <v>42244</v>
      </c>
      <c r="D2370" s="805">
        <v>28.42</v>
      </c>
      <c r="E2370" s="805">
        <v>5.6825000000000001</v>
      </c>
      <c r="F2370" s="806">
        <v>1.85</v>
      </c>
      <c r="G2370" s="805">
        <v>3.8654214855587901</v>
      </c>
      <c r="H2370" s="805">
        <v>127.62</v>
      </c>
      <c r="I2370" s="805">
        <v>15.96</v>
      </c>
      <c r="J2370" s="805">
        <v>1988.87</v>
      </c>
      <c r="K2370" s="805">
        <v>4828.3249999999998</v>
      </c>
    </row>
    <row r="2371" spans="3:11">
      <c r="C2371" s="861">
        <v>42243</v>
      </c>
      <c r="D2371" s="805">
        <v>27.72</v>
      </c>
      <c r="E2371" s="805">
        <v>5.6574999999999998</v>
      </c>
      <c r="F2371" s="806">
        <v>1.78</v>
      </c>
      <c r="G2371" s="805">
        <v>3.8425782460489599</v>
      </c>
      <c r="H2371" s="805">
        <v>126.26</v>
      </c>
      <c r="I2371" s="805">
        <v>15.67</v>
      </c>
      <c r="J2371" s="805">
        <v>1987.66</v>
      </c>
      <c r="K2371" s="805">
        <v>4812.7079999999996</v>
      </c>
    </row>
    <row r="2372" spans="3:11">
      <c r="C2372" s="861">
        <v>42242</v>
      </c>
      <c r="D2372" s="805">
        <v>27.3</v>
      </c>
      <c r="E2372" s="805">
        <v>5.4524999999999997</v>
      </c>
      <c r="F2372" s="806">
        <v>1.72</v>
      </c>
      <c r="G2372" s="805">
        <v>3.7736430287721001</v>
      </c>
      <c r="H2372" s="805">
        <v>116.2</v>
      </c>
      <c r="I2372" s="805">
        <v>14.42</v>
      </c>
      <c r="J2372" s="805">
        <v>1940.51</v>
      </c>
      <c r="K2372" s="805">
        <v>4697.5370000000003</v>
      </c>
    </row>
    <row r="2373" spans="3:11">
      <c r="C2373" s="861">
        <v>42241</v>
      </c>
      <c r="D2373" s="805">
        <v>25.87</v>
      </c>
      <c r="E2373" s="805">
        <v>5.07</v>
      </c>
      <c r="F2373" s="806">
        <v>1.66</v>
      </c>
      <c r="G2373" s="805">
        <v>3.8059724490739302</v>
      </c>
      <c r="H2373" s="805">
        <v>108.51</v>
      </c>
      <c r="I2373" s="805">
        <v>14.27</v>
      </c>
      <c r="J2373" s="805">
        <v>1867.61</v>
      </c>
      <c r="K2373" s="805">
        <v>4506.4880000000003</v>
      </c>
    </row>
    <row r="2374" spans="3:11">
      <c r="C2374" s="861">
        <v>42240</v>
      </c>
      <c r="D2374" s="805">
        <v>26.25</v>
      </c>
      <c r="E2374" s="805">
        <v>5.1775000000000002</v>
      </c>
      <c r="F2374" s="806">
        <v>1.75</v>
      </c>
      <c r="G2374" s="805">
        <v>3.48527094193236</v>
      </c>
      <c r="H2374" s="805">
        <v>109.94</v>
      </c>
      <c r="I2374" s="805">
        <v>14.44</v>
      </c>
      <c r="J2374" s="805">
        <v>1893.21</v>
      </c>
      <c r="K2374" s="805">
        <v>4526.2479999999996</v>
      </c>
    </row>
    <row r="2375" spans="3:11">
      <c r="C2375" s="861">
        <v>42239</v>
      </c>
      <c r="D2375" s="805">
        <v>26.56</v>
      </c>
      <c r="E2375" s="805">
        <v>5.3674999999999997</v>
      </c>
      <c r="F2375" s="806">
        <v>1.78</v>
      </c>
      <c r="G2375" s="805">
        <v>3.70483772198408</v>
      </c>
      <c r="H2375" s="805">
        <v>111.45</v>
      </c>
      <c r="I2375" s="805">
        <v>14.53</v>
      </c>
      <c r="J2375" s="805">
        <v>1970.89</v>
      </c>
      <c r="K2375" s="805">
        <v>4706.0389999999998</v>
      </c>
    </row>
    <row r="2376" spans="3:11">
      <c r="C2376" s="861">
        <v>42238</v>
      </c>
      <c r="D2376" s="805">
        <v>26.56</v>
      </c>
      <c r="E2376" s="805">
        <v>5.3674999999999997</v>
      </c>
      <c r="F2376" s="806">
        <v>1.78</v>
      </c>
      <c r="G2376" s="805">
        <v>3.70483772198408</v>
      </c>
      <c r="H2376" s="805">
        <v>111.45</v>
      </c>
      <c r="I2376" s="805">
        <v>14.53</v>
      </c>
      <c r="J2376" s="805">
        <v>1970.89</v>
      </c>
      <c r="K2376" s="805">
        <v>4706.0389999999998</v>
      </c>
    </row>
    <row r="2377" spans="3:11">
      <c r="C2377" s="861">
        <v>42237</v>
      </c>
      <c r="D2377" s="805">
        <v>26.56</v>
      </c>
      <c r="E2377" s="805">
        <v>5.3674999999999997</v>
      </c>
      <c r="F2377" s="806">
        <v>1.78</v>
      </c>
      <c r="G2377" s="805">
        <v>3.70483772198408</v>
      </c>
      <c r="H2377" s="805">
        <v>111.45</v>
      </c>
      <c r="I2377" s="805">
        <v>14.53</v>
      </c>
      <c r="J2377" s="805">
        <v>1970.89</v>
      </c>
      <c r="K2377" s="805">
        <v>4706.0389999999998</v>
      </c>
    </row>
    <row r="2378" spans="3:11">
      <c r="C2378" s="861">
        <v>42236</v>
      </c>
      <c r="D2378" s="805">
        <v>27.53</v>
      </c>
      <c r="E2378" s="805">
        <v>5.54</v>
      </c>
      <c r="F2378" s="806">
        <v>1.7</v>
      </c>
      <c r="G2378" s="805">
        <v>3.87096774193548</v>
      </c>
      <c r="H2378" s="805">
        <v>115.03</v>
      </c>
      <c r="I2378" s="805">
        <v>14.74</v>
      </c>
      <c r="J2378" s="805">
        <v>2035.73</v>
      </c>
      <c r="K2378" s="805">
        <v>4877.4870000000001</v>
      </c>
    </row>
    <row r="2379" spans="3:11">
      <c r="C2379" s="861">
        <v>42235</v>
      </c>
      <c r="D2379" s="805">
        <v>28.36</v>
      </c>
      <c r="E2379" s="805">
        <v>5.7474999999999996</v>
      </c>
      <c r="F2379" s="806">
        <v>1.8</v>
      </c>
      <c r="G2379" s="805">
        <v>3.8526737555863799</v>
      </c>
      <c r="H2379" s="805">
        <v>121.45</v>
      </c>
      <c r="I2379" s="805">
        <v>15.9</v>
      </c>
      <c r="J2379" s="805">
        <v>2079.61</v>
      </c>
      <c r="K2379" s="805">
        <v>5019.0510000000004</v>
      </c>
    </row>
    <row r="2380" spans="3:11">
      <c r="C2380" s="861">
        <v>42234</v>
      </c>
      <c r="D2380" s="805">
        <v>28.91</v>
      </c>
      <c r="E2380" s="805">
        <v>5.77</v>
      </c>
      <c r="F2380" s="806">
        <v>1.8</v>
      </c>
      <c r="G2380" s="805">
        <v>3.8833754546014898</v>
      </c>
      <c r="H2380" s="805">
        <v>122.24</v>
      </c>
      <c r="I2380" s="805">
        <v>16.38</v>
      </c>
      <c r="J2380" s="805">
        <v>2096.92</v>
      </c>
      <c r="K2380" s="805">
        <v>5059.3469999999998</v>
      </c>
    </row>
    <row r="2381" spans="3:11">
      <c r="C2381" s="861">
        <v>42233</v>
      </c>
      <c r="D2381" s="805">
        <v>29.08</v>
      </c>
      <c r="E2381" s="805">
        <v>5.8475000000000001</v>
      </c>
      <c r="F2381" s="806">
        <v>1.8</v>
      </c>
      <c r="G2381" s="805">
        <v>3.8246815335739202</v>
      </c>
      <c r="H2381" s="805">
        <v>125.52</v>
      </c>
      <c r="I2381" s="805">
        <v>17.22</v>
      </c>
      <c r="J2381" s="805">
        <v>2102.44</v>
      </c>
      <c r="K2381" s="805">
        <v>5091.6989999999996</v>
      </c>
    </row>
    <row r="2382" spans="3:11">
      <c r="C2382" s="861">
        <v>42232</v>
      </c>
      <c r="D2382" s="805">
        <v>29.02</v>
      </c>
      <c r="E2382" s="805">
        <v>5.8849999999999998</v>
      </c>
      <c r="F2382" s="806">
        <v>1.84</v>
      </c>
      <c r="G2382" s="805">
        <v>3.9197386840877302</v>
      </c>
      <c r="H2382" s="805">
        <v>121.96</v>
      </c>
      <c r="I2382" s="805">
        <v>16.95</v>
      </c>
      <c r="J2382" s="805">
        <v>2091.54</v>
      </c>
      <c r="K2382" s="805">
        <v>5048.2349999999997</v>
      </c>
    </row>
    <row r="2383" spans="3:11">
      <c r="C2383" s="861">
        <v>42231</v>
      </c>
      <c r="D2383" s="805">
        <v>29.02</v>
      </c>
      <c r="E2383" s="805">
        <v>5.8849999999999998</v>
      </c>
      <c r="F2383" s="806">
        <v>1.84</v>
      </c>
      <c r="G2383" s="805">
        <v>3.9197386840877302</v>
      </c>
      <c r="H2383" s="805">
        <v>121.96</v>
      </c>
      <c r="I2383" s="805">
        <v>16.95</v>
      </c>
      <c r="J2383" s="805">
        <v>2091.54</v>
      </c>
      <c r="K2383" s="805">
        <v>5048.2349999999997</v>
      </c>
    </row>
    <row r="2384" spans="3:11">
      <c r="C2384" s="861">
        <v>42230</v>
      </c>
      <c r="D2384" s="805">
        <v>29.02</v>
      </c>
      <c r="E2384" s="805">
        <v>5.8849999999999998</v>
      </c>
      <c r="F2384" s="806">
        <v>1.84</v>
      </c>
      <c r="G2384" s="805">
        <v>3.9197386840877302</v>
      </c>
      <c r="H2384" s="805">
        <v>121.96</v>
      </c>
      <c r="I2384" s="805">
        <v>16.95</v>
      </c>
      <c r="J2384" s="805">
        <v>2091.54</v>
      </c>
      <c r="K2384" s="805">
        <v>5048.2349999999997</v>
      </c>
    </row>
    <row r="2385" spans="3:11">
      <c r="C2385" s="861">
        <v>42229</v>
      </c>
      <c r="D2385" s="805">
        <v>28.87</v>
      </c>
      <c r="E2385" s="805">
        <v>5.88</v>
      </c>
      <c r="F2385" s="806">
        <v>1.79</v>
      </c>
      <c r="G2385" s="805">
        <v>3.9819567584383302</v>
      </c>
      <c r="H2385" s="805">
        <v>124.19</v>
      </c>
      <c r="I2385" s="805">
        <v>17.7</v>
      </c>
      <c r="J2385" s="805">
        <v>2083.39</v>
      </c>
      <c r="K2385" s="805">
        <v>5033.558</v>
      </c>
    </row>
    <row r="2386" spans="3:11">
      <c r="C2386" s="861">
        <v>42228</v>
      </c>
      <c r="D2386" s="805">
        <v>29.46</v>
      </c>
      <c r="E2386" s="805">
        <v>5.93</v>
      </c>
      <c r="F2386" s="806">
        <v>1.9</v>
      </c>
      <c r="G2386" s="805">
        <v>3.9978843880281301</v>
      </c>
      <c r="H2386" s="805">
        <v>125.73</v>
      </c>
      <c r="I2386" s="805">
        <v>18.190000000000001</v>
      </c>
      <c r="J2386" s="805">
        <v>2086.0500000000002</v>
      </c>
      <c r="K2386" s="805">
        <v>5044.3869999999997</v>
      </c>
    </row>
    <row r="2387" spans="3:11">
      <c r="C2387" s="861">
        <v>42227</v>
      </c>
      <c r="D2387" s="805">
        <v>28.97</v>
      </c>
      <c r="E2387" s="805">
        <v>5.915</v>
      </c>
      <c r="F2387" s="806">
        <v>1.9</v>
      </c>
      <c r="G2387" s="805">
        <v>4.0582143856703103</v>
      </c>
      <c r="H2387" s="805">
        <v>124.21</v>
      </c>
      <c r="I2387" s="805">
        <v>17.88</v>
      </c>
      <c r="J2387" s="805">
        <v>2084.0700000000002</v>
      </c>
      <c r="K2387" s="805">
        <v>5036.79</v>
      </c>
    </row>
    <row r="2388" spans="3:11">
      <c r="C2388" s="861">
        <v>42226</v>
      </c>
      <c r="D2388" s="805">
        <v>29.64</v>
      </c>
      <c r="E2388" s="805">
        <v>5.9450000000000003</v>
      </c>
      <c r="F2388" s="806">
        <v>1.93</v>
      </c>
      <c r="G2388" s="805">
        <v>4.0838293022666798</v>
      </c>
      <c r="H2388" s="805">
        <v>127.28</v>
      </c>
      <c r="I2388" s="805">
        <v>18.82</v>
      </c>
      <c r="J2388" s="805">
        <v>2104.1799999999998</v>
      </c>
      <c r="K2388" s="805">
        <v>5101.799</v>
      </c>
    </row>
    <row r="2389" spans="3:11">
      <c r="C2389" s="861">
        <v>42225</v>
      </c>
      <c r="D2389" s="805">
        <v>28.88</v>
      </c>
      <c r="E2389" s="805">
        <v>5.7450000000000001</v>
      </c>
      <c r="F2389" s="806">
        <v>2.09</v>
      </c>
      <c r="G2389" s="805">
        <v>4.2022116903633497</v>
      </c>
      <c r="H2389" s="805">
        <v>122.55</v>
      </c>
      <c r="I2389" s="805">
        <v>18.440000000000001</v>
      </c>
      <c r="J2389" s="805">
        <v>2077.5700000000002</v>
      </c>
      <c r="K2389" s="805">
        <v>5043.5439999999999</v>
      </c>
    </row>
    <row r="2390" spans="3:11">
      <c r="C2390" s="861">
        <v>42224</v>
      </c>
      <c r="D2390" s="805">
        <v>28.88</v>
      </c>
      <c r="E2390" s="805">
        <v>5.7450000000000001</v>
      </c>
      <c r="F2390" s="806">
        <v>2.09</v>
      </c>
      <c r="G2390" s="805">
        <v>4.2022116903633497</v>
      </c>
      <c r="H2390" s="805">
        <v>122.55</v>
      </c>
      <c r="I2390" s="805">
        <v>18.440000000000001</v>
      </c>
      <c r="J2390" s="805">
        <v>2077.5700000000002</v>
      </c>
      <c r="K2390" s="805">
        <v>5043.5439999999999</v>
      </c>
    </row>
    <row r="2391" spans="3:11">
      <c r="C2391" s="861">
        <v>42223</v>
      </c>
      <c r="D2391" s="805">
        <v>28.88</v>
      </c>
      <c r="E2391" s="805">
        <v>5.7450000000000001</v>
      </c>
      <c r="F2391" s="806">
        <v>2.09</v>
      </c>
      <c r="G2391" s="805">
        <v>4.2022116903633497</v>
      </c>
      <c r="H2391" s="805">
        <v>122.55</v>
      </c>
      <c r="I2391" s="805">
        <v>18.440000000000001</v>
      </c>
      <c r="J2391" s="805">
        <v>2077.5700000000002</v>
      </c>
      <c r="K2391" s="805">
        <v>5043.5439999999999</v>
      </c>
    </row>
    <row r="2392" spans="3:11">
      <c r="C2392" s="861">
        <v>42222</v>
      </c>
      <c r="D2392" s="805">
        <v>29.01</v>
      </c>
      <c r="E2392" s="805">
        <v>5.1124999999999998</v>
      </c>
      <c r="F2392" s="806">
        <v>2.11</v>
      </c>
      <c r="G2392" s="805">
        <v>4.2407747325780099</v>
      </c>
      <c r="H2392" s="805">
        <v>123.27</v>
      </c>
      <c r="I2392" s="805">
        <v>18.72</v>
      </c>
      <c r="J2392" s="805">
        <v>2083.56</v>
      </c>
      <c r="K2392" s="805">
        <v>5056.4399999999996</v>
      </c>
    </row>
    <row r="2393" spans="3:11">
      <c r="C2393" s="861">
        <v>42221</v>
      </c>
      <c r="D2393" s="805">
        <v>29.12</v>
      </c>
      <c r="E2393" s="805">
        <v>5.1449999999999996</v>
      </c>
      <c r="F2393" s="806">
        <v>2.16</v>
      </c>
      <c r="G2393" s="805">
        <v>4.23046566692976</v>
      </c>
      <c r="H2393" s="805">
        <v>124.75</v>
      </c>
      <c r="I2393" s="805">
        <v>18.91</v>
      </c>
      <c r="J2393" s="805">
        <v>2099.84</v>
      </c>
      <c r="K2393" s="805">
        <v>5139.9449999999997</v>
      </c>
    </row>
    <row r="2394" spans="3:11">
      <c r="C2394" s="861">
        <v>42220</v>
      </c>
      <c r="D2394" s="805">
        <v>29.13</v>
      </c>
      <c r="E2394" s="805">
        <v>5.0925000000000002</v>
      </c>
      <c r="F2394" s="806">
        <v>2.13</v>
      </c>
      <c r="G2394" s="805">
        <v>4.3104809423058699</v>
      </c>
      <c r="H2394" s="805">
        <v>123.47</v>
      </c>
      <c r="I2394" s="805">
        <v>19.010000000000002</v>
      </c>
      <c r="J2394" s="805">
        <v>2093.3200000000002</v>
      </c>
      <c r="K2394" s="805">
        <v>5105.5460000000003</v>
      </c>
    </row>
    <row r="2395" spans="3:11">
      <c r="C2395" s="861">
        <v>42219</v>
      </c>
      <c r="D2395" s="805">
        <v>29.05</v>
      </c>
      <c r="E2395" s="805">
        <v>5.0724999999999998</v>
      </c>
      <c r="F2395" s="806">
        <v>2.2000000000000002</v>
      </c>
      <c r="G2395" s="805">
        <v>4.2442410855159398</v>
      </c>
      <c r="H2395" s="805">
        <v>125.8</v>
      </c>
      <c r="I2395" s="805">
        <v>19</v>
      </c>
      <c r="J2395" s="805">
        <v>2098.04</v>
      </c>
      <c r="K2395" s="805">
        <v>5115.3819999999996</v>
      </c>
    </row>
    <row r="2396" spans="3:11">
      <c r="C2396" s="861">
        <v>42218</v>
      </c>
      <c r="D2396" s="805">
        <v>28.95</v>
      </c>
      <c r="E2396" s="805">
        <v>4.9874999999999998</v>
      </c>
      <c r="F2396" s="806">
        <v>1.93</v>
      </c>
      <c r="G2396" s="805">
        <v>4.4086973010555601</v>
      </c>
      <c r="H2396" s="805">
        <v>125.14</v>
      </c>
      <c r="I2396" s="805">
        <v>18.510000000000002</v>
      </c>
      <c r="J2396" s="805">
        <v>2103.84</v>
      </c>
      <c r="K2396" s="805">
        <v>5128.2809999999999</v>
      </c>
    </row>
    <row r="2397" spans="3:11">
      <c r="C2397" s="861">
        <v>42217</v>
      </c>
      <c r="D2397" s="805">
        <v>28.95</v>
      </c>
      <c r="E2397" s="805">
        <v>4.9874999999999998</v>
      </c>
      <c r="F2397" s="806">
        <v>1.93</v>
      </c>
      <c r="G2397" s="805">
        <v>4.4086973010555601</v>
      </c>
      <c r="H2397" s="805">
        <v>125.14</v>
      </c>
      <c r="I2397" s="805">
        <v>18.510000000000002</v>
      </c>
      <c r="J2397" s="805">
        <v>2103.84</v>
      </c>
      <c r="K2397" s="805">
        <v>5128.2809999999999</v>
      </c>
    </row>
    <row r="2398" spans="3:11">
      <c r="C2398" s="861">
        <v>42216</v>
      </c>
      <c r="D2398" s="805">
        <v>28.95</v>
      </c>
      <c r="E2398" s="805">
        <v>4.9874999999999998</v>
      </c>
      <c r="F2398" s="806">
        <v>1.93</v>
      </c>
      <c r="G2398" s="805">
        <v>4.4086973010555601</v>
      </c>
      <c r="H2398" s="805">
        <v>125.14</v>
      </c>
      <c r="I2398" s="805">
        <v>18.510000000000002</v>
      </c>
      <c r="J2398" s="805">
        <v>2103.84</v>
      </c>
      <c r="K2398" s="805">
        <v>5128.2809999999999</v>
      </c>
    </row>
    <row r="2399" spans="3:11">
      <c r="C2399" s="861">
        <v>42215</v>
      </c>
      <c r="D2399" s="805">
        <v>28.91</v>
      </c>
      <c r="E2399" s="805">
        <v>5.0049999999999999</v>
      </c>
      <c r="F2399" s="806">
        <v>1.93</v>
      </c>
      <c r="G2399" s="805">
        <v>4.3874932682864998</v>
      </c>
      <c r="H2399" s="805">
        <v>127.65</v>
      </c>
      <c r="I2399" s="805">
        <v>19.899999999999999</v>
      </c>
      <c r="J2399" s="805">
        <v>2108.63</v>
      </c>
      <c r="K2399" s="805">
        <v>5128.7849999999999</v>
      </c>
    </row>
    <row r="2400" spans="3:11">
      <c r="C2400" s="861">
        <v>42214</v>
      </c>
      <c r="D2400" s="805">
        <v>29.01</v>
      </c>
      <c r="E2400" s="805">
        <v>4.9924999999999997</v>
      </c>
      <c r="F2400" s="806">
        <v>1.96</v>
      </c>
      <c r="G2400" s="805">
        <v>4.3050039714058803</v>
      </c>
      <c r="H2400" s="805">
        <v>128.58000000000001</v>
      </c>
      <c r="I2400" s="805">
        <v>19.87</v>
      </c>
      <c r="J2400" s="805">
        <v>2108.5700000000002</v>
      </c>
      <c r="K2400" s="805">
        <v>5111.7330000000002</v>
      </c>
    </row>
    <row r="2401" spans="3:11">
      <c r="C2401" s="861">
        <v>42213</v>
      </c>
      <c r="D2401" s="805">
        <v>28.96</v>
      </c>
      <c r="E2401" s="805">
        <v>4.9325000000000001</v>
      </c>
      <c r="F2401" s="806">
        <v>1.77</v>
      </c>
      <c r="G2401" s="805">
        <v>4.2679236869764603</v>
      </c>
      <c r="H2401" s="805">
        <v>128.41999999999999</v>
      </c>
      <c r="I2401" s="805">
        <v>19.75</v>
      </c>
      <c r="J2401" s="805">
        <v>2093.25</v>
      </c>
      <c r="K2401" s="805">
        <v>5089.2060000000001</v>
      </c>
    </row>
    <row r="2402" spans="3:11">
      <c r="C2402" s="861">
        <v>42212</v>
      </c>
      <c r="D2402" s="805">
        <v>28.35</v>
      </c>
      <c r="E2402" s="805">
        <v>4.8274999999999997</v>
      </c>
      <c r="F2402" s="806">
        <v>1.62</v>
      </c>
      <c r="G2402" s="805">
        <v>4.2429231840922004</v>
      </c>
      <c r="H2402" s="805">
        <v>124.65</v>
      </c>
      <c r="I2402" s="805">
        <v>18.12</v>
      </c>
      <c r="J2402" s="805">
        <v>2067.64</v>
      </c>
      <c r="K2402" s="805">
        <v>5039.7759999999998</v>
      </c>
    </row>
    <row r="2403" spans="3:11">
      <c r="C2403" s="861">
        <v>42211</v>
      </c>
      <c r="D2403" s="805">
        <v>28.06</v>
      </c>
      <c r="E2403" s="805">
        <v>4.8550000000000004</v>
      </c>
      <c r="F2403" s="806">
        <v>1.67</v>
      </c>
      <c r="G2403" s="805">
        <v>4.3541825578438802</v>
      </c>
      <c r="H2403" s="805">
        <v>128.47999999999999</v>
      </c>
      <c r="I2403" s="805">
        <v>18.34</v>
      </c>
      <c r="J2403" s="805">
        <v>2079.65</v>
      </c>
      <c r="K2403" s="805">
        <v>5088.6289999999999</v>
      </c>
    </row>
    <row r="2404" spans="3:11">
      <c r="C2404" s="861">
        <v>42210</v>
      </c>
      <c r="D2404" s="805">
        <v>28.06</v>
      </c>
      <c r="E2404" s="805">
        <v>4.8550000000000004</v>
      </c>
      <c r="F2404" s="806">
        <v>1.67</v>
      </c>
      <c r="G2404" s="805">
        <v>4.3541825578438802</v>
      </c>
      <c r="H2404" s="805">
        <v>128.47999999999999</v>
      </c>
      <c r="I2404" s="805">
        <v>18.34</v>
      </c>
      <c r="J2404" s="805">
        <v>2079.65</v>
      </c>
      <c r="K2404" s="805">
        <v>5088.6289999999999</v>
      </c>
    </row>
    <row r="2405" spans="3:11">
      <c r="C2405" s="861">
        <v>42209</v>
      </c>
      <c r="D2405" s="805">
        <v>28.06</v>
      </c>
      <c r="E2405" s="805">
        <v>4.8550000000000004</v>
      </c>
      <c r="F2405" s="806">
        <v>1.67</v>
      </c>
      <c r="G2405" s="805">
        <v>4.3541825578438802</v>
      </c>
      <c r="H2405" s="805">
        <v>128.47999999999999</v>
      </c>
      <c r="I2405" s="805">
        <v>18.34</v>
      </c>
      <c r="J2405" s="805">
        <v>2079.65</v>
      </c>
      <c r="K2405" s="805">
        <v>5088.6289999999999</v>
      </c>
    </row>
    <row r="2406" spans="3:11">
      <c r="C2406" s="861">
        <v>42208</v>
      </c>
      <c r="D2406" s="805">
        <v>28.594999999999999</v>
      </c>
      <c r="E2406" s="805">
        <v>4.9124999999999996</v>
      </c>
      <c r="F2406" s="806">
        <v>1.76</v>
      </c>
      <c r="G2406" s="805">
        <v>4.3492165014390798</v>
      </c>
      <c r="H2406" s="805">
        <v>131.97</v>
      </c>
      <c r="I2406" s="805">
        <v>18.7</v>
      </c>
      <c r="J2406" s="805">
        <v>2102.15</v>
      </c>
      <c r="K2406" s="805">
        <v>5146.4089999999997</v>
      </c>
    </row>
    <row r="2407" spans="3:11">
      <c r="C2407" s="861">
        <v>42207</v>
      </c>
      <c r="D2407" s="805">
        <v>28.605</v>
      </c>
      <c r="E2407" s="805">
        <v>4.8512500000000003</v>
      </c>
      <c r="F2407" s="806">
        <v>1.79</v>
      </c>
      <c r="G2407" s="805">
        <v>4.4521315781044803</v>
      </c>
      <c r="H2407" s="805">
        <v>129.59</v>
      </c>
      <c r="I2407" s="805">
        <v>18</v>
      </c>
      <c r="J2407" s="805">
        <v>2114.15</v>
      </c>
      <c r="K2407" s="805">
        <v>5171.7700000000004</v>
      </c>
    </row>
    <row r="2408" spans="3:11">
      <c r="C2408" s="861">
        <v>42206</v>
      </c>
      <c r="D2408" s="805">
        <v>28.72</v>
      </c>
      <c r="E2408" s="805">
        <v>4.9474999999999998</v>
      </c>
      <c r="F2408" s="806">
        <v>1.8</v>
      </c>
      <c r="G2408" s="805">
        <v>4.5089858793324797</v>
      </c>
      <c r="H2408" s="805">
        <v>134.51</v>
      </c>
      <c r="I2408" s="805">
        <v>18.88</v>
      </c>
      <c r="J2408" s="805">
        <v>2119.21</v>
      </c>
      <c r="K2408" s="805">
        <v>5208.12</v>
      </c>
    </row>
    <row r="2409" spans="3:11">
      <c r="C2409" s="861">
        <v>42205</v>
      </c>
      <c r="D2409" s="805">
        <v>29.1</v>
      </c>
      <c r="E2409" s="805">
        <v>4.9249999999999998</v>
      </c>
      <c r="F2409" s="806">
        <v>1.8</v>
      </c>
      <c r="G2409" s="805">
        <v>4.4527020533683599</v>
      </c>
      <c r="H2409" s="805">
        <v>134.63999999999999</v>
      </c>
      <c r="I2409" s="805">
        <v>18.89</v>
      </c>
      <c r="J2409" s="805">
        <v>2128.2800000000002</v>
      </c>
      <c r="K2409" s="805">
        <v>5218.8590000000004</v>
      </c>
    </row>
    <row r="2410" spans="3:11">
      <c r="C2410" s="861">
        <v>42204</v>
      </c>
      <c r="D2410" s="805">
        <v>29.47</v>
      </c>
      <c r="E2410" s="805">
        <v>5.0175000000000001</v>
      </c>
      <c r="F2410" s="806">
        <v>1.79</v>
      </c>
      <c r="G2410" s="805">
        <v>4.5017524679250096</v>
      </c>
      <c r="H2410" s="805">
        <v>133.66</v>
      </c>
      <c r="I2410" s="805">
        <v>20.12</v>
      </c>
      <c r="J2410" s="805">
        <v>2126.64</v>
      </c>
      <c r="K2410" s="805">
        <v>5210.143</v>
      </c>
    </row>
    <row r="2411" spans="3:11">
      <c r="C2411" s="861">
        <v>42203</v>
      </c>
      <c r="D2411" s="805">
        <v>29.47</v>
      </c>
      <c r="E2411" s="805">
        <v>5.0175000000000001</v>
      </c>
      <c r="F2411" s="806">
        <v>1.79</v>
      </c>
      <c r="G2411" s="805">
        <v>4.5017524679250096</v>
      </c>
      <c r="H2411" s="805">
        <v>133.66</v>
      </c>
      <c r="I2411" s="805">
        <v>20.12</v>
      </c>
      <c r="J2411" s="805">
        <v>2126.64</v>
      </c>
      <c r="K2411" s="805">
        <v>5210.143</v>
      </c>
    </row>
    <row r="2412" spans="3:11">
      <c r="C2412" s="861">
        <v>42202</v>
      </c>
      <c r="D2412" s="805">
        <v>29.47</v>
      </c>
      <c r="E2412" s="805">
        <v>5.0175000000000001</v>
      </c>
      <c r="F2412" s="806">
        <v>1.79</v>
      </c>
      <c r="G2412" s="805">
        <v>4.5017524679250096</v>
      </c>
      <c r="H2412" s="805">
        <v>133.66</v>
      </c>
      <c r="I2412" s="805">
        <v>20.12</v>
      </c>
      <c r="J2412" s="805">
        <v>2126.64</v>
      </c>
      <c r="K2412" s="805">
        <v>5210.143</v>
      </c>
    </row>
    <row r="2413" spans="3:11">
      <c r="C2413" s="861">
        <v>42201</v>
      </c>
      <c r="D2413" s="805">
        <v>29.9</v>
      </c>
      <c r="E2413" s="805">
        <v>5.0475000000000003</v>
      </c>
      <c r="F2413" s="806">
        <v>1.87</v>
      </c>
      <c r="G2413" s="805">
        <v>4.39514441188782</v>
      </c>
      <c r="H2413" s="805">
        <v>134.69999999999999</v>
      </c>
      <c r="I2413" s="805">
        <v>19.61</v>
      </c>
      <c r="J2413" s="805">
        <v>2124.29</v>
      </c>
      <c r="K2413" s="805">
        <v>5163.1840000000002</v>
      </c>
    </row>
    <row r="2414" spans="3:11">
      <c r="C2414" s="861">
        <v>42200</v>
      </c>
      <c r="D2414" s="805">
        <v>29.69</v>
      </c>
      <c r="E2414" s="805">
        <v>4.9375</v>
      </c>
      <c r="F2414" s="806">
        <v>1.96</v>
      </c>
      <c r="G2414" s="805">
        <v>4.4532330150155897</v>
      </c>
      <c r="H2414" s="805">
        <v>131.72</v>
      </c>
      <c r="I2414" s="805">
        <v>18.89</v>
      </c>
      <c r="J2414" s="805">
        <v>2107.4</v>
      </c>
      <c r="K2414" s="805">
        <v>5098.9409999999998</v>
      </c>
    </row>
    <row r="2415" spans="3:11">
      <c r="C2415" s="861">
        <v>42199</v>
      </c>
      <c r="D2415" s="805">
        <v>29.65</v>
      </c>
      <c r="E2415" s="805">
        <v>4.9725000000000001</v>
      </c>
      <c r="F2415" s="806">
        <v>2.0499999999999998</v>
      </c>
      <c r="G2415" s="805">
        <v>4.4677419354838701</v>
      </c>
      <c r="H2415" s="805">
        <v>132.30000000000001</v>
      </c>
      <c r="I2415" s="805">
        <v>19.61</v>
      </c>
      <c r="J2415" s="805">
        <v>2108.9499999999998</v>
      </c>
      <c r="K2415" s="805">
        <v>5104.8909999999996</v>
      </c>
    </row>
    <row r="2416" spans="3:11">
      <c r="C2416" s="861">
        <v>42198</v>
      </c>
      <c r="D2416" s="805">
        <v>29.73</v>
      </c>
      <c r="E2416" s="805">
        <v>4.97</v>
      </c>
      <c r="F2416" s="806">
        <v>1.96</v>
      </c>
      <c r="G2416" s="805">
        <v>4.4591113972955601</v>
      </c>
      <c r="H2416" s="805">
        <v>129.18</v>
      </c>
      <c r="I2416" s="805">
        <v>17.61</v>
      </c>
      <c r="J2416" s="805">
        <v>2099.6</v>
      </c>
      <c r="K2416" s="805">
        <v>5071.5119999999997</v>
      </c>
    </row>
    <row r="2417" spans="3:11">
      <c r="C2417" s="861">
        <v>42197</v>
      </c>
      <c r="D2417" s="805">
        <v>29.17</v>
      </c>
      <c r="E2417" s="805">
        <v>4.9375</v>
      </c>
      <c r="F2417" s="806">
        <v>1.96</v>
      </c>
      <c r="G2417" s="805">
        <v>4.39514441188782</v>
      </c>
      <c r="H2417" s="805">
        <v>129.84</v>
      </c>
      <c r="I2417" s="805">
        <v>17.57</v>
      </c>
      <c r="J2417" s="805">
        <v>2076.62</v>
      </c>
      <c r="K2417" s="805">
        <v>4997.6959999999999</v>
      </c>
    </row>
    <row r="2418" spans="3:11">
      <c r="C2418" s="861">
        <v>42196</v>
      </c>
      <c r="D2418" s="805">
        <v>29.17</v>
      </c>
      <c r="E2418" s="805">
        <v>4.9375</v>
      </c>
      <c r="F2418" s="806">
        <v>1.96</v>
      </c>
      <c r="G2418" s="805">
        <v>4.39514441188782</v>
      </c>
      <c r="H2418" s="805">
        <v>129.84</v>
      </c>
      <c r="I2418" s="805">
        <v>17.57</v>
      </c>
      <c r="J2418" s="805">
        <v>2076.62</v>
      </c>
      <c r="K2418" s="805">
        <v>4997.6959999999999</v>
      </c>
    </row>
    <row r="2419" spans="3:11">
      <c r="C2419" s="861">
        <v>42195</v>
      </c>
      <c r="D2419" s="805">
        <v>29.17</v>
      </c>
      <c r="E2419" s="805">
        <v>4.9375</v>
      </c>
      <c r="F2419" s="806">
        <v>1.96</v>
      </c>
      <c r="G2419" s="805">
        <v>4.39514441188782</v>
      </c>
      <c r="H2419" s="805">
        <v>129.84</v>
      </c>
      <c r="I2419" s="805">
        <v>17.57</v>
      </c>
      <c r="J2419" s="805">
        <v>2076.62</v>
      </c>
      <c r="K2419" s="805">
        <v>4997.6959999999999</v>
      </c>
    </row>
    <row r="2420" spans="3:11">
      <c r="C2420" s="861">
        <v>42194</v>
      </c>
      <c r="D2420" s="805">
        <v>28.93</v>
      </c>
      <c r="E2420" s="805">
        <v>4.8525</v>
      </c>
      <c r="F2420" s="806">
        <v>1.98</v>
      </c>
      <c r="G2420" s="805">
        <v>4.39514441188782</v>
      </c>
      <c r="H2420" s="805">
        <v>124.68</v>
      </c>
      <c r="I2420" s="805">
        <v>17.149999999999999</v>
      </c>
      <c r="J2420" s="805">
        <v>2051.31</v>
      </c>
      <c r="K2420" s="805">
        <v>4922.3969999999999</v>
      </c>
    </row>
    <row r="2421" spans="3:11">
      <c r="C2421" s="861">
        <v>42193</v>
      </c>
      <c r="D2421" s="805">
        <v>29.5</v>
      </c>
      <c r="E2421" s="805">
        <v>4.9124999999999996</v>
      </c>
      <c r="F2421" s="806">
        <v>2.0099999999999998</v>
      </c>
      <c r="G2421" s="805">
        <v>4.4471657374883202</v>
      </c>
      <c r="H2421" s="805">
        <v>128.05000000000001</v>
      </c>
      <c r="I2421" s="805">
        <v>17.63</v>
      </c>
      <c r="J2421" s="805">
        <v>2046.68</v>
      </c>
      <c r="K2421" s="805">
        <v>4909.7610000000004</v>
      </c>
    </row>
    <row r="2422" spans="3:11">
      <c r="C2422" s="861">
        <v>42192</v>
      </c>
      <c r="D2422" s="805">
        <v>29.9</v>
      </c>
      <c r="E2422" s="805">
        <v>4.9474999999999998</v>
      </c>
      <c r="F2422" s="806">
        <v>2.09</v>
      </c>
      <c r="G2422" s="805">
        <v>4.5224836643383703</v>
      </c>
      <c r="H2422" s="805">
        <v>132.84</v>
      </c>
      <c r="I2422" s="805">
        <v>18.2</v>
      </c>
      <c r="J2422" s="805">
        <v>2081.34</v>
      </c>
      <c r="K2422" s="805">
        <v>4997.4589999999998</v>
      </c>
    </row>
    <row r="2423" spans="3:11">
      <c r="C2423" s="861">
        <v>42191</v>
      </c>
      <c r="D2423" s="805">
        <v>30.04</v>
      </c>
      <c r="E2423" s="805">
        <v>5.0425000000000004</v>
      </c>
      <c r="F2423" s="806">
        <v>2.4700000000000002</v>
      </c>
      <c r="G2423" s="805">
        <v>4.5439844760672701</v>
      </c>
      <c r="H2423" s="805">
        <v>134.19999999999999</v>
      </c>
      <c r="I2423" s="805">
        <v>18.32</v>
      </c>
      <c r="J2423" s="805">
        <v>2068.7600000000002</v>
      </c>
      <c r="K2423" s="805">
        <v>4991.9399999999996</v>
      </c>
    </row>
    <row r="2424" spans="3:11">
      <c r="C2424" s="861">
        <v>42190</v>
      </c>
      <c r="D2424" s="805">
        <v>30.555</v>
      </c>
      <c r="E2424" s="805">
        <v>5.1050000000000004</v>
      </c>
      <c r="F2424" s="806">
        <v>2.5299999999999998</v>
      </c>
      <c r="G2424" s="805">
        <v>4.6161321671525801</v>
      </c>
      <c r="H2424" s="805">
        <v>137.63999999999999</v>
      </c>
      <c r="I2424" s="805">
        <v>19.07</v>
      </c>
      <c r="J2424" s="805">
        <v>2076.7800000000002</v>
      </c>
      <c r="K2424" s="805">
        <v>5009.2139999999999</v>
      </c>
    </row>
    <row r="2425" spans="3:11">
      <c r="C2425" s="861">
        <v>42189</v>
      </c>
      <c r="D2425" s="805">
        <v>30.555</v>
      </c>
      <c r="E2425" s="805">
        <v>5.1050000000000004</v>
      </c>
      <c r="F2425" s="806">
        <v>2.5299999999999998</v>
      </c>
      <c r="G2425" s="805">
        <v>4.6161321671525801</v>
      </c>
      <c r="H2425" s="805">
        <v>137.63999999999999</v>
      </c>
      <c r="I2425" s="805">
        <v>19.07</v>
      </c>
      <c r="J2425" s="805">
        <v>2076.7800000000002</v>
      </c>
      <c r="K2425" s="805">
        <v>5009.2139999999999</v>
      </c>
    </row>
    <row r="2426" spans="3:11">
      <c r="C2426" s="861">
        <v>42188</v>
      </c>
      <c r="D2426" s="805">
        <v>30.555</v>
      </c>
      <c r="E2426" s="805">
        <v>5.1050000000000004</v>
      </c>
      <c r="F2426" s="806">
        <v>2.5299999999999998</v>
      </c>
      <c r="G2426" s="805">
        <v>4.6161321671525801</v>
      </c>
      <c r="H2426" s="805">
        <v>137.63999999999999</v>
      </c>
      <c r="I2426" s="805">
        <v>19.07</v>
      </c>
      <c r="J2426" s="805">
        <v>2076.7800000000002</v>
      </c>
      <c r="K2426" s="805">
        <v>5009.2139999999999</v>
      </c>
    </row>
    <row r="2427" spans="3:11">
      <c r="C2427" s="861">
        <v>42187</v>
      </c>
      <c r="D2427" s="805">
        <v>30.555</v>
      </c>
      <c r="E2427" s="805">
        <v>5.1050000000000004</v>
      </c>
      <c r="F2427" s="806">
        <v>2.5299999999999998</v>
      </c>
      <c r="G2427" s="805">
        <v>4.5822538860103599</v>
      </c>
      <c r="H2427" s="805">
        <v>137.63999999999999</v>
      </c>
      <c r="I2427" s="805">
        <v>19.07</v>
      </c>
      <c r="J2427" s="805">
        <v>2076.7800000000002</v>
      </c>
      <c r="K2427" s="805">
        <v>5009.2139999999999</v>
      </c>
    </row>
    <row r="2428" spans="3:11">
      <c r="C2428" s="861">
        <v>42186</v>
      </c>
      <c r="D2428" s="805">
        <v>30.18</v>
      </c>
      <c r="E2428" s="805">
        <v>5.0999999999999996</v>
      </c>
      <c r="F2428" s="806">
        <v>2.42</v>
      </c>
      <c r="G2428" s="805">
        <v>4.5558822579081699</v>
      </c>
      <c r="H2428" s="805">
        <v>135.5</v>
      </c>
      <c r="I2428" s="805">
        <v>18.78</v>
      </c>
      <c r="J2428" s="805">
        <v>2077.42</v>
      </c>
      <c r="K2428" s="805">
        <v>5013.1239999999998</v>
      </c>
    </row>
    <row r="2429" spans="3:11">
      <c r="C2429" s="861">
        <v>42185</v>
      </c>
      <c r="D2429" s="805">
        <v>30.414999999999999</v>
      </c>
      <c r="E2429" s="805">
        <v>5.0274999999999999</v>
      </c>
      <c r="F2429" s="806">
        <v>2.4</v>
      </c>
      <c r="G2429" s="805">
        <v>4.5519341670446396</v>
      </c>
      <c r="H2429" s="805">
        <v>132.93</v>
      </c>
      <c r="I2429" s="805">
        <v>18.84</v>
      </c>
      <c r="J2429" s="805">
        <v>2063.11</v>
      </c>
      <c r="K2429" s="805">
        <v>4986.8670000000002</v>
      </c>
    </row>
    <row r="2430" spans="3:11">
      <c r="C2430" s="861">
        <v>42184</v>
      </c>
      <c r="D2430" s="805">
        <v>30.39</v>
      </c>
      <c r="E2430" s="805">
        <v>5.03</v>
      </c>
      <c r="F2430" s="806">
        <v>2.34</v>
      </c>
      <c r="G2430" s="805">
        <v>4.4864111949726304</v>
      </c>
      <c r="H2430" s="805">
        <v>132.01</v>
      </c>
      <c r="I2430" s="805">
        <v>18.73</v>
      </c>
      <c r="J2430" s="805">
        <v>2057.64</v>
      </c>
      <c r="K2430" s="805">
        <v>4958.4679999999998</v>
      </c>
    </row>
    <row r="2431" spans="3:11">
      <c r="C2431" s="861">
        <v>42183</v>
      </c>
      <c r="D2431" s="805">
        <v>31.02</v>
      </c>
      <c r="E2431" s="805">
        <v>5.1849999999999996</v>
      </c>
      <c r="F2431" s="806">
        <v>2.4700000000000002</v>
      </c>
      <c r="G2431" s="805">
        <v>4.7121094758585098</v>
      </c>
      <c r="H2431" s="805">
        <v>135.15</v>
      </c>
      <c r="I2431" s="805">
        <v>19.66</v>
      </c>
      <c r="J2431" s="805">
        <v>2101.4899999999998</v>
      </c>
      <c r="K2431" s="805">
        <v>5080.5050000000001</v>
      </c>
    </row>
    <row r="2432" spans="3:11">
      <c r="C2432" s="861">
        <v>42182</v>
      </c>
      <c r="D2432" s="805">
        <v>31.02</v>
      </c>
      <c r="E2432" s="805">
        <v>5.1849999999999996</v>
      </c>
      <c r="F2432" s="806">
        <v>2.4700000000000002</v>
      </c>
      <c r="G2432" s="805">
        <v>4.7121094758585098</v>
      </c>
      <c r="H2432" s="805">
        <v>135.15</v>
      </c>
      <c r="I2432" s="805">
        <v>19.66</v>
      </c>
      <c r="J2432" s="805">
        <v>2101.4899999999998</v>
      </c>
      <c r="K2432" s="805">
        <v>5080.5050000000001</v>
      </c>
    </row>
    <row r="2433" spans="3:11">
      <c r="C2433" s="861">
        <v>42181</v>
      </c>
      <c r="D2433" s="805">
        <v>31.02</v>
      </c>
      <c r="E2433" s="805">
        <v>5.1849999999999996</v>
      </c>
      <c r="F2433" s="806">
        <v>2.4700000000000002</v>
      </c>
      <c r="G2433" s="805">
        <v>4.7121094758585098</v>
      </c>
      <c r="H2433" s="805">
        <v>135.15</v>
      </c>
      <c r="I2433" s="805">
        <v>19.66</v>
      </c>
      <c r="J2433" s="805">
        <v>2101.4899999999998</v>
      </c>
      <c r="K2433" s="805">
        <v>5080.5050000000001</v>
      </c>
    </row>
    <row r="2434" spans="3:11">
      <c r="C2434" s="861">
        <v>42180</v>
      </c>
      <c r="D2434" s="805">
        <v>31.99</v>
      </c>
      <c r="E2434" s="805">
        <v>5.2925000000000004</v>
      </c>
      <c r="F2434" s="806">
        <v>2.58</v>
      </c>
      <c r="G2434" s="805">
        <v>4.7354300675566501</v>
      </c>
      <c r="H2434" s="805">
        <v>139.22999999999999</v>
      </c>
      <c r="I2434" s="805">
        <v>24.02</v>
      </c>
      <c r="J2434" s="805">
        <v>2102.31</v>
      </c>
      <c r="K2434" s="805">
        <v>5112.1899999999996</v>
      </c>
    </row>
    <row r="2435" spans="3:11">
      <c r="C2435" s="861">
        <v>42179</v>
      </c>
      <c r="D2435" s="805">
        <v>31.91</v>
      </c>
      <c r="E2435" s="805">
        <v>5.2525000000000004</v>
      </c>
      <c r="F2435" s="806">
        <v>2.62</v>
      </c>
      <c r="G2435" s="805">
        <v>4.6833112625561197</v>
      </c>
      <c r="H2435" s="805">
        <v>139.97</v>
      </c>
      <c r="I2435" s="805">
        <v>24.06</v>
      </c>
      <c r="J2435" s="805">
        <v>2108.58</v>
      </c>
      <c r="K2435" s="805">
        <v>5122.4139999999998</v>
      </c>
    </row>
    <row r="2436" spans="3:11">
      <c r="C2436" s="861">
        <v>42178</v>
      </c>
      <c r="D2436" s="805">
        <v>32.085000000000001</v>
      </c>
      <c r="E2436" s="805">
        <v>5.3049999999999997</v>
      </c>
      <c r="F2436" s="806">
        <v>2.61</v>
      </c>
      <c r="G2436" s="805">
        <v>4.6798587945720103</v>
      </c>
      <c r="H2436" s="805">
        <v>141.63999999999999</v>
      </c>
      <c r="I2436" s="805">
        <v>24.49</v>
      </c>
      <c r="J2436" s="805">
        <v>2124.1999999999998</v>
      </c>
      <c r="K2436" s="805">
        <v>5160.0950000000003</v>
      </c>
    </row>
    <row r="2437" spans="3:11">
      <c r="C2437" s="861">
        <v>42177</v>
      </c>
      <c r="D2437" s="805">
        <v>32.26</v>
      </c>
      <c r="E2437" s="805">
        <v>5.4437499999999996</v>
      </c>
      <c r="F2437" s="806">
        <v>2.62</v>
      </c>
      <c r="G2437" s="805">
        <v>4.6178861788617898</v>
      </c>
      <c r="H2437" s="805">
        <v>143.27500000000001</v>
      </c>
      <c r="I2437" s="805">
        <v>24.63</v>
      </c>
      <c r="J2437" s="805">
        <v>2122.85</v>
      </c>
      <c r="K2437" s="805">
        <v>5153.9719999999998</v>
      </c>
    </row>
    <row r="2438" spans="3:11">
      <c r="C2438" s="861">
        <v>42176</v>
      </c>
      <c r="D2438" s="805">
        <v>32.07</v>
      </c>
      <c r="E2438" s="805">
        <v>5.4675000000000002</v>
      </c>
      <c r="F2438" s="806">
        <v>2.58</v>
      </c>
      <c r="G2438" s="805">
        <v>4.6240515809697502</v>
      </c>
      <c r="H2438" s="805">
        <v>142.88999999999999</v>
      </c>
      <c r="I2438" s="805">
        <v>24.47</v>
      </c>
      <c r="J2438" s="805">
        <v>2109.9899999999998</v>
      </c>
      <c r="K2438" s="805">
        <v>5117.0010000000002</v>
      </c>
    </row>
    <row r="2439" spans="3:11">
      <c r="C2439" s="861">
        <v>42175</v>
      </c>
      <c r="D2439" s="805">
        <v>32.07</v>
      </c>
      <c r="E2439" s="805">
        <v>5.4675000000000002</v>
      </c>
      <c r="F2439" s="806">
        <v>2.58</v>
      </c>
      <c r="G2439" s="805">
        <v>4.6240515809697502</v>
      </c>
      <c r="H2439" s="805">
        <v>142.88999999999999</v>
      </c>
      <c r="I2439" s="805">
        <v>24.47</v>
      </c>
      <c r="J2439" s="805">
        <v>2109.9899999999998</v>
      </c>
      <c r="K2439" s="805">
        <v>5117.0010000000002</v>
      </c>
    </row>
    <row r="2440" spans="3:11">
      <c r="C2440" s="861">
        <v>42174</v>
      </c>
      <c r="D2440" s="805">
        <v>32.07</v>
      </c>
      <c r="E2440" s="805">
        <v>5.4675000000000002</v>
      </c>
      <c r="F2440" s="806">
        <v>2.58</v>
      </c>
      <c r="G2440" s="805">
        <v>4.6240515809697502</v>
      </c>
      <c r="H2440" s="805">
        <v>142.88999999999999</v>
      </c>
      <c r="I2440" s="805">
        <v>24.47</v>
      </c>
      <c r="J2440" s="805">
        <v>2109.9899999999998</v>
      </c>
      <c r="K2440" s="805">
        <v>5117.0010000000002</v>
      </c>
    </row>
    <row r="2441" spans="3:11">
      <c r="C2441" s="861">
        <v>42173</v>
      </c>
      <c r="D2441" s="805">
        <v>32.380000000000003</v>
      </c>
      <c r="E2441" s="805">
        <v>5.4850000000000003</v>
      </c>
      <c r="F2441" s="806">
        <v>2.52</v>
      </c>
      <c r="G2441" s="805">
        <v>4.6240515809697502</v>
      </c>
      <c r="H2441" s="805">
        <v>143</v>
      </c>
      <c r="I2441" s="805">
        <v>24.465</v>
      </c>
      <c r="J2441" s="805">
        <v>2121.2399999999998</v>
      </c>
      <c r="K2441" s="805">
        <v>5132.9489999999996</v>
      </c>
    </row>
    <row r="2442" spans="3:11">
      <c r="C2442" s="861">
        <v>42172</v>
      </c>
      <c r="D2442" s="805">
        <v>31.95</v>
      </c>
      <c r="E2442" s="805">
        <v>5.3949999999999996</v>
      </c>
      <c r="F2442" s="806">
        <v>2.4700000000000002</v>
      </c>
      <c r="G2442" s="805">
        <v>4.6079223928860102</v>
      </c>
      <c r="H2442" s="805">
        <v>140.685</v>
      </c>
      <c r="I2442" s="805">
        <v>24.48</v>
      </c>
      <c r="J2442" s="805">
        <v>2100.44</v>
      </c>
      <c r="K2442" s="805">
        <v>5064.8810000000003</v>
      </c>
    </row>
    <row r="2443" spans="3:11">
      <c r="C2443" s="861">
        <v>42171</v>
      </c>
      <c r="D2443" s="805">
        <v>31.635000000000002</v>
      </c>
      <c r="E2443" s="805">
        <v>5.3324999999999996</v>
      </c>
      <c r="F2443" s="806">
        <v>2.35</v>
      </c>
      <c r="G2443" s="805">
        <v>4.5991902834008096</v>
      </c>
      <c r="H2443" s="805">
        <v>141.99</v>
      </c>
      <c r="I2443" s="805">
        <v>24.24</v>
      </c>
      <c r="J2443" s="805">
        <v>2096.29</v>
      </c>
      <c r="K2443" s="805">
        <v>5055.5529999999999</v>
      </c>
    </row>
    <row r="2444" spans="3:11">
      <c r="C2444" s="861">
        <v>42170</v>
      </c>
      <c r="D2444" s="805">
        <v>31.39</v>
      </c>
      <c r="E2444" s="805">
        <v>5.2675000000000001</v>
      </c>
      <c r="F2444" s="806">
        <v>2.3199999999999998</v>
      </c>
      <c r="G2444" s="805">
        <v>4.6279814880740497</v>
      </c>
      <c r="H2444" s="805">
        <v>143.12</v>
      </c>
      <c r="I2444" s="805">
        <v>24.24</v>
      </c>
      <c r="J2444" s="805">
        <v>2084.4299999999998</v>
      </c>
      <c r="K2444" s="805">
        <v>5029.973</v>
      </c>
    </row>
    <row r="2445" spans="3:11">
      <c r="C2445" s="861">
        <v>42169</v>
      </c>
      <c r="D2445" s="805">
        <v>31.32</v>
      </c>
      <c r="E2445" s="805">
        <v>5.2774999999999999</v>
      </c>
      <c r="F2445" s="806">
        <v>2.31</v>
      </c>
      <c r="G2445" s="805">
        <v>4.6771322220423999</v>
      </c>
      <c r="H2445" s="805">
        <v>140.47</v>
      </c>
      <c r="I2445" s="805">
        <v>25.13</v>
      </c>
      <c r="J2445" s="805">
        <v>2094.11</v>
      </c>
      <c r="K2445" s="805">
        <v>5051.1019999999999</v>
      </c>
    </row>
    <row r="2446" spans="3:11">
      <c r="C2446" s="861">
        <v>42168</v>
      </c>
      <c r="D2446" s="805">
        <v>31.32</v>
      </c>
      <c r="E2446" s="805">
        <v>5.2774999999999999</v>
      </c>
      <c r="F2446" s="806">
        <v>2.31</v>
      </c>
      <c r="G2446" s="805">
        <v>4.6771322220423999</v>
      </c>
      <c r="H2446" s="805">
        <v>140.47</v>
      </c>
      <c r="I2446" s="805">
        <v>25.13</v>
      </c>
      <c r="J2446" s="805">
        <v>2094.11</v>
      </c>
      <c r="K2446" s="805">
        <v>5051.1019999999999</v>
      </c>
    </row>
    <row r="2447" spans="3:11">
      <c r="C2447" s="861">
        <v>42167</v>
      </c>
      <c r="D2447" s="805">
        <v>31.32</v>
      </c>
      <c r="E2447" s="805">
        <v>5.2774999999999999</v>
      </c>
      <c r="F2447" s="806">
        <v>2.31</v>
      </c>
      <c r="G2447" s="805">
        <v>4.6771322220423999</v>
      </c>
      <c r="H2447" s="805">
        <v>140.47</v>
      </c>
      <c r="I2447" s="805">
        <v>25.13</v>
      </c>
      <c r="J2447" s="805">
        <v>2094.11</v>
      </c>
      <c r="K2447" s="805">
        <v>5051.1019999999999</v>
      </c>
    </row>
    <row r="2448" spans="3:11">
      <c r="C2448" s="861">
        <v>42166</v>
      </c>
      <c r="D2448" s="805">
        <v>31.85</v>
      </c>
      <c r="E2448" s="805">
        <v>5.4249999999999998</v>
      </c>
      <c r="F2448" s="806">
        <v>2.3199999999999998</v>
      </c>
      <c r="G2448" s="805">
        <v>4.64055880736022</v>
      </c>
      <c r="H2448" s="805">
        <v>141.99</v>
      </c>
      <c r="I2448" s="805">
        <v>25.02</v>
      </c>
      <c r="J2448" s="805">
        <v>2108.86</v>
      </c>
      <c r="K2448" s="805">
        <v>5082.509</v>
      </c>
    </row>
    <row r="2449" spans="3:11">
      <c r="C2449" s="861">
        <v>42165</v>
      </c>
      <c r="D2449" s="805">
        <v>31.82</v>
      </c>
      <c r="E2449" s="805">
        <v>5.3674999999999997</v>
      </c>
      <c r="F2449" s="806">
        <v>2.3199999999999998</v>
      </c>
      <c r="G2449" s="805">
        <v>4.5189504373177796</v>
      </c>
      <c r="H2449" s="805">
        <v>142.86000000000001</v>
      </c>
      <c r="I2449" s="805">
        <v>25.19</v>
      </c>
      <c r="J2449" s="805">
        <v>2105.1999999999998</v>
      </c>
      <c r="K2449" s="805">
        <v>5076.6890000000003</v>
      </c>
    </row>
    <row r="2450" spans="3:11">
      <c r="C2450" s="861">
        <v>42164</v>
      </c>
      <c r="D2450" s="805">
        <v>31.25</v>
      </c>
      <c r="E2450" s="805">
        <v>5.4649999999999999</v>
      </c>
      <c r="F2450" s="806">
        <v>2.29</v>
      </c>
      <c r="G2450" s="805">
        <v>4.4617063619438904</v>
      </c>
      <c r="H2450" s="805">
        <v>140.21</v>
      </c>
      <c r="I2450" s="805">
        <v>25.19</v>
      </c>
      <c r="J2450" s="805">
        <v>2080.15</v>
      </c>
      <c r="K2450" s="805">
        <v>5013.8649999999998</v>
      </c>
    </row>
    <row r="2451" spans="3:11">
      <c r="C2451" s="861">
        <v>42163</v>
      </c>
      <c r="D2451" s="805">
        <v>31.3</v>
      </c>
      <c r="E2451" s="805">
        <v>5.4375</v>
      </c>
      <c r="F2451" s="806">
        <v>2.31</v>
      </c>
      <c r="G2451" s="805">
        <v>4.4571024007208599</v>
      </c>
      <c r="H2451" s="805">
        <v>138.63</v>
      </c>
      <c r="I2451" s="805">
        <v>25.92</v>
      </c>
      <c r="J2451" s="805">
        <v>2079.2800000000002</v>
      </c>
      <c r="K2451" s="805">
        <v>5021.6270000000004</v>
      </c>
    </row>
    <row r="2452" spans="3:11">
      <c r="C2452" s="861">
        <v>42162</v>
      </c>
      <c r="D2452" s="805">
        <v>31.84</v>
      </c>
      <c r="E2452" s="805">
        <v>5.5650000000000004</v>
      </c>
      <c r="F2452" s="806">
        <v>2.33</v>
      </c>
      <c r="G2452" s="805">
        <v>4.5103092783505199</v>
      </c>
      <c r="H2452" s="805">
        <v>143.81</v>
      </c>
      <c r="I2452" s="805">
        <v>26.59</v>
      </c>
      <c r="J2452" s="805">
        <v>2092.83</v>
      </c>
      <c r="K2452" s="805">
        <v>5068.4579999999996</v>
      </c>
    </row>
    <row r="2453" spans="3:11">
      <c r="C2453" s="861">
        <v>42161</v>
      </c>
      <c r="D2453" s="805">
        <v>31.84</v>
      </c>
      <c r="E2453" s="805">
        <v>5.5650000000000004</v>
      </c>
      <c r="F2453" s="806">
        <v>2.33</v>
      </c>
      <c r="G2453" s="805">
        <v>4.5103092783505199</v>
      </c>
      <c r="H2453" s="805">
        <v>143.81</v>
      </c>
      <c r="I2453" s="805">
        <v>26.59</v>
      </c>
      <c r="J2453" s="805">
        <v>2092.83</v>
      </c>
      <c r="K2453" s="805">
        <v>5068.4579999999996</v>
      </c>
    </row>
    <row r="2454" spans="3:11">
      <c r="C2454" s="861">
        <v>42160</v>
      </c>
      <c r="D2454" s="805">
        <v>31.84</v>
      </c>
      <c r="E2454" s="805">
        <v>5.5650000000000004</v>
      </c>
      <c r="F2454" s="806">
        <v>2.33</v>
      </c>
      <c r="G2454" s="805">
        <v>4.5103092783505199</v>
      </c>
      <c r="H2454" s="805">
        <v>143.81</v>
      </c>
      <c r="I2454" s="805">
        <v>26.59</v>
      </c>
      <c r="J2454" s="805">
        <v>2092.83</v>
      </c>
      <c r="K2454" s="805">
        <v>5068.4579999999996</v>
      </c>
    </row>
    <row r="2455" spans="3:11">
      <c r="C2455" s="861">
        <v>42159</v>
      </c>
      <c r="D2455" s="805">
        <v>32.31</v>
      </c>
      <c r="E2455" s="805">
        <v>5.5225</v>
      </c>
      <c r="F2455" s="806">
        <v>2.33</v>
      </c>
      <c r="G2455" s="805">
        <v>4.5645840077695103</v>
      </c>
      <c r="H2455" s="805">
        <v>141.19999999999999</v>
      </c>
      <c r="I2455" s="805">
        <v>26.984999999999999</v>
      </c>
      <c r="J2455" s="805">
        <v>2095.84</v>
      </c>
      <c r="K2455" s="805">
        <v>5059.125</v>
      </c>
    </row>
    <row r="2456" spans="3:11">
      <c r="C2456" s="861">
        <v>42158</v>
      </c>
      <c r="D2456" s="805">
        <v>32.729999999999997</v>
      </c>
      <c r="E2456" s="805">
        <v>5.4249999999999998</v>
      </c>
      <c r="F2456" s="806">
        <v>2.2799999999999998</v>
      </c>
      <c r="G2456" s="805">
        <v>4.6449684921717704</v>
      </c>
      <c r="H2456" s="805">
        <v>143.06</v>
      </c>
      <c r="I2456" s="805">
        <v>27.08</v>
      </c>
      <c r="J2456" s="805">
        <v>2114.0700000000002</v>
      </c>
      <c r="K2456" s="805">
        <v>5099.2309999999998</v>
      </c>
    </row>
    <row r="2457" spans="3:11">
      <c r="C2457" s="861">
        <v>42157</v>
      </c>
      <c r="D2457" s="805">
        <v>33.270000000000003</v>
      </c>
      <c r="E2457" s="805">
        <v>5.4837499999999997</v>
      </c>
      <c r="F2457" s="806">
        <v>2.2999999999999998</v>
      </c>
      <c r="G2457" s="805">
        <v>4.6748693309093303</v>
      </c>
      <c r="H2457" s="805">
        <v>144.16</v>
      </c>
      <c r="I2457" s="805">
        <v>27.79</v>
      </c>
      <c r="J2457" s="805">
        <v>2109.6</v>
      </c>
      <c r="K2457" s="805">
        <v>5076.5240000000003</v>
      </c>
    </row>
    <row r="2458" spans="3:11">
      <c r="C2458" s="861">
        <v>42156</v>
      </c>
      <c r="D2458" s="805">
        <v>33.905000000000001</v>
      </c>
      <c r="E2458" s="805">
        <v>5.5949999999999998</v>
      </c>
      <c r="F2458" s="806">
        <v>2.25</v>
      </c>
      <c r="G2458" s="805">
        <v>4.6958999935229002</v>
      </c>
      <c r="H2458" s="805">
        <v>146.62</v>
      </c>
      <c r="I2458" s="805">
        <v>28.42</v>
      </c>
      <c r="J2458" s="805">
        <v>2111.73</v>
      </c>
      <c r="K2458" s="805">
        <v>5082.9290000000001</v>
      </c>
    </row>
    <row r="2459" spans="3:11">
      <c r="C2459" s="861">
        <v>42155</v>
      </c>
      <c r="D2459" s="805">
        <v>34.46</v>
      </c>
      <c r="E2459" s="805">
        <v>5.5324999999999998</v>
      </c>
      <c r="F2459" s="806">
        <v>2.2799999999999998</v>
      </c>
      <c r="G2459" s="805">
        <v>4.7374910766435203</v>
      </c>
      <c r="H2459" s="805">
        <v>148.07</v>
      </c>
      <c r="I2459" s="805">
        <v>27.93</v>
      </c>
      <c r="J2459" s="805">
        <v>2107.39</v>
      </c>
      <c r="K2459" s="805">
        <v>5070.0249999999996</v>
      </c>
    </row>
    <row r="2460" spans="3:11">
      <c r="C2460" s="861">
        <v>42154</v>
      </c>
      <c r="D2460" s="805">
        <v>34.46</v>
      </c>
      <c r="E2460" s="805">
        <v>5.5324999999999998</v>
      </c>
      <c r="F2460" s="806">
        <v>2.2799999999999998</v>
      </c>
      <c r="G2460" s="805">
        <v>4.7374910766435203</v>
      </c>
      <c r="H2460" s="805">
        <v>148.07</v>
      </c>
      <c r="I2460" s="805">
        <v>27.93</v>
      </c>
      <c r="J2460" s="805">
        <v>2107.39</v>
      </c>
      <c r="K2460" s="805">
        <v>5070.0249999999996</v>
      </c>
    </row>
    <row r="2461" spans="3:11">
      <c r="C2461" s="861">
        <v>42153</v>
      </c>
      <c r="D2461" s="805">
        <v>34.46</v>
      </c>
      <c r="E2461" s="805">
        <v>5.5324999999999998</v>
      </c>
      <c r="F2461" s="806">
        <v>2.2799999999999998</v>
      </c>
      <c r="G2461" s="805">
        <v>4.7374910766435203</v>
      </c>
      <c r="H2461" s="805">
        <v>148.07</v>
      </c>
      <c r="I2461" s="805">
        <v>27.93</v>
      </c>
      <c r="J2461" s="805">
        <v>2107.39</v>
      </c>
      <c r="K2461" s="805">
        <v>5070.0249999999996</v>
      </c>
    </row>
    <row r="2462" spans="3:11">
      <c r="C2462" s="861">
        <v>42152</v>
      </c>
      <c r="D2462" s="805">
        <v>34.01</v>
      </c>
      <c r="E2462" s="805">
        <v>5.5350000000000001</v>
      </c>
      <c r="F2462" s="806">
        <v>2.27</v>
      </c>
      <c r="G2462" s="805">
        <v>4.7962413129302703</v>
      </c>
      <c r="H2462" s="805">
        <v>142.38</v>
      </c>
      <c r="I2462" s="805">
        <v>28.28</v>
      </c>
      <c r="J2462" s="805">
        <v>2120.79</v>
      </c>
      <c r="K2462" s="805">
        <v>5097.9759999999997</v>
      </c>
    </row>
    <row r="2463" spans="3:11">
      <c r="C2463" s="861">
        <v>42151</v>
      </c>
      <c r="D2463" s="805">
        <v>33.71</v>
      </c>
      <c r="E2463" s="805">
        <v>5.46</v>
      </c>
      <c r="F2463" s="806">
        <v>2.2799999999999998</v>
      </c>
      <c r="G2463" s="805">
        <v>4.7305232937491803</v>
      </c>
      <c r="H2463" s="805">
        <v>141.49</v>
      </c>
      <c r="I2463" s="805">
        <v>28.13</v>
      </c>
      <c r="J2463" s="805">
        <v>2123.48</v>
      </c>
      <c r="K2463" s="805">
        <v>5106.5929999999998</v>
      </c>
    </row>
    <row r="2464" spans="3:11">
      <c r="C2464" s="861">
        <v>42150</v>
      </c>
      <c r="D2464" s="805">
        <v>33.104999999999997</v>
      </c>
      <c r="E2464" s="805">
        <v>5.1825000000000001</v>
      </c>
      <c r="F2464" s="806">
        <v>2.2200000000000002</v>
      </c>
      <c r="G2464" s="805">
        <v>4.7782126549249799</v>
      </c>
      <c r="H2464" s="805">
        <v>131.30000000000001</v>
      </c>
      <c r="I2464" s="805">
        <v>27.32</v>
      </c>
      <c r="J2464" s="805">
        <v>2104.1999999999998</v>
      </c>
      <c r="K2464" s="805">
        <v>5032.7510000000002</v>
      </c>
    </row>
    <row r="2465" spans="3:11">
      <c r="C2465" s="861">
        <v>42149</v>
      </c>
      <c r="D2465" s="805">
        <v>33.450000000000003</v>
      </c>
      <c r="E2465" s="805">
        <v>5.2149999999999999</v>
      </c>
      <c r="F2465" s="806">
        <v>2.2799999999999998</v>
      </c>
      <c r="G2465" s="805">
        <v>4.8400328137817903</v>
      </c>
      <c r="H2465" s="805">
        <v>132.63999999999999</v>
      </c>
      <c r="I2465" s="805">
        <v>27.33</v>
      </c>
      <c r="J2465" s="805">
        <v>2126.06</v>
      </c>
      <c r="K2465" s="805">
        <v>5089.3620000000001</v>
      </c>
    </row>
    <row r="2466" spans="3:11">
      <c r="C2466" s="861">
        <v>42148</v>
      </c>
      <c r="D2466" s="805">
        <v>33.450000000000003</v>
      </c>
      <c r="E2466" s="805">
        <v>5.2149999999999999</v>
      </c>
      <c r="F2466" s="806">
        <v>2.2799999999999998</v>
      </c>
      <c r="G2466" s="805">
        <v>4.7835092218167503</v>
      </c>
      <c r="H2466" s="805">
        <v>132.63999999999999</v>
      </c>
      <c r="I2466" s="805">
        <v>27.33</v>
      </c>
      <c r="J2466" s="805">
        <v>2126.06</v>
      </c>
      <c r="K2466" s="805">
        <v>5089.3620000000001</v>
      </c>
    </row>
    <row r="2467" spans="3:11">
      <c r="C2467" s="861">
        <v>42147</v>
      </c>
      <c r="D2467" s="805">
        <v>33.450000000000003</v>
      </c>
      <c r="E2467" s="805">
        <v>5.2149999999999999</v>
      </c>
      <c r="F2467" s="806">
        <v>2.2799999999999998</v>
      </c>
      <c r="G2467" s="805">
        <v>4.7835092218167503</v>
      </c>
      <c r="H2467" s="805">
        <v>132.63999999999999</v>
      </c>
      <c r="I2467" s="805">
        <v>27.33</v>
      </c>
      <c r="J2467" s="805">
        <v>2126.06</v>
      </c>
      <c r="K2467" s="805">
        <v>5089.3620000000001</v>
      </c>
    </row>
    <row r="2468" spans="3:11">
      <c r="C2468" s="861">
        <v>42146</v>
      </c>
      <c r="D2468" s="805">
        <v>33.450000000000003</v>
      </c>
      <c r="E2468" s="805">
        <v>5.2149999999999999</v>
      </c>
      <c r="F2468" s="806">
        <v>2.2799999999999998</v>
      </c>
      <c r="G2468" s="805">
        <v>4.7835092218167503</v>
      </c>
      <c r="H2468" s="805">
        <v>132.63999999999999</v>
      </c>
      <c r="I2468" s="805">
        <v>27.33</v>
      </c>
      <c r="J2468" s="805">
        <v>2126.06</v>
      </c>
      <c r="K2468" s="805">
        <v>5089.3620000000001</v>
      </c>
    </row>
    <row r="2469" spans="3:11">
      <c r="C2469" s="861">
        <v>42145</v>
      </c>
      <c r="D2469" s="805">
        <v>33.549999999999997</v>
      </c>
      <c r="E2469" s="805">
        <v>5.2225000000000001</v>
      </c>
      <c r="F2469" s="806">
        <v>2.2799999999999998</v>
      </c>
      <c r="G2469" s="805">
        <v>4.7846103255508101</v>
      </c>
      <c r="H2469" s="805">
        <v>129.59</v>
      </c>
      <c r="I2469" s="805">
        <v>26.9</v>
      </c>
      <c r="J2469" s="805">
        <v>2130.8200000000002</v>
      </c>
      <c r="K2469" s="805">
        <v>5090.7939999999999</v>
      </c>
    </row>
    <row r="2470" spans="3:11">
      <c r="C2470" s="861">
        <v>42144</v>
      </c>
      <c r="D2470" s="805">
        <v>33.369999999999997</v>
      </c>
      <c r="E2470" s="805">
        <v>5.26</v>
      </c>
      <c r="F2470" s="806">
        <v>2.3199999999999998</v>
      </c>
      <c r="G2470" s="805">
        <v>4.8092705666075801</v>
      </c>
      <c r="H2470" s="805">
        <v>129.11000000000001</v>
      </c>
      <c r="I2470" s="805">
        <v>26.59</v>
      </c>
      <c r="J2470" s="805">
        <v>2125.85</v>
      </c>
      <c r="K2470" s="805">
        <v>5071.7430000000004</v>
      </c>
    </row>
    <row r="2471" spans="3:11">
      <c r="C2471" s="861">
        <v>42143</v>
      </c>
      <c r="D2471" s="805">
        <v>33.15</v>
      </c>
      <c r="E2471" s="805">
        <v>5.26</v>
      </c>
      <c r="F2471" s="806">
        <v>2.2799999999999998</v>
      </c>
      <c r="G2471" s="805">
        <v>4.8009175815172904</v>
      </c>
      <c r="H2471" s="805">
        <v>129.47</v>
      </c>
      <c r="I2471" s="805">
        <v>26.31</v>
      </c>
      <c r="J2471" s="805">
        <v>2127.83</v>
      </c>
      <c r="K2471" s="805">
        <v>5070.0339999999997</v>
      </c>
    </row>
    <row r="2472" spans="3:11">
      <c r="C2472" s="861">
        <v>42142</v>
      </c>
      <c r="D2472" s="805">
        <v>33.409999999999997</v>
      </c>
      <c r="E2472" s="805">
        <v>5.3174999999999999</v>
      </c>
      <c r="F2472" s="806">
        <v>2.35</v>
      </c>
      <c r="G2472" s="805">
        <v>4.8054844846814904</v>
      </c>
      <c r="H2472" s="805">
        <v>130.18</v>
      </c>
      <c r="I2472" s="805">
        <v>26.76</v>
      </c>
      <c r="J2472" s="805">
        <v>2129.1999999999998</v>
      </c>
      <c r="K2472" s="805">
        <v>5078.4390000000003</v>
      </c>
    </row>
    <row r="2473" spans="3:11">
      <c r="C2473" s="861">
        <v>42141</v>
      </c>
      <c r="D2473" s="805">
        <v>32.99</v>
      </c>
      <c r="E2473" s="805">
        <v>5.3250000000000002</v>
      </c>
      <c r="F2473" s="806">
        <v>2.3199999999999998</v>
      </c>
      <c r="G2473" s="805">
        <v>4.8173358324290598</v>
      </c>
      <c r="H2473" s="805">
        <v>127.87</v>
      </c>
      <c r="I2473" s="805">
        <v>26.33</v>
      </c>
      <c r="J2473" s="805">
        <v>2122.73</v>
      </c>
      <c r="K2473" s="805">
        <v>5048.2920000000004</v>
      </c>
    </row>
    <row r="2474" spans="3:11">
      <c r="C2474" s="861">
        <v>42140</v>
      </c>
      <c r="D2474" s="805">
        <v>32.99</v>
      </c>
      <c r="E2474" s="805">
        <v>5.3250000000000002</v>
      </c>
      <c r="F2474" s="806">
        <v>2.3199999999999998</v>
      </c>
      <c r="G2474" s="805">
        <v>4.8173358324290598</v>
      </c>
      <c r="H2474" s="805">
        <v>127.87</v>
      </c>
      <c r="I2474" s="805">
        <v>26.33</v>
      </c>
      <c r="J2474" s="805">
        <v>2122.73</v>
      </c>
      <c r="K2474" s="805">
        <v>5048.2920000000004</v>
      </c>
    </row>
    <row r="2475" spans="3:11">
      <c r="C2475" s="861">
        <v>42139</v>
      </c>
      <c r="D2475" s="805">
        <v>32.99</v>
      </c>
      <c r="E2475" s="805">
        <v>5.3250000000000002</v>
      </c>
      <c r="F2475" s="806">
        <v>2.3199999999999998</v>
      </c>
      <c r="G2475" s="805">
        <v>4.8173358324290598</v>
      </c>
      <c r="H2475" s="805">
        <v>127.87</v>
      </c>
      <c r="I2475" s="805">
        <v>26.33</v>
      </c>
      <c r="J2475" s="805">
        <v>2122.73</v>
      </c>
      <c r="K2475" s="805">
        <v>5048.2920000000004</v>
      </c>
    </row>
    <row r="2476" spans="3:11">
      <c r="C2476" s="861">
        <v>42138</v>
      </c>
      <c r="D2476" s="805">
        <v>32.97</v>
      </c>
      <c r="E2476" s="805">
        <v>5.3224999999999998</v>
      </c>
      <c r="F2476" s="806">
        <v>2.33</v>
      </c>
      <c r="G2476" s="805">
        <v>4.7842186322377698</v>
      </c>
      <c r="H2476" s="805">
        <v>126.94</v>
      </c>
      <c r="I2476" s="805">
        <v>26.69</v>
      </c>
      <c r="J2476" s="805">
        <v>2121.1</v>
      </c>
      <c r="K2476" s="805">
        <v>5050.7950000000001</v>
      </c>
    </row>
    <row r="2477" spans="3:11">
      <c r="C2477" s="861">
        <v>42137</v>
      </c>
      <c r="D2477" s="805">
        <v>32.64</v>
      </c>
      <c r="E2477" s="805">
        <v>5.2374999999999998</v>
      </c>
      <c r="F2477" s="806">
        <v>2.37</v>
      </c>
      <c r="G2477" s="805">
        <v>4.8287112561174599</v>
      </c>
      <c r="H2477" s="805">
        <v>123.13</v>
      </c>
      <c r="I2477" s="805">
        <v>27.19</v>
      </c>
      <c r="J2477" s="805">
        <v>2098.48</v>
      </c>
      <c r="K2477" s="805">
        <v>4981.6909999999998</v>
      </c>
    </row>
    <row r="2478" spans="3:11">
      <c r="C2478" s="861">
        <v>42136</v>
      </c>
      <c r="D2478" s="805">
        <v>32.25</v>
      </c>
      <c r="E2478" s="805">
        <v>5.2074999999999996</v>
      </c>
      <c r="F2478" s="806">
        <v>2.35</v>
      </c>
      <c r="G2478" s="805">
        <v>4.7969039643565603</v>
      </c>
      <c r="H2478" s="805">
        <v>122.95</v>
      </c>
      <c r="I2478" s="805">
        <v>26.87</v>
      </c>
      <c r="J2478" s="805">
        <v>2099.12</v>
      </c>
      <c r="K2478" s="805">
        <v>4976.1890000000003</v>
      </c>
    </row>
    <row r="2479" spans="3:11">
      <c r="C2479" s="861">
        <v>42135</v>
      </c>
      <c r="D2479" s="805">
        <v>32.69</v>
      </c>
      <c r="E2479" s="805">
        <v>5.1574999999999998</v>
      </c>
      <c r="F2479" s="806">
        <v>2.3199999999999998</v>
      </c>
      <c r="G2479" s="805">
        <v>4.8203330411919403</v>
      </c>
      <c r="H2479" s="805">
        <v>122.81</v>
      </c>
      <c r="I2479" s="805">
        <v>27.75</v>
      </c>
      <c r="J2479" s="805">
        <v>2105.33</v>
      </c>
      <c r="K2479" s="805">
        <v>4993.5720000000001</v>
      </c>
    </row>
    <row r="2480" spans="3:11">
      <c r="C2480" s="861">
        <v>42134</v>
      </c>
      <c r="D2480" s="805">
        <v>32.799999999999997</v>
      </c>
      <c r="E2480" s="805">
        <v>5.2062499999999998</v>
      </c>
      <c r="F2480" s="806">
        <v>2.31</v>
      </c>
      <c r="G2480" s="805">
        <v>4.77758935559614</v>
      </c>
      <c r="H2480" s="805">
        <v>123.33</v>
      </c>
      <c r="I2480" s="805">
        <v>27.18</v>
      </c>
      <c r="J2480" s="805">
        <v>2116.1</v>
      </c>
      <c r="K2480" s="805">
        <v>5003.5479999999998</v>
      </c>
    </row>
    <row r="2481" spans="3:11">
      <c r="C2481" s="861">
        <v>42133</v>
      </c>
      <c r="D2481" s="805">
        <v>32.799999999999997</v>
      </c>
      <c r="E2481" s="805">
        <v>5.2062499999999998</v>
      </c>
      <c r="F2481" s="806">
        <v>2.31</v>
      </c>
      <c r="G2481" s="805">
        <v>4.77758935559614</v>
      </c>
      <c r="H2481" s="805">
        <v>123.33</v>
      </c>
      <c r="I2481" s="805">
        <v>27.18</v>
      </c>
      <c r="J2481" s="805">
        <v>2116.1</v>
      </c>
      <c r="K2481" s="805">
        <v>5003.5479999999998</v>
      </c>
    </row>
    <row r="2482" spans="3:11">
      <c r="C2482" s="861">
        <v>42132</v>
      </c>
      <c r="D2482" s="805">
        <v>32.799999999999997</v>
      </c>
      <c r="E2482" s="805">
        <v>5.2062499999999998</v>
      </c>
      <c r="F2482" s="806">
        <v>2.31</v>
      </c>
      <c r="G2482" s="805">
        <v>4.77758935559614</v>
      </c>
      <c r="H2482" s="805">
        <v>123.33</v>
      </c>
      <c r="I2482" s="805">
        <v>27.18</v>
      </c>
      <c r="J2482" s="805">
        <v>2116.1</v>
      </c>
      <c r="K2482" s="805">
        <v>5003.5479999999998</v>
      </c>
    </row>
    <row r="2483" spans="3:11">
      <c r="C2483" s="861">
        <v>42131</v>
      </c>
      <c r="D2483" s="805">
        <v>32.244999999999997</v>
      </c>
      <c r="E2483" s="805">
        <v>5.6224999999999996</v>
      </c>
      <c r="F2483" s="806">
        <v>2.3199999999999998</v>
      </c>
      <c r="G2483" s="805">
        <v>4.75881110930648</v>
      </c>
      <c r="H2483" s="805">
        <v>122.48</v>
      </c>
      <c r="I2483" s="805">
        <v>27.27</v>
      </c>
      <c r="J2483" s="805">
        <v>2088</v>
      </c>
      <c r="K2483" s="805">
        <v>4945.5439999999999</v>
      </c>
    </row>
    <row r="2484" spans="3:11">
      <c r="C2484" s="861">
        <v>42130</v>
      </c>
      <c r="D2484" s="805">
        <v>32.22</v>
      </c>
      <c r="E2484" s="805">
        <v>5.5250000000000004</v>
      </c>
      <c r="F2484" s="806">
        <v>2.29</v>
      </c>
      <c r="G2484" s="805">
        <v>4.8232562702331503</v>
      </c>
      <c r="H2484" s="805">
        <v>116.77500000000001</v>
      </c>
      <c r="I2484" s="805">
        <v>27.99</v>
      </c>
      <c r="J2484" s="805">
        <v>2080.15</v>
      </c>
      <c r="K2484" s="805">
        <v>4919.6440000000002</v>
      </c>
    </row>
    <row r="2485" spans="3:11">
      <c r="C2485" s="861">
        <v>42129</v>
      </c>
      <c r="D2485" s="805">
        <v>32.64</v>
      </c>
      <c r="E2485" s="805">
        <v>5.5075000000000003</v>
      </c>
      <c r="F2485" s="806">
        <v>2.2799999999999998</v>
      </c>
      <c r="G2485" s="805">
        <v>4.7973369884472303</v>
      </c>
      <c r="H2485" s="805">
        <v>116.785</v>
      </c>
      <c r="I2485" s="805">
        <v>28.04</v>
      </c>
      <c r="J2485" s="805">
        <v>2089.46</v>
      </c>
      <c r="K2485" s="805">
        <v>4939.3270000000002</v>
      </c>
    </row>
    <row r="2486" spans="3:11">
      <c r="C2486" s="861">
        <v>42128</v>
      </c>
      <c r="D2486" s="805">
        <v>33.43</v>
      </c>
      <c r="E2486" s="805">
        <v>5.6524999999999999</v>
      </c>
      <c r="F2486" s="806">
        <v>2.31</v>
      </c>
      <c r="G2486" s="805">
        <v>4.8029957668511898</v>
      </c>
      <c r="H2486" s="805">
        <v>121.16</v>
      </c>
      <c r="I2486" s="805">
        <v>28.67</v>
      </c>
      <c r="J2486" s="805">
        <v>2114.4899999999998</v>
      </c>
      <c r="K2486" s="805">
        <v>5016.9290000000001</v>
      </c>
    </row>
    <row r="2487" spans="3:11">
      <c r="C2487" s="861">
        <v>42127</v>
      </c>
      <c r="D2487" s="805">
        <v>33.42</v>
      </c>
      <c r="E2487" s="805">
        <v>5.6875</v>
      </c>
      <c r="F2487" s="806">
        <v>2.31</v>
      </c>
      <c r="G2487" s="805">
        <v>4.8023521724926503</v>
      </c>
      <c r="H2487" s="805">
        <v>122.8</v>
      </c>
      <c r="I2487" s="805">
        <v>28.99</v>
      </c>
      <c r="J2487" s="805">
        <v>2108.29</v>
      </c>
      <c r="K2487" s="805">
        <v>5005.3909999999996</v>
      </c>
    </row>
    <row r="2488" spans="3:11">
      <c r="C2488" s="861">
        <v>42126</v>
      </c>
      <c r="D2488" s="805">
        <v>33.42</v>
      </c>
      <c r="E2488" s="805">
        <v>5.6875</v>
      </c>
      <c r="F2488" s="806">
        <v>2.31</v>
      </c>
      <c r="G2488" s="805">
        <v>4.8023521724926503</v>
      </c>
      <c r="H2488" s="805">
        <v>122.8</v>
      </c>
      <c r="I2488" s="805">
        <v>28.99</v>
      </c>
      <c r="J2488" s="805">
        <v>2108.29</v>
      </c>
      <c r="K2488" s="805">
        <v>5005.3909999999996</v>
      </c>
    </row>
    <row r="2489" spans="3:11">
      <c r="C2489" s="861">
        <v>42125</v>
      </c>
      <c r="D2489" s="805">
        <v>33.42</v>
      </c>
      <c r="E2489" s="805">
        <v>5.6875</v>
      </c>
      <c r="F2489" s="806">
        <v>2.31</v>
      </c>
      <c r="G2489" s="805">
        <v>4.8023521724926503</v>
      </c>
      <c r="H2489" s="805">
        <v>122.8</v>
      </c>
      <c r="I2489" s="805">
        <v>28.99</v>
      </c>
      <c r="J2489" s="805">
        <v>2108.29</v>
      </c>
      <c r="K2489" s="805">
        <v>5005.3909999999996</v>
      </c>
    </row>
    <row r="2490" spans="3:11">
      <c r="C2490" s="861">
        <v>42124</v>
      </c>
      <c r="D2490" s="805">
        <v>32.549999999999997</v>
      </c>
      <c r="E2490" s="805">
        <v>5.5487500000000001</v>
      </c>
      <c r="F2490" s="806">
        <v>2.2599999999999998</v>
      </c>
      <c r="G2490" s="805">
        <v>4.8023521724926503</v>
      </c>
      <c r="H2490" s="805">
        <v>116.88</v>
      </c>
      <c r="I2490" s="805">
        <v>28.13</v>
      </c>
      <c r="J2490" s="805">
        <v>2085.5100000000002</v>
      </c>
      <c r="K2490" s="805">
        <v>4941.424</v>
      </c>
    </row>
    <row r="2491" spans="3:11">
      <c r="C2491" s="861">
        <v>42123</v>
      </c>
      <c r="D2491" s="805">
        <v>32.884999999999998</v>
      </c>
      <c r="E2491" s="805">
        <v>5.5350000000000001</v>
      </c>
      <c r="F2491" s="806">
        <v>2.2799999999999998</v>
      </c>
      <c r="G2491" s="805">
        <v>4.8842257597684497</v>
      </c>
      <c r="H2491" s="805">
        <v>117.03</v>
      </c>
      <c r="I2491" s="805">
        <v>28.87</v>
      </c>
      <c r="J2491" s="805">
        <v>2106.85</v>
      </c>
      <c r="K2491" s="805">
        <v>5023.6440000000002</v>
      </c>
    </row>
    <row r="2492" spans="3:11">
      <c r="C2492" s="861">
        <v>42122</v>
      </c>
      <c r="D2492" s="805">
        <v>33.020000000000003</v>
      </c>
      <c r="E2492" s="805">
        <v>5.5762499999999999</v>
      </c>
      <c r="F2492" s="806">
        <v>2.31</v>
      </c>
      <c r="G2492" s="805">
        <v>4.9765134842164001</v>
      </c>
      <c r="H2492" s="805">
        <v>117.45</v>
      </c>
      <c r="I2492" s="805">
        <v>28.99</v>
      </c>
      <c r="J2492" s="805">
        <v>2114.7600000000002</v>
      </c>
      <c r="K2492" s="805">
        <v>5055.4219999999996</v>
      </c>
    </row>
    <row r="2493" spans="3:11">
      <c r="C2493" s="861">
        <v>42121</v>
      </c>
      <c r="D2493" s="805">
        <v>32.5</v>
      </c>
      <c r="E2493" s="805">
        <v>5.55</v>
      </c>
      <c r="F2493" s="806">
        <v>2.34</v>
      </c>
      <c r="G2493" s="805">
        <v>4.9802761341222901</v>
      </c>
      <c r="H2493" s="805">
        <v>120.15</v>
      </c>
      <c r="I2493" s="805">
        <v>29.265000000000001</v>
      </c>
      <c r="J2493" s="805">
        <v>2108.92</v>
      </c>
      <c r="K2493" s="805">
        <v>5060.2460000000001</v>
      </c>
    </row>
    <row r="2494" spans="3:11">
      <c r="C2494" s="861">
        <v>42120</v>
      </c>
      <c r="D2494" s="805">
        <v>32.08</v>
      </c>
      <c r="E2494" s="805">
        <v>5.5075000000000003</v>
      </c>
      <c r="F2494" s="806">
        <v>2.2999999999999998</v>
      </c>
      <c r="G2494" s="805">
        <v>4.9662943302829996</v>
      </c>
      <c r="H2494" s="805">
        <v>119.5</v>
      </c>
      <c r="I2494" s="805">
        <v>29.2</v>
      </c>
      <c r="J2494" s="805">
        <v>2117.69</v>
      </c>
      <c r="K2494" s="805">
        <v>5092.085</v>
      </c>
    </row>
    <row r="2495" spans="3:11">
      <c r="C2495" s="861">
        <v>42119</v>
      </c>
      <c r="D2495" s="805">
        <v>32.08</v>
      </c>
      <c r="E2495" s="805">
        <v>5.5075000000000003</v>
      </c>
      <c r="F2495" s="806">
        <v>2.2999999999999998</v>
      </c>
      <c r="G2495" s="805">
        <v>4.9662943302829996</v>
      </c>
      <c r="H2495" s="805">
        <v>119.5</v>
      </c>
      <c r="I2495" s="805">
        <v>29.2</v>
      </c>
      <c r="J2495" s="805">
        <v>2117.69</v>
      </c>
      <c r="K2495" s="805">
        <v>5092.085</v>
      </c>
    </row>
    <row r="2496" spans="3:11">
      <c r="C2496" s="861">
        <v>42118</v>
      </c>
      <c r="D2496" s="805">
        <v>32.08</v>
      </c>
      <c r="E2496" s="805">
        <v>5.5075000000000003</v>
      </c>
      <c r="F2496" s="806">
        <v>2.2999999999999998</v>
      </c>
      <c r="G2496" s="805">
        <v>4.9662943302829996</v>
      </c>
      <c r="H2496" s="805">
        <v>119.5</v>
      </c>
      <c r="I2496" s="805">
        <v>29.2</v>
      </c>
      <c r="J2496" s="805">
        <v>2117.69</v>
      </c>
      <c r="K2496" s="805">
        <v>5092.085</v>
      </c>
    </row>
    <row r="2497" spans="3:11">
      <c r="C2497" s="861">
        <v>42117</v>
      </c>
      <c r="D2497" s="805">
        <v>32.35</v>
      </c>
      <c r="E2497" s="805">
        <v>5.5549999999999997</v>
      </c>
      <c r="F2497" s="806">
        <v>2.33</v>
      </c>
      <c r="G2497" s="805">
        <v>4.7428534555075199</v>
      </c>
      <c r="H2497" s="805">
        <v>124.07</v>
      </c>
      <c r="I2497" s="805">
        <v>29.515000000000001</v>
      </c>
      <c r="J2497" s="805">
        <v>2112.9299999999998</v>
      </c>
      <c r="K2497" s="805">
        <v>5056.0630000000001</v>
      </c>
    </row>
    <row r="2498" spans="3:11">
      <c r="C2498" s="861">
        <v>42116</v>
      </c>
      <c r="D2498" s="805">
        <v>32.700000000000003</v>
      </c>
      <c r="E2498" s="805">
        <v>5.5774999999999997</v>
      </c>
      <c r="F2498" s="806">
        <v>2.2799999999999998</v>
      </c>
      <c r="G2498" s="805">
        <v>4.6174142480211096</v>
      </c>
      <c r="H2498" s="805">
        <v>127.895</v>
      </c>
      <c r="I2498" s="805">
        <v>29.495000000000001</v>
      </c>
      <c r="J2498" s="805">
        <v>2107.96</v>
      </c>
      <c r="K2498" s="805">
        <v>5035.1710000000003</v>
      </c>
    </row>
    <row r="2499" spans="3:11">
      <c r="C2499" s="861">
        <v>42115</v>
      </c>
      <c r="D2499" s="805">
        <v>32.43</v>
      </c>
      <c r="E2499" s="805">
        <v>5.5137499999999999</v>
      </c>
      <c r="F2499" s="806">
        <v>2.35</v>
      </c>
      <c r="G2499" s="805">
        <v>4.5836147833638901</v>
      </c>
      <c r="H2499" s="805">
        <v>123.1</v>
      </c>
      <c r="I2499" s="805">
        <v>28.55</v>
      </c>
      <c r="J2499" s="805">
        <v>2097.29</v>
      </c>
      <c r="K2499" s="805">
        <v>5014.1019999999999</v>
      </c>
    </row>
    <row r="2500" spans="3:11">
      <c r="C2500" s="861">
        <v>42114</v>
      </c>
      <c r="D2500" s="805">
        <v>32.729999999999997</v>
      </c>
      <c r="E2500" s="805">
        <v>5.5225</v>
      </c>
      <c r="F2500" s="806">
        <v>2.4900000000000002</v>
      </c>
      <c r="G2500" s="805">
        <v>4.6022142121524201</v>
      </c>
      <c r="H2500" s="805">
        <v>123.02500000000001</v>
      </c>
      <c r="I2500" s="805">
        <v>28.26</v>
      </c>
      <c r="J2500" s="805">
        <v>2100.4</v>
      </c>
      <c r="K2500" s="805">
        <v>4994.6019999999999</v>
      </c>
    </row>
    <row r="2501" spans="3:11">
      <c r="C2501" s="861">
        <v>42113</v>
      </c>
      <c r="D2501" s="805">
        <v>32.47</v>
      </c>
      <c r="E2501" s="805">
        <v>5.55</v>
      </c>
      <c r="F2501" s="806">
        <v>2.5750000000000002</v>
      </c>
      <c r="G2501" s="805">
        <v>4.5939585415390596</v>
      </c>
      <c r="H2501" s="805">
        <v>121.85</v>
      </c>
      <c r="I2501" s="805">
        <v>28.02</v>
      </c>
      <c r="J2501" s="805">
        <v>2081.1799999999998</v>
      </c>
      <c r="K2501" s="805">
        <v>4931.8140000000003</v>
      </c>
    </row>
    <row r="2502" spans="3:11">
      <c r="C2502" s="861">
        <v>42112</v>
      </c>
      <c r="D2502" s="805">
        <v>32.47</v>
      </c>
      <c r="E2502" s="805">
        <v>5.55</v>
      </c>
      <c r="F2502" s="806">
        <v>2.5750000000000002</v>
      </c>
      <c r="G2502" s="805">
        <v>4.5939585415390596</v>
      </c>
      <c r="H2502" s="805">
        <v>121.85</v>
      </c>
      <c r="I2502" s="805">
        <v>28.02</v>
      </c>
      <c r="J2502" s="805">
        <v>2081.1799999999998</v>
      </c>
      <c r="K2502" s="805">
        <v>4931.8140000000003</v>
      </c>
    </row>
    <row r="2503" spans="3:11">
      <c r="C2503" s="861">
        <v>42111</v>
      </c>
      <c r="D2503" s="805">
        <v>32.47</v>
      </c>
      <c r="E2503" s="805">
        <v>5.55</v>
      </c>
      <c r="F2503" s="806">
        <v>2.5750000000000002</v>
      </c>
      <c r="G2503" s="805">
        <v>4.5939585415390596</v>
      </c>
      <c r="H2503" s="805">
        <v>121.85</v>
      </c>
      <c r="I2503" s="805">
        <v>28.02</v>
      </c>
      <c r="J2503" s="805">
        <v>2081.1799999999998</v>
      </c>
      <c r="K2503" s="805">
        <v>4931.8140000000003</v>
      </c>
    </row>
    <row r="2504" spans="3:11">
      <c r="C2504" s="861">
        <v>42110</v>
      </c>
      <c r="D2504" s="805">
        <v>32.869999999999997</v>
      </c>
      <c r="E2504" s="805">
        <v>5.6224999999999996</v>
      </c>
      <c r="F2504" s="806">
        <v>2.87</v>
      </c>
      <c r="G2504" s="805">
        <v>4.7314042936689296</v>
      </c>
      <c r="H2504" s="805">
        <v>125.33</v>
      </c>
      <c r="I2504" s="805">
        <v>28.01</v>
      </c>
      <c r="J2504" s="805">
        <v>2104.9899999999998</v>
      </c>
      <c r="K2504" s="805">
        <v>5007.7910000000002</v>
      </c>
    </row>
    <row r="2505" spans="3:11">
      <c r="C2505" s="861">
        <v>42109</v>
      </c>
      <c r="D2505" s="805">
        <v>32.83</v>
      </c>
      <c r="E2505" s="805">
        <v>5.6574999999999998</v>
      </c>
      <c r="F2505" s="806">
        <v>2.7</v>
      </c>
      <c r="G2505" s="805">
        <v>4.5850968321149201</v>
      </c>
      <c r="H2505" s="805">
        <v>125.9</v>
      </c>
      <c r="I2505" s="805">
        <v>28.17</v>
      </c>
      <c r="J2505" s="805">
        <v>2106.63</v>
      </c>
      <c r="K2505" s="805">
        <v>5011.0190000000002</v>
      </c>
    </row>
    <row r="2506" spans="3:11">
      <c r="C2506" s="861">
        <v>42108</v>
      </c>
      <c r="D2506" s="805">
        <v>31.49</v>
      </c>
      <c r="E2506" s="805">
        <v>5.59</v>
      </c>
      <c r="F2506" s="806">
        <v>2.67</v>
      </c>
      <c r="G2506" s="805">
        <v>4.6115416639979498</v>
      </c>
      <c r="H2506" s="805">
        <v>123.98</v>
      </c>
      <c r="I2506" s="805">
        <v>27.72</v>
      </c>
      <c r="J2506" s="805">
        <v>2095.84</v>
      </c>
      <c r="K2506" s="805">
        <v>4977.2870000000003</v>
      </c>
    </row>
    <row r="2507" spans="3:11">
      <c r="C2507" s="861">
        <v>42107</v>
      </c>
      <c r="D2507" s="805">
        <v>31.73</v>
      </c>
      <c r="E2507" s="805">
        <v>5.6375000000000002</v>
      </c>
      <c r="F2507" s="806">
        <v>2.78</v>
      </c>
      <c r="G2507" s="805">
        <v>4.6924378331790502</v>
      </c>
      <c r="H2507" s="805">
        <v>125.345</v>
      </c>
      <c r="I2507" s="805">
        <v>27.88</v>
      </c>
      <c r="J2507" s="805">
        <v>2092.4299999999998</v>
      </c>
      <c r="K2507" s="805">
        <v>4988.2489999999998</v>
      </c>
    </row>
    <row r="2508" spans="3:11">
      <c r="C2508" s="861">
        <v>42106</v>
      </c>
      <c r="D2508" s="805">
        <v>31.93</v>
      </c>
      <c r="E2508" s="805">
        <v>5.69</v>
      </c>
      <c r="F2508" s="806">
        <v>2.76</v>
      </c>
      <c r="G2508" s="805">
        <v>4.70625900432207</v>
      </c>
      <c r="H2508" s="805">
        <v>126.82</v>
      </c>
      <c r="I2508" s="805">
        <v>28.02</v>
      </c>
      <c r="J2508" s="805">
        <v>2102.06</v>
      </c>
      <c r="K2508" s="805">
        <v>4995.9780000000001</v>
      </c>
    </row>
    <row r="2509" spans="3:11">
      <c r="C2509" s="861">
        <v>42105</v>
      </c>
      <c r="D2509" s="805">
        <v>31.93</v>
      </c>
      <c r="E2509" s="805">
        <v>5.69</v>
      </c>
      <c r="F2509" s="806">
        <v>2.76</v>
      </c>
      <c r="G2509" s="805">
        <v>4.70625900432207</v>
      </c>
      <c r="H2509" s="805">
        <v>126.82</v>
      </c>
      <c r="I2509" s="805">
        <v>28.02</v>
      </c>
      <c r="J2509" s="805">
        <v>2102.06</v>
      </c>
      <c r="K2509" s="805">
        <v>4995.9780000000001</v>
      </c>
    </row>
    <row r="2510" spans="3:11">
      <c r="C2510" s="861">
        <v>42104</v>
      </c>
      <c r="D2510" s="805">
        <v>31.93</v>
      </c>
      <c r="E2510" s="805">
        <v>5.69</v>
      </c>
      <c r="F2510" s="806">
        <v>2.76</v>
      </c>
      <c r="G2510" s="805">
        <v>4.70625900432207</v>
      </c>
      <c r="H2510" s="805">
        <v>126.82</v>
      </c>
      <c r="I2510" s="805">
        <v>28.02</v>
      </c>
      <c r="J2510" s="805">
        <v>2102.06</v>
      </c>
      <c r="K2510" s="805">
        <v>4995.9780000000001</v>
      </c>
    </row>
    <row r="2511" spans="3:11">
      <c r="C2511" s="861">
        <v>42103</v>
      </c>
      <c r="D2511" s="805">
        <v>31.24</v>
      </c>
      <c r="E2511" s="805">
        <v>5.6312499999999996</v>
      </c>
      <c r="F2511" s="806">
        <v>2.72</v>
      </c>
      <c r="G2511" s="805">
        <v>4.5779044082338203</v>
      </c>
      <c r="H2511" s="805">
        <v>127.22</v>
      </c>
      <c r="I2511" s="805">
        <v>27.815000000000001</v>
      </c>
      <c r="J2511" s="805">
        <v>2091.1799999999998</v>
      </c>
      <c r="K2511" s="805">
        <v>4974.5649999999996</v>
      </c>
    </row>
    <row r="2512" spans="3:11">
      <c r="C2512" s="861">
        <v>42102</v>
      </c>
      <c r="D2512" s="805">
        <v>31.31</v>
      </c>
      <c r="E2512" s="805">
        <v>5.5049999999999999</v>
      </c>
      <c r="F2512" s="806">
        <v>2.71</v>
      </c>
      <c r="G2512" s="805">
        <v>4.5979228963698899</v>
      </c>
      <c r="H2512" s="805">
        <v>126.79</v>
      </c>
      <c r="I2512" s="805">
        <v>27.13</v>
      </c>
      <c r="J2512" s="805">
        <v>2081.9</v>
      </c>
      <c r="K2512" s="805">
        <v>4950.8209999999999</v>
      </c>
    </row>
    <row r="2513" spans="3:11">
      <c r="C2513" s="861">
        <v>42101</v>
      </c>
      <c r="D2513" s="805">
        <v>31.26</v>
      </c>
      <c r="E2513" s="805">
        <v>5.4649999999999999</v>
      </c>
      <c r="F2513" s="806">
        <v>2.7</v>
      </c>
      <c r="G2513" s="805">
        <v>4.7051240734772799</v>
      </c>
      <c r="H2513" s="805">
        <v>125.65</v>
      </c>
      <c r="I2513" s="805">
        <v>26.87</v>
      </c>
      <c r="J2513" s="805">
        <v>2076.33</v>
      </c>
      <c r="K2513" s="805">
        <v>4910.2340000000004</v>
      </c>
    </row>
    <row r="2514" spans="3:11">
      <c r="C2514" s="861">
        <v>42100</v>
      </c>
      <c r="D2514" s="805">
        <v>31.04</v>
      </c>
      <c r="E2514" s="805">
        <v>5.4162499999999998</v>
      </c>
      <c r="F2514" s="806">
        <v>2.7</v>
      </c>
      <c r="G2514" s="805">
        <v>4.7397949313213399</v>
      </c>
      <c r="H2514" s="805">
        <v>125.825</v>
      </c>
      <c r="I2514" s="805">
        <v>27.43</v>
      </c>
      <c r="J2514" s="805">
        <v>2080.62</v>
      </c>
      <c r="K2514" s="805">
        <v>4917.317</v>
      </c>
    </row>
    <row r="2515" spans="3:11">
      <c r="C2515" s="861">
        <v>42099</v>
      </c>
      <c r="D2515" s="805">
        <v>30.81</v>
      </c>
      <c r="E2515" s="805">
        <v>5.2649999999999997</v>
      </c>
      <c r="F2515" s="806">
        <v>2.69</v>
      </c>
      <c r="G2515" s="805">
        <v>4.7397949313213399</v>
      </c>
      <c r="H2515" s="805">
        <v>125.02</v>
      </c>
      <c r="I2515" s="805">
        <v>26.725000000000001</v>
      </c>
      <c r="J2515" s="805">
        <v>2066.96</v>
      </c>
      <c r="K2515" s="805">
        <v>4886.9369999999999</v>
      </c>
    </row>
    <row r="2516" spans="3:11">
      <c r="C2516" s="861">
        <v>42098</v>
      </c>
      <c r="D2516" s="805">
        <v>30.81</v>
      </c>
      <c r="E2516" s="805">
        <v>5.2649999999999997</v>
      </c>
      <c r="F2516" s="806">
        <v>2.69</v>
      </c>
      <c r="G2516" s="805">
        <v>4.7397949313213399</v>
      </c>
      <c r="H2516" s="805">
        <v>125.02</v>
      </c>
      <c r="I2516" s="805">
        <v>26.725000000000001</v>
      </c>
      <c r="J2516" s="805">
        <v>2066.96</v>
      </c>
      <c r="K2516" s="805">
        <v>4886.9369999999999</v>
      </c>
    </row>
    <row r="2517" spans="3:11">
      <c r="C2517" s="861">
        <v>42097</v>
      </c>
      <c r="D2517" s="805">
        <v>30.81</v>
      </c>
      <c r="E2517" s="805">
        <v>5.2649999999999997</v>
      </c>
      <c r="F2517" s="806">
        <v>2.69</v>
      </c>
      <c r="G2517" s="805">
        <v>4.7397949313213399</v>
      </c>
      <c r="H2517" s="805">
        <v>125.02</v>
      </c>
      <c r="I2517" s="805">
        <v>26.725000000000001</v>
      </c>
      <c r="J2517" s="805">
        <v>2066.96</v>
      </c>
      <c r="K2517" s="805">
        <v>4886.9369999999999</v>
      </c>
    </row>
    <row r="2518" spans="3:11">
      <c r="C2518" s="861">
        <v>42096</v>
      </c>
      <c r="D2518" s="805">
        <v>30.81</v>
      </c>
      <c r="E2518" s="805">
        <v>5.2649999999999997</v>
      </c>
      <c r="F2518" s="806">
        <v>2.69</v>
      </c>
      <c r="G2518" s="805">
        <v>4.7397949313213399</v>
      </c>
      <c r="H2518" s="805">
        <v>125.02</v>
      </c>
      <c r="I2518" s="805">
        <v>26.725000000000001</v>
      </c>
      <c r="J2518" s="805">
        <v>2066.96</v>
      </c>
      <c r="K2518" s="805">
        <v>4886.9369999999999</v>
      </c>
    </row>
    <row r="2519" spans="3:11">
      <c r="C2519" s="861">
        <v>42095</v>
      </c>
      <c r="D2519" s="805">
        <v>30.81</v>
      </c>
      <c r="E2519" s="805">
        <v>5.2525000000000004</v>
      </c>
      <c r="F2519" s="806">
        <v>2.69</v>
      </c>
      <c r="G2519" s="805">
        <v>4.6131667467563702</v>
      </c>
      <c r="H2519" s="805">
        <v>125.63</v>
      </c>
      <c r="I2519" s="805">
        <v>27.13</v>
      </c>
      <c r="J2519" s="805">
        <v>2059.69</v>
      </c>
      <c r="K2519" s="805">
        <v>4880.2280000000001</v>
      </c>
    </row>
    <row r="2520" spans="3:11">
      <c r="C2520" s="861">
        <v>42094</v>
      </c>
      <c r="D2520" s="805">
        <v>31.27</v>
      </c>
      <c r="E2520" s="805">
        <v>5.2312500000000002</v>
      </c>
      <c r="F2520" s="806">
        <v>2.68</v>
      </c>
      <c r="G2520" s="805">
        <v>4.6570431776717998</v>
      </c>
      <c r="H2520" s="805">
        <v>126.98</v>
      </c>
      <c r="I2520" s="805">
        <v>27.13</v>
      </c>
      <c r="J2520" s="805">
        <v>2067.89</v>
      </c>
      <c r="K2520" s="805">
        <v>4900.884</v>
      </c>
    </row>
    <row r="2521" spans="3:11">
      <c r="C2521" s="861">
        <v>42093</v>
      </c>
      <c r="D2521" s="805">
        <v>31.46</v>
      </c>
      <c r="E2521" s="805">
        <v>5.3674999999999997</v>
      </c>
      <c r="F2521" s="806">
        <v>2.7</v>
      </c>
      <c r="G2521" s="805">
        <v>4.5599999999999996</v>
      </c>
      <c r="H2521" s="805">
        <v>130.55000000000001</v>
      </c>
      <c r="I2521" s="805">
        <v>26.68</v>
      </c>
      <c r="J2521" s="805">
        <v>2086.2399999999998</v>
      </c>
      <c r="K2521" s="805">
        <v>4947.4409999999998</v>
      </c>
    </row>
    <row r="2522" spans="3:11">
      <c r="C2522" s="861">
        <v>42092</v>
      </c>
      <c r="D2522" s="805">
        <v>32</v>
      </c>
      <c r="E2522" s="805">
        <v>5.3449999999999998</v>
      </c>
      <c r="F2522" s="806">
        <v>2.72</v>
      </c>
      <c r="G2522" s="805">
        <v>4.5737578636538698</v>
      </c>
      <c r="H2522" s="805">
        <v>128.21</v>
      </c>
      <c r="I2522" s="805">
        <v>26.675000000000001</v>
      </c>
      <c r="J2522" s="805">
        <v>2061.02</v>
      </c>
      <c r="K2522" s="805">
        <v>4891.2190000000001</v>
      </c>
    </row>
    <row r="2523" spans="3:11">
      <c r="C2523" s="861">
        <v>42091</v>
      </c>
      <c r="D2523" s="805">
        <v>32</v>
      </c>
      <c r="E2523" s="805">
        <v>5.3449999999999998</v>
      </c>
      <c r="F2523" s="806">
        <v>2.72</v>
      </c>
      <c r="G2523" s="805">
        <v>4.5737578636538698</v>
      </c>
      <c r="H2523" s="805">
        <v>128.21</v>
      </c>
      <c r="I2523" s="805">
        <v>26.675000000000001</v>
      </c>
      <c r="J2523" s="805">
        <v>2061.02</v>
      </c>
      <c r="K2523" s="805">
        <v>4891.2190000000001</v>
      </c>
    </row>
    <row r="2524" spans="3:11">
      <c r="C2524" s="861">
        <v>42090</v>
      </c>
      <c r="D2524" s="805">
        <v>32</v>
      </c>
      <c r="E2524" s="805">
        <v>5.3449999999999998</v>
      </c>
      <c r="F2524" s="806">
        <v>2.72</v>
      </c>
      <c r="G2524" s="805">
        <v>4.5737578636538698</v>
      </c>
      <c r="H2524" s="805">
        <v>128.21</v>
      </c>
      <c r="I2524" s="805">
        <v>26.675000000000001</v>
      </c>
      <c r="J2524" s="805">
        <v>2061.02</v>
      </c>
      <c r="K2524" s="805">
        <v>4891.2190000000001</v>
      </c>
    </row>
    <row r="2525" spans="3:11">
      <c r="C2525" s="861">
        <v>42089</v>
      </c>
      <c r="D2525" s="805">
        <v>30.08</v>
      </c>
      <c r="E2525" s="805">
        <v>5.24125</v>
      </c>
      <c r="F2525" s="806">
        <v>2.65</v>
      </c>
      <c r="G2525" s="805">
        <v>4.6545105566218803</v>
      </c>
      <c r="H2525" s="805">
        <v>124.71</v>
      </c>
      <c r="I2525" s="805">
        <v>26.66</v>
      </c>
      <c r="J2525" s="805">
        <v>2056.15</v>
      </c>
      <c r="K2525" s="805">
        <v>4863.3620000000001</v>
      </c>
    </row>
    <row r="2526" spans="3:11">
      <c r="C2526" s="861">
        <v>42088</v>
      </c>
      <c r="D2526" s="805">
        <v>29.89</v>
      </c>
      <c r="E2526" s="805">
        <v>5.26</v>
      </c>
      <c r="F2526" s="806">
        <v>2.63</v>
      </c>
      <c r="G2526" s="805">
        <v>4.8341657062363899</v>
      </c>
      <c r="H2526" s="805">
        <v>124.43</v>
      </c>
      <c r="I2526" s="805">
        <v>26.57</v>
      </c>
      <c r="J2526" s="805">
        <v>2061.0500000000002</v>
      </c>
      <c r="K2526" s="805">
        <v>4876.5200000000004</v>
      </c>
    </row>
    <row r="2527" spans="3:11">
      <c r="C2527" s="861">
        <v>42087</v>
      </c>
      <c r="D2527" s="805">
        <v>30.79</v>
      </c>
      <c r="E2527" s="805">
        <v>5.6</v>
      </c>
      <c r="F2527" s="806">
        <v>2.79</v>
      </c>
      <c r="G2527" s="805">
        <v>4.8506387474786301</v>
      </c>
      <c r="H2527" s="805">
        <v>133.12</v>
      </c>
      <c r="I2527" s="805">
        <v>27.96</v>
      </c>
      <c r="J2527" s="805">
        <v>2091.5</v>
      </c>
      <c r="K2527" s="805">
        <v>4994.7280000000001</v>
      </c>
    </row>
    <row r="2528" spans="3:11">
      <c r="C2528" s="861">
        <v>42086</v>
      </c>
      <c r="D2528" s="805">
        <v>31.2</v>
      </c>
      <c r="E2528" s="805">
        <v>5.6775000000000002</v>
      </c>
      <c r="F2528" s="806">
        <v>2.84</v>
      </c>
      <c r="G2528" s="805">
        <v>4.9083874268538397</v>
      </c>
      <c r="H2528" s="805">
        <v>134.44</v>
      </c>
      <c r="I2528" s="805">
        <v>28.02</v>
      </c>
      <c r="J2528" s="805">
        <v>2104.42</v>
      </c>
      <c r="K2528" s="805">
        <v>5010.9740000000002</v>
      </c>
    </row>
    <row r="2529" spans="3:11">
      <c r="C2529" s="861">
        <v>42085</v>
      </c>
      <c r="D2529" s="805">
        <v>31.31</v>
      </c>
      <c r="E2529" s="805">
        <v>5.8674999999999997</v>
      </c>
      <c r="F2529" s="806">
        <v>2.8</v>
      </c>
      <c r="G2529" s="805">
        <v>4.91212401518293</v>
      </c>
      <c r="H2529" s="805">
        <v>133.29</v>
      </c>
      <c r="I2529" s="805">
        <v>28.68</v>
      </c>
      <c r="J2529" s="805">
        <v>2108.1</v>
      </c>
      <c r="K2529" s="805">
        <v>5026.4179999999997</v>
      </c>
    </row>
    <row r="2530" spans="3:11">
      <c r="C2530" s="861">
        <v>42084</v>
      </c>
      <c r="D2530" s="805">
        <v>31.31</v>
      </c>
      <c r="E2530" s="805">
        <v>5.8674999999999997</v>
      </c>
      <c r="F2530" s="806">
        <v>2.8</v>
      </c>
      <c r="G2530" s="805">
        <v>4.91212401518293</v>
      </c>
      <c r="H2530" s="805">
        <v>133.29</v>
      </c>
      <c r="I2530" s="805">
        <v>28.68</v>
      </c>
      <c r="J2530" s="805">
        <v>2108.1</v>
      </c>
      <c r="K2530" s="805">
        <v>5026.4179999999997</v>
      </c>
    </row>
    <row r="2531" spans="3:11">
      <c r="C2531" s="861">
        <v>42083</v>
      </c>
      <c r="D2531" s="805">
        <v>31.31</v>
      </c>
      <c r="E2531" s="805">
        <v>5.8674999999999997</v>
      </c>
      <c r="F2531" s="806">
        <v>2.8</v>
      </c>
      <c r="G2531" s="805">
        <v>4.91212401518293</v>
      </c>
      <c r="H2531" s="805">
        <v>133.29</v>
      </c>
      <c r="I2531" s="805">
        <v>28.68</v>
      </c>
      <c r="J2531" s="805">
        <v>2108.1</v>
      </c>
      <c r="K2531" s="805">
        <v>5026.4179999999997</v>
      </c>
    </row>
    <row r="2532" spans="3:11">
      <c r="C2532" s="861">
        <v>42082</v>
      </c>
      <c r="D2532" s="805">
        <v>30.74</v>
      </c>
      <c r="E2532" s="805">
        <v>5.80375</v>
      </c>
      <c r="F2532" s="806">
        <v>2.74</v>
      </c>
      <c r="G2532" s="805">
        <v>4.8927720413026199</v>
      </c>
      <c r="H2532" s="805">
        <v>132.04</v>
      </c>
      <c r="I2532" s="805">
        <v>28.05</v>
      </c>
      <c r="J2532" s="805">
        <v>2089.27</v>
      </c>
      <c r="K2532" s="805">
        <v>4992.3789999999999</v>
      </c>
    </row>
    <row r="2533" spans="3:11">
      <c r="C2533" s="861">
        <v>42081</v>
      </c>
      <c r="D2533" s="805">
        <v>30.89</v>
      </c>
      <c r="E2533" s="805">
        <v>5.7175000000000002</v>
      </c>
      <c r="F2533" s="806">
        <v>2.75</v>
      </c>
      <c r="G2533" s="805">
        <v>4.9036833530332604</v>
      </c>
      <c r="H2533" s="805">
        <v>130.44</v>
      </c>
      <c r="I2533" s="805">
        <v>28.16</v>
      </c>
      <c r="J2533" s="805">
        <v>2099.5</v>
      </c>
      <c r="K2533" s="805">
        <v>4982.8280000000004</v>
      </c>
    </row>
    <row r="2534" spans="3:11">
      <c r="C2534" s="861">
        <v>42080</v>
      </c>
      <c r="D2534" s="805">
        <v>30.59</v>
      </c>
      <c r="E2534" s="805">
        <v>5.8125</v>
      </c>
      <c r="F2534" s="806">
        <v>2.77</v>
      </c>
      <c r="G2534" s="805">
        <v>4.7295581513458602</v>
      </c>
      <c r="H2534" s="805">
        <v>129.1</v>
      </c>
      <c r="I2534" s="805">
        <v>27.66</v>
      </c>
      <c r="J2534" s="805">
        <v>2074.2800000000002</v>
      </c>
      <c r="K2534" s="805">
        <v>4937.4350000000004</v>
      </c>
    </row>
    <row r="2535" spans="3:11">
      <c r="C2535" s="861">
        <v>42079</v>
      </c>
      <c r="D2535" s="805">
        <v>30.83</v>
      </c>
      <c r="E2535" s="805">
        <v>5.7424999999999997</v>
      </c>
      <c r="F2535" s="806">
        <v>2.76</v>
      </c>
      <c r="G2535" s="805">
        <v>4.61572507982675</v>
      </c>
      <c r="H2535" s="805">
        <v>129.86500000000001</v>
      </c>
      <c r="I2535" s="805">
        <v>28.504999999999999</v>
      </c>
      <c r="J2535" s="805">
        <v>2081.19</v>
      </c>
      <c r="K2535" s="805">
        <v>4929.5079999999998</v>
      </c>
    </row>
    <row r="2536" spans="3:11">
      <c r="C2536" s="861">
        <v>42078</v>
      </c>
      <c r="D2536" s="805">
        <v>30.93</v>
      </c>
      <c r="E2536" s="805">
        <v>5.6749999999999998</v>
      </c>
      <c r="F2536" s="806">
        <v>2.75</v>
      </c>
      <c r="G2536" s="805">
        <v>4.7035797714502197</v>
      </c>
      <c r="H2536" s="805">
        <v>125</v>
      </c>
      <c r="I2536" s="805">
        <v>28.715</v>
      </c>
      <c r="J2536" s="805">
        <v>2053.4</v>
      </c>
      <c r="K2536" s="805">
        <v>4871.7579999999998</v>
      </c>
    </row>
    <row r="2537" spans="3:11">
      <c r="C2537" s="861">
        <v>42077</v>
      </c>
      <c r="D2537" s="805">
        <v>30.93</v>
      </c>
      <c r="E2537" s="805">
        <v>5.6749999999999998</v>
      </c>
      <c r="F2537" s="806">
        <v>2.75</v>
      </c>
      <c r="G2537" s="805">
        <v>4.7035797714502197</v>
      </c>
      <c r="H2537" s="805">
        <v>125</v>
      </c>
      <c r="I2537" s="805">
        <v>28.715</v>
      </c>
      <c r="J2537" s="805">
        <v>2053.4</v>
      </c>
      <c r="K2537" s="805">
        <v>4871.7579999999998</v>
      </c>
    </row>
    <row r="2538" spans="3:11">
      <c r="C2538" s="861">
        <v>42076</v>
      </c>
      <c r="D2538" s="805">
        <v>30.93</v>
      </c>
      <c r="E2538" s="805">
        <v>5.6749999999999998</v>
      </c>
      <c r="F2538" s="806">
        <v>2.75</v>
      </c>
      <c r="G2538" s="805">
        <v>4.7035797714502197</v>
      </c>
      <c r="H2538" s="805">
        <v>125</v>
      </c>
      <c r="I2538" s="805">
        <v>28.715</v>
      </c>
      <c r="J2538" s="805">
        <v>2053.4</v>
      </c>
      <c r="K2538" s="805">
        <v>4871.7579999999998</v>
      </c>
    </row>
    <row r="2539" spans="3:11">
      <c r="C2539" s="861">
        <v>42075</v>
      </c>
      <c r="D2539" s="805">
        <v>30.8</v>
      </c>
      <c r="E2539" s="805">
        <v>5.6675000000000004</v>
      </c>
      <c r="F2539" s="806">
        <v>2.76</v>
      </c>
      <c r="G2539" s="805">
        <v>4.6835443037974702</v>
      </c>
      <c r="H2539" s="805">
        <v>126.12</v>
      </c>
      <c r="I2539" s="805">
        <v>28.02</v>
      </c>
      <c r="J2539" s="805">
        <v>2065.9499999999998</v>
      </c>
      <c r="K2539" s="805">
        <v>4893.2910000000002</v>
      </c>
    </row>
    <row r="2540" spans="3:11">
      <c r="C2540" s="861">
        <v>42074</v>
      </c>
      <c r="D2540" s="805">
        <v>32.33</v>
      </c>
      <c r="E2540" s="805">
        <v>5.72</v>
      </c>
      <c r="F2540" s="806">
        <v>2.84</v>
      </c>
      <c r="G2540" s="805">
        <v>4.6052424060814499</v>
      </c>
      <c r="H2540" s="805">
        <v>124.66</v>
      </c>
      <c r="I2540" s="805">
        <v>27.88</v>
      </c>
      <c r="J2540" s="805">
        <v>2040.24</v>
      </c>
      <c r="K2540" s="805">
        <v>4849.9409999999998</v>
      </c>
    </row>
    <row r="2541" spans="3:11">
      <c r="C2541" s="861">
        <v>42073</v>
      </c>
      <c r="D2541" s="805">
        <v>31.7</v>
      </c>
      <c r="E2541" s="805">
        <v>5.7487500000000002</v>
      </c>
      <c r="F2541" s="806">
        <v>2.92</v>
      </c>
      <c r="G2541" s="805">
        <v>4.5438768104509197</v>
      </c>
      <c r="H2541" s="805">
        <v>125.12</v>
      </c>
      <c r="I2541" s="805">
        <v>27.61</v>
      </c>
      <c r="J2541" s="805">
        <v>2044.16</v>
      </c>
      <c r="K2541" s="805">
        <v>4859.7950000000001</v>
      </c>
    </row>
    <row r="2542" spans="3:11">
      <c r="C2542" s="861">
        <v>42072</v>
      </c>
      <c r="D2542" s="805">
        <v>32.72</v>
      </c>
      <c r="E2542" s="805">
        <v>5.6524999999999999</v>
      </c>
      <c r="F2542" s="806">
        <v>2.93</v>
      </c>
      <c r="G2542" s="805">
        <v>4.6145063588214796</v>
      </c>
      <c r="H2542" s="805">
        <v>127.12</v>
      </c>
      <c r="I2542" s="805">
        <v>28.66</v>
      </c>
      <c r="J2542" s="805">
        <v>2079.4299999999998</v>
      </c>
      <c r="K2542" s="805">
        <v>4942.4380000000001</v>
      </c>
    </row>
    <row r="2543" spans="3:11">
      <c r="C2543" s="861">
        <v>42071</v>
      </c>
      <c r="D2543" s="805">
        <v>33.19</v>
      </c>
      <c r="E2543" s="805">
        <v>5.6375000000000002</v>
      </c>
      <c r="F2543" s="806">
        <v>2.92</v>
      </c>
      <c r="G2543" s="805">
        <v>4.7139964565932697</v>
      </c>
      <c r="H2543" s="805">
        <v>127.89</v>
      </c>
      <c r="I2543" s="805">
        <v>28.5</v>
      </c>
      <c r="J2543" s="805">
        <v>2071.2600000000002</v>
      </c>
      <c r="K2543" s="805">
        <v>4927.37</v>
      </c>
    </row>
    <row r="2544" spans="3:11">
      <c r="C2544" s="861">
        <v>42070</v>
      </c>
      <c r="D2544" s="805">
        <v>33.19</v>
      </c>
      <c r="E2544" s="805">
        <v>5.6375000000000002</v>
      </c>
      <c r="F2544" s="806">
        <v>2.92</v>
      </c>
      <c r="G2544" s="805">
        <v>4.7139964565932697</v>
      </c>
      <c r="H2544" s="805">
        <v>127.89</v>
      </c>
      <c r="I2544" s="805">
        <v>28.5</v>
      </c>
      <c r="J2544" s="805">
        <v>2071.2600000000002</v>
      </c>
      <c r="K2544" s="805">
        <v>4927.37</v>
      </c>
    </row>
    <row r="2545" spans="3:11">
      <c r="C2545" s="861">
        <v>42069</v>
      </c>
      <c r="D2545" s="805">
        <v>33.19</v>
      </c>
      <c r="E2545" s="805">
        <v>5.6375000000000002</v>
      </c>
      <c r="F2545" s="806">
        <v>2.92</v>
      </c>
      <c r="G2545" s="805">
        <v>4.7139964565932697</v>
      </c>
      <c r="H2545" s="805">
        <v>127.89</v>
      </c>
      <c r="I2545" s="805">
        <v>28.5</v>
      </c>
      <c r="J2545" s="805">
        <v>2071.2600000000002</v>
      </c>
      <c r="K2545" s="805">
        <v>4927.37</v>
      </c>
    </row>
    <row r="2546" spans="3:11">
      <c r="C2546" s="861">
        <v>42068</v>
      </c>
      <c r="D2546" s="805">
        <v>33.729999999999997</v>
      </c>
      <c r="E2546" s="805">
        <v>5.7149999999999999</v>
      </c>
      <c r="F2546" s="806">
        <v>2.98</v>
      </c>
      <c r="G2546" s="805">
        <v>4.7606956963310898</v>
      </c>
      <c r="H2546" s="805">
        <v>130.57</v>
      </c>
      <c r="I2546" s="805">
        <v>29.28</v>
      </c>
      <c r="J2546" s="805">
        <v>2101.04</v>
      </c>
      <c r="K2546" s="805">
        <v>4982.8100000000004</v>
      </c>
    </row>
    <row r="2547" spans="3:11">
      <c r="C2547" s="861">
        <v>42067</v>
      </c>
      <c r="D2547" s="805">
        <v>34.119999999999997</v>
      </c>
      <c r="E2547" s="805">
        <v>5.6074999999999999</v>
      </c>
      <c r="F2547" s="806">
        <v>3.05</v>
      </c>
      <c r="G2547" s="805">
        <v>4.79375696767001</v>
      </c>
      <c r="H2547" s="805">
        <v>129.4</v>
      </c>
      <c r="I2547" s="805">
        <v>29.265000000000001</v>
      </c>
      <c r="J2547" s="805">
        <v>2098.5300000000002</v>
      </c>
      <c r="K2547" s="805">
        <v>4967.1409999999996</v>
      </c>
    </row>
    <row r="2548" spans="3:11">
      <c r="C2548" s="861">
        <v>42066</v>
      </c>
      <c r="D2548" s="805">
        <v>34.094999999999999</v>
      </c>
      <c r="E2548" s="805">
        <v>5.5449999999999999</v>
      </c>
      <c r="F2548" s="806">
        <v>3.14</v>
      </c>
      <c r="G2548" s="805">
        <v>4.8014037326527301</v>
      </c>
      <c r="H2548" s="805">
        <v>128.22</v>
      </c>
      <c r="I2548" s="805">
        <v>29.66</v>
      </c>
      <c r="J2548" s="805">
        <v>2107.7800000000002</v>
      </c>
      <c r="K2548" s="805">
        <v>4979.9009999999998</v>
      </c>
    </row>
    <row r="2549" spans="3:11">
      <c r="C2549" s="861">
        <v>42065</v>
      </c>
      <c r="D2549" s="805">
        <v>34.06</v>
      </c>
      <c r="E2549" s="805">
        <v>5.6487499999999997</v>
      </c>
      <c r="F2549" s="806">
        <v>3.21</v>
      </c>
      <c r="G2549" s="805">
        <v>4.7444674414902099</v>
      </c>
      <c r="H2549" s="805">
        <v>129.02000000000001</v>
      </c>
      <c r="I2549" s="805">
        <v>31.24</v>
      </c>
      <c r="J2549" s="805">
        <v>2117.39</v>
      </c>
      <c r="K2549" s="805">
        <v>5008.0959999999995</v>
      </c>
    </row>
    <row r="2550" spans="3:11">
      <c r="C2550" s="861">
        <v>42064</v>
      </c>
      <c r="D2550" s="805">
        <v>33.25</v>
      </c>
      <c r="E2550" s="805">
        <v>5.5149999999999997</v>
      </c>
      <c r="F2550" s="806">
        <v>3.11</v>
      </c>
      <c r="G2550" s="805">
        <v>4.7850693119674403</v>
      </c>
      <c r="H2550" s="805">
        <v>127.62</v>
      </c>
      <c r="I2550" s="805">
        <v>30.67</v>
      </c>
      <c r="J2550" s="805">
        <v>2104.5</v>
      </c>
      <c r="K2550" s="805">
        <v>4963.527</v>
      </c>
    </row>
    <row r="2551" spans="3:11">
      <c r="C2551" s="861">
        <v>42063</v>
      </c>
      <c r="D2551" s="805">
        <v>33.25</v>
      </c>
      <c r="E2551" s="805">
        <v>5.5149999999999997</v>
      </c>
      <c r="F2551" s="806">
        <v>3.11</v>
      </c>
      <c r="G2551" s="805">
        <v>4.7850693119674403</v>
      </c>
      <c r="H2551" s="805">
        <v>127.62</v>
      </c>
      <c r="I2551" s="805">
        <v>30.67</v>
      </c>
      <c r="J2551" s="805">
        <v>2104.5</v>
      </c>
      <c r="K2551" s="805">
        <v>4963.527</v>
      </c>
    </row>
    <row r="2552" spans="3:11">
      <c r="C2552" s="861">
        <v>42062</v>
      </c>
      <c r="D2552" s="805">
        <v>33.25</v>
      </c>
      <c r="E2552" s="805">
        <v>5.5149999999999997</v>
      </c>
      <c r="F2552" s="806">
        <v>3.11</v>
      </c>
      <c r="G2552" s="805">
        <v>4.7850693119674403</v>
      </c>
      <c r="H2552" s="805">
        <v>127.62</v>
      </c>
      <c r="I2552" s="805">
        <v>30.67</v>
      </c>
      <c r="J2552" s="805">
        <v>2104.5</v>
      </c>
      <c r="K2552" s="805">
        <v>4963.527</v>
      </c>
    </row>
    <row r="2553" spans="3:11">
      <c r="C2553" s="861">
        <v>42061</v>
      </c>
      <c r="D2553" s="805">
        <v>33.65</v>
      </c>
      <c r="E2553" s="805">
        <v>5.55</v>
      </c>
      <c r="F2553" s="806">
        <v>3.08</v>
      </c>
      <c r="G2553" s="805">
        <v>4.7850693119674403</v>
      </c>
      <c r="H2553" s="805">
        <v>129.25</v>
      </c>
      <c r="I2553" s="805">
        <v>30.62</v>
      </c>
      <c r="J2553" s="805">
        <v>2110.7399999999998</v>
      </c>
      <c r="K2553" s="805">
        <v>4987.8900000000003</v>
      </c>
    </row>
    <row r="2554" spans="3:11">
      <c r="C2554" s="861">
        <v>42060</v>
      </c>
      <c r="D2554" s="805">
        <v>33.945</v>
      </c>
      <c r="E2554" s="805">
        <v>5.5350000000000001</v>
      </c>
      <c r="F2554" s="806">
        <v>3.1</v>
      </c>
      <c r="G2554" s="805">
        <v>4.9195987900015901</v>
      </c>
      <c r="H2554" s="805">
        <v>112.68</v>
      </c>
      <c r="I2554" s="805">
        <v>30.48</v>
      </c>
      <c r="J2554" s="805">
        <v>2113.86</v>
      </c>
      <c r="K2554" s="805">
        <v>4967.1369999999997</v>
      </c>
    </row>
    <row r="2555" spans="3:11">
      <c r="C2555" s="861">
        <v>42059</v>
      </c>
      <c r="D2555" s="805">
        <v>34.409999999999997</v>
      </c>
      <c r="E2555" s="805">
        <v>5.5774999999999997</v>
      </c>
      <c r="F2555" s="806">
        <v>3.11</v>
      </c>
      <c r="G2555" s="805">
        <v>4.7730433683145801</v>
      </c>
      <c r="H2555" s="805">
        <v>113.18</v>
      </c>
      <c r="I2555" s="805">
        <v>30.77</v>
      </c>
      <c r="J2555" s="805">
        <v>2115.48</v>
      </c>
      <c r="K2555" s="805">
        <v>4968.1220000000003</v>
      </c>
    </row>
    <row r="2556" spans="3:11">
      <c r="C2556" s="861">
        <v>42058</v>
      </c>
      <c r="D2556" s="805">
        <v>33.76</v>
      </c>
      <c r="E2556" s="805">
        <v>5.54</v>
      </c>
      <c r="F2556" s="806">
        <v>3.06</v>
      </c>
      <c r="G2556" s="805">
        <v>4.7438027089189898</v>
      </c>
      <c r="H2556" s="805">
        <v>112.85</v>
      </c>
      <c r="I2556" s="805">
        <v>31.4</v>
      </c>
      <c r="J2556" s="805">
        <v>2109.66</v>
      </c>
      <c r="K2556" s="805">
        <v>4960.9719999999998</v>
      </c>
    </row>
    <row r="2557" spans="3:11">
      <c r="C2557" s="861">
        <v>42057</v>
      </c>
      <c r="D2557" s="805">
        <v>34.409999999999997</v>
      </c>
      <c r="E2557" s="805">
        <v>5.5837500000000002</v>
      </c>
      <c r="F2557" s="806">
        <v>3.06</v>
      </c>
      <c r="G2557" s="805">
        <v>4.7438027089189898</v>
      </c>
      <c r="H2557" s="805">
        <v>112.06</v>
      </c>
      <c r="I2557" s="805">
        <v>32.03</v>
      </c>
      <c r="J2557" s="805">
        <v>2110.3000000000002</v>
      </c>
      <c r="K2557" s="805">
        <v>4955.9660000000003</v>
      </c>
    </row>
    <row r="2558" spans="3:11">
      <c r="C2558" s="861">
        <v>42056</v>
      </c>
      <c r="D2558" s="805">
        <v>34.409999999999997</v>
      </c>
      <c r="E2558" s="805">
        <v>5.5837500000000002</v>
      </c>
      <c r="F2558" s="806">
        <v>3.06</v>
      </c>
      <c r="G2558" s="805">
        <v>4.7438027089189898</v>
      </c>
      <c r="H2558" s="805">
        <v>112.06</v>
      </c>
      <c r="I2558" s="805">
        <v>32.03</v>
      </c>
      <c r="J2558" s="805">
        <v>2110.3000000000002</v>
      </c>
      <c r="K2558" s="805">
        <v>4955.9660000000003</v>
      </c>
    </row>
    <row r="2559" spans="3:11">
      <c r="C2559" s="861">
        <v>42055</v>
      </c>
      <c r="D2559" s="805">
        <v>34.409999999999997</v>
      </c>
      <c r="E2559" s="805">
        <v>5.5837500000000002</v>
      </c>
      <c r="F2559" s="806">
        <v>3.06</v>
      </c>
      <c r="G2559" s="805">
        <v>4.7438027089189898</v>
      </c>
      <c r="H2559" s="805">
        <v>112.06</v>
      </c>
      <c r="I2559" s="805">
        <v>32.03</v>
      </c>
      <c r="J2559" s="805">
        <v>2110.3000000000002</v>
      </c>
      <c r="K2559" s="805">
        <v>4955.9660000000003</v>
      </c>
    </row>
    <row r="2560" spans="3:11">
      <c r="C2560" s="861">
        <v>42054</v>
      </c>
      <c r="D2560" s="805">
        <v>34.21</v>
      </c>
      <c r="E2560" s="805">
        <v>5.5437500000000002</v>
      </c>
      <c r="F2560" s="806">
        <v>3.0550000000000002</v>
      </c>
      <c r="G2560" s="805">
        <v>4.7438027089189898</v>
      </c>
      <c r="H2560" s="805">
        <v>110.9</v>
      </c>
      <c r="I2560" s="805">
        <v>31.81</v>
      </c>
      <c r="J2560" s="805">
        <v>2097.4499999999998</v>
      </c>
      <c r="K2560" s="805">
        <v>4924.7</v>
      </c>
    </row>
    <row r="2561" spans="3:11">
      <c r="C2561" s="861">
        <v>42053</v>
      </c>
      <c r="D2561" s="805">
        <v>34.265000000000001</v>
      </c>
      <c r="E2561" s="805">
        <v>5.53</v>
      </c>
      <c r="F2561" s="806">
        <v>3.08</v>
      </c>
      <c r="G2561" s="805">
        <v>4.7438027089189898</v>
      </c>
      <c r="H2561" s="805">
        <v>110</v>
      </c>
      <c r="I2561" s="805">
        <v>32.17</v>
      </c>
      <c r="J2561" s="805">
        <v>2099.6799999999998</v>
      </c>
      <c r="K2561" s="805">
        <v>4906.3630000000003</v>
      </c>
    </row>
    <row r="2562" spans="3:11">
      <c r="C2562" s="861">
        <v>42052</v>
      </c>
      <c r="D2562" s="805">
        <v>34.734999999999999</v>
      </c>
      <c r="E2562" s="805">
        <v>5.59375</v>
      </c>
      <c r="F2562" s="806">
        <v>3.11</v>
      </c>
      <c r="G2562" s="805">
        <v>4.7438027089189898</v>
      </c>
      <c r="H2562" s="805">
        <v>110.87</v>
      </c>
      <c r="I2562" s="805">
        <v>32.33</v>
      </c>
      <c r="J2562" s="805">
        <v>2100.34</v>
      </c>
      <c r="K2562" s="805">
        <v>4899.2669999999998</v>
      </c>
    </row>
    <row r="2563" spans="3:11">
      <c r="C2563" s="861">
        <v>42051</v>
      </c>
      <c r="D2563" s="805">
        <v>34.36</v>
      </c>
      <c r="E2563" s="805">
        <v>5.5774999999999997</v>
      </c>
      <c r="F2563" s="806">
        <v>3.15</v>
      </c>
      <c r="G2563" s="805">
        <v>4.7438027089189898</v>
      </c>
      <c r="H2563" s="805">
        <v>110.15</v>
      </c>
      <c r="I2563" s="805">
        <v>31.85</v>
      </c>
      <c r="J2563" s="805">
        <v>2096.9899999999998</v>
      </c>
      <c r="K2563" s="805">
        <v>4893.8360000000002</v>
      </c>
    </row>
    <row r="2564" spans="3:11">
      <c r="C2564" s="861">
        <v>42050</v>
      </c>
      <c r="D2564" s="805">
        <v>34.36</v>
      </c>
      <c r="E2564" s="805">
        <v>5.5774999999999997</v>
      </c>
      <c r="F2564" s="806">
        <v>3.15</v>
      </c>
      <c r="G2564" s="805">
        <v>4.7438027089189898</v>
      </c>
      <c r="H2564" s="805">
        <v>110.15</v>
      </c>
      <c r="I2564" s="805">
        <v>31.85</v>
      </c>
      <c r="J2564" s="805">
        <v>2096.9899999999998</v>
      </c>
      <c r="K2564" s="805">
        <v>4893.8360000000002</v>
      </c>
    </row>
    <row r="2565" spans="3:11">
      <c r="C2565" s="861">
        <v>42049</v>
      </c>
      <c r="D2565" s="805">
        <v>34.36</v>
      </c>
      <c r="E2565" s="805">
        <v>5.5774999999999997</v>
      </c>
      <c r="F2565" s="806">
        <v>3.15</v>
      </c>
      <c r="G2565" s="805">
        <v>4.7438027089189898</v>
      </c>
      <c r="H2565" s="805">
        <v>110.15</v>
      </c>
      <c r="I2565" s="805">
        <v>31.85</v>
      </c>
      <c r="J2565" s="805">
        <v>2096.9899999999998</v>
      </c>
      <c r="K2565" s="805">
        <v>4893.8360000000002</v>
      </c>
    </row>
    <row r="2566" spans="3:11">
      <c r="C2566" s="861">
        <v>42048</v>
      </c>
      <c r="D2566" s="805">
        <v>34.36</v>
      </c>
      <c r="E2566" s="805">
        <v>5.5774999999999997</v>
      </c>
      <c r="F2566" s="806">
        <v>3.15</v>
      </c>
      <c r="G2566" s="805">
        <v>4.7438027089189898</v>
      </c>
      <c r="H2566" s="805">
        <v>110.15</v>
      </c>
      <c r="I2566" s="805">
        <v>31.85</v>
      </c>
      <c r="J2566" s="805">
        <v>2096.9899999999998</v>
      </c>
      <c r="K2566" s="805">
        <v>4893.8360000000002</v>
      </c>
    </row>
    <row r="2567" spans="3:11">
      <c r="C2567" s="861">
        <v>42047</v>
      </c>
      <c r="D2567" s="805">
        <v>34.125</v>
      </c>
      <c r="E2567" s="805">
        <v>5.5750000000000002</v>
      </c>
      <c r="F2567" s="806">
        <v>3.12</v>
      </c>
      <c r="G2567" s="805">
        <v>4.7463802857416804</v>
      </c>
      <c r="H2567" s="805">
        <v>109.7</v>
      </c>
      <c r="I2567" s="805">
        <v>31.94</v>
      </c>
      <c r="J2567" s="805">
        <v>2088.48</v>
      </c>
      <c r="K2567" s="805">
        <v>4857.6120000000001</v>
      </c>
    </row>
    <row r="2568" spans="3:11">
      <c r="C2568" s="861">
        <v>42046</v>
      </c>
      <c r="D2568" s="805">
        <v>33.549999999999997</v>
      </c>
      <c r="E2568" s="805">
        <v>5.2024999999999997</v>
      </c>
      <c r="F2568" s="806">
        <v>3.07</v>
      </c>
      <c r="G2568" s="805">
        <v>4.68265519205214</v>
      </c>
      <c r="H2568" s="805">
        <v>107.94</v>
      </c>
      <c r="I2568" s="805">
        <v>31.02</v>
      </c>
      <c r="J2568" s="805">
        <v>2068.5300000000002</v>
      </c>
      <c r="K2568" s="805">
        <v>4801.1809999999996</v>
      </c>
    </row>
    <row r="2569" spans="3:11">
      <c r="C2569" s="861">
        <v>42045</v>
      </c>
      <c r="D2569" s="805">
        <v>33.700000000000003</v>
      </c>
      <c r="E2569" s="805">
        <v>5.2374999999999998</v>
      </c>
      <c r="F2569" s="806">
        <v>3.04</v>
      </c>
      <c r="G2569" s="805">
        <v>4.5152091254752902</v>
      </c>
      <c r="H2569" s="805">
        <v>107.04</v>
      </c>
      <c r="I2569" s="805">
        <v>31.09</v>
      </c>
      <c r="J2569" s="805">
        <v>2068.59</v>
      </c>
      <c r="K2569" s="805">
        <v>4787.6450000000004</v>
      </c>
    </row>
    <row r="2570" spans="3:11">
      <c r="C2570" s="861">
        <v>42044</v>
      </c>
      <c r="D2570" s="805">
        <v>32.93</v>
      </c>
      <c r="E2570" s="805">
        <v>5.0949999999999998</v>
      </c>
      <c r="F2570" s="806">
        <v>3.04</v>
      </c>
      <c r="G2570" s="805">
        <v>4.49936628643853</v>
      </c>
      <c r="H2570" s="805">
        <v>102.24</v>
      </c>
      <c r="I2570" s="805">
        <v>28.35</v>
      </c>
      <c r="J2570" s="805">
        <v>2046.74</v>
      </c>
      <c r="K2570" s="805">
        <v>4726.0119999999997</v>
      </c>
    </row>
    <row r="2571" spans="3:11">
      <c r="C2571" s="861">
        <v>42043</v>
      </c>
      <c r="D2571" s="805">
        <v>33.295000000000002</v>
      </c>
      <c r="E2571" s="805">
        <v>5.0999999999999996</v>
      </c>
      <c r="F2571" s="806">
        <v>3.03</v>
      </c>
      <c r="G2571" s="805">
        <v>4.5233124565066101</v>
      </c>
      <c r="H2571" s="805">
        <v>104.74</v>
      </c>
      <c r="I2571" s="805">
        <v>28.91</v>
      </c>
      <c r="J2571" s="805">
        <v>2055.4699999999998</v>
      </c>
      <c r="K2571" s="805">
        <v>4744.3980000000001</v>
      </c>
    </row>
    <row r="2572" spans="3:11">
      <c r="C2572" s="861">
        <v>42042</v>
      </c>
      <c r="D2572" s="805">
        <v>33.295000000000002</v>
      </c>
      <c r="E2572" s="805">
        <v>5.0999999999999996</v>
      </c>
      <c r="F2572" s="806">
        <v>3.03</v>
      </c>
      <c r="G2572" s="805">
        <v>4.5233124565066101</v>
      </c>
      <c r="H2572" s="805">
        <v>104.74</v>
      </c>
      <c r="I2572" s="805">
        <v>28.91</v>
      </c>
      <c r="J2572" s="805">
        <v>2055.4699999999998</v>
      </c>
      <c r="K2572" s="805">
        <v>4744.3980000000001</v>
      </c>
    </row>
    <row r="2573" spans="3:11">
      <c r="C2573" s="861">
        <v>42041</v>
      </c>
      <c r="D2573" s="805">
        <v>33.295000000000002</v>
      </c>
      <c r="E2573" s="805">
        <v>5.0999999999999996</v>
      </c>
      <c r="F2573" s="806">
        <v>3.03</v>
      </c>
      <c r="G2573" s="805">
        <v>4.5233124565066101</v>
      </c>
      <c r="H2573" s="805">
        <v>104.74</v>
      </c>
      <c r="I2573" s="805">
        <v>28.91</v>
      </c>
      <c r="J2573" s="805">
        <v>2055.4699999999998</v>
      </c>
      <c r="K2573" s="805">
        <v>4744.3980000000001</v>
      </c>
    </row>
    <row r="2574" spans="3:11">
      <c r="C2574" s="861">
        <v>42040</v>
      </c>
      <c r="D2574" s="805">
        <v>33.94</v>
      </c>
      <c r="E2574" s="805">
        <v>5.1212499999999999</v>
      </c>
      <c r="F2574" s="806">
        <v>3.31</v>
      </c>
      <c r="G2574" s="805">
        <v>4.6212482134349697</v>
      </c>
      <c r="H2574" s="805">
        <v>106.2</v>
      </c>
      <c r="I2574" s="805">
        <v>29.49</v>
      </c>
      <c r="J2574" s="805">
        <v>2062.52</v>
      </c>
      <c r="K2574" s="805">
        <v>4765.0969999999998</v>
      </c>
    </row>
    <row r="2575" spans="3:11">
      <c r="C2575" s="861">
        <v>42039</v>
      </c>
      <c r="D2575" s="805">
        <v>33.6</v>
      </c>
      <c r="E2575" s="805">
        <v>5.04</v>
      </c>
      <c r="F2575" s="806">
        <v>2.85</v>
      </c>
      <c r="G2575" s="805">
        <v>4.6408137317228197</v>
      </c>
      <c r="H2575" s="805">
        <v>104.8</v>
      </c>
      <c r="I2575" s="805">
        <v>29.03</v>
      </c>
      <c r="J2575" s="805">
        <v>2041.51</v>
      </c>
      <c r="K2575" s="805">
        <v>4716.7030000000004</v>
      </c>
    </row>
    <row r="2576" spans="3:11">
      <c r="C2576" s="861">
        <v>42038</v>
      </c>
      <c r="D2576" s="805">
        <v>33.700000000000003</v>
      </c>
      <c r="E2576" s="805">
        <v>5.0274999999999999</v>
      </c>
      <c r="F2576" s="806">
        <v>2.76</v>
      </c>
      <c r="G2576" s="805">
        <v>4.5921123716909804</v>
      </c>
      <c r="H2576" s="805">
        <v>103.2</v>
      </c>
      <c r="I2576" s="805">
        <v>28.945</v>
      </c>
      <c r="J2576" s="805">
        <v>2050.0300000000002</v>
      </c>
      <c r="K2576" s="805">
        <v>4727.7380000000003</v>
      </c>
    </row>
    <row r="2577" spans="3:11">
      <c r="C2577" s="861">
        <v>42037</v>
      </c>
      <c r="D2577" s="805">
        <v>33.65</v>
      </c>
      <c r="E2577" s="805">
        <v>4.9050000000000002</v>
      </c>
      <c r="F2577" s="806">
        <v>2.67</v>
      </c>
      <c r="G2577" s="805">
        <v>4.51435088386238</v>
      </c>
      <c r="H2577" s="805">
        <v>102.42</v>
      </c>
      <c r="I2577" s="805">
        <v>28.434999999999999</v>
      </c>
      <c r="J2577" s="805">
        <v>2020.85</v>
      </c>
      <c r="K2577" s="805">
        <v>4676.6890000000003</v>
      </c>
    </row>
    <row r="2578" spans="3:11">
      <c r="C2578" s="861">
        <v>42036</v>
      </c>
      <c r="D2578" s="805">
        <v>33.04</v>
      </c>
      <c r="E2578" s="805">
        <v>4.8012499999999996</v>
      </c>
      <c r="F2578" s="806">
        <v>2.57</v>
      </c>
      <c r="G2578" s="805">
        <v>4.4437440907658399</v>
      </c>
      <c r="H2578" s="805">
        <v>102.88</v>
      </c>
      <c r="I2578" s="805">
        <v>29.265000000000001</v>
      </c>
      <c r="J2578" s="805">
        <v>1994.99</v>
      </c>
      <c r="K2578" s="805">
        <v>4635.24</v>
      </c>
    </row>
    <row r="2579" spans="3:11">
      <c r="C2579" s="861">
        <v>42035</v>
      </c>
      <c r="D2579" s="805">
        <v>33.04</v>
      </c>
      <c r="E2579" s="805">
        <v>4.8012499999999996</v>
      </c>
      <c r="F2579" s="806">
        <v>2.57</v>
      </c>
      <c r="G2579" s="805">
        <v>4.4437440907658399</v>
      </c>
      <c r="H2579" s="805">
        <v>102.88</v>
      </c>
      <c r="I2579" s="805">
        <v>29.265000000000001</v>
      </c>
      <c r="J2579" s="805">
        <v>1994.99</v>
      </c>
      <c r="K2579" s="805">
        <v>4635.24</v>
      </c>
    </row>
    <row r="2580" spans="3:11">
      <c r="C2580" s="861">
        <v>42034</v>
      </c>
      <c r="D2580" s="805">
        <v>33.04</v>
      </c>
      <c r="E2580" s="805">
        <v>4.8012499999999996</v>
      </c>
      <c r="F2580" s="806">
        <v>2.57</v>
      </c>
      <c r="G2580" s="805">
        <v>4.4437440907658399</v>
      </c>
      <c r="H2580" s="805">
        <v>102.88</v>
      </c>
      <c r="I2580" s="805">
        <v>29.265000000000001</v>
      </c>
      <c r="J2580" s="805">
        <v>1994.99</v>
      </c>
      <c r="K2580" s="805">
        <v>4635.24</v>
      </c>
    </row>
    <row r="2581" spans="3:11">
      <c r="C2581" s="861">
        <v>42033</v>
      </c>
      <c r="D2581" s="805">
        <v>34.21</v>
      </c>
      <c r="E2581" s="805">
        <v>4.9450000000000003</v>
      </c>
      <c r="F2581" s="806">
        <v>2.61</v>
      </c>
      <c r="G2581" s="805">
        <v>4.54646263029497</v>
      </c>
      <c r="H2581" s="805">
        <v>106.53</v>
      </c>
      <c r="I2581" s="805">
        <v>29.71</v>
      </c>
      <c r="J2581" s="805">
        <v>2021.25</v>
      </c>
      <c r="K2581" s="805">
        <v>4683.4070000000002</v>
      </c>
    </row>
    <row r="2582" spans="3:11">
      <c r="C2582" s="861">
        <v>42032</v>
      </c>
      <c r="D2582" s="805">
        <v>33.774999999999999</v>
      </c>
      <c r="E2582" s="805">
        <v>4.8274999999999997</v>
      </c>
      <c r="F2582" s="806">
        <v>2.63</v>
      </c>
      <c r="G2582" s="805">
        <v>4.6937075483788302</v>
      </c>
      <c r="H2582" s="805">
        <v>105</v>
      </c>
      <c r="I2582" s="805">
        <v>29.094999999999999</v>
      </c>
      <c r="J2582" s="805">
        <v>2002.16</v>
      </c>
      <c r="K2582" s="805">
        <v>4637.9939999999997</v>
      </c>
    </row>
    <row r="2583" spans="3:11">
      <c r="C2583" s="861">
        <v>42031</v>
      </c>
      <c r="D2583" s="805">
        <v>34.185000000000002</v>
      </c>
      <c r="E2583" s="805">
        <v>4.9074999999999998</v>
      </c>
      <c r="F2583" s="806">
        <v>2.7</v>
      </c>
      <c r="G2583" s="805">
        <v>4.7361299052773997</v>
      </c>
      <c r="H2583" s="805">
        <v>104.79</v>
      </c>
      <c r="I2583" s="805">
        <v>29.65</v>
      </c>
      <c r="J2583" s="805">
        <v>2029.55</v>
      </c>
      <c r="K2583" s="805">
        <v>4681.4970000000003</v>
      </c>
    </row>
    <row r="2584" spans="3:11">
      <c r="C2584" s="861">
        <v>42030</v>
      </c>
      <c r="D2584" s="805">
        <v>35.805</v>
      </c>
      <c r="E2584" s="805">
        <v>5.1537499999999996</v>
      </c>
      <c r="F2584" s="806">
        <v>2.61</v>
      </c>
      <c r="G2584" s="805">
        <v>4.6318479476121999</v>
      </c>
      <c r="H2584" s="805">
        <v>106.73</v>
      </c>
      <c r="I2584" s="805">
        <v>31.02</v>
      </c>
      <c r="J2584" s="805">
        <v>2057.09</v>
      </c>
      <c r="K2584" s="805">
        <v>4771.7629999999999</v>
      </c>
    </row>
    <row r="2585" spans="3:11">
      <c r="C2585" s="861">
        <v>42029</v>
      </c>
      <c r="D2585" s="805">
        <v>36.445</v>
      </c>
      <c r="E2585" s="805">
        <v>5.1775000000000002</v>
      </c>
      <c r="F2585" s="806">
        <v>2.4500000000000002</v>
      </c>
      <c r="G2585" s="805">
        <v>4.6414852752880904</v>
      </c>
      <c r="H2585" s="805">
        <v>106.98</v>
      </c>
      <c r="I2585" s="805">
        <v>30.95</v>
      </c>
      <c r="J2585" s="805">
        <v>2051.8200000000002</v>
      </c>
      <c r="K2585" s="805">
        <v>4757.8789999999999</v>
      </c>
    </row>
    <row r="2586" spans="3:11">
      <c r="C2586" s="861">
        <v>42028</v>
      </c>
      <c r="D2586" s="805">
        <v>36.445</v>
      </c>
      <c r="E2586" s="805">
        <v>5.1775000000000002</v>
      </c>
      <c r="F2586" s="806">
        <v>2.4500000000000002</v>
      </c>
      <c r="G2586" s="805">
        <v>4.6414852752880904</v>
      </c>
      <c r="H2586" s="805">
        <v>106.98</v>
      </c>
      <c r="I2586" s="805">
        <v>30.95</v>
      </c>
      <c r="J2586" s="805">
        <v>2051.8200000000002</v>
      </c>
      <c r="K2586" s="805">
        <v>4757.8789999999999</v>
      </c>
    </row>
    <row r="2587" spans="3:11">
      <c r="C2587" s="861">
        <v>42027</v>
      </c>
      <c r="D2587" s="805">
        <v>36.445</v>
      </c>
      <c r="E2587" s="805">
        <v>5.1775000000000002</v>
      </c>
      <c r="F2587" s="806">
        <v>2.4500000000000002</v>
      </c>
      <c r="G2587" s="805">
        <v>4.6414852752880904</v>
      </c>
      <c r="H2587" s="805">
        <v>106.98</v>
      </c>
      <c r="I2587" s="805">
        <v>30.95</v>
      </c>
      <c r="J2587" s="805">
        <v>2051.8200000000002</v>
      </c>
      <c r="K2587" s="805">
        <v>4757.8789999999999</v>
      </c>
    </row>
    <row r="2588" spans="3:11">
      <c r="C2588" s="861">
        <v>42026</v>
      </c>
      <c r="D2588" s="805">
        <v>36.909999999999997</v>
      </c>
      <c r="E2588" s="805">
        <v>5.1624999999999996</v>
      </c>
      <c r="F2588" s="806">
        <v>2.4700000000000002</v>
      </c>
      <c r="G2588" s="805">
        <v>4.4564698392487703</v>
      </c>
      <c r="H2588" s="805">
        <v>105.2</v>
      </c>
      <c r="I2588" s="805">
        <v>30.89</v>
      </c>
      <c r="J2588" s="805">
        <v>2063.15</v>
      </c>
      <c r="K2588" s="805">
        <v>4750.3969999999999</v>
      </c>
    </row>
    <row r="2589" spans="3:11">
      <c r="C2589" s="861">
        <v>42025</v>
      </c>
      <c r="D2589" s="805">
        <v>36.479999999999997</v>
      </c>
      <c r="E2589" s="805">
        <v>5.0750000000000002</v>
      </c>
      <c r="F2589" s="806">
        <v>2.4500000000000002</v>
      </c>
      <c r="G2589" s="805">
        <v>4.4778963414634196</v>
      </c>
      <c r="H2589" s="805">
        <v>105.38</v>
      </c>
      <c r="I2589" s="805">
        <v>30.49</v>
      </c>
      <c r="J2589" s="805">
        <v>2032.12</v>
      </c>
      <c r="K2589" s="805">
        <v>4667.4210000000003</v>
      </c>
    </row>
    <row r="2590" spans="3:11">
      <c r="C2590" s="861">
        <v>42024</v>
      </c>
      <c r="D2590" s="805">
        <v>36.090000000000003</v>
      </c>
      <c r="E2590" s="805">
        <v>5.0049999999999999</v>
      </c>
      <c r="F2590" s="806">
        <v>2.2400000000000002</v>
      </c>
      <c r="G2590" s="805">
        <v>4.35963859227902</v>
      </c>
      <c r="H2590" s="805">
        <v>104.87</v>
      </c>
      <c r="I2590" s="805">
        <v>29.67</v>
      </c>
      <c r="J2590" s="805">
        <v>2022.55</v>
      </c>
      <c r="K2590" s="805">
        <v>4654.8459999999995</v>
      </c>
    </row>
    <row r="2591" spans="3:11">
      <c r="C2591" s="861">
        <v>42023</v>
      </c>
      <c r="D2591" s="805">
        <v>36.450000000000003</v>
      </c>
      <c r="E2591" s="805">
        <v>4.99</v>
      </c>
      <c r="F2591" s="806">
        <v>2.39</v>
      </c>
      <c r="G2591" s="805">
        <v>4.4156421741478402</v>
      </c>
      <c r="H2591" s="805">
        <v>103.82</v>
      </c>
      <c r="I2591" s="805">
        <v>28.99</v>
      </c>
      <c r="J2591" s="805">
        <v>2019.42</v>
      </c>
      <c r="K2591" s="805">
        <v>4634.384</v>
      </c>
    </row>
    <row r="2592" spans="3:11">
      <c r="C2592" s="861">
        <v>42022</v>
      </c>
      <c r="D2592" s="805">
        <v>36.450000000000003</v>
      </c>
      <c r="E2592" s="805">
        <v>4.99</v>
      </c>
      <c r="F2592" s="806">
        <v>2.39</v>
      </c>
      <c r="G2592" s="805">
        <v>4.3548745986839998</v>
      </c>
      <c r="H2592" s="805">
        <v>103.82</v>
      </c>
      <c r="I2592" s="805">
        <v>28.99</v>
      </c>
      <c r="J2592" s="805">
        <v>2019.42</v>
      </c>
      <c r="K2592" s="805">
        <v>4634.384</v>
      </c>
    </row>
    <row r="2593" spans="3:11">
      <c r="C2593" s="861">
        <v>42021</v>
      </c>
      <c r="D2593" s="805">
        <v>36.450000000000003</v>
      </c>
      <c r="E2593" s="805">
        <v>4.99</v>
      </c>
      <c r="F2593" s="806">
        <v>2.39</v>
      </c>
      <c r="G2593" s="805">
        <v>4.3548745986839998</v>
      </c>
      <c r="H2593" s="805">
        <v>103.82</v>
      </c>
      <c r="I2593" s="805">
        <v>28.99</v>
      </c>
      <c r="J2593" s="805">
        <v>2019.42</v>
      </c>
      <c r="K2593" s="805">
        <v>4634.384</v>
      </c>
    </row>
    <row r="2594" spans="3:11">
      <c r="C2594" s="861">
        <v>42020</v>
      </c>
      <c r="D2594" s="805">
        <v>36.450000000000003</v>
      </c>
      <c r="E2594" s="805">
        <v>4.99</v>
      </c>
      <c r="F2594" s="806">
        <v>2.39</v>
      </c>
      <c r="G2594" s="805">
        <v>4.3548745986839998</v>
      </c>
      <c r="H2594" s="805">
        <v>103.82</v>
      </c>
      <c r="I2594" s="805">
        <v>28.99</v>
      </c>
      <c r="J2594" s="805">
        <v>2019.42</v>
      </c>
      <c r="K2594" s="805">
        <v>4634.384</v>
      </c>
    </row>
    <row r="2595" spans="3:11">
      <c r="C2595" s="861">
        <v>42019</v>
      </c>
      <c r="D2595" s="805">
        <v>36.19</v>
      </c>
      <c r="E2595" s="805">
        <v>4.9000000000000004</v>
      </c>
      <c r="F2595" s="806">
        <v>2.52</v>
      </c>
      <c r="G2595" s="805">
        <v>4.1545557942626097</v>
      </c>
      <c r="H2595" s="805">
        <v>101.32</v>
      </c>
      <c r="I2595" s="805">
        <v>29.3</v>
      </c>
      <c r="J2595" s="805">
        <v>1992.67</v>
      </c>
      <c r="K2595" s="805">
        <v>4570.8239999999996</v>
      </c>
    </row>
    <row r="2596" spans="3:11">
      <c r="C2596" s="861">
        <v>42018</v>
      </c>
      <c r="D2596" s="805">
        <v>36.35</v>
      </c>
      <c r="E2596" s="805">
        <v>4.9349999999999996</v>
      </c>
      <c r="F2596" s="806">
        <v>2.63</v>
      </c>
      <c r="G2596" s="805">
        <v>4.08766468572147</v>
      </c>
      <c r="H2596" s="805">
        <v>103.39</v>
      </c>
      <c r="I2596" s="805">
        <v>30.05</v>
      </c>
      <c r="J2596" s="805">
        <v>2011.27</v>
      </c>
      <c r="K2596" s="805">
        <v>4639.3220000000001</v>
      </c>
    </row>
    <row r="2597" spans="3:11">
      <c r="C2597" s="861">
        <v>42017</v>
      </c>
      <c r="D2597" s="805">
        <v>36.5</v>
      </c>
      <c r="E2597" s="805">
        <v>4.9137500000000003</v>
      </c>
      <c r="F2597" s="806">
        <v>2.66</v>
      </c>
      <c r="G2597" s="805">
        <v>4.1633935585231701</v>
      </c>
      <c r="H2597" s="805">
        <v>102.58</v>
      </c>
      <c r="I2597" s="805">
        <v>30.835000000000001</v>
      </c>
      <c r="J2597" s="805">
        <v>2023.03</v>
      </c>
      <c r="K2597" s="805">
        <v>4661.4970000000003</v>
      </c>
    </row>
    <row r="2598" spans="3:11">
      <c r="C2598" s="861">
        <v>42016</v>
      </c>
      <c r="D2598" s="805">
        <v>36.6</v>
      </c>
      <c r="E2598" s="805">
        <v>4.9225000000000003</v>
      </c>
      <c r="F2598" s="806">
        <v>2.63</v>
      </c>
      <c r="G2598" s="805">
        <v>4.1418261688107902</v>
      </c>
      <c r="H2598" s="805">
        <v>103.16</v>
      </c>
      <c r="I2598" s="805">
        <v>31.66</v>
      </c>
      <c r="J2598" s="805">
        <v>2028.26</v>
      </c>
      <c r="K2598" s="805">
        <v>4664.7070000000003</v>
      </c>
    </row>
    <row r="2599" spans="3:11">
      <c r="C2599" s="861">
        <v>42015</v>
      </c>
      <c r="D2599" s="805">
        <v>36.76</v>
      </c>
      <c r="E2599" s="805">
        <v>4.9850000000000003</v>
      </c>
      <c r="F2599" s="806">
        <v>2.63</v>
      </c>
      <c r="G2599" s="805">
        <v>4.2008903379522202</v>
      </c>
      <c r="H2599" s="805">
        <v>104.895</v>
      </c>
      <c r="I2599" s="805">
        <v>33.524999999999999</v>
      </c>
      <c r="J2599" s="805">
        <v>2044.81</v>
      </c>
      <c r="K2599" s="805">
        <v>4704.0659999999998</v>
      </c>
    </row>
    <row r="2600" spans="3:11">
      <c r="C2600" s="861">
        <v>42014</v>
      </c>
      <c r="D2600" s="805">
        <v>36.76</v>
      </c>
      <c r="E2600" s="805">
        <v>4.9850000000000003</v>
      </c>
      <c r="F2600" s="806">
        <v>2.63</v>
      </c>
      <c r="G2600" s="805">
        <v>4.2008903379522202</v>
      </c>
      <c r="H2600" s="805">
        <v>104.895</v>
      </c>
      <c r="I2600" s="805">
        <v>33.524999999999999</v>
      </c>
      <c r="J2600" s="805">
        <v>2044.81</v>
      </c>
      <c r="K2600" s="805">
        <v>4704.0659999999998</v>
      </c>
    </row>
    <row r="2601" spans="3:11">
      <c r="C2601" s="861">
        <v>42013</v>
      </c>
      <c r="D2601" s="805">
        <v>36.76</v>
      </c>
      <c r="E2601" s="805">
        <v>4.9850000000000003</v>
      </c>
      <c r="F2601" s="806">
        <v>2.63</v>
      </c>
      <c r="G2601" s="805">
        <v>4.2008903379522202</v>
      </c>
      <c r="H2601" s="805">
        <v>104.895</v>
      </c>
      <c r="I2601" s="805">
        <v>33.524999999999999</v>
      </c>
      <c r="J2601" s="805">
        <v>2044.81</v>
      </c>
      <c r="K2601" s="805">
        <v>4704.0659999999998</v>
      </c>
    </row>
    <row r="2602" spans="3:11">
      <c r="C2602" s="861">
        <v>42012</v>
      </c>
      <c r="D2602" s="805">
        <v>36.69</v>
      </c>
      <c r="E2602" s="805">
        <v>4.9649999999999999</v>
      </c>
      <c r="F2602" s="806">
        <v>2.61</v>
      </c>
      <c r="G2602" s="805">
        <v>4.3172219615204099</v>
      </c>
      <c r="H2602" s="805">
        <v>103.79</v>
      </c>
      <c r="I2602" s="805">
        <v>33.67</v>
      </c>
      <c r="J2602" s="805">
        <v>2062.14</v>
      </c>
      <c r="K2602" s="805">
        <v>4736.1880000000001</v>
      </c>
    </row>
    <row r="2603" spans="3:11">
      <c r="C2603" s="861">
        <v>42011</v>
      </c>
      <c r="D2603" s="805">
        <v>36.020000000000003</v>
      </c>
      <c r="E2603" s="805">
        <v>4.7837500000000004</v>
      </c>
      <c r="F2603" s="806">
        <v>2.58</v>
      </c>
      <c r="G2603" s="805">
        <v>4.1899878052593698</v>
      </c>
      <c r="H2603" s="805">
        <v>98.85</v>
      </c>
      <c r="I2603" s="805">
        <v>32.1</v>
      </c>
      <c r="J2603" s="805">
        <v>2025.9</v>
      </c>
      <c r="K2603" s="805">
        <v>4650.4669999999996</v>
      </c>
    </row>
    <row r="2604" spans="3:11">
      <c r="C2604" s="861">
        <v>42010</v>
      </c>
      <c r="D2604" s="805">
        <v>35.28</v>
      </c>
      <c r="E2604" s="805">
        <v>4.7975000000000003</v>
      </c>
      <c r="F2604" s="806">
        <v>2.63</v>
      </c>
      <c r="G2604" s="805">
        <v>4.1738314835078896</v>
      </c>
      <c r="H2604" s="805">
        <v>96.25</v>
      </c>
      <c r="I2604" s="805">
        <v>32.869999999999997</v>
      </c>
      <c r="J2604" s="805">
        <v>2002.61</v>
      </c>
      <c r="K2604" s="805">
        <v>4592.7359999999999</v>
      </c>
    </row>
    <row r="2605" spans="3:11">
      <c r="C2605" s="861">
        <v>42009</v>
      </c>
      <c r="D2605" s="805">
        <v>35.950000000000003</v>
      </c>
      <c r="E2605" s="805">
        <v>4.9474999999999998</v>
      </c>
      <c r="F2605" s="806">
        <v>2.66</v>
      </c>
      <c r="G2605" s="805">
        <v>4.3600562587904399</v>
      </c>
      <c r="H2605" s="805">
        <v>98.49</v>
      </c>
      <c r="I2605" s="805">
        <v>33.774999999999999</v>
      </c>
      <c r="J2605" s="805">
        <v>2020.58</v>
      </c>
      <c r="K2605" s="805">
        <v>4652.5739999999996</v>
      </c>
    </row>
    <row r="2606" spans="3:11">
      <c r="C2606" s="861">
        <v>42008</v>
      </c>
      <c r="D2606" s="805">
        <v>36.36</v>
      </c>
      <c r="E2606" s="805">
        <v>5.0324999999999998</v>
      </c>
      <c r="F2606" s="806">
        <v>2.69</v>
      </c>
      <c r="G2606" s="805">
        <v>4.4592030360531298</v>
      </c>
      <c r="H2606" s="805">
        <v>100.09</v>
      </c>
      <c r="I2606" s="805">
        <v>34.75</v>
      </c>
      <c r="J2606" s="805">
        <v>2058.1999999999998</v>
      </c>
      <c r="K2606" s="805">
        <v>4726.8119999999999</v>
      </c>
    </row>
    <row r="2607" spans="3:11">
      <c r="C2607" s="861">
        <v>42007</v>
      </c>
      <c r="D2607" s="805">
        <v>36.36</v>
      </c>
      <c r="E2607" s="805">
        <v>5.0324999999999998</v>
      </c>
      <c r="F2607" s="806">
        <v>2.69</v>
      </c>
      <c r="G2607" s="805">
        <v>4.4592030360531298</v>
      </c>
      <c r="H2607" s="805">
        <v>100.09</v>
      </c>
      <c r="I2607" s="805">
        <v>34.75</v>
      </c>
      <c r="J2607" s="805">
        <v>2058.1999999999998</v>
      </c>
      <c r="K2607" s="805">
        <v>4726.8119999999999</v>
      </c>
    </row>
    <row r="2608" spans="3:11">
      <c r="C2608" s="861">
        <v>42006</v>
      </c>
      <c r="D2608" s="805">
        <v>36.36</v>
      </c>
      <c r="E2608" s="805">
        <v>5.0324999999999998</v>
      </c>
      <c r="F2608" s="806">
        <v>2.69</v>
      </c>
      <c r="G2608" s="805">
        <v>4.4592030360531298</v>
      </c>
      <c r="H2608" s="805">
        <v>100.09</v>
      </c>
      <c r="I2608" s="805">
        <v>34.75</v>
      </c>
      <c r="J2608" s="805">
        <v>2058.1999999999998</v>
      </c>
      <c r="K2608" s="805">
        <v>4726.8119999999999</v>
      </c>
    </row>
    <row r="2609" spans="3:11">
      <c r="C2609" s="861">
        <v>42005</v>
      </c>
      <c r="D2609" s="805">
        <v>36.29</v>
      </c>
      <c r="E2609" s="805">
        <v>5.0125000000000002</v>
      </c>
      <c r="F2609" s="806">
        <v>2.67</v>
      </c>
      <c r="G2609" s="805">
        <v>4.4592030360531298</v>
      </c>
      <c r="H2609" s="805">
        <v>100.59</v>
      </c>
      <c r="I2609" s="805">
        <v>35.01</v>
      </c>
      <c r="J2609" s="805">
        <v>2058.9</v>
      </c>
      <c r="K2609" s="805">
        <v>4736.0529999999999</v>
      </c>
    </row>
    <row r="2610" spans="3:11">
      <c r="C2610" s="861">
        <v>42004</v>
      </c>
      <c r="D2610" s="805">
        <v>36.29</v>
      </c>
      <c r="E2610" s="805">
        <v>5.0125000000000002</v>
      </c>
      <c r="F2610" s="806">
        <v>2.67</v>
      </c>
      <c r="G2610" s="805">
        <v>4.4592030360531298</v>
      </c>
      <c r="H2610" s="805">
        <v>100.59</v>
      </c>
      <c r="I2610" s="805">
        <v>35.01</v>
      </c>
      <c r="J2610" s="805">
        <v>2058.9</v>
      </c>
      <c r="K2610" s="805">
        <v>4736.0529999999999</v>
      </c>
    </row>
    <row r="2611" spans="3:11">
      <c r="C2611" s="861">
        <v>42003</v>
      </c>
      <c r="D2611" s="805">
        <v>36.76</v>
      </c>
      <c r="E2611" s="805">
        <v>5.0925000000000002</v>
      </c>
      <c r="F2611" s="806">
        <v>2.63</v>
      </c>
      <c r="G2611" s="805">
        <v>4.4205873065993098</v>
      </c>
      <c r="H2611" s="805">
        <v>100.85</v>
      </c>
      <c r="I2611" s="805">
        <v>35.4</v>
      </c>
      <c r="J2611" s="805">
        <v>2080.35</v>
      </c>
      <c r="K2611" s="805">
        <v>4777.4390000000003</v>
      </c>
    </row>
    <row r="2612" spans="3:11">
      <c r="C2612" s="861">
        <v>42002</v>
      </c>
      <c r="D2612" s="805">
        <v>37.18</v>
      </c>
      <c r="E2612" s="805">
        <v>5.14</v>
      </c>
      <c r="F2612" s="806">
        <v>2.66</v>
      </c>
      <c r="G2612" s="805">
        <v>4.4423440453686203</v>
      </c>
      <c r="H2612" s="805">
        <v>101.29</v>
      </c>
      <c r="I2612" s="805">
        <v>35.53</v>
      </c>
      <c r="J2612" s="805">
        <v>2090.5700000000002</v>
      </c>
      <c r="K2612" s="805">
        <v>4806.91</v>
      </c>
    </row>
    <row r="2613" spans="3:11">
      <c r="C2613" s="861">
        <v>42001</v>
      </c>
      <c r="D2613" s="805">
        <v>37.549999999999997</v>
      </c>
      <c r="E2613" s="805">
        <v>5.1475</v>
      </c>
      <c r="F2613" s="806">
        <v>2.65</v>
      </c>
      <c r="G2613" s="805">
        <v>4.3682583738093701</v>
      </c>
      <c r="H2613" s="805">
        <v>100.62</v>
      </c>
      <c r="I2613" s="805">
        <v>35</v>
      </c>
      <c r="J2613" s="805">
        <v>2088.77</v>
      </c>
      <c r="K2613" s="805">
        <v>4806.8590000000004</v>
      </c>
    </row>
    <row r="2614" spans="3:11">
      <c r="C2614" s="861">
        <v>42000</v>
      </c>
      <c r="D2614" s="805">
        <v>37.549999999999997</v>
      </c>
      <c r="E2614" s="805">
        <v>5.1475</v>
      </c>
      <c r="F2614" s="806">
        <v>2.65</v>
      </c>
      <c r="G2614" s="805">
        <v>4.3682583738093701</v>
      </c>
      <c r="H2614" s="805">
        <v>100.62</v>
      </c>
      <c r="I2614" s="805">
        <v>35</v>
      </c>
      <c r="J2614" s="805">
        <v>2088.77</v>
      </c>
      <c r="K2614" s="805">
        <v>4806.8590000000004</v>
      </c>
    </row>
    <row r="2615" spans="3:11">
      <c r="C2615" s="861">
        <v>41999</v>
      </c>
      <c r="D2615" s="805">
        <v>37.549999999999997</v>
      </c>
      <c r="E2615" s="805">
        <v>5.1475</v>
      </c>
      <c r="F2615" s="806">
        <v>2.65</v>
      </c>
      <c r="G2615" s="805">
        <v>4.3840282596354001</v>
      </c>
      <c r="H2615" s="805">
        <v>100.62</v>
      </c>
      <c r="I2615" s="805">
        <v>35</v>
      </c>
      <c r="J2615" s="805">
        <v>2088.77</v>
      </c>
      <c r="K2615" s="805">
        <v>4806.8590000000004</v>
      </c>
    </row>
    <row r="2616" spans="3:11">
      <c r="C2616" s="861">
        <v>41998</v>
      </c>
      <c r="D2616" s="805">
        <v>37.44</v>
      </c>
      <c r="E2616" s="805">
        <v>5.1425000000000001</v>
      </c>
      <c r="F2616" s="806">
        <v>2.65</v>
      </c>
      <c r="G2616" s="805">
        <v>4.3389081729252101</v>
      </c>
      <c r="H2616" s="805">
        <v>100.72</v>
      </c>
      <c r="I2616" s="805">
        <v>34.909999999999997</v>
      </c>
      <c r="J2616" s="805">
        <v>2081.88</v>
      </c>
      <c r="K2616" s="805">
        <v>4773.4719999999998</v>
      </c>
    </row>
    <row r="2617" spans="3:11">
      <c r="C2617" s="861">
        <v>41997</v>
      </c>
      <c r="D2617" s="805">
        <v>37.44</v>
      </c>
      <c r="E2617" s="805">
        <v>5.1425000000000001</v>
      </c>
      <c r="F2617" s="806">
        <v>2.65</v>
      </c>
      <c r="G2617" s="805">
        <v>4.34344706030467</v>
      </c>
      <c r="H2617" s="805">
        <v>100.72</v>
      </c>
      <c r="I2617" s="805">
        <v>34.909999999999997</v>
      </c>
      <c r="J2617" s="805">
        <v>2081.88</v>
      </c>
      <c r="K2617" s="805">
        <v>4773.4719999999998</v>
      </c>
    </row>
    <row r="2618" spans="3:11">
      <c r="C2618" s="861">
        <v>41996</v>
      </c>
      <c r="D2618" s="805">
        <v>37.43</v>
      </c>
      <c r="E2618" s="805">
        <v>5.1624999999999996</v>
      </c>
      <c r="F2618" s="806">
        <v>2.67</v>
      </c>
      <c r="G2618" s="805">
        <v>4.3308450659863302</v>
      </c>
      <c r="H2618" s="805">
        <v>100.78</v>
      </c>
      <c r="I2618" s="805">
        <v>34.97</v>
      </c>
      <c r="J2618" s="805">
        <v>2082.17</v>
      </c>
      <c r="K2618" s="805">
        <v>4765.424</v>
      </c>
    </row>
    <row r="2619" spans="3:11">
      <c r="C2619" s="861">
        <v>41995</v>
      </c>
      <c r="D2619" s="805">
        <v>37.21</v>
      </c>
      <c r="E2619" s="805">
        <v>5.1950000000000003</v>
      </c>
      <c r="F2619" s="806">
        <v>2.66</v>
      </c>
      <c r="G2619" s="805">
        <v>4.3919454574282497</v>
      </c>
      <c r="H2619" s="805">
        <v>101.41</v>
      </c>
      <c r="I2619" s="805">
        <v>34.634999999999998</v>
      </c>
      <c r="J2619" s="805">
        <v>2078.54</v>
      </c>
      <c r="K2619" s="805">
        <v>4781.424</v>
      </c>
    </row>
    <row r="2620" spans="3:11">
      <c r="C2620" s="861">
        <v>41994</v>
      </c>
      <c r="D2620" s="805">
        <v>36.369999999999997</v>
      </c>
      <c r="E2620" s="805">
        <v>5.1050000000000004</v>
      </c>
      <c r="F2620" s="806">
        <v>2.57</v>
      </c>
      <c r="G2620" s="805">
        <v>4.3777559242457897</v>
      </c>
      <c r="H2620" s="805">
        <v>100.15</v>
      </c>
      <c r="I2620" s="805">
        <v>34.49</v>
      </c>
      <c r="J2620" s="805">
        <v>2070.65</v>
      </c>
      <c r="K2620" s="805">
        <v>4765.38</v>
      </c>
    </row>
    <row r="2621" spans="3:11">
      <c r="C2621" s="861">
        <v>41993</v>
      </c>
      <c r="D2621" s="805">
        <v>36.369999999999997</v>
      </c>
      <c r="E2621" s="805">
        <v>5.1050000000000004</v>
      </c>
      <c r="F2621" s="806">
        <v>2.57</v>
      </c>
      <c r="G2621" s="805">
        <v>4.3777559242457897</v>
      </c>
      <c r="H2621" s="805">
        <v>100.15</v>
      </c>
      <c r="I2621" s="805">
        <v>34.49</v>
      </c>
      <c r="J2621" s="805">
        <v>2070.65</v>
      </c>
      <c r="K2621" s="805">
        <v>4765.38</v>
      </c>
    </row>
    <row r="2622" spans="3:11">
      <c r="C2622" s="861">
        <v>41992</v>
      </c>
      <c r="D2622" s="805">
        <v>36.369999999999997</v>
      </c>
      <c r="E2622" s="805">
        <v>5.1050000000000004</v>
      </c>
      <c r="F2622" s="806">
        <v>2.57</v>
      </c>
      <c r="G2622" s="805">
        <v>4.3777559242457897</v>
      </c>
      <c r="H2622" s="805">
        <v>100.15</v>
      </c>
      <c r="I2622" s="805">
        <v>34.49</v>
      </c>
      <c r="J2622" s="805">
        <v>2070.65</v>
      </c>
      <c r="K2622" s="805">
        <v>4765.38</v>
      </c>
    </row>
    <row r="2623" spans="3:11">
      <c r="C2623" s="861">
        <v>41991</v>
      </c>
      <c r="D2623" s="805">
        <v>37.020000000000003</v>
      </c>
      <c r="E2623" s="805">
        <v>5.0549999999999997</v>
      </c>
      <c r="F2623" s="806">
        <v>2.5499999999999998</v>
      </c>
      <c r="G2623" s="805">
        <v>4.1882982450552602</v>
      </c>
      <c r="H2623" s="805">
        <v>101.65</v>
      </c>
      <c r="I2623" s="805">
        <v>34.450000000000003</v>
      </c>
      <c r="J2623" s="805">
        <v>2061.23</v>
      </c>
      <c r="K2623" s="805">
        <v>4748.3959999999997</v>
      </c>
    </row>
    <row r="2624" spans="3:11">
      <c r="C2624" s="861">
        <v>41990</v>
      </c>
      <c r="D2624" s="805">
        <v>36.24</v>
      </c>
      <c r="E2624" s="805">
        <v>5.0350000000000001</v>
      </c>
      <c r="F2624" s="806">
        <v>2.5499999999999998</v>
      </c>
      <c r="G2624" s="805">
        <v>4.1669327543265897</v>
      </c>
      <c r="H2624" s="805">
        <v>98.99</v>
      </c>
      <c r="I2624" s="805">
        <v>33.83</v>
      </c>
      <c r="J2624" s="805">
        <v>2012.89</v>
      </c>
      <c r="K2624" s="805">
        <v>4644.3119999999999</v>
      </c>
    </row>
    <row r="2625" spans="3:11">
      <c r="C2625" s="861">
        <v>41989</v>
      </c>
      <c r="D2625" s="805">
        <v>35.56</v>
      </c>
      <c r="E2625" s="805">
        <v>4.8362499999999997</v>
      </c>
      <c r="F2625" s="806">
        <v>2.5</v>
      </c>
      <c r="G2625" s="805">
        <v>4.2598167958490798</v>
      </c>
      <c r="H2625" s="805">
        <v>97.33</v>
      </c>
      <c r="I2625" s="805">
        <v>32.914999999999999</v>
      </c>
      <c r="J2625" s="805">
        <v>1972.74</v>
      </c>
      <c r="K2625" s="805">
        <v>4547.8339999999998</v>
      </c>
    </row>
    <row r="2626" spans="3:11">
      <c r="C2626" s="861">
        <v>41988</v>
      </c>
      <c r="D2626" s="805">
        <v>35.92</v>
      </c>
      <c r="E2626" s="805">
        <v>4.8925000000000001</v>
      </c>
      <c r="F2626" s="806">
        <v>2.4700000000000002</v>
      </c>
      <c r="G2626" s="805">
        <v>4.3487992837271801</v>
      </c>
      <c r="H2626" s="805">
        <v>98.21</v>
      </c>
      <c r="I2626" s="805">
        <v>33.354999999999997</v>
      </c>
      <c r="J2626" s="805">
        <v>1989.63</v>
      </c>
      <c r="K2626" s="805">
        <v>4605.1559999999999</v>
      </c>
    </row>
    <row r="2627" spans="3:11">
      <c r="C2627" s="861">
        <v>41987</v>
      </c>
      <c r="D2627" s="805">
        <v>36.225000000000001</v>
      </c>
      <c r="E2627" s="805">
        <v>4.9074999999999998</v>
      </c>
      <c r="F2627" s="806">
        <v>2.52</v>
      </c>
      <c r="G2627" s="805">
        <v>4.3081439877457202</v>
      </c>
      <c r="H2627" s="805">
        <v>99.2</v>
      </c>
      <c r="I2627" s="805">
        <v>34</v>
      </c>
      <c r="J2627" s="805">
        <v>2002.33</v>
      </c>
      <c r="K2627" s="805">
        <v>4653.5959999999995</v>
      </c>
    </row>
    <row r="2628" spans="3:11">
      <c r="C2628" s="861">
        <v>41986</v>
      </c>
      <c r="D2628" s="805">
        <v>36.225000000000001</v>
      </c>
      <c r="E2628" s="805">
        <v>4.9074999999999998</v>
      </c>
      <c r="F2628" s="806">
        <v>2.52</v>
      </c>
      <c r="G2628" s="805">
        <v>4.3081439877457202</v>
      </c>
      <c r="H2628" s="805">
        <v>99.2</v>
      </c>
      <c r="I2628" s="805">
        <v>34</v>
      </c>
      <c r="J2628" s="805">
        <v>2002.33</v>
      </c>
      <c r="K2628" s="805">
        <v>4653.5959999999995</v>
      </c>
    </row>
    <row r="2629" spans="3:11">
      <c r="C2629" s="861">
        <v>41985</v>
      </c>
      <c r="D2629" s="805">
        <v>36.225000000000001</v>
      </c>
      <c r="E2629" s="805">
        <v>4.9074999999999998</v>
      </c>
      <c r="F2629" s="806">
        <v>2.52</v>
      </c>
      <c r="G2629" s="805">
        <v>4.3081439877457202</v>
      </c>
      <c r="H2629" s="805">
        <v>99.2</v>
      </c>
      <c r="I2629" s="805">
        <v>34</v>
      </c>
      <c r="J2629" s="805">
        <v>2002.33</v>
      </c>
      <c r="K2629" s="805">
        <v>4653.5959999999995</v>
      </c>
    </row>
    <row r="2630" spans="3:11">
      <c r="C2630" s="861">
        <v>41984</v>
      </c>
      <c r="D2630" s="805">
        <v>36.700000000000003</v>
      </c>
      <c r="E2630" s="805">
        <v>5.0650000000000004</v>
      </c>
      <c r="F2630" s="806">
        <v>2.4900000000000002</v>
      </c>
      <c r="G2630" s="805">
        <v>4.3133859277788504</v>
      </c>
      <c r="H2630" s="805">
        <v>100.55</v>
      </c>
      <c r="I2630" s="805">
        <v>35.19</v>
      </c>
      <c r="J2630" s="805">
        <v>2035.33</v>
      </c>
      <c r="K2630" s="805">
        <v>4708.1610000000001</v>
      </c>
    </row>
    <row r="2631" spans="3:11">
      <c r="C2631" s="861">
        <v>41983</v>
      </c>
      <c r="D2631" s="805">
        <v>36.42</v>
      </c>
      <c r="E2631" s="805">
        <v>5.0674999999999999</v>
      </c>
      <c r="F2631" s="806">
        <v>2.48</v>
      </c>
      <c r="G2631" s="805">
        <v>4.3621900760175798</v>
      </c>
      <c r="H2631" s="805">
        <v>99.25</v>
      </c>
      <c r="I2631" s="805">
        <v>34.86</v>
      </c>
      <c r="J2631" s="805">
        <v>2026.14</v>
      </c>
      <c r="K2631" s="805">
        <v>4684.0249999999996</v>
      </c>
    </row>
    <row r="2632" spans="3:11">
      <c r="C2632" s="861">
        <v>41982</v>
      </c>
      <c r="D2632" s="805">
        <v>36.89</v>
      </c>
      <c r="E2632" s="805">
        <v>5.1825000000000001</v>
      </c>
      <c r="F2632" s="806">
        <v>2.59</v>
      </c>
      <c r="G2632" s="805">
        <v>4.4335924950202399</v>
      </c>
      <c r="H2632" s="805">
        <v>102.64</v>
      </c>
      <c r="I2632" s="805">
        <v>35.655000000000001</v>
      </c>
      <c r="J2632" s="805">
        <v>2059.8200000000002</v>
      </c>
      <c r="K2632" s="805">
        <v>4766.4650000000001</v>
      </c>
    </row>
    <row r="2633" spans="3:11">
      <c r="C2633" s="861">
        <v>41981</v>
      </c>
      <c r="D2633" s="805">
        <v>37.200000000000003</v>
      </c>
      <c r="E2633" s="805">
        <v>5.2</v>
      </c>
      <c r="F2633" s="806">
        <v>2.58</v>
      </c>
      <c r="G2633" s="805">
        <v>4.4358727097396304</v>
      </c>
      <c r="H2633" s="805">
        <v>100.71</v>
      </c>
      <c r="I2633" s="805">
        <v>36.020000000000003</v>
      </c>
      <c r="J2633" s="805">
        <v>2060.31</v>
      </c>
      <c r="K2633" s="805">
        <v>4740.6909999999998</v>
      </c>
    </row>
    <row r="2634" spans="3:11">
      <c r="C2634" s="861">
        <v>41980</v>
      </c>
      <c r="D2634" s="805">
        <v>37.67</v>
      </c>
      <c r="E2634" s="805">
        <v>5.2675000000000001</v>
      </c>
      <c r="F2634" s="806">
        <v>2.66</v>
      </c>
      <c r="G2634" s="805">
        <v>4.4014084507042304</v>
      </c>
      <c r="H2634" s="805">
        <v>103.99</v>
      </c>
      <c r="I2634" s="805">
        <v>36.49</v>
      </c>
      <c r="J2634" s="805">
        <v>2075.37</v>
      </c>
      <c r="K2634" s="805">
        <v>4780.7550000000001</v>
      </c>
    </row>
    <row r="2635" spans="3:11">
      <c r="C2635" s="861">
        <v>41979</v>
      </c>
      <c r="D2635" s="805">
        <v>37.67</v>
      </c>
      <c r="E2635" s="805">
        <v>5.2675000000000001</v>
      </c>
      <c r="F2635" s="806">
        <v>2.66</v>
      </c>
      <c r="G2635" s="805">
        <v>4.4014084507042304</v>
      </c>
      <c r="H2635" s="805">
        <v>103.99</v>
      </c>
      <c r="I2635" s="805">
        <v>36.49</v>
      </c>
      <c r="J2635" s="805">
        <v>2075.37</v>
      </c>
      <c r="K2635" s="805">
        <v>4780.7550000000001</v>
      </c>
    </row>
    <row r="2636" spans="3:11">
      <c r="C2636" s="861">
        <v>41978</v>
      </c>
      <c r="D2636" s="805">
        <v>37.67</v>
      </c>
      <c r="E2636" s="805">
        <v>5.2675000000000001</v>
      </c>
      <c r="F2636" s="806">
        <v>2.66</v>
      </c>
      <c r="G2636" s="805">
        <v>4.4014084507042304</v>
      </c>
      <c r="H2636" s="805">
        <v>103.99</v>
      </c>
      <c r="I2636" s="805">
        <v>36.49</v>
      </c>
      <c r="J2636" s="805">
        <v>2075.37</v>
      </c>
      <c r="K2636" s="805">
        <v>4780.7550000000001</v>
      </c>
    </row>
    <row r="2637" spans="3:11">
      <c r="C2637" s="861">
        <v>41977</v>
      </c>
      <c r="D2637" s="805">
        <v>37.46</v>
      </c>
      <c r="E2637" s="805">
        <v>5.2374999999999998</v>
      </c>
      <c r="F2637" s="806">
        <v>2.69</v>
      </c>
      <c r="G2637" s="805">
        <v>4.4675858965705704</v>
      </c>
      <c r="H2637" s="805">
        <v>103.07</v>
      </c>
      <c r="I2637" s="805">
        <v>36.07</v>
      </c>
      <c r="J2637" s="805">
        <v>2071.92</v>
      </c>
      <c r="K2637" s="805">
        <v>4769.4359999999997</v>
      </c>
    </row>
    <row r="2638" spans="3:11">
      <c r="C2638" s="861">
        <v>41976</v>
      </c>
      <c r="D2638" s="805">
        <v>37.43</v>
      </c>
      <c r="E2638" s="805">
        <v>5.2850000000000001</v>
      </c>
      <c r="F2638" s="806">
        <v>2.74</v>
      </c>
      <c r="G2638" s="805">
        <v>4.43986873431568</v>
      </c>
      <c r="H2638" s="805">
        <v>95.13</v>
      </c>
      <c r="I2638" s="805">
        <v>36.1</v>
      </c>
      <c r="J2638" s="805">
        <v>2074.33</v>
      </c>
      <c r="K2638" s="805">
        <v>4774.4719999999998</v>
      </c>
    </row>
    <row r="2639" spans="3:11">
      <c r="C2639" s="861">
        <v>41975</v>
      </c>
      <c r="D2639" s="805">
        <v>37.6</v>
      </c>
      <c r="E2639" s="805">
        <v>5.1524999999999999</v>
      </c>
      <c r="F2639" s="806">
        <v>2.68</v>
      </c>
      <c r="G2639" s="805">
        <v>4.4212218649517698</v>
      </c>
      <c r="H2639" s="805">
        <v>92.2</v>
      </c>
      <c r="I2639" s="805">
        <v>35.604999999999997</v>
      </c>
      <c r="J2639" s="805">
        <v>2066.5500000000002</v>
      </c>
      <c r="K2639" s="805">
        <v>4755.8109999999997</v>
      </c>
    </row>
    <row r="2640" spans="3:11">
      <c r="C2640" s="861">
        <v>41974</v>
      </c>
      <c r="D2640" s="805">
        <v>37.17</v>
      </c>
      <c r="E2640" s="805">
        <v>5.1449999999999996</v>
      </c>
      <c r="F2640" s="806">
        <v>2.67</v>
      </c>
      <c r="G2640" s="805">
        <v>4.51627471853931</v>
      </c>
      <c r="H2640" s="805">
        <v>90.95</v>
      </c>
      <c r="I2640" s="805">
        <v>34.99</v>
      </c>
      <c r="J2640" s="805">
        <v>2053.44</v>
      </c>
      <c r="K2640" s="805">
        <v>4727.3469999999998</v>
      </c>
    </row>
    <row r="2641" spans="3:11">
      <c r="C2641" s="861">
        <v>41973</v>
      </c>
      <c r="D2641" s="805">
        <v>37.25</v>
      </c>
      <c r="E2641" s="805">
        <v>5.2424999999999997</v>
      </c>
      <c r="F2641" s="806">
        <v>2.79</v>
      </c>
      <c r="G2641" s="805">
        <v>4.56657845478603</v>
      </c>
      <c r="H2641" s="805">
        <v>93.4</v>
      </c>
      <c r="I2641" s="805">
        <v>35.950000000000003</v>
      </c>
      <c r="J2641" s="805">
        <v>2067.56</v>
      </c>
      <c r="K2641" s="805">
        <v>4791.63</v>
      </c>
    </row>
    <row r="2642" spans="3:11">
      <c r="C2642" s="861">
        <v>41972</v>
      </c>
      <c r="D2642" s="805">
        <v>37.25</v>
      </c>
      <c r="E2642" s="805">
        <v>5.2424999999999997</v>
      </c>
      <c r="F2642" s="806">
        <v>2.79</v>
      </c>
      <c r="G2642" s="805">
        <v>4.56657845478603</v>
      </c>
      <c r="H2642" s="805">
        <v>93.4</v>
      </c>
      <c r="I2642" s="805">
        <v>35.950000000000003</v>
      </c>
      <c r="J2642" s="805">
        <v>2067.56</v>
      </c>
      <c r="K2642" s="805">
        <v>4791.63</v>
      </c>
    </row>
    <row r="2643" spans="3:11">
      <c r="C2643" s="861">
        <v>41971</v>
      </c>
      <c r="D2643" s="805">
        <v>37.25</v>
      </c>
      <c r="E2643" s="805">
        <v>5.2424999999999997</v>
      </c>
      <c r="F2643" s="806">
        <v>2.79</v>
      </c>
      <c r="G2643" s="805">
        <v>4.56657845478603</v>
      </c>
      <c r="H2643" s="805">
        <v>93.4</v>
      </c>
      <c r="I2643" s="805">
        <v>35.950000000000003</v>
      </c>
      <c r="J2643" s="805">
        <v>2067.56</v>
      </c>
      <c r="K2643" s="805">
        <v>4791.63</v>
      </c>
    </row>
    <row r="2644" spans="3:11">
      <c r="C2644" s="861">
        <v>41970</v>
      </c>
      <c r="D2644" s="805">
        <v>36.9</v>
      </c>
      <c r="E2644" s="805">
        <v>5.2287499999999998</v>
      </c>
      <c r="F2644" s="806">
        <v>2.84</v>
      </c>
      <c r="G2644" s="805">
        <v>4.5358820670662601</v>
      </c>
      <c r="H2644" s="805">
        <v>93.78</v>
      </c>
      <c r="I2644" s="805">
        <v>35.619999999999997</v>
      </c>
      <c r="J2644" s="805">
        <v>2072.83</v>
      </c>
      <c r="K2644" s="805">
        <v>4787.317</v>
      </c>
    </row>
    <row r="2645" spans="3:11">
      <c r="C2645" s="861">
        <v>41969</v>
      </c>
      <c r="D2645" s="805">
        <v>36.9</v>
      </c>
      <c r="E2645" s="805">
        <v>5.2287499999999998</v>
      </c>
      <c r="F2645" s="806">
        <v>2.84</v>
      </c>
      <c r="G2645" s="805">
        <v>4.4986730532720598</v>
      </c>
      <c r="H2645" s="805">
        <v>93.78</v>
      </c>
      <c r="I2645" s="805">
        <v>35.619999999999997</v>
      </c>
      <c r="J2645" s="805">
        <v>2072.83</v>
      </c>
      <c r="K2645" s="805">
        <v>4787.317</v>
      </c>
    </row>
    <row r="2646" spans="3:11">
      <c r="C2646" s="861">
        <v>41968</v>
      </c>
      <c r="D2646" s="805">
        <v>36.32</v>
      </c>
      <c r="E2646" s="805">
        <v>5.1425000000000001</v>
      </c>
      <c r="F2646" s="806">
        <v>2.83</v>
      </c>
      <c r="G2646" s="805">
        <v>4.5002751966846901</v>
      </c>
      <c r="H2646" s="805">
        <v>91.15</v>
      </c>
      <c r="I2646" s="805">
        <v>34.799999999999997</v>
      </c>
      <c r="J2646" s="805">
        <v>2067.0300000000002</v>
      </c>
      <c r="K2646" s="805">
        <v>4758.2510000000002</v>
      </c>
    </row>
    <row r="2647" spans="3:11">
      <c r="C2647" s="861">
        <v>41967</v>
      </c>
      <c r="D2647" s="805">
        <v>36.25</v>
      </c>
      <c r="E2647" s="805">
        <v>5.1449999999999996</v>
      </c>
      <c r="F2647" s="806">
        <v>2.83</v>
      </c>
      <c r="G2647" s="805">
        <v>4.4701933318271303</v>
      </c>
      <c r="H2647" s="805">
        <v>91.14</v>
      </c>
      <c r="I2647" s="805">
        <v>34.729999999999997</v>
      </c>
      <c r="J2647" s="805">
        <v>2069.41</v>
      </c>
      <c r="K2647" s="805">
        <v>4754.8919999999998</v>
      </c>
    </row>
    <row r="2648" spans="3:11">
      <c r="C2648" s="861">
        <v>41966</v>
      </c>
      <c r="D2648" s="805">
        <v>35.590000000000003</v>
      </c>
      <c r="E2648" s="805">
        <v>5.1137499999999996</v>
      </c>
      <c r="F2648" s="806">
        <v>2.77</v>
      </c>
      <c r="G2648" s="805">
        <v>4.4842323382762403</v>
      </c>
      <c r="H2648" s="805">
        <v>90.21</v>
      </c>
      <c r="I2648" s="805">
        <v>34.299999999999997</v>
      </c>
      <c r="J2648" s="805">
        <v>2063.5</v>
      </c>
      <c r="K2648" s="805">
        <v>4712.97</v>
      </c>
    </row>
    <row r="2649" spans="3:11">
      <c r="C2649" s="861">
        <v>41965</v>
      </c>
      <c r="D2649" s="805">
        <v>35.590000000000003</v>
      </c>
      <c r="E2649" s="805">
        <v>5.1137499999999996</v>
      </c>
      <c r="F2649" s="806">
        <v>2.77</v>
      </c>
      <c r="G2649" s="805">
        <v>4.4842323382762403</v>
      </c>
      <c r="H2649" s="805">
        <v>90.21</v>
      </c>
      <c r="I2649" s="805">
        <v>34.299999999999997</v>
      </c>
      <c r="J2649" s="805">
        <v>2063.5</v>
      </c>
      <c r="K2649" s="805">
        <v>4712.97</v>
      </c>
    </row>
    <row r="2650" spans="3:11">
      <c r="C2650" s="861">
        <v>41964</v>
      </c>
      <c r="D2650" s="805">
        <v>35.590000000000003</v>
      </c>
      <c r="E2650" s="805">
        <v>5.1137499999999996</v>
      </c>
      <c r="F2650" s="806">
        <v>2.77</v>
      </c>
      <c r="G2650" s="805">
        <v>4.4842323382762403</v>
      </c>
      <c r="H2650" s="805">
        <v>90.21</v>
      </c>
      <c r="I2650" s="805">
        <v>34.299999999999997</v>
      </c>
      <c r="J2650" s="805">
        <v>2063.5</v>
      </c>
      <c r="K2650" s="805">
        <v>4712.97</v>
      </c>
    </row>
    <row r="2651" spans="3:11">
      <c r="C2651" s="861">
        <v>41963</v>
      </c>
      <c r="D2651" s="805">
        <v>35.950000000000003</v>
      </c>
      <c r="E2651" s="805">
        <v>5.085</v>
      </c>
      <c r="F2651" s="806">
        <v>2.69</v>
      </c>
      <c r="G2651" s="805">
        <v>4.5007123429607603</v>
      </c>
      <c r="H2651" s="805">
        <v>89.93</v>
      </c>
      <c r="I2651" s="805">
        <v>33.21</v>
      </c>
      <c r="J2651" s="805">
        <v>2052.75</v>
      </c>
      <c r="K2651" s="805">
        <v>4701.8670000000002</v>
      </c>
    </row>
    <row r="2652" spans="3:11">
      <c r="C2652" s="861">
        <v>41962</v>
      </c>
      <c r="D2652" s="805">
        <v>34.35</v>
      </c>
      <c r="E2652" s="805">
        <v>5.0025000000000004</v>
      </c>
      <c r="F2652" s="806">
        <v>2.63</v>
      </c>
      <c r="G2652" s="805">
        <v>4.4001552995988096</v>
      </c>
      <c r="H2652" s="805">
        <v>89.25</v>
      </c>
      <c r="I2652" s="805">
        <v>32.96</v>
      </c>
      <c r="J2652" s="805">
        <v>2048.7199999999998</v>
      </c>
      <c r="K2652" s="805">
        <v>4675.7110000000002</v>
      </c>
    </row>
    <row r="2653" spans="3:11">
      <c r="C2653" s="861">
        <v>41961</v>
      </c>
      <c r="D2653" s="805">
        <v>34.71</v>
      </c>
      <c r="E2653" s="805">
        <v>5.0425000000000004</v>
      </c>
      <c r="F2653" s="806">
        <v>2.65</v>
      </c>
      <c r="G2653" s="805">
        <v>4.2789275022777602</v>
      </c>
      <c r="H2653" s="805">
        <v>91.41</v>
      </c>
      <c r="I2653" s="805">
        <v>32.869999999999997</v>
      </c>
      <c r="J2653" s="805">
        <v>2051.8000000000002</v>
      </c>
      <c r="K2653" s="805">
        <v>4702.4430000000002</v>
      </c>
    </row>
    <row r="2654" spans="3:11">
      <c r="C2654" s="861">
        <v>41960</v>
      </c>
      <c r="D2654" s="805">
        <v>34.24</v>
      </c>
      <c r="E2654" s="805">
        <v>4.9237500000000001</v>
      </c>
      <c r="F2654" s="806">
        <v>2.67</v>
      </c>
      <c r="G2654" s="805">
        <v>4.3345065832355596</v>
      </c>
      <c r="H2654" s="805">
        <v>88.52</v>
      </c>
      <c r="I2654" s="805">
        <v>32.29</v>
      </c>
      <c r="J2654" s="805">
        <v>2041.32</v>
      </c>
      <c r="K2654" s="805">
        <v>4671.0020000000004</v>
      </c>
    </row>
    <row r="2655" spans="3:11">
      <c r="C2655" s="861">
        <v>41959</v>
      </c>
      <c r="D2655" s="805">
        <v>33.950000000000003</v>
      </c>
      <c r="E2655" s="805">
        <v>4.94625</v>
      </c>
      <c r="F2655" s="806">
        <v>2.61</v>
      </c>
      <c r="G2655" s="805">
        <v>4.3936731107205604</v>
      </c>
      <c r="H2655" s="805">
        <v>89.015000000000001</v>
      </c>
      <c r="I2655" s="805">
        <v>32.619999999999997</v>
      </c>
      <c r="J2655" s="805">
        <v>2039.82</v>
      </c>
      <c r="K2655" s="805">
        <v>4688.5389999999998</v>
      </c>
    </row>
    <row r="2656" spans="3:11">
      <c r="C2656" s="861">
        <v>41958</v>
      </c>
      <c r="D2656" s="805">
        <v>33.950000000000003</v>
      </c>
      <c r="E2656" s="805">
        <v>4.94625</v>
      </c>
      <c r="F2656" s="806">
        <v>2.61</v>
      </c>
      <c r="G2656" s="805">
        <v>4.3936731107205604</v>
      </c>
      <c r="H2656" s="805">
        <v>89.015000000000001</v>
      </c>
      <c r="I2656" s="805">
        <v>32.619999999999997</v>
      </c>
      <c r="J2656" s="805">
        <v>2039.82</v>
      </c>
      <c r="K2656" s="805">
        <v>4688.5389999999998</v>
      </c>
    </row>
    <row r="2657" spans="3:11">
      <c r="C2657" s="861">
        <v>41957</v>
      </c>
      <c r="D2657" s="805">
        <v>33.950000000000003</v>
      </c>
      <c r="E2657" s="805">
        <v>4.94625</v>
      </c>
      <c r="F2657" s="806">
        <v>2.61</v>
      </c>
      <c r="G2657" s="805">
        <v>4.3936731107205604</v>
      </c>
      <c r="H2657" s="805">
        <v>89.015000000000001</v>
      </c>
      <c r="I2657" s="805">
        <v>32.619999999999997</v>
      </c>
      <c r="J2657" s="805">
        <v>2039.82</v>
      </c>
      <c r="K2657" s="805">
        <v>4688.5389999999998</v>
      </c>
    </row>
    <row r="2658" spans="3:11">
      <c r="C2658" s="861">
        <v>41956</v>
      </c>
      <c r="D2658" s="805">
        <v>33.68</v>
      </c>
      <c r="E2658" s="805">
        <v>4.8875000000000002</v>
      </c>
      <c r="F2658" s="806">
        <v>2.66</v>
      </c>
      <c r="G2658" s="805">
        <v>4.3802301255230098</v>
      </c>
      <c r="H2658" s="805">
        <v>87.444999999999993</v>
      </c>
      <c r="I2658" s="805">
        <v>32.94</v>
      </c>
      <c r="J2658" s="805">
        <v>2039.33</v>
      </c>
      <c r="K2658" s="805">
        <v>4680.1409999999996</v>
      </c>
    </row>
    <row r="2659" spans="3:11">
      <c r="C2659" s="861">
        <v>41955</v>
      </c>
      <c r="D2659" s="805">
        <v>33.380000000000003</v>
      </c>
      <c r="E2659" s="805">
        <v>4.9112499999999999</v>
      </c>
      <c r="F2659" s="806">
        <v>2.71</v>
      </c>
      <c r="G2659" s="805">
        <v>4.3161233364941296</v>
      </c>
      <c r="H2659" s="805">
        <v>87.05</v>
      </c>
      <c r="I2659" s="805">
        <v>32.909999999999997</v>
      </c>
      <c r="J2659" s="805">
        <v>2038.25</v>
      </c>
      <c r="K2659" s="805">
        <v>4675.1350000000002</v>
      </c>
    </row>
    <row r="2660" spans="3:11">
      <c r="C2660" s="861">
        <v>41954</v>
      </c>
      <c r="D2660" s="805">
        <v>33.31</v>
      </c>
      <c r="E2660" s="805">
        <v>4.9450000000000003</v>
      </c>
      <c r="F2660" s="806">
        <v>2.73</v>
      </c>
      <c r="G2660" s="805">
        <v>4.3859649122807003</v>
      </c>
      <c r="H2660" s="805">
        <v>86.16</v>
      </c>
      <c r="I2660" s="805">
        <v>33.200000000000003</v>
      </c>
      <c r="J2660" s="805">
        <v>2039.68</v>
      </c>
      <c r="K2660" s="805">
        <v>4660.5550000000003</v>
      </c>
    </row>
    <row r="2661" spans="3:11">
      <c r="C2661" s="861">
        <v>41953</v>
      </c>
      <c r="D2661" s="805">
        <v>33.26</v>
      </c>
      <c r="E2661" s="805">
        <v>5.0049999999999999</v>
      </c>
      <c r="F2661" s="806">
        <v>2.76</v>
      </c>
      <c r="G2661" s="805">
        <v>4.3965742677824302</v>
      </c>
      <c r="H2661" s="805">
        <v>85.91</v>
      </c>
      <c r="I2661" s="805">
        <v>33.090000000000003</v>
      </c>
      <c r="J2661" s="805">
        <v>2038.26</v>
      </c>
      <c r="K2661" s="805">
        <v>4651.616</v>
      </c>
    </row>
    <row r="2662" spans="3:11">
      <c r="C2662" s="861">
        <v>41952</v>
      </c>
      <c r="D2662" s="805">
        <v>33.58</v>
      </c>
      <c r="E2662" s="805">
        <v>4.9474999999999998</v>
      </c>
      <c r="F2662" s="806">
        <v>2.78</v>
      </c>
      <c r="G2662" s="805">
        <v>4.2846863347942703</v>
      </c>
      <c r="H2662" s="805">
        <v>85.04</v>
      </c>
      <c r="I2662" s="805">
        <v>33.01</v>
      </c>
      <c r="J2662" s="805">
        <v>2031.92</v>
      </c>
      <c r="K2662" s="805">
        <v>4632.5320000000002</v>
      </c>
    </row>
    <row r="2663" spans="3:11">
      <c r="C2663" s="861">
        <v>41951</v>
      </c>
      <c r="D2663" s="805">
        <v>33.58</v>
      </c>
      <c r="E2663" s="805">
        <v>4.9474999999999998</v>
      </c>
      <c r="F2663" s="806">
        <v>2.78</v>
      </c>
      <c r="G2663" s="805">
        <v>4.2846863347942703</v>
      </c>
      <c r="H2663" s="805">
        <v>85.04</v>
      </c>
      <c r="I2663" s="805">
        <v>33.01</v>
      </c>
      <c r="J2663" s="805">
        <v>2031.92</v>
      </c>
      <c r="K2663" s="805">
        <v>4632.5320000000002</v>
      </c>
    </row>
    <row r="2664" spans="3:11">
      <c r="C2664" s="861">
        <v>41950</v>
      </c>
      <c r="D2664" s="805">
        <v>33.58</v>
      </c>
      <c r="E2664" s="805">
        <v>4.9474999999999998</v>
      </c>
      <c r="F2664" s="806">
        <v>2.78</v>
      </c>
      <c r="G2664" s="805">
        <v>4.2846863347942703</v>
      </c>
      <c r="H2664" s="805">
        <v>85.04</v>
      </c>
      <c r="I2664" s="805">
        <v>33.01</v>
      </c>
      <c r="J2664" s="805">
        <v>2031.92</v>
      </c>
      <c r="K2664" s="805">
        <v>4632.5320000000002</v>
      </c>
    </row>
    <row r="2665" spans="3:11">
      <c r="C2665" s="861">
        <v>41949</v>
      </c>
      <c r="D2665" s="805">
        <v>33.82</v>
      </c>
      <c r="E2665" s="805">
        <v>5.0549999999999997</v>
      </c>
      <c r="F2665" s="806">
        <v>2.76</v>
      </c>
      <c r="G2665" s="805">
        <v>4.32120993878286</v>
      </c>
      <c r="H2665" s="805">
        <v>87.63</v>
      </c>
      <c r="I2665" s="805">
        <v>33.35</v>
      </c>
      <c r="J2665" s="805">
        <v>2031.21</v>
      </c>
      <c r="K2665" s="805">
        <v>4638.4690000000001</v>
      </c>
    </row>
    <row r="2666" spans="3:11">
      <c r="C2666" s="861">
        <v>41948</v>
      </c>
      <c r="D2666" s="805">
        <v>33.76</v>
      </c>
      <c r="E2666" s="805">
        <v>5.0324999999999998</v>
      </c>
      <c r="F2666" s="806">
        <v>2.8</v>
      </c>
      <c r="G2666" s="805">
        <v>4.3144304624938696</v>
      </c>
      <c r="H2666" s="805">
        <v>86.71</v>
      </c>
      <c r="I2666" s="805">
        <v>33.71</v>
      </c>
      <c r="J2666" s="805">
        <v>2023.57</v>
      </c>
      <c r="K2666" s="805">
        <v>4620.723</v>
      </c>
    </row>
    <row r="2667" spans="3:11">
      <c r="C2667" s="861">
        <v>41947</v>
      </c>
      <c r="D2667" s="805">
        <v>34.54</v>
      </c>
      <c r="E2667" s="805">
        <v>5.0324999999999998</v>
      </c>
      <c r="F2667" s="806">
        <v>2.83</v>
      </c>
      <c r="G2667" s="805">
        <v>4.3280107544509701</v>
      </c>
      <c r="H2667" s="805">
        <v>85.36</v>
      </c>
      <c r="I2667" s="805">
        <v>33.369999999999997</v>
      </c>
      <c r="J2667" s="805">
        <v>2012.1</v>
      </c>
      <c r="K2667" s="805">
        <v>4623.6369999999997</v>
      </c>
    </row>
    <row r="2668" spans="3:11">
      <c r="C2668" s="861">
        <v>41946</v>
      </c>
      <c r="D2668" s="805">
        <v>34.31</v>
      </c>
      <c r="E2668" s="805">
        <v>4.9675000000000002</v>
      </c>
      <c r="F2668" s="806">
        <v>2.87</v>
      </c>
      <c r="G2668" s="805">
        <v>4.3021346469622301</v>
      </c>
      <c r="H2668" s="805">
        <v>86.34</v>
      </c>
      <c r="I2668" s="805">
        <v>33.51</v>
      </c>
      <c r="J2668" s="805">
        <v>2017.81</v>
      </c>
      <c r="K2668" s="805">
        <v>4638.9070000000002</v>
      </c>
    </row>
    <row r="2669" spans="3:11">
      <c r="C2669" s="861">
        <v>41945</v>
      </c>
      <c r="D2669" s="805">
        <v>34.01</v>
      </c>
      <c r="E2669" s="805">
        <v>4.8849999999999998</v>
      </c>
      <c r="F2669" s="806">
        <v>2.8</v>
      </c>
      <c r="G2669" s="805">
        <v>4.2885310548800497</v>
      </c>
      <c r="H2669" s="805">
        <v>86.25</v>
      </c>
      <c r="I2669" s="805">
        <v>33.090000000000003</v>
      </c>
      <c r="J2669" s="805">
        <v>2018.05</v>
      </c>
      <c r="K2669" s="805">
        <v>4630.741</v>
      </c>
    </row>
    <row r="2670" spans="3:11">
      <c r="C2670" s="861">
        <v>41944</v>
      </c>
      <c r="D2670" s="805">
        <v>34.01</v>
      </c>
      <c r="E2670" s="805">
        <v>4.8849999999999998</v>
      </c>
      <c r="F2670" s="806">
        <v>2.8</v>
      </c>
      <c r="G2670" s="805">
        <v>4.2885310548800497</v>
      </c>
      <c r="H2670" s="805">
        <v>86.25</v>
      </c>
      <c r="I2670" s="805">
        <v>33.090000000000003</v>
      </c>
      <c r="J2670" s="805">
        <v>2018.05</v>
      </c>
      <c r="K2670" s="805">
        <v>4630.741</v>
      </c>
    </row>
    <row r="2671" spans="3:11">
      <c r="C2671" s="861">
        <v>41943</v>
      </c>
      <c r="D2671" s="805">
        <v>34.01</v>
      </c>
      <c r="E2671" s="805">
        <v>4.8849999999999998</v>
      </c>
      <c r="F2671" s="806">
        <v>2.8</v>
      </c>
      <c r="G2671" s="805">
        <v>4.2885310548800497</v>
      </c>
      <c r="H2671" s="805">
        <v>86.25</v>
      </c>
      <c r="I2671" s="805">
        <v>33.090000000000003</v>
      </c>
      <c r="J2671" s="805">
        <v>2018.05</v>
      </c>
      <c r="K2671" s="805">
        <v>4630.741</v>
      </c>
    </row>
    <row r="2672" spans="3:11">
      <c r="C2672" s="861">
        <v>41942</v>
      </c>
      <c r="D2672" s="805">
        <v>32.58</v>
      </c>
      <c r="E2672" s="805">
        <v>4.6725000000000003</v>
      </c>
      <c r="F2672" s="806">
        <v>2.75</v>
      </c>
      <c r="G2672" s="805">
        <v>4.2264175766346499</v>
      </c>
      <c r="H2672" s="805">
        <v>82.39</v>
      </c>
      <c r="I2672" s="805">
        <v>31.82</v>
      </c>
      <c r="J2672" s="805">
        <v>1994.65</v>
      </c>
      <c r="K2672" s="805">
        <v>4566.1379999999999</v>
      </c>
    </row>
    <row r="2673" spans="3:11">
      <c r="C2673" s="861">
        <v>41941</v>
      </c>
      <c r="D2673" s="805">
        <v>33.92</v>
      </c>
      <c r="E2673" s="805">
        <v>4.7012499999999999</v>
      </c>
      <c r="F2673" s="806">
        <v>2.77</v>
      </c>
      <c r="G2673" s="805">
        <v>4.24887190803992</v>
      </c>
      <c r="H2673" s="805">
        <v>84.88</v>
      </c>
      <c r="I2673" s="805">
        <v>32.28</v>
      </c>
      <c r="J2673" s="805">
        <v>1982.3</v>
      </c>
      <c r="K2673" s="805">
        <v>4549.2259999999997</v>
      </c>
    </row>
    <row r="2674" spans="3:11">
      <c r="C2674" s="861">
        <v>41940</v>
      </c>
      <c r="D2674" s="805">
        <v>33.74</v>
      </c>
      <c r="E2674" s="805">
        <v>4.7324999999999999</v>
      </c>
      <c r="F2674" s="806">
        <v>2.72</v>
      </c>
      <c r="G2674" s="805">
        <v>4.2128822038639999</v>
      </c>
      <c r="H2674" s="805">
        <v>84.2</v>
      </c>
      <c r="I2674" s="805">
        <v>32.61</v>
      </c>
      <c r="J2674" s="805">
        <v>1985.05</v>
      </c>
      <c r="K2674" s="805">
        <v>4564.2939999999999</v>
      </c>
    </row>
    <row r="2675" spans="3:11">
      <c r="C2675" s="861">
        <v>41939</v>
      </c>
      <c r="D2675" s="805">
        <v>33.200000000000003</v>
      </c>
      <c r="E2675" s="805">
        <v>4.6224999999999996</v>
      </c>
      <c r="F2675" s="806">
        <v>2.66</v>
      </c>
      <c r="G2675" s="805">
        <v>4.2130208676189804</v>
      </c>
      <c r="H2675" s="805">
        <v>81.569999999999993</v>
      </c>
      <c r="I2675" s="805">
        <v>32.299999999999997</v>
      </c>
      <c r="J2675" s="805">
        <v>1961.63</v>
      </c>
      <c r="K2675" s="805">
        <v>4485.933</v>
      </c>
    </row>
    <row r="2676" spans="3:11">
      <c r="C2676" s="861">
        <v>41938</v>
      </c>
      <c r="D2676" s="805">
        <v>33.18</v>
      </c>
      <c r="E2676" s="805">
        <v>4.62</v>
      </c>
      <c r="F2676" s="806">
        <v>2.68</v>
      </c>
      <c r="G2676" s="805">
        <v>4.1299197051467704</v>
      </c>
      <c r="H2676" s="805">
        <v>81.849999999999994</v>
      </c>
      <c r="I2676" s="805">
        <v>31.06</v>
      </c>
      <c r="J2676" s="805">
        <v>1964.58</v>
      </c>
      <c r="K2676" s="805">
        <v>4483.7150000000001</v>
      </c>
    </row>
    <row r="2677" spans="3:11">
      <c r="C2677" s="861">
        <v>41937</v>
      </c>
      <c r="D2677" s="805">
        <v>33.18</v>
      </c>
      <c r="E2677" s="805">
        <v>4.62</v>
      </c>
      <c r="F2677" s="806">
        <v>2.68</v>
      </c>
      <c r="G2677" s="805">
        <v>4.1299197051467704</v>
      </c>
      <c r="H2677" s="805">
        <v>81.849999999999994</v>
      </c>
      <c r="I2677" s="805">
        <v>31.06</v>
      </c>
      <c r="J2677" s="805">
        <v>1964.58</v>
      </c>
      <c r="K2677" s="805">
        <v>4483.7150000000001</v>
      </c>
    </row>
    <row r="2678" spans="3:11">
      <c r="C2678" s="861">
        <v>41936</v>
      </c>
      <c r="D2678" s="805">
        <v>33.18</v>
      </c>
      <c r="E2678" s="805">
        <v>4.62</v>
      </c>
      <c r="F2678" s="806">
        <v>2.68</v>
      </c>
      <c r="G2678" s="805">
        <v>4.1299197051467704</v>
      </c>
      <c r="H2678" s="805">
        <v>81.849999999999994</v>
      </c>
      <c r="I2678" s="805">
        <v>31.06</v>
      </c>
      <c r="J2678" s="805">
        <v>1964.58</v>
      </c>
      <c r="K2678" s="805">
        <v>4483.7150000000001</v>
      </c>
    </row>
    <row r="2679" spans="3:11">
      <c r="C2679" s="861">
        <v>41935</v>
      </c>
      <c r="D2679" s="805">
        <v>32.69</v>
      </c>
      <c r="E2679" s="805">
        <v>4.57125</v>
      </c>
      <c r="F2679" s="806">
        <v>2.69</v>
      </c>
      <c r="G2679" s="805">
        <v>4.1928376467493198</v>
      </c>
      <c r="H2679" s="805">
        <v>81.38</v>
      </c>
      <c r="I2679" s="805">
        <v>30.89</v>
      </c>
      <c r="J2679" s="805">
        <v>1950.82</v>
      </c>
      <c r="K2679" s="805">
        <v>4452.7920000000004</v>
      </c>
    </row>
    <row r="2680" spans="3:11">
      <c r="C2680" s="861">
        <v>41934</v>
      </c>
      <c r="D2680" s="805">
        <v>32.270000000000003</v>
      </c>
      <c r="E2680" s="805">
        <v>4.4725000000000001</v>
      </c>
      <c r="F2680" s="806">
        <v>2.64</v>
      </c>
      <c r="G2680" s="805">
        <v>4.2445380363253502</v>
      </c>
      <c r="H2680" s="805">
        <v>80.86</v>
      </c>
      <c r="I2680" s="805">
        <v>30.57</v>
      </c>
      <c r="J2680" s="805">
        <v>1927.11</v>
      </c>
      <c r="K2680" s="805">
        <v>4382.8469999999998</v>
      </c>
    </row>
    <row r="2681" spans="3:11">
      <c r="C2681" s="861">
        <v>41933</v>
      </c>
      <c r="D2681" s="805">
        <v>32.61</v>
      </c>
      <c r="E2681" s="805">
        <v>4.58</v>
      </c>
      <c r="F2681" s="806">
        <v>2.77</v>
      </c>
      <c r="G2681" s="805">
        <v>4.1159038524860101</v>
      </c>
      <c r="H2681" s="805">
        <v>82.38</v>
      </c>
      <c r="I2681" s="805">
        <v>31.19</v>
      </c>
      <c r="J2681" s="805">
        <v>1941.28</v>
      </c>
      <c r="K2681" s="805">
        <v>4419.4790000000003</v>
      </c>
    </row>
    <row r="2682" spans="3:11">
      <c r="C2682" s="861">
        <v>41932</v>
      </c>
      <c r="D2682" s="805">
        <v>31.58</v>
      </c>
      <c r="E2682" s="805">
        <v>4.3925000000000001</v>
      </c>
      <c r="F2682" s="806">
        <v>2.67</v>
      </c>
      <c r="G2682" s="805">
        <v>4.1496509023844004</v>
      </c>
      <c r="H2682" s="805">
        <v>77.989999999999995</v>
      </c>
      <c r="I2682" s="805">
        <v>29.69</v>
      </c>
      <c r="J2682" s="805">
        <v>1904.01</v>
      </c>
      <c r="K2682" s="805">
        <v>4316.0739999999996</v>
      </c>
    </row>
    <row r="2683" spans="3:11">
      <c r="C2683" s="861">
        <v>41931</v>
      </c>
      <c r="D2683" s="805">
        <v>31.38</v>
      </c>
      <c r="E2683" s="805">
        <v>4.3550000000000004</v>
      </c>
      <c r="F2683" s="806">
        <v>2.72</v>
      </c>
      <c r="G2683" s="805">
        <v>4.0675844806007504</v>
      </c>
      <c r="H2683" s="805">
        <v>77.150000000000006</v>
      </c>
      <c r="I2683" s="805">
        <v>28.765000000000001</v>
      </c>
      <c r="J2683" s="805">
        <v>1886.76</v>
      </c>
      <c r="K2683" s="805">
        <v>4258.4380000000001</v>
      </c>
    </row>
    <row r="2684" spans="3:11">
      <c r="C2684" s="861">
        <v>41930</v>
      </c>
      <c r="D2684" s="805">
        <v>31.38</v>
      </c>
      <c r="E2684" s="805">
        <v>4.3550000000000004</v>
      </c>
      <c r="F2684" s="806">
        <v>2.72</v>
      </c>
      <c r="G2684" s="805">
        <v>4.0675844806007504</v>
      </c>
      <c r="H2684" s="805">
        <v>77.150000000000006</v>
      </c>
      <c r="I2684" s="805">
        <v>28.765000000000001</v>
      </c>
      <c r="J2684" s="805">
        <v>1886.76</v>
      </c>
      <c r="K2684" s="805">
        <v>4258.4380000000001</v>
      </c>
    </row>
    <row r="2685" spans="3:11">
      <c r="C2685" s="861">
        <v>41929</v>
      </c>
      <c r="D2685" s="805">
        <v>31.38</v>
      </c>
      <c r="E2685" s="805">
        <v>4.3550000000000004</v>
      </c>
      <c r="F2685" s="806">
        <v>2.72</v>
      </c>
      <c r="G2685" s="805">
        <v>4.0675844806007504</v>
      </c>
      <c r="H2685" s="805">
        <v>77.150000000000006</v>
      </c>
      <c r="I2685" s="805">
        <v>28.765000000000001</v>
      </c>
      <c r="J2685" s="805">
        <v>1886.76</v>
      </c>
      <c r="K2685" s="805">
        <v>4258.4380000000001</v>
      </c>
    </row>
    <row r="2686" spans="3:11">
      <c r="C2686" s="861">
        <v>41928</v>
      </c>
      <c r="D2686" s="805">
        <v>30.85</v>
      </c>
      <c r="E2686" s="805">
        <v>4.3624999999999998</v>
      </c>
      <c r="F2686" s="806">
        <v>2.64</v>
      </c>
      <c r="G2686" s="805">
        <v>4</v>
      </c>
      <c r="H2686" s="805">
        <v>75.599999999999994</v>
      </c>
      <c r="I2686" s="805">
        <v>28.3</v>
      </c>
      <c r="J2686" s="805">
        <v>1862.76</v>
      </c>
      <c r="K2686" s="805">
        <v>4217.3900000000003</v>
      </c>
    </row>
    <row r="2687" spans="3:11">
      <c r="C2687" s="861">
        <v>41927</v>
      </c>
      <c r="D2687" s="805">
        <v>31.274999999999999</v>
      </c>
      <c r="E2687" s="805">
        <v>4.3600000000000003</v>
      </c>
      <c r="F2687" s="806">
        <v>2.61</v>
      </c>
      <c r="G2687" s="805">
        <v>4.0035587188612096</v>
      </c>
      <c r="H2687" s="805">
        <v>72.55</v>
      </c>
      <c r="I2687" s="805">
        <v>27.54</v>
      </c>
      <c r="J2687" s="805">
        <v>1862.49</v>
      </c>
      <c r="K2687" s="805">
        <v>4215.317</v>
      </c>
    </row>
    <row r="2688" spans="3:11">
      <c r="C2688" s="861">
        <v>41926</v>
      </c>
      <c r="D2688" s="805">
        <v>32.14</v>
      </c>
      <c r="E2688" s="805">
        <v>4.2937500000000002</v>
      </c>
      <c r="F2688" s="806">
        <v>2.62</v>
      </c>
      <c r="G2688" s="805">
        <v>3.9767311926906999</v>
      </c>
      <c r="H2688" s="805">
        <v>72.02</v>
      </c>
      <c r="I2688" s="805">
        <v>27.39</v>
      </c>
      <c r="J2688" s="805">
        <v>1877.7</v>
      </c>
      <c r="K2688" s="805">
        <v>4227.1710000000003</v>
      </c>
    </row>
    <row r="2689" spans="3:11">
      <c r="C2689" s="861">
        <v>41925</v>
      </c>
      <c r="D2689" s="805">
        <v>31.47</v>
      </c>
      <c r="E2689" s="805">
        <v>4.19625</v>
      </c>
      <c r="F2689" s="806">
        <v>2.74</v>
      </c>
      <c r="G2689" s="805">
        <v>3.9645982759755198</v>
      </c>
      <c r="H2689" s="805">
        <v>69.040000000000006</v>
      </c>
      <c r="I2689" s="805">
        <v>27.03</v>
      </c>
      <c r="J2689" s="805">
        <v>1874.74</v>
      </c>
      <c r="K2689" s="805">
        <v>4213.6559999999999</v>
      </c>
    </row>
    <row r="2690" spans="3:11">
      <c r="C2690" s="861">
        <v>41924</v>
      </c>
      <c r="D2690" s="805">
        <v>31.91</v>
      </c>
      <c r="E2690" s="805">
        <v>4.2112499999999997</v>
      </c>
      <c r="F2690" s="806">
        <v>2.72</v>
      </c>
      <c r="G2690" s="805">
        <v>4.1165815906471304</v>
      </c>
      <c r="H2690" s="805">
        <v>71.36</v>
      </c>
      <c r="I2690" s="805">
        <v>27.79</v>
      </c>
      <c r="J2690" s="805">
        <v>1906.13</v>
      </c>
      <c r="K2690" s="805">
        <v>4276.2370000000001</v>
      </c>
    </row>
    <row r="2691" spans="3:11">
      <c r="C2691" s="861">
        <v>41923</v>
      </c>
      <c r="D2691" s="805">
        <v>31.91</v>
      </c>
      <c r="E2691" s="805">
        <v>4.2112499999999997</v>
      </c>
      <c r="F2691" s="806">
        <v>2.72</v>
      </c>
      <c r="G2691" s="805">
        <v>4.1165815906471304</v>
      </c>
      <c r="H2691" s="805">
        <v>71.36</v>
      </c>
      <c r="I2691" s="805">
        <v>27.79</v>
      </c>
      <c r="J2691" s="805">
        <v>1906.13</v>
      </c>
      <c r="K2691" s="805">
        <v>4276.2370000000001</v>
      </c>
    </row>
    <row r="2692" spans="3:11">
      <c r="C2692" s="861">
        <v>41922</v>
      </c>
      <c r="D2692" s="805">
        <v>31.91</v>
      </c>
      <c r="E2692" s="805">
        <v>4.2112499999999997</v>
      </c>
      <c r="F2692" s="806">
        <v>2.72</v>
      </c>
      <c r="G2692" s="805">
        <v>4.1165815906471304</v>
      </c>
      <c r="H2692" s="805">
        <v>71.36</v>
      </c>
      <c r="I2692" s="805">
        <v>27.79</v>
      </c>
      <c r="J2692" s="805">
        <v>1906.13</v>
      </c>
      <c r="K2692" s="805">
        <v>4276.2370000000001</v>
      </c>
    </row>
    <row r="2693" spans="3:11">
      <c r="C2693" s="861">
        <v>41921</v>
      </c>
      <c r="D2693" s="805">
        <v>33.619999999999997</v>
      </c>
      <c r="E2693" s="805">
        <v>4.4775</v>
      </c>
      <c r="F2693" s="806">
        <v>2.95</v>
      </c>
      <c r="G2693" s="805">
        <v>4.1165815906471304</v>
      </c>
      <c r="H2693" s="805">
        <v>80.599999999999994</v>
      </c>
      <c r="I2693" s="805">
        <v>30.64</v>
      </c>
      <c r="J2693" s="805">
        <v>1928.21</v>
      </c>
      <c r="K2693" s="805">
        <v>4378.3360000000002</v>
      </c>
    </row>
    <row r="2694" spans="3:11">
      <c r="C2694" s="861">
        <v>41920</v>
      </c>
      <c r="D2694" s="805">
        <v>34.270000000000003</v>
      </c>
      <c r="E2694" s="805">
        <v>4.5650000000000004</v>
      </c>
      <c r="F2694" s="806">
        <v>3.28</v>
      </c>
      <c r="G2694" s="805">
        <v>4.0353131073558002</v>
      </c>
      <c r="H2694" s="805">
        <v>83.3</v>
      </c>
      <c r="I2694" s="805">
        <v>32.32</v>
      </c>
      <c r="J2694" s="805">
        <v>1968.89</v>
      </c>
      <c r="K2694" s="805">
        <v>4468.5940000000001</v>
      </c>
    </row>
    <row r="2695" spans="3:11">
      <c r="C2695" s="861">
        <v>41919</v>
      </c>
      <c r="D2695" s="805">
        <v>33.47</v>
      </c>
      <c r="E2695" s="805">
        <v>4.4812500000000002</v>
      </c>
      <c r="F2695" s="806">
        <v>3.28</v>
      </c>
      <c r="G2695" s="805">
        <v>4.1137365892187203</v>
      </c>
      <c r="H2695" s="805">
        <v>81.03</v>
      </c>
      <c r="I2695" s="805">
        <v>31.864999999999998</v>
      </c>
      <c r="J2695" s="805">
        <v>1935.1</v>
      </c>
      <c r="K2695" s="805">
        <v>4385.2030000000004</v>
      </c>
    </row>
    <row r="2696" spans="3:11">
      <c r="C2696" s="861">
        <v>41918</v>
      </c>
      <c r="D2696" s="805">
        <v>34.11</v>
      </c>
      <c r="E2696" s="805">
        <v>4.53</v>
      </c>
      <c r="F2696" s="806">
        <v>3.36</v>
      </c>
      <c r="G2696" s="805">
        <v>4.1435101450228604</v>
      </c>
      <c r="H2696" s="805">
        <v>82.88</v>
      </c>
      <c r="I2696" s="805">
        <v>32.57</v>
      </c>
      <c r="J2696" s="805">
        <v>1964.82</v>
      </c>
      <c r="K2696" s="805">
        <v>4454.8019999999997</v>
      </c>
    </row>
    <row r="2697" spans="3:11">
      <c r="C2697" s="861">
        <v>41917</v>
      </c>
      <c r="D2697" s="805">
        <v>34.03</v>
      </c>
      <c r="E2697" s="805">
        <v>4.5575000000000001</v>
      </c>
      <c r="F2697" s="806">
        <v>3.4</v>
      </c>
      <c r="G2697" s="805">
        <v>4.0800943829062097</v>
      </c>
      <c r="H2697" s="805">
        <v>83.47</v>
      </c>
      <c r="I2697" s="805">
        <v>33.94</v>
      </c>
      <c r="J2697" s="805">
        <v>1967.9</v>
      </c>
      <c r="K2697" s="805">
        <v>4475.6239999999998</v>
      </c>
    </row>
    <row r="2698" spans="3:11">
      <c r="C2698" s="861">
        <v>41916</v>
      </c>
      <c r="D2698" s="805">
        <v>34.03</v>
      </c>
      <c r="E2698" s="805">
        <v>4.5575000000000001</v>
      </c>
      <c r="F2698" s="806">
        <v>3.4</v>
      </c>
      <c r="G2698" s="805">
        <v>4.0800943829062097</v>
      </c>
      <c r="H2698" s="805">
        <v>83.47</v>
      </c>
      <c r="I2698" s="805">
        <v>33.94</v>
      </c>
      <c r="J2698" s="805">
        <v>1967.9</v>
      </c>
      <c r="K2698" s="805">
        <v>4475.6239999999998</v>
      </c>
    </row>
    <row r="2699" spans="3:11">
      <c r="C2699" s="861">
        <v>41915</v>
      </c>
      <c r="D2699" s="805">
        <v>34.03</v>
      </c>
      <c r="E2699" s="805">
        <v>4.5575000000000001</v>
      </c>
      <c r="F2699" s="806">
        <v>3.4</v>
      </c>
      <c r="G2699" s="805">
        <v>4.0800943829062097</v>
      </c>
      <c r="H2699" s="805">
        <v>83.47</v>
      </c>
      <c r="I2699" s="805">
        <v>33.94</v>
      </c>
      <c r="J2699" s="805">
        <v>1967.9</v>
      </c>
      <c r="K2699" s="805">
        <v>4475.6239999999998</v>
      </c>
    </row>
    <row r="2700" spans="3:11">
      <c r="C2700" s="861">
        <v>41914</v>
      </c>
      <c r="D2700" s="805">
        <v>33.520000000000003</v>
      </c>
      <c r="E2700" s="805">
        <v>4.5475000000000003</v>
      </c>
      <c r="F2700" s="806">
        <v>3.39</v>
      </c>
      <c r="G2700" s="805">
        <v>3.9776462853385901</v>
      </c>
      <c r="H2700" s="805">
        <v>83.21</v>
      </c>
      <c r="I2700" s="805">
        <v>33.81</v>
      </c>
      <c r="J2700" s="805">
        <v>1946.17</v>
      </c>
      <c r="K2700" s="805">
        <v>4430.1949999999997</v>
      </c>
    </row>
    <row r="2701" spans="3:11">
      <c r="C2701" s="861">
        <v>41913</v>
      </c>
      <c r="D2701" s="805">
        <v>33.99</v>
      </c>
      <c r="E2701" s="805">
        <v>4.5674999999999999</v>
      </c>
      <c r="F2701" s="806">
        <v>3.35</v>
      </c>
      <c r="G2701" s="805">
        <v>3.99434545334999</v>
      </c>
      <c r="H2701" s="805">
        <v>85.54</v>
      </c>
      <c r="I2701" s="805">
        <v>33.5</v>
      </c>
      <c r="J2701" s="805">
        <v>1946.16</v>
      </c>
      <c r="K2701" s="805">
        <v>4422.085</v>
      </c>
    </row>
    <row r="2702" spans="3:11">
      <c r="C2702" s="861">
        <v>41912</v>
      </c>
      <c r="D2702" s="805">
        <v>34.82</v>
      </c>
      <c r="E2702" s="805">
        <v>4.6124999999999998</v>
      </c>
      <c r="F2702" s="806">
        <v>3.41</v>
      </c>
      <c r="G2702" s="805">
        <v>3.9439952672056799</v>
      </c>
      <c r="H2702" s="805">
        <v>87</v>
      </c>
      <c r="I2702" s="805">
        <v>34.26</v>
      </c>
      <c r="J2702" s="805">
        <v>1972.29</v>
      </c>
      <c r="K2702" s="805">
        <v>4493.3900000000003</v>
      </c>
    </row>
    <row r="2703" spans="3:11">
      <c r="C2703" s="861">
        <v>41911</v>
      </c>
      <c r="D2703" s="805">
        <v>34.9</v>
      </c>
      <c r="E2703" s="805">
        <v>4.6287500000000001</v>
      </c>
      <c r="F2703" s="806">
        <v>3.55</v>
      </c>
      <c r="G2703" s="805">
        <v>3.9586070959264101</v>
      </c>
      <c r="H2703" s="805">
        <v>87.11</v>
      </c>
      <c r="I2703" s="805">
        <v>34.5</v>
      </c>
      <c r="J2703" s="805">
        <v>1977.8</v>
      </c>
      <c r="K2703" s="805">
        <v>4505.8519999999999</v>
      </c>
    </row>
    <row r="2704" spans="3:11">
      <c r="C2704" s="861">
        <v>41910</v>
      </c>
      <c r="D2704" s="805">
        <v>34.26</v>
      </c>
      <c r="E2704" s="805">
        <v>4.6362500000000004</v>
      </c>
      <c r="F2704" s="806">
        <v>3.6</v>
      </c>
      <c r="G2704" s="805">
        <v>3.9889233203665801</v>
      </c>
      <c r="H2704" s="805">
        <v>87.5</v>
      </c>
      <c r="I2704" s="805">
        <v>33.83</v>
      </c>
      <c r="J2704" s="805">
        <v>1982.85</v>
      </c>
      <c r="K2704" s="805">
        <v>4512.1940000000004</v>
      </c>
    </row>
    <row r="2705" spans="3:11">
      <c r="C2705" s="861">
        <v>41909</v>
      </c>
      <c r="D2705" s="805">
        <v>34.26</v>
      </c>
      <c r="E2705" s="805">
        <v>4.6362500000000004</v>
      </c>
      <c r="F2705" s="806">
        <v>3.6</v>
      </c>
      <c r="G2705" s="805">
        <v>3.9889233203665801</v>
      </c>
      <c r="H2705" s="805">
        <v>87.5</v>
      </c>
      <c r="I2705" s="805">
        <v>33.83</v>
      </c>
      <c r="J2705" s="805">
        <v>1982.85</v>
      </c>
      <c r="K2705" s="805">
        <v>4512.1940000000004</v>
      </c>
    </row>
    <row r="2706" spans="3:11">
      <c r="C2706" s="861">
        <v>41908</v>
      </c>
      <c r="D2706" s="805">
        <v>34.26</v>
      </c>
      <c r="E2706" s="805">
        <v>4.6362500000000004</v>
      </c>
      <c r="F2706" s="806">
        <v>3.6</v>
      </c>
      <c r="G2706" s="805">
        <v>3.9889233203665801</v>
      </c>
      <c r="H2706" s="805">
        <v>87.5</v>
      </c>
      <c r="I2706" s="805">
        <v>33.83</v>
      </c>
      <c r="J2706" s="805">
        <v>1982.85</v>
      </c>
      <c r="K2706" s="805">
        <v>4512.1940000000004</v>
      </c>
    </row>
    <row r="2707" spans="3:11">
      <c r="C2707" s="861">
        <v>41907</v>
      </c>
      <c r="D2707" s="805">
        <v>34.14</v>
      </c>
      <c r="E2707" s="805">
        <v>4.6275000000000004</v>
      </c>
      <c r="F2707" s="806">
        <v>3.63</v>
      </c>
      <c r="G2707" s="805">
        <v>4.0250742329264302</v>
      </c>
      <c r="H2707" s="805">
        <v>86.46</v>
      </c>
      <c r="I2707" s="805">
        <v>31.7</v>
      </c>
      <c r="J2707" s="805">
        <v>1965.99</v>
      </c>
      <c r="K2707" s="805">
        <v>4466.7479999999996</v>
      </c>
    </row>
    <row r="2708" spans="3:11">
      <c r="C2708" s="861">
        <v>41906</v>
      </c>
      <c r="D2708" s="805">
        <v>34.75</v>
      </c>
      <c r="E2708" s="805">
        <v>4.7300000000000004</v>
      </c>
      <c r="F2708" s="806">
        <v>3.7</v>
      </c>
      <c r="G2708" s="805">
        <v>4.0705563093622796</v>
      </c>
      <c r="H2708" s="805">
        <v>89.02</v>
      </c>
      <c r="I2708" s="805">
        <v>32.22</v>
      </c>
      <c r="J2708" s="805">
        <v>1998.3</v>
      </c>
      <c r="K2708" s="805">
        <v>4555.2209999999995</v>
      </c>
    </row>
    <row r="2709" spans="3:11">
      <c r="C2709" s="861">
        <v>41905</v>
      </c>
      <c r="D2709" s="805">
        <v>34.42</v>
      </c>
      <c r="E2709" s="805">
        <v>4.7024999999999997</v>
      </c>
      <c r="F2709" s="806">
        <v>3.69</v>
      </c>
      <c r="G2709" s="805">
        <v>4.0521319175680599</v>
      </c>
      <c r="H2709" s="805">
        <v>87.56</v>
      </c>
      <c r="I2709" s="805">
        <v>31.2</v>
      </c>
      <c r="J2709" s="805">
        <v>1982.77</v>
      </c>
      <c r="K2709" s="805">
        <v>4508.6880000000001</v>
      </c>
    </row>
    <row r="2710" spans="3:11">
      <c r="C2710" s="861">
        <v>41904</v>
      </c>
      <c r="D2710" s="805">
        <v>34.71</v>
      </c>
      <c r="E2710" s="805">
        <v>4.7225000000000001</v>
      </c>
      <c r="F2710" s="806">
        <v>3.76</v>
      </c>
      <c r="G2710" s="805">
        <v>4.0337245825756298</v>
      </c>
      <c r="H2710" s="805">
        <v>87.18</v>
      </c>
      <c r="I2710" s="805">
        <v>30.6</v>
      </c>
      <c r="J2710" s="805">
        <v>1994.29</v>
      </c>
      <c r="K2710" s="805">
        <v>4527.6890000000003</v>
      </c>
    </row>
    <row r="2711" spans="3:11">
      <c r="C2711" s="861">
        <v>41903</v>
      </c>
      <c r="D2711" s="805">
        <v>34.82</v>
      </c>
      <c r="E2711" s="805">
        <v>4.7699999999999996</v>
      </c>
      <c r="F2711" s="806">
        <v>3.81</v>
      </c>
      <c r="G2711" s="805">
        <v>4.1415413160161698</v>
      </c>
      <c r="H2711" s="805">
        <v>89.1</v>
      </c>
      <c r="I2711" s="805">
        <v>31.63</v>
      </c>
      <c r="J2711" s="805">
        <v>2010.4</v>
      </c>
      <c r="K2711" s="805">
        <v>4579.7889999999998</v>
      </c>
    </row>
    <row r="2712" spans="3:11">
      <c r="C2712" s="861">
        <v>41902</v>
      </c>
      <c r="D2712" s="805">
        <v>34.82</v>
      </c>
      <c r="E2712" s="805">
        <v>4.7699999999999996</v>
      </c>
      <c r="F2712" s="806">
        <v>3.81</v>
      </c>
      <c r="G2712" s="805">
        <v>4.1415413160161698</v>
      </c>
      <c r="H2712" s="805">
        <v>89.1</v>
      </c>
      <c r="I2712" s="805">
        <v>31.63</v>
      </c>
      <c r="J2712" s="805">
        <v>2010.4</v>
      </c>
      <c r="K2712" s="805">
        <v>4579.7889999999998</v>
      </c>
    </row>
    <row r="2713" spans="3:11">
      <c r="C2713" s="861">
        <v>41901</v>
      </c>
      <c r="D2713" s="805">
        <v>34.82</v>
      </c>
      <c r="E2713" s="805">
        <v>4.7699999999999996</v>
      </c>
      <c r="F2713" s="806">
        <v>3.81</v>
      </c>
      <c r="G2713" s="805">
        <v>4.1415413160161698</v>
      </c>
      <c r="H2713" s="805">
        <v>89.1</v>
      </c>
      <c r="I2713" s="805">
        <v>31.63</v>
      </c>
      <c r="J2713" s="805">
        <v>2010.4</v>
      </c>
      <c r="K2713" s="805">
        <v>4579.7889999999998</v>
      </c>
    </row>
    <row r="2714" spans="3:11">
      <c r="C2714" s="861">
        <v>41900</v>
      </c>
      <c r="D2714" s="805">
        <v>35.17</v>
      </c>
      <c r="E2714" s="805">
        <v>4.8600000000000003</v>
      </c>
      <c r="F2714" s="806">
        <v>3.88</v>
      </c>
      <c r="G2714" s="805">
        <v>4.13291453132749</v>
      </c>
      <c r="H2714" s="805">
        <v>89.52</v>
      </c>
      <c r="I2714" s="805">
        <v>32.479999999999997</v>
      </c>
      <c r="J2714" s="805">
        <v>2011.36</v>
      </c>
      <c r="K2714" s="805">
        <v>4593.4250000000002</v>
      </c>
    </row>
    <row r="2715" spans="3:11">
      <c r="C2715" s="861">
        <v>41899</v>
      </c>
      <c r="D2715" s="805">
        <v>34.979999999999997</v>
      </c>
      <c r="E2715" s="805">
        <v>4.7874999999999996</v>
      </c>
      <c r="F2715" s="806">
        <v>3.82</v>
      </c>
      <c r="G2715" s="805">
        <v>4.1211519364448899</v>
      </c>
      <c r="H2715" s="805">
        <v>87.74</v>
      </c>
      <c r="I2715" s="805">
        <v>31.98</v>
      </c>
      <c r="J2715" s="805">
        <v>2001.57</v>
      </c>
      <c r="K2715" s="805">
        <v>4562.1880000000001</v>
      </c>
    </row>
    <row r="2716" spans="3:11">
      <c r="C2716" s="861">
        <v>41898</v>
      </c>
      <c r="D2716" s="805">
        <v>34.93</v>
      </c>
      <c r="E2716" s="805">
        <v>4.7837500000000004</v>
      </c>
      <c r="F2716" s="806">
        <v>3.81</v>
      </c>
      <c r="G2716" s="805">
        <v>4.0678754067875396</v>
      </c>
      <c r="H2716" s="805">
        <v>87.92</v>
      </c>
      <c r="I2716" s="805">
        <v>31.45</v>
      </c>
      <c r="J2716" s="805">
        <v>1998.98</v>
      </c>
      <c r="K2716" s="805">
        <v>4552.7579999999998</v>
      </c>
    </row>
    <row r="2717" spans="3:11">
      <c r="C2717" s="861">
        <v>41897</v>
      </c>
      <c r="D2717" s="805">
        <v>34.54</v>
      </c>
      <c r="E2717" s="805">
        <v>4.7149999999999999</v>
      </c>
      <c r="F2717" s="806">
        <v>3.91</v>
      </c>
      <c r="G2717" s="805">
        <v>4.0984966647861096</v>
      </c>
      <c r="H2717" s="805">
        <v>86.71</v>
      </c>
      <c r="I2717" s="805">
        <v>30.02</v>
      </c>
      <c r="J2717" s="805">
        <v>1984.13</v>
      </c>
      <c r="K2717" s="805">
        <v>4518.902</v>
      </c>
    </row>
    <row r="2718" spans="3:11">
      <c r="C2718" s="861">
        <v>41896</v>
      </c>
      <c r="D2718" s="805">
        <v>34.619999999999997</v>
      </c>
      <c r="E2718" s="805">
        <v>4.78</v>
      </c>
      <c r="F2718" s="806">
        <v>3.96</v>
      </c>
      <c r="G2718" s="805">
        <v>4.1013671223741204</v>
      </c>
      <c r="H2718" s="805">
        <v>87.85</v>
      </c>
      <c r="I2718" s="805">
        <v>31.524999999999999</v>
      </c>
      <c r="J2718" s="805">
        <v>1985.54</v>
      </c>
      <c r="K2718" s="805">
        <v>4567.5990000000002</v>
      </c>
    </row>
    <row r="2719" spans="3:11">
      <c r="C2719" s="861">
        <v>41895</v>
      </c>
      <c r="D2719" s="805">
        <v>34.619999999999997</v>
      </c>
      <c r="E2719" s="805">
        <v>4.78</v>
      </c>
      <c r="F2719" s="806">
        <v>3.96</v>
      </c>
      <c r="G2719" s="805">
        <v>4.1013671223741204</v>
      </c>
      <c r="H2719" s="805">
        <v>87.85</v>
      </c>
      <c r="I2719" s="805">
        <v>31.524999999999999</v>
      </c>
      <c r="J2719" s="805">
        <v>1985.54</v>
      </c>
      <c r="K2719" s="805">
        <v>4567.5990000000002</v>
      </c>
    </row>
    <row r="2720" spans="3:11">
      <c r="C2720" s="861">
        <v>41894</v>
      </c>
      <c r="D2720" s="805">
        <v>34.619999999999997</v>
      </c>
      <c r="E2720" s="805">
        <v>4.78</v>
      </c>
      <c r="F2720" s="806">
        <v>3.96</v>
      </c>
      <c r="G2720" s="805">
        <v>4.1013671223741204</v>
      </c>
      <c r="H2720" s="805">
        <v>87.85</v>
      </c>
      <c r="I2720" s="805">
        <v>31.524999999999999</v>
      </c>
      <c r="J2720" s="805">
        <v>1985.54</v>
      </c>
      <c r="K2720" s="805">
        <v>4567.5990000000002</v>
      </c>
    </row>
    <row r="2721" spans="3:11">
      <c r="C2721" s="861">
        <v>41893</v>
      </c>
      <c r="D2721" s="805">
        <v>35.020000000000003</v>
      </c>
      <c r="E2721" s="805">
        <v>4.8525</v>
      </c>
      <c r="F2721" s="806">
        <v>4.08</v>
      </c>
      <c r="G2721" s="805">
        <v>4.1623655555925501</v>
      </c>
      <c r="H2721" s="805">
        <v>89.07</v>
      </c>
      <c r="I2721" s="805">
        <v>32.04</v>
      </c>
      <c r="J2721" s="805">
        <v>1997.45</v>
      </c>
      <c r="K2721" s="805">
        <v>4591.8059999999996</v>
      </c>
    </row>
    <row r="2722" spans="3:11">
      <c r="C2722" s="861">
        <v>41892</v>
      </c>
      <c r="D2722" s="805">
        <v>35.020000000000003</v>
      </c>
      <c r="E2722" s="805">
        <v>4.9024999999999999</v>
      </c>
      <c r="F2722" s="806">
        <v>4.08</v>
      </c>
      <c r="G2722" s="805">
        <v>4.1680560186728899</v>
      </c>
      <c r="H2722" s="805">
        <v>89</v>
      </c>
      <c r="I2722" s="805">
        <v>32.090000000000003</v>
      </c>
      <c r="J2722" s="805">
        <v>1995.69</v>
      </c>
      <c r="K2722" s="805">
        <v>4586.5219999999999</v>
      </c>
    </row>
    <row r="2723" spans="3:11">
      <c r="C2723" s="861">
        <v>41891</v>
      </c>
      <c r="D2723" s="805">
        <v>34.909999999999997</v>
      </c>
      <c r="E2723" s="805">
        <v>4.8849999999999998</v>
      </c>
      <c r="F2723" s="806">
        <v>4.08</v>
      </c>
      <c r="G2723" s="805">
        <v>4.2389853137516704</v>
      </c>
      <c r="H2723" s="805">
        <v>88.405000000000001</v>
      </c>
      <c r="I2723" s="805">
        <v>31.98</v>
      </c>
      <c r="J2723" s="805">
        <v>1988.44</v>
      </c>
      <c r="K2723" s="805">
        <v>4552.2849999999999</v>
      </c>
    </row>
    <row r="2724" spans="3:11">
      <c r="C2724" s="861">
        <v>41890</v>
      </c>
      <c r="D2724" s="805">
        <v>35.33</v>
      </c>
      <c r="E2724" s="805">
        <v>4.9474999999999998</v>
      </c>
      <c r="F2724" s="806">
        <v>4.13</v>
      </c>
      <c r="G2724" s="805">
        <v>4.2456457058803903</v>
      </c>
      <c r="H2724" s="805">
        <v>88.185000000000002</v>
      </c>
      <c r="I2724" s="805">
        <v>33.134999999999998</v>
      </c>
      <c r="J2724" s="805">
        <v>2001.54</v>
      </c>
      <c r="K2724" s="805">
        <v>4592.2849999999999</v>
      </c>
    </row>
    <row r="2725" spans="3:11">
      <c r="C2725" s="861">
        <v>41889</v>
      </c>
      <c r="D2725" s="805">
        <v>35</v>
      </c>
      <c r="E2725" s="805">
        <v>4.9924999999999997</v>
      </c>
      <c r="F2725" s="806">
        <v>4.1500000000000004</v>
      </c>
      <c r="G2725" s="805">
        <v>4.2456457058803903</v>
      </c>
      <c r="H2725" s="805">
        <v>87.88</v>
      </c>
      <c r="I2725" s="805">
        <v>32.94</v>
      </c>
      <c r="J2725" s="805">
        <v>2007.71</v>
      </c>
      <c r="K2725" s="805">
        <v>4582.8999999999996</v>
      </c>
    </row>
    <row r="2726" spans="3:11">
      <c r="C2726" s="861">
        <v>41888</v>
      </c>
      <c r="D2726" s="805">
        <v>35</v>
      </c>
      <c r="E2726" s="805">
        <v>4.9924999999999997</v>
      </c>
      <c r="F2726" s="806">
        <v>4.1500000000000004</v>
      </c>
      <c r="G2726" s="805">
        <v>4.2456457058803903</v>
      </c>
      <c r="H2726" s="805">
        <v>87.88</v>
      </c>
      <c r="I2726" s="805">
        <v>32.94</v>
      </c>
      <c r="J2726" s="805">
        <v>2007.71</v>
      </c>
      <c r="K2726" s="805">
        <v>4582.8999999999996</v>
      </c>
    </row>
    <row r="2727" spans="3:11">
      <c r="C2727" s="861">
        <v>41887</v>
      </c>
      <c r="D2727" s="805">
        <v>35</v>
      </c>
      <c r="E2727" s="805">
        <v>4.9924999999999997</v>
      </c>
      <c r="F2727" s="806">
        <v>4.1500000000000004</v>
      </c>
      <c r="G2727" s="805">
        <v>4.2456457058803903</v>
      </c>
      <c r="H2727" s="805">
        <v>87.88</v>
      </c>
      <c r="I2727" s="805">
        <v>32.94</v>
      </c>
      <c r="J2727" s="805">
        <v>2007.71</v>
      </c>
      <c r="K2727" s="805">
        <v>4582.8999999999996</v>
      </c>
    </row>
    <row r="2728" spans="3:11">
      <c r="C2728" s="861">
        <v>41886</v>
      </c>
      <c r="D2728" s="805">
        <v>34.905000000000001</v>
      </c>
      <c r="E2728" s="805">
        <v>5.0075000000000003</v>
      </c>
      <c r="F2728" s="806">
        <v>4.1500000000000004</v>
      </c>
      <c r="G2728" s="805">
        <v>4.2605092561652098</v>
      </c>
      <c r="H2728" s="805">
        <v>86.09</v>
      </c>
      <c r="I2728" s="805">
        <v>32.119999999999997</v>
      </c>
      <c r="J2728" s="805">
        <v>1997.65</v>
      </c>
      <c r="K2728" s="805">
        <v>4562.2870000000003</v>
      </c>
    </row>
    <row r="2729" spans="3:11">
      <c r="C2729" s="861">
        <v>41885</v>
      </c>
      <c r="D2729" s="805">
        <v>34.57</v>
      </c>
      <c r="E2729" s="805">
        <v>4.9212499999999997</v>
      </c>
      <c r="F2729" s="806">
        <v>4.1900000000000004</v>
      </c>
      <c r="G2729" s="805">
        <v>4.2816524502425199</v>
      </c>
      <c r="H2729" s="805">
        <v>85.39</v>
      </c>
      <c r="I2729" s="805">
        <v>31.68</v>
      </c>
      <c r="J2729" s="805">
        <v>2000.72</v>
      </c>
      <c r="K2729" s="805">
        <v>4572.5649999999996</v>
      </c>
    </row>
    <row r="2730" spans="3:11">
      <c r="C2730" s="861">
        <v>41884</v>
      </c>
      <c r="D2730" s="805">
        <v>34.57</v>
      </c>
      <c r="E2730" s="805">
        <v>4.8737500000000002</v>
      </c>
      <c r="F2730" s="806">
        <v>4.16</v>
      </c>
      <c r="G2730" s="805">
        <v>4.2067307692307701</v>
      </c>
      <c r="H2730" s="805">
        <v>85.02</v>
      </c>
      <c r="I2730" s="805">
        <v>31.51</v>
      </c>
      <c r="J2730" s="805">
        <v>2002.28</v>
      </c>
      <c r="K2730" s="805">
        <v>4598.1880000000001</v>
      </c>
    </row>
    <row r="2731" spans="3:11">
      <c r="C2731" s="861">
        <v>41883</v>
      </c>
      <c r="D2731" s="805">
        <v>34.92</v>
      </c>
      <c r="E2731" s="805">
        <v>4.8624999999999998</v>
      </c>
      <c r="F2731" s="806">
        <v>4.17</v>
      </c>
      <c r="G2731" s="805">
        <v>4.3044250159113</v>
      </c>
      <c r="H2731" s="805">
        <v>82.09</v>
      </c>
      <c r="I2731" s="805">
        <v>32.6</v>
      </c>
      <c r="J2731" s="805">
        <v>2003.37</v>
      </c>
      <c r="K2731" s="805">
        <v>4580.2709999999997</v>
      </c>
    </row>
    <row r="2732" spans="3:11">
      <c r="C2732" s="861">
        <v>41882</v>
      </c>
      <c r="D2732" s="805">
        <v>34.92</v>
      </c>
      <c r="E2732" s="805">
        <v>4.8624999999999998</v>
      </c>
      <c r="F2732" s="806">
        <v>4.17</v>
      </c>
      <c r="G2732" s="805">
        <v>4.1520174116859199</v>
      </c>
      <c r="H2732" s="805">
        <v>82.09</v>
      </c>
      <c r="I2732" s="805">
        <v>32.6</v>
      </c>
      <c r="J2732" s="805">
        <v>2003.37</v>
      </c>
      <c r="K2732" s="805">
        <v>4580.2709999999997</v>
      </c>
    </row>
    <row r="2733" spans="3:11">
      <c r="C2733" s="861">
        <v>41881</v>
      </c>
      <c r="D2733" s="805">
        <v>34.92</v>
      </c>
      <c r="E2733" s="805">
        <v>4.8624999999999998</v>
      </c>
      <c r="F2733" s="806">
        <v>4.17</v>
      </c>
      <c r="G2733" s="805">
        <v>4.1520174116859199</v>
      </c>
      <c r="H2733" s="805">
        <v>82.09</v>
      </c>
      <c r="I2733" s="805">
        <v>32.6</v>
      </c>
      <c r="J2733" s="805">
        <v>2003.37</v>
      </c>
      <c r="K2733" s="805">
        <v>4580.2709999999997</v>
      </c>
    </row>
    <row r="2734" spans="3:11">
      <c r="C2734" s="861">
        <v>41880</v>
      </c>
      <c r="D2734" s="805">
        <v>34.92</v>
      </c>
      <c r="E2734" s="805">
        <v>4.8624999999999998</v>
      </c>
      <c r="F2734" s="806">
        <v>4.17</v>
      </c>
      <c r="G2734" s="805">
        <v>4.1520174116859199</v>
      </c>
      <c r="H2734" s="805">
        <v>82.09</v>
      </c>
      <c r="I2734" s="805">
        <v>32.6</v>
      </c>
      <c r="J2734" s="805">
        <v>2003.37</v>
      </c>
      <c r="K2734" s="805">
        <v>4580.2709999999997</v>
      </c>
    </row>
    <row r="2735" spans="3:11">
      <c r="C2735" s="861">
        <v>41879</v>
      </c>
      <c r="D2735" s="805">
        <v>34.65</v>
      </c>
      <c r="E2735" s="805">
        <v>4.8475000000000001</v>
      </c>
      <c r="F2735" s="806">
        <v>4.1399999999999997</v>
      </c>
      <c r="G2735" s="805">
        <v>4.1827003513468304</v>
      </c>
      <c r="H2735" s="805">
        <v>76.36</v>
      </c>
      <c r="I2735" s="805">
        <v>32.81</v>
      </c>
      <c r="J2735" s="805">
        <v>1996.74</v>
      </c>
      <c r="K2735" s="805">
        <v>4557.6949999999997</v>
      </c>
    </row>
    <row r="2736" spans="3:11">
      <c r="C2736" s="861">
        <v>41878</v>
      </c>
      <c r="D2736" s="805">
        <v>34.79</v>
      </c>
      <c r="E2736" s="805">
        <v>4.8075000000000001</v>
      </c>
      <c r="F2736" s="806">
        <v>4.16</v>
      </c>
      <c r="G2736" s="805">
        <v>4.2032286154464504</v>
      </c>
      <c r="H2736" s="805">
        <v>76.16</v>
      </c>
      <c r="I2736" s="805">
        <v>32.994999999999997</v>
      </c>
      <c r="J2736" s="805">
        <v>2000.12</v>
      </c>
      <c r="K2736" s="805">
        <v>4569.6210000000001</v>
      </c>
    </row>
    <row r="2737" spans="3:11">
      <c r="C2737" s="861">
        <v>41877</v>
      </c>
      <c r="D2737" s="805">
        <v>34.799999999999997</v>
      </c>
      <c r="E2737" s="805">
        <v>4.8637499999999996</v>
      </c>
      <c r="F2737" s="806">
        <v>4.1900000000000004</v>
      </c>
      <c r="G2737" s="805">
        <v>4.1560956068900996</v>
      </c>
      <c r="H2737" s="805">
        <v>75.954999999999998</v>
      </c>
      <c r="I2737" s="805">
        <v>32.880000000000003</v>
      </c>
      <c r="J2737" s="805">
        <v>2000.02</v>
      </c>
      <c r="K2737" s="805">
        <v>4570.6369999999997</v>
      </c>
    </row>
    <row r="2738" spans="3:11">
      <c r="C2738" s="861">
        <v>41876</v>
      </c>
      <c r="D2738" s="805">
        <v>34.81</v>
      </c>
      <c r="E2738" s="805">
        <v>4.7750000000000004</v>
      </c>
      <c r="F2738" s="806">
        <v>4.18</v>
      </c>
      <c r="G2738" s="805">
        <v>4.1720903841660801</v>
      </c>
      <c r="H2738" s="805">
        <v>75.77</v>
      </c>
      <c r="I2738" s="805">
        <v>33.21</v>
      </c>
      <c r="J2738" s="805">
        <v>1997.92</v>
      </c>
      <c r="K2738" s="805">
        <v>4557.3469999999998</v>
      </c>
    </row>
    <row r="2739" spans="3:11">
      <c r="C2739" s="861">
        <v>41875</v>
      </c>
      <c r="D2739" s="805">
        <v>34.94</v>
      </c>
      <c r="E2739" s="805">
        <v>4.7699999999999996</v>
      </c>
      <c r="F2739" s="806">
        <v>4.25</v>
      </c>
      <c r="G2739" s="805">
        <v>4.1886389426606998</v>
      </c>
      <c r="H2739" s="805">
        <v>76.209999999999994</v>
      </c>
      <c r="I2739" s="805">
        <v>33.29</v>
      </c>
      <c r="J2739" s="805">
        <v>1988.4</v>
      </c>
      <c r="K2739" s="805">
        <v>4538.5510000000004</v>
      </c>
    </row>
    <row r="2740" spans="3:11">
      <c r="C2740" s="861">
        <v>41874</v>
      </c>
      <c r="D2740" s="805">
        <v>34.94</v>
      </c>
      <c r="E2740" s="805">
        <v>4.7699999999999996</v>
      </c>
      <c r="F2740" s="806">
        <v>4.25</v>
      </c>
      <c r="G2740" s="805">
        <v>4.1886389426606998</v>
      </c>
      <c r="H2740" s="805">
        <v>76.209999999999994</v>
      </c>
      <c r="I2740" s="805">
        <v>33.29</v>
      </c>
      <c r="J2740" s="805">
        <v>1988.4</v>
      </c>
      <c r="K2740" s="805">
        <v>4538.5510000000004</v>
      </c>
    </row>
    <row r="2741" spans="3:11">
      <c r="C2741" s="861">
        <v>41873</v>
      </c>
      <c r="D2741" s="805">
        <v>34.94</v>
      </c>
      <c r="E2741" s="805">
        <v>4.7699999999999996</v>
      </c>
      <c r="F2741" s="806">
        <v>4.25</v>
      </c>
      <c r="G2741" s="805">
        <v>4.1886389426606998</v>
      </c>
      <c r="H2741" s="805">
        <v>76.209999999999994</v>
      </c>
      <c r="I2741" s="805">
        <v>33.29</v>
      </c>
      <c r="J2741" s="805">
        <v>1988.4</v>
      </c>
      <c r="K2741" s="805">
        <v>4538.5510000000004</v>
      </c>
    </row>
    <row r="2742" spans="3:11">
      <c r="C2742" s="861">
        <v>41872</v>
      </c>
      <c r="D2742" s="805">
        <v>35.15</v>
      </c>
      <c r="E2742" s="805">
        <v>4.7675000000000001</v>
      </c>
      <c r="F2742" s="806">
        <v>4.24</v>
      </c>
      <c r="G2742" s="805">
        <v>4.1522145144076799</v>
      </c>
      <c r="H2742" s="805">
        <v>76.27</v>
      </c>
      <c r="I2742" s="805">
        <v>33.19</v>
      </c>
      <c r="J2742" s="805">
        <v>1992.37</v>
      </c>
      <c r="K2742" s="805">
        <v>4532.1040000000003</v>
      </c>
    </row>
    <row r="2743" spans="3:11">
      <c r="C2743" s="861">
        <v>41871</v>
      </c>
      <c r="D2743" s="805">
        <v>34.5</v>
      </c>
      <c r="E2743" s="805">
        <v>4.8125</v>
      </c>
      <c r="F2743" s="806">
        <v>4.28</v>
      </c>
      <c r="G2743" s="805">
        <v>4.1864033624658097</v>
      </c>
      <c r="H2743" s="805">
        <v>76.38</v>
      </c>
      <c r="I2743" s="805">
        <v>33.299999999999997</v>
      </c>
      <c r="J2743" s="805">
        <v>1986.51</v>
      </c>
      <c r="K2743" s="805">
        <v>4526.482</v>
      </c>
    </row>
    <row r="2744" spans="3:11">
      <c r="C2744" s="861">
        <v>41870</v>
      </c>
      <c r="D2744" s="805">
        <v>34.340000000000003</v>
      </c>
      <c r="E2744" s="805">
        <v>4.8425000000000002</v>
      </c>
      <c r="F2744" s="806">
        <v>4.2699999999999996</v>
      </c>
      <c r="G2744" s="805">
        <v>4.1348494447964299</v>
      </c>
      <c r="H2744" s="805">
        <v>75.62</v>
      </c>
      <c r="I2744" s="805">
        <v>32.4</v>
      </c>
      <c r="J2744" s="805">
        <v>1981.6</v>
      </c>
      <c r="K2744" s="805">
        <v>4527.5140000000001</v>
      </c>
    </row>
    <row r="2745" spans="3:11">
      <c r="C2745" s="861">
        <v>41869</v>
      </c>
      <c r="D2745" s="805">
        <v>34.409999999999997</v>
      </c>
      <c r="E2745" s="805">
        <v>4.8250000000000002</v>
      </c>
      <c r="F2745" s="806">
        <v>4.21</v>
      </c>
      <c r="G2745" s="805">
        <v>4.1016406562625001</v>
      </c>
      <c r="H2745" s="805">
        <v>75.37</v>
      </c>
      <c r="I2745" s="805">
        <v>32.04</v>
      </c>
      <c r="J2745" s="805">
        <v>1971.74</v>
      </c>
      <c r="K2745" s="805">
        <v>4508.3130000000001</v>
      </c>
    </row>
    <row r="2746" spans="3:11">
      <c r="C2746" s="861">
        <v>41868</v>
      </c>
      <c r="D2746" s="805">
        <v>34.17</v>
      </c>
      <c r="E2746" s="805">
        <v>4.76</v>
      </c>
      <c r="F2746" s="806">
        <v>4.13</v>
      </c>
      <c r="G2746" s="805">
        <v>4.1409250292202398</v>
      </c>
      <c r="H2746" s="805">
        <v>74.790000000000006</v>
      </c>
      <c r="I2746" s="805">
        <v>31.49</v>
      </c>
      <c r="J2746" s="805">
        <v>1955.06</v>
      </c>
      <c r="K2746" s="805">
        <v>4464.9269999999997</v>
      </c>
    </row>
    <row r="2747" spans="3:11">
      <c r="C2747" s="861">
        <v>41867</v>
      </c>
      <c r="D2747" s="805">
        <v>34.17</v>
      </c>
      <c r="E2747" s="805">
        <v>4.76</v>
      </c>
      <c r="F2747" s="806">
        <v>4.13</v>
      </c>
      <c r="G2747" s="805">
        <v>4.1409250292202398</v>
      </c>
      <c r="H2747" s="805">
        <v>74.790000000000006</v>
      </c>
      <c r="I2747" s="805">
        <v>31.49</v>
      </c>
      <c r="J2747" s="805">
        <v>1955.06</v>
      </c>
      <c r="K2747" s="805">
        <v>4464.9269999999997</v>
      </c>
    </row>
    <row r="2748" spans="3:11">
      <c r="C2748" s="861">
        <v>41866</v>
      </c>
      <c r="D2748" s="805">
        <v>34.17</v>
      </c>
      <c r="E2748" s="805">
        <v>4.76</v>
      </c>
      <c r="F2748" s="806">
        <v>4.13</v>
      </c>
      <c r="G2748" s="805">
        <v>4.1409250292202398</v>
      </c>
      <c r="H2748" s="805">
        <v>74.790000000000006</v>
      </c>
      <c r="I2748" s="805">
        <v>31.49</v>
      </c>
      <c r="J2748" s="805">
        <v>1955.06</v>
      </c>
      <c r="K2748" s="805">
        <v>4464.9269999999997</v>
      </c>
    </row>
    <row r="2749" spans="3:11">
      <c r="C2749" s="861">
        <v>41865</v>
      </c>
      <c r="D2749" s="805">
        <v>33.94</v>
      </c>
      <c r="E2749" s="805">
        <v>4.6987500000000004</v>
      </c>
      <c r="F2749" s="806">
        <v>4.08</v>
      </c>
      <c r="G2749" s="805">
        <v>4.13816118805273</v>
      </c>
      <c r="H2749" s="805">
        <v>73.84</v>
      </c>
      <c r="I2749" s="805">
        <v>31.04</v>
      </c>
      <c r="J2749" s="805">
        <v>1955.18</v>
      </c>
      <c r="K2749" s="805">
        <v>4453.0010000000002</v>
      </c>
    </row>
    <row r="2750" spans="3:11">
      <c r="C2750" s="861">
        <v>41864</v>
      </c>
      <c r="D2750" s="805">
        <v>34.1</v>
      </c>
      <c r="E2750" s="805">
        <v>4.7525000000000004</v>
      </c>
      <c r="F2750" s="806">
        <v>4.1100000000000003</v>
      </c>
      <c r="G2750" s="805">
        <v>4.0831972267591103</v>
      </c>
      <c r="H2750" s="805">
        <v>71.97</v>
      </c>
      <c r="I2750" s="805">
        <v>31.38</v>
      </c>
      <c r="J2750" s="805">
        <v>1946.72</v>
      </c>
      <c r="K2750" s="805">
        <v>4434.125</v>
      </c>
    </row>
    <row r="2751" spans="3:11">
      <c r="C2751" s="861">
        <v>41863</v>
      </c>
      <c r="D2751" s="805">
        <v>33.130000000000003</v>
      </c>
      <c r="E2751" s="805">
        <v>4.7249999999999996</v>
      </c>
      <c r="F2751" s="806">
        <v>4.08</v>
      </c>
      <c r="G2751" s="805">
        <v>4.0487853643906799</v>
      </c>
      <c r="H2751" s="805">
        <v>71.150000000000006</v>
      </c>
      <c r="I2751" s="805">
        <v>30.7</v>
      </c>
      <c r="J2751" s="805">
        <v>1933.75</v>
      </c>
      <c r="K2751" s="805">
        <v>4389.2510000000002</v>
      </c>
    </row>
    <row r="2752" spans="3:11">
      <c r="C2752" s="861">
        <v>41862</v>
      </c>
      <c r="D2752" s="805">
        <v>33.020000000000003</v>
      </c>
      <c r="E2752" s="805">
        <v>4.7249999999999996</v>
      </c>
      <c r="F2752" s="806">
        <v>4.1399999999999997</v>
      </c>
      <c r="G2752" s="805">
        <v>4.0146593369981698</v>
      </c>
      <c r="H2752" s="805">
        <v>70.819999999999993</v>
      </c>
      <c r="I2752" s="805">
        <v>30.74</v>
      </c>
      <c r="J2752" s="805">
        <v>1936.92</v>
      </c>
      <c r="K2752" s="805">
        <v>4401.3310000000001</v>
      </c>
    </row>
    <row r="2753" spans="3:11">
      <c r="C2753" s="861">
        <v>41861</v>
      </c>
      <c r="D2753" s="805">
        <v>32.6</v>
      </c>
      <c r="E2753" s="805">
        <v>4.75</v>
      </c>
      <c r="F2753" s="806">
        <v>4.12</v>
      </c>
      <c r="G2753" s="805">
        <v>4.0176041076251101</v>
      </c>
      <c r="H2753" s="805">
        <v>70.430000000000007</v>
      </c>
      <c r="I2753" s="805">
        <v>30.045000000000002</v>
      </c>
      <c r="J2753" s="805">
        <v>1931.59</v>
      </c>
      <c r="K2753" s="805">
        <v>4370.8980000000001</v>
      </c>
    </row>
    <row r="2754" spans="3:11">
      <c r="C2754" s="861">
        <v>41860</v>
      </c>
      <c r="D2754" s="805">
        <v>32.6</v>
      </c>
      <c r="E2754" s="805">
        <v>4.75</v>
      </c>
      <c r="F2754" s="806">
        <v>4.12</v>
      </c>
      <c r="G2754" s="805">
        <v>4.0176041076251101</v>
      </c>
      <c r="H2754" s="805">
        <v>70.430000000000007</v>
      </c>
      <c r="I2754" s="805">
        <v>30.045000000000002</v>
      </c>
      <c r="J2754" s="805">
        <v>1931.59</v>
      </c>
      <c r="K2754" s="805">
        <v>4370.8980000000001</v>
      </c>
    </row>
    <row r="2755" spans="3:11">
      <c r="C2755" s="861">
        <v>41859</v>
      </c>
      <c r="D2755" s="805">
        <v>32.6</v>
      </c>
      <c r="E2755" s="805">
        <v>4.75</v>
      </c>
      <c r="F2755" s="806">
        <v>4.12</v>
      </c>
      <c r="G2755" s="805">
        <v>4.0176041076251101</v>
      </c>
      <c r="H2755" s="805">
        <v>70.430000000000007</v>
      </c>
      <c r="I2755" s="805">
        <v>30.045000000000002</v>
      </c>
      <c r="J2755" s="805">
        <v>1931.59</v>
      </c>
      <c r="K2755" s="805">
        <v>4370.8980000000001</v>
      </c>
    </row>
    <row r="2756" spans="3:11">
      <c r="C2756" s="861">
        <v>41858</v>
      </c>
      <c r="D2756" s="805">
        <v>32.68</v>
      </c>
      <c r="E2756" s="805">
        <v>4.3650000000000002</v>
      </c>
      <c r="F2756" s="806">
        <v>4.0999999999999996</v>
      </c>
      <c r="G2756" s="805">
        <v>4.0456846030900397</v>
      </c>
      <c r="H2756" s="805">
        <v>69.63</v>
      </c>
      <c r="I2756" s="805">
        <v>29.68</v>
      </c>
      <c r="J2756" s="805">
        <v>1909.57</v>
      </c>
      <c r="K2756" s="805">
        <v>4334.9660000000003</v>
      </c>
    </row>
    <row r="2757" spans="3:11">
      <c r="C2757" s="861">
        <v>41857</v>
      </c>
      <c r="D2757" s="805">
        <v>32.844999999999999</v>
      </c>
      <c r="E2757" s="805">
        <v>4.41</v>
      </c>
      <c r="F2757" s="806">
        <v>4.12</v>
      </c>
      <c r="G2757" s="805">
        <v>4.0168005600186696</v>
      </c>
      <c r="H2757" s="805">
        <v>70.319999999999993</v>
      </c>
      <c r="I2757" s="805">
        <v>30.69</v>
      </c>
      <c r="J2757" s="805">
        <v>1920.24</v>
      </c>
      <c r="K2757" s="805">
        <v>4355.0510000000004</v>
      </c>
    </row>
    <row r="2758" spans="3:11">
      <c r="C2758" s="861">
        <v>41856</v>
      </c>
      <c r="D2758" s="805">
        <v>32.82</v>
      </c>
      <c r="E2758" s="805">
        <v>4.415</v>
      </c>
      <c r="F2758" s="806">
        <v>4.08</v>
      </c>
      <c r="G2758" s="805">
        <v>3.98346611553719</v>
      </c>
      <c r="H2758" s="805">
        <v>70.12</v>
      </c>
      <c r="I2758" s="805">
        <v>31.09</v>
      </c>
      <c r="J2758" s="805">
        <v>1920.21</v>
      </c>
      <c r="K2758" s="805">
        <v>4352.835</v>
      </c>
    </row>
    <row r="2759" spans="3:11">
      <c r="C2759" s="861">
        <v>41855</v>
      </c>
      <c r="D2759" s="805">
        <v>34.049999999999997</v>
      </c>
      <c r="E2759" s="805">
        <v>4.4124999999999996</v>
      </c>
      <c r="F2759" s="806">
        <v>4</v>
      </c>
      <c r="G2759" s="805">
        <v>4.1183139922635696</v>
      </c>
      <c r="H2759" s="805">
        <v>71.34</v>
      </c>
      <c r="I2759" s="805">
        <v>31.69</v>
      </c>
      <c r="J2759" s="805">
        <v>1938.99</v>
      </c>
      <c r="K2759" s="805">
        <v>4383.8879999999999</v>
      </c>
    </row>
    <row r="2760" spans="3:11">
      <c r="C2760" s="861">
        <v>41854</v>
      </c>
      <c r="D2760" s="805">
        <v>33.744999999999997</v>
      </c>
      <c r="E2760" s="805">
        <v>4.42</v>
      </c>
      <c r="F2760" s="806">
        <v>3.97</v>
      </c>
      <c r="G2760" s="805">
        <v>3.9988003598920301</v>
      </c>
      <c r="H2760" s="805">
        <v>70.44</v>
      </c>
      <c r="I2760" s="805">
        <v>31.09</v>
      </c>
      <c r="J2760" s="805">
        <v>1925.15</v>
      </c>
      <c r="K2760" s="805">
        <v>4352.6390000000001</v>
      </c>
    </row>
    <row r="2761" spans="3:11">
      <c r="C2761" s="861">
        <v>41853</v>
      </c>
      <c r="D2761" s="805">
        <v>33.744999999999997</v>
      </c>
      <c r="E2761" s="805">
        <v>4.42</v>
      </c>
      <c r="F2761" s="806">
        <v>3.97</v>
      </c>
      <c r="G2761" s="805">
        <v>3.9988003598920301</v>
      </c>
      <c r="H2761" s="805">
        <v>70.44</v>
      </c>
      <c r="I2761" s="805">
        <v>31.09</v>
      </c>
      <c r="J2761" s="805">
        <v>1925.15</v>
      </c>
      <c r="K2761" s="805">
        <v>4352.6390000000001</v>
      </c>
    </row>
    <row r="2762" spans="3:11">
      <c r="C2762" s="861">
        <v>41852</v>
      </c>
      <c r="D2762" s="805">
        <v>33.744999999999997</v>
      </c>
      <c r="E2762" s="805">
        <v>4.42</v>
      </c>
      <c r="F2762" s="806">
        <v>3.97</v>
      </c>
      <c r="G2762" s="805">
        <v>3.9988003598920301</v>
      </c>
      <c r="H2762" s="805">
        <v>70.44</v>
      </c>
      <c r="I2762" s="805">
        <v>31.09</v>
      </c>
      <c r="J2762" s="805">
        <v>1925.15</v>
      </c>
      <c r="K2762" s="805">
        <v>4352.6390000000001</v>
      </c>
    </row>
    <row r="2763" spans="3:11">
      <c r="C2763" s="861">
        <v>41851</v>
      </c>
      <c r="D2763" s="805">
        <v>33.89</v>
      </c>
      <c r="E2763" s="805">
        <v>4.375</v>
      </c>
      <c r="F2763" s="806">
        <v>3.91</v>
      </c>
      <c r="G2763" s="805">
        <v>4.0254166805282896</v>
      </c>
      <c r="H2763" s="805">
        <v>69.38</v>
      </c>
      <c r="I2763" s="805">
        <v>30.55</v>
      </c>
      <c r="J2763" s="805">
        <v>1930.67</v>
      </c>
      <c r="K2763" s="805">
        <v>4369.7730000000001</v>
      </c>
    </row>
    <row r="2764" spans="3:11">
      <c r="C2764" s="861">
        <v>41850</v>
      </c>
      <c r="D2764" s="805">
        <v>34.35</v>
      </c>
      <c r="E2764" s="805">
        <v>4.5175000000000001</v>
      </c>
      <c r="F2764" s="806">
        <v>3.82</v>
      </c>
      <c r="G2764" s="805">
        <v>4.1493084485919001</v>
      </c>
      <c r="H2764" s="805">
        <v>70.510000000000005</v>
      </c>
      <c r="I2764" s="805">
        <v>32.524999999999999</v>
      </c>
      <c r="J2764" s="805">
        <v>1970.07</v>
      </c>
      <c r="K2764" s="805">
        <v>4462.902</v>
      </c>
    </row>
    <row r="2765" spans="3:11">
      <c r="C2765" s="861">
        <v>41849</v>
      </c>
      <c r="D2765" s="805">
        <v>34.19</v>
      </c>
      <c r="E2765" s="805">
        <v>4.4450000000000003</v>
      </c>
      <c r="F2765" s="806">
        <v>3.79</v>
      </c>
      <c r="G2765" s="805">
        <v>4.1402337228714501</v>
      </c>
      <c r="H2765" s="805">
        <v>69.88</v>
      </c>
      <c r="I2765" s="805">
        <v>32.130000000000003</v>
      </c>
      <c r="J2765" s="805">
        <v>1969.95</v>
      </c>
      <c r="K2765" s="805">
        <v>4442.6980000000003</v>
      </c>
    </row>
    <row r="2766" spans="3:11">
      <c r="C2766" s="861">
        <v>41848</v>
      </c>
      <c r="D2766" s="805">
        <v>34.229999999999997</v>
      </c>
      <c r="E2766" s="805">
        <v>4.43</v>
      </c>
      <c r="F2766" s="806">
        <v>3.73</v>
      </c>
      <c r="G2766" s="805">
        <v>4.0563549560978904</v>
      </c>
      <c r="H2766" s="805">
        <v>70.510000000000005</v>
      </c>
      <c r="I2766" s="805">
        <v>31.98</v>
      </c>
      <c r="J2766" s="805">
        <v>1978.91</v>
      </c>
      <c r="K2766" s="805">
        <v>4444.9089999999997</v>
      </c>
    </row>
    <row r="2767" spans="3:11">
      <c r="C2767" s="861">
        <v>41847</v>
      </c>
      <c r="D2767" s="805">
        <v>34.25</v>
      </c>
      <c r="E2767" s="805">
        <v>4.4474999999999998</v>
      </c>
      <c r="F2767" s="806">
        <v>3.76</v>
      </c>
      <c r="G2767" s="805">
        <v>4.1043780032034203</v>
      </c>
      <c r="H2767" s="805">
        <v>69.92</v>
      </c>
      <c r="I2767" s="805">
        <v>33.42</v>
      </c>
      <c r="J2767" s="805">
        <v>1978.34</v>
      </c>
      <c r="K2767" s="805">
        <v>4449.5630000000001</v>
      </c>
    </row>
    <row r="2768" spans="3:11">
      <c r="C2768" s="861">
        <v>41846</v>
      </c>
      <c r="D2768" s="805">
        <v>34.25</v>
      </c>
      <c r="E2768" s="805">
        <v>4.4474999999999998</v>
      </c>
      <c r="F2768" s="806">
        <v>3.76</v>
      </c>
      <c r="G2768" s="805">
        <v>4.1043780032034203</v>
      </c>
      <c r="H2768" s="805">
        <v>69.92</v>
      </c>
      <c r="I2768" s="805">
        <v>33.42</v>
      </c>
      <c r="J2768" s="805">
        <v>1978.34</v>
      </c>
      <c r="K2768" s="805">
        <v>4449.5630000000001</v>
      </c>
    </row>
    <row r="2769" spans="3:11">
      <c r="C2769" s="861">
        <v>41845</v>
      </c>
      <c r="D2769" s="805">
        <v>34.25</v>
      </c>
      <c r="E2769" s="805">
        <v>4.4474999999999998</v>
      </c>
      <c r="F2769" s="806">
        <v>3.76</v>
      </c>
      <c r="G2769" s="805">
        <v>4.1043780032034203</v>
      </c>
      <c r="H2769" s="805">
        <v>69.92</v>
      </c>
      <c r="I2769" s="805">
        <v>33.42</v>
      </c>
      <c r="J2769" s="805">
        <v>1978.34</v>
      </c>
      <c r="K2769" s="805">
        <v>4449.5630000000001</v>
      </c>
    </row>
    <row r="2770" spans="3:11">
      <c r="C2770" s="861">
        <v>41844</v>
      </c>
      <c r="D2770" s="805">
        <v>34.25</v>
      </c>
      <c r="E2770" s="805">
        <v>4.5274999999999999</v>
      </c>
      <c r="F2770" s="806">
        <v>3.73</v>
      </c>
      <c r="G2770" s="805">
        <v>4.1743195859075</v>
      </c>
      <c r="H2770" s="805">
        <v>72.510000000000005</v>
      </c>
      <c r="I2770" s="805">
        <v>33.880000000000003</v>
      </c>
      <c r="J2770" s="805">
        <v>1987.98</v>
      </c>
      <c r="K2770" s="805">
        <v>4472.107</v>
      </c>
    </row>
    <row r="2771" spans="3:11">
      <c r="C2771" s="861">
        <v>41843</v>
      </c>
      <c r="D2771" s="805">
        <v>34.5</v>
      </c>
      <c r="E2771" s="805">
        <v>4.5199999999999996</v>
      </c>
      <c r="F2771" s="806">
        <v>3.76</v>
      </c>
      <c r="G2771" s="805">
        <v>4.1537383645280803</v>
      </c>
      <c r="H2771" s="805">
        <v>73.63</v>
      </c>
      <c r="I2771" s="805">
        <v>33.68</v>
      </c>
      <c r="J2771" s="805">
        <v>1987.01</v>
      </c>
      <c r="K2771" s="805">
        <v>4473.6970000000001</v>
      </c>
    </row>
    <row r="2772" spans="3:11">
      <c r="C2772" s="861">
        <v>41842</v>
      </c>
      <c r="D2772" s="805">
        <v>34.790100000000002</v>
      </c>
      <c r="E2772" s="805">
        <v>4.6174999999999997</v>
      </c>
      <c r="F2772" s="806">
        <v>3.8</v>
      </c>
      <c r="G2772" s="805">
        <v>4.1537383645280803</v>
      </c>
      <c r="H2772" s="805">
        <v>75.39</v>
      </c>
      <c r="I2772" s="805">
        <v>33.630000000000003</v>
      </c>
      <c r="J2772" s="805">
        <v>1983.53</v>
      </c>
      <c r="K2772" s="805">
        <v>4456.0159999999996</v>
      </c>
    </row>
    <row r="2773" spans="3:11">
      <c r="C2773" s="861">
        <v>41841</v>
      </c>
      <c r="D2773" s="805">
        <v>34.06</v>
      </c>
      <c r="E2773" s="805">
        <v>4.6375000000000002</v>
      </c>
      <c r="F2773" s="806">
        <v>3.78</v>
      </c>
      <c r="G2773" s="805">
        <v>4.1207874541207898</v>
      </c>
      <c r="H2773" s="805">
        <v>75.42</v>
      </c>
      <c r="I2773" s="805">
        <v>33.07</v>
      </c>
      <c r="J2773" s="805">
        <v>1973.63</v>
      </c>
      <c r="K2773" s="805">
        <v>4424.7039999999997</v>
      </c>
    </row>
    <row r="2774" spans="3:11">
      <c r="C2774" s="861">
        <v>41840</v>
      </c>
      <c r="D2774" s="805">
        <v>33.700000000000003</v>
      </c>
      <c r="E2774" s="805">
        <v>4.6100000000000003</v>
      </c>
      <c r="F2774" s="806">
        <v>3.83</v>
      </c>
      <c r="G2774" s="805">
        <v>4.1207874541207898</v>
      </c>
      <c r="H2774" s="805">
        <v>75</v>
      </c>
      <c r="I2774" s="805">
        <v>33.159999999999997</v>
      </c>
      <c r="J2774" s="805">
        <v>1978.22</v>
      </c>
      <c r="K2774" s="805">
        <v>4432.1459999999997</v>
      </c>
    </row>
    <row r="2775" spans="3:11">
      <c r="C2775" s="861">
        <v>41839</v>
      </c>
      <c r="D2775" s="805">
        <v>33.700000000000003</v>
      </c>
      <c r="E2775" s="805">
        <v>4.6100000000000003</v>
      </c>
      <c r="F2775" s="806">
        <v>3.83</v>
      </c>
      <c r="G2775" s="805">
        <v>4.1207874541207898</v>
      </c>
      <c r="H2775" s="805">
        <v>75</v>
      </c>
      <c r="I2775" s="805">
        <v>33.159999999999997</v>
      </c>
      <c r="J2775" s="805">
        <v>1978.22</v>
      </c>
      <c r="K2775" s="805">
        <v>4432.1459999999997</v>
      </c>
    </row>
    <row r="2776" spans="3:11">
      <c r="C2776" s="861">
        <v>41838</v>
      </c>
      <c r="D2776" s="805">
        <v>33.700000000000003</v>
      </c>
      <c r="E2776" s="805">
        <v>4.6100000000000003</v>
      </c>
      <c r="F2776" s="806">
        <v>3.83</v>
      </c>
      <c r="G2776" s="805">
        <v>4.1207874541207898</v>
      </c>
      <c r="H2776" s="805">
        <v>75</v>
      </c>
      <c r="I2776" s="805">
        <v>33.159999999999997</v>
      </c>
      <c r="J2776" s="805">
        <v>1978.22</v>
      </c>
      <c r="K2776" s="805">
        <v>4432.1459999999997</v>
      </c>
    </row>
    <row r="2777" spans="3:11">
      <c r="C2777" s="861">
        <v>41837</v>
      </c>
      <c r="D2777" s="805">
        <v>33.700000000000003</v>
      </c>
      <c r="E2777" s="805">
        <v>4.8250000000000002</v>
      </c>
      <c r="F2777" s="806">
        <v>4.57</v>
      </c>
      <c r="G2777" s="805">
        <v>4.1469588968090099</v>
      </c>
      <c r="H2777" s="805">
        <v>71.900000000000006</v>
      </c>
      <c r="I2777" s="805">
        <v>33.049999999999997</v>
      </c>
      <c r="J2777" s="805">
        <v>1958.12</v>
      </c>
      <c r="K2777" s="805">
        <v>4363.4470000000001</v>
      </c>
    </row>
    <row r="2778" spans="3:11">
      <c r="C2778" s="861">
        <v>41836</v>
      </c>
      <c r="D2778" s="805">
        <v>34.65</v>
      </c>
      <c r="E2778" s="805">
        <v>4.8375000000000004</v>
      </c>
      <c r="F2778" s="806">
        <v>4.66</v>
      </c>
      <c r="G2778" s="805">
        <v>4.3543543543543501</v>
      </c>
      <c r="H2778" s="805">
        <v>73.650000000000006</v>
      </c>
      <c r="I2778" s="805">
        <v>34.64</v>
      </c>
      <c r="J2778" s="805">
        <v>1981.57</v>
      </c>
      <c r="K2778" s="805">
        <v>4425.9679999999998</v>
      </c>
    </row>
    <row r="2779" spans="3:11">
      <c r="C2779" s="861">
        <v>41835</v>
      </c>
      <c r="D2779" s="805">
        <v>31.71</v>
      </c>
      <c r="E2779" s="805">
        <v>4.8425000000000002</v>
      </c>
      <c r="F2779" s="806">
        <v>4.53</v>
      </c>
      <c r="G2779" s="805">
        <v>4.4300846046232802</v>
      </c>
      <c r="H2779" s="805">
        <v>73.42</v>
      </c>
      <c r="I2779" s="805">
        <v>34.020000000000003</v>
      </c>
      <c r="J2779" s="805">
        <v>1973.28</v>
      </c>
      <c r="K2779" s="805">
        <v>4416.3869999999997</v>
      </c>
    </row>
    <row r="2780" spans="3:11">
      <c r="C2780" s="861">
        <v>41834</v>
      </c>
      <c r="D2780" s="805">
        <v>31.49</v>
      </c>
      <c r="E2780" s="805">
        <v>4.8224999999999998</v>
      </c>
      <c r="F2780" s="806">
        <v>4.6399999999999997</v>
      </c>
      <c r="G2780" s="805">
        <v>4.4255177020708096</v>
      </c>
      <c r="H2780" s="805">
        <v>74.040000000000006</v>
      </c>
      <c r="I2780" s="805">
        <v>33.590000000000003</v>
      </c>
      <c r="J2780" s="805">
        <v>1977.1</v>
      </c>
      <c r="K2780" s="805">
        <v>4440.4189999999999</v>
      </c>
    </row>
    <row r="2781" spans="3:11">
      <c r="C2781" s="861">
        <v>41833</v>
      </c>
      <c r="D2781" s="805">
        <v>31.25</v>
      </c>
      <c r="E2781" s="805">
        <v>4.7625000000000002</v>
      </c>
      <c r="F2781" s="806">
        <v>4.37</v>
      </c>
      <c r="G2781" s="805">
        <v>4.5583569878109902</v>
      </c>
      <c r="H2781" s="805">
        <v>73.2</v>
      </c>
      <c r="I2781" s="805">
        <v>32.799999999999997</v>
      </c>
      <c r="J2781" s="805">
        <v>1967.57</v>
      </c>
      <c r="K2781" s="805">
        <v>4415.49</v>
      </c>
    </row>
    <row r="2782" spans="3:11">
      <c r="C2782" s="861">
        <v>41832</v>
      </c>
      <c r="D2782" s="805">
        <v>31.25</v>
      </c>
      <c r="E2782" s="805">
        <v>4.7625000000000002</v>
      </c>
      <c r="F2782" s="806">
        <v>4.37</v>
      </c>
      <c r="G2782" s="805">
        <v>4.5583569878109902</v>
      </c>
      <c r="H2782" s="805">
        <v>73.2</v>
      </c>
      <c r="I2782" s="805">
        <v>32.799999999999997</v>
      </c>
      <c r="J2782" s="805">
        <v>1967.57</v>
      </c>
      <c r="K2782" s="805">
        <v>4415.49</v>
      </c>
    </row>
    <row r="2783" spans="3:11">
      <c r="C2783" s="861">
        <v>41831</v>
      </c>
      <c r="D2783" s="805">
        <v>31.25</v>
      </c>
      <c r="E2783" s="805">
        <v>4.7625000000000002</v>
      </c>
      <c r="F2783" s="806">
        <v>4.37</v>
      </c>
      <c r="G2783" s="805">
        <v>4.5583569878109902</v>
      </c>
      <c r="H2783" s="805">
        <v>73.2</v>
      </c>
      <c r="I2783" s="805">
        <v>32.799999999999997</v>
      </c>
      <c r="J2783" s="805">
        <v>1967.57</v>
      </c>
      <c r="K2783" s="805">
        <v>4415.49</v>
      </c>
    </row>
    <row r="2784" spans="3:11">
      <c r="C2784" s="861">
        <v>41830</v>
      </c>
      <c r="D2784" s="805">
        <v>31.26</v>
      </c>
      <c r="E2784" s="805">
        <v>4.7512499999999998</v>
      </c>
      <c r="F2784" s="806">
        <v>4.29</v>
      </c>
      <c r="G2784" s="805">
        <v>4.4959219146944802</v>
      </c>
      <c r="H2784" s="805">
        <v>73.150000000000006</v>
      </c>
      <c r="I2784" s="805">
        <v>32.770000000000003</v>
      </c>
      <c r="J2784" s="805">
        <v>1964.68</v>
      </c>
      <c r="K2784" s="805">
        <v>4396.2039999999997</v>
      </c>
    </row>
    <row r="2785" spans="3:11">
      <c r="C2785" s="861">
        <v>41829</v>
      </c>
      <c r="D2785" s="805">
        <v>30.89</v>
      </c>
      <c r="E2785" s="805">
        <v>4.7774999999999999</v>
      </c>
      <c r="F2785" s="806">
        <v>4.2300000000000004</v>
      </c>
      <c r="G2785" s="805">
        <v>4.4876088412592097</v>
      </c>
      <c r="H2785" s="805">
        <v>74.23</v>
      </c>
      <c r="I2785" s="805">
        <v>32.89</v>
      </c>
      <c r="J2785" s="805">
        <v>1972.83</v>
      </c>
      <c r="K2785" s="805">
        <v>4419.0339999999997</v>
      </c>
    </row>
    <row r="2786" spans="3:11">
      <c r="C2786" s="861">
        <v>41828</v>
      </c>
      <c r="D2786" s="805">
        <v>30.79</v>
      </c>
      <c r="E2786" s="805">
        <v>4.6375000000000002</v>
      </c>
      <c r="F2786" s="806">
        <v>4.22</v>
      </c>
      <c r="G2786" s="805">
        <v>4.4969741549366402</v>
      </c>
      <c r="H2786" s="805">
        <v>73.39</v>
      </c>
      <c r="I2786" s="805">
        <v>33.130000000000003</v>
      </c>
      <c r="J2786" s="805">
        <v>1963.71</v>
      </c>
      <c r="K2786" s="805">
        <v>4391.4629999999997</v>
      </c>
    </row>
    <row r="2787" spans="3:11">
      <c r="C2787" s="861">
        <v>41827</v>
      </c>
      <c r="D2787" s="805">
        <v>31.03</v>
      </c>
      <c r="E2787" s="805">
        <v>4.6775000000000002</v>
      </c>
      <c r="F2787" s="806">
        <v>4.26</v>
      </c>
      <c r="G2787" s="805">
        <v>4.5484949832775898</v>
      </c>
      <c r="H2787" s="805">
        <v>74.53</v>
      </c>
      <c r="I2787" s="805">
        <v>32.86</v>
      </c>
      <c r="J2787" s="805">
        <v>1977.65</v>
      </c>
      <c r="K2787" s="805">
        <v>4451.53</v>
      </c>
    </row>
    <row r="2788" spans="3:11">
      <c r="C2788" s="861">
        <v>41826</v>
      </c>
      <c r="D2788" s="805">
        <v>31.14</v>
      </c>
      <c r="E2788" s="805">
        <v>4.7175000000000002</v>
      </c>
      <c r="F2788" s="806">
        <v>4.24</v>
      </c>
      <c r="G2788" s="805">
        <v>4.5188284518828397</v>
      </c>
      <c r="H2788" s="805">
        <v>75.180000000000007</v>
      </c>
      <c r="I2788" s="805">
        <v>33.729999999999997</v>
      </c>
      <c r="J2788" s="805">
        <v>1985.44</v>
      </c>
      <c r="K2788" s="805">
        <v>4485.9250000000002</v>
      </c>
    </row>
    <row r="2789" spans="3:11">
      <c r="C2789" s="861">
        <v>41825</v>
      </c>
      <c r="D2789" s="805">
        <v>31.14</v>
      </c>
      <c r="E2789" s="805">
        <v>4.7175000000000002</v>
      </c>
      <c r="F2789" s="806">
        <v>4.24</v>
      </c>
      <c r="G2789" s="805">
        <v>4.5188284518828397</v>
      </c>
      <c r="H2789" s="805">
        <v>75.180000000000007</v>
      </c>
      <c r="I2789" s="805">
        <v>33.729999999999997</v>
      </c>
      <c r="J2789" s="805">
        <v>1985.44</v>
      </c>
      <c r="K2789" s="805">
        <v>4485.9250000000002</v>
      </c>
    </row>
    <row r="2790" spans="3:11">
      <c r="C2790" s="861">
        <v>41824</v>
      </c>
      <c r="D2790" s="805">
        <v>31.14</v>
      </c>
      <c r="E2790" s="805">
        <v>4.7175000000000002</v>
      </c>
      <c r="F2790" s="806">
        <v>4.24</v>
      </c>
      <c r="G2790" s="805">
        <v>4.5188284518828397</v>
      </c>
      <c r="H2790" s="805">
        <v>75.180000000000007</v>
      </c>
      <c r="I2790" s="805">
        <v>33.729999999999997</v>
      </c>
      <c r="J2790" s="805">
        <v>1985.44</v>
      </c>
      <c r="K2790" s="805">
        <v>4485.9250000000002</v>
      </c>
    </row>
    <row r="2791" spans="3:11">
      <c r="C2791" s="861">
        <v>41823</v>
      </c>
      <c r="D2791" s="805">
        <v>31.14</v>
      </c>
      <c r="E2791" s="805">
        <v>4.7175000000000002</v>
      </c>
      <c r="F2791" s="806">
        <v>4.24</v>
      </c>
      <c r="G2791" s="805">
        <v>4.5075237105801103</v>
      </c>
      <c r="H2791" s="805">
        <v>75.180000000000007</v>
      </c>
      <c r="I2791" s="805">
        <v>33.729999999999997</v>
      </c>
      <c r="J2791" s="805">
        <v>1985.44</v>
      </c>
      <c r="K2791" s="805">
        <v>4485.9250000000002</v>
      </c>
    </row>
    <row r="2792" spans="3:11">
      <c r="C2792" s="861">
        <v>41822</v>
      </c>
      <c r="D2792" s="805">
        <v>30.98</v>
      </c>
      <c r="E2792" s="805">
        <v>4.6725000000000003</v>
      </c>
      <c r="F2792" s="806">
        <v>4.34</v>
      </c>
      <c r="G2792" s="805">
        <v>4.4354433769624704</v>
      </c>
      <c r="H2792" s="805">
        <v>74.319999999999993</v>
      </c>
      <c r="I2792" s="805">
        <v>33.76</v>
      </c>
      <c r="J2792" s="805">
        <v>1974.62</v>
      </c>
      <c r="K2792" s="805">
        <v>4457.7340000000004</v>
      </c>
    </row>
    <row r="2793" spans="3:11">
      <c r="C2793" s="861">
        <v>41821</v>
      </c>
      <c r="D2793" s="805">
        <v>30.98</v>
      </c>
      <c r="E2793" s="805">
        <v>4.6875</v>
      </c>
      <c r="F2793" s="806">
        <v>4.22</v>
      </c>
      <c r="G2793" s="805">
        <v>4.2848056773675198</v>
      </c>
      <c r="H2793" s="805">
        <v>74.03</v>
      </c>
      <c r="I2793" s="805">
        <v>33.979999999999997</v>
      </c>
      <c r="J2793" s="805">
        <v>1973.32</v>
      </c>
      <c r="K2793" s="805">
        <v>4458.6509999999998</v>
      </c>
    </row>
    <row r="2794" spans="3:11">
      <c r="C2794" s="861">
        <v>41820</v>
      </c>
      <c r="D2794" s="805">
        <v>30.9</v>
      </c>
      <c r="E2794" s="805">
        <v>4.6349999999999998</v>
      </c>
      <c r="F2794" s="806">
        <v>4.1900000000000004</v>
      </c>
      <c r="G2794" s="805">
        <v>4.2357274401473299</v>
      </c>
      <c r="H2794" s="805">
        <v>72.069999999999993</v>
      </c>
      <c r="I2794" s="805">
        <v>32.950000000000003</v>
      </c>
      <c r="J2794" s="805">
        <v>1960.23</v>
      </c>
      <c r="K2794" s="805">
        <v>4408.1779999999999</v>
      </c>
    </row>
    <row r="2795" spans="3:11">
      <c r="C2795" s="861">
        <v>41819</v>
      </c>
      <c r="D2795" s="805">
        <v>30.93</v>
      </c>
      <c r="E2795" s="805">
        <v>4.5949999999999998</v>
      </c>
      <c r="F2795" s="806">
        <v>4.1100000000000003</v>
      </c>
      <c r="G2795" s="805">
        <v>4.1973244147157196</v>
      </c>
      <c r="H2795" s="805">
        <v>70.94</v>
      </c>
      <c r="I2795" s="805">
        <v>31.51</v>
      </c>
      <c r="J2795" s="805">
        <v>1960.96</v>
      </c>
      <c r="K2795" s="805">
        <v>4397.93</v>
      </c>
    </row>
    <row r="2796" spans="3:11">
      <c r="C2796" s="861">
        <v>41818</v>
      </c>
      <c r="D2796" s="805">
        <v>30.93</v>
      </c>
      <c r="E2796" s="805">
        <v>4.5949999999999998</v>
      </c>
      <c r="F2796" s="806">
        <v>4.1100000000000003</v>
      </c>
      <c r="G2796" s="805">
        <v>4.1973244147157196</v>
      </c>
      <c r="H2796" s="805">
        <v>70.94</v>
      </c>
      <c r="I2796" s="805">
        <v>31.51</v>
      </c>
      <c r="J2796" s="805">
        <v>1960.96</v>
      </c>
      <c r="K2796" s="805">
        <v>4397.93</v>
      </c>
    </row>
    <row r="2797" spans="3:11">
      <c r="C2797" s="861">
        <v>41817</v>
      </c>
      <c r="D2797" s="805">
        <v>30.93</v>
      </c>
      <c r="E2797" s="805">
        <v>4.5949999999999998</v>
      </c>
      <c r="F2797" s="806">
        <v>4.1100000000000003</v>
      </c>
      <c r="G2797" s="805">
        <v>4.1973244147157196</v>
      </c>
      <c r="H2797" s="805">
        <v>70.94</v>
      </c>
      <c r="I2797" s="805">
        <v>31.51</v>
      </c>
      <c r="J2797" s="805">
        <v>1960.96</v>
      </c>
      <c r="K2797" s="805">
        <v>4397.93</v>
      </c>
    </row>
    <row r="2798" spans="3:11">
      <c r="C2798" s="861">
        <v>41816</v>
      </c>
      <c r="D2798" s="805">
        <v>30.78</v>
      </c>
      <c r="E2798" s="805">
        <v>4.59</v>
      </c>
      <c r="F2798" s="806">
        <v>4.03</v>
      </c>
      <c r="G2798" s="805">
        <v>4.1634618600140501</v>
      </c>
      <c r="H2798" s="805">
        <v>70.959999999999994</v>
      </c>
      <c r="I2798" s="805">
        <v>32</v>
      </c>
      <c r="J2798" s="805">
        <v>1957.22</v>
      </c>
      <c r="K2798" s="805">
        <v>4379.0460000000003</v>
      </c>
    </row>
    <row r="2799" spans="3:11">
      <c r="C2799" s="861">
        <v>41815</v>
      </c>
      <c r="D2799" s="805">
        <v>30.88</v>
      </c>
      <c r="E2799" s="805">
        <v>4.6524999999999999</v>
      </c>
      <c r="F2799" s="806">
        <v>3.96</v>
      </c>
      <c r="G2799" s="805">
        <v>4.1228509430812901</v>
      </c>
      <c r="H2799" s="805">
        <v>71.63</v>
      </c>
      <c r="I2799" s="805">
        <v>32.340000000000003</v>
      </c>
      <c r="J2799" s="805">
        <v>1959.53</v>
      </c>
      <c r="K2799" s="805">
        <v>4379.7569999999996</v>
      </c>
    </row>
    <row r="2800" spans="3:11">
      <c r="C2800" s="861">
        <v>41814</v>
      </c>
      <c r="D2800" s="805">
        <v>30.5</v>
      </c>
      <c r="E2800" s="805">
        <v>4.6050000000000004</v>
      </c>
      <c r="F2800" s="806">
        <v>3.94</v>
      </c>
      <c r="G2800" s="805">
        <v>4.1060221658432399</v>
      </c>
      <c r="H2800" s="805">
        <v>70.67</v>
      </c>
      <c r="I2800" s="805">
        <v>32.5</v>
      </c>
      <c r="J2800" s="805">
        <v>1949.98</v>
      </c>
      <c r="K2800" s="805">
        <v>4350.3549999999996</v>
      </c>
    </row>
    <row r="2801" spans="3:11">
      <c r="C2801" s="861">
        <v>41813</v>
      </c>
      <c r="D2801" s="805">
        <v>30.23</v>
      </c>
      <c r="E2801" s="805">
        <v>4.6775000000000002</v>
      </c>
      <c r="F2801" s="806">
        <v>4.01</v>
      </c>
      <c r="G2801" s="805">
        <v>4.1027351567711801</v>
      </c>
      <c r="H2801" s="805">
        <v>71.239999999999995</v>
      </c>
      <c r="I2801" s="805">
        <v>31.26</v>
      </c>
      <c r="J2801" s="805">
        <v>1962.61</v>
      </c>
      <c r="K2801" s="805">
        <v>4368.6760000000004</v>
      </c>
    </row>
    <row r="2802" spans="3:11">
      <c r="C2802" s="861">
        <v>41812</v>
      </c>
      <c r="D2802" s="805">
        <v>30.2</v>
      </c>
      <c r="E2802" s="805">
        <v>4.7324999999999999</v>
      </c>
      <c r="F2802" s="806">
        <v>4.0999999999999996</v>
      </c>
      <c r="G2802" s="805">
        <v>4.1520760380190103</v>
      </c>
      <c r="H2802" s="805">
        <v>71.569999999999993</v>
      </c>
      <c r="I2802" s="805">
        <v>31.85</v>
      </c>
      <c r="J2802" s="805">
        <v>1962.87</v>
      </c>
      <c r="K2802" s="805">
        <v>4368.0370000000003</v>
      </c>
    </row>
    <row r="2803" spans="3:11">
      <c r="C2803" s="861">
        <v>41811</v>
      </c>
      <c r="D2803" s="805">
        <v>30.2</v>
      </c>
      <c r="E2803" s="805">
        <v>4.7324999999999999</v>
      </c>
      <c r="F2803" s="806">
        <v>4.0999999999999996</v>
      </c>
      <c r="G2803" s="805">
        <v>4.1520760380190103</v>
      </c>
      <c r="H2803" s="805">
        <v>71.569999999999993</v>
      </c>
      <c r="I2803" s="805">
        <v>31.85</v>
      </c>
      <c r="J2803" s="805">
        <v>1962.87</v>
      </c>
      <c r="K2803" s="805">
        <v>4368.0370000000003</v>
      </c>
    </row>
    <row r="2804" spans="3:11">
      <c r="C2804" s="861">
        <v>41810</v>
      </c>
      <c r="D2804" s="805">
        <v>30.2</v>
      </c>
      <c r="E2804" s="805">
        <v>4.7324999999999999</v>
      </c>
      <c r="F2804" s="806">
        <v>4.0999999999999996</v>
      </c>
      <c r="G2804" s="805">
        <v>4.1520760380190103</v>
      </c>
      <c r="H2804" s="805">
        <v>71.569999999999993</v>
      </c>
      <c r="I2804" s="805">
        <v>31.85</v>
      </c>
      <c r="J2804" s="805">
        <v>1962.87</v>
      </c>
      <c r="K2804" s="805">
        <v>4368.0370000000003</v>
      </c>
    </row>
    <row r="2805" spans="3:11">
      <c r="C2805" s="861">
        <v>41809</v>
      </c>
      <c r="D2805" s="805">
        <v>30.09</v>
      </c>
      <c r="E2805" s="805">
        <v>4.7850000000000001</v>
      </c>
      <c r="F2805" s="806">
        <v>4.3600000000000003</v>
      </c>
      <c r="G2805" s="805">
        <v>4.2042042042042</v>
      </c>
      <c r="H2805" s="805">
        <v>70.930000000000007</v>
      </c>
      <c r="I2805" s="805">
        <v>31.81</v>
      </c>
      <c r="J2805" s="805">
        <v>1959.48</v>
      </c>
      <c r="K2805" s="805">
        <v>4359.326</v>
      </c>
    </row>
    <row r="2806" spans="3:11">
      <c r="C2806" s="861">
        <v>41808</v>
      </c>
      <c r="D2806" s="805">
        <v>29.93</v>
      </c>
      <c r="E2806" s="805">
        <v>4.8975</v>
      </c>
      <c r="F2806" s="806">
        <v>4.4000000000000004</v>
      </c>
      <c r="G2806" s="805">
        <v>4.1897576283634903</v>
      </c>
      <c r="H2806" s="805">
        <v>71.22</v>
      </c>
      <c r="I2806" s="805">
        <v>32.06</v>
      </c>
      <c r="J2806" s="805">
        <v>1956.98</v>
      </c>
      <c r="K2806" s="805">
        <v>4362.8360000000002</v>
      </c>
    </row>
    <row r="2807" spans="3:11">
      <c r="C2807" s="861">
        <v>41807</v>
      </c>
      <c r="D2807" s="805">
        <v>29.95</v>
      </c>
      <c r="E2807" s="805">
        <v>4.9024999999999999</v>
      </c>
      <c r="F2807" s="806">
        <v>4.47</v>
      </c>
      <c r="G2807" s="805">
        <v>4.1568288384157501</v>
      </c>
      <c r="H2807" s="805">
        <v>71.48</v>
      </c>
      <c r="I2807" s="805">
        <v>32.25</v>
      </c>
      <c r="J2807" s="805">
        <v>1941.99</v>
      </c>
      <c r="K2807" s="805">
        <v>4337.2340000000004</v>
      </c>
    </row>
    <row r="2808" spans="3:11">
      <c r="C2808" s="861">
        <v>41806</v>
      </c>
      <c r="D2808" s="805">
        <v>30.01</v>
      </c>
      <c r="E2808" s="805">
        <v>4.87</v>
      </c>
      <c r="F2808" s="806">
        <v>4.4400000000000004</v>
      </c>
      <c r="G2808" s="805">
        <v>4.13278229569391</v>
      </c>
      <c r="H2808" s="805">
        <v>70.88</v>
      </c>
      <c r="I2808" s="805">
        <v>31.91</v>
      </c>
      <c r="J2808" s="805">
        <v>1937.78</v>
      </c>
      <c r="K2808" s="805">
        <v>4321.1049999999996</v>
      </c>
    </row>
    <row r="2809" spans="3:11">
      <c r="C2809" s="861">
        <v>41805</v>
      </c>
      <c r="D2809" s="805">
        <v>29.87</v>
      </c>
      <c r="E2809" s="805">
        <v>4.8849999999999998</v>
      </c>
      <c r="F2809" s="806">
        <v>4.28</v>
      </c>
      <c r="G2809" s="805">
        <v>4.1034195162635498</v>
      </c>
      <c r="H2809" s="805">
        <v>71.42</v>
      </c>
      <c r="I2809" s="805">
        <v>31.17</v>
      </c>
      <c r="J2809" s="805">
        <v>1936.16</v>
      </c>
      <c r="K2809" s="805">
        <v>4310.6530000000002</v>
      </c>
    </row>
    <row r="2810" spans="3:11">
      <c r="C2810" s="861">
        <v>41804</v>
      </c>
      <c r="D2810" s="805">
        <v>29.87</v>
      </c>
      <c r="E2810" s="805">
        <v>4.8849999999999998</v>
      </c>
      <c r="F2810" s="806">
        <v>4.28</v>
      </c>
      <c r="G2810" s="805">
        <v>4.1034195162635498</v>
      </c>
      <c r="H2810" s="805">
        <v>71.42</v>
      </c>
      <c r="I2810" s="805">
        <v>31.17</v>
      </c>
      <c r="J2810" s="805">
        <v>1936.16</v>
      </c>
      <c r="K2810" s="805">
        <v>4310.6530000000002</v>
      </c>
    </row>
    <row r="2811" spans="3:11">
      <c r="C2811" s="861">
        <v>41803</v>
      </c>
      <c r="D2811" s="805">
        <v>29.87</v>
      </c>
      <c r="E2811" s="805">
        <v>4.8849999999999998</v>
      </c>
      <c r="F2811" s="806">
        <v>4.28</v>
      </c>
      <c r="G2811" s="805">
        <v>4.1034195162635498</v>
      </c>
      <c r="H2811" s="805">
        <v>71.42</v>
      </c>
      <c r="I2811" s="805">
        <v>31.17</v>
      </c>
      <c r="J2811" s="805">
        <v>1936.16</v>
      </c>
      <c r="K2811" s="805">
        <v>4310.6530000000002</v>
      </c>
    </row>
    <row r="2812" spans="3:11">
      <c r="C2812" s="861">
        <v>41802</v>
      </c>
      <c r="D2812" s="805">
        <v>27.96</v>
      </c>
      <c r="E2812" s="805">
        <v>4.88</v>
      </c>
      <c r="F2812" s="806">
        <v>4.29</v>
      </c>
      <c r="G2812" s="805">
        <v>4.1194129419613104</v>
      </c>
      <c r="H2812" s="805">
        <v>71.760000000000005</v>
      </c>
      <c r="I2812" s="805">
        <v>30.855</v>
      </c>
      <c r="J2812" s="805">
        <v>1930.11</v>
      </c>
      <c r="K2812" s="805">
        <v>4297.6329999999998</v>
      </c>
    </row>
    <row r="2813" spans="3:11">
      <c r="C2813" s="861">
        <v>41801</v>
      </c>
      <c r="D2813" s="805">
        <v>27.93</v>
      </c>
      <c r="E2813" s="805">
        <v>4.8499999999999996</v>
      </c>
      <c r="F2813" s="806">
        <v>4.29</v>
      </c>
      <c r="G2813" s="805">
        <v>4.1705591885760001</v>
      </c>
      <c r="H2813" s="805">
        <v>71.75</v>
      </c>
      <c r="I2813" s="805">
        <v>30.99</v>
      </c>
      <c r="J2813" s="805">
        <v>1943.89</v>
      </c>
      <c r="K2813" s="805">
        <v>4331.9319999999998</v>
      </c>
    </row>
    <row r="2814" spans="3:11">
      <c r="C2814" s="861">
        <v>41800</v>
      </c>
      <c r="D2814" s="805">
        <v>28.24</v>
      </c>
      <c r="E2814" s="805">
        <v>4.7874999999999996</v>
      </c>
      <c r="F2814" s="806">
        <v>4.2</v>
      </c>
      <c r="G2814" s="805">
        <v>4.1515222248157704</v>
      </c>
      <c r="H2814" s="805">
        <v>71.86</v>
      </c>
      <c r="I2814" s="805">
        <v>29.51</v>
      </c>
      <c r="J2814" s="805">
        <v>1950.79</v>
      </c>
      <c r="K2814" s="805">
        <v>4337.9970000000003</v>
      </c>
    </row>
    <row r="2815" spans="3:11">
      <c r="C2815" s="861">
        <v>41799</v>
      </c>
      <c r="D2815" s="805">
        <v>27.91</v>
      </c>
      <c r="E2815" s="805">
        <v>4.7625000000000002</v>
      </c>
      <c r="F2815" s="806">
        <v>4.07</v>
      </c>
      <c r="G2815" s="805">
        <v>4.1024614768861296</v>
      </c>
      <c r="H2815" s="805">
        <v>71.790000000000006</v>
      </c>
      <c r="I2815" s="805">
        <v>29</v>
      </c>
      <c r="J2815" s="805">
        <v>1951.27</v>
      </c>
      <c r="K2815" s="805">
        <v>4336.2430000000004</v>
      </c>
    </row>
    <row r="2816" spans="3:11">
      <c r="C2816" s="861">
        <v>41798</v>
      </c>
      <c r="D2816" s="805">
        <v>28.17</v>
      </c>
      <c r="E2816" s="805">
        <v>4.7575000000000003</v>
      </c>
      <c r="F2816" s="806">
        <v>4.0599999999999996</v>
      </c>
      <c r="G2816" s="805">
        <v>4.0819726757747397</v>
      </c>
      <c r="H2816" s="805">
        <v>71.63</v>
      </c>
      <c r="I2816" s="805">
        <v>29.54</v>
      </c>
      <c r="J2816" s="805">
        <v>1949.44</v>
      </c>
      <c r="K2816" s="805">
        <v>4321.3990000000003</v>
      </c>
    </row>
    <row r="2817" spans="3:11">
      <c r="C2817" s="861">
        <v>41797</v>
      </c>
      <c r="D2817" s="805">
        <v>28.17</v>
      </c>
      <c r="E2817" s="805">
        <v>4.7575000000000003</v>
      </c>
      <c r="F2817" s="806">
        <v>4.0599999999999996</v>
      </c>
      <c r="G2817" s="805">
        <v>4.0819726757747397</v>
      </c>
      <c r="H2817" s="805">
        <v>71.63</v>
      </c>
      <c r="I2817" s="805">
        <v>29.54</v>
      </c>
      <c r="J2817" s="805">
        <v>1949.44</v>
      </c>
      <c r="K2817" s="805">
        <v>4321.3990000000003</v>
      </c>
    </row>
    <row r="2818" spans="3:11">
      <c r="C2818" s="861">
        <v>41796</v>
      </c>
      <c r="D2818" s="805">
        <v>28.17</v>
      </c>
      <c r="E2818" s="805">
        <v>4.7575000000000003</v>
      </c>
      <c r="F2818" s="806">
        <v>4.0599999999999996</v>
      </c>
      <c r="G2818" s="805">
        <v>4.0819726757747397</v>
      </c>
      <c r="H2818" s="805">
        <v>71.63</v>
      </c>
      <c r="I2818" s="805">
        <v>29.54</v>
      </c>
      <c r="J2818" s="805">
        <v>1949.44</v>
      </c>
      <c r="K2818" s="805">
        <v>4321.3990000000003</v>
      </c>
    </row>
    <row r="2819" spans="3:11">
      <c r="C2819" s="861">
        <v>41795</v>
      </c>
      <c r="D2819" s="805">
        <v>27.66</v>
      </c>
      <c r="E2819" s="805">
        <v>4.74</v>
      </c>
      <c r="F2819" s="806">
        <v>4.08</v>
      </c>
      <c r="G2819" s="805">
        <v>4.1010936249666603</v>
      </c>
      <c r="H2819" s="805">
        <v>71.87</v>
      </c>
      <c r="I2819" s="805">
        <v>29.04</v>
      </c>
      <c r="J2819" s="805">
        <v>1940.46</v>
      </c>
      <c r="K2819" s="805">
        <v>4296.2269999999999</v>
      </c>
    </row>
    <row r="2820" spans="3:11">
      <c r="C2820" s="861">
        <v>41794</v>
      </c>
      <c r="D2820" s="805">
        <v>27.6</v>
      </c>
      <c r="E2820" s="805">
        <v>4.72</v>
      </c>
      <c r="F2820" s="806">
        <v>4.04</v>
      </c>
      <c r="G2820" s="805">
        <v>4.11036410836717</v>
      </c>
      <c r="H2820" s="805">
        <v>71.61</v>
      </c>
      <c r="I2820" s="805">
        <v>28.97</v>
      </c>
      <c r="J2820" s="805">
        <v>1927.88</v>
      </c>
      <c r="K2820" s="805">
        <v>4251.6419999999998</v>
      </c>
    </row>
    <row r="2821" spans="3:11">
      <c r="C2821" s="861">
        <v>41793</v>
      </c>
      <c r="D2821" s="805">
        <v>27.66</v>
      </c>
      <c r="E2821" s="805">
        <v>4.7149999999999999</v>
      </c>
      <c r="F2821" s="806">
        <v>3.94</v>
      </c>
      <c r="G2821" s="805">
        <v>4.0759965395621203</v>
      </c>
      <c r="H2821" s="805">
        <v>71.45</v>
      </c>
      <c r="I2821" s="805">
        <v>28.67</v>
      </c>
      <c r="J2821" s="805">
        <v>1924.24</v>
      </c>
      <c r="K2821" s="805">
        <v>4234.0810000000001</v>
      </c>
    </row>
    <row r="2822" spans="3:11">
      <c r="C2822" s="861">
        <v>41792</v>
      </c>
      <c r="D2822" s="805">
        <v>27.26</v>
      </c>
      <c r="E2822" s="805">
        <v>4.7350000000000003</v>
      </c>
      <c r="F2822" s="806">
        <v>3.97</v>
      </c>
      <c r="G2822" s="805">
        <v>3.98466155385128</v>
      </c>
      <c r="H2822" s="805">
        <v>71.64</v>
      </c>
      <c r="I2822" s="805">
        <v>28.66</v>
      </c>
      <c r="J2822" s="805">
        <v>1924.97</v>
      </c>
      <c r="K2822" s="805">
        <v>4237.1989999999996</v>
      </c>
    </row>
    <row r="2823" spans="3:11">
      <c r="C2823" s="861">
        <v>41791</v>
      </c>
      <c r="D2823" s="805">
        <v>27.32</v>
      </c>
      <c r="E2823" s="805">
        <v>4.75</v>
      </c>
      <c r="F2823" s="806">
        <v>4</v>
      </c>
      <c r="G2823" s="805">
        <v>3.98466155385128</v>
      </c>
      <c r="H2823" s="805">
        <v>70.67</v>
      </c>
      <c r="I2823" s="805">
        <v>28.59</v>
      </c>
      <c r="J2823" s="805">
        <v>1923.57</v>
      </c>
      <c r="K2823" s="805">
        <v>4242.6180000000004</v>
      </c>
    </row>
    <row r="2824" spans="3:11">
      <c r="C2824" s="861">
        <v>41790</v>
      </c>
      <c r="D2824" s="805">
        <v>27.32</v>
      </c>
      <c r="E2824" s="805">
        <v>4.75</v>
      </c>
      <c r="F2824" s="806">
        <v>4</v>
      </c>
      <c r="G2824" s="805">
        <v>3.98466155385128</v>
      </c>
      <c r="H2824" s="805">
        <v>70.67</v>
      </c>
      <c r="I2824" s="805">
        <v>28.59</v>
      </c>
      <c r="J2824" s="805">
        <v>1923.57</v>
      </c>
      <c r="K2824" s="805">
        <v>4242.6180000000004</v>
      </c>
    </row>
    <row r="2825" spans="3:11">
      <c r="C2825" s="861">
        <v>41789</v>
      </c>
      <c r="D2825" s="805">
        <v>27.32</v>
      </c>
      <c r="E2825" s="805">
        <v>4.75</v>
      </c>
      <c r="F2825" s="806">
        <v>4</v>
      </c>
      <c r="G2825" s="805">
        <v>3.98466155385128</v>
      </c>
      <c r="H2825" s="805">
        <v>70.67</v>
      </c>
      <c r="I2825" s="805">
        <v>28.59</v>
      </c>
      <c r="J2825" s="805">
        <v>1923.57</v>
      </c>
      <c r="K2825" s="805">
        <v>4242.6180000000004</v>
      </c>
    </row>
    <row r="2826" spans="3:11">
      <c r="C2826" s="861">
        <v>41788</v>
      </c>
      <c r="D2826" s="805">
        <v>26.96</v>
      </c>
      <c r="E2826" s="805">
        <v>4.7374999999999998</v>
      </c>
      <c r="F2826" s="806">
        <v>4.03</v>
      </c>
      <c r="G2826" s="805">
        <v>4.0711449260853598</v>
      </c>
      <c r="H2826" s="805">
        <v>70.790000000000006</v>
      </c>
      <c r="I2826" s="805">
        <v>28.58</v>
      </c>
      <c r="J2826" s="805">
        <v>1920.03</v>
      </c>
      <c r="K2826" s="805">
        <v>4247.9470000000001</v>
      </c>
    </row>
    <row r="2827" spans="3:11">
      <c r="C2827" s="861">
        <v>41787</v>
      </c>
      <c r="D2827" s="805">
        <v>26.88</v>
      </c>
      <c r="E2827" s="805">
        <v>4.7450000000000001</v>
      </c>
      <c r="F2827" s="806">
        <v>4</v>
      </c>
      <c r="G2827" s="805">
        <v>4.1212443499069398</v>
      </c>
      <c r="H2827" s="805">
        <v>70.099999999999994</v>
      </c>
      <c r="I2827" s="805">
        <v>28.61</v>
      </c>
      <c r="J2827" s="805">
        <v>1909.78</v>
      </c>
      <c r="K2827" s="805">
        <v>4225.0749999999998</v>
      </c>
    </row>
    <row r="2828" spans="3:11">
      <c r="C2828" s="861">
        <v>41786</v>
      </c>
      <c r="D2828" s="805">
        <v>26.71</v>
      </c>
      <c r="E2828" s="805">
        <v>4.7050000000000001</v>
      </c>
      <c r="F2828" s="806">
        <v>4.04</v>
      </c>
      <c r="G2828" s="805">
        <v>4.0980886647199402</v>
      </c>
      <c r="H2828" s="805">
        <v>70.930000000000007</v>
      </c>
      <c r="I2828" s="805">
        <v>28.06</v>
      </c>
      <c r="J2828" s="805">
        <v>1911.91</v>
      </c>
      <c r="K2828" s="805">
        <v>4237.0680000000002</v>
      </c>
    </row>
    <row r="2829" spans="3:11">
      <c r="C2829" s="861">
        <v>41785</v>
      </c>
      <c r="D2829" s="805">
        <v>26.289000000000001</v>
      </c>
      <c r="E2829" s="805">
        <v>4.6224999999999996</v>
      </c>
      <c r="F2829" s="806">
        <v>4.0199999999999996</v>
      </c>
      <c r="G2829" s="805">
        <v>4.0903195770011003</v>
      </c>
      <c r="H2829" s="805">
        <v>70.55</v>
      </c>
      <c r="I2829" s="805">
        <v>27.33</v>
      </c>
      <c r="J2829" s="805">
        <v>1900.53</v>
      </c>
      <c r="K2829" s="805">
        <v>4185.808</v>
      </c>
    </row>
    <row r="2830" spans="3:11">
      <c r="C2830" s="861">
        <v>41784</v>
      </c>
      <c r="D2830" s="805">
        <v>26.289000000000001</v>
      </c>
      <c r="E2830" s="805">
        <v>4.6224999999999996</v>
      </c>
      <c r="F2830" s="806">
        <v>4.0199999999999996</v>
      </c>
      <c r="G2830" s="805">
        <v>4.0524829762497898</v>
      </c>
      <c r="H2830" s="805">
        <v>70.55</v>
      </c>
      <c r="I2830" s="805">
        <v>27.33</v>
      </c>
      <c r="J2830" s="805">
        <v>1900.53</v>
      </c>
      <c r="K2830" s="805">
        <v>4185.808</v>
      </c>
    </row>
    <row r="2831" spans="3:11">
      <c r="C2831" s="861">
        <v>41783</v>
      </c>
      <c r="D2831" s="805">
        <v>26.289000000000001</v>
      </c>
      <c r="E2831" s="805">
        <v>4.6224999999999996</v>
      </c>
      <c r="F2831" s="806">
        <v>4.0199999999999996</v>
      </c>
      <c r="G2831" s="805">
        <v>4.0524829762497898</v>
      </c>
      <c r="H2831" s="805">
        <v>70.55</v>
      </c>
      <c r="I2831" s="805">
        <v>27.33</v>
      </c>
      <c r="J2831" s="805">
        <v>1900.53</v>
      </c>
      <c r="K2831" s="805">
        <v>4185.808</v>
      </c>
    </row>
    <row r="2832" spans="3:11">
      <c r="C2832" s="861">
        <v>41782</v>
      </c>
      <c r="D2832" s="805">
        <v>26.289000000000001</v>
      </c>
      <c r="E2832" s="805">
        <v>4.6224999999999996</v>
      </c>
      <c r="F2832" s="806">
        <v>4.0199999999999996</v>
      </c>
      <c r="G2832" s="805">
        <v>4.0524829762497898</v>
      </c>
      <c r="H2832" s="805">
        <v>70.55</v>
      </c>
      <c r="I2832" s="805">
        <v>27.33</v>
      </c>
      <c r="J2832" s="805">
        <v>1900.53</v>
      </c>
      <c r="K2832" s="805">
        <v>4185.808</v>
      </c>
    </row>
    <row r="2833" spans="3:11">
      <c r="C2833" s="861">
        <v>41781</v>
      </c>
      <c r="D2833" s="805">
        <v>26.15</v>
      </c>
      <c r="E2833" s="805">
        <v>4.58</v>
      </c>
      <c r="F2833" s="806">
        <v>4.01</v>
      </c>
      <c r="G2833" s="805">
        <v>4.0500614148657199</v>
      </c>
      <c r="H2833" s="805">
        <v>68.680000000000007</v>
      </c>
      <c r="I2833" s="805">
        <v>27.17</v>
      </c>
      <c r="J2833" s="805">
        <v>1892.49</v>
      </c>
      <c r="K2833" s="805">
        <v>4154.3419999999996</v>
      </c>
    </row>
    <row r="2834" spans="3:11">
      <c r="C2834" s="861">
        <v>41780</v>
      </c>
      <c r="D2834" s="805">
        <v>26.2</v>
      </c>
      <c r="E2834" s="805">
        <v>4.5599999999999996</v>
      </c>
      <c r="F2834" s="806">
        <v>4.0999999999999996</v>
      </c>
      <c r="G2834" s="805">
        <v>3.9954905666633498</v>
      </c>
      <c r="H2834" s="805">
        <v>68.41</v>
      </c>
      <c r="I2834" s="805">
        <v>26.99</v>
      </c>
      <c r="J2834" s="805">
        <v>1888.03</v>
      </c>
      <c r="K2834" s="805">
        <v>4131.5379999999996</v>
      </c>
    </row>
    <row r="2835" spans="3:11">
      <c r="C2835" s="861">
        <v>41779</v>
      </c>
      <c r="D2835" s="805">
        <v>26.04</v>
      </c>
      <c r="E2835" s="805">
        <v>4.5599999999999996</v>
      </c>
      <c r="F2835" s="806">
        <v>4.05</v>
      </c>
      <c r="G2835" s="805">
        <v>4.0132669983416296</v>
      </c>
      <c r="H2835" s="805">
        <v>67.52</v>
      </c>
      <c r="I2835" s="805">
        <v>26.55</v>
      </c>
      <c r="J2835" s="805">
        <v>1872.83</v>
      </c>
      <c r="K2835" s="805">
        <v>4096.8909999999996</v>
      </c>
    </row>
    <row r="2836" spans="3:11">
      <c r="C2836" s="861">
        <v>41778</v>
      </c>
      <c r="D2836" s="805">
        <v>26.04</v>
      </c>
      <c r="E2836" s="805">
        <v>4.6349999999999998</v>
      </c>
      <c r="F2836" s="806">
        <v>4.09</v>
      </c>
      <c r="G2836" s="805">
        <v>4.0157976834489402</v>
      </c>
      <c r="H2836" s="805">
        <v>68.319999999999993</v>
      </c>
      <c r="I2836" s="805">
        <v>26.94</v>
      </c>
      <c r="J2836" s="805">
        <v>1885.08</v>
      </c>
      <c r="K2836" s="805">
        <v>4125.8149999999996</v>
      </c>
    </row>
    <row r="2837" spans="3:11">
      <c r="C2837" s="861">
        <v>41777</v>
      </c>
      <c r="D2837" s="805">
        <v>25.82</v>
      </c>
      <c r="E2837" s="805">
        <v>4.4950000000000001</v>
      </c>
      <c r="F2837" s="806">
        <v>4.0199999999999996</v>
      </c>
      <c r="G2837" s="805">
        <v>4.04576355496601</v>
      </c>
      <c r="H2837" s="805">
        <v>68.48</v>
      </c>
      <c r="I2837" s="805">
        <v>26.03</v>
      </c>
      <c r="J2837" s="805">
        <v>1877.86</v>
      </c>
      <c r="K2837" s="805">
        <v>4090.5880000000002</v>
      </c>
    </row>
    <row r="2838" spans="3:11">
      <c r="C2838" s="861">
        <v>41776</v>
      </c>
      <c r="D2838" s="805">
        <v>25.82</v>
      </c>
      <c r="E2838" s="805">
        <v>4.4950000000000001</v>
      </c>
      <c r="F2838" s="806">
        <v>4.0199999999999996</v>
      </c>
      <c r="G2838" s="805">
        <v>4.04576355496601</v>
      </c>
      <c r="H2838" s="805">
        <v>68.48</v>
      </c>
      <c r="I2838" s="805">
        <v>26.03</v>
      </c>
      <c r="J2838" s="805">
        <v>1877.86</v>
      </c>
      <c r="K2838" s="805">
        <v>4090.5880000000002</v>
      </c>
    </row>
    <row r="2839" spans="3:11">
      <c r="C2839" s="861">
        <v>41775</v>
      </c>
      <c r="D2839" s="805">
        <v>25.82</v>
      </c>
      <c r="E2839" s="805">
        <v>4.4950000000000001</v>
      </c>
      <c r="F2839" s="806">
        <v>4.0199999999999996</v>
      </c>
      <c r="G2839" s="805">
        <v>4.04576355496601</v>
      </c>
      <c r="H2839" s="805">
        <v>68.48</v>
      </c>
      <c r="I2839" s="805">
        <v>26.03</v>
      </c>
      <c r="J2839" s="805">
        <v>1877.86</v>
      </c>
      <c r="K2839" s="805">
        <v>4090.5880000000002</v>
      </c>
    </row>
    <row r="2840" spans="3:11">
      <c r="C2840" s="861">
        <v>41774</v>
      </c>
      <c r="D2840" s="805">
        <v>26.01</v>
      </c>
      <c r="E2840" s="805">
        <v>4.5</v>
      </c>
      <c r="F2840" s="806">
        <v>3.96</v>
      </c>
      <c r="G2840" s="805">
        <v>4.0410732030473699</v>
      </c>
      <c r="H2840" s="805">
        <v>67.930000000000007</v>
      </c>
      <c r="I2840" s="805">
        <v>25.86</v>
      </c>
      <c r="J2840" s="805">
        <v>1870.85</v>
      </c>
      <c r="K2840" s="805">
        <v>4069.2919999999999</v>
      </c>
    </row>
    <row r="2841" spans="3:11">
      <c r="C2841" s="861">
        <v>41773</v>
      </c>
      <c r="D2841" s="805">
        <v>26.33</v>
      </c>
      <c r="E2841" s="805">
        <v>4.5250000000000004</v>
      </c>
      <c r="F2841" s="806">
        <v>3.98</v>
      </c>
      <c r="G2841" s="805">
        <v>4.0410732030473699</v>
      </c>
      <c r="H2841" s="805">
        <v>68.510000000000005</v>
      </c>
      <c r="I2841" s="805">
        <v>26.86</v>
      </c>
      <c r="J2841" s="805">
        <v>1888.53</v>
      </c>
      <c r="K2841" s="805">
        <v>4100.6270000000004</v>
      </c>
    </row>
    <row r="2842" spans="3:11">
      <c r="C2842" s="861">
        <v>41772</v>
      </c>
      <c r="D2842" s="805">
        <v>26.45</v>
      </c>
      <c r="E2842" s="805">
        <v>4.57</v>
      </c>
      <c r="F2842" s="806">
        <v>4.03</v>
      </c>
      <c r="G2842" s="805">
        <v>3.9900662251655601</v>
      </c>
      <c r="H2842" s="805">
        <v>68.760000000000005</v>
      </c>
      <c r="I2842" s="805">
        <v>27.63</v>
      </c>
      <c r="J2842" s="805">
        <v>1897.45</v>
      </c>
      <c r="K2842" s="805">
        <v>4130.165</v>
      </c>
    </row>
    <row r="2843" spans="3:11">
      <c r="C2843" s="861">
        <v>41771</v>
      </c>
      <c r="D2843" s="805">
        <v>26.37</v>
      </c>
      <c r="E2843" s="805">
        <v>4.6449999999999996</v>
      </c>
      <c r="F2843" s="806">
        <v>3.97</v>
      </c>
      <c r="G2843" s="805">
        <v>3.9238410596026498</v>
      </c>
      <c r="H2843" s="805">
        <v>69.13</v>
      </c>
      <c r="I2843" s="805">
        <v>27.51</v>
      </c>
      <c r="J2843" s="805">
        <v>1896.65</v>
      </c>
      <c r="K2843" s="805">
        <v>4143.8590000000004</v>
      </c>
    </row>
    <row r="2844" spans="3:11">
      <c r="C2844" s="861">
        <v>41770</v>
      </c>
      <c r="D2844" s="805">
        <v>26.3</v>
      </c>
      <c r="E2844" s="805">
        <v>4.5125000000000002</v>
      </c>
      <c r="F2844" s="806">
        <v>3.87</v>
      </c>
      <c r="G2844" s="805">
        <v>3.9860488290981602</v>
      </c>
      <c r="H2844" s="805">
        <v>67.42</v>
      </c>
      <c r="I2844" s="805">
        <v>26.84</v>
      </c>
      <c r="J2844" s="805">
        <v>1878.48</v>
      </c>
      <c r="K2844" s="805">
        <v>4071.8690000000001</v>
      </c>
    </row>
    <row r="2845" spans="3:11">
      <c r="C2845" s="861">
        <v>41769</v>
      </c>
      <c r="D2845" s="805">
        <v>26.3</v>
      </c>
      <c r="E2845" s="805">
        <v>4.5125000000000002</v>
      </c>
      <c r="F2845" s="806">
        <v>3.87</v>
      </c>
      <c r="G2845" s="805">
        <v>3.9860488290981602</v>
      </c>
      <c r="H2845" s="805">
        <v>67.42</v>
      </c>
      <c r="I2845" s="805">
        <v>26.84</v>
      </c>
      <c r="J2845" s="805">
        <v>1878.48</v>
      </c>
      <c r="K2845" s="805">
        <v>4071.8690000000001</v>
      </c>
    </row>
    <row r="2846" spans="3:11">
      <c r="C2846" s="861">
        <v>41768</v>
      </c>
      <c r="D2846" s="805">
        <v>26.3</v>
      </c>
      <c r="E2846" s="805">
        <v>4.5125000000000002</v>
      </c>
      <c r="F2846" s="806">
        <v>3.87</v>
      </c>
      <c r="G2846" s="805">
        <v>3.9860488290981602</v>
      </c>
      <c r="H2846" s="805">
        <v>67.42</v>
      </c>
      <c r="I2846" s="805">
        <v>26.84</v>
      </c>
      <c r="J2846" s="805">
        <v>1878.48</v>
      </c>
      <c r="K2846" s="805">
        <v>4071.8690000000001</v>
      </c>
    </row>
    <row r="2847" spans="3:11">
      <c r="C2847" s="861">
        <v>41767</v>
      </c>
      <c r="D2847" s="805">
        <v>26.34</v>
      </c>
      <c r="E2847" s="805">
        <v>4.625</v>
      </c>
      <c r="F2847" s="806">
        <v>3.93</v>
      </c>
      <c r="G2847" s="805">
        <v>3.9765731589631002</v>
      </c>
      <c r="H2847" s="805">
        <v>67.95</v>
      </c>
      <c r="I2847" s="805">
        <v>26.93</v>
      </c>
      <c r="J2847" s="805">
        <v>1875.63</v>
      </c>
      <c r="K2847" s="805">
        <v>4051.4960000000001</v>
      </c>
    </row>
    <row r="2848" spans="3:11">
      <c r="C2848" s="861">
        <v>41766</v>
      </c>
      <c r="D2848" s="805">
        <v>26.37</v>
      </c>
      <c r="E2848" s="805">
        <v>4.57</v>
      </c>
      <c r="F2848" s="806">
        <v>3.97</v>
      </c>
      <c r="G2848" s="805">
        <v>3.9355695782132201</v>
      </c>
      <c r="H2848" s="805">
        <v>66.81</v>
      </c>
      <c r="I2848" s="805">
        <v>26.42</v>
      </c>
      <c r="J2848" s="805">
        <v>1878.21</v>
      </c>
      <c r="K2848" s="805">
        <v>4067.6729999999998</v>
      </c>
    </row>
    <row r="2849" spans="3:11">
      <c r="C2849" s="861">
        <v>41765</v>
      </c>
      <c r="D2849" s="805">
        <v>26.2</v>
      </c>
      <c r="E2849" s="805">
        <v>4.5625</v>
      </c>
      <c r="F2849" s="806">
        <v>4.01</v>
      </c>
      <c r="G2849" s="805">
        <v>3.9241769205187902</v>
      </c>
      <c r="H2849" s="805">
        <v>67.34</v>
      </c>
      <c r="I2849" s="805">
        <v>26.68</v>
      </c>
      <c r="J2849" s="805">
        <v>1867.72</v>
      </c>
      <c r="K2849" s="805">
        <v>4080.759</v>
      </c>
    </row>
    <row r="2850" spans="3:11">
      <c r="C2850" s="861">
        <v>41764</v>
      </c>
      <c r="D2850" s="805">
        <v>26.17</v>
      </c>
      <c r="E2850" s="805">
        <v>4.6574999999999998</v>
      </c>
      <c r="F2850" s="806">
        <v>4.09</v>
      </c>
      <c r="G2850" s="805">
        <v>3.8879473631741601</v>
      </c>
      <c r="H2850" s="805">
        <v>64.25</v>
      </c>
      <c r="I2850" s="805">
        <v>26.74</v>
      </c>
      <c r="J2850" s="805">
        <v>1884.66</v>
      </c>
      <c r="K2850" s="805">
        <v>4138.0550000000003</v>
      </c>
    </row>
    <row r="2851" spans="3:11">
      <c r="C2851" s="861">
        <v>41763</v>
      </c>
      <c r="D2851" s="805">
        <v>26.41</v>
      </c>
      <c r="E2851" s="805">
        <v>4.6074999999999999</v>
      </c>
      <c r="F2851" s="806">
        <v>4.12</v>
      </c>
      <c r="G2851" s="805">
        <v>3.91441366727484</v>
      </c>
      <c r="H2851" s="805">
        <v>64.27</v>
      </c>
      <c r="I2851" s="805">
        <v>26.31</v>
      </c>
      <c r="J2851" s="805">
        <v>1881.14</v>
      </c>
      <c r="K2851" s="805">
        <v>4123.8969999999999</v>
      </c>
    </row>
    <row r="2852" spans="3:11">
      <c r="C2852" s="861">
        <v>41762</v>
      </c>
      <c r="D2852" s="805">
        <v>26.41</v>
      </c>
      <c r="E2852" s="805">
        <v>4.6074999999999999</v>
      </c>
      <c r="F2852" s="806">
        <v>4.12</v>
      </c>
      <c r="G2852" s="805">
        <v>3.91441366727484</v>
      </c>
      <c r="H2852" s="805">
        <v>64.27</v>
      </c>
      <c r="I2852" s="805">
        <v>26.31</v>
      </c>
      <c r="J2852" s="805">
        <v>1881.14</v>
      </c>
      <c r="K2852" s="805">
        <v>4123.8969999999999</v>
      </c>
    </row>
    <row r="2853" spans="3:11">
      <c r="C2853" s="861">
        <v>41761</v>
      </c>
      <c r="D2853" s="805">
        <v>26.41</v>
      </c>
      <c r="E2853" s="805">
        <v>4.6074999999999999</v>
      </c>
      <c r="F2853" s="806">
        <v>4.12</v>
      </c>
      <c r="G2853" s="805">
        <v>3.91441366727484</v>
      </c>
      <c r="H2853" s="805">
        <v>64.27</v>
      </c>
      <c r="I2853" s="805">
        <v>26.31</v>
      </c>
      <c r="J2853" s="805">
        <v>1881.14</v>
      </c>
      <c r="K2853" s="805">
        <v>4123.8969999999999</v>
      </c>
    </row>
    <row r="2854" spans="3:11">
      <c r="C2854" s="861">
        <v>41760</v>
      </c>
      <c r="D2854" s="805">
        <v>26.45</v>
      </c>
      <c r="E2854" s="805">
        <v>4.6425000000000001</v>
      </c>
      <c r="F2854" s="806">
        <v>4.2</v>
      </c>
      <c r="G2854" s="805">
        <v>3.93034825870647</v>
      </c>
      <c r="H2854" s="805">
        <v>63.49</v>
      </c>
      <c r="I2854" s="805">
        <v>26.25</v>
      </c>
      <c r="J2854" s="805">
        <v>1883.68</v>
      </c>
      <c r="K2854" s="805">
        <v>4127.451</v>
      </c>
    </row>
    <row r="2855" spans="3:11">
      <c r="C2855" s="861">
        <v>41759</v>
      </c>
      <c r="D2855" s="805">
        <v>26.69</v>
      </c>
      <c r="E2855" s="805">
        <v>4.6174999999999997</v>
      </c>
      <c r="F2855" s="806">
        <v>4.09</v>
      </c>
      <c r="G2855" s="805">
        <v>3.93034825870647</v>
      </c>
      <c r="H2855" s="805">
        <v>63.5</v>
      </c>
      <c r="I2855" s="805">
        <v>26.12</v>
      </c>
      <c r="J2855" s="805">
        <v>1883.95</v>
      </c>
      <c r="K2855" s="805">
        <v>4114.5559999999996</v>
      </c>
    </row>
    <row r="2856" spans="3:11">
      <c r="C2856" s="861">
        <v>41758</v>
      </c>
      <c r="D2856" s="805">
        <v>26.48</v>
      </c>
      <c r="E2856" s="805">
        <v>4.6725000000000003</v>
      </c>
      <c r="F2856" s="806">
        <v>4.03</v>
      </c>
      <c r="G2856" s="805">
        <v>3.9996016994158299</v>
      </c>
      <c r="H2856" s="805">
        <v>60.92</v>
      </c>
      <c r="I2856" s="805">
        <v>25.1</v>
      </c>
      <c r="J2856" s="805">
        <v>1878.33</v>
      </c>
      <c r="K2856" s="805">
        <v>4103.5429999999997</v>
      </c>
    </row>
    <row r="2857" spans="3:11">
      <c r="C2857" s="861">
        <v>41757</v>
      </c>
      <c r="D2857" s="805">
        <v>26.33</v>
      </c>
      <c r="E2857" s="805">
        <v>4.6624999999999996</v>
      </c>
      <c r="F2857" s="806">
        <v>3.96</v>
      </c>
      <c r="G2857" s="805">
        <v>3.9383108287000299</v>
      </c>
      <c r="H2857" s="805">
        <v>60.78</v>
      </c>
      <c r="I2857" s="805">
        <v>24.58</v>
      </c>
      <c r="J2857" s="805">
        <v>1869.43</v>
      </c>
      <c r="K2857" s="805">
        <v>4074.4009999999998</v>
      </c>
    </row>
    <row r="2858" spans="3:11">
      <c r="C2858" s="861">
        <v>41756</v>
      </c>
      <c r="D2858" s="805">
        <v>26.26</v>
      </c>
      <c r="E2858" s="805">
        <v>4.6825000000000001</v>
      </c>
      <c r="F2858" s="806">
        <v>4.05</v>
      </c>
      <c r="G2858" s="805">
        <v>3.9141205615194101</v>
      </c>
      <c r="H2858" s="805">
        <v>62.34</v>
      </c>
      <c r="I2858" s="805">
        <v>25.26</v>
      </c>
      <c r="J2858" s="805">
        <v>1863.4</v>
      </c>
      <c r="K2858" s="805">
        <v>4075.5610000000001</v>
      </c>
    </row>
    <row r="2859" spans="3:11">
      <c r="C2859" s="861">
        <v>41755</v>
      </c>
      <c r="D2859" s="805">
        <v>26.26</v>
      </c>
      <c r="E2859" s="805">
        <v>4.6825000000000001</v>
      </c>
      <c r="F2859" s="806">
        <v>4.05</v>
      </c>
      <c r="G2859" s="805">
        <v>3.9141205615194101</v>
      </c>
      <c r="H2859" s="805">
        <v>62.34</v>
      </c>
      <c r="I2859" s="805">
        <v>25.26</v>
      </c>
      <c r="J2859" s="805">
        <v>1863.4</v>
      </c>
      <c r="K2859" s="805">
        <v>4075.5610000000001</v>
      </c>
    </row>
    <row r="2860" spans="3:11">
      <c r="C2860" s="861">
        <v>41754</v>
      </c>
      <c r="D2860" s="805">
        <v>26.26</v>
      </c>
      <c r="E2860" s="805">
        <v>4.6825000000000001</v>
      </c>
      <c r="F2860" s="806">
        <v>4.05</v>
      </c>
      <c r="G2860" s="805">
        <v>3.9141205615194101</v>
      </c>
      <c r="H2860" s="805">
        <v>62.34</v>
      </c>
      <c r="I2860" s="805">
        <v>25.26</v>
      </c>
      <c r="J2860" s="805">
        <v>1863.4</v>
      </c>
      <c r="K2860" s="805">
        <v>4075.5610000000001</v>
      </c>
    </row>
    <row r="2861" spans="3:11">
      <c r="C2861" s="861">
        <v>41753</v>
      </c>
      <c r="D2861" s="805">
        <v>26.75</v>
      </c>
      <c r="E2861" s="805">
        <v>4.8150000000000004</v>
      </c>
      <c r="F2861" s="806">
        <v>4.28</v>
      </c>
      <c r="G2861" s="805">
        <v>3.9957730665081601</v>
      </c>
      <c r="H2861" s="805">
        <v>65.34</v>
      </c>
      <c r="I2861" s="805">
        <v>26.16</v>
      </c>
      <c r="J2861" s="805">
        <v>1878.61</v>
      </c>
      <c r="K2861" s="805">
        <v>4148.3379999999997</v>
      </c>
    </row>
    <row r="2862" spans="3:11">
      <c r="C2862" s="861">
        <v>41752</v>
      </c>
      <c r="D2862" s="805">
        <v>26.75</v>
      </c>
      <c r="E2862" s="805">
        <v>4.7725</v>
      </c>
      <c r="F2862" s="806">
        <v>4.25</v>
      </c>
      <c r="G2862" s="805">
        <v>3.9924769855148998</v>
      </c>
      <c r="H2862" s="805">
        <v>64.599999999999994</v>
      </c>
      <c r="I2862" s="805">
        <v>26.25</v>
      </c>
      <c r="J2862" s="805">
        <v>1875.39</v>
      </c>
      <c r="K2862" s="805">
        <v>4126.9669999999996</v>
      </c>
    </row>
    <row r="2863" spans="3:11">
      <c r="C2863" s="861">
        <v>41751</v>
      </c>
      <c r="D2863" s="805">
        <v>26.84</v>
      </c>
      <c r="E2863" s="805">
        <v>4.7175000000000002</v>
      </c>
      <c r="F2863" s="806">
        <v>4.3</v>
      </c>
      <c r="G2863" s="805">
        <v>4.0101656875041298</v>
      </c>
      <c r="H2863" s="805">
        <v>63.44</v>
      </c>
      <c r="I2863" s="805">
        <v>26.18</v>
      </c>
      <c r="J2863" s="805">
        <v>1879.55</v>
      </c>
      <c r="K2863" s="805">
        <v>4161.4579999999996</v>
      </c>
    </row>
    <row r="2864" spans="3:11">
      <c r="C2864" s="861">
        <v>41750</v>
      </c>
      <c r="D2864" s="805">
        <v>26.95</v>
      </c>
      <c r="E2864" s="805">
        <v>4.6775000000000002</v>
      </c>
      <c r="F2864" s="806">
        <v>4.12</v>
      </c>
      <c r="G2864" s="805">
        <v>4.0198511166253104</v>
      </c>
      <c r="H2864" s="805">
        <v>61.89</v>
      </c>
      <c r="I2864" s="805">
        <v>25.32</v>
      </c>
      <c r="J2864" s="805">
        <v>1871.89</v>
      </c>
      <c r="K2864" s="805">
        <v>4121.5460000000003</v>
      </c>
    </row>
    <row r="2865" spans="3:11">
      <c r="C2865" s="861">
        <v>41749</v>
      </c>
      <c r="D2865" s="805">
        <v>27.04</v>
      </c>
      <c r="E2865" s="805">
        <v>4.6399999999999997</v>
      </c>
      <c r="F2865" s="806">
        <v>3.69</v>
      </c>
      <c r="G2865" s="805">
        <v>4.0775733465937298</v>
      </c>
      <c r="H2865" s="805">
        <v>60.89</v>
      </c>
      <c r="I2865" s="805">
        <v>23.91</v>
      </c>
      <c r="J2865" s="805">
        <v>1864.85</v>
      </c>
      <c r="K2865" s="805">
        <v>4095.5160000000001</v>
      </c>
    </row>
    <row r="2866" spans="3:11">
      <c r="C2866" s="861">
        <v>41748</v>
      </c>
      <c r="D2866" s="805">
        <v>27.04</v>
      </c>
      <c r="E2866" s="805">
        <v>4.6399999999999997</v>
      </c>
      <c r="F2866" s="806">
        <v>3.69</v>
      </c>
      <c r="G2866" s="805">
        <v>4.0775733465937298</v>
      </c>
      <c r="H2866" s="805">
        <v>60.89</v>
      </c>
      <c r="I2866" s="805">
        <v>23.91</v>
      </c>
      <c r="J2866" s="805">
        <v>1864.85</v>
      </c>
      <c r="K2866" s="805">
        <v>4095.5160000000001</v>
      </c>
    </row>
    <row r="2867" spans="3:11">
      <c r="C2867" s="861">
        <v>41747</v>
      </c>
      <c r="D2867" s="805">
        <v>27.04</v>
      </c>
      <c r="E2867" s="805">
        <v>4.6399999999999997</v>
      </c>
      <c r="F2867" s="806">
        <v>3.69</v>
      </c>
      <c r="G2867" s="805">
        <v>4.0775733465937298</v>
      </c>
      <c r="H2867" s="805">
        <v>60.89</v>
      </c>
      <c r="I2867" s="805">
        <v>23.91</v>
      </c>
      <c r="J2867" s="805">
        <v>1864.85</v>
      </c>
      <c r="K2867" s="805">
        <v>4095.5160000000001</v>
      </c>
    </row>
    <row r="2868" spans="3:11">
      <c r="C2868" s="861">
        <v>41746</v>
      </c>
      <c r="D2868" s="805">
        <v>27.04</v>
      </c>
      <c r="E2868" s="805">
        <v>4.6399999999999997</v>
      </c>
      <c r="F2868" s="806">
        <v>3.69</v>
      </c>
      <c r="G2868" s="805">
        <v>3.9818163719016502</v>
      </c>
      <c r="H2868" s="805">
        <v>60.89</v>
      </c>
      <c r="I2868" s="805">
        <v>23.91</v>
      </c>
      <c r="J2868" s="805">
        <v>1864.85</v>
      </c>
      <c r="K2868" s="805">
        <v>4095.5160000000001</v>
      </c>
    </row>
    <row r="2869" spans="3:11">
      <c r="C2869" s="861">
        <v>41745</v>
      </c>
      <c r="D2869" s="805">
        <v>26.93</v>
      </c>
      <c r="E2869" s="805">
        <v>4.6224999999999996</v>
      </c>
      <c r="F2869" s="806">
        <v>3.76</v>
      </c>
      <c r="G2869" s="805">
        <v>4.0159309658147997</v>
      </c>
      <c r="H2869" s="805">
        <v>59.31</v>
      </c>
      <c r="I2869" s="805">
        <v>22.48</v>
      </c>
      <c r="J2869" s="805">
        <v>1862.31</v>
      </c>
      <c r="K2869" s="805">
        <v>4086.2249999999999</v>
      </c>
    </row>
    <row r="2870" spans="3:11">
      <c r="C2870" s="861">
        <v>41744</v>
      </c>
      <c r="D2870" s="805">
        <v>26.77</v>
      </c>
      <c r="E2870" s="805">
        <v>4.6124999999999998</v>
      </c>
      <c r="F2870" s="806">
        <v>3.79</v>
      </c>
      <c r="G2870" s="805">
        <v>4.0589794565937698</v>
      </c>
      <c r="H2870" s="805">
        <v>58.94</v>
      </c>
      <c r="I2870" s="805">
        <v>22.17</v>
      </c>
      <c r="J2870" s="805">
        <v>1842.98</v>
      </c>
      <c r="K2870" s="805">
        <v>4034.1610000000001</v>
      </c>
    </row>
    <row r="2871" spans="3:11">
      <c r="C2871" s="861">
        <v>41743</v>
      </c>
      <c r="D2871" s="805">
        <v>26.56</v>
      </c>
      <c r="E2871" s="805">
        <v>4.58</v>
      </c>
      <c r="F2871" s="806">
        <v>3.71</v>
      </c>
      <c r="G2871" s="805">
        <v>3.99019835093877</v>
      </c>
      <c r="H2871" s="805">
        <v>58.82</v>
      </c>
      <c r="I2871" s="805">
        <v>21.9</v>
      </c>
      <c r="J2871" s="805">
        <v>1830.61</v>
      </c>
      <c r="K2871" s="805">
        <v>4022.694</v>
      </c>
    </row>
    <row r="2872" spans="3:11">
      <c r="C2872" s="861">
        <v>41742</v>
      </c>
      <c r="D2872" s="805">
        <v>26.1799</v>
      </c>
      <c r="E2872" s="805">
        <v>4.53</v>
      </c>
      <c r="F2872" s="806">
        <v>3.65</v>
      </c>
      <c r="G2872" s="805">
        <v>3.9953387714333299</v>
      </c>
      <c r="H2872" s="805">
        <v>58.53</v>
      </c>
      <c r="I2872" s="805">
        <v>21.13</v>
      </c>
      <c r="J2872" s="805">
        <v>1815.69</v>
      </c>
      <c r="K2872" s="805">
        <v>3999.7339999999999</v>
      </c>
    </row>
    <row r="2873" spans="3:11">
      <c r="C2873" s="861">
        <v>41741</v>
      </c>
      <c r="D2873" s="805">
        <v>26.1799</v>
      </c>
      <c r="E2873" s="805">
        <v>4.53</v>
      </c>
      <c r="F2873" s="806">
        <v>3.65</v>
      </c>
      <c r="G2873" s="805">
        <v>3.9953387714333299</v>
      </c>
      <c r="H2873" s="805">
        <v>58.53</v>
      </c>
      <c r="I2873" s="805">
        <v>21.13</v>
      </c>
      <c r="J2873" s="805">
        <v>1815.69</v>
      </c>
      <c r="K2873" s="805">
        <v>3999.7339999999999</v>
      </c>
    </row>
    <row r="2874" spans="3:11">
      <c r="C2874" s="861">
        <v>41740</v>
      </c>
      <c r="D2874" s="805">
        <v>26.1799</v>
      </c>
      <c r="E2874" s="805">
        <v>4.53</v>
      </c>
      <c r="F2874" s="806">
        <v>3.65</v>
      </c>
      <c r="G2874" s="805">
        <v>3.9953387714333299</v>
      </c>
      <c r="H2874" s="805">
        <v>58.53</v>
      </c>
      <c r="I2874" s="805">
        <v>21.13</v>
      </c>
      <c r="J2874" s="805">
        <v>1815.69</v>
      </c>
      <c r="K2874" s="805">
        <v>3999.7339999999999</v>
      </c>
    </row>
    <row r="2875" spans="3:11">
      <c r="C2875" s="861">
        <v>41739</v>
      </c>
      <c r="D2875" s="805">
        <v>26.425000000000001</v>
      </c>
      <c r="E2875" s="805">
        <v>4.5949999999999998</v>
      </c>
      <c r="F2875" s="806">
        <v>3.85</v>
      </c>
      <c r="G2875" s="805">
        <v>3.9825368259681402</v>
      </c>
      <c r="H2875" s="805">
        <v>59.86</v>
      </c>
      <c r="I2875" s="805">
        <v>21.68</v>
      </c>
      <c r="J2875" s="805">
        <v>1833.08</v>
      </c>
      <c r="K2875" s="805">
        <v>4054.1060000000002</v>
      </c>
    </row>
    <row r="2876" spans="3:11">
      <c r="C2876" s="861">
        <v>41738</v>
      </c>
      <c r="D2876" s="805">
        <v>26.98</v>
      </c>
      <c r="E2876" s="805">
        <v>4.71</v>
      </c>
      <c r="F2876" s="806">
        <v>3.98</v>
      </c>
      <c r="G2876" s="805">
        <v>3.9679893297765898</v>
      </c>
      <c r="H2876" s="805">
        <v>62.47</v>
      </c>
      <c r="I2876" s="805">
        <v>22.6</v>
      </c>
      <c r="J2876" s="805">
        <v>1872.18</v>
      </c>
      <c r="K2876" s="805">
        <v>4183.8999999999996</v>
      </c>
    </row>
    <row r="2877" spans="3:11">
      <c r="C2877" s="861">
        <v>41737</v>
      </c>
      <c r="D2877" s="805">
        <v>26.91</v>
      </c>
      <c r="E2877" s="805">
        <v>4.7149999999999999</v>
      </c>
      <c r="F2877" s="806">
        <v>3.99</v>
      </c>
      <c r="G2877" s="805">
        <v>3.9521753570242399</v>
      </c>
      <c r="H2877" s="805">
        <v>60.17</v>
      </c>
      <c r="I2877" s="805">
        <v>22.21</v>
      </c>
      <c r="J2877" s="805">
        <v>1851.96</v>
      </c>
      <c r="K2877" s="805">
        <v>4112.9859999999999</v>
      </c>
    </row>
    <row r="2878" spans="3:11">
      <c r="C2878" s="861">
        <v>41736</v>
      </c>
      <c r="D2878" s="805">
        <v>26.484999999999999</v>
      </c>
      <c r="E2878" s="805">
        <v>4.5525000000000002</v>
      </c>
      <c r="F2878" s="806">
        <v>3.88</v>
      </c>
      <c r="G2878" s="805">
        <v>3.8842975206611601</v>
      </c>
      <c r="H2878" s="805">
        <v>60.36</v>
      </c>
      <c r="I2878" s="805">
        <v>21.71</v>
      </c>
      <c r="J2878" s="805">
        <v>1845.04</v>
      </c>
      <c r="K2878" s="805">
        <v>4079.7530000000002</v>
      </c>
    </row>
    <row r="2879" spans="3:11">
      <c r="C2879" s="861">
        <v>41735</v>
      </c>
      <c r="D2879" s="805">
        <v>26.16</v>
      </c>
      <c r="E2879" s="805">
        <v>4.5374999999999996</v>
      </c>
      <c r="F2879" s="806">
        <v>4.01</v>
      </c>
      <c r="G2879" s="805">
        <v>3.9125697493974299</v>
      </c>
      <c r="H2879" s="805">
        <v>61.8</v>
      </c>
      <c r="I2879" s="805">
        <v>22.58</v>
      </c>
      <c r="J2879" s="805">
        <v>1865.09</v>
      </c>
      <c r="K2879" s="805">
        <v>4127.7259999999997</v>
      </c>
    </row>
    <row r="2880" spans="3:11">
      <c r="C2880" s="861">
        <v>41734</v>
      </c>
      <c r="D2880" s="805">
        <v>26.16</v>
      </c>
      <c r="E2880" s="805">
        <v>4.5374999999999996</v>
      </c>
      <c r="F2880" s="806">
        <v>4.01</v>
      </c>
      <c r="G2880" s="805">
        <v>3.9125697493974299</v>
      </c>
      <c r="H2880" s="805">
        <v>61.8</v>
      </c>
      <c r="I2880" s="805">
        <v>22.58</v>
      </c>
      <c r="J2880" s="805">
        <v>1865.09</v>
      </c>
      <c r="K2880" s="805">
        <v>4127.7259999999997</v>
      </c>
    </row>
    <row r="2881" spans="3:11">
      <c r="C2881" s="861">
        <v>41733</v>
      </c>
      <c r="D2881" s="805">
        <v>26.16</v>
      </c>
      <c r="E2881" s="805">
        <v>4.5374999999999996</v>
      </c>
      <c r="F2881" s="806">
        <v>4.01</v>
      </c>
      <c r="G2881" s="805">
        <v>3.9125697493974299</v>
      </c>
      <c r="H2881" s="805">
        <v>61.8</v>
      </c>
      <c r="I2881" s="805">
        <v>22.58</v>
      </c>
      <c r="J2881" s="805">
        <v>1865.09</v>
      </c>
      <c r="K2881" s="805">
        <v>4127.7259999999997</v>
      </c>
    </row>
    <row r="2882" spans="3:11">
      <c r="C2882" s="861">
        <v>41732</v>
      </c>
      <c r="D2882" s="805">
        <v>26.41</v>
      </c>
      <c r="E2882" s="805">
        <v>4.6825000000000001</v>
      </c>
      <c r="F2882" s="806">
        <v>4</v>
      </c>
      <c r="G2882" s="805">
        <v>3.9125697493974299</v>
      </c>
      <c r="H2882" s="805">
        <v>63.93</v>
      </c>
      <c r="I2882" s="805">
        <v>24</v>
      </c>
      <c r="J2882" s="805">
        <v>1888.77</v>
      </c>
      <c r="K2882" s="805">
        <v>4237.74</v>
      </c>
    </row>
    <row r="2883" spans="3:11">
      <c r="C2883" s="861">
        <v>41731</v>
      </c>
      <c r="D2883" s="805">
        <v>25.89</v>
      </c>
      <c r="E2883" s="805">
        <v>4.6325000000000003</v>
      </c>
      <c r="F2883" s="806">
        <v>4.0599999999999996</v>
      </c>
      <c r="G2883" s="805">
        <v>3.9613111940052201</v>
      </c>
      <c r="H2883" s="805">
        <v>64.64</v>
      </c>
      <c r="I2883" s="805">
        <v>24.35</v>
      </c>
      <c r="J2883" s="805">
        <v>1890.9</v>
      </c>
      <c r="K2883" s="805">
        <v>4276.4560000000001</v>
      </c>
    </row>
    <row r="2884" spans="3:11">
      <c r="C2884" s="861">
        <v>41730</v>
      </c>
      <c r="D2884" s="805">
        <v>25.99</v>
      </c>
      <c r="E2884" s="805">
        <v>4.6624999999999996</v>
      </c>
      <c r="F2884" s="806">
        <v>4.07</v>
      </c>
      <c r="G2884" s="805">
        <v>3.94519643446682</v>
      </c>
      <c r="H2884" s="805">
        <v>65.05</v>
      </c>
      <c r="I2884" s="805">
        <v>24.44</v>
      </c>
      <c r="J2884" s="805">
        <v>1885.52</v>
      </c>
      <c r="K2884" s="805">
        <v>4268.04</v>
      </c>
    </row>
    <row r="2885" spans="3:11">
      <c r="C2885" s="861">
        <v>41729</v>
      </c>
      <c r="D2885" s="805">
        <v>25.814</v>
      </c>
      <c r="E2885" s="805">
        <v>4.4775</v>
      </c>
      <c r="F2885" s="806">
        <v>4.01</v>
      </c>
      <c r="G2885" s="805">
        <v>3.89226473969453</v>
      </c>
      <c r="H2885" s="805">
        <v>64.41</v>
      </c>
      <c r="I2885" s="805">
        <v>23.66</v>
      </c>
      <c r="J2885" s="805">
        <v>1872.34</v>
      </c>
      <c r="K2885" s="805">
        <v>4198.9939999999997</v>
      </c>
    </row>
    <row r="2886" spans="3:11">
      <c r="C2886" s="861">
        <v>41728</v>
      </c>
      <c r="D2886" s="805">
        <v>25.62</v>
      </c>
      <c r="E2886" s="805">
        <v>4.4749999999999996</v>
      </c>
      <c r="F2886" s="806">
        <v>3.88</v>
      </c>
      <c r="G2886" s="805">
        <v>3.8549868766404201</v>
      </c>
      <c r="H2886" s="805">
        <v>64.11</v>
      </c>
      <c r="I2886" s="805">
        <v>21.91</v>
      </c>
      <c r="J2886" s="805">
        <v>1857.62</v>
      </c>
      <c r="K2886" s="805">
        <v>4155.759</v>
      </c>
    </row>
    <row r="2887" spans="3:11">
      <c r="C2887" s="861">
        <v>41727</v>
      </c>
      <c r="D2887" s="805">
        <v>25.62</v>
      </c>
      <c r="E2887" s="805">
        <v>4.4749999999999996</v>
      </c>
      <c r="F2887" s="806">
        <v>3.88</v>
      </c>
      <c r="G2887" s="805">
        <v>3.8549868766404201</v>
      </c>
      <c r="H2887" s="805">
        <v>64.11</v>
      </c>
      <c r="I2887" s="805">
        <v>21.91</v>
      </c>
      <c r="J2887" s="805">
        <v>1857.62</v>
      </c>
      <c r="K2887" s="805">
        <v>4155.759</v>
      </c>
    </row>
    <row r="2888" spans="3:11">
      <c r="C2888" s="861">
        <v>41726</v>
      </c>
      <c r="D2888" s="805">
        <v>25.62</v>
      </c>
      <c r="E2888" s="805">
        <v>4.4749999999999996</v>
      </c>
      <c r="F2888" s="806">
        <v>3.88</v>
      </c>
      <c r="G2888" s="805">
        <v>3.8549868766404201</v>
      </c>
      <c r="H2888" s="805">
        <v>64.11</v>
      </c>
      <c r="I2888" s="805">
        <v>21.91</v>
      </c>
      <c r="J2888" s="805">
        <v>1857.62</v>
      </c>
      <c r="K2888" s="805">
        <v>4155.759</v>
      </c>
    </row>
    <row r="2889" spans="3:11">
      <c r="C2889" s="861">
        <v>41725</v>
      </c>
      <c r="D2889" s="805">
        <v>25.31</v>
      </c>
      <c r="E2889" s="805">
        <v>4.4474999999999998</v>
      </c>
      <c r="F2889" s="806">
        <v>3.91</v>
      </c>
      <c r="G2889" s="805">
        <v>3.8022813688212902</v>
      </c>
      <c r="H2889" s="805">
        <v>62.78</v>
      </c>
      <c r="I2889" s="805">
        <v>22.24</v>
      </c>
      <c r="J2889" s="805">
        <v>1849.04</v>
      </c>
      <c r="K2889" s="805">
        <v>4151.232</v>
      </c>
    </row>
    <row r="2890" spans="3:11">
      <c r="C2890" s="861">
        <v>41724</v>
      </c>
      <c r="D2890" s="805">
        <v>25.377199999999998</v>
      </c>
      <c r="E2890" s="805">
        <v>4.5075000000000003</v>
      </c>
      <c r="F2890" s="806">
        <v>4.05</v>
      </c>
      <c r="G2890" s="805">
        <v>3.7824207492795399</v>
      </c>
      <c r="H2890" s="805">
        <v>62.81</v>
      </c>
      <c r="I2890" s="805">
        <v>22.83</v>
      </c>
      <c r="J2890" s="805">
        <v>1852.56</v>
      </c>
      <c r="K2890" s="805">
        <v>4173.5789999999997</v>
      </c>
    </row>
    <row r="2891" spans="3:11">
      <c r="C2891" s="861">
        <v>41723</v>
      </c>
      <c r="D2891" s="805">
        <v>25.46</v>
      </c>
      <c r="E2891" s="805">
        <v>4.6124999999999998</v>
      </c>
      <c r="F2891" s="806">
        <v>4.05</v>
      </c>
      <c r="G2891" s="805">
        <v>3.72155551183684</v>
      </c>
      <c r="H2891" s="805">
        <v>64</v>
      </c>
      <c r="I2891" s="805">
        <v>23.53</v>
      </c>
      <c r="J2891" s="805">
        <v>1865.62</v>
      </c>
      <c r="K2891" s="805">
        <v>4234.268</v>
      </c>
    </row>
    <row r="2892" spans="3:11">
      <c r="C2892" s="861">
        <v>41722</v>
      </c>
      <c r="D2892" s="805">
        <v>25.12</v>
      </c>
      <c r="E2892" s="805">
        <v>4.6124999999999998</v>
      </c>
      <c r="F2892" s="806">
        <v>4.05</v>
      </c>
      <c r="G2892" s="805">
        <v>3.6812827225130902</v>
      </c>
      <c r="H2892" s="805">
        <v>63.16</v>
      </c>
      <c r="I2892" s="805">
        <v>23.48</v>
      </c>
      <c r="J2892" s="805">
        <v>1857.44</v>
      </c>
      <c r="K2892" s="805">
        <v>4226.3850000000002</v>
      </c>
    </row>
    <row r="2893" spans="3:11">
      <c r="C2893" s="861">
        <v>41721</v>
      </c>
      <c r="D2893" s="805">
        <v>25.17</v>
      </c>
      <c r="E2893" s="805">
        <v>4.6349999999999998</v>
      </c>
      <c r="F2893" s="806">
        <v>4.04</v>
      </c>
      <c r="G2893" s="805">
        <v>3.6821261414591002</v>
      </c>
      <c r="H2893" s="805">
        <v>63.9</v>
      </c>
      <c r="I2893" s="805">
        <v>23.66</v>
      </c>
      <c r="J2893" s="805">
        <v>1866.52</v>
      </c>
      <c r="K2893" s="805">
        <v>4276.7879999999996</v>
      </c>
    </row>
    <row r="2894" spans="3:11">
      <c r="C2894" s="861">
        <v>41720</v>
      </c>
      <c r="D2894" s="805">
        <v>25.17</v>
      </c>
      <c r="E2894" s="805">
        <v>4.6349999999999998</v>
      </c>
      <c r="F2894" s="806">
        <v>4.04</v>
      </c>
      <c r="G2894" s="805">
        <v>3.6821261414591002</v>
      </c>
      <c r="H2894" s="805">
        <v>63.9</v>
      </c>
      <c r="I2894" s="805">
        <v>23.66</v>
      </c>
      <c r="J2894" s="805">
        <v>1866.52</v>
      </c>
      <c r="K2894" s="805">
        <v>4276.7879999999996</v>
      </c>
    </row>
    <row r="2895" spans="3:11">
      <c r="C2895" s="861">
        <v>41719</v>
      </c>
      <c r="D2895" s="805">
        <v>25.17</v>
      </c>
      <c r="E2895" s="805">
        <v>4.6349999999999998</v>
      </c>
      <c r="F2895" s="806">
        <v>4.04</v>
      </c>
      <c r="G2895" s="805">
        <v>3.6821261414591002</v>
      </c>
      <c r="H2895" s="805">
        <v>63.9</v>
      </c>
      <c r="I2895" s="805">
        <v>23.66</v>
      </c>
      <c r="J2895" s="805">
        <v>1866.52</v>
      </c>
      <c r="K2895" s="805">
        <v>4276.7879999999996</v>
      </c>
    </row>
    <row r="2896" spans="3:11">
      <c r="C2896" s="861">
        <v>41718</v>
      </c>
      <c r="D2896" s="805">
        <v>25.425000000000001</v>
      </c>
      <c r="E2896" s="805">
        <v>4.6425000000000001</v>
      </c>
      <c r="F2896" s="806">
        <v>4.05</v>
      </c>
      <c r="G2896" s="805">
        <v>3.6555910960245401</v>
      </c>
      <c r="H2896" s="805">
        <v>65.31</v>
      </c>
      <c r="I2896" s="805">
        <v>24.01</v>
      </c>
      <c r="J2896" s="805">
        <v>1872.01</v>
      </c>
      <c r="K2896" s="805">
        <v>4319.2860000000001</v>
      </c>
    </row>
    <row r="2897" spans="3:11">
      <c r="C2897" s="861">
        <v>41717</v>
      </c>
      <c r="D2897" s="805">
        <v>25.02</v>
      </c>
      <c r="E2897" s="805">
        <v>4.6399999999999997</v>
      </c>
      <c r="F2897" s="806">
        <v>3.98</v>
      </c>
      <c r="G2897" s="805">
        <v>3.7552064543635799</v>
      </c>
      <c r="H2897" s="805">
        <v>64.41</v>
      </c>
      <c r="I2897" s="805">
        <v>23.98</v>
      </c>
      <c r="J2897" s="805">
        <v>1860.77</v>
      </c>
      <c r="K2897" s="805">
        <v>4307.6019999999999</v>
      </c>
    </row>
    <row r="2898" spans="3:11">
      <c r="C2898" s="861">
        <v>41716</v>
      </c>
      <c r="D2898" s="805">
        <v>24.82</v>
      </c>
      <c r="E2898" s="805">
        <v>4.5599999999999996</v>
      </c>
      <c r="F2898" s="806">
        <v>3.89</v>
      </c>
      <c r="G2898" s="805">
        <v>3.7611273527576099</v>
      </c>
      <c r="H2898" s="805">
        <v>63.82</v>
      </c>
      <c r="I2898" s="805">
        <v>24.5</v>
      </c>
      <c r="J2898" s="805">
        <v>1872.25</v>
      </c>
      <c r="K2898" s="805">
        <v>4333.3130000000001</v>
      </c>
    </row>
    <row r="2899" spans="3:11">
      <c r="C2899" s="861">
        <v>41715</v>
      </c>
      <c r="D2899" s="805">
        <v>24.7</v>
      </c>
      <c r="E2899" s="805">
        <v>4.4550000000000001</v>
      </c>
      <c r="F2899" s="806">
        <v>3.8</v>
      </c>
      <c r="G2899" s="805">
        <v>3.7623762376237599</v>
      </c>
      <c r="H2899" s="805">
        <v>63.41</v>
      </c>
      <c r="I2899" s="805">
        <v>23.93</v>
      </c>
      <c r="J2899" s="805">
        <v>1858.83</v>
      </c>
      <c r="K2899" s="805">
        <v>4279.9489999999996</v>
      </c>
    </row>
    <row r="2900" spans="3:11">
      <c r="C2900" s="861">
        <v>41714</v>
      </c>
      <c r="D2900" s="805">
        <v>24.5</v>
      </c>
      <c r="E2900" s="805">
        <v>4.4550000000000001</v>
      </c>
      <c r="F2900" s="806">
        <v>3.85</v>
      </c>
      <c r="G2900" s="805">
        <v>3.7922506183017299</v>
      </c>
      <c r="H2900" s="805">
        <v>62.68</v>
      </c>
      <c r="I2900" s="805">
        <v>23.96</v>
      </c>
      <c r="J2900" s="805">
        <v>1841.13</v>
      </c>
      <c r="K2900" s="805">
        <v>4245.3959999999997</v>
      </c>
    </row>
    <row r="2901" spans="3:11">
      <c r="C2901" s="861">
        <v>41713</v>
      </c>
      <c r="D2901" s="805">
        <v>24.5</v>
      </c>
      <c r="E2901" s="805">
        <v>4.4550000000000001</v>
      </c>
      <c r="F2901" s="806">
        <v>3.85</v>
      </c>
      <c r="G2901" s="805">
        <v>3.7922506183017299</v>
      </c>
      <c r="H2901" s="805">
        <v>62.68</v>
      </c>
      <c r="I2901" s="805">
        <v>23.96</v>
      </c>
      <c r="J2901" s="805">
        <v>1841.13</v>
      </c>
      <c r="K2901" s="805">
        <v>4245.3959999999997</v>
      </c>
    </row>
    <row r="2902" spans="3:11">
      <c r="C2902" s="861">
        <v>41712</v>
      </c>
      <c r="D2902" s="805">
        <v>24.5</v>
      </c>
      <c r="E2902" s="805">
        <v>4.4550000000000001</v>
      </c>
      <c r="F2902" s="806">
        <v>3.85</v>
      </c>
      <c r="G2902" s="805">
        <v>3.7922506183017299</v>
      </c>
      <c r="H2902" s="805">
        <v>62.68</v>
      </c>
      <c r="I2902" s="805">
        <v>23.96</v>
      </c>
      <c r="J2902" s="805">
        <v>1841.13</v>
      </c>
      <c r="K2902" s="805">
        <v>4245.3959999999997</v>
      </c>
    </row>
    <row r="2903" spans="3:11">
      <c r="C2903" s="861">
        <v>41711</v>
      </c>
      <c r="D2903" s="805">
        <v>24.57</v>
      </c>
      <c r="E2903" s="805">
        <v>4.4349999999999996</v>
      </c>
      <c r="F2903" s="806">
        <v>3.86</v>
      </c>
      <c r="G2903" s="805">
        <v>3.84184144571956</v>
      </c>
      <c r="H2903" s="805">
        <v>62.68</v>
      </c>
      <c r="I2903" s="805">
        <v>24.09</v>
      </c>
      <c r="J2903" s="805">
        <v>1846.34</v>
      </c>
      <c r="K2903" s="805">
        <v>4260.42</v>
      </c>
    </row>
    <row r="2904" spans="3:11">
      <c r="C2904" s="861">
        <v>41710</v>
      </c>
      <c r="D2904" s="805">
        <v>24.76</v>
      </c>
      <c r="E2904" s="805">
        <v>4.58</v>
      </c>
      <c r="F2904" s="806">
        <v>3.91</v>
      </c>
      <c r="G2904" s="805">
        <v>3.72629843363561</v>
      </c>
      <c r="H2904" s="805">
        <v>63.18</v>
      </c>
      <c r="I2904" s="805">
        <v>24.84</v>
      </c>
      <c r="J2904" s="805">
        <v>1868.2</v>
      </c>
      <c r="K2904" s="805">
        <v>4323.3320000000003</v>
      </c>
    </row>
    <row r="2905" spans="3:11">
      <c r="C2905" s="861">
        <v>41709</v>
      </c>
      <c r="D2905" s="805">
        <v>24.73</v>
      </c>
      <c r="E2905" s="805">
        <v>4.5674999999999999</v>
      </c>
      <c r="F2905" s="806">
        <v>3.85</v>
      </c>
      <c r="G2905" s="805">
        <v>3.7607627090687199</v>
      </c>
      <c r="H2905" s="805">
        <v>62.02</v>
      </c>
      <c r="I2905" s="805">
        <v>24.67</v>
      </c>
      <c r="J2905" s="805">
        <v>1867.63</v>
      </c>
      <c r="K2905" s="805">
        <v>4307.1880000000001</v>
      </c>
    </row>
    <row r="2906" spans="3:11">
      <c r="C2906" s="861">
        <v>41708</v>
      </c>
      <c r="D2906" s="805">
        <v>24.84</v>
      </c>
      <c r="E2906" s="805">
        <v>4.5225</v>
      </c>
      <c r="F2906" s="806">
        <v>3.81</v>
      </c>
      <c r="G2906" s="805">
        <v>3.7286345938098102</v>
      </c>
      <c r="H2906" s="805">
        <v>62.8</v>
      </c>
      <c r="I2906" s="805">
        <v>24.85</v>
      </c>
      <c r="J2906" s="805">
        <v>1877.17</v>
      </c>
      <c r="K2906" s="805">
        <v>4334.4480000000003</v>
      </c>
    </row>
    <row r="2907" spans="3:11">
      <c r="C2907" s="861">
        <v>41707</v>
      </c>
      <c r="D2907" s="805">
        <v>24.64</v>
      </c>
      <c r="E2907" s="805">
        <v>4.59</v>
      </c>
      <c r="F2907" s="806">
        <v>3.95</v>
      </c>
      <c r="G2907" s="805">
        <v>3.7858748842745702</v>
      </c>
      <c r="H2907" s="805">
        <v>62.75</v>
      </c>
      <c r="I2907" s="805">
        <v>24.42</v>
      </c>
      <c r="J2907" s="805">
        <v>1878.04</v>
      </c>
      <c r="K2907" s="805">
        <v>4336.223</v>
      </c>
    </row>
    <row r="2908" spans="3:11">
      <c r="C2908" s="861">
        <v>41706</v>
      </c>
      <c r="D2908" s="805">
        <v>24.64</v>
      </c>
      <c r="E2908" s="805">
        <v>4.59</v>
      </c>
      <c r="F2908" s="806">
        <v>3.95</v>
      </c>
      <c r="G2908" s="805">
        <v>3.7858748842745702</v>
      </c>
      <c r="H2908" s="805">
        <v>62.75</v>
      </c>
      <c r="I2908" s="805">
        <v>24.42</v>
      </c>
      <c r="J2908" s="805">
        <v>1878.04</v>
      </c>
      <c r="K2908" s="805">
        <v>4336.223</v>
      </c>
    </row>
    <row r="2909" spans="3:11">
      <c r="C2909" s="861">
        <v>41705</v>
      </c>
      <c r="D2909" s="805">
        <v>24.64</v>
      </c>
      <c r="E2909" s="805">
        <v>4.59</v>
      </c>
      <c r="F2909" s="806">
        <v>3.95</v>
      </c>
      <c r="G2909" s="805">
        <v>3.7858748842745702</v>
      </c>
      <c r="H2909" s="805">
        <v>62.75</v>
      </c>
      <c r="I2909" s="805">
        <v>24.42</v>
      </c>
      <c r="J2909" s="805">
        <v>1878.04</v>
      </c>
      <c r="K2909" s="805">
        <v>4336.223</v>
      </c>
    </row>
    <row r="2910" spans="3:11">
      <c r="C2910" s="861">
        <v>41704</v>
      </c>
      <c r="D2910" s="805">
        <v>24.63</v>
      </c>
      <c r="E2910" s="805">
        <v>4.5949999999999998</v>
      </c>
      <c r="F2910" s="806">
        <v>3.73</v>
      </c>
      <c r="G2910" s="805">
        <v>3.7336857756484401</v>
      </c>
      <c r="H2910" s="805">
        <v>63.64</v>
      </c>
      <c r="I2910" s="805">
        <v>24.77</v>
      </c>
      <c r="J2910" s="805">
        <v>1877.03</v>
      </c>
      <c r="K2910" s="805">
        <v>4352.125</v>
      </c>
    </row>
    <row r="2911" spans="3:11">
      <c r="C2911" s="861">
        <v>41703</v>
      </c>
      <c r="D2911" s="805">
        <v>24.5</v>
      </c>
      <c r="E2911" s="805">
        <v>4.66</v>
      </c>
      <c r="F2911" s="806">
        <v>3.71</v>
      </c>
      <c r="G2911" s="805">
        <v>3.63396101750909</v>
      </c>
      <c r="H2911" s="805">
        <v>63.08</v>
      </c>
      <c r="I2911" s="805">
        <v>24.83</v>
      </c>
      <c r="J2911" s="805">
        <v>1873.81</v>
      </c>
      <c r="K2911" s="805">
        <v>4357.9740000000002</v>
      </c>
    </row>
    <row r="2912" spans="3:11">
      <c r="C2912" s="861">
        <v>41702</v>
      </c>
      <c r="D2912" s="805">
        <v>24.61</v>
      </c>
      <c r="E2912" s="805">
        <v>4.62</v>
      </c>
      <c r="F2912" s="806">
        <v>3.7</v>
      </c>
      <c r="G2912" s="805">
        <v>3.5501981505944502</v>
      </c>
      <c r="H2912" s="805">
        <v>63.35</v>
      </c>
      <c r="I2912" s="805">
        <v>25.11</v>
      </c>
      <c r="J2912" s="805">
        <v>1873.91</v>
      </c>
      <c r="K2912" s="805">
        <v>4351.9719999999998</v>
      </c>
    </row>
    <row r="2913" spans="3:11">
      <c r="C2913" s="861">
        <v>41701</v>
      </c>
      <c r="D2913" s="805">
        <v>24.5</v>
      </c>
      <c r="E2913" s="805">
        <v>4.5724999999999998</v>
      </c>
      <c r="F2913" s="806">
        <v>3.67</v>
      </c>
      <c r="G2913" s="805">
        <v>3.5655331792670801</v>
      </c>
      <c r="H2913" s="805">
        <v>61.74</v>
      </c>
      <c r="I2913" s="805">
        <v>24.48</v>
      </c>
      <c r="J2913" s="805">
        <v>1845.73</v>
      </c>
      <c r="K2913" s="805">
        <v>4277.3010000000004</v>
      </c>
    </row>
    <row r="2914" spans="3:11">
      <c r="C2914" s="861">
        <v>41700</v>
      </c>
      <c r="D2914" s="805">
        <v>24.76</v>
      </c>
      <c r="E2914" s="805">
        <v>4.5949999999999998</v>
      </c>
      <c r="F2914" s="806">
        <v>3.71</v>
      </c>
      <c r="G2914" s="805">
        <v>3.5625927758535401</v>
      </c>
      <c r="H2914" s="805">
        <v>61.7</v>
      </c>
      <c r="I2914" s="805">
        <v>24.19</v>
      </c>
      <c r="J2914" s="805">
        <v>1859.45</v>
      </c>
      <c r="K2914" s="805">
        <v>4308.1189999999997</v>
      </c>
    </row>
    <row r="2915" spans="3:11">
      <c r="C2915" s="861">
        <v>41699</v>
      </c>
      <c r="D2915" s="805">
        <v>24.76</v>
      </c>
      <c r="E2915" s="805">
        <v>4.5949999999999998</v>
      </c>
      <c r="F2915" s="806">
        <v>3.71</v>
      </c>
      <c r="G2915" s="805">
        <v>3.5625927758535401</v>
      </c>
      <c r="H2915" s="805">
        <v>61.7</v>
      </c>
      <c r="I2915" s="805">
        <v>24.19</v>
      </c>
      <c r="J2915" s="805">
        <v>1859.45</v>
      </c>
      <c r="K2915" s="805">
        <v>4308.1189999999997</v>
      </c>
    </row>
    <row r="2916" spans="3:11">
      <c r="C2916" s="861">
        <v>41698</v>
      </c>
      <c r="D2916" s="805">
        <v>24.76</v>
      </c>
      <c r="E2916" s="805">
        <v>4.5949999999999998</v>
      </c>
      <c r="F2916" s="806">
        <v>3.71</v>
      </c>
      <c r="G2916" s="805">
        <v>3.5625927758535401</v>
      </c>
      <c r="H2916" s="805">
        <v>61.7</v>
      </c>
      <c r="I2916" s="805">
        <v>24.19</v>
      </c>
      <c r="J2916" s="805">
        <v>1859.45</v>
      </c>
      <c r="K2916" s="805">
        <v>4308.1189999999997</v>
      </c>
    </row>
    <row r="2917" spans="3:11">
      <c r="C2917" s="861">
        <v>41697</v>
      </c>
      <c r="D2917" s="805">
        <v>24.76</v>
      </c>
      <c r="E2917" s="805">
        <v>4.625</v>
      </c>
      <c r="F2917" s="806">
        <v>3.71</v>
      </c>
      <c r="G2917" s="805">
        <v>3.5625927758535401</v>
      </c>
      <c r="H2917" s="805">
        <v>61.38</v>
      </c>
      <c r="I2917" s="805">
        <v>24.19</v>
      </c>
      <c r="J2917" s="805">
        <v>1854.29</v>
      </c>
      <c r="K2917" s="805">
        <v>4318.933</v>
      </c>
    </row>
    <row r="2918" spans="3:11">
      <c r="C2918" s="861">
        <v>41696</v>
      </c>
      <c r="D2918" s="805">
        <v>24.8</v>
      </c>
      <c r="E2918" s="805">
        <v>4.6775000000000002</v>
      </c>
      <c r="F2918" s="806">
        <v>3.7</v>
      </c>
      <c r="G2918" s="805">
        <v>3.5494948160866402</v>
      </c>
      <c r="H2918" s="805">
        <v>61.9</v>
      </c>
      <c r="I2918" s="805">
        <v>24.22</v>
      </c>
      <c r="J2918" s="805">
        <v>1845.16</v>
      </c>
      <c r="K2918" s="805">
        <v>4292.0640000000003</v>
      </c>
    </row>
    <row r="2919" spans="3:11">
      <c r="C2919" s="861">
        <v>41695</v>
      </c>
      <c r="D2919" s="805">
        <v>24.62</v>
      </c>
      <c r="E2919" s="805">
        <v>4.6849999999999996</v>
      </c>
      <c r="F2919" s="806">
        <v>3.69</v>
      </c>
      <c r="G2919" s="805">
        <v>3.5596572181938</v>
      </c>
      <c r="H2919" s="805">
        <v>59</v>
      </c>
      <c r="I2919" s="805">
        <v>24.254999999999999</v>
      </c>
      <c r="J2919" s="805">
        <v>1845.12</v>
      </c>
      <c r="K2919" s="805">
        <v>4287.5870000000004</v>
      </c>
    </row>
    <row r="2920" spans="3:11">
      <c r="C2920" s="861">
        <v>41694</v>
      </c>
      <c r="D2920" s="805">
        <v>24.63</v>
      </c>
      <c r="E2920" s="805">
        <v>4.72</v>
      </c>
      <c r="F2920" s="806">
        <v>3.71</v>
      </c>
      <c r="G2920" s="805">
        <v>3.5296058057067499</v>
      </c>
      <c r="H2920" s="805">
        <v>59.57</v>
      </c>
      <c r="I2920" s="805">
        <v>24.75</v>
      </c>
      <c r="J2920" s="805">
        <v>1847.61</v>
      </c>
      <c r="K2920" s="805">
        <v>4292.9679999999998</v>
      </c>
    </row>
    <row r="2921" spans="3:11">
      <c r="C2921" s="861">
        <v>41693</v>
      </c>
      <c r="D2921" s="805">
        <v>24.42</v>
      </c>
      <c r="E2921" s="805">
        <v>4.66</v>
      </c>
      <c r="F2921" s="806">
        <v>3.69</v>
      </c>
      <c r="G2921" s="805">
        <v>3.54177648919346</v>
      </c>
      <c r="H2921" s="805">
        <v>58.55</v>
      </c>
      <c r="I2921" s="805">
        <v>25.08</v>
      </c>
      <c r="J2921" s="805">
        <v>1836.25</v>
      </c>
      <c r="K2921" s="805">
        <v>4263.41</v>
      </c>
    </row>
    <row r="2922" spans="3:11">
      <c r="C2922" s="861">
        <v>41692</v>
      </c>
      <c r="D2922" s="805">
        <v>24.42</v>
      </c>
      <c r="E2922" s="805">
        <v>4.66</v>
      </c>
      <c r="F2922" s="806">
        <v>3.69</v>
      </c>
      <c r="G2922" s="805">
        <v>3.54177648919346</v>
      </c>
      <c r="H2922" s="805">
        <v>58.55</v>
      </c>
      <c r="I2922" s="805">
        <v>25.08</v>
      </c>
      <c r="J2922" s="805">
        <v>1836.25</v>
      </c>
      <c r="K2922" s="805">
        <v>4263.41</v>
      </c>
    </row>
    <row r="2923" spans="3:11">
      <c r="C2923" s="861">
        <v>41691</v>
      </c>
      <c r="D2923" s="805">
        <v>24.42</v>
      </c>
      <c r="E2923" s="805">
        <v>4.66</v>
      </c>
      <c r="F2923" s="806">
        <v>3.69</v>
      </c>
      <c r="G2923" s="805">
        <v>3.54177648919346</v>
      </c>
      <c r="H2923" s="805">
        <v>58.55</v>
      </c>
      <c r="I2923" s="805">
        <v>25.08</v>
      </c>
      <c r="J2923" s="805">
        <v>1836.25</v>
      </c>
      <c r="K2923" s="805">
        <v>4263.41</v>
      </c>
    </row>
    <row r="2924" spans="3:11">
      <c r="C2924" s="861">
        <v>41690</v>
      </c>
      <c r="D2924" s="805">
        <v>24.74</v>
      </c>
      <c r="E2924" s="805">
        <v>4.6950000000000003</v>
      </c>
      <c r="F2924" s="806">
        <v>3.69</v>
      </c>
      <c r="G2924" s="805">
        <v>3.50906095551895</v>
      </c>
      <c r="H2924" s="805">
        <v>59</v>
      </c>
      <c r="I2924" s="805">
        <v>25.49</v>
      </c>
      <c r="J2924" s="805">
        <v>1839.78</v>
      </c>
      <c r="K2924" s="805">
        <v>4267.5450000000001</v>
      </c>
    </row>
    <row r="2925" spans="3:11">
      <c r="C2925" s="861">
        <v>41689</v>
      </c>
      <c r="D2925" s="805">
        <v>24.5</v>
      </c>
      <c r="E2925" s="805">
        <v>4.5350000000000001</v>
      </c>
      <c r="F2925" s="806">
        <v>3.72</v>
      </c>
      <c r="G2925" s="805">
        <v>3.5672997522708498</v>
      </c>
      <c r="H2925" s="805">
        <v>57.7</v>
      </c>
      <c r="I2925" s="805">
        <v>25.42</v>
      </c>
      <c r="J2925" s="805">
        <v>1828.75</v>
      </c>
      <c r="K2925" s="805">
        <v>4237.9539999999997</v>
      </c>
    </row>
    <row r="2926" spans="3:11">
      <c r="C2926" s="861">
        <v>41688</v>
      </c>
      <c r="D2926" s="805">
        <v>24.76</v>
      </c>
      <c r="E2926" s="805">
        <v>4.4749999999999996</v>
      </c>
      <c r="F2926" s="806">
        <v>3.7</v>
      </c>
      <c r="G2926" s="805">
        <v>3.5672997522708498</v>
      </c>
      <c r="H2926" s="805">
        <v>58.37</v>
      </c>
      <c r="I2926" s="805">
        <v>25.42</v>
      </c>
      <c r="J2926" s="805">
        <v>1840.76</v>
      </c>
      <c r="K2926" s="805">
        <v>4272.7830000000004</v>
      </c>
    </row>
    <row r="2927" spans="3:11">
      <c r="C2927" s="861">
        <v>41687</v>
      </c>
      <c r="D2927" s="805">
        <v>24.754999999999999</v>
      </c>
      <c r="E2927" s="805">
        <v>4.4775</v>
      </c>
      <c r="F2927" s="806">
        <v>3.69</v>
      </c>
      <c r="G2927" s="805">
        <v>3.5891498511412498</v>
      </c>
      <c r="H2927" s="805">
        <v>58.08</v>
      </c>
      <c r="I2927" s="805">
        <v>25.08</v>
      </c>
      <c r="J2927" s="805">
        <v>1838.63</v>
      </c>
      <c r="K2927" s="805">
        <v>4244.0249999999996</v>
      </c>
    </row>
    <row r="2928" spans="3:11">
      <c r="C2928" s="861">
        <v>41686</v>
      </c>
      <c r="D2928" s="805">
        <v>24.754999999999999</v>
      </c>
      <c r="E2928" s="805">
        <v>4.4775</v>
      </c>
      <c r="F2928" s="806">
        <v>3.69</v>
      </c>
      <c r="G2928" s="805">
        <v>3.5543064969416398</v>
      </c>
      <c r="H2928" s="805">
        <v>58.08</v>
      </c>
      <c r="I2928" s="805">
        <v>25.08</v>
      </c>
      <c r="J2928" s="805">
        <v>1838.63</v>
      </c>
      <c r="K2928" s="805">
        <v>4244.0249999999996</v>
      </c>
    </row>
    <row r="2929" spans="3:11">
      <c r="C2929" s="861">
        <v>41685</v>
      </c>
      <c r="D2929" s="805">
        <v>24.754999999999999</v>
      </c>
      <c r="E2929" s="805">
        <v>4.4775</v>
      </c>
      <c r="F2929" s="806">
        <v>3.69</v>
      </c>
      <c r="G2929" s="805">
        <v>3.5543064969416398</v>
      </c>
      <c r="H2929" s="805">
        <v>58.08</v>
      </c>
      <c r="I2929" s="805">
        <v>25.08</v>
      </c>
      <c r="J2929" s="805">
        <v>1838.63</v>
      </c>
      <c r="K2929" s="805">
        <v>4244.0249999999996</v>
      </c>
    </row>
    <row r="2930" spans="3:11">
      <c r="C2930" s="861">
        <v>41684</v>
      </c>
      <c r="D2930" s="805">
        <v>24.754999999999999</v>
      </c>
      <c r="E2930" s="805">
        <v>4.4775</v>
      </c>
      <c r="F2930" s="806">
        <v>3.69</v>
      </c>
      <c r="G2930" s="805">
        <v>3.5543064969416398</v>
      </c>
      <c r="H2930" s="805">
        <v>58.08</v>
      </c>
      <c r="I2930" s="805">
        <v>25.08</v>
      </c>
      <c r="J2930" s="805">
        <v>1838.63</v>
      </c>
      <c r="K2930" s="805">
        <v>4244.0249999999996</v>
      </c>
    </row>
    <row r="2931" spans="3:11">
      <c r="C2931" s="861">
        <v>41683</v>
      </c>
      <c r="D2931" s="805">
        <v>24.7</v>
      </c>
      <c r="E2931" s="805">
        <v>4.34</v>
      </c>
      <c r="F2931" s="806">
        <v>3.7</v>
      </c>
      <c r="G2931" s="805">
        <v>3.46386038993171</v>
      </c>
      <c r="H2931" s="805">
        <v>59.08</v>
      </c>
      <c r="I2931" s="805">
        <v>24.91</v>
      </c>
      <c r="J2931" s="805">
        <v>1829.83</v>
      </c>
      <c r="K2931" s="805">
        <v>4240.6719999999996</v>
      </c>
    </row>
    <row r="2932" spans="3:11">
      <c r="C2932" s="861">
        <v>41682</v>
      </c>
      <c r="D2932" s="805">
        <v>24.55</v>
      </c>
      <c r="E2932" s="805">
        <v>4.2074999999999996</v>
      </c>
      <c r="F2932" s="806">
        <v>3.69</v>
      </c>
      <c r="G2932" s="805">
        <v>3.4687809712586701</v>
      </c>
      <c r="H2932" s="805">
        <v>58.94</v>
      </c>
      <c r="I2932" s="805">
        <v>24.89</v>
      </c>
      <c r="J2932" s="805">
        <v>1819.26</v>
      </c>
      <c r="K2932" s="805">
        <v>4201.2879999999996</v>
      </c>
    </row>
    <row r="2933" spans="3:11">
      <c r="C2933" s="861">
        <v>41681</v>
      </c>
      <c r="D2933" s="805">
        <v>24.47</v>
      </c>
      <c r="E2933" s="805">
        <v>4.0625</v>
      </c>
      <c r="F2933" s="806">
        <v>3.7</v>
      </c>
      <c r="G2933" s="805">
        <v>3.4482758620689702</v>
      </c>
      <c r="H2933" s="805">
        <v>58.07</v>
      </c>
      <c r="I2933" s="805">
        <v>24.72</v>
      </c>
      <c r="J2933" s="805">
        <v>1819.75</v>
      </c>
      <c r="K2933" s="805">
        <v>4191.0450000000001</v>
      </c>
    </row>
    <row r="2934" spans="3:11">
      <c r="C2934" s="861">
        <v>41680</v>
      </c>
      <c r="D2934" s="805">
        <v>24.29</v>
      </c>
      <c r="E2934" s="805">
        <v>3.98</v>
      </c>
      <c r="F2934" s="806">
        <v>3.63</v>
      </c>
      <c r="G2934" s="805">
        <v>3.39709762532982</v>
      </c>
      <c r="H2934" s="805">
        <v>56.31</v>
      </c>
      <c r="I2934" s="805">
        <v>24.87</v>
      </c>
      <c r="J2934" s="805">
        <v>1799.84</v>
      </c>
      <c r="K2934" s="805">
        <v>4148.174</v>
      </c>
    </row>
    <row r="2935" spans="3:11">
      <c r="C2935" s="861">
        <v>41679</v>
      </c>
      <c r="D2935" s="805">
        <v>24.204999999999998</v>
      </c>
      <c r="E2935" s="805">
        <v>3.9674999999999998</v>
      </c>
      <c r="F2935" s="806">
        <v>3.47</v>
      </c>
      <c r="G2935" s="805">
        <v>3.4329097210760899</v>
      </c>
      <c r="H2935" s="805">
        <v>56.57</v>
      </c>
      <c r="I2935" s="805">
        <v>24.52</v>
      </c>
      <c r="J2935" s="805">
        <v>1797.02</v>
      </c>
      <c r="K2935" s="805">
        <v>4125.8609999999999</v>
      </c>
    </row>
    <row r="2936" spans="3:11">
      <c r="C2936" s="861">
        <v>41678</v>
      </c>
      <c r="D2936" s="805">
        <v>24.204999999999998</v>
      </c>
      <c r="E2936" s="805">
        <v>3.9674999999999998</v>
      </c>
      <c r="F2936" s="806">
        <v>3.47</v>
      </c>
      <c r="G2936" s="805">
        <v>3.4329097210760899</v>
      </c>
      <c r="H2936" s="805">
        <v>56.57</v>
      </c>
      <c r="I2936" s="805">
        <v>24.52</v>
      </c>
      <c r="J2936" s="805">
        <v>1797.02</v>
      </c>
      <c r="K2936" s="805">
        <v>4125.8609999999999</v>
      </c>
    </row>
    <row r="2937" spans="3:11">
      <c r="C2937" s="861">
        <v>41677</v>
      </c>
      <c r="D2937" s="805">
        <v>24.204999999999998</v>
      </c>
      <c r="E2937" s="805">
        <v>3.9674999999999998</v>
      </c>
      <c r="F2937" s="806">
        <v>3.47</v>
      </c>
      <c r="G2937" s="805">
        <v>3.4329097210760899</v>
      </c>
      <c r="H2937" s="805">
        <v>56.57</v>
      </c>
      <c r="I2937" s="805">
        <v>24.52</v>
      </c>
      <c r="J2937" s="805">
        <v>1797.02</v>
      </c>
      <c r="K2937" s="805">
        <v>4125.8609999999999</v>
      </c>
    </row>
    <row r="2938" spans="3:11">
      <c r="C2938" s="861">
        <v>41676</v>
      </c>
      <c r="D2938" s="805">
        <v>23.99</v>
      </c>
      <c r="E2938" s="805">
        <v>3.91</v>
      </c>
      <c r="F2938" s="806">
        <v>3.41</v>
      </c>
      <c r="G2938" s="805">
        <v>3.3668922264400098</v>
      </c>
      <c r="H2938" s="805">
        <v>55.2</v>
      </c>
      <c r="I2938" s="805">
        <v>24.11</v>
      </c>
      <c r="J2938" s="805">
        <v>1773.43</v>
      </c>
      <c r="K2938" s="805">
        <v>4057.1219999999998</v>
      </c>
    </row>
    <row r="2939" spans="3:11">
      <c r="C2939" s="861">
        <v>41675</v>
      </c>
      <c r="D2939" s="805">
        <v>23.52</v>
      </c>
      <c r="E2939" s="805">
        <v>3.86</v>
      </c>
      <c r="F2939" s="806">
        <v>3.31</v>
      </c>
      <c r="G2939" s="805">
        <v>3.3157373804025099</v>
      </c>
      <c r="H2939" s="805">
        <v>53.98</v>
      </c>
      <c r="I2939" s="805">
        <v>23.31</v>
      </c>
      <c r="J2939" s="805">
        <v>1751.64</v>
      </c>
      <c r="K2939" s="805">
        <v>4011.5520000000001</v>
      </c>
    </row>
    <row r="2940" spans="3:11">
      <c r="C2940" s="861">
        <v>41674</v>
      </c>
      <c r="D2940" s="805">
        <v>23.82</v>
      </c>
      <c r="E2940" s="805">
        <v>3.895</v>
      </c>
      <c r="F2940" s="806">
        <v>3.37</v>
      </c>
      <c r="G2940" s="805">
        <v>3.4613482775671698</v>
      </c>
      <c r="H2940" s="805">
        <v>54.01</v>
      </c>
      <c r="I2940" s="805">
        <v>23</v>
      </c>
      <c r="J2940" s="805">
        <v>1755.2</v>
      </c>
      <c r="K2940" s="805">
        <v>4031.52</v>
      </c>
    </row>
    <row r="2941" spans="3:11">
      <c r="C2941" s="861">
        <v>41673</v>
      </c>
      <c r="D2941" s="805">
        <v>23.95</v>
      </c>
      <c r="E2941" s="805">
        <v>3.8725000000000001</v>
      </c>
      <c r="F2941" s="806">
        <v>3.33</v>
      </c>
      <c r="G2941" s="805">
        <v>3.4613482775671698</v>
      </c>
      <c r="H2941" s="805">
        <v>53.26</v>
      </c>
      <c r="I2941" s="805">
        <v>22.81</v>
      </c>
      <c r="J2941" s="805">
        <v>1741.89</v>
      </c>
      <c r="K2941" s="805">
        <v>3996.9580000000001</v>
      </c>
    </row>
    <row r="2942" spans="3:11">
      <c r="C2942" s="861">
        <v>41672</v>
      </c>
      <c r="D2942" s="805">
        <v>24.54</v>
      </c>
      <c r="E2942" s="805">
        <v>3.9249999999999998</v>
      </c>
      <c r="F2942" s="806">
        <v>3.43</v>
      </c>
      <c r="G2942" s="805">
        <v>3.4613482775671698</v>
      </c>
      <c r="H2942" s="805">
        <v>54.64</v>
      </c>
      <c r="I2942" s="805">
        <v>23.04</v>
      </c>
      <c r="J2942" s="805">
        <v>1782.59</v>
      </c>
      <c r="K2942" s="805">
        <v>4103.8770000000004</v>
      </c>
    </row>
    <row r="2943" spans="3:11">
      <c r="C2943" s="861">
        <v>41671</v>
      </c>
      <c r="D2943" s="805">
        <v>24.54</v>
      </c>
      <c r="E2943" s="805">
        <v>3.9249999999999998</v>
      </c>
      <c r="F2943" s="806">
        <v>3.43</v>
      </c>
      <c r="G2943" s="805">
        <v>3.4613482775671698</v>
      </c>
      <c r="H2943" s="805">
        <v>54.64</v>
      </c>
      <c r="I2943" s="805">
        <v>23.04</v>
      </c>
      <c r="J2943" s="805">
        <v>1782.59</v>
      </c>
      <c r="K2943" s="805">
        <v>4103.8770000000004</v>
      </c>
    </row>
    <row r="2944" spans="3:11">
      <c r="C2944" s="861">
        <v>41670</v>
      </c>
      <c r="D2944" s="805">
        <v>24.54</v>
      </c>
      <c r="E2944" s="805">
        <v>3.9249999999999998</v>
      </c>
      <c r="F2944" s="806">
        <v>3.43</v>
      </c>
      <c r="G2944" s="805">
        <v>3.4613482775671698</v>
      </c>
      <c r="H2944" s="805">
        <v>54.64</v>
      </c>
      <c r="I2944" s="805">
        <v>23.04</v>
      </c>
      <c r="J2944" s="805">
        <v>1782.59</v>
      </c>
      <c r="K2944" s="805">
        <v>4103.8770000000004</v>
      </c>
    </row>
    <row r="2945" spans="3:11">
      <c r="C2945" s="861">
        <v>41669</v>
      </c>
      <c r="D2945" s="805">
        <v>24.74</v>
      </c>
      <c r="E2945" s="805">
        <v>3.93</v>
      </c>
      <c r="F2945" s="806">
        <v>3.48</v>
      </c>
      <c r="G2945" s="805">
        <v>3.4613482775671698</v>
      </c>
      <c r="H2945" s="805">
        <v>55.05</v>
      </c>
      <c r="I2945" s="805">
        <v>23.45</v>
      </c>
      <c r="J2945" s="805">
        <v>1794.19</v>
      </c>
      <c r="K2945" s="805">
        <v>4123.125</v>
      </c>
    </row>
    <row r="2946" spans="3:11">
      <c r="C2946" s="861">
        <v>41668</v>
      </c>
      <c r="D2946" s="805">
        <v>24.68</v>
      </c>
      <c r="E2946" s="805">
        <v>3.8650000000000002</v>
      </c>
      <c r="F2946" s="806">
        <v>3.48</v>
      </c>
      <c r="G2946" s="805">
        <v>3.4613482775671698</v>
      </c>
      <c r="H2946" s="805">
        <v>54.07</v>
      </c>
      <c r="I2946" s="805">
        <v>22.72</v>
      </c>
      <c r="J2946" s="805">
        <v>1774.2</v>
      </c>
      <c r="K2946" s="805">
        <v>4051.4340000000002</v>
      </c>
    </row>
    <row r="2947" spans="3:11">
      <c r="C2947" s="861">
        <v>41667</v>
      </c>
      <c r="D2947" s="805">
        <v>24.9</v>
      </c>
      <c r="E2947" s="805">
        <v>3.9024999999999999</v>
      </c>
      <c r="F2947" s="806">
        <v>3.54</v>
      </c>
      <c r="G2947" s="805">
        <v>3.4613482775671698</v>
      </c>
      <c r="H2947" s="805">
        <v>54.72</v>
      </c>
      <c r="I2947" s="805">
        <v>23.05</v>
      </c>
      <c r="J2947" s="805">
        <v>1792.5</v>
      </c>
      <c r="K2947" s="805">
        <v>4097.9620000000004</v>
      </c>
    </row>
    <row r="2948" spans="3:11">
      <c r="C2948" s="861">
        <v>41666</v>
      </c>
      <c r="D2948" s="805">
        <v>24.72</v>
      </c>
      <c r="E2948" s="805">
        <v>3.8650000000000002</v>
      </c>
      <c r="F2948" s="806">
        <v>3.41</v>
      </c>
      <c r="G2948" s="805">
        <v>3.4613482775671698</v>
      </c>
      <c r="H2948" s="805">
        <v>54.45</v>
      </c>
      <c r="I2948" s="805">
        <v>22.9</v>
      </c>
      <c r="J2948" s="805">
        <v>1781.56</v>
      </c>
      <c r="K2948" s="805">
        <v>4083.6089999999999</v>
      </c>
    </row>
    <row r="2949" spans="3:11">
      <c r="C2949" s="861">
        <v>41665</v>
      </c>
      <c r="D2949" s="805">
        <v>24.81</v>
      </c>
      <c r="E2949" s="805">
        <v>3.89</v>
      </c>
      <c r="F2949" s="806">
        <v>3.47</v>
      </c>
      <c r="G2949" s="805">
        <v>3.57308277641765</v>
      </c>
      <c r="H2949" s="805">
        <v>54.49</v>
      </c>
      <c r="I2949" s="805">
        <v>22.92</v>
      </c>
      <c r="J2949" s="805">
        <v>1790.29</v>
      </c>
      <c r="K2949" s="805">
        <v>4128.1729999999998</v>
      </c>
    </row>
    <row r="2950" spans="3:11">
      <c r="C2950" s="861">
        <v>41664</v>
      </c>
      <c r="D2950" s="805">
        <v>24.81</v>
      </c>
      <c r="E2950" s="805">
        <v>3.89</v>
      </c>
      <c r="F2950" s="806">
        <v>3.47</v>
      </c>
      <c r="G2950" s="805">
        <v>3.57308277641765</v>
      </c>
      <c r="H2950" s="805">
        <v>54.49</v>
      </c>
      <c r="I2950" s="805">
        <v>22.92</v>
      </c>
      <c r="J2950" s="805">
        <v>1790.29</v>
      </c>
      <c r="K2950" s="805">
        <v>4128.1729999999998</v>
      </c>
    </row>
    <row r="2951" spans="3:11">
      <c r="C2951" s="861">
        <v>41663</v>
      </c>
      <c r="D2951" s="805">
        <v>24.81</v>
      </c>
      <c r="E2951" s="805">
        <v>3.89</v>
      </c>
      <c r="F2951" s="806">
        <v>3.47</v>
      </c>
      <c r="G2951" s="805">
        <v>3.57308277641765</v>
      </c>
      <c r="H2951" s="805">
        <v>54.49</v>
      </c>
      <c r="I2951" s="805">
        <v>22.92</v>
      </c>
      <c r="J2951" s="805">
        <v>1790.29</v>
      </c>
      <c r="K2951" s="805">
        <v>4128.1729999999998</v>
      </c>
    </row>
    <row r="2952" spans="3:11">
      <c r="C2952" s="861">
        <v>41662</v>
      </c>
      <c r="D2952" s="805">
        <v>25.13</v>
      </c>
      <c r="E2952" s="805">
        <v>3.9925000000000002</v>
      </c>
      <c r="F2952" s="806">
        <v>3.62</v>
      </c>
      <c r="G2952" s="805">
        <v>3.5596026490066199</v>
      </c>
      <c r="H2952" s="805">
        <v>56.05</v>
      </c>
      <c r="I2952" s="805">
        <v>23.64</v>
      </c>
      <c r="J2952" s="805">
        <v>1828.46</v>
      </c>
      <c r="K2952" s="805">
        <v>4218.875</v>
      </c>
    </row>
    <row r="2953" spans="3:11">
      <c r="C2953" s="861">
        <v>41661</v>
      </c>
      <c r="D2953" s="805">
        <v>25.31</v>
      </c>
      <c r="E2953" s="805">
        <v>4.0075000000000003</v>
      </c>
      <c r="F2953" s="806">
        <v>3.67</v>
      </c>
      <c r="G2953" s="805">
        <v>3.5560701290109198</v>
      </c>
      <c r="H2953" s="805">
        <v>57.15</v>
      </c>
      <c r="I2953" s="805">
        <v>23.65</v>
      </c>
      <c r="J2953" s="805">
        <v>1844.86</v>
      </c>
      <c r="K2953" s="805">
        <v>4243</v>
      </c>
    </row>
    <row r="2954" spans="3:11">
      <c r="C2954" s="861">
        <v>41660</v>
      </c>
      <c r="D2954" s="805">
        <v>25.59</v>
      </c>
      <c r="E2954" s="805">
        <v>4.0125000000000002</v>
      </c>
      <c r="F2954" s="806">
        <v>4.17</v>
      </c>
      <c r="G2954" s="805">
        <v>3.52264082294182</v>
      </c>
      <c r="H2954" s="805">
        <v>56.11</v>
      </c>
      <c r="I2954" s="805">
        <v>23.12</v>
      </c>
      <c r="J2954" s="805">
        <v>1843.8</v>
      </c>
      <c r="K2954" s="805">
        <v>4225.76</v>
      </c>
    </row>
    <row r="2955" spans="3:11">
      <c r="C2955" s="861">
        <v>41659</v>
      </c>
      <c r="D2955" s="805">
        <v>25.85</v>
      </c>
      <c r="E2955" s="805">
        <v>3.9975000000000001</v>
      </c>
      <c r="F2955" s="806">
        <v>4.18</v>
      </c>
      <c r="G2955" s="805">
        <v>3.5714285714285698</v>
      </c>
      <c r="H2955" s="805">
        <v>56.14</v>
      </c>
      <c r="I2955" s="805">
        <v>22.38</v>
      </c>
      <c r="J2955" s="805">
        <v>1838.7</v>
      </c>
      <c r="K2955" s="805">
        <v>4197.5820000000003</v>
      </c>
    </row>
    <row r="2956" spans="3:11">
      <c r="C2956" s="861">
        <v>41658</v>
      </c>
      <c r="D2956" s="805">
        <v>25.85</v>
      </c>
      <c r="E2956" s="805">
        <v>3.9975000000000001</v>
      </c>
      <c r="F2956" s="806">
        <v>4.18</v>
      </c>
      <c r="G2956" s="805">
        <v>3.5702424443706402</v>
      </c>
      <c r="H2956" s="805">
        <v>56.14</v>
      </c>
      <c r="I2956" s="805">
        <v>22.38</v>
      </c>
      <c r="J2956" s="805">
        <v>1838.7</v>
      </c>
      <c r="K2956" s="805">
        <v>4197.5820000000003</v>
      </c>
    </row>
    <row r="2957" spans="3:11">
      <c r="C2957" s="861">
        <v>41657</v>
      </c>
      <c r="D2957" s="805">
        <v>25.85</v>
      </c>
      <c r="E2957" s="805">
        <v>3.9975000000000001</v>
      </c>
      <c r="F2957" s="806">
        <v>4.18</v>
      </c>
      <c r="G2957" s="805">
        <v>3.5702424443706402</v>
      </c>
      <c r="H2957" s="805">
        <v>56.14</v>
      </c>
      <c r="I2957" s="805">
        <v>22.38</v>
      </c>
      <c r="J2957" s="805">
        <v>1838.7</v>
      </c>
      <c r="K2957" s="805">
        <v>4197.5820000000003</v>
      </c>
    </row>
    <row r="2958" spans="3:11">
      <c r="C2958" s="861">
        <v>41656</v>
      </c>
      <c r="D2958" s="805">
        <v>25.85</v>
      </c>
      <c r="E2958" s="805">
        <v>3.9975000000000001</v>
      </c>
      <c r="F2958" s="806">
        <v>4.18</v>
      </c>
      <c r="G2958" s="805">
        <v>3.5702424443706402</v>
      </c>
      <c r="H2958" s="805">
        <v>56.14</v>
      </c>
      <c r="I2958" s="805">
        <v>22.38</v>
      </c>
      <c r="J2958" s="805">
        <v>1838.7</v>
      </c>
      <c r="K2958" s="805">
        <v>4197.5820000000003</v>
      </c>
    </row>
    <row r="2959" spans="3:11">
      <c r="C2959" s="861">
        <v>41655</v>
      </c>
      <c r="D2959" s="805">
        <v>26.54</v>
      </c>
      <c r="E2959" s="805">
        <v>4.0149999999999997</v>
      </c>
      <c r="F2959" s="806">
        <v>4.38</v>
      </c>
      <c r="G2959" s="805">
        <v>3.55919236270499</v>
      </c>
      <c r="H2959" s="805">
        <v>55.43</v>
      </c>
      <c r="I2959" s="805">
        <v>23.13</v>
      </c>
      <c r="J2959" s="805">
        <v>1845.89</v>
      </c>
      <c r="K2959" s="805">
        <v>4218.6880000000001</v>
      </c>
    </row>
    <row r="2960" spans="3:11">
      <c r="C2960" s="861">
        <v>41654</v>
      </c>
      <c r="D2960" s="805">
        <v>26.67</v>
      </c>
      <c r="E2960" s="805">
        <v>4.0025000000000004</v>
      </c>
      <c r="F2960" s="806">
        <v>4.47</v>
      </c>
      <c r="G2960" s="805">
        <v>3.4909235986435299</v>
      </c>
      <c r="H2960" s="805">
        <v>56.97</v>
      </c>
      <c r="I2960" s="805">
        <v>23.33</v>
      </c>
      <c r="J2960" s="805">
        <v>1848.38</v>
      </c>
      <c r="K2960" s="805">
        <v>4214.884</v>
      </c>
    </row>
    <row r="2961" spans="3:11">
      <c r="C2961" s="861">
        <v>41653</v>
      </c>
      <c r="D2961" s="805">
        <v>26.51</v>
      </c>
      <c r="E2961" s="805">
        <v>3.96</v>
      </c>
      <c r="F2961" s="806">
        <v>4.3</v>
      </c>
      <c r="G2961" s="805">
        <v>3.4459796903612498</v>
      </c>
      <c r="H2961" s="805">
        <v>55.27</v>
      </c>
      <c r="I2961" s="805">
        <v>23.67</v>
      </c>
      <c r="J2961" s="805">
        <v>1838.88</v>
      </c>
      <c r="K2961" s="805">
        <v>4183.0159999999996</v>
      </c>
    </row>
    <row r="2962" spans="3:11">
      <c r="C2962" s="861">
        <v>41652</v>
      </c>
      <c r="D2962" s="805">
        <v>25.5</v>
      </c>
      <c r="E2962" s="805">
        <v>3.84</v>
      </c>
      <c r="F2962" s="806">
        <v>4.13</v>
      </c>
      <c r="G2962" s="805">
        <v>3.43333333333333</v>
      </c>
      <c r="H2962" s="805">
        <v>52.64</v>
      </c>
      <c r="I2962" s="805">
        <v>23.33</v>
      </c>
      <c r="J2962" s="805">
        <v>1819.2</v>
      </c>
      <c r="K2962" s="805">
        <v>4113.3040000000001</v>
      </c>
    </row>
    <row r="2963" spans="3:11">
      <c r="C2963" s="861">
        <v>41651</v>
      </c>
      <c r="D2963" s="805">
        <v>25.53</v>
      </c>
      <c r="E2963" s="805">
        <v>3.9325000000000001</v>
      </c>
      <c r="F2963" s="806">
        <v>4.17</v>
      </c>
      <c r="G2963" s="805">
        <v>3.4017008504252102</v>
      </c>
      <c r="H2963" s="805">
        <v>53.3</v>
      </c>
      <c r="I2963" s="805">
        <v>23.71</v>
      </c>
      <c r="J2963" s="805">
        <v>1842.37</v>
      </c>
      <c r="K2963" s="805">
        <v>4174.665</v>
      </c>
    </row>
    <row r="2964" spans="3:11">
      <c r="C2964" s="861">
        <v>41650</v>
      </c>
      <c r="D2964" s="805">
        <v>25.53</v>
      </c>
      <c r="E2964" s="805">
        <v>3.9325000000000001</v>
      </c>
      <c r="F2964" s="806">
        <v>4.17</v>
      </c>
      <c r="G2964" s="805">
        <v>3.4017008504252102</v>
      </c>
      <c r="H2964" s="805">
        <v>53.3</v>
      </c>
      <c r="I2964" s="805">
        <v>23.71</v>
      </c>
      <c r="J2964" s="805">
        <v>1842.37</v>
      </c>
      <c r="K2964" s="805">
        <v>4174.665</v>
      </c>
    </row>
    <row r="2965" spans="3:11">
      <c r="C2965" s="861">
        <v>41649</v>
      </c>
      <c r="D2965" s="805">
        <v>25.53</v>
      </c>
      <c r="E2965" s="805">
        <v>3.9325000000000001</v>
      </c>
      <c r="F2965" s="806">
        <v>4.17</v>
      </c>
      <c r="G2965" s="805">
        <v>3.4017008504252102</v>
      </c>
      <c r="H2965" s="805">
        <v>53.3</v>
      </c>
      <c r="I2965" s="805">
        <v>23.71</v>
      </c>
      <c r="J2965" s="805">
        <v>1842.37</v>
      </c>
      <c r="K2965" s="805">
        <v>4174.665</v>
      </c>
    </row>
    <row r="2966" spans="3:11">
      <c r="C2966" s="861">
        <v>41648</v>
      </c>
      <c r="D2966" s="805">
        <v>25.31</v>
      </c>
      <c r="E2966" s="805">
        <v>3.9375</v>
      </c>
      <c r="F2966" s="806">
        <v>4.09</v>
      </c>
      <c r="G2966" s="805">
        <v>3.3621837549933402</v>
      </c>
      <c r="H2966" s="805">
        <v>53.23</v>
      </c>
      <c r="I2966" s="805">
        <v>23.24</v>
      </c>
      <c r="J2966" s="805">
        <v>1838.13</v>
      </c>
      <c r="K2966" s="805">
        <v>4156.1940000000004</v>
      </c>
    </row>
    <row r="2967" spans="3:11">
      <c r="C2967" s="861">
        <v>41647</v>
      </c>
      <c r="D2967" s="805">
        <v>25.43</v>
      </c>
      <c r="E2967" s="805">
        <v>4.09</v>
      </c>
      <c r="F2967" s="806">
        <v>4.18</v>
      </c>
      <c r="G2967" s="805">
        <v>3.4568721954462398</v>
      </c>
      <c r="H2967" s="805">
        <v>53.78</v>
      </c>
      <c r="I2967" s="805">
        <v>23.87</v>
      </c>
      <c r="J2967" s="805">
        <v>1837.49</v>
      </c>
      <c r="K2967" s="805">
        <v>4165.6109999999999</v>
      </c>
    </row>
    <row r="2968" spans="3:11">
      <c r="C2968" s="861">
        <v>41646</v>
      </c>
      <c r="D2968" s="805">
        <v>25.585000000000001</v>
      </c>
      <c r="E2968" s="805">
        <v>4.0350000000000001</v>
      </c>
      <c r="F2968" s="806">
        <v>4.18</v>
      </c>
      <c r="G2968" s="805">
        <v>3.3915211970074801</v>
      </c>
      <c r="H2968" s="805">
        <v>52.99</v>
      </c>
      <c r="I2968" s="805">
        <v>21.74</v>
      </c>
      <c r="J2968" s="805">
        <v>1837.88</v>
      </c>
      <c r="K2968" s="805">
        <v>4153.1819999999998</v>
      </c>
    </row>
    <row r="2969" spans="3:11">
      <c r="C2969" s="861">
        <v>41645</v>
      </c>
      <c r="D2969" s="805">
        <v>25.46</v>
      </c>
      <c r="E2969" s="805">
        <v>3.97</v>
      </c>
      <c r="F2969" s="806">
        <v>4.13</v>
      </c>
      <c r="G2969" s="805">
        <v>3.4143904063957402</v>
      </c>
      <c r="H2969" s="805">
        <v>52.49</v>
      </c>
      <c r="I2969" s="805">
        <v>20.67</v>
      </c>
      <c r="J2969" s="805">
        <v>1826.77</v>
      </c>
      <c r="K2969" s="805">
        <v>4113.6809999999996</v>
      </c>
    </row>
    <row r="2970" spans="3:11">
      <c r="C2970" s="861">
        <v>41644</v>
      </c>
      <c r="D2970" s="805">
        <v>25.78</v>
      </c>
      <c r="E2970" s="805">
        <v>3.9175</v>
      </c>
      <c r="F2970" s="806">
        <v>4</v>
      </c>
      <c r="G2970" s="805">
        <v>3.4223706176961599</v>
      </c>
      <c r="H2970" s="805">
        <v>52.85</v>
      </c>
      <c r="I2970" s="805">
        <v>20.97</v>
      </c>
      <c r="J2970" s="805">
        <v>1831.37</v>
      </c>
      <c r="K2970" s="805">
        <v>4131.9059999999999</v>
      </c>
    </row>
    <row r="2971" spans="3:11">
      <c r="C2971" s="861">
        <v>41643</v>
      </c>
      <c r="D2971" s="805">
        <v>25.78</v>
      </c>
      <c r="E2971" s="805">
        <v>3.9175</v>
      </c>
      <c r="F2971" s="806">
        <v>4</v>
      </c>
      <c r="G2971" s="805">
        <v>3.4223706176961599</v>
      </c>
      <c r="H2971" s="805">
        <v>52.85</v>
      </c>
      <c r="I2971" s="805">
        <v>20.97</v>
      </c>
      <c r="J2971" s="805">
        <v>1831.37</v>
      </c>
      <c r="K2971" s="805">
        <v>4131.9059999999999</v>
      </c>
    </row>
    <row r="2972" spans="3:11">
      <c r="C2972" s="861">
        <v>41642</v>
      </c>
      <c r="D2972" s="805">
        <v>25.78</v>
      </c>
      <c r="E2972" s="805">
        <v>3.9175</v>
      </c>
      <c r="F2972" s="806">
        <v>4</v>
      </c>
      <c r="G2972" s="805">
        <v>3.4223706176961599</v>
      </c>
      <c r="H2972" s="805">
        <v>52.85</v>
      </c>
      <c r="I2972" s="805">
        <v>20.97</v>
      </c>
      <c r="J2972" s="805">
        <v>1831.37</v>
      </c>
      <c r="K2972" s="805">
        <v>4131.9059999999999</v>
      </c>
    </row>
    <row r="2973" spans="3:11">
      <c r="C2973" s="861">
        <v>41641</v>
      </c>
      <c r="D2973" s="805">
        <v>25.79</v>
      </c>
      <c r="E2973" s="805">
        <v>3.9649999999999999</v>
      </c>
      <c r="F2973" s="806">
        <v>3.95</v>
      </c>
      <c r="G2973" s="805">
        <v>3.4955678207058001</v>
      </c>
      <c r="H2973" s="805">
        <v>52.65</v>
      </c>
      <c r="I2973" s="805">
        <v>21.66</v>
      </c>
      <c r="J2973" s="805">
        <v>1831.98</v>
      </c>
      <c r="K2973" s="805">
        <v>4143.0690000000004</v>
      </c>
    </row>
    <row r="2974" spans="3:11">
      <c r="C2974" s="861">
        <v>41640</v>
      </c>
      <c r="D2974" s="805">
        <v>25.954999999999998</v>
      </c>
      <c r="E2974" s="805">
        <v>4.0049999999999999</v>
      </c>
      <c r="F2974" s="806">
        <v>3.87</v>
      </c>
      <c r="G2974" s="805">
        <v>3.5384873385879598</v>
      </c>
      <c r="H2974" s="805">
        <v>52.89</v>
      </c>
      <c r="I2974" s="805">
        <v>21.76</v>
      </c>
      <c r="J2974" s="805">
        <v>1848.36</v>
      </c>
      <c r="K2974" s="805">
        <v>4176.59</v>
      </c>
    </row>
    <row r="2975" spans="3:11">
      <c r="C2975" s="861">
        <v>41639</v>
      </c>
      <c r="D2975" s="805">
        <v>25.954999999999998</v>
      </c>
      <c r="E2975" s="805">
        <v>4.0049999999999999</v>
      </c>
      <c r="F2975" s="806">
        <v>3.87</v>
      </c>
      <c r="G2975" s="805">
        <v>3.5384873385879598</v>
      </c>
      <c r="H2975" s="805">
        <v>52.89</v>
      </c>
      <c r="I2975" s="805">
        <v>21.76</v>
      </c>
      <c r="J2975" s="805">
        <v>1848.36</v>
      </c>
      <c r="K2975" s="805">
        <v>4176.59</v>
      </c>
    </row>
    <row r="2976" spans="3:11">
      <c r="C2976" s="861">
        <v>41638</v>
      </c>
      <c r="D2976" s="805">
        <v>25.85</v>
      </c>
      <c r="E2976" s="805">
        <v>3.9925000000000002</v>
      </c>
      <c r="F2976" s="806">
        <v>3.85</v>
      </c>
      <c r="G2976" s="805">
        <v>3.5439652290203898</v>
      </c>
      <c r="H2976" s="805">
        <v>52.7</v>
      </c>
      <c r="I2976" s="805">
        <v>21.3</v>
      </c>
      <c r="J2976" s="805">
        <v>1841.07</v>
      </c>
      <c r="K2976" s="805">
        <v>4154.1989999999996</v>
      </c>
    </row>
    <row r="2977" spans="3:11">
      <c r="C2977" s="861">
        <v>41637</v>
      </c>
      <c r="D2977" s="805">
        <v>25.6</v>
      </c>
      <c r="E2977" s="805">
        <v>3.94</v>
      </c>
      <c r="F2977" s="806">
        <v>3.78</v>
      </c>
      <c r="G2977" s="805">
        <v>3.4862385321100899</v>
      </c>
      <c r="H2977" s="805">
        <v>52.78</v>
      </c>
      <c r="I2977" s="805">
        <v>21.52</v>
      </c>
      <c r="J2977" s="805">
        <v>1841.4</v>
      </c>
      <c r="K2977" s="805">
        <v>4156.5940000000001</v>
      </c>
    </row>
    <row r="2978" spans="3:11">
      <c r="C2978" s="861">
        <v>41636</v>
      </c>
      <c r="D2978" s="805">
        <v>25.6</v>
      </c>
      <c r="E2978" s="805">
        <v>3.94</v>
      </c>
      <c r="F2978" s="806">
        <v>3.78</v>
      </c>
      <c r="G2978" s="805">
        <v>3.4862385321100899</v>
      </c>
      <c r="H2978" s="805">
        <v>52.78</v>
      </c>
      <c r="I2978" s="805">
        <v>21.52</v>
      </c>
      <c r="J2978" s="805">
        <v>1841.4</v>
      </c>
      <c r="K2978" s="805">
        <v>4156.5940000000001</v>
      </c>
    </row>
    <row r="2979" spans="3:11">
      <c r="C2979" s="861">
        <v>41635</v>
      </c>
      <c r="D2979" s="805">
        <v>25.6</v>
      </c>
      <c r="E2979" s="805">
        <v>3.94</v>
      </c>
      <c r="F2979" s="806">
        <v>3.78</v>
      </c>
      <c r="G2979" s="805">
        <v>3.4862385321100899</v>
      </c>
      <c r="H2979" s="805">
        <v>52.78</v>
      </c>
      <c r="I2979" s="805">
        <v>21.52</v>
      </c>
      <c r="J2979" s="805">
        <v>1841.4</v>
      </c>
      <c r="K2979" s="805">
        <v>4156.5940000000001</v>
      </c>
    </row>
    <row r="2980" spans="3:11">
      <c r="C2980" s="861">
        <v>41634</v>
      </c>
      <c r="D2980" s="805">
        <v>25.7</v>
      </c>
      <c r="E2980" s="805">
        <v>3.9175</v>
      </c>
      <c r="F2980" s="806">
        <v>3.8</v>
      </c>
      <c r="G2980" s="805">
        <v>3.4689793195463601</v>
      </c>
      <c r="H2980" s="805">
        <v>52.72</v>
      </c>
      <c r="I2980" s="805">
        <v>21.74</v>
      </c>
      <c r="J2980" s="805">
        <v>1842.02</v>
      </c>
      <c r="K2980" s="805">
        <v>4167.18</v>
      </c>
    </row>
    <row r="2981" spans="3:11">
      <c r="C2981" s="861">
        <v>41633</v>
      </c>
      <c r="D2981" s="805">
        <v>25.43</v>
      </c>
      <c r="E2981" s="805">
        <v>3.9550000000000001</v>
      </c>
      <c r="F2981" s="806">
        <v>3.77</v>
      </c>
      <c r="G2981" s="805">
        <v>3.43527999199546</v>
      </c>
      <c r="H2981" s="805">
        <v>52.62</v>
      </c>
      <c r="I2981" s="805">
        <v>21.82</v>
      </c>
      <c r="J2981" s="805">
        <v>1833.32</v>
      </c>
      <c r="K2981" s="805">
        <v>4155.4170000000004</v>
      </c>
    </row>
    <row r="2982" spans="3:11">
      <c r="C2982" s="861">
        <v>41632</v>
      </c>
      <c r="D2982" s="805">
        <v>25.43</v>
      </c>
      <c r="E2982" s="805">
        <v>3.9550000000000001</v>
      </c>
      <c r="F2982" s="806">
        <v>3.77</v>
      </c>
      <c r="G2982" s="805">
        <v>3.4299034299034301</v>
      </c>
      <c r="H2982" s="805">
        <v>52.62</v>
      </c>
      <c r="I2982" s="805">
        <v>21.82</v>
      </c>
      <c r="J2982" s="805">
        <v>1833.32</v>
      </c>
      <c r="K2982" s="805">
        <v>4155.4170000000004</v>
      </c>
    </row>
    <row r="2983" spans="3:11">
      <c r="C2983" s="861">
        <v>41631</v>
      </c>
      <c r="D2983" s="805">
        <v>25.32</v>
      </c>
      <c r="E2983" s="805">
        <v>3.9449999999999998</v>
      </c>
      <c r="F2983" s="806">
        <v>3.75</v>
      </c>
      <c r="G2983" s="805">
        <v>3.4724540901502499</v>
      </c>
      <c r="H2983" s="805">
        <v>52.06</v>
      </c>
      <c r="I2983" s="805">
        <v>21.49</v>
      </c>
      <c r="J2983" s="805">
        <v>1827.99</v>
      </c>
      <c r="K2983" s="805">
        <v>4148.9030000000002</v>
      </c>
    </row>
    <row r="2984" spans="3:11">
      <c r="C2984" s="861">
        <v>41630</v>
      </c>
      <c r="D2984" s="805">
        <v>25.055</v>
      </c>
      <c r="E2984" s="805">
        <v>3.9175</v>
      </c>
      <c r="F2984" s="806">
        <v>3.69</v>
      </c>
      <c r="G2984" s="805">
        <v>3.4136546184738998</v>
      </c>
      <c r="H2984" s="805">
        <v>51.65</v>
      </c>
      <c r="I2984" s="805">
        <v>22.17</v>
      </c>
      <c r="J2984" s="805">
        <v>1818.32</v>
      </c>
      <c r="K2984" s="805">
        <v>4104.741</v>
      </c>
    </row>
    <row r="2985" spans="3:11">
      <c r="C2985" s="861">
        <v>41629</v>
      </c>
      <c r="D2985" s="805">
        <v>25.055</v>
      </c>
      <c r="E2985" s="805">
        <v>3.9175</v>
      </c>
      <c r="F2985" s="806">
        <v>3.69</v>
      </c>
      <c r="G2985" s="805">
        <v>3.4136546184738998</v>
      </c>
      <c r="H2985" s="805">
        <v>51.65</v>
      </c>
      <c r="I2985" s="805">
        <v>22.17</v>
      </c>
      <c r="J2985" s="805">
        <v>1818.32</v>
      </c>
      <c r="K2985" s="805">
        <v>4104.741</v>
      </c>
    </row>
    <row r="2986" spans="3:11">
      <c r="C2986" s="861">
        <v>41628</v>
      </c>
      <c r="D2986" s="805">
        <v>25.055</v>
      </c>
      <c r="E2986" s="805">
        <v>3.9175</v>
      </c>
      <c r="F2986" s="806">
        <v>3.69</v>
      </c>
      <c r="G2986" s="805">
        <v>3.4136546184738998</v>
      </c>
      <c r="H2986" s="805">
        <v>51.65</v>
      </c>
      <c r="I2986" s="805">
        <v>22.17</v>
      </c>
      <c r="J2986" s="805">
        <v>1818.32</v>
      </c>
      <c r="K2986" s="805">
        <v>4104.741</v>
      </c>
    </row>
    <row r="2987" spans="3:11">
      <c r="C2987" s="861">
        <v>41627</v>
      </c>
      <c r="D2987" s="805">
        <v>25.14</v>
      </c>
      <c r="E2987" s="805">
        <v>3.8450000000000002</v>
      </c>
      <c r="F2987" s="806">
        <v>3.65</v>
      </c>
      <c r="G2987" s="805">
        <v>3.4367141659681502</v>
      </c>
      <c r="H2987" s="805">
        <v>51.44</v>
      </c>
      <c r="I2987" s="805">
        <v>21.62</v>
      </c>
      <c r="J2987" s="805">
        <v>1809.6</v>
      </c>
      <c r="K2987" s="805">
        <v>4058.1350000000002</v>
      </c>
    </row>
    <row r="2988" spans="3:11">
      <c r="C2988" s="861">
        <v>41626</v>
      </c>
      <c r="D2988" s="805">
        <v>25.15</v>
      </c>
      <c r="E2988" s="805">
        <v>3.83</v>
      </c>
      <c r="F2988" s="806">
        <v>3.65</v>
      </c>
      <c r="G2988" s="805">
        <v>3.4064080944350801</v>
      </c>
      <c r="H2988" s="805">
        <v>53.15</v>
      </c>
      <c r="I2988" s="805">
        <v>21.81</v>
      </c>
      <c r="J2988" s="805">
        <v>1810.65</v>
      </c>
      <c r="K2988" s="805">
        <v>4070.0639999999999</v>
      </c>
    </row>
    <row r="2989" spans="3:11">
      <c r="C2989" s="861">
        <v>41625</v>
      </c>
      <c r="D2989" s="805">
        <v>24.655000000000001</v>
      </c>
      <c r="E2989" s="805">
        <v>3.7774999999999999</v>
      </c>
      <c r="F2989" s="806">
        <v>3.65</v>
      </c>
      <c r="G2989" s="805">
        <v>3.4966216216216202</v>
      </c>
      <c r="H2989" s="805">
        <v>53.56</v>
      </c>
      <c r="I2989" s="805">
        <v>22.92</v>
      </c>
      <c r="J2989" s="805">
        <v>1781</v>
      </c>
      <c r="K2989" s="805">
        <v>4023.68</v>
      </c>
    </row>
    <row r="2990" spans="3:11">
      <c r="C2990" s="861">
        <v>41624</v>
      </c>
      <c r="D2990" s="805">
        <v>24.45</v>
      </c>
      <c r="E2990" s="805">
        <v>3.76</v>
      </c>
      <c r="F2990" s="806">
        <v>3.59</v>
      </c>
      <c r="G2990" s="805">
        <v>3.4424569692878801</v>
      </c>
      <c r="H2990" s="805">
        <v>50.1</v>
      </c>
      <c r="I2990" s="805">
        <v>22.78</v>
      </c>
      <c r="J2990" s="805">
        <v>1786.54</v>
      </c>
      <c r="K2990" s="805">
        <v>4029.518</v>
      </c>
    </row>
    <row r="2991" spans="3:11">
      <c r="C2991" s="861">
        <v>41623</v>
      </c>
      <c r="D2991" s="805">
        <v>24.29</v>
      </c>
      <c r="E2991" s="805">
        <v>3.7549999999999999</v>
      </c>
      <c r="F2991" s="806">
        <v>3.69</v>
      </c>
      <c r="G2991" s="805">
        <v>3.4606164961679999</v>
      </c>
      <c r="H2991" s="805">
        <v>45.65</v>
      </c>
      <c r="I2991" s="805">
        <v>23.08</v>
      </c>
      <c r="J2991" s="805">
        <v>1775.32</v>
      </c>
      <c r="K2991" s="805">
        <v>4000.9749999999999</v>
      </c>
    </row>
    <row r="2992" spans="3:11">
      <c r="C2992" s="861">
        <v>41622</v>
      </c>
      <c r="D2992" s="805">
        <v>24.29</v>
      </c>
      <c r="E2992" s="805">
        <v>3.7549999999999999</v>
      </c>
      <c r="F2992" s="806">
        <v>3.69</v>
      </c>
      <c r="G2992" s="805">
        <v>3.4606164961679999</v>
      </c>
      <c r="H2992" s="805">
        <v>45.65</v>
      </c>
      <c r="I2992" s="805">
        <v>23.08</v>
      </c>
      <c r="J2992" s="805">
        <v>1775.32</v>
      </c>
      <c r="K2992" s="805">
        <v>4000.9749999999999</v>
      </c>
    </row>
    <row r="2993" spans="3:11">
      <c r="C2993" s="861">
        <v>41621</v>
      </c>
      <c r="D2993" s="805">
        <v>24.29</v>
      </c>
      <c r="E2993" s="805">
        <v>3.7549999999999999</v>
      </c>
      <c r="F2993" s="806">
        <v>3.69</v>
      </c>
      <c r="G2993" s="805">
        <v>3.4606164961679999</v>
      </c>
      <c r="H2993" s="805">
        <v>45.65</v>
      </c>
      <c r="I2993" s="805">
        <v>23.08</v>
      </c>
      <c r="J2993" s="805">
        <v>1775.32</v>
      </c>
      <c r="K2993" s="805">
        <v>4000.9749999999999</v>
      </c>
    </row>
    <row r="2994" spans="3:11">
      <c r="C2994" s="861">
        <v>41620</v>
      </c>
      <c r="D2994" s="805">
        <v>24.47</v>
      </c>
      <c r="E2994" s="805">
        <v>3.7774999999999999</v>
      </c>
      <c r="F2994" s="806">
        <v>3.69</v>
      </c>
      <c r="G2994" s="805">
        <v>3.4814940003380102</v>
      </c>
      <c r="H2994" s="805">
        <v>45.75</v>
      </c>
      <c r="I2994" s="805">
        <v>22.54</v>
      </c>
      <c r="J2994" s="805">
        <v>1775.5</v>
      </c>
      <c r="K2994" s="805">
        <v>3998.4029999999998</v>
      </c>
    </row>
    <row r="2995" spans="3:11">
      <c r="C2995" s="861">
        <v>41619</v>
      </c>
      <c r="D2995" s="805">
        <v>24.42</v>
      </c>
      <c r="E2995" s="805">
        <v>3.8525</v>
      </c>
      <c r="F2995" s="806">
        <v>3.68</v>
      </c>
      <c r="G2995" s="805">
        <v>3.55269835899171</v>
      </c>
      <c r="H2995" s="805">
        <v>46.11</v>
      </c>
      <c r="I2995" s="805">
        <v>22.5</v>
      </c>
      <c r="J2995" s="805">
        <v>1782.22</v>
      </c>
      <c r="K2995" s="805">
        <v>4003.8130000000001</v>
      </c>
    </row>
    <row r="2996" spans="3:11">
      <c r="C2996" s="861">
        <v>41618</v>
      </c>
      <c r="D2996" s="805">
        <v>24.82</v>
      </c>
      <c r="E2996" s="805">
        <v>3.89</v>
      </c>
      <c r="F2996" s="806">
        <v>3.72</v>
      </c>
      <c r="G2996" s="805">
        <v>3.5200541546793001</v>
      </c>
      <c r="H2996" s="805">
        <v>46.6</v>
      </c>
      <c r="I2996" s="805">
        <v>23.14</v>
      </c>
      <c r="J2996" s="805">
        <v>1802.62</v>
      </c>
      <c r="K2996" s="805">
        <v>4060.49</v>
      </c>
    </row>
    <row r="2997" spans="3:11">
      <c r="C2997" s="861">
        <v>41617</v>
      </c>
      <c r="D2997" s="805">
        <v>24.93</v>
      </c>
      <c r="E2997" s="805">
        <v>3.8</v>
      </c>
      <c r="F2997" s="806">
        <v>3.63</v>
      </c>
      <c r="G2997" s="805">
        <v>3.55029585798817</v>
      </c>
      <c r="H2997" s="805">
        <v>47.37</v>
      </c>
      <c r="I2997" s="805">
        <v>23.12</v>
      </c>
      <c r="J2997" s="805">
        <v>1808.37</v>
      </c>
      <c r="K2997" s="805">
        <v>4068.7510000000002</v>
      </c>
    </row>
    <row r="2998" spans="3:11">
      <c r="C2998" s="861">
        <v>41616</v>
      </c>
      <c r="D2998" s="805">
        <v>24.82</v>
      </c>
      <c r="E2998" s="805">
        <v>3.8675000000000002</v>
      </c>
      <c r="F2998" s="806">
        <v>3.66</v>
      </c>
      <c r="G2998" s="805">
        <v>3.4797297297297298</v>
      </c>
      <c r="H2998" s="805">
        <v>46.96</v>
      </c>
      <c r="I2998" s="805">
        <v>22.31</v>
      </c>
      <c r="J2998" s="805">
        <v>1805.09</v>
      </c>
      <c r="K2998" s="805">
        <v>4062.5210000000002</v>
      </c>
    </row>
    <row r="2999" spans="3:11">
      <c r="C2999" s="861">
        <v>41615</v>
      </c>
      <c r="D2999" s="805">
        <v>24.82</v>
      </c>
      <c r="E2999" s="805">
        <v>3.8675000000000002</v>
      </c>
      <c r="F2999" s="806">
        <v>3.66</v>
      </c>
      <c r="G2999" s="805">
        <v>3.4797297297297298</v>
      </c>
      <c r="H2999" s="805">
        <v>46.96</v>
      </c>
      <c r="I2999" s="805">
        <v>22.31</v>
      </c>
      <c r="J2999" s="805">
        <v>1805.09</v>
      </c>
      <c r="K2999" s="805">
        <v>4062.5210000000002</v>
      </c>
    </row>
    <row r="3000" spans="3:11">
      <c r="C3000" s="861">
        <v>41614</v>
      </c>
      <c r="D3000" s="805">
        <v>24.82</v>
      </c>
      <c r="E3000" s="805">
        <v>3.8675000000000002</v>
      </c>
      <c r="F3000" s="806">
        <v>3.66</v>
      </c>
      <c r="G3000" s="805">
        <v>3.4797297297297298</v>
      </c>
      <c r="H3000" s="805">
        <v>46.96</v>
      </c>
      <c r="I3000" s="805">
        <v>22.31</v>
      </c>
      <c r="J3000" s="805">
        <v>1805.09</v>
      </c>
      <c r="K3000" s="805">
        <v>4062.5210000000002</v>
      </c>
    </row>
    <row r="3001" spans="3:11">
      <c r="C3001" s="861">
        <v>41613</v>
      </c>
      <c r="D3001" s="805">
        <v>24.26</v>
      </c>
      <c r="E3001" s="805">
        <v>3.9249999999999998</v>
      </c>
      <c r="F3001" s="806">
        <v>3.64</v>
      </c>
      <c r="G3001" s="805">
        <v>3.5147009124704298</v>
      </c>
      <c r="H3001" s="805">
        <v>47.59</v>
      </c>
      <c r="I3001" s="805">
        <v>21.65</v>
      </c>
      <c r="J3001" s="805">
        <v>1785.03</v>
      </c>
      <c r="K3001" s="805">
        <v>4033.165</v>
      </c>
    </row>
    <row r="3002" spans="3:11">
      <c r="C3002" s="861">
        <v>41612</v>
      </c>
      <c r="D3002" s="805">
        <v>23.74</v>
      </c>
      <c r="E3002" s="805">
        <v>3.99</v>
      </c>
      <c r="F3002" s="806">
        <v>3.57</v>
      </c>
      <c r="G3002" s="805">
        <v>3.5508961785593498</v>
      </c>
      <c r="H3002" s="805">
        <v>44.5</v>
      </c>
      <c r="I3002" s="805">
        <v>21.76</v>
      </c>
      <c r="J3002" s="805">
        <v>1792.81</v>
      </c>
      <c r="K3002" s="805">
        <v>4038.0010000000002</v>
      </c>
    </row>
    <row r="3003" spans="3:11">
      <c r="C3003" s="861">
        <v>41611</v>
      </c>
      <c r="D3003" s="805">
        <v>23.55</v>
      </c>
      <c r="E3003" s="805">
        <v>3.9350000000000001</v>
      </c>
      <c r="F3003" s="806">
        <v>3.62</v>
      </c>
      <c r="G3003" s="805">
        <v>3.5200541546793001</v>
      </c>
      <c r="H3003" s="805">
        <v>44.78</v>
      </c>
      <c r="I3003" s="805">
        <v>21.83</v>
      </c>
      <c r="J3003" s="805">
        <v>1795.15</v>
      </c>
      <c r="K3003" s="805">
        <v>4037.1979999999999</v>
      </c>
    </row>
    <row r="3004" spans="3:11">
      <c r="C3004" s="861">
        <v>41610</v>
      </c>
      <c r="D3004" s="805">
        <v>23.7</v>
      </c>
      <c r="E3004" s="805">
        <v>3.9375</v>
      </c>
      <c r="F3004" s="806">
        <v>3.66</v>
      </c>
      <c r="G3004" s="805">
        <v>3.5304054054053999</v>
      </c>
      <c r="H3004" s="805">
        <v>45</v>
      </c>
      <c r="I3004" s="805">
        <v>21.27</v>
      </c>
      <c r="J3004" s="805">
        <v>1800.9</v>
      </c>
      <c r="K3004" s="805">
        <v>4045.26</v>
      </c>
    </row>
    <row r="3005" spans="3:11">
      <c r="C3005" s="861">
        <v>41609</v>
      </c>
      <c r="D3005" s="805">
        <v>23.84</v>
      </c>
      <c r="E3005" s="805">
        <v>3.9</v>
      </c>
      <c r="F3005" s="806">
        <v>3.64</v>
      </c>
      <c r="G3005" s="805">
        <v>3.5481363836042301</v>
      </c>
      <c r="H3005" s="805">
        <v>44.73</v>
      </c>
      <c r="I3005" s="805">
        <v>21.1</v>
      </c>
      <c r="J3005" s="805">
        <v>1805.81</v>
      </c>
      <c r="K3005" s="805">
        <v>4059.886</v>
      </c>
    </row>
    <row r="3006" spans="3:11">
      <c r="C3006" s="861">
        <v>41608</v>
      </c>
      <c r="D3006" s="805">
        <v>23.84</v>
      </c>
      <c r="E3006" s="805">
        <v>3.9</v>
      </c>
      <c r="F3006" s="806">
        <v>3.64</v>
      </c>
      <c r="G3006" s="805">
        <v>3.5481363836042301</v>
      </c>
      <c r="H3006" s="805">
        <v>44.73</v>
      </c>
      <c r="I3006" s="805">
        <v>21.1</v>
      </c>
      <c r="J3006" s="805">
        <v>1805.81</v>
      </c>
      <c r="K3006" s="805">
        <v>4059.886</v>
      </c>
    </row>
    <row r="3007" spans="3:11">
      <c r="C3007" s="861">
        <v>41607</v>
      </c>
      <c r="D3007" s="805">
        <v>23.84</v>
      </c>
      <c r="E3007" s="805">
        <v>3.9</v>
      </c>
      <c r="F3007" s="806">
        <v>3.64</v>
      </c>
      <c r="G3007" s="805">
        <v>3.5481363836042301</v>
      </c>
      <c r="H3007" s="805">
        <v>44.73</v>
      </c>
      <c r="I3007" s="805">
        <v>21.1</v>
      </c>
      <c r="J3007" s="805">
        <v>1805.81</v>
      </c>
      <c r="K3007" s="805">
        <v>4059.886</v>
      </c>
    </row>
    <row r="3008" spans="3:11">
      <c r="C3008" s="861">
        <v>41606</v>
      </c>
      <c r="D3008" s="805">
        <v>23.9</v>
      </c>
      <c r="E3008" s="805">
        <v>3.9249999999999998</v>
      </c>
      <c r="F3008" s="806">
        <v>3.56</v>
      </c>
      <c r="G3008" s="805">
        <v>3.5431078117091301</v>
      </c>
      <c r="H3008" s="805">
        <v>44.67</v>
      </c>
      <c r="I3008" s="805">
        <v>21.17</v>
      </c>
      <c r="J3008" s="805">
        <v>1807.23</v>
      </c>
      <c r="K3008" s="805">
        <v>4044.75</v>
      </c>
    </row>
    <row r="3009" spans="3:11">
      <c r="C3009" s="861">
        <v>41605</v>
      </c>
      <c r="D3009" s="805">
        <v>23.9</v>
      </c>
      <c r="E3009" s="805">
        <v>3.9249999999999998</v>
      </c>
      <c r="F3009" s="806">
        <v>3.56</v>
      </c>
      <c r="G3009" s="805">
        <v>3.5422711018149902</v>
      </c>
      <c r="H3009" s="805">
        <v>44.67</v>
      </c>
      <c r="I3009" s="805">
        <v>21.17</v>
      </c>
      <c r="J3009" s="805">
        <v>1807.23</v>
      </c>
      <c r="K3009" s="805">
        <v>4044.75</v>
      </c>
    </row>
    <row r="3010" spans="3:11">
      <c r="C3010" s="861">
        <v>41604</v>
      </c>
      <c r="D3010" s="805">
        <v>23.65</v>
      </c>
      <c r="E3010" s="805">
        <v>3.91</v>
      </c>
      <c r="F3010" s="806">
        <v>3.45</v>
      </c>
      <c r="G3010" s="805">
        <v>3.4966216216216202</v>
      </c>
      <c r="H3010" s="805">
        <v>44.75</v>
      </c>
      <c r="I3010" s="805">
        <v>20.309999999999999</v>
      </c>
      <c r="J3010" s="805">
        <v>1802.75</v>
      </c>
      <c r="K3010" s="805">
        <v>4017.7489999999998</v>
      </c>
    </row>
    <row r="3011" spans="3:11">
      <c r="C3011" s="861">
        <v>41603</v>
      </c>
      <c r="D3011" s="805">
        <v>23.75</v>
      </c>
      <c r="E3011" s="805">
        <v>3.8774999999999999</v>
      </c>
      <c r="F3011" s="806">
        <v>3.39</v>
      </c>
      <c r="G3011" s="805">
        <v>3.4133153092260899</v>
      </c>
      <c r="H3011" s="805">
        <v>43.71</v>
      </c>
      <c r="I3011" s="805">
        <v>19.86</v>
      </c>
      <c r="J3011" s="805">
        <v>1802.48</v>
      </c>
      <c r="K3011" s="805">
        <v>3994.5729999999999</v>
      </c>
    </row>
    <row r="3012" spans="3:11">
      <c r="C3012" s="861">
        <v>41602</v>
      </c>
      <c r="D3012" s="805">
        <v>23.87</v>
      </c>
      <c r="E3012" s="805">
        <v>3.7949999999999999</v>
      </c>
      <c r="F3012" s="806">
        <v>3.34</v>
      </c>
      <c r="G3012" s="805">
        <v>3.3806626098715302</v>
      </c>
      <c r="H3012" s="805">
        <v>43.3</v>
      </c>
      <c r="I3012" s="805">
        <v>20.190000000000001</v>
      </c>
      <c r="J3012" s="805">
        <v>1804.76</v>
      </c>
      <c r="K3012" s="805">
        <v>3991.6489999999999</v>
      </c>
    </row>
    <row r="3013" spans="3:11">
      <c r="C3013" s="861">
        <v>41601</v>
      </c>
      <c r="D3013" s="805">
        <v>23.87</v>
      </c>
      <c r="E3013" s="805">
        <v>3.7949999999999999</v>
      </c>
      <c r="F3013" s="806">
        <v>3.34</v>
      </c>
      <c r="G3013" s="805">
        <v>3.3806626098715302</v>
      </c>
      <c r="H3013" s="805">
        <v>43.3</v>
      </c>
      <c r="I3013" s="805">
        <v>20.190000000000001</v>
      </c>
      <c r="J3013" s="805">
        <v>1804.76</v>
      </c>
      <c r="K3013" s="805">
        <v>3991.6489999999999</v>
      </c>
    </row>
    <row r="3014" spans="3:11">
      <c r="C3014" s="861">
        <v>41600</v>
      </c>
      <c r="D3014" s="805">
        <v>23.87</v>
      </c>
      <c r="E3014" s="805">
        <v>3.7949999999999999</v>
      </c>
      <c r="F3014" s="806">
        <v>3.34</v>
      </c>
      <c r="G3014" s="805">
        <v>3.3806626098715302</v>
      </c>
      <c r="H3014" s="805">
        <v>43.3</v>
      </c>
      <c r="I3014" s="805">
        <v>20.190000000000001</v>
      </c>
      <c r="J3014" s="805">
        <v>1804.76</v>
      </c>
      <c r="K3014" s="805">
        <v>3991.6489999999999</v>
      </c>
    </row>
    <row r="3015" spans="3:11">
      <c r="C3015" s="861">
        <v>41599</v>
      </c>
      <c r="D3015" s="805">
        <v>25.23</v>
      </c>
      <c r="E3015" s="805">
        <v>3.835</v>
      </c>
      <c r="F3015" s="806">
        <v>3.37</v>
      </c>
      <c r="G3015" s="805">
        <v>3.41851413098663</v>
      </c>
      <c r="H3015" s="805">
        <v>43.05</v>
      </c>
      <c r="I3015" s="805">
        <v>19.98</v>
      </c>
      <c r="J3015" s="805">
        <v>1795.85</v>
      </c>
      <c r="K3015" s="805">
        <v>3969.1550000000002</v>
      </c>
    </row>
    <row r="3016" spans="3:11">
      <c r="C3016" s="861">
        <v>41598</v>
      </c>
      <c r="D3016" s="805">
        <v>24.56</v>
      </c>
      <c r="E3016" s="805">
        <v>3.8050000000000002</v>
      </c>
      <c r="F3016" s="806">
        <v>3.42</v>
      </c>
      <c r="G3016" s="805">
        <v>3.4908154273707099</v>
      </c>
      <c r="H3016" s="805">
        <v>42.7</v>
      </c>
      <c r="I3016" s="805">
        <v>18.8</v>
      </c>
      <c r="J3016" s="805">
        <v>1781.37</v>
      </c>
      <c r="K3016" s="805">
        <v>3921.27</v>
      </c>
    </row>
    <row r="3017" spans="3:11">
      <c r="C3017" s="861">
        <v>41597</v>
      </c>
      <c r="D3017" s="805">
        <v>24.7</v>
      </c>
      <c r="E3017" s="805">
        <v>3.86</v>
      </c>
      <c r="F3017" s="806">
        <v>3.42</v>
      </c>
      <c r="G3017" s="805">
        <v>3.5696073431922501</v>
      </c>
      <c r="H3017" s="805">
        <v>42.95</v>
      </c>
      <c r="I3017" s="805">
        <v>19.07</v>
      </c>
      <c r="J3017" s="805">
        <v>1787.87</v>
      </c>
      <c r="K3017" s="805">
        <v>3931.5529999999999</v>
      </c>
    </row>
    <row r="3018" spans="3:11">
      <c r="C3018" s="861">
        <v>41596</v>
      </c>
      <c r="D3018" s="805">
        <v>24.6</v>
      </c>
      <c r="E3018" s="805">
        <v>3.9449999999999998</v>
      </c>
      <c r="F3018" s="806">
        <v>3.47</v>
      </c>
      <c r="G3018" s="805">
        <v>3.5284139100932999</v>
      </c>
      <c r="H3018" s="805">
        <v>43.97</v>
      </c>
      <c r="I3018" s="805">
        <v>19.29</v>
      </c>
      <c r="J3018" s="805">
        <v>1791.53</v>
      </c>
      <c r="K3018" s="805">
        <v>3949.0659999999998</v>
      </c>
    </row>
    <row r="3019" spans="3:11">
      <c r="C3019" s="861">
        <v>41595</v>
      </c>
      <c r="D3019" s="805">
        <v>24.52</v>
      </c>
      <c r="E3019" s="805">
        <v>4.0425000000000004</v>
      </c>
      <c r="F3019" s="806">
        <v>3.5</v>
      </c>
      <c r="G3019" s="805">
        <v>3.5194585448392601</v>
      </c>
      <c r="H3019" s="805">
        <v>44.61</v>
      </c>
      <c r="I3019" s="805">
        <v>19.46</v>
      </c>
      <c r="J3019" s="805">
        <v>1798.18</v>
      </c>
      <c r="K3019" s="805">
        <v>3985.9679999999998</v>
      </c>
    </row>
    <row r="3020" spans="3:11">
      <c r="C3020" s="861">
        <v>41594</v>
      </c>
      <c r="D3020" s="805">
        <v>24.52</v>
      </c>
      <c r="E3020" s="805">
        <v>4.0425000000000004</v>
      </c>
      <c r="F3020" s="806">
        <v>3.5</v>
      </c>
      <c r="G3020" s="805">
        <v>3.5194585448392601</v>
      </c>
      <c r="H3020" s="805">
        <v>44.61</v>
      </c>
      <c r="I3020" s="805">
        <v>19.46</v>
      </c>
      <c r="J3020" s="805">
        <v>1798.18</v>
      </c>
      <c r="K3020" s="805">
        <v>3985.9679999999998</v>
      </c>
    </row>
    <row r="3021" spans="3:11">
      <c r="C3021" s="861">
        <v>41593</v>
      </c>
      <c r="D3021" s="805">
        <v>24.52</v>
      </c>
      <c r="E3021" s="805">
        <v>4.0425000000000004</v>
      </c>
      <c r="F3021" s="806">
        <v>3.5</v>
      </c>
      <c r="G3021" s="805">
        <v>3.5194585448392601</v>
      </c>
      <c r="H3021" s="805">
        <v>44.61</v>
      </c>
      <c r="I3021" s="805">
        <v>19.46</v>
      </c>
      <c r="J3021" s="805">
        <v>1798.18</v>
      </c>
      <c r="K3021" s="805">
        <v>3985.9679999999998</v>
      </c>
    </row>
    <row r="3022" spans="3:11">
      <c r="C3022" s="861">
        <v>41592</v>
      </c>
      <c r="D3022" s="805">
        <v>24.385000000000002</v>
      </c>
      <c r="E3022" s="805">
        <v>4.0549999999999997</v>
      </c>
      <c r="F3022" s="806">
        <v>3.52</v>
      </c>
      <c r="G3022" s="805">
        <v>3.5001690902942202</v>
      </c>
      <c r="H3022" s="805">
        <v>42.93</v>
      </c>
      <c r="I3022" s="805">
        <v>19.190000000000001</v>
      </c>
      <c r="J3022" s="805">
        <v>1790.62</v>
      </c>
      <c r="K3022" s="805">
        <v>3972.74</v>
      </c>
    </row>
    <row r="3023" spans="3:11">
      <c r="C3023" s="861">
        <v>41591</v>
      </c>
      <c r="D3023" s="805">
        <v>24.6</v>
      </c>
      <c r="E3023" s="805">
        <v>4.0374999999999996</v>
      </c>
      <c r="F3023" s="806">
        <v>3.54</v>
      </c>
      <c r="G3023" s="805">
        <v>3.4826711749788699</v>
      </c>
      <c r="H3023" s="805">
        <v>45.38</v>
      </c>
      <c r="I3023" s="805">
        <v>18.920000000000002</v>
      </c>
      <c r="J3023" s="805">
        <v>1782</v>
      </c>
      <c r="K3023" s="805">
        <v>3965.5749999999998</v>
      </c>
    </row>
    <row r="3024" spans="3:11">
      <c r="C3024" s="861">
        <v>41590</v>
      </c>
      <c r="D3024" s="805">
        <v>24.43</v>
      </c>
      <c r="E3024" s="805">
        <v>3.93</v>
      </c>
      <c r="F3024" s="806">
        <v>3.44</v>
      </c>
      <c r="G3024" s="805">
        <v>3.55269835899171</v>
      </c>
      <c r="H3024" s="805">
        <v>45.13</v>
      </c>
      <c r="I3024" s="805">
        <v>18.63</v>
      </c>
      <c r="J3024" s="805">
        <v>1767.69</v>
      </c>
      <c r="K3024" s="805">
        <v>3919.92</v>
      </c>
    </row>
    <row r="3025" spans="3:11">
      <c r="C3025" s="861">
        <v>41589</v>
      </c>
      <c r="D3025" s="805">
        <v>24.169</v>
      </c>
      <c r="E3025" s="805">
        <v>3.9224999999999999</v>
      </c>
      <c r="F3025" s="806">
        <v>3.34</v>
      </c>
      <c r="G3025" s="805">
        <v>3.5423728813559299</v>
      </c>
      <c r="H3025" s="805">
        <v>44.21</v>
      </c>
      <c r="I3025" s="805">
        <v>18.260000000000002</v>
      </c>
      <c r="J3025" s="805">
        <v>1771.89</v>
      </c>
      <c r="K3025" s="805">
        <v>3919.79</v>
      </c>
    </row>
    <row r="3026" spans="3:11">
      <c r="C3026" s="861">
        <v>41588</v>
      </c>
      <c r="D3026" s="805">
        <v>24.09</v>
      </c>
      <c r="E3026" s="805">
        <v>3.89</v>
      </c>
      <c r="F3026" s="806">
        <v>3.27</v>
      </c>
      <c r="G3026" s="805">
        <v>3.59687818120122</v>
      </c>
      <c r="H3026" s="805">
        <v>44.37</v>
      </c>
      <c r="I3026" s="805">
        <v>18.11</v>
      </c>
      <c r="J3026" s="805">
        <v>1770.61</v>
      </c>
      <c r="K3026" s="805">
        <v>3919.2330000000002</v>
      </c>
    </row>
    <row r="3027" spans="3:11">
      <c r="C3027" s="861">
        <v>41587</v>
      </c>
      <c r="D3027" s="805">
        <v>24.09</v>
      </c>
      <c r="E3027" s="805">
        <v>3.89</v>
      </c>
      <c r="F3027" s="806">
        <v>3.27</v>
      </c>
      <c r="G3027" s="805">
        <v>3.59687818120122</v>
      </c>
      <c r="H3027" s="805">
        <v>44.37</v>
      </c>
      <c r="I3027" s="805">
        <v>18.11</v>
      </c>
      <c r="J3027" s="805">
        <v>1770.61</v>
      </c>
      <c r="K3027" s="805">
        <v>3919.2330000000002</v>
      </c>
    </row>
    <row r="3028" spans="3:11">
      <c r="C3028" s="861">
        <v>41586</v>
      </c>
      <c r="D3028" s="805">
        <v>24.09</v>
      </c>
      <c r="E3028" s="805">
        <v>3.89</v>
      </c>
      <c r="F3028" s="806">
        <v>3.27</v>
      </c>
      <c r="G3028" s="805">
        <v>3.59687818120122</v>
      </c>
      <c r="H3028" s="805">
        <v>44.37</v>
      </c>
      <c r="I3028" s="805">
        <v>18.11</v>
      </c>
      <c r="J3028" s="805">
        <v>1770.61</v>
      </c>
      <c r="K3028" s="805">
        <v>3919.2330000000002</v>
      </c>
    </row>
    <row r="3029" spans="3:11">
      <c r="C3029" s="861">
        <v>41585</v>
      </c>
      <c r="D3029" s="805">
        <v>24.059000000000001</v>
      </c>
      <c r="E3029" s="805">
        <v>3.6349999999999998</v>
      </c>
      <c r="F3029" s="806">
        <v>3.28</v>
      </c>
      <c r="G3029" s="805">
        <v>3.6332767402376902</v>
      </c>
      <c r="H3029" s="805">
        <v>43.66</v>
      </c>
      <c r="I3029" s="805">
        <v>17.71</v>
      </c>
      <c r="J3029" s="805">
        <v>1747.15</v>
      </c>
      <c r="K3029" s="805">
        <v>3857.3330000000001</v>
      </c>
    </row>
    <row r="3030" spans="3:11">
      <c r="C3030" s="861">
        <v>41584</v>
      </c>
      <c r="D3030" s="805">
        <v>24.245000000000001</v>
      </c>
      <c r="E3030" s="805">
        <v>3.7250000000000001</v>
      </c>
      <c r="F3030" s="806">
        <v>3.32</v>
      </c>
      <c r="G3030" s="805">
        <v>3.6384657236126201</v>
      </c>
      <c r="H3030" s="805">
        <v>45.37</v>
      </c>
      <c r="I3030" s="805">
        <v>17.5</v>
      </c>
      <c r="J3030" s="805">
        <v>1770.49</v>
      </c>
      <c r="K3030" s="805">
        <v>3931.9459999999999</v>
      </c>
    </row>
    <row r="3031" spans="3:11">
      <c r="C3031" s="861">
        <v>41583</v>
      </c>
      <c r="D3031" s="805">
        <v>24.03</v>
      </c>
      <c r="E3031" s="805">
        <v>3.7</v>
      </c>
      <c r="F3031" s="806">
        <v>3.33</v>
      </c>
      <c r="G3031" s="805">
        <v>3.6249149081007501</v>
      </c>
      <c r="H3031" s="805">
        <v>45.03</v>
      </c>
      <c r="I3031" s="805">
        <v>17.68</v>
      </c>
      <c r="J3031" s="805">
        <v>1762.97</v>
      </c>
      <c r="K3031" s="805">
        <v>3939.864</v>
      </c>
    </row>
    <row r="3032" spans="3:11">
      <c r="C3032" s="861">
        <v>41582</v>
      </c>
      <c r="D3032" s="805">
        <v>24.254999999999999</v>
      </c>
      <c r="E3032" s="805">
        <v>3.7050000000000001</v>
      </c>
      <c r="F3032" s="806">
        <v>3.32</v>
      </c>
      <c r="G3032" s="805">
        <v>3.7105119825708099</v>
      </c>
      <c r="H3032" s="805">
        <v>45.04</v>
      </c>
      <c r="I3032" s="805">
        <v>17.89</v>
      </c>
      <c r="J3032" s="805">
        <v>1767.93</v>
      </c>
      <c r="K3032" s="805">
        <v>3936.5909999999999</v>
      </c>
    </row>
    <row r="3033" spans="3:11">
      <c r="C3033" s="861">
        <v>41581</v>
      </c>
      <c r="D3033" s="805">
        <v>24.324999999999999</v>
      </c>
      <c r="E3033" s="805">
        <v>3.8125</v>
      </c>
      <c r="F3033" s="806">
        <v>3.31</v>
      </c>
      <c r="G3033" s="805">
        <v>3.7263910158244</v>
      </c>
      <c r="H3033" s="805">
        <v>44.74</v>
      </c>
      <c r="I3033" s="805">
        <v>17.579999999999998</v>
      </c>
      <c r="J3033" s="805">
        <v>1761.64</v>
      </c>
      <c r="K3033" s="805">
        <v>3922.0419999999999</v>
      </c>
    </row>
    <row r="3034" spans="3:11">
      <c r="C3034" s="861">
        <v>41580</v>
      </c>
      <c r="D3034" s="805">
        <v>24.324999999999999</v>
      </c>
      <c r="E3034" s="805">
        <v>3.8125</v>
      </c>
      <c r="F3034" s="806">
        <v>3.31</v>
      </c>
      <c r="G3034" s="805">
        <v>3.7263910158244</v>
      </c>
      <c r="H3034" s="805">
        <v>44.74</v>
      </c>
      <c r="I3034" s="805">
        <v>17.579999999999998</v>
      </c>
      <c r="J3034" s="805">
        <v>1761.64</v>
      </c>
      <c r="K3034" s="805">
        <v>3922.0419999999999</v>
      </c>
    </row>
    <row r="3035" spans="3:11">
      <c r="C3035" s="861">
        <v>41579</v>
      </c>
      <c r="D3035" s="805">
        <v>24.324999999999999</v>
      </c>
      <c r="E3035" s="805">
        <v>3.8125</v>
      </c>
      <c r="F3035" s="806">
        <v>3.31</v>
      </c>
      <c r="G3035" s="805">
        <v>3.7263910158244</v>
      </c>
      <c r="H3035" s="805">
        <v>44.74</v>
      </c>
      <c r="I3035" s="805">
        <v>17.579999999999998</v>
      </c>
      <c r="J3035" s="805">
        <v>1761.64</v>
      </c>
      <c r="K3035" s="805">
        <v>3922.0419999999999</v>
      </c>
    </row>
    <row r="3036" spans="3:11">
      <c r="C3036" s="861">
        <v>41578</v>
      </c>
      <c r="D3036" s="805">
        <v>24.47</v>
      </c>
      <c r="E3036" s="805">
        <v>3.7949999999999999</v>
      </c>
      <c r="F3036" s="806">
        <v>3.34</v>
      </c>
      <c r="G3036" s="805">
        <v>3.7219578518015002</v>
      </c>
      <c r="H3036" s="805">
        <v>45.43</v>
      </c>
      <c r="I3036" s="805">
        <v>17.68</v>
      </c>
      <c r="J3036" s="805">
        <v>1756.54</v>
      </c>
      <c r="K3036" s="805">
        <v>3919.7060000000001</v>
      </c>
    </row>
    <row r="3037" spans="3:11">
      <c r="C3037" s="861">
        <v>41577</v>
      </c>
      <c r="D3037" s="805">
        <v>24.495000000000001</v>
      </c>
      <c r="E3037" s="805">
        <v>3.8050000000000002</v>
      </c>
      <c r="F3037" s="806">
        <v>3.3</v>
      </c>
      <c r="G3037" s="805">
        <v>3.7440435670524201</v>
      </c>
      <c r="H3037" s="805">
        <v>44.85</v>
      </c>
      <c r="I3037" s="805">
        <v>17.399999999999999</v>
      </c>
      <c r="J3037" s="805">
        <v>1763.31</v>
      </c>
      <c r="K3037" s="805">
        <v>3930.62</v>
      </c>
    </row>
    <row r="3038" spans="3:11">
      <c r="C3038" s="861">
        <v>41576</v>
      </c>
      <c r="D3038" s="805">
        <v>24.523</v>
      </c>
      <c r="E3038" s="805">
        <v>3.8075000000000001</v>
      </c>
      <c r="F3038" s="806">
        <v>3.33</v>
      </c>
      <c r="G3038" s="805">
        <v>3.7232233934035999</v>
      </c>
      <c r="H3038" s="805">
        <v>45.8</v>
      </c>
      <c r="I3038" s="805">
        <v>17.5</v>
      </c>
      <c r="J3038" s="805">
        <v>1771.95</v>
      </c>
      <c r="K3038" s="805">
        <v>3952.3380000000002</v>
      </c>
    </row>
    <row r="3039" spans="3:11">
      <c r="C3039" s="861">
        <v>41575</v>
      </c>
      <c r="D3039" s="805">
        <v>24.36</v>
      </c>
      <c r="E3039" s="805">
        <v>3.8050000000000002</v>
      </c>
      <c r="F3039" s="806">
        <v>3.32</v>
      </c>
      <c r="G3039" s="805">
        <v>3.7282941777323799</v>
      </c>
      <c r="H3039" s="805">
        <v>45.53</v>
      </c>
      <c r="I3039" s="805">
        <v>16.72</v>
      </c>
      <c r="J3039" s="805">
        <v>1762.11</v>
      </c>
      <c r="K3039" s="805">
        <v>3940.1289999999999</v>
      </c>
    </row>
    <row r="3040" spans="3:11">
      <c r="C3040" s="861">
        <v>41574</v>
      </c>
      <c r="D3040" s="805">
        <v>24.234999999999999</v>
      </c>
      <c r="E3040" s="805">
        <v>3.81</v>
      </c>
      <c r="F3040" s="806">
        <v>3.34</v>
      </c>
      <c r="G3040" s="805">
        <v>3.6428012119974098</v>
      </c>
      <c r="H3040" s="805">
        <v>45.63</v>
      </c>
      <c r="I3040" s="805">
        <v>16.579999999999998</v>
      </c>
      <c r="J3040" s="805">
        <v>1759.77</v>
      </c>
      <c r="K3040" s="805">
        <v>3943.3609999999999</v>
      </c>
    </row>
    <row r="3041" spans="3:11">
      <c r="C3041" s="861">
        <v>41573</v>
      </c>
      <c r="D3041" s="805">
        <v>24.234999999999999</v>
      </c>
      <c r="E3041" s="805">
        <v>3.81</v>
      </c>
      <c r="F3041" s="806">
        <v>3.34</v>
      </c>
      <c r="G3041" s="805">
        <v>3.6428012119974098</v>
      </c>
      <c r="H3041" s="805">
        <v>45.63</v>
      </c>
      <c r="I3041" s="805">
        <v>16.579999999999998</v>
      </c>
      <c r="J3041" s="805">
        <v>1759.77</v>
      </c>
      <c r="K3041" s="805">
        <v>3943.3609999999999</v>
      </c>
    </row>
    <row r="3042" spans="3:11">
      <c r="C3042" s="861">
        <v>41572</v>
      </c>
      <c r="D3042" s="805">
        <v>24.234999999999999</v>
      </c>
      <c r="E3042" s="805">
        <v>3.81</v>
      </c>
      <c r="F3042" s="806">
        <v>3.34</v>
      </c>
      <c r="G3042" s="805">
        <v>3.6428012119974098</v>
      </c>
      <c r="H3042" s="805">
        <v>45.63</v>
      </c>
      <c r="I3042" s="805">
        <v>16.579999999999998</v>
      </c>
      <c r="J3042" s="805">
        <v>1759.77</v>
      </c>
      <c r="K3042" s="805">
        <v>3943.3609999999999</v>
      </c>
    </row>
    <row r="3043" spans="3:11">
      <c r="C3043" s="861">
        <v>41571</v>
      </c>
      <c r="D3043" s="805">
        <v>23.78</v>
      </c>
      <c r="E3043" s="805">
        <v>3.8475000000000001</v>
      </c>
      <c r="F3043" s="806">
        <v>3.23</v>
      </c>
      <c r="G3043" s="805">
        <v>3.7455734132388998</v>
      </c>
      <c r="H3043" s="805">
        <v>45.49</v>
      </c>
      <c r="I3043" s="805">
        <v>16.829999999999998</v>
      </c>
      <c r="J3043" s="805">
        <v>1752.07</v>
      </c>
      <c r="K3043" s="805">
        <v>3928.96</v>
      </c>
    </row>
    <row r="3044" spans="3:11">
      <c r="C3044" s="861">
        <v>41570</v>
      </c>
      <c r="D3044" s="805">
        <v>23.734999999999999</v>
      </c>
      <c r="E3044" s="805">
        <v>3.8774999999999999</v>
      </c>
      <c r="F3044" s="806">
        <v>3.14</v>
      </c>
      <c r="G3044" s="805">
        <v>3.7780803267528902</v>
      </c>
      <c r="H3044" s="805">
        <v>45.41</v>
      </c>
      <c r="I3044" s="805">
        <v>16.559999999999999</v>
      </c>
      <c r="J3044" s="805">
        <v>1746.38</v>
      </c>
      <c r="K3044" s="805">
        <v>3907.0740000000001</v>
      </c>
    </row>
    <row r="3045" spans="3:11">
      <c r="C3045" s="861">
        <v>41569</v>
      </c>
      <c r="D3045" s="805">
        <v>24.071000000000002</v>
      </c>
      <c r="E3045" s="805">
        <v>3.9449999999999998</v>
      </c>
      <c r="F3045" s="806">
        <v>3.18</v>
      </c>
      <c r="G3045" s="805">
        <v>3.79897785349233</v>
      </c>
      <c r="H3045" s="805">
        <v>46.87</v>
      </c>
      <c r="I3045" s="805">
        <v>16.760000000000002</v>
      </c>
      <c r="J3045" s="805">
        <v>1754.67</v>
      </c>
      <c r="K3045" s="805">
        <v>3929.5659999999998</v>
      </c>
    </row>
    <row r="3046" spans="3:11">
      <c r="C3046" s="861">
        <v>41568</v>
      </c>
      <c r="D3046" s="805">
        <v>24.135000000000002</v>
      </c>
      <c r="E3046" s="805">
        <v>3.9624999999999999</v>
      </c>
      <c r="F3046" s="806">
        <v>3.37</v>
      </c>
      <c r="G3046" s="805">
        <v>3.7402244134648099</v>
      </c>
      <c r="H3046" s="805">
        <v>47.05</v>
      </c>
      <c r="I3046" s="805">
        <v>16.57</v>
      </c>
      <c r="J3046" s="805">
        <v>1744.66</v>
      </c>
      <c r="K3046" s="805">
        <v>3920.049</v>
      </c>
    </row>
    <row r="3047" spans="3:11">
      <c r="C3047" s="861">
        <v>41567</v>
      </c>
      <c r="D3047" s="805">
        <v>23.875</v>
      </c>
      <c r="E3047" s="805">
        <v>3.9525000000000001</v>
      </c>
      <c r="F3047" s="806">
        <v>3.53</v>
      </c>
      <c r="G3047" s="805">
        <v>3.7465940054495901</v>
      </c>
      <c r="H3047" s="805">
        <v>46.06</v>
      </c>
      <c r="I3047" s="805">
        <v>17.03</v>
      </c>
      <c r="J3047" s="805">
        <v>1744.5</v>
      </c>
      <c r="K3047" s="805">
        <v>3914.2779999999998</v>
      </c>
    </row>
    <row r="3048" spans="3:11">
      <c r="C3048" s="861">
        <v>41566</v>
      </c>
      <c r="D3048" s="805">
        <v>23.875</v>
      </c>
      <c r="E3048" s="805">
        <v>3.9525000000000001</v>
      </c>
      <c r="F3048" s="806">
        <v>3.53</v>
      </c>
      <c r="G3048" s="805">
        <v>3.7465940054495901</v>
      </c>
      <c r="H3048" s="805">
        <v>46.06</v>
      </c>
      <c r="I3048" s="805">
        <v>17.03</v>
      </c>
      <c r="J3048" s="805">
        <v>1744.5</v>
      </c>
      <c r="K3048" s="805">
        <v>3914.2779999999998</v>
      </c>
    </row>
    <row r="3049" spans="3:11">
      <c r="C3049" s="861">
        <v>41565</v>
      </c>
      <c r="D3049" s="805">
        <v>23.875</v>
      </c>
      <c r="E3049" s="805">
        <v>3.9525000000000001</v>
      </c>
      <c r="F3049" s="806">
        <v>3.53</v>
      </c>
      <c r="G3049" s="805">
        <v>3.7465940054495901</v>
      </c>
      <c r="H3049" s="805">
        <v>46.06</v>
      </c>
      <c r="I3049" s="805">
        <v>17.03</v>
      </c>
      <c r="J3049" s="805">
        <v>1744.5</v>
      </c>
      <c r="K3049" s="805">
        <v>3914.2779999999998</v>
      </c>
    </row>
    <row r="3050" spans="3:11">
      <c r="C3050" s="861">
        <v>41564</v>
      </c>
      <c r="D3050" s="805">
        <v>23.92</v>
      </c>
      <c r="E3050" s="805">
        <v>3.9049999999999998</v>
      </c>
      <c r="F3050" s="806">
        <v>4.09</v>
      </c>
      <c r="G3050" s="805">
        <v>3.6444141689373302</v>
      </c>
      <c r="H3050" s="805">
        <v>45.11</v>
      </c>
      <c r="I3050" s="805">
        <v>17.149999999999999</v>
      </c>
      <c r="J3050" s="805">
        <v>1733.15</v>
      </c>
      <c r="K3050" s="805">
        <v>3863.1460000000002</v>
      </c>
    </row>
    <row r="3051" spans="3:11">
      <c r="C3051" s="861">
        <v>41563</v>
      </c>
      <c r="D3051" s="805">
        <v>23.695</v>
      </c>
      <c r="E3051" s="805">
        <v>3.9</v>
      </c>
      <c r="F3051" s="806">
        <v>4.09</v>
      </c>
      <c r="G3051" s="805">
        <v>3.6060554516074199</v>
      </c>
      <c r="H3051" s="805">
        <v>44.5</v>
      </c>
      <c r="I3051" s="805">
        <v>16.97</v>
      </c>
      <c r="J3051" s="805">
        <v>1721.54</v>
      </c>
      <c r="K3051" s="805">
        <v>3839.431</v>
      </c>
    </row>
    <row r="3052" spans="3:11">
      <c r="C3052" s="861">
        <v>41562</v>
      </c>
      <c r="D3052" s="805">
        <v>23.39</v>
      </c>
      <c r="E3052" s="805">
        <v>3.8525</v>
      </c>
      <c r="F3052" s="806">
        <v>4.0199999999999996</v>
      </c>
      <c r="G3052" s="805">
        <v>3.6468984321745102</v>
      </c>
      <c r="H3052" s="805">
        <v>43.74</v>
      </c>
      <c r="I3052" s="805">
        <v>16.920000000000002</v>
      </c>
      <c r="J3052" s="805">
        <v>1698.06</v>
      </c>
      <c r="K3052" s="805">
        <v>3794.01</v>
      </c>
    </row>
    <row r="3053" spans="3:11">
      <c r="C3053" s="861">
        <v>41561</v>
      </c>
      <c r="D3053" s="805">
        <v>23.45</v>
      </c>
      <c r="E3053" s="805">
        <v>3.8725000000000001</v>
      </c>
      <c r="F3053" s="806">
        <v>3.97</v>
      </c>
      <c r="G3053" s="805">
        <v>3.5771471399856898</v>
      </c>
      <c r="H3053" s="805">
        <v>44.23</v>
      </c>
      <c r="I3053" s="805">
        <v>17.07</v>
      </c>
      <c r="J3053" s="805">
        <v>1710.14</v>
      </c>
      <c r="K3053" s="805">
        <v>3815.2750000000001</v>
      </c>
    </row>
    <row r="3054" spans="3:11">
      <c r="C3054" s="861">
        <v>41560</v>
      </c>
      <c r="D3054" s="805">
        <v>23.254999999999999</v>
      </c>
      <c r="E3054" s="805">
        <v>3.8149999999999999</v>
      </c>
      <c r="F3054" s="806">
        <v>3.83</v>
      </c>
      <c r="G3054" s="805">
        <v>3.6314658846796499</v>
      </c>
      <c r="H3054" s="805">
        <v>43.29</v>
      </c>
      <c r="I3054" s="805">
        <v>16.84</v>
      </c>
      <c r="J3054" s="805">
        <v>1703.2</v>
      </c>
      <c r="K3054" s="805">
        <v>3791.873</v>
      </c>
    </row>
    <row r="3055" spans="3:11">
      <c r="C3055" s="861">
        <v>41559</v>
      </c>
      <c r="D3055" s="805">
        <v>23.254999999999999</v>
      </c>
      <c r="E3055" s="805">
        <v>3.8149999999999999</v>
      </c>
      <c r="F3055" s="806">
        <v>3.83</v>
      </c>
      <c r="G3055" s="805">
        <v>3.6314658846796499</v>
      </c>
      <c r="H3055" s="805">
        <v>43.29</v>
      </c>
      <c r="I3055" s="805">
        <v>16.84</v>
      </c>
      <c r="J3055" s="805">
        <v>1703.2</v>
      </c>
      <c r="K3055" s="805">
        <v>3791.873</v>
      </c>
    </row>
    <row r="3056" spans="3:11">
      <c r="C3056" s="861">
        <v>41558</v>
      </c>
      <c r="D3056" s="805">
        <v>23.254999999999999</v>
      </c>
      <c r="E3056" s="805">
        <v>3.8149999999999999</v>
      </c>
      <c r="F3056" s="806">
        <v>3.83</v>
      </c>
      <c r="G3056" s="805">
        <v>3.6314658846796499</v>
      </c>
      <c r="H3056" s="805">
        <v>43.29</v>
      </c>
      <c r="I3056" s="805">
        <v>16.84</v>
      </c>
      <c r="J3056" s="805">
        <v>1703.2</v>
      </c>
      <c r="K3056" s="805">
        <v>3791.873</v>
      </c>
    </row>
    <row r="3057" spans="3:11">
      <c r="C3057" s="861">
        <v>41557</v>
      </c>
      <c r="D3057" s="805">
        <v>23.1</v>
      </c>
      <c r="E3057" s="805">
        <v>3.85</v>
      </c>
      <c r="F3057" s="806">
        <v>3.79</v>
      </c>
      <c r="G3057" s="805">
        <v>3.5744680851063801</v>
      </c>
      <c r="H3057" s="805">
        <v>43.51</v>
      </c>
      <c r="I3057" s="805">
        <v>18.440000000000001</v>
      </c>
      <c r="J3057" s="805">
        <v>1692.56</v>
      </c>
      <c r="K3057" s="805">
        <v>3760.7469999999998</v>
      </c>
    </row>
    <row r="3058" spans="3:11">
      <c r="C3058" s="861">
        <v>41556</v>
      </c>
      <c r="D3058" s="805">
        <v>22.59</v>
      </c>
      <c r="E3058" s="805">
        <v>3.8050000000000002</v>
      </c>
      <c r="F3058" s="806">
        <v>3.65</v>
      </c>
      <c r="G3058" s="805">
        <v>3.5744680851063801</v>
      </c>
      <c r="H3058" s="805">
        <v>42.2</v>
      </c>
      <c r="I3058" s="805">
        <v>18.149999999999999</v>
      </c>
      <c r="J3058" s="805">
        <v>1656.4</v>
      </c>
      <c r="K3058" s="805">
        <v>3677.7759999999998</v>
      </c>
    </row>
    <row r="3059" spans="3:11">
      <c r="C3059" s="861">
        <v>41555</v>
      </c>
      <c r="D3059" s="805">
        <v>22.48</v>
      </c>
      <c r="E3059" s="805">
        <v>3.8650000000000002</v>
      </c>
      <c r="F3059" s="806">
        <v>3.72</v>
      </c>
      <c r="G3059" s="805">
        <v>3.5775127768313499</v>
      </c>
      <c r="H3059" s="805">
        <v>42.6</v>
      </c>
      <c r="I3059" s="805">
        <v>17.93</v>
      </c>
      <c r="J3059" s="805">
        <v>1655.45</v>
      </c>
      <c r="K3059" s="805">
        <v>3694.8330000000001</v>
      </c>
    </row>
    <row r="3060" spans="3:11">
      <c r="C3060" s="861">
        <v>41554</v>
      </c>
      <c r="D3060" s="805">
        <v>22.83</v>
      </c>
      <c r="E3060" s="805">
        <v>3.8975</v>
      </c>
      <c r="F3060" s="806">
        <v>3.86</v>
      </c>
      <c r="G3060" s="805">
        <v>3.5102068636472099</v>
      </c>
      <c r="H3060" s="805">
        <v>43.01</v>
      </c>
      <c r="I3060" s="805">
        <v>18.5</v>
      </c>
      <c r="J3060" s="805">
        <v>1676.12</v>
      </c>
      <c r="K3060" s="805">
        <v>3770.377</v>
      </c>
    </row>
    <row r="3061" spans="3:11">
      <c r="C3061" s="861">
        <v>41553</v>
      </c>
      <c r="D3061" s="805">
        <v>22.81</v>
      </c>
      <c r="E3061" s="805">
        <v>3.8975</v>
      </c>
      <c r="F3061" s="806">
        <v>3.91</v>
      </c>
      <c r="G3061" s="805">
        <v>3.5446489434219499</v>
      </c>
      <c r="H3061" s="805">
        <v>43.5</v>
      </c>
      <c r="I3061" s="805">
        <v>18.47</v>
      </c>
      <c r="J3061" s="805">
        <v>1690.5</v>
      </c>
      <c r="K3061" s="805">
        <v>3807.7539999999999</v>
      </c>
    </row>
    <row r="3062" spans="3:11">
      <c r="C3062" s="861">
        <v>41552</v>
      </c>
      <c r="D3062" s="805">
        <v>22.81</v>
      </c>
      <c r="E3062" s="805">
        <v>3.8975</v>
      </c>
      <c r="F3062" s="806">
        <v>3.91</v>
      </c>
      <c r="G3062" s="805">
        <v>3.5446489434219499</v>
      </c>
      <c r="H3062" s="805">
        <v>43.5</v>
      </c>
      <c r="I3062" s="805">
        <v>18.47</v>
      </c>
      <c r="J3062" s="805">
        <v>1690.5</v>
      </c>
      <c r="K3062" s="805">
        <v>3807.7539999999999</v>
      </c>
    </row>
    <row r="3063" spans="3:11">
      <c r="C3063" s="861">
        <v>41551</v>
      </c>
      <c r="D3063" s="805">
        <v>22.81</v>
      </c>
      <c r="E3063" s="805">
        <v>3.8975</v>
      </c>
      <c r="F3063" s="806">
        <v>3.91</v>
      </c>
      <c r="G3063" s="805">
        <v>3.5446489434219499</v>
      </c>
      <c r="H3063" s="805">
        <v>43.5</v>
      </c>
      <c r="I3063" s="805">
        <v>18.47</v>
      </c>
      <c r="J3063" s="805">
        <v>1690.5</v>
      </c>
      <c r="K3063" s="805">
        <v>3807.7539999999999</v>
      </c>
    </row>
    <row r="3064" spans="3:11">
      <c r="C3064" s="861">
        <v>41550</v>
      </c>
      <c r="D3064" s="805">
        <v>22.6</v>
      </c>
      <c r="E3064" s="805">
        <v>3.8450000000000002</v>
      </c>
      <c r="F3064" s="806">
        <v>3.9</v>
      </c>
      <c r="G3064" s="805">
        <v>3.58117326057299</v>
      </c>
      <c r="H3064" s="805">
        <v>43.3</v>
      </c>
      <c r="I3064" s="805">
        <v>18</v>
      </c>
      <c r="J3064" s="805">
        <v>1678.66</v>
      </c>
      <c r="K3064" s="805">
        <v>3774.3429999999998</v>
      </c>
    </row>
    <row r="3065" spans="3:11">
      <c r="C3065" s="861">
        <v>41549</v>
      </c>
      <c r="D3065" s="805">
        <v>22.885000000000002</v>
      </c>
      <c r="E3065" s="805">
        <v>3.8849999999999998</v>
      </c>
      <c r="F3065" s="806">
        <v>3.9</v>
      </c>
      <c r="G3065" s="805">
        <v>3.4986413043478302</v>
      </c>
      <c r="H3065" s="805">
        <v>43.41</v>
      </c>
      <c r="I3065" s="805">
        <v>17.670000000000002</v>
      </c>
      <c r="J3065" s="805">
        <v>1693.87</v>
      </c>
      <c r="K3065" s="805">
        <v>3815.0189999999998</v>
      </c>
    </row>
    <row r="3066" spans="3:11">
      <c r="C3066" s="861">
        <v>41548</v>
      </c>
      <c r="D3066" s="805">
        <v>22.83</v>
      </c>
      <c r="E3066" s="805">
        <v>3.8875000000000002</v>
      </c>
      <c r="F3066" s="806">
        <v>3.86</v>
      </c>
      <c r="G3066" s="805">
        <v>3.4406779661017</v>
      </c>
      <c r="H3066" s="805">
        <v>43.42</v>
      </c>
      <c r="I3066" s="805">
        <v>17.61</v>
      </c>
      <c r="J3066" s="805">
        <v>1695</v>
      </c>
      <c r="K3066" s="805">
        <v>3817.982</v>
      </c>
    </row>
    <row r="3067" spans="3:11">
      <c r="C3067" s="861">
        <v>41547</v>
      </c>
      <c r="D3067" s="805">
        <v>22.920999999999999</v>
      </c>
      <c r="E3067" s="805">
        <v>3.89</v>
      </c>
      <c r="F3067" s="806">
        <v>3.8</v>
      </c>
      <c r="G3067" s="805">
        <v>3.40009472900738</v>
      </c>
      <c r="H3067" s="805">
        <v>43.12</v>
      </c>
      <c r="I3067" s="805">
        <v>17.47</v>
      </c>
      <c r="J3067" s="805">
        <v>1681.55</v>
      </c>
      <c r="K3067" s="805">
        <v>3771.4789999999998</v>
      </c>
    </row>
    <row r="3068" spans="3:11">
      <c r="C3068" s="861">
        <v>41546</v>
      </c>
      <c r="D3068" s="805">
        <v>22.98</v>
      </c>
      <c r="E3068" s="805">
        <v>3.895</v>
      </c>
      <c r="F3068" s="806">
        <v>3.86</v>
      </c>
      <c r="G3068" s="805">
        <v>3.48738784492974</v>
      </c>
      <c r="H3068" s="805">
        <v>42.7</v>
      </c>
      <c r="I3068" s="805">
        <v>17.62</v>
      </c>
      <c r="J3068" s="805">
        <v>1691.75</v>
      </c>
      <c r="K3068" s="805">
        <v>3781.5940000000001</v>
      </c>
    </row>
    <row r="3069" spans="3:11">
      <c r="C3069" s="861">
        <v>41545</v>
      </c>
      <c r="D3069" s="805">
        <v>22.98</v>
      </c>
      <c r="E3069" s="805">
        <v>3.895</v>
      </c>
      <c r="F3069" s="806">
        <v>3.86</v>
      </c>
      <c r="G3069" s="805">
        <v>3.48738784492974</v>
      </c>
      <c r="H3069" s="805">
        <v>42.7</v>
      </c>
      <c r="I3069" s="805">
        <v>17.62</v>
      </c>
      <c r="J3069" s="805">
        <v>1691.75</v>
      </c>
      <c r="K3069" s="805">
        <v>3781.5940000000001</v>
      </c>
    </row>
    <row r="3070" spans="3:11">
      <c r="C3070" s="861">
        <v>41544</v>
      </c>
      <c r="D3070" s="805">
        <v>22.98</v>
      </c>
      <c r="E3070" s="805">
        <v>3.895</v>
      </c>
      <c r="F3070" s="806">
        <v>3.86</v>
      </c>
      <c r="G3070" s="805">
        <v>3.48738784492974</v>
      </c>
      <c r="H3070" s="805">
        <v>42.7</v>
      </c>
      <c r="I3070" s="805">
        <v>17.62</v>
      </c>
      <c r="J3070" s="805">
        <v>1691.75</v>
      </c>
      <c r="K3070" s="805">
        <v>3781.5940000000001</v>
      </c>
    </row>
    <row r="3071" spans="3:11">
      <c r="C3071" s="861">
        <v>41543</v>
      </c>
      <c r="D3071" s="805">
        <v>23.41</v>
      </c>
      <c r="E3071" s="805">
        <v>3.9175</v>
      </c>
      <c r="F3071" s="806">
        <v>3.89</v>
      </c>
      <c r="G3071" s="805">
        <v>3.4342750803586499</v>
      </c>
      <c r="H3071" s="805">
        <v>42.27</v>
      </c>
      <c r="I3071" s="805">
        <v>17.47</v>
      </c>
      <c r="J3071" s="805">
        <v>1698.67</v>
      </c>
      <c r="K3071" s="805">
        <v>3787.4270000000001</v>
      </c>
    </row>
    <row r="3072" spans="3:11">
      <c r="C3072" s="861">
        <v>41542</v>
      </c>
      <c r="D3072" s="805">
        <v>23.7</v>
      </c>
      <c r="E3072" s="805">
        <v>3.93</v>
      </c>
      <c r="F3072" s="806">
        <v>3.91</v>
      </c>
      <c r="G3072" s="805">
        <v>3.48585352646541</v>
      </c>
      <c r="H3072" s="805">
        <v>42.21</v>
      </c>
      <c r="I3072" s="805">
        <v>16.965</v>
      </c>
      <c r="J3072" s="805">
        <v>1692.77</v>
      </c>
      <c r="K3072" s="805">
        <v>3761.098</v>
      </c>
    </row>
    <row r="3073" spans="3:11">
      <c r="C3073" s="861">
        <v>41541</v>
      </c>
      <c r="D3073" s="805">
        <v>23.704999999999998</v>
      </c>
      <c r="E3073" s="805">
        <v>3.9249999999999998</v>
      </c>
      <c r="F3073" s="806">
        <v>3.8</v>
      </c>
      <c r="G3073" s="805">
        <v>3.5545023696682501</v>
      </c>
      <c r="H3073" s="805">
        <v>42.41</v>
      </c>
      <c r="I3073" s="805">
        <v>17.04</v>
      </c>
      <c r="J3073" s="805">
        <v>1697.42</v>
      </c>
      <c r="K3073" s="805">
        <v>3768.2539999999999</v>
      </c>
    </row>
    <row r="3074" spans="3:11">
      <c r="C3074" s="861">
        <v>41540</v>
      </c>
      <c r="D3074" s="805">
        <v>23.62</v>
      </c>
      <c r="E3074" s="805">
        <v>3.91</v>
      </c>
      <c r="F3074" s="806">
        <v>3.79</v>
      </c>
      <c r="G3074" s="805">
        <v>3.5708241665256399</v>
      </c>
      <c r="H3074" s="805">
        <v>41.88</v>
      </c>
      <c r="I3074" s="805">
        <v>17.05</v>
      </c>
      <c r="J3074" s="805">
        <v>1701.84</v>
      </c>
      <c r="K3074" s="805">
        <v>3765.288</v>
      </c>
    </row>
    <row r="3075" spans="3:11">
      <c r="C3075" s="861">
        <v>41539</v>
      </c>
      <c r="D3075" s="805">
        <v>23.768999999999998</v>
      </c>
      <c r="E3075" s="805">
        <v>3.9474999999999998</v>
      </c>
      <c r="F3075" s="806">
        <v>3.83</v>
      </c>
      <c r="G3075" s="805">
        <v>3.47738014854828</v>
      </c>
      <c r="H3075" s="805">
        <v>41.69</v>
      </c>
      <c r="I3075" s="805">
        <v>17.23</v>
      </c>
      <c r="J3075" s="805">
        <v>1709.91</v>
      </c>
      <c r="K3075" s="805">
        <v>3774.7280000000001</v>
      </c>
    </row>
    <row r="3076" spans="3:11">
      <c r="C3076" s="861">
        <v>41538</v>
      </c>
      <c r="D3076" s="805">
        <v>23.768999999999998</v>
      </c>
      <c r="E3076" s="805">
        <v>3.9474999999999998</v>
      </c>
      <c r="F3076" s="806">
        <v>3.83</v>
      </c>
      <c r="G3076" s="805">
        <v>3.47738014854828</v>
      </c>
      <c r="H3076" s="805">
        <v>41.69</v>
      </c>
      <c r="I3076" s="805">
        <v>17.23</v>
      </c>
      <c r="J3076" s="805">
        <v>1709.91</v>
      </c>
      <c r="K3076" s="805">
        <v>3774.7280000000001</v>
      </c>
    </row>
    <row r="3077" spans="3:11">
      <c r="C3077" s="861">
        <v>41537</v>
      </c>
      <c r="D3077" s="805">
        <v>23.768999999999998</v>
      </c>
      <c r="E3077" s="805">
        <v>3.9474999999999998</v>
      </c>
      <c r="F3077" s="806">
        <v>3.83</v>
      </c>
      <c r="G3077" s="805">
        <v>3.47738014854828</v>
      </c>
      <c r="H3077" s="805">
        <v>41.69</v>
      </c>
      <c r="I3077" s="805">
        <v>17.23</v>
      </c>
      <c r="J3077" s="805">
        <v>1709.91</v>
      </c>
      <c r="K3077" s="805">
        <v>3774.7280000000001</v>
      </c>
    </row>
    <row r="3078" spans="3:11">
      <c r="C3078" s="861">
        <v>41536</v>
      </c>
      <c r="D3078" s="805">
        <v>23.914999999999999</v>
      </c>
      <c r="E3078" s="805">
        <v>3.9824999999999999</v>
      </c>
      <c r="F3078" s="806">
        <v>3.95</v>
      </c>
      <c r="G3078" s="805">
        <v>3.47738014854828</v>
      </c>
      <c r="H3078" s="805">
        <v>40.75</v>
      </c>
      <c r="I3078" s="805">
        <v>17.18</v>
      </c>
      <c r="J3078" s="805">
        <v>1722.34</v>
      </c>
      <c r="K3078" s="805">
        <v>3789.384</v>
      </c>
    </row>
    <row r="3079" spans="3:11">
      <c r="C3079" s="861">
        <v>41535</v>
      </c>
      <c r="D3079" s="805">
        <v>23.9</v>
      </c>
      <c r="E3079" s="805">
        <v>4</v>
      </c>
      <c r="F3079" s="806">
        <v>3.93</v>
      </c>
      <c r="G3079" s="805">
        <v>3.47738014854828</v>
      </c>
      <c r="H3079" s="805">
        <v>40.659999999999997</v>
      </c>
      <c r="I3079" s="805">
        <v>17.27</v>
      </c>
      <c r="J3079" s="805">
        <v>1725.52</v>
      </c>
      <c r="K3079" s="805">
        <v>3783.6410000000001</v>
      </c>
    </row>
    <row r="3080" spans="3:11">
      <c r="C3080" s="861">
        <v>41534</v>
      </c>
      <c r="D3080" s="805">
        <v>23.74</v>
      </c>
      <c r="E3080" s="805">
        <v>3.9649999999999999</v>
      </c>
      <c r="F3080" s="806">
        <v>3.85</v>
      </c>
      <c r="G3080" s="805">
        <v>3.5623839270639901</v>
      </c>
      <c r="H3080" s="805">
        <v>40.119999999999997</v>
      </c>
      <c r="I3080" s="805">
        <v>16.84</v>
      </c>
      <c r="J3080" s="805">
        <v>1704.76</v>
      </c>
      <c r="K3080" s="805">
        <v>3745.6990000000001</v>
      </c>
    </row>
    <row r="3081" spans="3:11">
      <c r="C3081" s="861">
        <v>41533</v>
      </c>
      <c r="D3081" s="805">
        <v>23.39</v>
      </c>
      <c r="E3081" s="805">
        <v>3.9525000000000001</v>
      </c>
      <c r="F3081" s="806">
        <v>3.82</v>
      </c>
      <c r="G3081" s="805">
        <v>3.5623839270639901</v>
      </c>
      <c r="H3081" s="805">
        <v>39.28</v>
      </c>
      <c r="I3081" s="805">
        <v>16.440000000000001</v>
      </c>
      <c r="J3081" s="805">
        <v>1697.6</v>
      </c>
      <c r="K3081" s="805">
        <v>3717.846</v>
      </c>
    </row>
    <row r="3082" spans="3:11">
      <c r="C3082" s="861">
        <v>41532</v>
      </c>
      <c r="D3082" s="805">
        <v>23.44</v>
      </c>
      <c r="E3082" s="805">
        <v>3.95</v>
      </c>
      <c r="F3082" s="806">
        <v>3.83</v>
      </c>
      <c r="G3082" s="805">
        <v>3.4511784511784498</v>
      </c>
      <c r="H3082" s="805">
        <v>38.99</v>
      </c>
      <c r="I3082" s="805">
        <v>16.21</v>
      </c>
      <c r="J3082" s="805">
        <v>1687.99</v>
      </c>
      <c r="K3082" s="805">
        <v>3722.1840000000002</v>
      </c>
    </row>
    <row r="3083" spans="3:11">
      <c r="C3083" s="861">
        <v>41531</v>
      </c>
      <c r="D3083" s="805">
        <v>23.44</v>
      </c>
      <c r="E3083" s="805">
        <v>3.95</v>
      </c>
      <c r="F3083" s="806">
        <v>3.83</v>
      </c>
      <c r="G3083" s="805">
        <v>3.4511784511784498</v>
      </c>
      <c r="H3083" s="805">
        <v>38.99</v>
      </c>
      <c r="I3083" s="805">
        <v>16.21</v>
      </c>
      <c r="J3083" s="805">
        <v>1687.99</v>
      </c>
      <c r="K3083" s="805">
        <v>3722.1840000000002</v>
      </c>
    </row>
    <row r="3084" spans="3:11">
      <c r="C3084" s="861">
        <v>41530</v>
      </c>
      <c r="D3084" s="805">
        <v>23.44</v>
      </c>
      <c r="E3084" s="805">
        <v>3.95</v>
      </c>
      <c r="F3084" s="806">
        <v>3.83</v>
      </c>
      <c r="G3084" s="805">
        <v>3.4511784511784498</v>
      </c>
      <c r="H3084" s="805">
        <v>38.99</v>
      </c>
      <c r="I3084" s="805">
        <v>16.21</v>
      </c>
      <c r="J3084" s="805">
        <v>1687.99</v>
      </c>
      <c r="K3084" s="805">
        <v>3722.1840000000002</v>
      </c>
    </row>
    <row r="3085" spans="3:11">
      <c r="C3085" s="861">
        <v>41529</v>
      </c>
      <c r="D3085" s="805">
        <v>22.63</v>
      </c>
      <c r="E3085" s="805">
        <v>3.9224999999999999</v>
      </c>
      <c r="F3085" s="806">
        <v>3.75</v>
      </c>
      <c r="G3085" s="805">
        <v>3.4943786083257402</v>
      </c>
      <c r="H3085" s="805">
        <v>39.03</v>
      </c>
      <c r="I3085" s="805">
        <v>16.2</v>
      </c>
      <c r="J3085" s="805">
        <v>1683.42</v>
      </c>
      <c r="K3085" s="805">
        <v>3715.9679999999998</v>
      </c>
    </row>
    <row r="3086" spans="3:11">
      <c r="C3086" s="861">
        <v>41528</v>
      </c>
      <c r="D3086" s="805">
        <v>22.81</v>
      </c>
      <c r="E3086" s="805">
        <v>3.9275000000000002</v>
      </c>
      <c r="F3086" s="806">
        <v>3.82</v>
      </c>
      <c r="G3086" s="805">
        <v>3.5269499476863899</v>
      </c>
      <c r="H3086" s="805">
        <v>39.25</v>
      </c>
      <c r="I3086" s="805">
        <v>16.489999999999998</v>
      </c>
      <c r="J3086" s="805">
        <v>1689.13</v>
      </c>
      <c r="K3086" s="805">
        <v>3725.01</v>
      </c>
    </row>
    <row r="3087" spans="3:11">
      <c r="C3087" s="861">
        <v>41527</v>
      </c>
      <c r="D3087" s="805">
        <v>22.984999999999999</v>
      </c>
      <c r="E3087" s="805">
        <v>3.8574999999999999</v>
      </c>
      <c r="F3087" s="806">
        <v>3.87</v>
      </c>
      <c r="G3087" s="805">
        <v>3.5267118895751102</v>
      </c>
      <c r="H3087" s="805">
        <v>39.659999999999997</v>
      </c>
      <c r="I3087" s="805">
        <v>16.260000000000002</v>
      </c>
      <c r="J3087" s="805">
        <v>1683.99</v>
      </c>
      <c r="K3087" s="805">
        <v>3729.0210000000002</v>
      </c>
    </row>
    <row r="3088" spans="3:11">
      <c r="C3088" s="861">
        <v>41526</v>
      </c>
      <c r="D3088" s="805">
        <v>22.91</v>
      </c>
      <c r="E3088" s="805">
        <v>3.78</v>
      </c>
      <c r="F3088" s="806">
        <v>3.69</v>
      </c>
      <c r="G3088" s="805">
        <v>3.47608923087307</v>
      </c>
      <c r="H3088" s="805">
        <v>38.770000000000003</v>
      </c>
      <c r="I3088" s="805">
        <v>15.62</v>
      </c>
      <c r="J3088" s="805">
        <v>1671.71</v>
      </c>
      <c r="K3088" s="805">
        <v>3706.183</v>
      </c>
    </row>
    <row r="3089" spans="3:11">
      <c r="C3089" s="861">
        <v>41525</v>
      </c>
      <c r="D3089" s="805">
        <v>22.67</v>
      </c>
      <c r="E3089" s="805">
        <v>3.72</v>
      </c>
      <c r="F3089" s="806">
        <v>3.57</v>
      </c>
      <c r="G3089" s="805">
        <v>3.4318013592624999</v>
      </c>
      <c r="H3089" s="805">
        <v>38.56</v>
      </c>
      <c r="I3089" s="805">
        <v>15.26</v>
      </c>
      <c r="J3089" s="805">
        <v>1655.17</v>
      </c>
      <c r="K3089" s="805">
        <v>3660.01</v>
      </c>
    </row>
    <row r="3090" spans="3:11">
      <c r="C3090" s="861">
        <v>41524</v>
      </c>
      <c r="D3090" s="805">
        <v>22.67</v>
      </c>
      <c r="E3090" s="805">
        <v>3.72</v>
      </c>
      <c r="F3090" s="806">
        <v>3.57</v>
      </c>
      <c r="G3090" s="805">
        <v>3.4318013592624999</v>
      </c>
      <c r="H3090" s="805">
        <v>38.56</v>
      </c>
      <c r="I3090" s="805">
        <v>15.26</v>
      </c>
      <c r="J3090" s="805">
        <v>1655.17</v>
      </c>
      <c r="K3090" s="805">
        <v>3660.01</v>
      </c>
    </row>
    <row r="3091" spans="3:11">
      <c r="C3091" s="861">
        <v>41523</v>
      </c>
      <c r="D3091" s="805">
        <v>22.67</v>
      </c>
      <c r="E3091" s="805">
        <v>3.72</v>
      </c>
      <c r="F3091" s="806">
        <v>3.57</v>
      </c>
      <c r="G3091" s="805">
        <v>3.4318013592624999</v>
      </c>
      <c r="H3091" s="805">
        <v>38.56</v>
      </c>
      <c r="I3091" s="805">
        <v>15.26</v>
      </c>
      <c r="J3091" s="805">
        <v>1655.17</v>
      </c>
      <c r="K3091" s="805">
        <v>3660.01</v>
      </c>
    </row>
    <row r="3092" spans="3:11">
      <c r="C3092" s="861">
        <v>41522</v>
      </c>
      <c r="D3092" s="805">
        <v>22.6</v>
      </c>
      <c r="E3092" s="805">
        <v>3.7349999999999999</v>
      </c>
      <c r="F3092" s="806">
        <v>3.41</v>
      </c>
      <c r="G3092" s="805">
        <v>3.4048976853404902</v>
      </c>
      <c r="H3092" s="805">
        <v>38.79</v>
      </c>
      <c r="I3092" s="805">
        <v>15.17</v>
      </c>
      <c r="J3092" s="805">
        <v>1655.08</v>
      </c>
      <c r="K3092" s="805">
        <v>3658.7849999999999</v>
      </c>
    </row>
    <row r="3093" spans="3:11">
      <c r="C3093" s="861">
        <v>41521</v>
      </c>
      <c r="D3093" s="805">
        <v>22.635000000000002</v>
      </c>
      <c r="E3093" s="805">
        <v>3.7275</v>
      </c>
      <c r="F3093" s="806">
        <v>3.31</v>
      </c>
      <c r="G3093" s="805">
        <v>3.3855482566953001</v>
      </c>
      <c r="H3093" s="805">
        <v>38.979999999999997</v>
      </c>
      <c r="I3093" s="805">
        <v>14.75</v>
      </c>
      <c r="J3093" s="805">
        <v>1653.08</v>
      </c>
      <c r="K3093" s="805">
        <v>3649.0419999999999</v>
      </c>
    </row>
    <row r="3094" spans="3:11">
      <c r="C3094" s="861">
        <v>41520</v>
      </c>
      <c r="D3094" s="805">
        <v>22.067</v>
      </c>
      <c r="E3094" s="805">
        <v>3.69</v>
      </c>
      <c r="F3094" s="806">
        <v>3.27</v>
      </c>
      <c r="G3094" s="805">
        <v>3.42477252123695</v>
      </c>
      <c r="H3094" s="805">
        <v>38.35</v>
      </c>
      <c r="I3094" s="805">
        <v>14.01</v>
      </c>
      <c r="J3094" s="805">
        <v>1639.77</v>
      </c>
      <c r="K3094" s="805">
        <v>3612.6120000000001</v>
      </c>
    </row>
    <row r="3095" spans="3:11">
      <c r="C3095" s="861">
        <v>41519</v>
      </c>
      <c r="D3095" s="805">
        <v>21.98</v>
      </c>
      <c r="E3095" s="805">
        <v>3.6875</v>
      </c>
      <c r="F3095" s="806">
        <v>3.27</v>
      </c>
      <c r="G3095" s="805">
        <v>3.4314550042052101</v>
      </c>
      <c r="H3095" s="805">
        <v>38.51</v>
      </c>
      <c r="I3095" s="805">
        <v>13.57</v>
      </c>
      <c r="J3095" s="805">
        <v>1632.97</v>
      </c>
      <c r="K3095" s="805">
        <v>3589.8679999999999</v>
      </c>
    </row>
    <row r="3096" spans="3:11">
      <c r="C3096" s="861">
        <v>41518</v>
      </c>
      <c r="D3096" s="805">
        <v>21.98</v>
      </c>
      <c r="E3096" s="805">
        <v>3.6875</v>
      </c>
      <c r="F3096" s="806">
        <v>3.27</v>
      </c>
      <c r="G3096" s="805">
        <v>3.3612040133779302</v>
      </c>
      <c r="H3096" s="805">
        <v>38.51</v>
      </c>
      <c r="I3096" s="805">
        <v>13.57</v>
      </c>
      <c r="J3096" s="805">
        <v>1632.97</v>
      </c>
      <c r="K3096" s="805">
        <v>3589.8679999999999</v>
      </c>
    </row>
    <row r="3097" spans="3:11">
      <c r="C3097" s="861">
        <v>41517</v>
      </c>
      <c r="D3097" s="805">
        <v>21.98</v>
      </c>
      <c r="E3097" s="805">
        <v>3.6875</v>
      </c>
      <c r="F3097" s="806">
        <v>3.27</v>
      </c>
      <c r="G3097" s="805">
        <v>3.3612040133779302</v>
      </c>
      <c r="H3097" s="805">
        <v>38.51</v>
      </c>
      <c r="I3097" s="805">
        <v>13.57</v>
      </c>
      <c r="J3097" s="805">
        <v>1632.97</v>
      </c>
      <c r="K3097" s="805">
        <v>3589.8679999999999</v>
      </c>
    </row>
    <row r="3098" spans="3:11">
      <c r="C3098" s="861">
        <v>41516</v>
      </c>
      <c r="D3098" s="805">
        <v>21.98</v>
      </c>
      <c r="E3098" s="805">
        <v>3.6875</v>
      </c>
      <c r="F3098" s="806">
        <v>3.27</v>
      </c>
      <c r="G3098" s="805">
        <v>3.3612040133779302</v>
      </c>
      <c r="H3098" s="805">
        <v>38.51</v>
      </c>
      <c r="I3098" s="805">
        <v>13.57</v>
      </c>
      <c r="J3098" s="805">
        <v>1632.97</v>
      </c>
      <c r="K3098" s="805">
        <v>3589.8679999999999</v>
      </c>
    </row>
    <row r="3099" spans="3:11">
      <c r="C3099" s="861">
        <v>41515</v>
      </c>
      <c r="D3099" s="805">
        <v>22.06</v>
      </c>
      <c r="E3099" s="805">
        <v>3.6924999999999999</v>
      </c>
      <c r="F3099" s="806">
        <v>3.38</v>
      </c>
      <c r="G3099" s="805">
        <v>3.2976946207818201</v>
      </c>
      <c r="H3099" s="805">
        <v>38.950000000000003</v>
      </c>
      <c r="I3099" s="805">
        <v>13.57</v>
      </c>
      <c r="J3099" s="805">
        <v>1638.17</v>
      </c>
      <c r="K3099" s="805">
        <v>3620.3029999999999</v>
      </c>
    </row>
    <row r="3100" spans="3:11">
      <c r="C3100" s="861">
        <v>41514</v>
      </c>
      <c r="D3100" s="805">
        <v>22.285</v>
      </c>
      <c r="E3100" s="805">
        <v>3.7</v>
      </c>
      <c r="F3100" s="806">
        <v>3.42</v>
      </c>
      <c r="G3100" s="805">
        <v>3.2330249490665</v>
      </c>
      <c r="H3100" s="805">
        <v>38.28</v>
      </c>
      <c r="I3100" s="805">
        <v>13.24</v>
      </c>
      <c r="J3100" s="805">
        <v>1634.96</v>
      </c>
      <c r="K3100" s="805">
        <v>3593.3490000000002</v>
      </c>
    </row>
    <row r="3101" spans="3:11">
      <c r="C3101" s="861">
        <v>41513</v>
      </c>
      <c r="D3101" s="805">
        <v>22.190999999999999</v>
      </c>
      <c r="E3101" s="805">
        <v>3.6974999999999998</v>
      </c>
      <c r="F3101" s="806">
        <v>3.39</v>
      </c>
      <c r="G3101" s="805">
        <v>3.18772924308103</v>
      </c>
      <c r="H3101" s="805">
        <v>36.549999999999997</v>
      </c>
      <c r="I3101" s="805">
        <v>13.17</v>
      </c>
      <c r="J3101" s="805">
        <v>1630.48</v>
      </c>
      <c r="K3101" s="805">
        <v>3578.5239999999999</v>
      </c>
    </row>
    <row r="3102" spans="3:11">
      <c r="C3102" s="861">
        <v>41512</v>
      </c>
      <c r="D3102" s="805">
        <v>22.274999999999999</v>
      </c>
      <c r="E3102" s="805">
        <v>3.75</v>
      </c>
      <c r="F3102" s="806">
        <v>3.58</v>
      </c>
      <c r="G3102" s="805">
        <v>3.23421316404945</v>
      </c>
      <c r="H3102" s="805">
        <v>37.479999999999997</v>
      </c>
      <c r="I3102" s="805">
        <v>13.78</v>
      </c>
      <c r="J3102" s="805">
        <v>1656.78</v>
      </c>
      <c r="K3102" s="805">
        <v>3657.5709999999999</v>
      </c>
    </row>
    <row r="3103" spans="3:11">
      <c r="C3103" s="861">
        <v>41511</v>
      </c>
      <c r="D3103" s="805">
        <v>22.44</v>
      </c>
      <c r="E3103" s="805">
        <v>3.74</v>
      </c>
      <c r="F3103" s="806">
        <v>3.65</v>
      </c>
      <c r="G3103" s="805">
        <v>3.2447982872817298</v>
      </c>
      <c r="H3103" s="805">
        <v>36.74</v>
      </c>
      <c r="I3103" s="805">
        <v>13.86</v>
      </c>
      <c r="J3103" s="805">
        <v>1663.5</v>
      </c>
      <c r="K3103" s="805">
        <v>3657.7919999999999</v>
      </c>
    </row>
    <row r="3104" spans="3:11">
      <c r="C3104" s="861">
        <v>41510</v>
      </c>
      <c r="D3104" s="805">
        <v>22.44</v>
      </c>
      <c r="E3104" s="805">
        <v>3.74</v>
      </c>
      <c r="F3104" s="806">
        <v>3.65</v>
      </c>
      <c r="G3104" s="805">
        <v>3.2447982872817298</v>
      </c>
      <c r="H3104" s="805">
        <v>36.74</v>
      </c>
      <c r="I3104" s="805">
        <v>13.86</v>
      </c>
      <c r="J3104" s="805">
        <v>1663.5</v>
      </c>
      <c r="K3104" s="805">
        <v>3657.7919999999999</v>
      </c>
    </row>
    <row r="3105" spans="3:11">
      <c r="C3105" s="861">
        <v>41509</v>
      </c>
      <c r="D3105" s="805">
        <v>22.44</v>
      </c>
      <c r="E3105" s="805">
        <v>3.74</v>
      </c>
      <c r="F3105" s="806">
        <v>3.65</v>
      </c>
      <c r="G3105" s="805">
        <v>3.2447982872817298</v>
      </c>
      <c r="H3105" s="805">
        <v>36.74</v>
      </c>
      <c r="I3105" s="805">
        <v>13.86</v>
      </c>
      <c r="J3105" s="805">
        <v>1663.5</v>
      </c>
      <c r="K3105" s="805">
        <v>3657.7919999999999</v>
      </c>
    </row>
    <row r="3106" spans="3:11">
      <c r="C3106" s="861">
        <v>41508</v>
      </c>
      <c r="D3106" s="805">
        <v>22.26</v>
      </c>
      <c r="E3106" s="805">
        <v>3.74</v>
      </c>
      <c r="F3106" s="806">
        <v>3.63</v>
      </c>
      <c r="G3106" s="805">
        <v>3.1531531531531498</v>
      </c>
      <c r="H3106" s="805">
        <v>36.61</v>
      </c>
      <c r="I3106" s="805">
        <v>13.86</v>
      </c>
      <c r="J3106" s="805">
        <v>1656.96</v>
      </c>
      <c r="K3106" s="805">
        <v>3638.7069999999999</v>
      </c>
    </row>
    <row r="3107" spans="3:11">
      <c r="C3107" s="861">
        <v>41507</v>
      </c>
      <c r="D3107" s="805">
        <v>22.17</v>
      </c>
      <c r="E3107" s="805">
        <v>3.72</v>
      </c>
      <c r="F3107" s="806">
        <v>3.61</v>
      </c>
      <c r="G3107" s="805">
        <v>3.15719063545151</v>
      </c>
      <c r="H3107" s="805">
        <v>36.590000000000003</v>
      </c>
      <c r="I3107" s="805">
        <v>13.63</v>
      </c>
      <c r="J3107" s="805">
        <v>1642.8</v>
      </c>
      <c r="K3107" s="805">
        <v>3599.79</v>
      </c>
    </row>
    <row r="3108" spans="3:11">
      <c r="C3108" s="861">
        <v>41506</v>
      </c>
      <c r="D3108" s="805">
        <v>22.523</v>
      </c>
      <c r="E3108" s="805">
        <v>3.7374999999999998</v>
      </c>
      <c r="F3108" s="806">
        <v>3.63</v>
      </c>
      <c r="G3108" s="805">
        <v>3.15719063545151</v>
      </c>
      <c r="H3108" s="805">
        <v>36.79</v>
      </c>
      <c r="I3108" s="805">
        <v>13.8</v>
      </c>
      <c r="J3108" s="805">
        <v>1652.35</v>
      </c>
      <c r="K3108" s="805">
        <v>3613.59</v>
      </c>
    </row>
    <row r="3109" spans="3:11">
      <c r="C3109" s="861">
        <v>41505</v>
      </c>
      <c r="D3109" s="805">
        <v>22.28</v>
      </c>
      <c r="E3109" s="805">
        <v>3.7374999999999998</v>
      </c>
      <c r="F3109" s="806">
        <v>3.6</v>
      </c>
      <c r="G3109" s="805">
        <v>3.1875834445927902</v>
      </c>
      <c r="H3109" s="805">
        <v>36.25</v>
      </c>
      <c r="I3109" s="805">
        <v>13.8</v>
      </c>
      <c r="J3109" s="805">
        <v>1646.06</v>
      </c>
      <c r="K3109" s="805">
        <v>3589.0859999999998</v>
      </c>
    </row>
    <row r="3110" spans="3:11">
      <c r="C3110" s="861">
        <v>41504</v>
      </c>
      <c r="D3110" s="805">
        <v>21.914999999999999</v>
      </c>
      <c r="E3110" s="805">
        <v>3.7974999999999999</v>
      </c>
      <c r="F3110" s="806">
        <v>3.66</v>
      </c>
      <c r="G3110" s="805">
        <v>3.2274247491638799</v>
      </c>
      <c r="H3110" s="805">
        <v>36.25</v>
      </c>
      <c r="I3110" s="805">
        <v>14.01</v>
      </c>
      <c r="J3110" s="805">
        <v>1655.83</v>
      </c>
      <c r="K3110" s="805">
        <v>3602.7779999999998</v>
      </c>
    </row>
    <row r="3111" spans="3:11">
      <c r="C3111" s="861">
        <v>41503</v>
      </c>
      <c r="D3111" s="805">
        <v>21.914999999999999</v>
      </c>
      <c r="E3111" s="805">
        <v>3.7974999999999999</v>
      </c>
      <c r="F3111" s="806">
        <v>3.66</v>
      </c>
      <c r="G3111" s="805">
        <v>3.2274247491638799</v>
      </c>
      <c r="H3111" s="805">
        <v>36.25</v>
      </c>
      <c r="I3111" s="805">
        <v>14.01</v>
      </c>
      <c r="J3111" s="805">
        <v>1655.83</v>
      </c>
      <c r="K3111" s="805">
        <v>3602.7779999999998</v>
      </c>
    </row>
    <row r="3112" spans="3:11">
      <c r="C3112" s="861">
        <v>41502</v>
      </c>
      <c r="D3112" s="805">
        <v>21.914999999999999</v>
      </c>
      <c r="E3112" s="805">
        <v>3.7974999999999999</v>
      </c>
      <c r="F3112" s="806">
        <v>3.66</v>
      </c>
      <c r="G3112" s="805">
        <v>3.2274247491638799</v>
      </c>
      <c r="H3112" s="805">
        <v>36.25</v>
      </c>
      <c r="I3112" s="805">
        <v>14.01</v>
      </c>
      <c r="J3112" s="805">
        <v>1655.83</v>
      </c>
      <c r="K3112" s="805">
        <v>3602.7779999999998</v>
      </c>
    </row>
    <row r="3113" spans="3:11">
      <c r="C3113" s="861">
        <v>41501</v>
      </c>
      <c r="D3113" s="805">
        <v>22.03</v>
      </c>
      <c r="E3113" s="805">
        <v>3.78</v>
      </c>
      <c r="F3113" s="806">
        <v>3.69</v>
      </c>
      <c r="G3113" s="805">
        <v>3.2042723631508698</v>
      </c>
      <c r="H3113" s="805">
        <v>36.020000000000003</v>
      </c>
      <c r="I3113" s="805">
        <v>14.13</v>
      </c>
      <c r="J3113" s="805">
        <v>1661.32</v>
      </c>
      <c r="K3113" s="805">
        <v>3606.1170000000002</v>
      </c>
    </row>
    <row r="3114" spans="3:11">
      <c r="C3114" s="861">
        <v>41500</v>
      </c>
      <c r="D3114" s="805">
        <v>22.57</v>
      </c>
      <c r="E3114" s="805">
        <v>3.7574999999999998</v>
      </c>
      <c r="F3114" s="806">
        <v>3.82</v>
      </c>
      <c r="G3114" s="805">
        <v>3.2309746328437901</v>
      </c>
      <c r="H3114" s="805">
        <v>37.22</v>
      </c>
      <c r="I3114" s="805">
        <v>14.82</v>
      </c>
      <c r="J3114" s="805">
        <v>1685.39</v>
      </c>
      <c r="K3114" s="805">
        <v>3669.2730000000001</v>
      </c>
    </row>
    <row r="3115" spans="3:11">
      <c r="C3115" s="861">
        <v>41499</v>
      </c>
      <c r="D3115" s="805">
        <v>22.52</v>
      </c>
      <c r="E3115" s="805">
        <v>3.605</v>
      </c>
      <c r="F3115" s="806">
        <v>3.69</v>
      </c>
      <c r="G3115" s="805">
        <v>3.2419451671002602</v>
      </c>
      <c r="H3115" s="805">
        <v>38.020000000000003</v>
      </c>
      <c r="I3115" s="805">
        <v>14.97</v>
      </c>
      <c r="J3115" s="805">
        <v>1694.16</v>
      </c>
      <c r="K3115" s="805">
        <v>3684.4430000000002</v>
      </c>
    </row>
    <row r="3116" spans="3:11">
      <c r="C3116" s="861">
        <v>41498</v>
      </c>
      <c r="D3116" s="805">
        <v>22.64</v>
      </c>
      <c r="E3116" s="805">
        <v>3.5924999999999998</v>
      </c>
      <c r="F3116" s="806">
        <v>3.65</v>
      </c>
      <c r="G3116" s="805">
        <v>3.2053422370617701</v>
      </c>
      <c r="H3116" s="805">
        <v>37.700000000000003</v>
      </c>
      <c r="I3116" s="805">
        <v>13.83</v>
      </c>
      <c r="J3116" s="805">
        <v>1689.47</v>
      </c>
      <c r="K3116" s="805">
        <v>3669.951</v>
      </c>
    </row>
    <row r="3117" spans="3:11">
      <c r="C3117" s="861">
        <v>41497</v>
      </c>
      <c r="D3117" s="805">
        <v>22.51</v>
      </c>
      <c r="E3117" s="805">
        <v>3.6225000000000001</v>
      </c>
      <c r="F3117" s="806">
        <v>3.65</v>
      </c>
      <c r="G3117" s="805">
        <v>3.22354121384384</v>
      </c>
      <c r="H3117" s="805">
        <v>36.83</v>
      </c>
      <c r="I3117" s="805">
        <v>13.99</v>
      </c>
      <c r="J3117" s="805">
        <v>1691.42</v>
      </c>
      <c r="K3117" s="805">
        <v>3660.1080000000002</v>
      </c>
    </row>
    <row r="3118" spans="3:11">
      <c r="C3118" s="861">
        <v>41496</v>
      </c>
      <c r="D3118" s="805">
        <v>22.51</v>
      </c>
      <c r="E3118" s="805">
        <v>3.6225000000000001</v>
      </c>
      <c r="F3118" s="806">
        <v>3.65</v>
      </c>
      <c r="G3118" s="805">
        <v>3.22354121384384</v>
      </c>
      <c r="H3118" s="805">
        <v>36.83</v>
      </c>
      <c r="I3118" s="805">
        <v>13.99</v>
      </c>
      <c r="J3118" s="805">
        <v>1691.42</v>
      </c>
      <c r="K3118" s="805">
        <v>3660.1080000000002</v>
      </c>
    </row>
    <row r="3119" spans="3:11">
      <c r="C3119" s="861">
        <v>41495</v>
      </c>
      <c r="D3119" s="805">
        <v>22.51</v>
      </c>
      <c r="E3119" s="805">
        <v>3.6225000000000001</v>
      </c>
      <c r="F3119" s="806">
        <v>3.65</v>
      </c>
      <c r="G3119" s="805">
        <v>3.22354121384384</v>
      </c>
      <c r="H3119" s="805">
        <v>36.83</v>
      </c>
      <c r="I3119" s="805">
        <v>13.99</v>
      </c>
      <c r="J3119" s="805">
        <v>1691.42</v>
      </c>
      <c r="K3119" s="805">
        <v>3660.1080000000002</v>
      </c>
    </row>
    <row r="3120" spans="3:11">
      <c r="C3120" s="861">
        <v>41494</v>
      </c>
      <c r="D3120" s="805">
        <v>22.45</v>
      </c>
      <c r="E3120" s="805">
        <v>3.6749999999999998</v>
      </c>
      <c r="F3120" s="806">
        <v>3.71</v>
      </c>
      <c r="G3120" s="805">
        <v>3.22623828647925</v>
      </c>
      <c r="H3120" s="805">
        <v>37.32</v>
      </c>
      <c r="I3120" s="805">
        <v>13.95</v>
      </c>
      <c r="J3120" s="805">
        <v>1697.48</v>
      </c>
      <c r="K3120" s="805">
        <v>3669.1239999999998</v>
      </c>
    </row>
    <row r="3121" spans="3:11">
      <c r="C3121" s="861">
        <v>41493</v>
      </c>
      <c r="D3121" s="805">
        <v>22.7</v>
      </c>
      <c r="E3121" s="805">
        <v>3.65</v>
      </c>
      <c r="F3121" s="806">
        <v>3.69</v>
      </c>
      <c r="G3121" s="805">
        <v>3.2387312186978301</v>
      </c>
      <c r="H3121" s="805">
        <v>37.29</v>
      </c>
      <c r="I3121" s="805">
        <v>13.81</v>
      </c>
      <c r="J3121" s="805">
        <v>1690.91</v>
      </c>
      <c r="K3121" s="805">
        <v>3654.009</v>
      </c>
    </row>
    <row r="3122" spans="3:11">
      <c r="C3122" s="861">
        <v>41492</v>
      </c>
      <c r="D3122" s="805">
        <v>22.8</v>
      </c>
      <c r="E3122" s="805">
        <v>3.6524999999999999</v>
      </c>
      <c r="F3122" s="806">
        <v>3.72</v>
      </c>
      <c r="G3122" s="805">
        <v>3.2988313856427398</v>
      </c>
      <c r="H3122" s="805">
        <v>36.86</v>
      </c>
      <c r="I3122" s="805">
        <v>14.14</v>
      </c>
      <c r="J3122" s="805">
        <v>1697.37</v>
      </c>
      <c r="K3122" s="805">
        <v>3665.77</v>
      </c>
    </row>
    <row r="3123" spans="3:11">
      <c r="C3123" s="861">
        <v>41491</v>
      </c>
      <c r="D3123" s="805">
        <v>22.923999999999999</v>
      </c>
      <c r="E3123" s="805">
        <v>3.7075</v>
      </c>
      <c r="F3123" s="806">
        <v>3.82</v>
      </c>
      <c r="G3123" s="805">
        <v>3.3564892124774599</v>
      </c>
      <c r="H3123" s="805">
        <v>37.020000000000003</v>
      </c>
      <c r="I3123" s="805">
        <v>14.18</v>
      </c>
      <c r="J3123" s="805">
        <v>1707.14</v>
      </c>
      <c r="K3123" s="805">
        <v>3692.951</v>
      </c>
    </row>
    <row r="3124" spans="3:11">
      <c r="C3124" s="861">
        <v>41490</v>
      </c>
      <c r="D3124" s="805">
        <v>23.22</v>
      </c>
      <c r="E3124" s="805">
        <v>3.69</v>
      </c>
      <c r="F3124" s="806">
        <v>3.8</v>
      </c>
      <c r="G3124" s="805">
        <v>3.3522348232154799</v>
      </c>
      <c r="H3124" s="805">
        <v>37.49</v>
      </c>
      <c r="I3124" s="805">
        <v>13.5</v>
      </c>
      <c r="J3124" s="805">
        <v>1709.67</v>
      </c>
      <c r="K3124" s="805">
        <v>3689.59</v>
      </c>
    </row>
    <row r="3125" spans="3:11">
      <c r="C3125" s="861">
        <v>41489</v>
      </c>
      <c r="D3125" s="805">
        <v>23.22</v>
      </c>
      <c r="E3125" s="805">
        <v>3.69</v>
      </c>
      <c r="F3125" s="806">
        <v>3.8</v>
      </c>
      <c r="G3125" s="805">
        <v>3.3522348232154799</v>
      </c>
      <c r="H3125" s="805">
        <v>37.49</v>
      </c>
      <c r="I3125" s="805">
        <v>13.5</v>
      </c>
      <c r="J3125" s="805">
        <v>1709.67</v>
      </c>
      <c r="K3125" s="805">
        <v>3689.59</v>
      </c>
    </row>
    <row r="3126" spans="3:11">
      <c r="C3126" s="861">
        <v>41488</v>
      </c>
      <c r="D3126" s="805">
        <v>23.22</v>
      </c>
      <c r="E3126" s="805">
        <v>3.69</v>
      </c>
      <c r="F3126" s="806">
        <v>3.8</v>
      </c>
      <c r="G3126" s="805">
        <v>3.3522348232154799</v>
      </c>
      <c r="H3126" s="805">
        <v>37.49</v>
      </c>
      <c r="I3126" s="805">
        <v>13.5</v>
      </c>
      <c r="J3126" s="805">
        <v>1709.67</v>
      </c>
      <c r="K3126" s="805">
        <v>3689.59</v>
      </c>
    </row>
    <row r="3127" spans="3:11">
      <c r="C3127" s="861">
        <v>41487</v>
      </c>
      <c r="D3127" s="805">
        <v>23.2</v>
      </c>
      <c r="E3127" s="805">
        <v>3.66</v>
      </c>
      <c r="F3127" s="806">
        <v>3.81</v>
      </c>
      <c r="G3127" s="805">
        <v>3.34587342277857</v>
      </c>
      <c r="H3127" s="805">
        <v>37.4</v>
      </c>
      <c r="I3127" s="805">
        <v>13.58</v>
      </c>
      <c r="J3127" s="805">
        <v>1706.87</v>
      </c>
      <c r="K3127" s="805">
        <v>3675.74</v>
      </c>
    </row>
    <row r="3128" spans="3:11">
      <c r="C3128" s="861">
        <v>41486</v>
      </c>
      <c r="D3128" s="805">
        <v>23.335000000000001</v>
      </c>
      <c r="E3128" s="805">
        <v>3.6074999999999999</v>
      </c>
      <c r="F3128" s="806">
        <v>3.77</v>
      </c>
      <c r="G3128" s="805">
        <v>3.4183758545939602</v>
      </c>
      <c r="H3128" s="805">
        <v>36.68</v>
      </c>
      <c r="I3128" s="805">
        <v>13.25</v>
      </c>
      <c r="J3128" s="805">
        <v>1685.73</v>
      </c>
      <c r="K3128" s="805">
        <v>3626.37</v>
      </c>
    </row>
    <row r="3129" spans="3:11">
      <c r="C3129" s="861">
        <v>41485</v>
      </c>
      <c r="D3129" s="805">
        <v>23.38</v>
      </c>
      <c r="E3129" s="805">
        <v>3.6025</v>
      </c>
      <c r="F3129" s="806">
        <v>3.82</v>
      </c>
      <c r="G3129" s="805">
        <v>3.4079518877380601</v>
      </c>
      <c r="H3129" s="805">
        <v>36.85</v>
      </c>
      <c r="I3129" s="805">
        <v>12.6</v>
      </c>
      <c r="J3129" s="805">
        <v>1685.96</v>
      </c>
      <c r="K3129" s="805">
        <v>3616.47</v>
      </c>
    </row>
    <row r="3130" spans="3:11">
      <c r="C3130" s="861">
        <v>41484</v>
      </c>
      <c r="D3130" s="805">
        <v>23.24</v>
      </c>
      <c r="E3130" s="805">
        <v>3.5425</v>
      </c>
      <c r="F3130" s="806">
        <v>3.75</v>
      </c>
      <c r="G3130" s="805">
        <v>3.3444816053511701</v>
      </c>
      <c r="H3130" s="805">
        <v>36.590000000000003</v>
      </c>
      <c r="I3130" s="805">
        <v>12.47</v>
      </c>
      <c r="J3130" s="805">
        <v>1685.33</v>
      </c>
      <c r="K3130" s="805">
        <v>3599.14</v>
      </c>
    </row>
    <row r="3131" spans="3:11">
      <c r="C3131" s="861">
        <v>41483</v>
      </c>
      <c r="D3131" s="805">
        <v>23.26</v>
      </c>
      <c r="E3131" s="805">
        <v>3.55</v>
      </c>
      <c r="F3131" s="806">
        <v>3.82</v>
      </c>
      <c r="G3131" s="805">
        <v>3.4298142881043998</v>
      </c>
      <c r="H3131" s="805">
        <v>36.78</v>
      </c>
      <c r="I3131" s="805">
        <v>12.59</v>
      </c>
      <c r="J3131" s="805">
        <v>1691.65</v>
      </c>
      <c r="K3131" s="805">
        <v>3613.16</v>
      </c>
    </row>
    <row r="3132" spans="3:11">
      <c r="C3132" s="861">
        <v>41482</v>
      </c>
      <c r="D3132" s="805">
        <v>23.26</v>
      </c>
      <c r="E3132" s="805">
        <v>3.55</v>
      </c>
      <c r="F3132" s="806">
        <v>3.82</v>
      </c>
      <c r="G3132" s="805">
        <v>3.4298142881043998</v>
      </c>
      <c r="H3132" s="805">
        <v>36.78</v>
      </c>
      <c r="I3132" s="805">
        <v>12.59</v>
      </c>
      <c r="J3132" s="805">
        <v>1691.65</v>
      </c>
      <c r="K3132" s="805">
        <v>3613.16</v>
      </c>
    </row>
    <row r="3133" spans="3:11">
      <c r="C3133" s="861">
        <v>41481</v>
      </c>
      <c r="D3133" s="805">
        <v>23.26</v>
      </c>
      <c r="E3133" s="805">
        <v>3.55</v>
      </c>
      <c r="F3133" s="806">
        <v>3.82</v>
      </c>
      <c r="G3133" s="805">
        <v>3.4298142881043998</v>
      </c>
      <c r="H3133" s="805">
        <v>36.78</v>
      </c>
      <c r="I3133" s="805">
        <v>12.59</v>
      </c>
      <c r="J3133" s="805">
        <v>1691.65</v>
      </c>
      <c r="K3133" s="805">
        <v>3613.16</v>
      </c>
    </row>
    <row r="3134" spans="3:11">
      <c r="C3134" s="861">
        <v>41480</v>
      </c>
      <c r="D3134" s="805">
        <v>23.06</v>
      </c>
      <c r="E3134" s="805">
        <v>3.5649999999999999</v>
      </c>
      <c r="F3134" s="806">
        <v>3.7</v>
      </c>
      <c r="G3134" s="805">
        <v>3.4240855186236798</v>
      </c>
      <c r="H3134" s="805">
        <v>36.9</v>
      </c>
      <c r="I3134" s="805">
        <v>13.29</v>
      </c>
      <c r="J3134" s="805">
        <v>1690.25</v>
      </c>
      <c r="K3134" s="805">
        <v>3605.19</v>
      </c>
    </row>
    <row r="3135" spans="3:11">
      <c r="C3135" s="861">
        <v>41479</v>
      </c>
      <c r="D3135" s="805">
        <v>22.93</v>
      </c>
      <c r="E3135" s="805">
        <v>3.5525000000000002</v>
      </c>
      <c r="F3135" s="806">
        <v>3.63</v>
      </c>
      <c r="G3135" s="805">
        <v>3.41023069207623</v>
      </c>
      <c r="H3135" s="805">
        <v>36.89</v>
      </c>
      <c r="I3135" s="805">
        <v>13.105</v>
      </c>
      <c r="J3135" s="805">
        <v>1685.94</v>
      </c>
      <c r="K3135" s="805">
        <v>3579.6</v>
      </c>
    </row>
    <row r="3136" spans="3:11">
      <c r="C3136" s="861">
        <v>41478</v>
      </c>
      <c r="D3136" s="805">
        <v>22.75</v>
      </c>
      <c r="E3136" s="805">
        <v>3.5525000000000002</v>
      </c>
      <c r="F3136" s="806">
        <v>3.66</v>
      </c>
      <c r="G3136" s="805">
        <v>3.3449290875033402</v>
      </c>
      <c r="H3136" s="805">
        <v>37.61</v>
      </c>
      <c r="I3136" s="805">
        <v>13.64</v>
      </c>
      <c r="J3136" s="805">
        <v>1692.39</v>
      </c>
      <c r="K3136" s="805">
        <v>3579.27</v>
      </c>
    </row>
    <row r="3137" spans="3:11">
      <c r="C3137" s="861">
        <v>41477</v>
      </c>
      <c r="D3137" s="805">
        <v>22.77</v>
      </c>
      <c r="E3137" s="805">
        <v>3.5575000000000001</v>
      </c>
      <c r="F3137" s="806">
        <v>3.9</v>
      </c>
      <c r="G3137" s="805">
        <v>3.2479491043027</v>
      </c>
      <c r="H3137" s="805">
        <v>37.79</v>
      </c>
      <c r="I3137" s="805">
        <v>13.83</v>
      </c>
      <c r="J3137" s="805">
        <v>1695.53</v>
      </c>
      <c r="K3137" s="805">
        <v>3600.39</v>
      </c>
    </row>
    <row r="3138" spans="3:11">
      <c r="C3138" s="861">
        <v>41476</v>
      </c>
      <c r="D3138" s="805">
        <v>23.04</v>
      </c>
      <c r="E3138" s="805">
        <v>3.56</v>
      </c>
      <c r="F3138" s="806">
        <v>4.03</v>
      </c>
      <c r="G3138" s="805">
        <v>3.2838416265382602</v>
      </c>
      <c r="H3138" s="805">
        <v>37.85</v>
      </c>
      <c r="I3138" s="805">
        <v>13.73</v>
      </c>
      <c r="J3138" s="805">
        <v>1692.09</v>
      </c>
      <c r="K3138" s="805">
        <v>3587.61</v>
      </c>
    </row>
    <row r="3139" spans="3:11">
      <c r="C3139" s="861">
        <v>41475</v>
      </c>
      <c r="D3139" s="805">
        <v>23.04</v>
      </c>
      <c r="E3139" s="805">
        <v>3.56</v>
      </c>
      <c r="F3139" s="806">
        <v>4.03</v>
      </c>
      <c r="G3139" s="805">
        <v>3.2838416265382602</v>
      </c>
      <c r="H3139" s="805">
        <v>37.85</v>
      </c>
      <c r="I3139" s="805">
        <v>13.73</v>
      </c>
      <c r="J3139" s="805">
        <v>1692.09</v>
      </c>
      <c r="K3139" s="805">
        <v>3587.61</v>
      </c>
    </row>
    <row r="3140" spans="3:11">
      <c r="C3140" s="861">
        <v>41474</v>
      </c>
      <c r="D3140" s="805">
        <v>23.04</v>
      </c>
      <c r="E3140" s="805">
        <v>3.56</v>
      </c>
      <c r="F3140" s="806">
        <v>4.03</v>
      </c>
      <c r="G3140" s="805">
        <v>3.2838416265382602</v>
      </c>
      <c r="H3140" s="805">
        <v>37.85</v>
      </c>
      <c r="I3140" s="805">
        <v>13.73</v>
      </c>
      <c r="J3140" s="805">
        <v>1692.09</v>
      </c>
      <c r="K3140" s="805">
        <v>3587.61</v>
      </c>
    </row>
    <row r="3141" spans="3:11">
      <c r="C3141" s="861">
        <v>41473</v>
      </c>
      <c r="D3141" s="805">
        <v>23.244</v>
      </c>
      <c r="E3141" s="805">
        <v>3.64</v>
      </c>
      <c r="F3141" s="806">
        <v>4.6399999999999997</v>
      </c>
      <c r="G3141" s="805">
        <v>3.5237140948563801</v>
      </c>
      <c r="H3141" s="805">
        <v>37.6</v>
      </c>
      <c r="I3141" s="805">
        <v>13.69</v>
      </c>
      <c r="J3141" s="805">
        <v>1689.37</v>
      </c>
      <c r="K3141" s="805">
        <v>3611.28</v>
      </c>
    </row>
    <row r="3142" spans="3:11">
      <c r="C3142" s="861">
        <v>41472</v>
      </c>
      <c r="D3142" s="805">
        <v>24.15</v>
      </c>
      <c r="E3142" s="805">
        <v>3.6524999999999999</v>
      </c>
      <c r="F3142" s="806">
        <v>4.38</v>
      </c>
      <c r="G3142" s="805">
        <v>3.66066630843632</v>
      </c>
      <c r="H3142" s="805">
        <v>38.92</v>
      </c>
      <c r="I3142" s="805">
        <v>13.59</v>
      </c>
      <c r="J3142" s="805">
        <v>1680.91</v>
      </c>
      <c r="K3142" s="805">
        <v>3610</v>
      </c>
    </row>
    <row r="3143" spans="3:11">
      <c r="C3143" s="861">
        <v>41471</v>
      </c>
      <c r="D3143" s="805">
        <v>24.25</v>
      </c>
      <c r="E3143" s="805">
        <v>3.6724999999999999</v>
      </c>
      <c r="F3143" s="806">
        <v>4.43</v>
      </c>
      <c r="G3143" s="805">
        <v>3.6276913775150299</v>
      </c>
      <c r="H3143" s="805">
        <v>38.869999999999997</v>
      </c>
      <c r="I3143" s="805">
        <v>13.39</v>
      </c>
      <c r="J3143" s="805">
        <v>1676.26</v>
      </c>
      <c r="K3143" s="805">
        <v>3598.5</v>
      </c>
    </row>
    <row r="3144" spans="3:11">
      <c r="C3144" s="861">
        <v>41470</v>
      </c>
      <c r="D3144" s="805">
        <v>23.94</v>
      </c>
      <c r="E3144" s="805">
        <v>3.6524999999999999</v>
      </c>
      <c r="F3144" s="806">
        <v>4.4000000000000004</v>
      </c>
      <c r="G3144" s="805">
        <v>3.6714165968147499</v>
      </c>
      <c r="H3144" s="805">
        <v>38.01</v>
      </c>
      <c r="I3144" s="805">
        <v>13.07</v>
      </c>
      <c r="J3144" s="805">
        <v>1682.5</v>
      </c>
      <c r="K3144" s="805">
        <v>3607.49</v>
      </c>
    </row>
    <row r="3145" spans="3:11">
      <c r="C3145" s="861">
        <v>41469</v>
      </c>
      <c r="D3145" s="805">
        <v>23.9</v>
      </c>
      <c r="E3145" s="805">
        <v>3.66</v>
      </c>
      <c r="F3145" s="806">
        <v>4.32</v>
      </c>
      <c r="G3145" s="805">
        <v>3.6813922356091</v>
      </c>
      <c r="H3145" s="805">
        <v>38.950000000000003</v>
      </c>
      <c r="I3145" s="805">
        <v>12.69</v>
      </c>
      <c r="J3145" s="805">
        <v>1680.19</v>
      </c>
      <c r="K3145" s="805">
        <v>3600.08</v>
      </c>
    </row>
    <row r="3146" spans="3:11">
      <c r="C3146" s="861">
        <v>41468</v>
      </c>
      <c r="D3146" s="805">
        <v>23.9</v>
      </c>
      <c r="E3146" s="805">
        <v>3.66</v>
      </c>
      <c r="F3146" s="806">
        <v>4.32</v>
      </c>
      <c r="G3146" s="805">
        <v>3.6813922356091</v>
      </c>
      <c r="H3146" s="805">
        <v>38.950000000000003</v>
      </c>
      <c r="I3146" s="805">
        <v>12.69</v>
      </c>
      <c r="J3146" s="805">
        <v>1680.19</v>
      </c>
      <c r="K3146" s="805">
        <v>3600.08</v>
      </c>
    </row>
    <row r="3147" spans="3:11">
      <c r="C3147" s="861">
        <v>41467</v>
      </c>
      <c r="D3147" s="805">
        <v>23.9</v>
      </c>
      <c r="E3147" s="805">
        <v>3.66</v>
      </c>
      <c r="F3147" s="806">
        <v>4.32</v>
      </c>
      <c r="G3147" s="805">
        <v>3.6813922356091</v>
      </c>
      <c r="H3147" s="805">
        <v>38.950000000000003</v>
      </c>
      <c r="I3147" s="805">
        <v>12.69</v>
      </c>
      <c r="J3147" s="805">
        <v>1680.19</v>
      </c>
      <c r="K3147" s="805">
        <v>3600.08</v>
      </c>
    </row>
    <row r="3148" spans="3:11">
      <c r="C3148" s="861">
        <v>41466</v>
      </c>
      <c r="D3148" s="805">
        <v>23.99</v>
      </c>
      <c r="E3148" s="805">
        <v>3.6549999999999998</v>
      </c>
      <c r="F3148" s="806">
        <v>4.45</v>
      </c>
      <c r="G3148" s="805">
        <v>3.6757301107754299</v>
      </c>
      <c r="H3148" s="805">
        <v>38.58</v>
      </c>
      <c r="I3148" s="805">
        <v>12.68</v>
      </c>
      <c r="J3148" s="805">
        <v>1675.02</v>
      </c>
      <c r="K3148" s="805">
        <v>3578.3</v>
      </c>
    </row>
    <row r="3149" spans="3:11">
      <c r="C3149" s="861">
        <v>41465</v>
      </c>
      <c r="D3149" s="805">
        <v>23.25</v>
      </c>
      <c r="E3149" s="805">
        <v>3.6074999999999999</v>
      </c>
      <c r="F3149" s="806">
        <v>3.98</v>
      </c>
      <c r="G3149" s="805">
        <v>3.5428991610682199</v>
      </c>
      <c r="H3149" s="805">
        <v>38.33</v>
      </c>
      <c r="I3149" s="805">
        <v>12.55</v>
      </c>
      <c r="J3149" s="805">
        <v>1652.62</v>
      </c>
      <c r="K3149" s="805">
        <v>3520.76</v>
      </c>
    </row>
    <row r="3150" spans="3:11">
      <c r="C3150" s="861">
        <v>41464</v>
      </c>
      <c r="D3150" s="805">
        <v>23.135000000000002</v>
      </c>
      <c r="E3150" s="805">
        <v>3.56</v>
      </c>
      <c r="F3150" s="806">
        <v>4.05</v>
      </c>
      <c r="G3150" s="805">
        <v>3.5251080811439999</v>
      </c>
      <c r="H3150" s="805">
        <v>37.58</v>
      </c>
      <c r="I3150" s="805">
        <v>13.14</v>
      </c>
      <c r="J3150" s="805">
        <v>1652.32</v>
      </c>
      <c r="K3150" s="805">
        <v>3504.26</v>
      </c>
    </row>
    <row r="3151" spans="3:11">
      <c r="C3151" s="861">
        <v>41463</v>
      </c>
      <c r="D3151" s="805">
        <v>23.184999999999999</v>
      </c>
      <c r="E3151" s="805">
        <v>3.54</v>
      </c>
      <c r="F3151" s="806">
        <v>4</v>
      </c>
      <c r="G3151" s="805">
        <v>3.4913879098224401</v>
      </c>
      <c r="H3151" s="805">
        <v>37.28</v>
      </c>
      <c r="I3151" s="805">
        <v>14.03</v>
      </c>
      <c r="J3151" s="805">
        <v>1640.46</v>
      </c>
      <c r="K3151" s="805">
        <v>3484.83</v>
      </c>
    </row>
    <row r="3152" spans="3:11">
      <c r="C3152" s="861">
        <v>41462</v>
      </c>
      <c r="D3152" s="805">
        <v>24.06</v>
      </c>
      <c r="E3152" s="805">
        <v>3.56</v>
      </c>
      <c r="F3152" s="806">
        <v>4.07</v>
      </c>
      <c r="G3152" s="805">
        <v>3.6187377577105702</v>
      </c>
      <c r="H3152" s="805">
        <v>38.81</v>
      </c>
      <c r="I3152" s="805">
        <v>14.31</v>
      </c>
      <c r="J3152" s="805">
        <v>1631.89</v>
      </c>
      <c r="K3152" s="805">
        <v>3479.38</v>
      </c>
    </row>
    <row r="3153" spans="3:11">
      <c r="C3153" s="861">
        <v>41461</v>
      </c>
      <c r="D3153" s="805">
        <v>24.06</v>
      </c>
      <c r="E3153" s="805">
        <v>3.56</v>
      </c>
      <c r="F3153" s="806">
        <v>4.07</v>
      </c>
      <c r="G3153" s="805">
        <v>3.6187377577105702</v>
      </c>
      <c r="H3153" s="805">
        <v>38.81</v>
      </c>
      <c r="I3153" s="805">
        <v>14.31</v>
      </c>
      <c r="J3153" s="805">
        <v>1631.89</v>
      </c>
      <c r="K3153" s="805">
        <v>3479.38</v>
      </c>
    </row>
    <row r="3154" spans="3:11">
      <c r="C3154" s="861">
        <v>41460</v>
      </c>
      <c r="D3154" s="805">
        <v>24.06</v>
      </c>
      <c r="E3154" s="805">
        <v>3.56</v>
      </c>
      <c r="F3154" s="806">
        <v>4.07</v>
      </c>
      <c r="G3154" s="805">
        <v>3.6187377577105702</v>
      </c>
      <c r="H3154" s="805">
        <v>38.81</v>
      </c>
      <c r="I3154" s="805">
        <v>14.31</v>
      </c>
      <c r="J3154" s="805">
        <v>1631.89</v>
      </c>
      <c r="K3154" s="805">
        <v>3479.38</v>
      </c>
    </row>
    <row r="3155" spans="3:11">
      <c r="C3155" s="861">
        <v>41459</v>
      </c>
      <c r="D3155" s="805">
        <v>23.762</v>
      </c>
      <c r="E3155" s="805">
        <v>3.5325000000000002</v>
      </c>
      <c r="F3155" s="806">
        <v>4.0599999999999996</v>
      </c>
      <c r="G3155" s="805">
        <v>3.5642904730179898</v>
      </c>
      <c r="H3155" s="805">
        <v>38.590000000000003</v>
      </c>
      <c r="I3155" s="805">
        <v>14.14</v>
      </c>
      <c r="J3155" s="805">
        <v>1615.41</v>
      </c>
      <c r="K3155" s="805">
        <v>3443.67</v>
      </c>
    </row>
    <row r="3156" spans="3:11">
      <c r="C3156" s="861">
        <v>41458</v>
      </c>
      <c r="D3156" s="805">
        <v>23.762</v>
      </c>
      <c r="E3156" s="805">
        <v>3.5325000000000002</v>
      </c>
      <c r="F3156" s="806">
        <v>4.0599999999999996</v>
      </c>
      <c r="G3156" s="805">
        <v>3.5613246796471998</v>
      </c>
      <c r="H3156" s="805">
        <v>38.590000000000003</v>
      </c>
      <c r="I3156" s="805">
        <v>14.14</v>
      </c>
      <c r="J3156" s="805">
        <v>1615.41</v>
      </c>
      <c r="K3156" s="805">
        <v>3443.67</v>
      </c>
    </row>
    <row r="3157" spans="3:11">
      <c r="C3157" s="861">
        <v>41457</v>
      </c>
      <c r="D3157" s="805">
        <v>23.72</v>
      </c>
      <c r="E3157" s="805">
        <v>3.5225</v>
      </c>
      <c r="F3157" s="806">
        <v>3.97</v>
      </c>
      <c r="G3157" s="805">
        <v>3.6605657237936802</v>
      </c>
      <c r="H3157" s="805">
        <v>38.479999999999997</v>
      </c>
      <c r="I3157" s="805">
        <v>14.31</v>
      </c>
      <c r="J3157" s="805">
        <v>1614.08</v>
      </c>
      <c r="K3157" s="805">
        <v>3433.4</v>
      </c>
    </row>
    <row r="3158" spans="3:11">
      <c r="C3158" s="861">
        <v>41456</v>
      </c>
      <c r="D3158" s="805">
        <v>23.885999999999999</v>
      </c>
      <c r="E3158" s="805">
        <v>3.5249999999999999</v>
      </c>
      <c r="F3158" s="806">
        <v>4.0999999999999996</v>
      </c>
      <c r="G3158" s="805">
        <v>3.6064916850330602</v>
      </c>
      <c r="H3158" s="805">
        <v>37.61</v>
      </c>
      <c r="I3158" s="805">
        <v>14.27</v>
      </c>
      <c r="J3158" s="805">
        <v>1614.96</v>
      </c>
      <c r="K3158" s="805">
        <v>3434.49</v>
      </c>
    </row>
    <row r="3159" spans="3:11">
      <c r="C3159" s="861">
        <v>41455</v>
      </c>
      <c r="D3159" s="805">
        <v>24.23</v>
      </c>
      <c r="E3159" s="805">
        <v>3.5074999999999998</v>
      </c>
      <c r="F3159" s="806">
        <v>4.08</v>
      </c>
      <c r="G3159" s="805">
        <v>3.70778635133781</v>
      </c>
      <c r="H3159" s="805">
        <v>37.380000000000003</v>
      </c>
      <c r="I3159" s="805">
        <v>14.33</v>
      </c>
      <c r="J3159" s="805">
        <v>1606.28</v>
      </c>
      <c r="K3159" s="805">
        <v>3403.25</v>
      </c>
    </row>
    <row r="3160" spans="3:11">
      <c r="C3160" s="861">
        <v>41454</v>
      </c>
      <c r="D3160" s="805">
        <v>24.23</v>
      </c>
      <c r="E3160" s="805">
        <v>3.5074999999999998</v>
      </c>
      <c r="F3160" s="806">
        <v>4.08</v>
      </c>
      <c r="G3160" s="805">
        <v>3.70778635133781</v>
      </c>
      <c r="H3160" s="805">
        <v>37.380000000000003</v>
      </c>
      <c r="I3160" s="805">
        <v>14.33</v>
      </c>
      <c r="J3160" s="805">
        <v>1606.28</v>
      </c>
      <c r="K3160" s="805">
        <v>3403.25</v>
      </c>
    </row>
    <row r="3161" spans="3:11">
      <c r="C3161" s="861">
        <v>41453</v>
      </c>
      <c r="D3161" s="805">
        <v>24.23</v>
      </c>
      <c r="E3161" s="805">
        <v>3.5074999999999998</v>
      </c>
      <c r="F3161" s="806">
        <v>4.08</v>
      </c>
      <c r="G3161" s="805">
        <v>3.70778635133781</v>
      </c>
      <c r="H3161" s="805">
        <v>37.380000000000003</v>
      </c>
      <c r="I3161" s="805">
        <v>14.33</v>
      </c>
      <c r="J3161" s="805">
        <v>1606.28</v>
      </c>
      <c r="K3161" s="805">
        <v>3403.25</v>
      </c>
    </row>
    <row r="3162" spans="3:11">
      <c r="C3162" s="861">
        <v>41452</v>
      </c>
      <c r="D3162" s="805">
        <v>24.05</v>
      </c>
      <c r="E3162" s="805">
        <v>3.5024999999999999</v>
      </c>
      <c r="F3162" s="806">
        <v>4.08</v>
      </c>
      <c r="G3162" s="805">
        <v>3.4832172260924601</v>
      </c>
      <c r="H3162" s="805">
        <v>37.32</v>
      </c>
      <c r="I3162" s="805">
        <v>14.34</v>
      </c>
      <c r="J3162" s="805">
        <v>1613.2</v>
      </c>
      <c r="K3162" s="805">
        <v>3401.86</v>
      </c>
    </row>
    <row r="3163" spans="3:11">
      <c r="C3163" s="861">
        <v>41451</v>
      </c>
      <c r="D3163" s="805">
        <v>24.004999999999999</v>
      </c>
      <c r="E3163" s="805">
        <v>3.5350000000000001</v>
      </c>
      <c r="F3163" s="806">
        <v>4.1399999999999997</v>
      </c>
      <c r="G3163" s="805">
        <v>3.3698539176626801</v>
      </c>
      <c r="H3163" s="805">
        <v>37.25</v>
      </c>
      <c r="I3163" s="805">
        <v>14.17</v>
      </c>
      <c r="J3163" s="805">
        <v>1603.26</v>
      </c>
      <c r="K3163" s="805">
        <v>3376.22</v>
      </c>
    </row>
    <row r="3164" spans="3:11">
      <c r="C3164" s="861">
        <v>41450</v>
      </c>
      <c r="D3164" s="805">
        <v>23.88</v>
      </c>
      <c r="E3164" s="805">
        <v>3.5550000000000002</v>
      </c>
      <c r="F3164" s="806">
        <v>4.1500000000000004</v>
      </c>
      <c r="G3164" s="805">
        <v>3.3637514154399502</v>
      </c>
      <c r="H3164" s="805">
        <v>37.1</v>
      </c>
      <c r="I3164" s="805">
        <v>13.75</v>
      </c>
      <c r="J3164" s="805">
        <v>1588.03</v>
      </c>
      <c r="K3164" s="805">
        <v>3347.89</v>
      </c>
    </row>
    <row r="3165" spans="3:11">
      <c r="C3165" s="861">
        <v>41449</v>
      </c>
      <c r="D3165" s="805">
        <v>23.58</v>
      </c>
      <c r="E3165" s="805">
        <v>3.53</v>
      </c>
      <c r="F3165" s="806">
        <v>4.05</v>
      </c>
      <c r="G3165" s="805">
        <v>3.3488063660477501</v>
      </c>
      <c r="H3165" s="805">
        <v>36.69</v>
      </c>
      <c r="I3165" s="805">
        <v>13.42</v>
      </c>
      <c r="J3165" s="805">
        <v>1573.09</v>
      </c>
      <c r="K3165" s="805">
        <v>3320.76</v>
      </c>
    </row>
    <row r="3166" spans="3:11">
      <c r="C3166" s="861">
        <v>41448</v>
      </c>
      <c r="D3166" s="805">
        <v>24.195</v>
      </c>
      <c r="E3166" s="805">
        <v>3.605</v>
      </c>
      <c r="F3166" s="806">
        <v>4</v>
      </c>
      <c r="G3166" s="805">
        <v>3.4402526175835102</v>
      </c>
      <c r="H3166" s="805">
        <v>37.35</v>
      </c>
      <c r="I3166" s="805">
        <v>13.9</v>
      </c>
      <c r="J3166" s="805">
        <v>1592.43</v>
      </c>
      <c r="K3166" s="805">
        <v>3357.25</v>
      </c>
    </row>
    <row r="3167" spans="3:11">
      <c r="C3167" s="861">
        <v>41447</v>
      </c>
      <c r="D3167" s="805">
        <v>24.195</v>
      </c>
      <c r="E3167" s="805">
        <v>3.605</v>
      </c>
      <c r="F3167" s="806">
        <v>4</v>
      </c>
      <c r="G3167" s="805">
        <v>3.4402526175835102</v>
      </c>
      <c r="H3167" s="805">
        <v>37.35</v>
      </c>
      <c r="I3167" s="805">
        <v>13.9</v>
      </c>
      <c r="J3167" s="805">
        <v>1592.43</v>
      </c>
      <c r="K3167" s="805">
        <v>3357.25</v>
      </c>
    </row>
    <row r="3168" spans="3:11">
      <c r="C3168" s="861">
        <v>41446</v>
      </c>
      <c r="D3168" s="805">
        <v>24.195</v>
      </c>
      <c r="E3168" s="805">
        <v>3.605</v>
      </c>
      <c r="F3168" s="806">
        <v>4</v>
      </c>
      <c r="G3168" s="805">
        <v>3.4402526175835102</v>
      </c>
      <c r="H3168" s="805">
        <v>37.35</v>
      </c>
      <c r="I3168" s="805">
        <v>13.9</v>
      </c>
      <c r="J3168" s="805">
        <v>1592.43</v>
      </c>
      <c r="K3168" s="805">
        <v>3357.25</v>
      </c>
    </row>
    <row r="3169" spans="3:11">
      <c r="C3169" s="861">
        <v>41445</v>
      </c>
      <c r="D3169" s="805">
        <v>24.184999999999999</v>
      </c>
      <c r="E3169" s="805">
        <v>3.61</v>
      </c>
      <c r="F3169" s="806">
        <v>3.87</v>
      </c>
      <c r="G3169" s="805">
        <v>3.44793289792129</v>
      </c>
      <c r="H3169" s="805">
        <v>37.07</v>
      </c>
      <c r="I3169" s="805">
        <v>13.54</v>
      </c>
      <c r="J3169" s="805">
        <v>1588.19</v>
      </c>
      <c r="K3169" s="805">
        <v>3364.64</v>
      </c>
    </row>
    <row r="3170" spans="3:11">
      <c r="C3170" s="861">
        <v>41444</v>
      </c>
      <c r="D3170" s="805">
        <v>25</v>
      </c>
      <c r="E3170" s="805">
        <v>3.71</v>
      </c>
      <c r="F3170" s="806">
        <v>4.07</v>
      </c>
      <c r="G3170" s="805">
        <v>3.5358782719442301</v>
      </c>
      <c r="H3170" s="805">
        <v>38.07</v>
      </c>
      <c r="I3170" s="805">
        <v>13.97</v>
      </c>
      <c r="J3170" s="805">
        <v>1628.93</v>
      </c>
      <c r="K3170" s="805">
        <v>3443.2</v>
      </c>
    </row>
    <row r="3171" spans="3:11">
      <c r="C3171" s="861">
        <v>41443</v>
      </c>
      <c r="D3171" s="805">
        <v>25.465</v>
      </c>
      <c r="E3171" s="805">
        <v>3.6</v>
      </c>
      <c r="F3171" s="806">
        <v>4.09</v>
      </c>
      <c r="G3171" s="805">
        <v>3.5665248986972999</v>
      </c>
      <c r="H3171" s="805">
        <v>38.75</v>
      </c>
      <c r="I3171" s="805">
        <v>13.76</v>
      </c>
      <c r="J3171" s="805">
        <v>1651.81</v>
      </c>
      <c r="K3171" s="805">
        <v>3482.18</v>
      </c>
    </row>
    <row r="3172" spans="3:11">
      <c r="C3172" s="861">
        <v>41442</v>
      </c>
      <c r="D3172" s="805">
        <v>25.1</v>
      </c>
      <c r="E3172" s="805">
        <v>3.6225000000000001</v>
      </c>
      <c r="F3172" s="806">
        <v>4.05</v>
      </c>
      <c r="G3172" s="805">
        <v>3.54871108135253</v>
      </c>
      <c r="H3172" s="805">
        <v>38.090000000000003</v>
      </c>
      <c r="I3172" s="805">
        <v>13.24</v>
      </c>
      <c r="J3172" s="805">
        <v>1639.04</v>
      </c>
      <c r="K3172" s="805">
        <v>3452.13</v>
      </c>
    </row>
    <row r="3173" spans="3:11">
      <c r="C3173" s="861">
        <v>41441</v>
      </c>
      <c r="D3173" s="805">
        <v>24.92</v>
      </c>
      <c r="E3173" s="805">
        <v>3.5874999999999999</v>
      </c>
      <c r="F3173" s="806">
        <v>3.94</v>
      </c>
      <c r="G3173" s="805">
        <v>3.5534696614146801</v>
      </c>
      <c r="H3173" s="805">
        <v>37.590000000000003</v>
      </c>
      <c r="I3173" s="805">
        <v>12.76</v>
      </c>
      <c r="J3173" s="805">
        <v>1626.73</v>
      </c>
      <c r="K3173" s="805">
        <v>3423.56</v>
      </c>
    </row>
    <row r="3174" spans="3:11">
      <c r="C3174" s="861">
        <v>41440</v>
      </c>
      <c r="D3174" s="805">
        <v>24.92</v>
      </c>
      <c r="E3174" s="805">
        <v>3.5874999999999999</v>
      </c>
      <c r="F3174" s="806">
        <v>3.94</v>
      </c>
      <c r="G3174" s="805">
        <v>3.5534696614146801</v>
      </c>
      <c r="H3174" s="805">
        <v>37.590000000000003</v>
      </c>
      <c r="I3174" s="805">
        <v>12.76</v>
      </c>
      <c r="J3174" s="805">
        <v>1626.73</v>
      </c>
      <c r="K3174" s="805">
        <v>3423.56</v>
      </c>
    </row>
    <row r="3175" spans="3:11">
      <c r="C3175" s="861">
        <v>41439</v>
      </c>
      <c r="D3175" s="805">
        <v>24.92</v>
      </c>
      <c r="E3175" s="805">
        <v>3.5874999999999999</v>
      </c>
      <c r="F3175" s="806">
        <v>3.94</v>
      </c>
      <c r="G3175" s="805">
        <v>3.5534696614146801</v>
      </c>
      <c r="H3175" s="805">
        <v>37.590000000000003</v>
      </c>
      <c r="I3175" s="805">
        <v>12.76</v>
      </c>
      <c r="J3175" s="805">
        <v>1626.73</v>
      </c>
      <c r="K3175" s="805">
        <v>3423.56</v>
      </c>
    </row>
    <row r="3176" spans="3:11">
      <c r="C3176" s="861">
        <v>41438</v>
      </c>
      <c r="D3176" s="805">
        <v>24.99</v>
      </c>
      <c r="E3176" s="805">
        <v>3.5924999999999998</v>
      </c>
      <c r="F3176" s="806">
        <v>3.95</v>
      </c>
      <c r="G3176" s="805">
        <v>3.5031847133757998</v>
      </c>
      <c r="H3176" s="805">
        <v>37.1</v>
      </c>
      <c r="I3176" s="805">
        <v>12.91</v>
      </c>
      <c r="J3176" s="805">
        <v>1636.36</v>
      </c>
      <c r="K3176" s="805">
        <v>3445.36</v>
      </c>
    </row>
    <row r="3177" spans="3:11">
      <c r="C3177" s="861">
        <v>41437</v>
      </c>
      <c r="D3177" s="805">
        <v>24.46</v>
      </c>
      <c r="E3177" s="805">
        <v>3.5125000000000002</v>
      </c>
      <c r="F3177" s="806">
        <v>3.9</v>
      </c>
      <c r="G3177" s="805">
        <v>3.620759018372</v>
      </c>
      <c r="H3177" s="805">
        <v>35.979999999999997</v>
      </c>
      <c r="I3177" s="805">
        <v>12.49</v>
      </c>
      <c r="J3177" s="805">
        <v>1612.52</v>
      </c>
      <c r="K3177" s="805">
        <v>3400.43</v>
      </c>
    </row>
    <row r="3178" spans="3:11">
      <c r="C3178" s="861">
        <v>41436</v>
      </c>
      <c r="D3178" s="805">
        <v>24.71</v>
      </c>
      <c r="E3178" s="805">
        <v>3.5425</v>
      </c>
      <c r="F3178" s="806">
        <v>3.96</v>
      </c>
      <c r="G3178" s="805">
        <v>3.620759018372</v>
      </c>
      <c r="H3178" s="805">
        <v>36.29</v>
      </c>
      <c r="I3178" s="805">
        <v>12.81</v>
      </c>
      <c r="J3178" s="805">
        <v>1626.13</v>
      </c>
      <c r="K3178" s="805">
        <v>3436.95</v>
      </c>
    </row>
    <row r="3179" spans="3:11">
      <c r="C3179" s="861">
        <v>41435</v>
      </c>
      <c r="D3179" s="805">
        <v>25.01</v>
      </c>
      <c r="E3179" s="805">
        <v>3.61</v>
      </c>
      <c r="F3179" s="806">
        <v>4.0599999999999996</v>
      </c>
      <c r="G3179" s="805">
        <v>3.6251252923488102</v>
      </c>
      <c r="H3179" s="805">
        <v>36.83</v>
      </c>
      <c r="I3179" s="805">
        <v>12.95</v>
      </c>
      <c r="J3179" s="805">
        <v>1642.81</v>
      </c>
      <c r="K3179" s="805">
        <v>3473.77</v>
      </c>
    </row>
    <row r="3180" spans="3:11">
      <c r="C3180" s="861">
        <v>41434</v>
      </c>
      <c r="D3180" s="805">
        <v>24.59</v>
      </c>
      <c r="E3180" s="805">
        <v>3.6124999999999998</v>
      </c>
      <c r="F3180" s="806">
        <v>3.91</v>
      </c>
      <c r="G3180" s="805">
        <v>3.6488986043383198</v>
      </c>
      <c r="H3180" s="805">
        <v>37.29</v>
      </c>
      <c r="I3180" s="805">
        <v>12.65</v>
      </c>
      <c r="J3180" s="805">
        <v>1643.38</v>
      </c>
      <c r="K3180" s="805">
        <v>3469.22</v>
      </c>
    </row>
    <row r="3181" spans="3:11">
      <c r="C3181" s="861">
        <v>41433</v>
      </c>
      <c r="D3181" s="805">
        <v>24.59</v>
      </c>
      <c r="E3181" s="805">
        <v>3.6124999999999998</v>
      </c>
      <c r="F3181" s="806">
        <v>3.91</v>
      </c>
      <c r="G3181" s="805">
        <v>3.6488986043383198</v>
      </c>
      <c r="H3181" s="805">
        <v>37.29</v>
      </c>
      <c r="I3181" s="805">
        <v>12.65</v>
      </c>
      <c r="J3181" s="805">
        <v>1643.38</v>
      </c>
      <c r="K3181" s="805">
        <v>3469.22</v>
      </c>
    </row>
    <row r="3182" spans="3:11">
      <c r="C3182" s="861">
        <v>41432</v>
      </c>
      <c r="D3182" s="805">
        <v>24.59</v>
      </c>
      <c r="E3182" s="805">
        <v>3.6124999999999998</v>
      </c>
      <c r="F3182" s="806">
        <v>3.91</v>
      </c>
      <c r="G3182" s="805">
        <v>3.6488986043383198</v>
      </c>
      <c r="H3182" s="805">
        <v>37.29</v>
      </c>
      <c r="I3182" s="805">
        <v>12.65</v>
      </c>
      <c r="J3182" s="805">
        <v>1643.38</v>
      </c>
      <c r="K3182" s="805">
        <v>3469.22</v>
      </c>
    </row>
    <row r="3183" spans="3:11">
      <c r="C3183" s="861">
        <v>41431</v>
      </c>
      <c r="D3183" s="805">
        <v>24.65</v>
      </c>
      <c r="E3183" s="805">
        <v>3.5625</v>
      </c>
      <c r="F3183" s="806">
        <v>3.94</v>
      </c>
      <c r="G3183" s="805">
        <v>3.6217236035307598</v>
      </c>
      <c r="H3183" s="805">
        <v>36.75</v>
      </c>
      <c r="I3183" s="805">
        <v>12.35</v>
      </c>
      <c r="J3183" s="805">
        <v>1622.56</v>
      </c>
      <c r="K3183" s="805">
        <v>3424.05</v>
      </c>
    </row>
    <row r="3184" spans="3:11">
      <c r="C3184" s="861">
        <v>41430</v>
      </c>
      <c r="D3184" s="805">
        <v>24.7</v>
      </c>
      <c r="E3184" s="805">
        <v>3.54</v>
      </c>
      <c r="F3184" s="806">
        <v>3.91</v>
      </c>
      <c r="G3184" s="805">
        <v>3.6717859298504498</v>
      </c>
      <c r="H3184" s="805">
        <v>37.01</v>
      </c>
      <c r="I3184" s="805">
        <v>12.02</v>
      </c>
      <c r="J3184" s="805">
        <v>1608.9</v>
      </c>
      <c r="K3184" s="805">
        <v>3401.48</v>
      </c>
    </row>
    <row r="3185" spans="3:11">
      <c r="C3185" s="861">
        <v>41429</v>
      </c>
      <c r="D3185" s="805">
        <v>25.36</v>
      </c>
      <c r="E3185" s="805">
        <v>3.6175000000000002</v>
      </c>
      <c r="F3185" s="806">
        <v>4.01</v>
      </c>
      <c r="G3185" s="805">
        <v>3.6454849498327802</v>
      </c>
      <c r="H3185" s="805">
        <v>37.799999999999997</v>
      </c>
      <c r="I3185" s="805">
        <v>11.71</v>
      </c>
      <c r="J3185" s="805">
        <v>1631.38</v>
      </c>
      <c r="K3185" s="805">
        <v>3445.26</v>
      </c>
    </row>
    <row r="3186" spans="3:11">
      <c r="C3186" s="861">
        <v>41428</v>
      </c>
      <c r="D3186" s="805">
        <v>25.24</v>
      </c>
      <c r="E3186" s="805">
        <v>3.6124999999999998</v>
      </c>
      <c r="F3186" s="806">
        <v>3.96</v>
      </c>
      <c r="G3186" s="805">
        <v>3.5939955200427902</v>
      </c>
      <c r="H3186" s="805">
        <v>37.299999999999997</v>
      </c>
      <c r="I3186" s="805">
        <v>11.73</v>
      </c>
      <c r="J3186" s="805">
        <v>1640.42</v>
      </c>
      <c r="K3186" s="805">
        <v>3465.37</v>
      </c>
    </row>
    <row r="3187" spans="3:11">
      <c r="C3187" s="861">
        <v>41427</v>
      </c>
      <c r="D3187" s="805">
        <v>24.28</v>
      </c>
      <c r="E3187" s="805">
        <v>3.6225000000000001</v>
      </c>
      <c r="F3187" s="806">
        <v>4</v>
      </c>
      <c r="G3187" s="805">
        <v>3.6579255052613999</v>
      </c>
      <c r="H3187" s="805">
        <v>37.71</v>
      </c>
      <c r="I3187" s="805">
        <v>11.68</v>
      </c>
      <c r="J3187" s="805">
        <v>1630.74</v>
      </c>
      <c r="K3187" s="805">
        <v>3455.91</v>
      </c>
    </row>
    <row r="3188" spans="3:11">
      <c r="C3188" s="861">
        <v>41426</v>
      </c>
      <c r="D3188" s="805">
        <v>24.28</v>
      </c>
      <c r="E3188" s="805">
        <v>3.6225000000000001</v>
      </c>
      <c r="F3188" s="806">
        <v>4</v>
      </c>
      <c r="G3188" s="805">
        <v>3.6579255052613999</v>
      </c>
      <c r="H3188" s="805">
        <v>37.71</v>
      </c>
      <c r="I3188" s="805">
        <v>11.68</v>
      </c>
      <c r="J3188" s="805">
        <v>1630.74</v>
      </c>
      <c r="K3188" s="805">
        <v>3455.91</v>
      </c>
    </row>
    <row r="3189" spans="3:11">
      <c r="C3189" s="861">
        <v>41425</v>
      </c>
      <c r="D3189" s="805">
        <v>24.28</v>
      </c>
      <c r="E3189" s="805">
        <v>3.6225000000000001</v>
      </c>
      <c r="F3189" s="806">
        <v>4</v>
      </c>
      <c r="G3189" s="805">
        <v>3.6579255052613999</v>
      </c>
      <c r="H3189" s="805">
        <v>37.71</v>
      </c>
      <c r="I3189" s="805">
        <v>11.68</v>
      </c>
      <c r="J3189" s="805">
        <v>1630.74</v>
      </c>
      <c r="K3189" s="805">
        <v>3455.91</v>
      </c>
    </row>
    <row r="3190" spans="3:11">
      <c r="C3190" s="861">
        <v>41424</v>
      </c>
      <c r="D3190" s="805">
        <v>24.21</v>
      </c>
      <c r="E3190" s="805">
        <v>3.6575000000000002</v>
      </c>
      <c r="F3190" s="806">
        <v>4.04</v>
      </c>
      <c r="G3190" s="805">
        <v>3.6722975228684001</v>
      </c>
      <c r="H3190" s="805">
        <v>37.82</v>
      </c>
      <c r="I3190" s="805">
        <v>11.89</v>
      </c>
      <c r="J3190" s="805">
        <v>1654.41</v>
      </c>
      <c r="K3190" s="805">
        <v>3491.3</v>
      </c>
    </row>
    <row r="3191" spans="3:11">
      <c r="C3191" s="861">
        <v>41423</v>
      </c>
      <c r="D3191" s="805">
        <v>24.27</v>
      </c>
      <c r="E3191" s="805">
        <v>3.61</v>
      </c>
      <c r="F3191" s="806">
        <v>3.98</v>
      </c>
      <c r="G3191" s="805">
        <v>3.7041980911699901</v>
      </c>
      <c r="H3191" s="805">
        <v>34.43</v>
      </c>
      <c r="I3191" s="805">
        <v>11.83</v>
      </c>
      <c r="J3191" s="805">
        <v>1648.36</v>
      </c>
      <c r="K3191" s="805">
        <v>3467.52</v>
      </c>
    </row>
    <row r="3192" spans="3:11">
      <c r="C3192" s="861">
        <v>41422</v>
      </c>
      <c r="D3192" s="805">
        <v>24.08</v>
      </c>
      <c r="E3192" s="805">
        <v>3.6324999999999998</v>
      </c>
      <c r="F3192" s="806">
        <v>4.05</v>
      </c>
      <c r="G3192" s="805">
        <v>3.6491485320092001</v>
      </c>
      <c r="H3192" s="805">
        <v>34.44</v>
      </c>
      <c r="I3192" s="805">
        <v>11.78</v>
      </c>
      <c r="J3192" s="805">
        <v>1660.06</v>
      </c>
      <c r="K3192" s="805">
        <v>3488.89</v>
      </c>
    </row>
    <row r="3193" spans="3:11">
      <c r="C3193" s="861">
        <v>41421</v>
      </c>
      <c r="D3193" s="805">
        <v>23.922999999999998</v>
      </c>
      <c r="E3193" s="805">
        <v>3.6349999999999998</v>
      </c>
      <c r="F3193" s="806">
        <v>4.05</v>
      </c>
      <c r="G3193" s="805">
        <v>3.7508372404554602</v>
      </c>
      <c r="H3193" s="805">
        <v>34.1</v>
      </c>
      <c r="I3193" s="805">
        <v>11.59</v>
      </c>
      <c r="J3193" s="805">
        <v>1649.6</v>
      </c>
      <c r="K3193" s="805">
        <v>3459.14</v>
      </c>
    </row>
    <row r="3194" spans="3:11">
      <c r="C3194" s="861">
        <v>41420</v>
      </c>
      <c r="D3194" s="805">
        <v>23.922999999999998</v>
      </c>
      <c r="E3194" s="805">
        <v>3.6349999999999998</v>
      </c>
      <c r="F3194" s="806">
        <v>4.05</v>
      </c>
      <c r="G3194" s="805">
        <v>3.6609829488465402</v>
      </c>
      <c r="H3194" s="805">
        <v>34.1</v>
      </c>
      <c r="I3194" s="805">
        <v>11.59</v>
      </c>
      <c r="J3194" s="805">
        <v>1649.6</v>
      </c>
      <c r="K3194" s="805">
        <v>3459.14</v>
      </c>
    </row>
    <row r="3195" spans="3:11">
      <c r="C3195" s="861">
        <v>41419</v>
      </c>
      <c r="D3195" s="805">
        <v>23.922999999999998</v>
      </c>
      <c r="E3195" s="805">
        <v>3.6349999999999998</v>
      </c>
      <c r="F3195" s="806">
        <v>4.05</v>
      </c>
      <c r="G3195" s="805">
        <v>3.6609829488465402</v>
      </c>
      <c r="H3195" s="805">
        <v>34.1</v>
      </c>
      <c r="I3195" s="805">
        <v>11.59</v>
      </c>
      <c r="J3195" s="805">
        <v>1649.6</v>
      </c>
      <c r="K3195" s="805">
        <v>3459.14</v>
      </c>
    </row>
    <row r="3196" spans="3:11">
      <c r="C3196" s="861">
        <v>41418</v>
      </c>
      <c r="D3196" s="805">
        <v>23.922999999999998</v>
      </c>
      <c r="E3196" s="805">
        <v>3.6349999999999998</v>
      </c>
      <c r="F3196" s="806">
        <v>4.05</v>
      </c>
      <c r="G3196" s="805">
        <v>3.6609829488465402</v>
      </c>
      <c r="H3196" s="805">
        <v>34.1</v>
      </c>
      <c r="I3196" s="805">
        <v>11.59</v>
      </c>
      <c r="J3196" s="805">
        <v>1649.6</v>
      </c>
      <c r="K3196" s="805">
        <v>3459.14</v>
      </c>
    </row>
    <row r="3197" spans="3:11">
      <c r="C3197" s="861">
        <v>41417</v>
      </c>
      <c r="D3197" s="805">
        <v>24.05</v>
      </c>
      <c r="E3197" s="805">
        <v>3.6575000000000002</v>
      </c>
      <c r="F3197" s="806">
        <v>4.01</v>
      </c>
      <c r="G3197" s="805">
        <v>3.6127651033652199</v>
      </c>
      <c r="H3197" s="805">
        <v>33.97</v>
      </c>
      <c r="I3197" s="805">
        <v>11.39</v>
      </c>
      <c r="J3197" s="805">
        <v>1650.51</v>
      </c>
      <c r="K3197" s="805">
        <v>3459.42</v>
      </c>
    </row>
    <row r="3198" spans="3:11">
      <c r="C3198" s="861">
        <v>41416</v>
      </c>
      <c r="D3198" s="805">
        <v>24.07</v>
      </c>
      <c r="E3198" s="805">
        <v>3.6</v>
      </c>
      <c r="F3198" s="806">
        <v>3.96</v>
      </c>
      <c r="G3198" s="805">
        <v>3.7421898493100301</v>
      </c>
      <c r="H3198" s="805">
        <v>34.56</v>
      </c>
      <c r="I3198" s="805">
        <v>10.92</v>
      </c>
      <c r="J3198" s="805">
        <v>1655.35</v>
      </c>
      <c r="K3198" s="805">
        <v>3463.3</v>
      </c>
    </row>
    <row r="3199" spans="3:11">
      <c r="C3199" s="861">
        <v>41415</v>
      </c>
      <c r="D3199" s="805">
        <v>24.15</v>
      </c>
      <c r="E3199" s="805">
        <v>3.73</v>
      </c>
      <c r="F3199" s="806">
        <v>4.0199999999999996</v>
      </c>
      <c r="G3199" s="805">
        <v>3.7707390648567101</v>
      </c>
      <c r="H3199" s="805">
        <v>35.090000000000003</v>
      </c>
      <c r="I3199" s="805">
        <v>11.23</v>
      </c>
      <c r="J3199" s="805">
        <v>1669.16</v>
      </c>
      <c r="K3199" s="805">
        <v>3502.12</v>
      </c>
    </row>
    <row r="3200" spans="3:11">
      <c r="C3200" s="861">
        <v>41414</v>
      </c>
      <c r="D3200" s="805">
        <v>24.08</v>
      </c>
      <c r="E3200" s="805">
        <v>3.71</v>
      </c>
      <c r="F3200" s="806">
        <v>4.0999999999999996</v>
      </c>
      <c r="G3200" s="805">
        <v>3.8147503680899502</v>
      </c>
      <c r="H3200" s="805">
        <v>34.44</v>
      </c>
      <c r="I3200" s="805">
        <v>11.21</v>
      </c>
      <c r="J3200" s="805">
        <v>1666.29</v>
      </c>
      <c r="K3200" s="805">
        <v>3496.43</v>
      </c>
    </row>
    <row r="3201" spans="3:11">
      <c r="C3201" s="861">
        <v>41413</v>
      </c>
      <c r="D3201" s="805">
        <v>24.04</v>
      </c>
      <c r="E3201" s="805">
        <v>3.7174999999999998</v>
      </c>
      <c r="F3201" s="806">
        <v>4.07</v>
      </c>
      <c r="G3201" s="805">
        <v>3.78472106439028</v>
      </c>
      <c r="H3201" s="805">
        <v>34.43</v>
      </c>
      <c r="I3201" s="805">
        <v>11.31</v>
      </c>
      <c r="J3201" s="805">
        <v>1667.47</v>
      </c>
      <c r="K3201" s="805">
        <v>3498.97</v>
      </c>
    </row>
    <row r="3202" spans="3:11">
      <c r="C3202" s="861">
        <v>41412</v>
      </c>
      <c r="D3202" s="805">
        <v>24.04</v>
      </c>
      <c r="E3202" s="805">
        <v>3.7174999999999998</v>
      </c>
      <c r="F3202" s="806">
        <v>4.07</v>
      </c>
      <c r="G3202" s="805">
        <v>3.78472106439028</v>
      </c>
      <c r="H3202" s="805">
        <v>34.43</v>
      </c>
      <c r="I3202" s="805">
        <v>11.31</v>
      </c>
      <c r="J3202" s="805">
        <v>1667.47</v>
      </c>
      <c r="K3202" s="805">
        <v>3498.97</v>
      </c>
    </row>
    <row r="3203" spans="3:11">
      <c r="C3203" s="861">
        <v>41411</v>
      </c>
      <c r="D3203" s="805">
        <v>24.04</v>
      </c>
      <c r="E3203" s="805">
        <v>3.7174999999999998</v>
      </c>
      <c r="F3203" s="806">
        <v>4.07</v>
      </c>
      <c r="G3203" s="805">
        <v>3.78472106439028</v>
      </c>
      <c r="H3203" s="805">
        <v>34.43</v>
      </c>
      <c r="I3203" s="805">
        <v>11.31</v>
      </c>
      <c r="J3203" s="805">
        <v>1667.47</v>
      </c>
      <c r="K3203" s="805">
        <v>3498.97</v>
      </c>
    </row>
    <row r="3204" spans="3:11">
      <c r="C3204" s="861">
        <v>41410</v>
      </c>
      <c r="D3204" s="805">
        <v>23.94</v>
      </c>
      <c r="E3204" s="805">
        <v>3.6575000000000002</v>
      </c>
      <c r="F3204" s="806">
        <v>3.83</v>
      </c>
      <c r="G3204" s="805">
        <v>3.7871204537871201</v>
      </c>
      <c r="H3204" s="805">
        <v>34.200000000000003</v>
      </c>
      <c r="I3204" s="805">
        <v>11.06</v>
      </c>
      <c r="J3204" s="805">
        <v>1650.47</v>
      </c>
      <c r="K3204" s="805">
        <v>3465.24</v>
      </c>
    </row>
    <row r="3205" spans="3:11">
      <c r="C3205" s="861">
        <v>41409</v>
      </c>
      <c r="D3205" s="805">
        <v>24.2</v>
      </c>
      <c r="E3205" s="805">
        <v>3.6749999999999998</v>
      </c>
      <c r="F3205" s="806">
        <v>4.38</v>
      </c>
      <c r="G3205" s="805">
        <v>3.84140027390854</v>
      </c>
      <c r="H3205" s="805">
        <v>34.15</v>
      </c>
      <c r="I3205" s="805">
        <v>10.87</v>
      </c>
      <c r="J3205" s="805">
        <v>1658.78</v>
      </c>
      <c r="K3205" s="805">
        <v>3471.62</v>
      </c>
    </row>
    <row r="3206" spans="3:11">
      <c r="C3206" s="861">
        <v>41408</v>
      </c>
      <c r="D3206" s="805">
        <v>23.84</v>
      </c>
      <c r="E3206" s="805">
        <v>3.6124999999999998</v>
      </c>
      <c r="F3206" s="806">
        <v>4.26</v>
      </c>
      <c r="G3206" s="805">
        <v>3.8659793814432999</v>
      </c>
      <c r="H3206" s="805">
        <v>33.700000000000003</v>
      </c>
      <c r="I3206" s="805">
        <v>10.65</v>
      </c>
      <c r="J3206" s="805">
        <v>1650.34</v>
      </c>
      <c r="K3206" s="805">
        <v>3462.61</v>
      </c>
    </row>
    <row r="3207" spans="3:11">
      <c r="C3207" s="861">
        <v>41407</v>
      </c>
      <c r="D3207" s="805">
        <v>24.08</v>
      </c>
      <c r="E3207" s="805">
        <v>3.56</v>
      </c>
      <c r="F3207" s="806">
        <v>4.17</v>
      </c>
      <c r="G3207" s="805">
        <v>3.8371313672922298</v>
      </c>
      <c r="H3207" s="805">
        <v>33.619999999999997</v>
      </c>
      <c r="I3207" s="805">
        <v>10.66</v>
      </c>
      <c r="J3207" s="805">
        <v>1633.77</v>
      </c>
      <c r="K3207" s="805">
        <v>3438.79</v>
      </c>
    </row>
    <row r="3208" spans="3:11">
      <c r="C3208" s="861">
        <v>41406</v>
      </c>
      <c r="D3208" s="805">
        <v>24.5</v>
      </c>
      <c r="E3208" s="805">
        <v>3.6349999999999998</v>
      </c>
      <c r="F3208" s="806">
        <v>3.95</v>
      </c>
      <c r="G3208" s="805">
        <v>3.8506810156381399</v>
      </c>
      <c r="H3208" s="805">
        <v>34.06</v>
      </c>
      <c r="I3208" s="805">
        <v>10.82</v>
      </c>
      <c r="J3208" s="805">
        <v>1633.7</v>
      </c>
      <c r="K3208" s="805">
        <v>3436.58</v>
      </c>
    </row>
    <row r="3209" spans="3:11">
      <c r="C3209" s="861">
        <v>41405</v>
      </c>
      <c r="D3209" s="805">
        <v>24.5</v>
      </c>
      <c r="E3209" s="805">
        <v>3.6349999999999998</v>
      </c>
      <c r="F3209" s="806">
        <v>3.95</v>
      </c>
      <c r="G3209" s="805">
        <v>3.8506810156381399</v>
      </c>
      <c r="H3209" s="805">
        <v>34.06</v>
      </c>
      <c r="I3209" s="805">
        <v>10.82</v>
      </c>
      <c r="J3209" s="805">
        <v>1633.7</v>
      </c>
      <c r="K3209" s="805">
        <v>3436.58</v>
      </c>
    </row>
    <row r="3210" spans="3:11">
      <c r="C3210" s="861">
        <v>41404</v>
      </c>
      <c r="D3210" s="805">
        <v>24.5</v>
      </c>
      <c r="E3210" s="805">
        <v>3.6349999999999998</v>
      </c>
      <c r="F3210" s="806">
        <v>3.95</v>
      </c>
      <c r="G3210" s="805">
        <v>3.8506810156381399</v>
      </c>
      <c r="H3210" s="805">
        <v>34.06</v>
      </c>
      <c r="I3210" s="805">
        <v>10.82</v>
      </c>
      <c r="J3210" s="805">
        <v>1633.7</v>
      </c>
      <c r="K3210" s="805">
        <v>3436.58</v>
      </c>
    </row>
    <row r="3211" spans="3:11">
      <c r="C3211" s="861">
        <v>41403</v>
      </c>
      <c r="D3211" s="805">
        <v>24.36</v>
      </c>
      <c r="E3211" s="805">
        <v>3.4775</v>
      </c>
      <c r="F3211" s="806">
        <v>3.86</v>
      </c>
      <c r="G3211" s="805">
        <v>3.9025383466811499</v>
      </c>
      <c r="H3211" s="805">
        <v>33.869999999999997</v>
      </c>
      <c r="I3211" s="805">
        <v>10.71</v>
      </c>
      <c r="J3211" s="805">
        <v>1626.67</v>
      </c>
      <c r="K3211" s="805">
        <v>3409.17</v>
      </c>
    </row>
    <row r="3212" spans="3:11">
      <c r="C3212" s="861">
        <v>41402</v>
      </c>
      <c r="D3212" s="805">
        <v>24.25</v>
      </c>
      <c r="E3212" s="805">
        <v>3.4725000000000001</v>
      </c>
      <c r="F3212" s="806">
        <v>3.83</v>
      </c>
      <c r="G3212" s="805">
        <v>3.9059834891178302</v>
      </c>
      <c r="H3212" s="805">
        <v>33.5</v>
      </c>
      <c r="I3212" s="805">
        <v>10.23</v>
      </c>
      <c r="J3212" s="805">
        <v>1632.69</v>
      </c>
      <c r="K3212" s="805">
        <v>3413.27</v>
      </c>
    </row>
    <row r="3213" spans="3:11">
      <c r="C3213" s="861">
        <v>41401</v>
      </c>
      <c r="D3213" s="805">
        <v>24.15</v>
      </c>
      <c r="E3213" s="805">
        <v>3.4125000000000001</v>
      </c>
      <c r="F3213" s="806">
        <v>3.54</v>
      </c>
      <c r="G3213" s="805">
        <v>3.8135593220339001</v>
      </c>
      <c r="H3213" s="805">
        <v>32.54</v>
      </c>
      <c r="I3213" s="805">
        <v>9.9700000000000006</v>
      </c>
      <c r="J3213" s="805">
        <v>1625.96</v>
      </c>
      <c r="K3213" s="805">
        <v>3396.63</v>
      </c>
    </row>
    <row r="3214" spans="3:11">
      <c r="C3214" s="861">
        <v>41400</v>
      </c>
      <c r="D3214" s="805">
        <v>23.91</v>
      </c>
      <c r="E3214" s="805">
        <v>3.4575</v>
      </c>
      <c r="F3214" s="806">
        <v>3.61</v>
      </c>
      <c r="G3214" s="805">
        <v>3.7732656514382401</v>
      </c>
      <c r="H3214" s="805">
        <v>32.799999999999997</v>
      </c>
      <c r="I3214" s="805">
        <v>9.76</v>
      </c>
      <c r="J3214" s="805">
        <v>1617.5</v>
      </c>
      <c r="K3214" s="805">
        <v>3392.97</v>
      </c>
    </row>
    <row r="3215" spans="3:11">
      <c r="C3215" s="861">
        <v>41399</v>
      </c>
      <c r="D3215" s="805">
        <v>23.96</v>
      </c>
      <c r="E3215" s="805">
        <v>3.4674999999999998</v>
      </c>
      <c r="F3215" s="806">
        <v>3.6</v>
      </c>
      <c r="G3215" s="805">
        <v>3.7288135593220302</v>
      </c>
      <c r="H3215" s="805">
        <v>31.88</v>
      </c>
      <c r="I3215" s="805">
        <v>9.6300000000000008</v>
      </c>
      <c r="J3215" s="805">
        <v>1614.42</v>
      </c>
      <c r="K3215" s="805">
        <v>3378.63</v>
      </c>
    </row>
    <row r="3216" spans="3:11">
      <c r="C3216" s="861">
        <v>41398</v>
      </c>
      <c r="D3216" s="805">
        <v>23.96</v>
      </c>
      <c r="E3216" s="805">
        <v>3.4674999999999998</v>
      </c>
      <c r="F3216" s="806">
        <v>3.6</v>
      </c>
      <c r="G3216" s="805">
        <v>3.7288135593220302</v>
      </c>
      <c r="H3216" s="805">
        <v>31.88</v>
      </c>
      <c r="I3216" s="805">
        <v>9.6300000000000008</v>
      </c>
      <c r="J3216" s="805">
        <v>1614.42</v>
      </c>
      <c r="K3216" s="805">
        <v>3378.63</v>
      </c>
    </row>
    <row r="3217" spans="3:11">
      <c r="C3217" s="861">
        <v>41397</v>
      </c>
      <c r="D3217" s="805">
        <v>23.96</v>
      </c>
      <c r="E3217" s="805">
        <v>3.4674999999999998</v>
      </c>
      <c r="F3217" s="806">
        <v>3.6</v>
      </c>
      <c r="G3217" s="805">
        <v>3.7288135593220302</v>
      </c>
      <c r="H3217" s="805">
        <v>31.88</v>
      </c>
      <c r="I3217" s="805">
        <v>9.6300000000000008</v>
      </c>
      <c r="J3217" s="805">
        <v>1614.42</v>
      </c>
      <c r="K3217" s="805">
        <v>3378.63</v>
      </c>
    </row>
    <row r="3218" spans="3:11">
      <c r="C3218" s="861">
        <v>41396</v>
      </c>
      <c r="D3218" s="805">
        <v>24.11</v>
      </c>
      <c r="E3218" s="805">
        <v>3.4525000000000001</v>
      </c>
      <c r="F3218" s="806">
        <v>3.41</v>
      </c>
      <c r="G3218" s="805">
        <v>3.7400575393467599</v>
      </c>
      <c r="H3218" s="805">
        <v>32.090000000000003</v>
      </c>
      <c r="I3218" s="805">
        <v>9.32</v>
      </c>
      <c r="J3218" s="805">
        <v>1597.59</v>
      </c>
      <c r="K3218" s="805">
        <v>3340.62</v>
      </c>
    </row>
    <row r="3219" spans="3:11">
      <c r="C3219" s="861">
        <v>41395</v>
      </c>
      <c r="D3219" s="805">
        <v>23.99</v>
      </c>
      <c r="E3219" s="805">
        <v>3.4125000000000001</v>
      </c>
      <c r="F3219" s="806">
        <v>3.22</v>
      </c>
      <c r="G3219" s="805">
        <v>3.7151387663703601</v>
      </c>
      <c r="H3219" s="805">
        <v>31.32</v>
      </c>
      <c r="I3219" s="805">
        <v>9.1999999999999993</v>
      </c>
      <c r="J3219" s="805">
        <v>1582.7</v>
      </c>
      <c r="K3219" s="805">
        <v>3299.13</v>
      </c>
    </row>
    <row r="3220" spans="3:11">
      <c r="C3220" s="861">
        <v>41394</v>
      </c>
      <c r="D3220" s="805">
        <v>23.95</v>
      </c>
      <c r="E3220" s="805">
        <v>3.4424999999999999</v>
      </c>
      <c r="F3220" s="806">
        <v>2.82</v>
      </c>
      <c r="G3220" s="805">
        <v>3.7151387663703601</v>
      </c>
      <c r="H3220" s="805">
        <v>31.96</v>
      </c>
      <c r="I3220" s="805">
        <v>9.42</v>
      </c>
      <c r="J3220" s="805">
        <v>1597.57</v>
      </c>
      <c r="K3220" s="805">
        <v>3328.79</v>
      </c>
    </row>
    <row r="3221" spans="3:11">
      <c r="C3221" s="861">
        <v>41393</v>
      </c>
      <c r="D3221" s="805">
        <v>23.76</v>
      </c>
      <c r="E3221" s="805">
        <v>3.3925000000000001</v>
      </c>
      <c r="F3221" s="806">
        <v>2.68</v>
      </c>
      <c r="G3221" s="805">
        <v>3.66810447304962</v>
      </c>
      <c r="H3221" s="805">
        <v>32.53</v>
      </c>
      <c r="I3221" s="805">
        <v>9.35</v>
      </c>
      <c r="J3221" s="805">
        <v>1593.61</v>
      </c>
      <c r="K3221" s="805">
        <v>3307.02</v>
      </c>
    </row>
    <row r="3222" spans="3:11">
      <c r="C3222" s="861">
        <v>41392</v>
      </c>
      <c r="D3222" s="805">
        <v>23.4</v>
      </c>
      <c r="E3222" s="805">
        <v>3.3525</v>
      </c>
      <c r="F3222" s="806">
        <v>2.64</v>
      </c>
      <c r="G3222" s="805">
        <v>3.6738563640673201</v>
      </c>
      <c r="H3222" s="805">
        <v>32.11</v>
      </c>
      <c r="I3222" s="805">
        <v>9.43</v>
      </c>
      <c r="J3222" s="805">
        <v>1582.24</v>
      </c>
      <c r="K3222" s="805">
        <v>3279.26</v>
      </c>
    </row>
    <row r="3223" spans="3:11">
      <c r="C3223" s="861">
        <v>41391</v>
      </c>
      <c r="D3223" s="805">
        <v>23.4</v>
      </c>
      <c r="E3223" s="805">
        <v>3.3525</v>
      </c>
      <c r="F3223" s="806">
        <v>2.64</v>
      </c>
      <c r="G3223" s="805">
        <v>3.6738563640673201</v>
      </c>
      <c r="H3223" s="805">
        <v>32.11</v>
      </c>
      <c r="I3223" s="805">
        <v>9.43</v>
      </c>
      <c r="J3223" s="805">
        <v>1582.24</v>
      </c>
      <c r="K3223" s="805">
        <v>3279.26</v>
      </c>
    </row>
    <row r="3224" spans="3:11">
      <c r="C3224" s="861">
        <v>41390</v>
      </c>
      <c r="D3224" s="805">
        <v>23.4</v>
      </c>
      <c r="E3224" s="805">
        <v>3.3525</v>
      </c>
      <c r="F3224" s="806">
        <v>2.64</v>
      </c>
      <c r="G3224" s="805">
        <v>3.6738563640673201</v>
      </c>
      <c r="H3224" s="805">
        <v>32.11</v>
      </c>
      <c r="I3224" s="805">
        <v>9.43</v>
      </c>
      <c r="J3224" s="805">
        <v>1582.24</v>
      </c>
      <c r="K3224" s="805">
        <v>3279.26</v>
      </c>
    </row>
    <row r="3225" spans="3:11">
      <c r="C3225" s="861">
        <v>41389</v>
      </c>
      <c r="D3225" s="805">
        <v>23.38</v>
      </c>
      <c r="E3225" s="805">
        <v>3.3675000000000002</v>
      </c>
      <c r="F3225" s="806">
        <v>2.68</v>
      </c>
      <c r="G3225" s="805">
        <v>3.6110829874118302</v>
      </c>
      <c r="H3225" s="805">
        <v>32.630000000000003</v>
      </c>
      <c r="I3225" s="805">
        <v>9.5299999999999994</v>
      </c>
      <c r="J3225" s="805">
        <v>1585.16</v>
      </c>
      <c r="K3225" s="805">
        <v>3289.99</v>
      </c>
    </row>
    <row r="3226" spans="3:11">
      <c r="C3226" s="861">
        <v>41388</v>
      </c>
      <c r="D3226" s="805">
        <v>23.66</v>
      </c>
      <c r="E3226" s="805">
        <v>3.34</v>
      </c>
      <c r="F3226" s="806">
        <v>2.61</v>
      </c>
      <c r="G3226" s="805">
        <v>3.5612296321182599</v>
      </c>
      <c r="H3226" s="805">
        <v>32.619999999999997</v>
      </c>
      <c r="I3226" s="805">
        <v>9.42</v>
      </c>
      <c r="J3226" s="805">
        <v>1578.79</v>
      </c>
      <c r="K3226" s="805">
        <v>3269.65</v>
      </c>
    </row>
    <row r="3227" spans="3:11">
      <c r="C3227" s="861">
        <v>41387</v>
      </c>
      <c r="D3227" s="805">
        <v>23.375</v>
      </c>
      <c r="E3227" s="805">
        <v>3.23</v>
      </c>
      <c r="F3227" s="806">
        <v>2.5299999999999998</v>
      </c>
      <c r="G3227" s="805">
        <v>3.55704697986577</v>
      </c>
      <c r="H3227" s="805">
        <v>32.369999999999997</v>
      </c>
      <c r="I3227" s="805">
        <v>9.42</v>
      </c>
      <c r="J3227" s="805">
        <v>1578.78</v>
      </c>
      <c r="K3227" s="805">
        <v>3269.33</v>
      </c>
    </row>
    <row r="3228" spans="3:11">
      <c r="C3228" s="861">
        <v>41386</v>
      </c>
      <c r="D3228" s="805">
        <v>22.88</v>
      </c>
      <c r="E3228" s="805">
        <v>3.1475</v>
      </c>
      <c r="F3228" s="806">
        <v>2.46</v>
      </c>
      <c r="G3228" s="805">
        <v>3.6406952553519898</v>
      </c>
      <c r="H3228" s="805">
        <v>31.58</v>
      </c>
      <c r="I3228" s="805">
        <v>9.31</v>
      </c>
      <c r="J3228" s="805">
        <v>1562.5</v>
      </c>
      <c r="K3228" s="805">
        <v>3233.55</v>
      </c>
    </row>
    <row r="3229" spans="3:11">
      <c r="C3229" s="861">
        <v>41385</v>
      </c>
      <c r="D3229" s="805">
        <v>22.44</v>
      </c>
      <c r="E3229" s="805">
        <v>3.1425000000000001</v>
      </c>
      <c r="F3229" s="806">
        <v>2.4700000000000002</v>
      </c>
      <c r="G3229" s="805">
        <v>3.5768261964735499</v>
      </c>
      <c r="H3229" s="805">
        <v>31.26</v>
      </c>
      <c r="I3229" s="805">
        <v>9.35</v>
      </c>
      <c r="J3229" s="805">
        <v>1555.25</v>
      </c>
      <c r="K3229" s="805">
        <v>3206.06</v>
      </c>
    </row>
    <row r="3230" spans="3:11">
      <c r="C3230" s="861">
        <v>41384</v>
      </c>
      <c r="D3230" s="805">
        <v>22.44</v>
      </c>
      <c r="E3230" s="805">
        <v>3.1425000000000001</v>
      </c>
      <c r="F3230" s="806">
        <v>2.4700000000000002</v>
      </c>
      <c r="G3230" s="805">
        <v>3.5768261964735499</v>
      </c>
      <c r="H3230" s="805">
        <v>31.26</v>
      </c>
      <c r="I3230" s="805">
        <v>9.35</v>
      </c>
      <c r="J3230" s="805">
        <v>1555.25</v>
      </c>
      <c r="K3230" s="805">
        <v>3206.06</v>
      </c>
    </row>
    <row r="3231" spans="3:11">
      <c r="C3231" s="861">
        <v>41383</v>
      </c>
      <c r="D3231" s="805">
        <v>22.44</v>
      </c>
      <c r="E3231" s="805">
        <v>3.1425000000000001</v>
      </c>
      <c r="F3231" s="806">
        <v>2.4700000000000002</v>
      </c>
      <c r="G3231" s="805">
        <v>3.5768261964735499</v>
      </c>
      <c r="H3231" s="805">
        <v>31.26</v>
      </c>
      <c r="I3231" s="805">
        <v>9.35</v>
      </c>
      <c r="J3231" s="805">
        <v>1555.25</v>
      </c>
      <c r="K3231" s="805">
        <v>3206.06</v>
      </c>
    </row>
    <row r="3232" spans="3:11">
      <c r="C3232" s="861">
        <v>41382</v>
      </c>
      <c r="D3232" s="805">
        <v>22.24</v>
      </c>
      <c r="E3232" s="805">
        <v>3.1349999999999998</v>
      </c>
      <c r="F3232" s="806">
        <v>2.5099999999999998</v>
      </c>
      <c r="G3232" s="805">
        <v>3.3447167537163498</v>
      </c>
      <c r="H3232" s="805">
        <v>31.37</v>
      </c>
      <c r="I3232" s="805">
        <v>9.23</v>
      </c>
      <c r="J3232" s="805">
        <v>1541.61</v>
      </c>
      <c r="K3232" s="805">
        <v>3166.36</v>
      </c>
    </row>
    <row r="3233" spans="3:11">
      <c r="C3233" s="861">
        <v>41381</v>
      </c>
      <c r="D3233" s="805">
        <v>21.93</v>
      </c>
      <c r="E3233" s="805">
        <v>3.1949999999999998</v>
      </c>
      <c r="F3233" s="806">
        <v>2.4</v>
      </c>
      <c r="G3233" s="805">
        <v>3.3503082283570098</v>
      </c>
      <c r="H3233" s="805">
        <v>32.409999999999997</v>
      </c>
      <c r="I3233" s="805">
        <v>9.39</v>
      </c>
      <c r="J3233" s="805">
        <v>1552.01</v>
      </c>
      <c r="K3233" s="805">
        <v>3204.67</v>
      </c>
    </row>
    <row r="3234" spans="3:11">
      <c r="C3234" s="861">
        <v>41380</v>
      </c>
      <c r="D3234" s="805">
        <v>21.914999999999999</v>
      </c>
      <c r="E3234" s="805">
        <v>3.24</v>
      </c>
      <c r="F3234" s="806">
        <v>2.44</v>
      </c>
      <c r="G3234" s="805">
        <v>3.3703343505818402</v>
      </c>
      <c r="H3234" s="805">
        <v>34.58</v>
      </c>
      <c r="I3234" s="805">
        <v>9.8699999999999992</v>
      </c>
      <c r="J3234" s="805">
        <v>1574.57</v>
      </c>
      <c r="K3234" s="805">
        <v>3264.63</v>
      </c>
    </row>
    <row r="3235" spans="3:11">
      <c r="C3235" s="861">
        <v>41379</v>
      </c>
      <c r="D3235" s="805">
        <v>21.38</v>
      </c>
      <c r="E3235" s="805">
        <v>3.2050000000000001</v>
      </c>
      <c r="F3235" s="806">
        <v>2.4</v>
      </c>
      <c r="G3235" s="805">
        <v>3.3229699461772499</v>
      </c>
      <c r="H3235" s="805">
        <v>33.78</v>
      </c>
      <c r="I3235" s="805">
        <v>9.56</v>
      </c>
      <c r="J3235" s="805">
        <v>1552.36</v>
      </c>
      <c r="K3235" s="805">
        <v>3216.49</v>
      </c>
    </row>
    <row r="3236" spans="3:11">
      <c r="C3236" s="861">
        <v>41378</v>
      </c>
      <c r="D3236" s="805">
        <v>21.675000000000001</v>
      </c>
      <c r="E3236" s="805">
        <v>3.2725</v>
      </c>
      <c r="F3236" s="806">
        <v>2.48</v>
      </c>
      <c r="G3236" s="805">
        <v>3.3578349482125001</v>
      </c>
      <c r="H3236" s="805">
        <v>34.909999999999997</v>
      </c>
      <c r="I3236" s="805">
        <v>10.01</v>
      </c>
      <c r="J3236" s="805">
        <v>1588.85</v>
      </c>
      <c r="K3236" s="805">
        <v>3294.95</v>
      </c>
    </row>
    <row r="3237" spans="3:11">
      <c r="C3237" s="861">
        <v>41377</v>
      </c>
      <c r="D3237" s="805">
        <v>21.675000000000001</v>
      </c>
      <c r="E3237" s="805">
        <v>3.2725</v>
      </c>
      <c r="F3237" s="806">
        <v>2.48</v>
      </c>
      <c r="G3237" s="805">
        <v>3.3578349482125001</v>
      </c>
      <c r="H3237" s="805">
        <v>34.909999999999997</v>
      </c>
      <c r="I3237" s="805">
        <v>10.01</v>
      </c>
      <c r="J3237" s="805">
        <v>1588.85</v>
      </c>
      <c r="K3237" s="805">
        <v>3294.95</v>
      </c>
    </row>
    <row r="3238" spans="3:11">
      <c r="C3238" s="861">
        <v>41376</v>
      </c>
      <c r="D3238" s="805">
        <v>21.675000000000001</v>
      </c>
      <c r="E3238" s="805">
        <v>3.2725</v>
      </c>
      <c r="F3238" s="806">
        <v>2.48</v>
      </c>
      <c r="G3238" s="805">
        <v>3.3578349482125001</v>
      </c>
      <c r="H3238" s="805">
        <v>34.909999999999997</v>
      </c>
      <c r="I3238" s="805">
        <v>10.01</v>
      </c>
      <c r="J3238" s="805">
        <v>1588.85</v>
      </c>
      <c r="K3238" s="805">
        <v>3294.95</v>
      </c>
    </row>
    <row r="3239" spans="3:11">
      <c r="C3239" s="861">
        <v>41375</v>
      </c>
      <c r="D3239" s="805">
        <v>21.824999999999999</v>
      </c>
      <c r="E3239" s="805">
        <v>3.19</v>
      </c>
      <c r="F3239" s="806">
        <v>2.52</v>
      </c>
      <c r="G3239" s="805">
        <v>3.3923796791443901</v>
      </c>
      <c r="H3239" s="805">
        <v>35.630000000000003</v>
      </c>
      <c r="I3239" s="805">
        <v>9.98</v>
      </c>
      <c r="J3239" s="805">
        <v>1593.37</v>
      </c>
      <c r="K3239" s="805">
        <v>3300.16</v>
      </c>
    </row>
    <row r="3240" spans="3:11">
      <c r="C3240" s="861">
        <v>41374</v>
      </c>
      <c r="D3240" s="805">
        <v>22.26</v>
      </c>
      <c r="E3240" s="805">
        <v>3.2075</v>
      </c>
      <c r="F3240" s="806">
        <v>2.61</v>
      </c>
      <c r="G3240" s="805">
        <v>3.28093187810821</v>
      </c>
      <c r="H3240" s="805">
        <v>35.39</v>
      </c>
      <c r="I3240" s="805">
        <v>10.09</v>
      </c>
      <c r="J3240" s="805">
        <v>1587.73</v>
      </c>
      <c r="K3240" s="805">
        <v>3297.25</v>
      </c>
    </row>
    <row r="3241" spans="3:11">
      <c r="C3241" s="861">
        <v>41373</v>
      </c>
      <c r="D3241" s="805">
        <v>21.75</v>
      </c>
      <c r="E3241" s="805">
        <v>3.1575000000000002</v>
      </c>
      <c r="F3241" s="806">
        <v>2.63</v>
      </c>
      <c r="G3241" s="805">
        <v>3.2528191098952401</v>
      </c>
      <c r="H3241" s="805">
        <v>34.78</v>
      </c>
      <c r="I3241" s="805">
        <v>9.57</v>
      </c>
      <c r="J3241" s="805">
        <v>1568.61</v>
      </c>
      <c r="K3241" s="805">
        <v>3237.86</v>
      </c>
    </row>
    <row r="3242" spans="3:11">
      <c r="C3242" s="861">
        <v>41372</v>
      </c>
      <c r="D3242" s="805">
        <v>21.09</v>
      </c>
      <c r="E3242" s="805">
        <v>3.1074999999999999</v>
      </c>
      <c r="F3242" s="806">
        <v>2.59</v>
      </c>
      <c r="G3242" s="805">
        <v>3.2774339522193401</v>
      </c>
      <c r="H3242" s="805">
        <v>34.659999999999997</v>
      </c>
      <c r="I3242" s="805">
        <v>9.39</v>
      </c>
      <c r="J3242" s="805">
        <v>1563.07</v>
      </c>
      <c r="K3242" s="805">
        <v>3222.25</v>
      </c>
    </row>
    <row r="3243" spans="3:11">
      <c r="C3243" s="861">
        <v>41371</v>
      </c>
      <c r="D3243" s="805">
        <v>20.94</v>
      </c>
      <c r="E3243" s="805">
        <v>3.1150000000000002</v>
      </c>
      <c r="F3243" s="806">
        <v>2.29</v>
      </c>
      <c r="G3243" s="805">
        <v>3.3661575562701</v>
      </c>
      <c r="H3243" s="805">
        <v>34.33</v>
      </c>
      <c r="I3243" s="805">
        <v>9.31</v>
      </c>
      <c r="J3243" s="805">
        <v>1553.28</v>
      </c>
      <c r="K3243" s="805">
        <v>3203.86</v>
      </c>
    </row>
    <row r="3244" spans="3:11">
      <c r="C3244" s="861">
        <v>41370</v>
      </c>
      <c r="D3244" s="805">
        <v>20.94</v>
      </c>
      <c r="E3244" s="805">
        <v>3.1150000000000002</v>
      </c>
      <c r="F3244" s="806">
        <v>2.29</v>
      </c>
      <c r="G3244" s="805">
        <v>3.3661575562701</v>
      </c>
      <c r="H3244" s="805">
        <v>34.33</v>
      </c>
      <c r="I3244" s="805">
        <v>9.31</v>
      </c>
      <c r="J3244" s="805">
        <v>1553.28</v>
      </c>
      <c r="K3244" s="805">
        <v>3203.86</v>
      </c>
    </row>
    <row r="3245" spans="3:11">
      <c r="C3245" s="861">
        <v>41369</v>
      </c>
      <c r="D3245" s="805">
        <v>20.94</v>
      </c>
      <c r="E3245" s="805">
        <v>3.1150000000000002</v>
      </c>
      <c r="F3245" s="806">
        <v>2.29</v>
      </c>
      <c r="G3245" s="805">
        <v>3.3661575562701</v>
      </c>
      <c r="H3245" s="805">
        <v>34.33</v>
      </c>
      <c r="I3245" s="805">
        <v>9.31</v>
      </c>
      <c r="J3245" s="805">
        <v>1553.28</v>
      </c>
      <c r="K3245" s="805">
        <v>3203.86</v>
      </c>
    </row>
    <row r="3246" spans="3:11">
      <c r="C3246" s="861">
        <v>41368</v>
      </c>
      <c r="D3246" s="805">
        <v>21.135000000000002</v>
      </c>
      <c r="E3246" s="805">
        <v>3.06</v>
      </c>
      <c r="F3246" s="806">
        <v>2.33</v>
      </c>
      <c r="G3246" s="805">
        <v>3.3661575562701</v>
      </c>
      <c r="H3246" s="805">
        <v>34.6</v>
      </c>
      <c r="I3246" s="805">
        <v>9.31</v>
      </c>
      <c r="J3246" s="805">
        <v>1559.98</v>
      </c>
      <c r="K3246" s="805">
        <v>3224.98</v>
      </c>
    </row>
    <row r="3247" spans="3:11">
      <c r="C3247" s="861">
        <v>41367</v>
      </c>
      <c r="D3247" s="805">
        <v>21.05</v>
      </c>
      <c r="E3247" s="805">
        <v>3.0325000000000002</v>
      </c>
      <c r="F3247" s="806">
        <v>2.3199999999999998</v>
      </c>
      <c r="G3247" s="805">
        <v>3.3661575562701</v>
      </c>
      <c r="H3247" s="805">
        <v>34.31</v>
      </c>
      <c r="I3247" s="805">
        <v>9.1</v>
      </c>
      <c r="J3247" s="805">
        <v>1553.69</v>
      </c>
      <c r="K3247" s="805">
        <v>3218.6</v>
      </c>
    </row>
    <row r="3248" spans="3:11">
      <c r="C3248" s="861">
        <v>41366</v>
      </c>
      <c r="D3248" s="805">
        <v>21.454999999999998</v>
      </c>
      <c r="E3248" s="805">
        <v>3.0674999999999999</v>
      </c>
      <c r="F3248" s="806">
        <v>2.39</v>
      </c>
      <c r="G3248" s="805">
        <v>3.3651431441486701</v>
      </c>
      <c r="H3248" s="805">
        <v>34.880000000000003</v>
      </c>
      <c r="I3248" s="805">
        <v>9.3000000000000007</v>
      </c>
      <c r="J3248" s="805">
        <v>1570.25</v>
      </c>
      <c r="K3248" s="805">
        <v>3254.86</v>
      </c>
    </row>
    <row r="3249" spans="3:11">
      <c r="C3249" s="861">
        <v>41365</v>
      </c>
      <c r="D3249" s="805">
        <v>21.43</v>
      </c>
      <c r="E3249" s="805">
        <v>3.1025</v>
      </c>
      <c r="F3249" s="806">
        <v>2.44</v>
      </c>
      <c r="G3249" s="805">
        <v>3.3840380620518702</v>
      </c>
      <c r="H3249" s="805">
        <v>35.340000000000003</v>
      </c>
      <c r="I3249" s="805">
        <v>9.3800000000000008</v>
      </c>
      <c r="J3249" s="805">
        <v>1562.17</v>
      </c>
      <c r="K3249" s="805">
        <v>3239.17</v>
      </c>
    </row>
    <row r="3250" spans="3:11">
      <c r="C3250" s="861">
        <v>41364</v>
      </c>
      <c r="D3250" s="805">
        <v>21.835000000000001</v>
      </c>
      <c r="E3250" s="805">
        <v>3.2050000000000001</v>
      </c>
      <c r="F3250" s="806">
        <v>2.5499999999999998</v>
      </c>
      <c r="G3250" s="805">
        <v>3.37180433469771</v>
      </c>
      <c r="H3250" s="805">
        <v>35.92</v>
      </c>
      <c r="I3250" s="805">
        <v>9.98</v>
      </c>
      <c r="J3250" s="805">
        <v>1569.19</v>
      </c>
      <c r="K3250" s="805">
        <v>3267.52</v>
      </c>
    </row>
    <row r="3251" spans="3:11">
      <c r="C3251" s="861">
        <v>41363</v>
      </c>
      <c r="D3251" s="805">
        <v>21.835000000000001</v>
      </c>
      <c r="E3251" s="805">
        <v>3.2050000000000001</v>
      </c>
      <c r="F3251" s="806">
        <v>2.5499999999999998</v>
      </c>
      <c r="G3251" s="805">
        <v>3.37180433469771</v>
      </c>
      <c r="H3251" s="805">
        <v>35.92</v>
      </c>
      <c r="I3251" s="805">
        <v>9.98</v>
      </c>
      <c r="J3251" s="805">
        <v>1569.19</v>
      </c>
      <c r="K3251" s="805">
        <v>3267.52</v>
      </c>
    </row>
    <row r="3252" spans="3:11">
      <c r="C3252" s="861">
        <v>41362</v>
      </c>
      <c r="D3252" s="805">
        <v>21.835000000000001</v>
      </c>
      <c r="E3252" s="805">
        <v>3.2050000000000001</v>
      </c>
      <c r="F3252" s="806">
        <v>2.5499999999999998</v>
      </c>
      <c r="G3252" s="805">
        <v>3.37180433469771</v>
      </c>
      <c r="H3252" s="805">
        <v>35.92</v>
      </c>
      <c r="I3252" s="805">
        <v>9.98</v>
      </c>
      <c r="J3252" s="805">
        <v>1569.19</v>
      </c>
      <c r="K3252" s="805">
        <v>3267.52</v>
      </c>
    </row>
    <row r="3253" spans="3:11">
      <c r="C3253" s="861">
        <v>41361</v>
      </c>
      <c r="D3253" s="805">
        <v>21.835000000000001</v>
      </c>
      <c r="E3253" s="805">
        <v>3.2050000000000001</v>
      </c>
      <c r="F3253" s="806">
        <v>2.5499999999999998</v>
      </c>
      <c r="G3253" s="805">
        <v>3.34941050375134</v>
      </c>
      <c r="H3253" s="805">
        <v>35.92</v>
      </c>
      <c r="I3253" s="805">
        <v>9.98</v>
      </c>
      <c r="J3253" s="805">
        <v>1569.19</v>
      </c>
      <c r="K3253" s="805">
        <v>3267.52</v>
      </c>
    </row>
    <row r="3254" spans="3:11">
      <c r="C3254" s="861">
        <v>41360</v>
      </c>
      <c r="D3254" s="805">
        <v>21.83</v>
      </c>
      <c r="E3254" s="805">
        <v>3.1625000000000001</v>
      </c>
      <c r="F3254" s="806">
        <v>2.5499999999999998</v>
      </c>
      <c r="G3254" s="805">
        <v>3.3660448136115502</v>
      </c>
      <c r="H3254" s="805">
        <v>35.64</v>
      </c>
      <c r="I3254" s="805">
        <v>9.9600000000000009</v>
      </c>
      <c r="J3254" s="805">
        <v>1562.85</v>
      </c>
      <c r="K3254" s="805">
        <v>3256.52</v>
      </c>
    </row>
    <row r="3255" spans="3:11">
      <c r="C3255" s="861">
        <v>41359</v>
      </c>
      <c r="D3255" s="805">
        <v>21.765000000000001</v>
      </c>
      <c r="E3255" s="805">
        <v>3.125</v>
      </c>
      <c r="F3255" s="806">
        <v>2.54</v>
      </c>
      <c r="G3255" s="805">
        <v>3.3198081888602</v>
      </c>
      <c r="H3255" s="805">
        <v>35.78</v>
      </c>
      <c r="I3255" s="805">
        <v>9.92</v>
      </c>
      <c r="J3255" s="805">
        <v>1563.77</v>
      </c>
      <c r="K3255" s="805">
        <v>3252.48</v>
      </c>
    </row>
    <row r="3256" spans="3:11">
      <c r="C3256" s="861">
        <v>41358</v>
      </c>
      <c r="D3256" s="805">
        <v>21.15</v>
      </c>
      <c r="E3256" s="805">
        <v>3.1025</v>
      </c>
      <c r="F3256" s="806">
        <v>2.5099999999999998</v>
      </c>
      <c r="G3256" s="805">
        <v>3.33355668721522</v>
      </c>
      <c r="H3256" s="805">
        <v>35.520000000000003</v>
      </c>
      <c r="I3256" s="805">
        <v>9.8800000000000008</v>
      </c>
      <c r="J3256" s="805">
        <v>1551.69</v>
      </c>
      <c r="K3256" s="805">
        <v>3235.3</v>
      </c>
    </row>
    <row r="3257" spans="3:11">
      <c r="C3257" s="861">
        <v>41357</v>
      </c>
      <c r="D3257" s="805">
        <v>21.33</v>
      </c>
      <c r="E3257" s="805">
        <v>3.12</v>
      </c>
      <c r="F3257" s="806">
        <v>2.54</v>
      </c>
      <c r="G3257" s="805">
        <v>3.2825322391559202</v>
      </c>
      <c r="H3257" s="805">
        <v>35.799999999999997</v>
      </c>
      <c r="I3257" s="805">
        <v>10.039999999999999</v>
      </c>
      <c r="J3257" s="805">
        <v>1556.89</v>
      </c>
      <c r="K3257" s="805">
        <v>3245</v>
      </c>
    </row>
    <row r="3258" spans="3:11">
      <c r="C3258" s="861">
        <v>41356</v>
      </c>
      <c r="D3258" s="805">
        <v>21.33</v>
      </c>
      <c r="E3258" s="805">
        <v>3.12</v>
      </c>
      <c r="F3258" s="806">
        <v>2.54</v>
      </c>
      <c r="G3258" s="805">
        <v>3.2825322391559202</v>
      </c>
      <c r="H3258" s="805">
        <v>35.799999999999997</v>
      </c>
      <c r="I3258" s="805">
        <v>10.039999999999999</v>
      </c>
      <c r="J3258" s="805">
        <v>1556.89</v>
      </c>
      <c r="K3258" s="805">
        <v>3245</v>
      </c>
    </row>
    <row r="3259" spans="3:11">
      <c r="C3259" s="861">
        <v>41355</v>
      </c>
      <c r="D3259" s="805">
        <v>21.33</v>
      </c>
      <c r="E3259" s="805">
        <v>3.12</v>
      </c>
      <c r="F3259" s="806">
        <v>2.54</v>
      </c>
      <c r="G3259" s="805">
        <v>3.2825322391559202</v>
      </c>
      <c r="H3259" s="805">
        <v>35.799999999999997</v>
      </c>
      <c r="I3259" s="805">
        <v>10.039999999999999</v>
      </c>
      <c r="J3259" s="805">
        <v>1556.89</v>
      </c>
      <c r="K3259" s="805">
        <v>3245</v>
      </c>
    </row>
    <row r="3260" spans="3:11">
      <c r="C3260" s="861">
        <v>41354</v>
      </c>
      <c r="D3260" s="805">
        <v>21.04</v>
      </c>
      <c r="E3260" s="805">
        <v>3.105</v>
      </c>
      <c r="F3260" s="806">
        <v>2.64</v>
      </c>
      <c r="G3260" s="805">
        <v>3.31308113188547</v>
      </c>
      <c r="H3260" s="805">
        <v>35.56</v>
      </c>
      <c r="I3260" s="805">
        <v>9.07</v>
      </c>
      <c r="J3260" s="805">
        <v>1545.8</v>
      </c>
      <c r="K3260" s="805">
        <v>3222.6</v>
      </c>
    </row>
    <row r="3261" spans="3:11">
      <c r="C3261" s="861">
        <v>41353</v>
      </c>
      <c r="D3261" s="805">
        <v>21.18</v>
      </c>
      <c r="E3261" s="805">
        <v>3.1524999999999999</v>
      </c>
      <c r="F3261" s="806">
        <v>2.75</v>
      </c>
      <c r="G3261" s="805">
        <v>3.3205619412515999</v>
      </c>
      <c r="H3261" s="805">
        <v>35.93</v>
      </c>
      <c r="I3261" s="805">
        <v>9.31</v>
      </c>
      <c r="J3261" s="805">
        <v>1558.71</v>
      </c>
      <c r="K3261" s="805">
        <v>3254.19</v>
      </c>
    </row>
    <row r="3262" spans="3:11">
      <c r="C3262" s="861">
        <v>41352</v>
      </c>
      <c r="D3262" s="805">
        <v>21.14</v>
      </c>
      <c r="E3262" s="805">
        <v>3.1175000000000002</v>
      </c>
      <c r="F3262" s="806">
        <v>2.67</v>
      </c>
      <c r="G3262" s="805">
        <v>3.3605538192694202</v>
      </c>
      <c r="H3262" s="805">
        <v>35.299999999999997</v>
      </c>
      <c r="I3262" s="805">
        <v>9.24</v>
      </c>
      <c r="J3262" s="805">
        <v>1548.34</v>
      </c>
      <c r="K3262" s="805">
        <v>3229.1</v>
      </c>
    </row>
    <row r="3263" spans="3:11">
      <c r="C3263" s="861">
        <v>41351</v>
      </c>
      <c r="D3263" s="805">
        <v>21.26</v>
      </c>
      <c r="E3263" s="805">
        <v>3.1375000000000002</v>
      </c>
      <c r="F3263" s="806">
        <v>2.65</v>
      </c>
      <c r="G3263" s="805">
        <v>3.3775835993950598</v>
      </c>
      <c r="H3263" s="805">
        <v>35.26</v>
      </c>
      <c r="I3263" s="805">
        <v>9.18</v>
      </c>
      <c r="J3263" s="805">
        <v>1552.1</v>
      </c>
      <c r="K3263" s="805">
        <v>3237.59</v>
      </c>
    </row>
    <row r="3264" spans="3:11">
      <c r="C3264" s="861">
        <v>41350</v>
      </c>
      <c r="D3264" s="805">
        <v>21.375</v>
      </c>
      <c r="E3264" s="805">
        <v>3.1625000000000001</v>
      </c>
      <c r="F3264" s="806">
        <v>2.6</v>
      </c>
      <c r="G3264" s="805">
        <v>3.4663794844181202</v>
      </c>
      <c r="H3264" s="805">
        <v>36.01</v>
      </c>
      <c r="I3264" s="805">
        <v>9.36</v>
      </c>
      <c r="J3264" s="805">
        <v>1560.7</v>
      </c>
      <c r="K3264" s="805">
        <v>3249.07</v>
      </c>
    </row>
    <row r="3265" spans="3:11">
      <c r="C3265" s="861">
        <v>41349</v>
      </c>
      <c r="D3265" s="805">
        <v>21.375</v>
      </c>
      <c r="E3265" s="805">
        <v>3.1625000000000001</v>
      </c>
      <c r="F3265" s="806">
        <v>2.6</v>
      </c>
      <c r="G3265" s="805">
        <v>3.4663794844181202</v>
      </c>
      <c r="H3265" s="805">
        <v>36.01</v>
      </c>
      <c r="I3265" s="805">
        <v>9.36</v>
      </c>
      <c r="J3265" s="805">
        <v>1560.7</v>
      </c>
      <c r="K3265" s="805">
        <v>3249.07</v>
      </c>
    </row>
    <row r="3266" spans="3:11">
      <c r="C3266" s="861">
        <v>41348</v>
      </c>
      <c r="D3266" s="805">
        <v>21.375</v>
      </c>
      <c r="E3266" s="805">
        <v>3.1625000000000001</v>
      </c>
      <c r="F3266" s="806">
        <v>2.6</v>
      </c>
      <c r="G3266" s="805">
        <v>3.4663794844181202</v>
      </c>
      <c r="H3266" s="805">
        <v>36.01</v>
      </c>
      <c r="I3266" s="805">
        <v>9.36</v>
      </c>
      <c r="J3266" s="805">
        <v>1560.7</v>
      </c>
      <c r="K3266" s="805">
        <v>3249.07</v>
      </c>
    </row>
    <row r="3267" spans="3:11">
      <c r="C3267" s="861">
        <v>41347</v>
      </c>
      <c r="D3267" s="805">
        <v>21.65</v>
      </c>
      <c r="E3267" s="805">
        <v>3.1875</v>
      </c>
      <c r="F3267" s="806">
        <v>2.63</v>
      </c>
      <c r="G3267" s="805">
        <v>3.4980323567993001</v>
      </c>
      <c r="H3267" s="805">
        <v>36.65</v>
      </c>
      <c r="I3267" s="805">
        <v>9.69</v>
      </c>
      <c r="J3267" s="805">
        <v>1563.23</v>
      </c>
      <c r="K3267" s="805">
        <v>3258.93</v>
      </c>
    </row>
    <row r="3268" spans="3:11">
      <c r="C3268" s="861">
        <v>41346</v>
      </c>
      <c r="D3268" s="805">
        <v>21.655000000000001</v>
      </c>
      <c r="E3268" s="805">
        <v>3.1850000000000001</v>
      </c>
      <c r="F3268" s="806">
        <v>2.6</v>
      </c>
      <c r="G3268" s="805">
        <v>3.5192294739677998</v>
      </c>
      <c r="H3268" s="805">
        <v>35.99</v>
      </c>
      <c r="I3268" s="805">
        <v>9.51</v>
      </c>
      <c r="J3268" s="805">
        <v>1554.52</v>
      </c>
      <c r="K3268" s="805">
        <v>3245.12</v>
      </c>
    </row>
    <row r="3269" spans="3:11">
      <c r="C3269" s="861">
        <v>41345</v>
      </c>
      <c r="D3269" s="805">
        <v>21.64</v>
      </c>
      <c r="E3269" s="805">
        <v>3.1850000000000001</v>
      </c>
      <c r="F3269" s="806">
        <v>2.61</v>
      </c>
      <c r="G3269" s="805">
        <v>3.4580479740899399</v>
      </c>
      <c r="H3269" s="805">
        <v>35.450000000000003</v>
      </c>
      <c r="I3269" s="805">
        <v>9.32</v>
      </c>
      <c r="J3269" s="805">
        <v>1552.48</v>
      </c>
      <c r="K3269" s="805">
        <v>3242.32</v>
      </c>
    </row>
    <row r="3270" spans="3:11">
      <c r="C3270" s="861">
        <v>41344</v>
      </c>
      <c r="D3270" s="805">
        <v>21.69</v>
      </c>
      <c r="E3270" s="805">
        <v>3.1749999999999998</v>
      </c>
      <c r="F3270" s="806">
        <v>2.59</v>
      </c>
      <c r="G3270" s="805">
        <v>3.4348060344827598</v>
      </c>
      <c r="H3270" s="805">
        <v>35.26</v>
      </c>
      <c r="I3270" s="805">
        <v>9.34</v>
      </c>
      <c r="J3270" s="805">
        <v>1556.22</v>
      </c>
      <c r="K3270" s="805">
        <v>3252.87</v>
      </c>
    </row>
    <row r="3271" spans="3:11">
      <c r="C3271" s="861">
        <v>41343</v>
      </c>
      <c r="D3271" s="805">
        <v>21.58</v>
      </c>
      <c r="E3271" s="805">
        <v>3.2050000000000001</v>
      </c>
      <c r="F3271" s="806">
        <v>2.56</v>
      </c>
      <c r="G3271" s="805">
        <v>3.4884896693518499</v>
      </c>
      <c r="H3271" s="805">
        <v>35.270000000000003</v>
      </c>
      <c r="I3271" s="805">
        <v>9.1999999999999993</v>
      </c>
      <c r="J3271" s="805">
        <v>1551.18</v>
      </c>
      <c r="K3271" s="805">
        <v>3244.37</v>
      </c>
    </row>
    <row r="3272" spans="3:11">
      <c r="C3272" s="861">
        <v>41342</v>
      </c>
      <c r="D3272" s="805">
        <v>21.58</v>
      </c>
      <c r="E3272" s="805">
        <v>3.2050000000000001</v>
      </c>
      <c r="F3272" s="806">
        <v>2.56</v>
      </c>
      <c r="G3272" s="805">
        <v>3.4884896693518499</v>
      </c>
      <c r="H3272" s="805">
        <v>35.270000000000003</v>
      </c>
      <c r="I3272" s="805">
        <v>9.1999999999999993</v>
      </c>
      <c r="J3272" s="805">
        <v>1551.18</v>
      </c>
      <c r="K3272" s="805">
        <v>3244.37</v>
      </c>
    </row>
    <row r="3273" spans="3:11">
      <c r="C3273" s="861">
        <v>41341</v>
      </c>
      <c r="D3273" s="805">
        <v>21.58</v>
      </c>
      <c r="E3273" s="805">
        <v>3.2050000000000001</v>
      </c>
      <c r="F3273" s="806">
        <v>2.56</v>
      </c>
      <c r="G3273" s="805">
        <v>3.4884896693518499</v>
      </c>
      <c r="H3273" s="805">
        <v>35.270000000000003</v>
      </c>
      <c r="I3273" s="805">
        <v>9.1999999999999993</v>
      </c>
      <c r="J3273" s="805">
        <v>1551.18</v>
      </c>
      <c r="K3273" s="805">
        <v>3244.37</v>
      </c>
    </row>
    <row r="3274" spans="3:11">
      <c r="C3274" s="861">
        <v>41340</v>
      </c>
      <c r="D3274" s="805">
        <v>21.89</v>
      </c>
      <c r="E3274" s="805">
        <v>3.19</v>
      </c>
      <c r="F3274" s="806">
        <v>2.5499999999999998</v>
      </c>
      <c r="G3274" s="805">
        <v>3.47878951634693</v>
      </c>
      <c r="H3274" s="805">
        <v>34.97</v>
      </c>
      <c r="I3274" s="805">
        <v>8.94</v>
      </c>
      <c r="J3274" s="805">
        <v>1544.26</v>
      </c>
      <c r="K3274" s="805">
        <v>3232.09</v>
      </c>
    </row>
    <row r="3275" spans="3:11">
      <c r="C3275" s="861">
        <v>41339</v>
      </c>
      <c r="D3275" s="805">
        <v>21.75</v>
      </c>
      <c r="E3275" s="805">
        <v>3.1974999999999998</v>
      </c>
      <c r="F3275" s="806">
        <v>2.4300000000000002</v>
      </c>
      <c r="G3275" s="805">
        <v>3.5086535541985802</v>
      </c>
      <c r="H3275" s="805">
        <v>34.71</v>
      </c>
      <c r="I3275" s="805">
        <v>8.65</v>
      </c>
      <c r="J3275" s="805">
        <v>1541.46</v>
      </c>
      <c r="K3275" s="805">
        <v>3222.37</v>
      </c>
    </row>
    <row r="3276" spans="3:11">
      <c r="C3276" s="861">
        <v>41338</v>
      </c>
      <c r="D3276" s="805">
        <v>21.51</v>
      </c>
      <c r="E3276" s="805">
        <v>3.2</v>
      </c>
      <c r="F3276" s="806">
        <v>2.4300000000000002</v>
      </c>
      <c r="G3276" s="805">
        <v>3.50758853288364</v>
      </c>
      <c r="H3276" s="805">
        <v>34.33</v>
      </c>
      <c r="I3276" s="805">
        <v>8.73</v>
      </c>
      <c r="J3276" s="805">
        <v>1539.79</v>
      </c>
      <c r="K3276" s="805">
        <v>3224.13</v>
      </c>
    </row>
    <row r="3277" spans="3:11">
      <c r="C3277" s="861">
        <v>41337</v>
      </c>
      <c r="D3277" s="805">
        <v>21.27</v>
      </c>
      <c r="E3277" s="805">
        <v>3.1625000000000001</v>
      </c>
      <c r="F3277" s="806">
        <v>2.4</v>
      </c>
      <c r="G3277" s="805">
        <v>3.4371209057824501</v>
      </c>
      <c r="H3277" s="805">
        <v>33.54</v>
      </c>
      <c r="I3277" s="805">
        <v>8.4</v>
      </c>
      <c r="J3277" s="805">
        <v>1525.2</v>
      </c>
      <c r="K3277" s="805">
        <v>3182.03</v>
      </c>
    </row>
    <row r="3278" spans="3:11">
      <c r="C3278" s="861">
        <v>41336</v>
      </c>
      <c r="D3278" s="805">
        <v>21.03</v>
      </c>
      <c r="E3278" s="805">
        <v>3.1775000000000002</v>
      </c>
      <c r="F3278" s="806">
        <v>2.42</v>
      </c>
      <c r="G3278" s="805">
        <v>3.5421516040886498</v>
      </c>
      <c r="H3278" s="805">
        <v>33.700000000000003</v>
      </c>
      <c r="I3278" s="805">
        <v>8.25</v>
      </c>
      <c r="J3278" s="805">
        <v>1518.2</v>
      </c>
      <c r="K3278" s="805">
        <v>3169.74</v>
      </c>
    </row>
    <row r="3279" spans="3:11">
      <c r="C3279" s="861">
        <v>41335</v>
      </c>
      <c r="D3279" s="805">
        <v>21.03</v>
      </c>
      <c r="E3279" s="805">
        <v>3.1775000000000002</v>
      </c>
      <c r="F3279" s="806">
        <v>2.42</v>
      </c>
      <c r="G3279" s="805">
        <v>3.5421516040886498</v>
      </c>
      <c r="H3279" s="805">
        <v>33.700000000000003</v>
      </c>
      <c r="I3279" s="805">
        <v>8.25</v>
      </c>
      <c r="J3279" s="805">
        <v>1518.2</v>
      </c>
      <c r="K3279" s="805">
        <v>3169.74</v>
      </c>
    </row>
    <row r="3280" spans="3:11">
      <c r="C3280" s="861">
        <v>41334</v>
      </c>
      <c r="D3280" s="805">
        <v>21.03</v>
      </c>
      <c r="E3280" s="805">
        <v>3.1775000000000002</v>
      </c>
      <c r="F3280" s="806">
        <v>2.42</v>
      </c>
      <c r="G3280" s="805">
        <v>3.5421516040886498</v>
      </c>
      <c r="H3280" s="805">
        <v>33.700000000000003</v>
      </c>
      <c r="I3280" s="805">
        <v>8.25</v>
      </c>
      <c r="J3280" s="805">
        <v>1518.2</v>
      </c>
      <c r="K3280" s="805">
        <v>3169.74</v>
      </c>
    </row>
    <row r="3281" spans="3:11">
      <c r="C3281" s="861">
        <v>41333</v>
      </c>
      <c r="D3281" s="805">
        <v>20.88</v>
      </c>
      <c r="E3281" s="805">
        <v>3.165</v>
      </c>
      <c r="F3281" s="806">
        <v>2.4900000000000002</v>
      </c>
      <c r="G3281" s="805">
        <v>3.5250463821892399</v>
      </c>
      <c r="H3281" s="805">
        <v>34.22</v>
      </c>
      <c r="I3281" s="805">
        <v>8.39</v>
      </c>
      <c r="J3281" s="805">
        <v>1514.68</v>
      </c>
      <c r="K3281" s="805">
        <v>3160.19</v>
      </c>
    </row>
    <row r="3282" spans="3:11">
      <c r="C3282" s="861">
        <v>41332</v>
      </c>
      <c r="D3282" s="805">
        <v>20.93</v>
      </c>
      <c r="E3282" s="805">
        <v>3.15</v>
      </c>
      <c r="F3282" s="806">
        <v>2.5299999999999998</v>
      </c>
      <c r="G3282" s="805">
        <v>3.5250463821892399</v>
      </c>
      <c r="H3282" s="805">
        <v>33.69</v>
      </c>
      <c r="I3282" s="805">
        <v>8.18</v>
      </c>
      <c r="J3282" s="805">
        <v>1515.99</v>
      </c>
      <c r="K3282" s="805">
        <v>3162.26</v>
      </c>
    </row>
    <row r="3283" spans="3:11">
      <c r="C3283" s="861">
        <v>41331</v>
      </c>
      <c r="D3283" s="805">
        <v>20.58</v>
      </c>
      <c r="E3283" s="805">
        <v>3.0924999999999998</v>
      </c>
      <c r="F3283" s="806">
        <v>2.46</v>
      </c>
      <c r="G3283" s="805">
        <v>3.4893129256287501</v>
      </c>
      <c r="H3283" s="805">
        <v>33.130000000000003</v>
      </c>
      <c r="I3283" s="805">
        <v>7.95</v>
      </c>
      <c r="J3283" s="805">
        <v>1496.94</v>
      </c>
      <c r="K3283" s="805">
        <v>3129.65</v>
      </c>
    </row>
    <row r="3284" spans="3:11">
      <c r="C3284" s="861">
        <v>41330</v>
      </c>
      <c r="D3284" s="805">
        <v>20.23</v>
      </c>
      <c r="E3284" s="805">
        <v>3.0750000000000002</v>
      </c>
      <c r="F3284" s="806">
        <v>2.5299999999999998</v>
      </c>
      <c r="G3284" s="805">
        <v>3.5409570701109501</v>
      </c>
      <c r="H3284" s="805">
        <v>32.950000000000003</v>
      </c>
      <c r="I3284" s="805">
        <v>7.93</v>
      </c>
      <c r="J3284" s="805">
        <v>1487.85</v>
      </c>
      <c r="K3284" s="805">
        <v>3116.25</v>
      </c>
    </row>
    <row r="3285" spans="3:11">
      <c r="C3285" s="861">
        <v>41329</v>
      </c>
      <c r="D3285" s="805">
        <v>20.420000000000002</v>
      </c>
      <c r="E3285" s="805">
        <v>3.13</v>
      </c>
      <c r="F3285" s="806">
        <v>2.61</v>
      </c>
      <c r="G3285" s="805">
        <v>3.6137660846364299</v>
      </c>
      <c r="H3285" s="805">
        <v>34.090000000000003</v>
      </c>
      <c r="I3285" s="805">
        <v>8.02</v>
      </c>
      <c r="J3285" s="805">
        <v>1515.6</v>
      </c>
      <c r="K3285" s="805">
        <v>3161.82</v>
      </c>
    </row>
    <row r="3286" spans="3:11">
      <c r="C3286" s="861">
        <v>41328</v>
      </c>
      <c r="D3286" s="805">
        <v>20.420000000000002</v>
      </c>
      <c r="E3286" s="805">
        <v>3.13</v>
      </c>
      <c r="F3286" s="806">
        <v>2.61</v>
      </c>
      <c r="G3286" s="805">
        <v>3.6137660846364299</v>
      </c>
      <c r="H3286" s="805">
        <v>34.090000000000003</v>
      </c>
      <c r="I3286" s="805">
        <v>8.02</v>
      </c>
      <c r="J3286" s="805">
        <v>1515.6</v>
      </c>
      <c r="K3286" s="805">
        <v>3161.82</v>
      </c>
    </row>
    <row r="3287" spans="3:11">
      <c r="C3287" s="861">
        <v>41327</v>
      </c>
      <c r="D3287" s="805">
        <v>20.420000000000002</v>
      </c>
      <c r="E3287" s="805">
        <v>3.13</v>
      </c>
      <c r="F3287" s="806">
        <v>2.61</v>
      </c>
      <c r="G3287" s="805">
        <v>3.5631058124219002</v>
      </c>
      <c r="H3287" s="805">
        <v>34.090000000000003</v>
      </c>
      <c r="I3287" s="805">
        <v>8.02</v>
      </c>
      <c r="J3287" s="805">
        <v>1515.6</v>
      </c>
      <c r="K3287" s="805">
        <v>3161.82</v>
      </c>
    </row>
    <row r="3288" spans="3:11">
      <c r="C3288" s="861">
        <v>41326</v>
      </c>
      <c r="D3288" s="805">
        <v>20.25</v>
      </c>
      <c r="E3288" s="805">
        <v>3.0724999999999998</v>
      </c>
      <c r="F3288" s="806">
        <v>2.6</v>
      </c>
      <c r="G3288" s="805">
        <v>3.6033002188920702</v>
      </c>
      <c r="H3288" s="805">
        <v>33.67</v>
      </c>
      <c r="I3288" s="805">
        <v>7.68</v>
      </c>
      <c r="J3288" s="805">
        <v>1502.42</v>
      </c>
      <c r="K3288" s="805">
        <v>3131.49</v>
      </c>
    </row>
    <row r="3289" spans="3:11">
      <c r="C3289" s="861">
        <v>41325</v>
      </c>
      <c r="D3289" s="805">
        <v>20.73</v>
      </c>
      <c r="E3289" s="805">
        <v>3.0950000000000002</v>
      </c>
      <c r="F3289" s="806">
        <v>2.7</v>
      </c>
      <c r="G3289" s="805">
        <v>3.6849222447599699</v>
      </c>
      <c r="H3289" s="805">
        <v>34.67</v>
      </c>
      <c r="I3289" s="805">
        <v>7.88</v>
      </c>
      <c r="J3289" s="805">
        <v>1511.95</v>
      </c>
      <c r="K3289" s="805">
        <v>3164.41</v>
      </c>
    </row>
    <row r="3290" spans="3:11">
      <c r="C3290" s="861">
        <v>41324</v>
      </c>
      <c r="D3290" s="805">
        <v>21.085000000000001</v>
      </c>
      <c r="E3290" s="805">
        <v>3.14</v>
      </c>
      <c r="F3290" s="806">
        <v>2.82</v>
      </c>
      <c r="G3290" s="805">
        <v>3.6284716334904501</v>
      </c>
      <c r="H3290" s="805">
        <v>35.549999999999997</v>
      </c>
      <c r="I3290" s="805">
        <v>8.1199999999999992</v>
      </c>
      <c r="J3290" s="805">
        <v>1530.94</v>
      </c>
      <c r="K3290" s="805">
        <v>3213.59</v>
      </c>
    </row>
    <row r="3291" spans="3:11">
      <c r="C3291" s="861">
        <v>41323</v>
      </c>
      <c r="D3291" s="805">
        <v>21.114999999999998</v>
      </c>
      <c r="E3291" s="805">
        <v>3.1850000000000001</v>
      </c>
      <c r="F3291" s="806">
        <v>2.71</v>
      </c>
      <c r="G3291" s="805">
        <v>3.60609328660016</v>
      </c>
      <c r="H3291" s="805">
        <v>35.14</v>
      </c>
      <c r="I3291" s="805">
        <v>7.91</v>
      </c>
      <c r="J3291" s="805">
        <v>1519.79</v>
      </c>
      <c r="K3291" s="805">
        <v>3192.03</v>
      </c>
    </row>
    <row r="3292" spans="3:11">
      <c r="C3292" s="861">
        <v>41322</v>
      </c>
      <c r="D3292" s="805">
        <v>21.114999999999998</v>
      </c>
      <c r="E3292" s="805">
        <v>3.1850000000000001</v>
      </c>
      <c r="F3292" s="806">
        <v>2.71</v>
      </c>
      <c r="G3292" s="805">
        <v>3.5482562854825601</v>
      </c>
      <c r="H3292" s="805">
        <v>35.14</v>
      </c>
      <c r="I3292" s="805">
        <v>7.91</v>
      </c>
      <c r="J3292" s="805">
        <v>1519.79</v>
      </c>
      <c r="K3292" s="805">
        <v>3192.03</v>
      </c>
    </row>
    <row r="3293" spans="3:11">
      <c r="C3293" s="861">
        <v>41321</v>
      </c>
      <c r="D3293" s="805">
        <v>21.114999999999998</v>
      </c>
      <c r="E3293" s="805">
        <v>3.1850000000000001</v>
      </c>
      <c r="F3293" s="806">
        <v>2.71</v>
      </c>
      <c r="G3293" s="805">
        <v>3.5482562854825601</v>
      </c>
      <c r="H3293" s="805">
        <v>35.14</v>
      </c>
      <c r="I3293" s="805">
        <v>7.91</v>
      </c>
      <c r="J3293" s="805">
        <v>1519.79</v>
      </c>
      <c r="K3293" s="805">
        <v>3192.03</v>
      </c>
    </row>
    <row r="3294" spans="3:11">
      <c r="C3294" s="861">
        <v>41320</v>
      </c>
      <c r="D3294" s="805">
        <v>21.114999999999998</v>
      </c>
      <c r="E3294" s="805">
        <v>3.1850000000000001</v>
      </c>
      <c r="F3294" s="806">
        <v>2.71</v>
      </c>
      <c r="G3294" s="805">
        <v>3.5482562854825601</v>
      </c>
      <c r="H3294" s="805">
        <v>35.14</v>
      </c>
      <c r="I3294" s="805">
        <v>7.91</v>
      </c>
      <c r="J3294" s="805">
        <v>1519.79</v>
      </c>
      <c r="K3294" s="805">
        <v>3192.03</v>
      </c>
    </row>
    <row r="3295" spans="3:11">
      <c r="C3295" s="861">
        <v>41319</v>
      </c>
      <c r="D3295" s="805">
        <v>21.23</v>
      </c>
      <c r="E3295" s="805">
        <v>3.1825000000000001</v>
      </c>
      <c r="F3295" s="806">
        <v>2.75</v>
      </c>
      <c r="G3295" s="805">
        <v>3.5482562854825601</v>
      </c>
      <c r="H3295" s="805">
        <v>35.630000000000003</v>
      </c>
      <c r="I3295" s="805">
        <v>8.08</v>
      </c>
      <c r="J3295" s="805">
        <v>1521.38</v>
      </c>
      <c r="K3295" s="805">
        <v>3198.66</v>
      </c>
    </row>
    <row r="3296" spans="3:11">
      <c r="C3296" s="861">
        <v>41318</v>
      </c>
      <c r="D3296" s="805">
        <v>21.25</v>
      </c>
      <c r="E3296" s="805">
        <v>3.0924999999999998</v>
      </c>
      <c r="F3296" s="806">
        <v>2.75</v>
      </c>
      <c r="G3296" s="805">
        <v>3.5482562854825601</v>
      </c>
      <c r="H3296" s="805">
        <v>35.17</v>
      </c>
      <c r="I3296" s="805">
        <v>7.95</v>
      </c>
      <c r="J3296" s="805">
        <v>1520.33</v>
      </c>
      <c r="K3296" s="805">
        <v>3196.88</v>
      </c>
    </row>
    <row r="3297" spans="3:11">
      <c r="C3297" s="861">
        <v>41317</v>
      </c>
      <c r="D3297" s="805">
        <v>21.19</v>
      </c>
      <c r="E3297" s="805">
        <v>3.11</v>
      </c>
      <c r="F3297" s="806">
        <v>2.77</v>
      </c>
      <c r="G3297" s="805">
        <v>3.5482562854825601</v>
      </c>
      <c r="H3297" s="805">
        <v>35.14</v>
      </c>
      <c r="I3297" s="805">
        <v>7.92</v>
      </c>
      <c r="J3297" s="805">
        <v>1519.43</v>
      </c>
      <c r="K3297" s="805">
        <v>3186.49</v>
      </c>
    </row>
    <row r="3298" spans="3:11">
      <c r="C3298" s="861">
        <v>41316</v>
      </c>
      <c r="D3298" s="805">
        <v>21.03</v>
      </c>
      <c r="E3298" s="805">
        <v>3.1274999999999999</v>
      </c>
      <c r="F3298" s="806">
        <v>2.67</v>
      </c>
      <c r="G3298" s="805">
        <v>3.5482562854825601</v>
      </c>
      <c r="H3298" s="805">
        <v>35.4</v>
      </c>
      <c r="I3298" s="805">
        <v>7.91</v>
      </c>
      <c r="J3298" s="805">
        <v>1517.01</v>
      </c>
      <c r="K3298" s="805">
        <v>3192</v>
      </c>
    </row>
    <row r="3299" spans="3:11">
      <c r="C3299" s="861">
        <v>41315</v>
      </c>
      <c r="D3299" s="805">
        <v>21</v>
      </c>
      <c r="E3299" s="805">
        <v>3.0924999999999998</v>
      </c>
      <c r="F3299" s="806">
        <v>2.59</v>
      </c>
      <c r="G3299" s="805">
        <v>3.5482562854825601</v>
      </c>
      <c r="H3299" s="805">
        <v>35.32</v>
      </c>
      <c r="I3299" s="805">
        <v>7.75</v>
      </c>
      <c r="J3299" s="805">
        <v>1517.93</v>
      </c>
      <c r="K3299" s="805">
        <v>3193.87</v>
      </c>
    </row>
    <row r="3300" spans="3:11">
      <c r="C3300" s="861">
        <v>41314</v>
      </c>
      <c r="D3300" s="805">
        <v>21</v>
      </c>
      <c r="E3300" s="805">
        <v>3.0924999999999998</v>
      </c>
      <c r="F3300" s="806">
        <v>2.59</v>
      </c>
      <c r="G3300" s="805">
        <v>3.5482562854825601</v>
      </c>
      <c r="H3300" s="805">
        <v>35.32</v>
      </c>
      <c r="I3300" s="805">
        <v>7.75</v>
      </c>
      <c r="J3300" s="805">
        <v>1517.93</v>
      </c>
      <c r="K3300" s="805">
        <v>3193.87</v>
      </c>
    </row>
    <row r="3301" spans="3:11">
      <c r="C3301" s="861">
        <v>41313</v>
      </c>
      <c r="D3301" s="805">
        <v>21</v>
      </c>
      <c r="E3301" s="805">
        <v>3.0924999999999998</v>
      </c>
      <c r="F3301" s="806">
        <v>2.59</v>
      </c>
      <c r="G3301" s="805">
        <v>3.5482562854825601</v>
      </c>
      <c r="H3301" s="805">
        <v>35.32</v>
      </c>
      <c r="I3301" s="805">
        <v>7.75</v>
      </c>
      <c r="J3301" s="805">
        <v>1517.93</v>
      </c>
      <c r="K3301" s="805">
        <v>3193.87</v>
      </c>
    </row>
    <row r="3302" spans="3:11">
      <c r="C3302" s="861">
        <v>41312</v>
      </c>
      <c r="D3302" s="805">
        <v>20.81</v>
      </c>
      <c r="E3302" s="805">
        <v>3.0724999999999998</v>
      </c>
      <c r="F3302" s="806">
        <v>2.57</v>
      </c>
      <c r="G3302" s="805">
        <v>3.5482562854825601</v>
      </c>
      <c r="H3302" s="805">
        <v>34.96</v>
      </c>
      <c r="I3302" s="805">
        <v>7.73</v>
      </c>
      <c r="J3302" s="805">
        <v>1509.39</v>
      </c>
      <c r="K3302" s="805">
        <v>3165.13</v>
      </c>
    </row>
    <row r="3303" spans="3:11">
      <c r="C3303" s="861">
        <v>41311</v>
      </c>
      <c r="D3303" s="805">
        <v>20.99</v>
      </c>
      <c r="E3303" s="805">
        <v>3.085</v>
      </c>
      <c r="F3303" s="806">
        <v>2.6</v>
      </c>
      <c r="G3303" s="805">
        <v>3.5482562854825601</v>
      </c>
      <c r="H3303" s="805">
        <v>35.64</v>
      </c>
      <c r="I3303" s="805">
        <v>7.95</v>
      </c>
      <c r="J3303" s="805">
        <v>1512.12</v>
      </c>
      <c r="K3303" s="805">
        <v>3168.48</v>
      </c>
    </row>
    <row r="3304" spans="3:11">
      <c r="C3304" s="861">
        <v>41310</v>
      </c>
      <c r="D3304" s="805">
        <v>21.1784</v>
      </c>
      <c r="E3304" s="805">
        <v>3.11</v>
      </c>
      <c r="F3304" s="806">
        <v>2.6</v>
      </c>
      <c r="G3304" s="805">
        <v>3.4906971227166399</v>
      </c>
      <c r="H3304" s="805">
        <v>35.42</v>
      </c>
      <c r="I3304" s="805">
        <v>7.87</v>
      </c>
      <c r="J3304" s="805">
        <v>1511.29</v>
      </c>
      <c r="K3304" s="805">
        <v>3171.58</v>
      </c>
    </row>
    <row r="3305" spans="3:11">
      <c r="C3305" s="861">
        <v>41309</v>
      </c>
      <c r="D3305" s="805">
        <v>21.16</v>
      </c>
      <c r="E3305" s="805">
        <v>3.04</v>
      </c>
      <c r="F3305" s="806">
        <v>2.52</v>
      </c>
      <c r="G3305" s="805">
        <v>3.4812586608983702</v>
      </c>
      <c r="H3305" s="805">
        <v>35.18</v>
      </c>
      <c r="I3305" s="805">
        <v>7.75</v>
      </c>
      <c r="J3305" s="805">
        <v>1495.71</v>
      </c>
      <c r="K3305" s="805">
        <v>3131.17</v>
      </c>
    </row>
    <row r="3306" spans="3:11">
      <c r="C3306" s="861">
        <v>41308</v>
      </c>
      <c r="D3306" s="805">
        <v>21.355</v>
      </c>
      <c r="E3306" s="805">
        <v>3.0924999999999998</v>
      </c>
      <c r="F3306" s="806">
        <v>2.6</v>
      </c>
      <c r="G3306" s="805">
        <v>3.4273172378862098</v>
      </c>
      <c r="H3306" s="805">
        <v>36.26</v>
      </c>
      <c r="I3306" s="805">
        <v>7.83</v>
      </c>
      <c r="J3306" s="805">
        <v>1513.17</v>
      </c>
      <c r="K3306" s="805">
        <v>3179.1</v>
      </c>
    </row>
    <row r="3307" spans="3:11">
      <c r="C3307" s="861">
        <v>41307</v>
      </c>
      <c r="D3307" s="805">
        <v>21.355</v>
      </c>
      <c r="E3307" s="805">
        <v>3.0924999999999998</v>
      </c>
      <c r="F3307" s="806">
        <v>2.6</v>
      </c>
      <c r="G3307" s="805">
        <v>3.4273172378862098</v>
      </c>
      <c r="H3307" s="805">
        <v>36.26</v>
      </c>
      <c r="I3307" s="805">
        <v>7.83</v>
      </c>
      <c r="J3307" s="805">
        <v>1513.17</v>
      </c>
      <c r="K3307" s="805">
        <v>3179.1</v>
      </c>
    </row>
    <row r="3308" spans="3:11">
      <c r="C3308" s="861">
        <v>41306</v>
      </c>
      <c r="D3308" s="805">
        <v>21.355</v>
      </c>
      <c r="E3308" s="805">
        <v>3.0924999999999998</v>
      </c>
      <c r="F3308" s="806">
        <v>2.6</v>
      </c>
      <c r="G3308" s="805">
        <v>3.4273172378862098</v>
      </c>
      <c r="H3308" s="805">
        <v>36.26</v>
      </c>
      <c r="I3308" s="805">
        <v>7.83</v>
      </c>
      <c r="J3308" s="805">
        <v>1513.17</v>
      </c>
      <c r="K3308" s="805">
        <v>3179.1</v>
      </c>
    </row>
    <row r="3309" spans="3:11">
      <c r="C3309" s="861">
        <v>41305</v>
      </c>
      <c r="D3309" s="805">
        <v>21.04</v>
      </c>
      <c r="E3309" s="805">
        <v>3.0649999999999999</v>
      </c>
      <c r="F3309" s="806">
        <v>2.6</v>
      </c>
      <c r="G3309" s="805">
        <v>3.4371825262444999</v>
      </c>
      <c r="H3309" s="805">
        <v>35.770000000000003</v>
      </c>
      <c r="I3309" s="805">
        <v>7.56</v>
      </c>
      <c r="J3309" s="805">
        <v>1498.11</v>
      </c>
      <c r="K3309" s="805">
        <v>3142.13</v>
      </c>
    </row>
    <row r="3310" spans="3:11">
      <c r="C3310" s="861">
        <v>41304</v>
      </c>
      <c r="D3310" s="805">
        <v>21.37</v>
      </c>
      <c r="E3310" s="805">
        <v>3.08</v>
      </c>
      <c r="F3310" s="806">
        <v>2.65</v>
      </c>
      <c r="G3310" s="805">
        <v>3.4385798495833</v>
      </c>
      <c r="H3310" s="805">
        <v>35.049999999999997</v>
      </c>
      <c r="I3310" s="805">
        <v>7.65</v>
      </c>
      <c r="J3310" s="805">
        <v>1501.96</v>
      </c>
      <c r="K3310" s="805">
        <v>3142.31</v>
      </c>
    </row>
    <row r="3311" spans="3:11">
      <c r="C3311" s="861">
        <v>41303</v>
      </c>
      <c r="D3311" s="805">
        <v>21.28</v>
      </c>
      <c r="E3311" s="805">
        <v>3.085</v>
      </c>
      <c r="F3311" s="806">
        <v>2.74</v>
      </c>
      <c r="G3311" s="805">
        <v>3.43280538372646</v>
      </c>
      <c r="H3311" s="805">
        <v>34.57</v>
      </c>
      <c r="I3311" s="805">
        <v>7.58</v>
      </c>
      <c r="J3311" s="805">
        <v>1507.84</v>
      </c>
      <c r="K3311" s="805">
        <v>3153.66</v>
      </c>
    </row>
    <row r="3312" spans="3:11">
      <c r="C3312" s="861">
        <v>41302</v>
      </c>
      <c r="D3312" s="805">
        <v>21.05</v>
      </c>
      <c r="E3312" s="805">
        <v>3.1524999999999999</v>
      </c>
      <c r="F3312" s="806">
        <v>2.82</v>
      </c>
      <c r="G3312" s="805">
        <v>3.3682710898544799</v>
      </c>
      <c r="H3312" s="805">
        <v>34.479999999999997</v>
      </c>
      <c r="I3312" s="805">
        <v>7.82</v>
      </c>
      <c r="J3312" s="805">
        <v>1500.18</v>
      </c>
      <c r="K3312" s="805">
        <v>3154.3</v>
      </c>
    </row>
    <row r="3313" spans="3:11">
      <c r="C3313" s="861">
        <v>41301</v>
      </c>
      <c r="D3313" s="805">
        <v>20.96</v>
      </c>
      <c r="E3313" s="805">
        <v>3.1025</v>
      </c>
      <c r="F3313" s="806">
        <v>2.85</v>
      </c>
      <c r="G3313" s="805">
        <v>3.37849366959014</v>
      </c>
      <c r="H3313" s="805">
        <v>34.159999999999997</v>
      </c>
      <c r="I3313" s="805">
        <v>7.87</v>
      </c>
      <c r="J3313" s="805">
        <v>1502.96</v>
      </c>
      <c r="K3313" s="805">
        <v>3149.71</v>
      </c>
    </row>
    <row r="3314" spans="3:11">
      <c r="C3314" s="861">
        <v>41300</v>
      </c>
      <c r="D3314" s="805">
        <v>20.96</v>
      </c>
      <c r="E3314" s="805">
        <v>3.1025</v>
      </c>
      <c r="F3314" s="806">
        <v>2.85</v>
      </c>
      <c r="G3314" s="805">
        <v>3.37849366959014</v>
      </c>
      <c r="H3314" s="805">
        <v>34.159999999999997</v>
      </c>
      <c r="I3314" s="805">
        <v>7.87</v>
      </c>
      <c r="J3314" s="805">
        <v>1502.96</v>
      </c>
      <c r="K3314" s="805">
        <v>3149.71</v>
      </c>
    </row>
    <row r="3315" spans="3:11">
      <c r="C3315" s="861">
        <v>41299</v>
      </c>
      <c r="D3315" s="805">
        <v>20.96</v>
      </c>
      <c r="E3315" s="805">
        <v>3.1025</v>
      </c>
      <c r="F3315" s="806">
        <v>2.85</v>
      </c>
      <c r="G3315" s="805">
        <v>3.37849366959014</v>
      </c>
      <c r="H3315" s="805">
        <v>34.159999999999997</v>
      </c>
      <c r="I3315" s="805">
        <v>7.87</v>
      </c>
      <c r="J3315" s="805">
        <v>1502.96</v>
      </c>
      <c r="K3315" s="805">
        <v>3149.71</v>
      </c>
    </row>
    <row r="3316" spans="3:11">
      <c r="C3316" s="861">
        <v>41298</v>
      </c>
      <c r="D3316" s="805">
        <v>20.95</v>
      </c>
      <c r="E3316" s="805">
        <v>3.0474999999999999</v>
      </c>
      <c r="F3316" s="806">
        <v>2.79</v>
      </c>
      <c r="G3316" s="805">
        <v>3.4325178669598699</v>
      </c>
      <c r="H3316" s="805">
        <v>33.93</v>
      </c>
      <c r="I3316" s="805">
        <v>7.83</v>
      </c>
      <c r="J3316" s="805">
        <v>1494.82</v>
      </c>
      <c r="K3316" s="805">
        <v>3130.38</v>
      </c>
    </row>
    <row r="3317" spans="3:11">
      <c r="C3317" s="861">
        <v>41297</v>
      </c>
      <c r="D3317" s="805">
        <v>21.11</v>
      </c>
      <c r="E3317" s="805">
        <v>3.0325000000000002</v>
      </c>
      <c r="F3317" s="806">
        <v>2.73</v>
      </c>
      <c r="G3317" s="805">
        <v>3.4854027193042998</v>
      </c>
      <c r="H3317" s="805">
        <v>34.42</v>
      </c>
      <c r="I3317" s="805">
        <v>7.78</v>
      </c>
      <c r="J3317" s="805">
        <v>1494.81</v>
      </c>
      <c r="K3317" s="805">
        <v>3153.67</v>
      </c>
    </row>
    <row r="3318" spans="3:11">
      <c r="C3318" s="861">
        <v>41296</v>
      </c>
      <c r="D3318" s="805">
        <v>21.17</v>
      </c>
      <c r="E3318" s="805">
        <v>3.0274999999999999</v>
      </c>
      <c r="F3318" s="806">
        <v>2.4500000000000002</v>
      </c>
      <c r="G3318" s="805">
        <v>3.4852824459091098</v>
      </c>
      <c r="H3318" s="805">
        <v>34.44</v>
      </c>
      <c r="I3318" s="805">
        <v>7.84</v>
      </c>
      <c r="J3318" s="805">
        <v>1492.56</v>
      </c>
      <c r="K3318" s="805">
        <v>3143.18</v>
      </c>
    </row>
    <row r="3319" spans="3:11">
      <c r="C3319" s="861">
        <v>41295</v>
      </c>
      <c r="D3319" s="805">
        <v>21.25</v>
      </c>
      <c r="E3319" s="805">
        <v>3.0425</v>
      </c>
      <c r="F3319" s="806">
        <v>2.46</v>
      </c>
      <c r="G3319" s="805">
        <v>3.4721022629124199</v>
      </c>
      <c r="H3319" s="805">
        <v>34.44</v>
      </c>
      <c r="I3319" s="805">
        <v>7.89</v>
      </c>
      <c r="J3319" s="805">
        <v>1485.98</v>
      </c>
      <c r="K3319" s="805">
        <v>3134.71</v>
      </c>
    </row>
    <row r="3320" spans="3:11">
      <c r="C3320" s="861">
        <v>41294</v>
      </c>
      <c r="D3320" s="805">
        <v>21.25</v>
      </c>
      <c r="E3320" s="805">
        <v>3.0425</v>
      </c>
      <c r="F3320" s="806">
        <v>2.46</v>
      </c>
      <c r="G3320" s="805">
        <v>3.5049552816050298</v>
      </c>
      <c r="H3320" s="805">
        <v>34.44</v>
      </c>
      <c r="I3320" s="805">
        <v>7.89</v>
      </c>
      <c r="J3320" s="805">
        <v>1485.98</v>
      </c>
      <c r="K3320" s="805">
        <v>3134.71</v>
      </c>
    </row>
    <row r="3321" spans="3:11">
      <c r="C3321" s="861">
        <v>41293</v>
      </c>
      <c r="D3321" s="805">
        <v>21.25</v>
      </c>
      <c r="E3321" s="805">
        <v>3.0425</v>
      </c>
      <c r="F3321" s="806">
        <v>2.46</v>
      </c>
      <c r="G3321" s="805">
        <v>3.5049552816050298</v>
      </c>
      <c r="H3321" s="805">
        <v>34.44</v>
      </c>
      <c r="I3321" s="805">
        <v>7.89</v>
      </c>
      <c r="J3321" s="805">
        <v>1485.98</v>
      </c>
      <c r="K3321" s="805">
        <v>3134.71</v>
      </c>
    </row>
    <row r="3322" spans="3:11">
      <c r="C3322" s="861">
        <v>41292</v>
      </c>
      <c r="D3322" s="805">
        <v>21.25</v>
      </c>
      <c r="E3322" s="805">
        <v>3.0425</v>
      </c>
      <c r="F3322" s="806">
        <v>2.46</v>
      </c>
      <c r="G3322" s="805">
        <v>3.5049552816050298</v>
      </c>
      <c r="H3322" s="805">
        <v>34.44</v>
      </c>
      <c r="I3322" s="805">
        <v>7.89</v>
      </c>
      <c r="J3322" s="805">
        <v>1485.98</v>
      </c>
      <c r="K3322" s="805">
        <v>3134.71</v>
      </c>
    </row>
    <row r="3323" spans="3:11">
      <c r="C3323" s="861">
        <v>41291</v>
      </c>
      <c r="D3323" s="805">
        <v>22.68</v>
      </c>
      <c r="E3323" s="805">
        <v>3.0625</v>
      </c>
      <c r="F3323" s="806">
        <v>2.74</v>
      </c>
      <c r="G3323" s="805">
        <v>3.4301702994922101</v>
      </c>
      <c r="H3323" s="805">
        <v>34.81</v>
      </c>
      <c r="I3323" s="805">
        <v>7.81</v>
      </c>
      <c r="J3323" s="805">
        <v>1480.94</v>
      </c>
      <c r="K3323" s="805">
        <v>3136</v>
      </c>
    </row>
    <row r="3324" spans="3:11">
      <c r="C3324" s="861">
        <v>41290</v>
      </c>
      <c r="D3324" s="805">
        <v>22.11</v>
      </c>
      <c r="E3324" s="805">
        <v>3.0225</v>
      </c>
      <c r="F3324" s="806">
        <v>2.72</v>
      </c>
      <c r="G3324" s="805">
        <v>3.4241137689413601</v>
      </c>
      <c r="H3324" s="805">
        <v>34.56</v>
      </c>
      <c r="I3324" s="805">
        <v>7.67</v>
      </c>
      <c r="J3324" s="805">
        <v>1472.63</v>
      </c>
      <c r="K3324" s="805">
        <v>3117.54</v>
      </c>
    </row>
    <row r="3325" spans="3:11">
      <c r="C3325" s="861">
        <v>41289</v>
      </c>
      <c r="D3325" s="805">
        <v>21.88</v>
      </c>
      <c r="E3325" s="805">
        <v>2.9950000000000001</v>
      </c>
      <c r="F3325" s="806">
        <v>2.68</v>
      </c>
      <c r="G3325" s="805">
        <v>3.47258214989116</v>
      </c>
      <c r="H3325" s="805">
        <v>33.869999999999997</v>
      </c>
      <c r="I3325" s="805">
        <v>7.6</v>
      </c>
      <c r="J3325" s="805">
        <v>1472.34</v>
      </c>
      <c r="K3325" s="805">
        <v>3110.78</v>
      </c>
    </row>
    <row r="3326" spans="3:11">
      <c r="C3326" s="861">
        <v>41288</v>
      </c>
      <c r="D3326" s="805">
        <v>21.998999999999999</v>
      </c>
      <c r="E3326" s="805">
        <v>3.05</v>
      </c>
      <c r="F3326" s="806">
        <v>2.64</v>
      </c>
      <c r="G3326" s="805">
        <v>3.5285570968969502</v>
      </c>
      <c r="H3326" s="805">
        <v>34.57</v>
      </c>
      <c r="I3326" s="805">
        <v>7.6</v>
      </c>
      <c r="J3326" s="805">
        <v>1470.68</v>
      </c>
      <c r="K3326" s="805">
        <v>3117.5</v>
      </c>
    </row>
    <row r="3327" spans="3:11">
      <c r="C3327" s="861">
        <v>41287</v>
      </c>
      <c r="D3327" s="805">
        <v>22</v>
      </c>
      <c r="E3327" s="805">
        <v>3.0525000000000002</v>
      </c>
      <c r="F3327" s="806">
        <v>2.67</v>
      </c>
      <c r="G3327" s="805">
        <v>3.4903410858071</v>
      </c>
      <c r="H3327" s="805">
        <v>34.340000000000003</v>
      </c>
      <c r="I3327" s="805">
        <v>7.54</v>
      </c>
      <c r="J3327" s="805">
        <v>1472.05</v>
      </c>
      <c r="K3327" s="805">
        <v>3125.64</v>
      </c>
    </row>
    <row r="3328" spans="3:11">
      <c r="C3328" s="861">
        <v>41286</v>
      </c>
      <c r="D3328" s="805">
        <v>22</v>
      </c>
      <c r="E3328" s="805">
        <v>3.0525000000000002</v>
      </c>
      <c r="F3328" s="806">
        <v>2.67</v>
      </c>
      <c r="G3328" s="805">
        <v>3.4903410858071</v>
      </c>
      <c r="H3328" s="805">
        <v>34.340000000000003</v>
      </c>
      <c r="I3328" s="805">
        <v>7.54</v>
      </c>
      <c r="J3328" s="805">
        <v>1472.05</v>
      </c>
      <c r="K3328" s="805">
        <v>3125.64</v>
      </c>
    </row>
    <row r="3329" spans="3:11">
      <c r="C3329" s="861">
        <v>41285</v>
      </c>
      <c r="D3329" s="805">
        <v>22</v>
      </c>
      <c r="E3329" s="805">
        <v>3.0525000000000002</v>
      </c>
      <c r="F3329" s="806">
        <v>2.67</v>
      </c>
      <c r="G3329" s="805">
        <v>3.4903410858071</v>
      </c>
      <c r="H3329" s="805">
        <v>34.340000000000003</v>
      </c>
      <c r="I3329" s="805">
        <v>7.54</v>
      </c>
      <c r="J3329" s="805">
        <v>1472.05</v>
      </c>
      <c r="K3329" s="805">
        <v>3125.64</v>
      </c>
    </row>
    <row r="3330" spans="3:11">
      <c r="C3330" s="861">
        <v>41284</v>
      </c>
      <c r="D3330" s="805">
        <v>21.8</v>
      </c>
      <c r="E3330" s="805">
        <v>3.0575000000000001</v>
      </c>
      <c r="F3330" s="806">
        <v>2.62</v>
      </c>
      <c r="G3330" s="805">
        <v>3.4914269911504401</v>
      </c>
      <c r="H3330" s="805">
        <v>33.520000000000003</v>
      </c>
      <c r="I3330" s="805">
        <v>7.42</v>
      </c>
      <c r="J3330" s="805">
        <v>1472.12</v>
      </c>
      <c r="K3330" s="805">
        <v>3121.76</v>
      </c>
    </row>
    <row r="3331" spans="3:11">
      <c r="C3331" s="861">
        <v>41283</v>
      </c>
      <c r="D3331" s="805">
        <v>21.45</v>
      </c>
      <c r="E3331" s="805">
        <v>3.0525000000000002</v>
      </c>
      <c r="F3331" s="806">
        <v>2.63</v>
      </c>
      <c r="G3331" s="805">
        <v>3.4498223341497898</v>
      </c>
      <c r="H3331" s="805">
        <v>32.81</v>
      </c>
      <c r="I3331" s="805">
        <v>7.31</v>
      </c>
      <c r="J3331" s="805">
        <v>1461.02</v>
      </c>
      <c r="K3331" s="805">
        <v>3105.81</v>
      </c>
    </row>
    <row r="3332" spans="3:11">
      <c r="C3332" s="861">
        <v>41282</v>
      </c>
      <c r="D3332" s="805">
        <v>21.09</v>
      </c>
      <c r="E3332" s="805">
        <v>3.125</v>
      </c>
      <c r="F3332" s="806">
        <v>2.67</v>
      </c>
      <c r="G3332" s="805">
        <v>3.43142316296679</v>
      </c>
      <c r="H3332" s="805">
        <v>32.1</v>
      </c>
      <c r="I3332" s="805">
        <v>7.23</v>
      </c>
      <c r="J3332" s="805">
        <v>1457.15</v>
      </c>
      <c r="K3332" s="805">
        <v>3091.81</v>
      </c>
    </row>
    <row r="3333" spans="3:11">
      <c r="C3333" s="861">
        <v>41281</v>
      </c>
      <c r="D3333" s="805">
        <v>21.25</v>
      </c>
      <c r="E3333" s="805">
        <v>3.1924999999999999</v>
      </c>
      <c r="F3333" s="806">
        <v>2.67</v>
      </c>
      <c r="G3333" s="805">
        <v>3.4655172413793101</v>
      </c>
      <c r="H3333" s="805">
        <v>32.32</v>
      </c>
      <c r="I3333" s="805">
        <v>7.18</v>
      </c>
      <c r="J3333" s="805">
        <v>1461.89</v>
      </c>
      <c r="K3333" s="805">
        <v>3098.81</v>
      </c>
    </row>
    <row r="3334" spans="3:11">
      <c r="C3334" s="861">
        <v>41280</v>
      </c>
      <c r="D3334" s="805">
        <v>21.16</v>
      </c>
      <c r="E3334" s="805">
        <v>3.29</v>
      </c>
      <c r="F3334" s="806">
        <v>2.59</v>
      </c>
      <c r="G3334" s="805">
        <v>3.4985523231766198</v>
      </c>
      <c r="H3334" s="805">
        <v>32.5</v>
      </c>
      <c r="I3334" s="805">
        <v>6.96</v>
      </c>
      <c r="J3334" s="805">
        <v>1466.47</v>
      </c>
      <c r="K3334" s="805">
        <v>3101.66</v>
      </c>
    </row>
    <row r="3335" spans="3:11">
      <c r="C3335" s="861">
        <v>41279</v>
      </c>
      <c r="D3335" s="805">
        <v>21.16</v>
      </c>
      <c r="E3335" s="805">
        <v>3.29</v>
      </c>
      <c r="F3335" s="806">
        <v>2.59</v>
      </c>
      <c r="G3335" s="805">
        <v>3.4985523231766198</v>
      </c>
      <c r="H3335" s="805">
        <v>32.5</v>
      </c>
      <c r="I3335" s="805">
        <v>6.96</v>
      </c>
      <c r="J3335" s="805">
        <v>1466.47</v>
      </c>
      <c r="K3335" s="805">
        <v>3101.66</v>
      </c>
    </row>
    <row r="3336" spans="3:11">
      <c r="C3336" s="861">
        <v>41278</v>
      </c>
      <c r="D3336" s="805">
        <v>21.16</v>
      </c>
      <c r="E3336" s="805">
        <v>3.29</v>
      </c>
      <c r="F3336" s="806">
        <v>2.59</v>
      </c>
      <c r="G3336" s="805">
        <v>3.4985523231766198</v>
      </c>
      <c r="H3336" s="805">
        <v>32.5</v>
      </c>
      <c r="I3336" s="805">
        <v>6.96</v>
      </c>
      <c r="J3336" s="805">
        <v>1466.47</v>
      </c>
      <c r="K3336" s="805">
        <v>3101.66</v>
      </c>
    </row>
    <row r="3337" spans="3:11">
      <c r="C3337" s="861">
        <v>41277</v>
      </c>
      <c r="D3337" s="805">
        <v>21.32</v>
      </c>
      <c r="E3337" s="805">
        <v>3.1825000000000001</v>
      </c>
      <c r="F3337" s="806">
        <v>2.4900000000000002</v>
      </c>
      <c r="G3337" s="805">
        <v>3.4857635893011198</v>
      </c>
      <c r="H3337" s="805">
        <v>32.71</v>
      </c>
      <c r="I3337" s="805">
        <v>6.89</v>
      </c>
      <c r="J3337" s="805">
        <v>1459.37</v>
      </c>
      <c r="K3337" s="805">
        <v>3100.57</v>
      </c>
    </row>
    <row r="3338" spans="3:11">
      <c r="C3338" s="861">
        <v>41276</v>
      </c>
      <c r="D3338" s="805">
        <v>21.38</v>
      </c>
      <c r="E3338" s="805">
        <v>3.18</v>
      </c>
      <c r="F3338" s="806">
        <v>2.5299999999999998</v>
      </c>
      <c r="G3338" s="805">
        <v>3.4350750129332601</v>
      </c>
      <c r="H3338" s="805">
        <v>32.54</v>
      </c>
      <c r="I3338" s="805">
        <v>6.63</v>
      </c>
      <c r="J3338" s="805">
        <v>1462.42</v>
      </c>
      <c r="K3338" s="805">
        <v>3112.26</v>
      </c>
    </row>
    <row r="3339" spans="3:11">
      <c r="C3339" s="861">
        <v>41275</v>
      </c>
      <c r="D3339" s="805">
        <v>20.62</v>
      </c>
      <c r="E3339" s="805">
        <v>3.0724999999999998</v>
      </c>
      <c r="F3339" s="806">
        <v>2.4</v>
      </c>
      <c r="G3339" s="805">
        <v>3.3425223983459702</v>
      </c>
      <c r="H3339" s="805">
        <v>31.66</v>
      </c>
      <c r="I3339" s="805">
        <v>6.35</v>
      </c>
      <c r="J3339" s="805">
        <v>1426.19</v>
      </c>
      <c r="K3339" s="805">
        <v>3019.51</v>
      </c>
    </row>
    <row r="3340" spans="3:11">
      <c r="C3340" s="861">
        <v>41274</v>
      </c>
      <c r="D3340" s="805">
        <v>20.62</v>
      </c>
      <c r="E3340" s="805">
        <v>3.0724999999999998</v>
      </c>
      <c r="F3340" s="806">
        <v>2.4</v>
      </c>
      <c r="G3340" s="805">
        <v>3.3425223983459702</v>
      </c>
      <c r="H3340" s="805">
        <v>31.66</v>
      </c>
      <c r="I3340" s="805">
        <v>6.35</v>
      </c>
      <c r="J3340" s="805">
        <v>1426.19</v>
      </c>
      <c r="K3340" s="805">
        <v>3019.51</v>
      </c>
    </row>
    <row r="3341" spans="3:11">
      <c r="C3341" s="861">
        <v>41273</v>
      </c>
      <c r="D3341" s="805">
        <v>20.23</v>
      </c>
      <c r="E3341" s="805">
        <v>3.0249999999999999</v>
      </c>
      <c r="F3341" s="806">
        <v>2.2799999999999998</v>
      </c>
      <c r="G3341" s="805">
        <v>3.3425223983459702</v>
      </c>
      <c r="H3341" s="805">
        <v>31.15</v>
      </c>
      <c r="I3341" s="805">
        <v>6.13</v>
      </c>
      <c r="J3341" s="805">
        <v>1402.43</v>
      </c>
      <c r="K3341" s="805">
        <v>2960.31</v>
      </c>
    </row>
    <row r="3342" spans="3:11">
      <c r="C3342" s="861">
        <v>41272</v>
      </c>
      <c r="D3342" s="805">
        <v>20.23</v>
      </c>
      <c r="E3342" s="805">
        <v>3.0249999999999999</v>
      </c>
      <c r="F3342" s="806">
        <v>2.2799999999999998</v>
      </c>
      <c r="G3342" s="805">
        <v>3.3425223983459702</v>
      </c>
      <c r="H3342" s="805">
        <v>31.15</v>
      </c>
      <c r="I3342" s="805">
        <v>6.13</v>
      </c>
      <c r="J3342" s="805">
        <v>1402.43</v>
      </c>
      <c r="K3342" s="805">
        <v>2960.31</v>
      </c>
    </row>
    <row r="3343" spans="3:11">
      <c r="C3343" s="861">
        <v>41271</v>
      </c>
      <c r="D3343" s="805">
        <v>20.23</v>
      </c>
      <c r="E3343" s="805">
        <v>3.0249999999999999</v>
      </c>
      <c r="F3343" s="806">
        <v>2.2799999999999998</v>
      </c>
      <c r="G3343" s="805">
        <v>3.3425223983459702</v>
      </c>
      <c r="H3343" s="805">
        <v>31.15</v>
      </c>
      <c r="I3343" s="805">
        <v>6.13</v>
      </c>
      <c r="J3343" s="805">
        <v>1402.43</v>
      </c>
      <c r="K3343" s="805">
        <v>2960.31</v>
      </c>
    </row>
    <row r="3344" spans="3:11">
      <c r="C3344" s="861">
        <v>41270</v>
      </c>
      <c r="D3344" s="805">
        <v>20.51</v>
      </c>
      <c r="E3344" s="805">
        <v>3.04</v>
      </c>
      <c r="F3344" s="806">
        <v>2.39</v>
      </c>
      <c r="G3344" s="805">
        <v>3.2931450223906298</v>
      </c>
      <c r="H3344" s="805">
        <v>31.37</v>
      </c>
      <c r="I3344" s="805">
        <v>6.22</v>
      </c>
      <c r="J3344" s="805">
        <v>1418.1</v>
      </c>
      <c r="K3344" s="805">
        <v>2985.91</v>
      </c>
    </row>
    <row r="3345" spans="3:11">
      <c r="C3345" s="861">
        <v>41269</v>
      </c>
      <c r="D3345" s="805">
        <v>20.65</v>
      </c>
      <c r="E3345" s="805">
        <v>3.06</v>
      </c>
      <c r="F3345" s="806">
        <v>2.4300000000000002</v>
      </c>
      <c r="G3345" s="805">
        <v>3.30635439986224</v>
      </c>
      <c r="H3345" s="805">
        <v>30.86</v>
      </c>
      <c r="I3345" s="805">
        <v>6.17</v>
      </c>
      <c r="J3345" s="805">
        <v>1419.83</v>
      </c>
      <c r="K3345" s="805">
        <v>2990.16</v>
      </c>
    </row>
    <row r="3346" spans="3:11">
      <c r="C3346" s="861">
        <v>41268</v>
      </c>
      <c r="D3346" s="805">
        <v>20.64</v>
      </c>
      <c r="E3346" s="805">
        <v>3.0625</v>
      </c>
      <c r="F3346" s="806">
        <v>2.48</v>
      </c>
      <c r="G3346" s="805">
        <v>3.3230027548209402</v>
      </c>
      <c r="H3346" s="805">
        <v>31.15</v>
      </c>
      <c r="I3346" s="805">
        <v>6.23</v>
      </c>
      <c r="J3346" s="805">
        <v>1426.66</v>
      </c>
      <c r="K3346" s="805">
        <v>3012.6</v>
      </c>
    </row>
    <row r="3347" spans="3:11">
      <c r="C3347" s="861">
        <v>41267</v>
      </c>
      <c r="D3347" s="805">
        <v>20.64</v>
      </c>
      <c r="E3347" s="805">
        <v>3.0625</v>
      </c>
      <c r="F3347" s="806">
        <v>2.48</v>
      </c>
      <c r="G3347" s="805">
        <v>3.2771084337349401</v>
      </c>
      <c r="H3347" s="805">
        <v>31.15</v>
      </c>
      <c r="I3347" s="805">
        <v>6.23</v>
      </c>
      <c r="J3347" s="805">
        <v>1426.66</v>
      </c>
      <c r="K3347" s="805">
        <v>3012.6</v>
      </c>
    </row>
    <row r="3348" spans="3:11">
      <c r="C3348" s="861">
        <v>41266</v>
      </c>
      <c r="D3348" s="805">
        <v>20.765000000000001</v>
      </c>
      <c r="E3348" s="805">
        <v>3.0874999999999999</v>
      </c>
      <c r="F3348" s="806">
        <v>2.59</v>
      </c>
      <c r="G3348" s="805">
        <v>3.29488724393183</v>
      </c>
      <c r="H3348" s="805">
        <v>31.36</v>
      </c>
      <c r="I3348" s="805">
        <v>6.32</v>
      </c>
      <c r="J3348" s="805">
        <v>1430.15</v>
      </c>
      <c r="K3348" s="805">
        <v>3021.01</v>
      </c>
    </row>
    <row r="3349" spans="3:11">
      <c r="C3349" s="861">
        <v>41265</v>
      </c>
      <c r="D3349" s="805">
        <v>20.765000000000001</v>
      </c>
      <c r="E3349" s="805">
        <v>3.0874999999999999</v>
      </c>
      <c r="F3349" s="806">
        <v>2.59</v>
      </c>
      <c r="G3349" s="805">
        <v>3.29488724393183</v>
      </c>
      <c r="H3349" s="805">
        <v>31.36</v>
      </c>
      <c r="I3349" s="805">
        <v>6.32</v>
      </c>
      <c r="J3349" s="805">
        <v>1430.15</v>
      </c>
      <c r="K3349" s="805">
        <v>3021.01</v>
      </c>
    </row>
    <row r="3350" spans="3:11">
      <c r="C3350" s="861">
        <v>41264</v>
      </c>
      <c r="D3350" s="805">
        <v>20.765000000000001</v>
      </c>
      <c r="E3350" s="805">
        <v>3.0874999999999999</v>
      </c>
      <c r="F3350" s="806">
        <v>2.59</v>
      </c>
      <c r="G3350" s="805">
        <v>3.2639008435186798</v>
      </c>
      <c r="H3350" s="805">
        <v>31.36</v>
      </c>
      <c r="I3350" s="805">
        <v>6.32</v>
      </c>
      <c r="J3350" s="805">
        <v>1430.15</v>
      </c>
      <c r="K3350" s="805">
        <v>3021.01</v>
      </c>
    </row>
    <row r="3351" spans="3:11">
      <c r="C3351" s="861">
        <v>41263</v>
      </c>
      <c r="D3351" s="805">
        <v>21.029299999999999</v>
      </c>
      <c r="E3351" s="805">
        <v>3.16</v>
      </c>
      <c r="F3351" s="806">
        <v>2.39</v>
      </c>
      <c r="G3351" s="805">
        <v>3.3046471600688498</v>
      </c>
      <c r="H3351" s="805">
        <v>31.9</v>
      </c>
      <c r="I3351" s="805">
        <v>6.79</v>
      </c>
      <c r="J3351" s="805">
        <v>1443.69</v>
      </c>
      <c r="K3351" s="805">
        <v>3050.39</v>
      </c>
    </row>
    <row r="3352" spans="3:11">
      <c r="C3352" s="861">
        <v>41262</v>
      </c>
      <c r="D3352" s="805">
        <v>21.1</v>
      </c>
      <c r="E3352" s="805">
        <v>3.1625000000000001</v>
      </c>
      <c r="F3352" s="806">
        <v>2.52</v>
      </c>
      <c r="G3352" s="805">
        <v>3.3505509641873301</v>
      </c>
      <c r="H3352" s="805">
        <v>31.99</v>
      </c>
      <c r="I3352" s="805">
        <v>6.82</v>
      </c>
      <c r="J3352" s="805">
        <v>1435.81</v>
      </c>
      <c r="K3352" s="805">
        <v>3044.36</v>
      </c>
    </row>
    <row r="3353" spans="3:11">
      <c r="C3353" s="861">
        <v>41261</v>
      </c>
      <c r="D3353" s="805">
        <v>20.96</v>
      </c>
      <c r="E3353" s="805">
        <v>3.14</v>
      </c>
      <c r="F3353" s="806">
        <v>2.52</v>
      </c>
      <c r="G3353" s="805">
        <v>3.3335631549917299</v>
      </c>
      <c r="H3353" s="805">
        <v>32.270000000000003</v>
      </c>
      <c r="I3353" s="805">
        <v>6.7</v>
      </c>
      <c r="J3353" s="805">
        <v>1446.79</v>
      </c>
      <c r="K3353" s="805">
        <v>3054.53</v>
      </c>
    </row>
    <row r="3354" spans="3:11">
      <c r="C3354" s="861">
        <v>41260</v>
      </c>
      <c r="D3354" s="805">
        <v>20.57</v>
      </c>
      <c r="E3354" s="805">
        <v>3.1324999999999998</v>
      </c>
      <c r="F3354" s="806">
        <v>2.46</v>
      </c>
      <c r="G3354" s="805">
        <v>3.3422920543036301</v>
      </c>
      <c r="H3354" s="805">
        <v>32</v>
      </c>
      <c r="I3354" s="805">
        <v>6.61</v>
      </c>
      <c r="J3354" s="805">
        <v>1430.36</v>
      </c>
      <c r="K3354" s="805">
        <v>3010.6</v>
      </c>
    </row>
    <row r="3355" spans="3:11">
      <c r="C3355" s="861">
        <v>41259</v>
      </c>
      <c r="D3355" s="805">
        <v>20.526700000000002</v>
      </c>
      <c r="E3355" s="805">
        <v>3.1475</v>
      </c>
      <c r="F3355" s="806">
        <v>2.39</v>
      </c>
      <c r="G3355" s="805">
        <v>3.3872633390705702</v>
      </c>
      <c r="H3355" s="805">
        <v>31.13</v>
      </c>
      <c r="I3355" s="805">
        <v>6.84</v>
      </c>
      <c r="J3355" s="805">
        <v>1413.58</v>
      </c>
      <c r="K3355" s="805">
        <v>2971.33</v>
      </c>
    </row>
    <row r="3356" spans="3:11">
      <c r="C3356" s="861">
        <v>41258</v>
      </c>
      <c r="D3356" s="805">
        <v>20.526700000000002</v>
      </c>
      <c r="E3356" s="805">
        <v>3.1475</v>
      </c>
      <c r="F3356" s="806">
        <v>2.39</v>
      </c>
      <c r="G3356" s="805">
        <v>3.3872633390705702</v>
      </c>
      <c r="H3356" s="805">
        <v>31.13</v>
      </c>
      <c r="I3356" s="805">
        <v>6.84</v>
      </c>
      <c r="J3356" s="805">
        <v>1413.58</v>
      </c>
      <c r="K3356" s="805">
        <v>2971.33</v>
      </c>
    </row>
    <row r="3357" spans="3:11">
      <c r="C3357" s="861">
        <v>41257</v>
      </c>
      <c r="D3357" s="805">
        <v>20.526700000000002</v>
      </c>
      <c r="E3357" s="805">
        <v>3.1475</v>
      </c>
      <c r="F3357" s="806">
        <v>2.39</v>
      </c>
      <c r="G3357" s="805">
        <v>3.3872633390705702</v>
      </c>
      <c r="H3357" s="805">
        <v>31.13</v>
      </c>
      <c r="I3357" s="805">
        <v>6.84</v>
      </c>
      <c r="J3357" s="805">
        <v>1413.58</v>
      </c>
      <c r="K3357" s="805">
        <v>2971.33</v>
      </c>
    </row>
    <row r="3358" spans="3:11">
      <c r="C3358" s="861">
        <v>41256</v>
      </c>
      <c r="D3358" s="805">
        <v>20.49</v>
      </c>
      <c r="E3358" s="805">
        <v>3.1324999999999998</v>
      </c>
      <c r="F3358" s="806">
        <v>2.41</v>
      </c>
      <c r="G3358" s="805">
        <v>3.4112792297111398</v>
      </c>
      <c r="H3358" s="805">
        <v>33.68</v>
      </c>
      <c r="I3358" s="805">
        <v>6.66</v>
      </c>
      <c r="J3358" s="805">
        <v>1419.45</v>
      </c>
      <c r="K3358" s="805">
        <v>2992.16</v>
      </c>
    </row>
    <row r="3359" spans="3:11">
      <c r="C3359" s="861">
        <v>41255</v>
      </c>
      <c r="D3359" s="805">
        <v>20.67</v>
      </c>
      <c r="E3359" s="805">
        <v>3.13</v>
      </c>
      <c r="F3359" s="806">
        <v>2.37</v>
      </c>
      <c r="G3359" s="805">
        <v>3.38959696865312</v>
      </c>
      <c r="H3359" s="805">
        <v>34.57</v>
      </c>
      <c r="I3359" s="805">
        <v>6.71</v>
      </c>
      <c r="J3359" s="805">
        <v>1428.48</v>
      </c>
      <c r="K3359" s="805">
        <v>3013.81</v>
      </c>
    </row>
    <row r="3360" spans="3:11">
      <c r="C3360" s="861">
        <v>41254</v>
      </c>
      <c r="D3360" s="805">
        <v>20.65</v>
      </c>
      <c r="E3360" s="805">
        <v>3.1625000000000001</v>
      </c>
      <c r="F3360" s="806">
        <v>2.33</v>
      </c>
      <c r="G3360" s="805">
        <v>3.3849862258953198</v>
      </c>
      <c r="H3360" s="805">
        <v>34.56</v>
      </c>
      <c r="I3360" s="805">
        <v>6.77</v>
      </c>
      <c r="J3360" s="805">
        <v>1427.84</v>
      </c>
      <c r="K3360" s="805">
        <v>3022.3</v>
      </c>
    </row>
    <row r="3361" spans="3:11">
      <c r="C3361" s="861">
        <v>41253</v>
      </c>
      <c r="D3361" s="805">
        <v>20.079999999999998</v>
      </c>
      <c r="E3361" s="805">
        <v>3.0924999999999998</v>
      </c>
      <c r="F3361" s="806">
        <v>2.3199999999999998</v>
      </c>
      <c r="G3361" s="805">
        <v>3.3161512027491402</v>
      </c>
      <c r="H3361" s="805">
        <v>34.450000000000003</v>
      </c>
      <c r="I3361" s="805">
        <v>6.67</v>
      </c>
      <c r="J3361" s="805">
        <v>1418.55</v>
      </c>
      <c r="K3361" s="805">
        <v>2986.96</v>
      </c>
    </row>
    <row r="3362" spans="3:11">
      <c r="C3362" s="861">
        <v>41252</v>
      </c>
      <c r="D3362" s="805">
        <v>20.155000000000001</v>
      </c>
      <c r="E3362" s="805">
        <v>2.9925000000000002</v>
      </c>
      <c r="F3362" s="806">
        <v>2.36</v>
      </c>
      <c r="G3362" s="805">
        <v>3.3769363166953501</v>
      </c>
      <c r="H3362" s="805">
        <v>34.25</v>
      </c>
      <c r="I3362" s="805">
        <v>6.45</v>
      </c>
      <c r="J3362" s="805">
        <v>1418.07</v>
      </c>
      <c r="K3362" s="805">
        <v>2978.04</v>
      </c>
    </row>
    <row r="3363" spans="3:11">
      <c r="C3363" s="861">
        <v>41251</v>
      </c>
      <c r="D3363" s="805">
        <v>20.155000000000001</v>
      </c>
      <c r="E3363" s="805">
        <v>2.9925000000000002</v>
      </c>
      <c r="F3363" s="806">
        <v>2.36</v>
      </c>
      <c r="G3363" s="805">
        <v>3.3769363166953501</v>
      </c>
      <c r="H3363" s="805">
        <v>34.25</v>
      </c>
      <c r="I3363" s="805">
        <v>6.45</v>
      </c>
      <c r="J3363" s="805">
        <v>1418.07</v>
      </c>
      <c r="K3363" s="805">
        <v>2978.04</v>
      </c>
    </row>
    <row r="3364" spans="3:11">
      <c r="C3364" s="861">
        <v>41250</v>
      </c>
      <c r="D3364" s="805">
        <v>20.155000000000001</v>
      </c>
      <c r="E3364" s="805">
        <v>2.9925000000000002</v>
      </c>
      <c r="F3364" s="806">
        <v>2.36</v>
      </c>
      <c r="G3364" s="805">
        <v>3.3769363166953501</v>
      </c>
      <c r="H3364" s="805">
        <v>34.25</v>
      </c>
      <c r="I3364" s="805">
        <v>6.45</v>
      </c>
      <c r="J3364" s="805">
        <v>1418.07</v>
      </c>
      <c r="K3364" s="805">
        <v>2978.04</v>
      </c>
    </row>
    <row r="3365" spans="3:11">
      <c r="C3365" s="861">
        <v>41249</v>
      </c>
      <c r="D3365" s="805">
        <v>20.16</v>
      </c>
      <c r="E3365" s="805">
        <v>2.9975000000000001</v>
      </c>
      <c r="F3365" s="806">
        <v>2.34</v>
      </c>
      <c r="G3365" s="805">
        <v>3.32232769294263</v>
      </c>
      <c r="H3365" s="805">
        <v>35.119999999999997</v>
      </c>
      <c r="I3365" s="805">
        <v>6.41</v>
      </c>
      <c r="J3365" s="805">
        <v>1413.94</v>
      </c>
      <c r="K3365" s="805">
        <v>2989.27</v>
      </c>
    </row>
    <row r="3366" spans="3:11">
      <c r="C3366" s="861">
        <v>41248</v>
      </c>
      <c r="D3366" s="805">
        <v>19.850000000000001</v>
      </c>
      <c r="E3366" s="805">
        <v>2.99</v>
      </c>
      <c r="F3366" s="806">
        <v>2.29</v>
      </c>
      <c r="G3366" s="805">
        <v>3.3321870701513099</v>
      </c>
      <c r="H3366" s="805">
        <v>34.54</v>
      </c>
      <c r="I3366" s="805">
        <v>6.18</v>
      </c>
      <c r="J3366" s="805">
        <v>1409.28</v>
      </c>
      <c r="K3366" s="805">
        <v>2973.7</v>
      </c>
    </row>
    <row r="3367" spans="3:11">
      <c r="C3367" s="861">
        <v>41247</v>
      </c>
      <c r="D3367" s="805">
        <v>19.9694</v>
      </c>
      <c r="E3367" s="805">
        <v>3.0249999999999999</v>
      </c>
      <c r="F3367" s="806">
        <v>2.2599999999999998</v>
      </c>
      <c r="G3367" s="805">
        <v>3.3230134158926701</v>
      </c>
      <c r="H3367" s="805">
        <v>34.92</v>
      </c>
      <c r="I3367" s="805">
        <v>6.03</v>
      </c>
      <c r="J3367" s="805">
        <v>1407.05</v>
      </c>
      <c r="K3367" s="805">
        <v>2996.69</v>
      </c>
    </row>
    <row r="3368" spans="3:11">
      <c r="C3368" s="861">
        <v>41246</v>
      </c>
      <c r="D3368" s="805">
        <v>19.54</v>
      </c>
      <c r="E3368" s="805">
        <v>2.9375</v>
      </c>
      <c r="F3368" s="806">
        <v>2.36</v>
      </c>
      <c r="G3368" s="805">
        <v>3.3670381070298498</v>
      </c>
      <c r="H3368" s="805">
        <v>34.81</v>
      </c>
      <c r="I3368" s="805">
        <v>5.94</v>
      </c>
      <c r="J3368" s="805">
        <v>1409.46</v>
      </c>
      <c r="K3368" s="805">
        <v>3002.2</v>
      </c>
    </row>
    <row r="3369" spans="3:11">
      <c r="C3369" s="861">
        <v>41245</v>
      </c>
      <c r="D3369" s="805">
        <v>19.565000000000001</v>
      </c>
      <c r="E3369" s="805">
        <v>2.9950000000000001</v>
      </c>
      <c r="F3369" s="806">
        <v>2.2000000000000002</v>
      </c>
      <c r="G3369" s="805">
        <v>3.3975903614457801</v>
      </c>
      <c r="H3369" s="805">
        <v>35.1</v>
      </c>
      <c r="I3369" s="805">
        <v>5.98</v>
      </c>
      <c r="J3369" s="805">
        <v>1416.18</v>
      </c>
      <c r="K3369" s="805">
        <v>3010.24</v>
      </c>
    </row>
    <row r="3370" spans="3:11">
      <c r="C3370" s="861">
        <v>41244</v>
      </c>
      <c r="D3370" s="805">
        <v>19.565000000000001</v>
      </c>
      <c r="E3370" s="805">
        <v>2.9950000000000001</v>
      </c>
      <c r="F3370" s="806">
        <v>2.2000000000000002</v>
      </c>
      <c r="G3370" s="805">
        <v>3.3975903614457801</v>
      </c>
      <c r="H3370" s="805">
        <v>35.1</v>
      </c>
      <c r="I3370" s="805">
        <v>5.98</v>
      </c>
      <c r="J3370" s="805">
        <v>1416.18</v>
      </c>
      <c r="K3370" s="805">
        <v>3010.24</v>
      </c>
    </row>
    <row r="3371" spans="3:11">
      <c r="C3371" s="861">
        <v>41243</v>
      </c>
      <c r="D3371" s="805">
        <v>19.565000000000001</v>
      </c>
      <c r="E3371" s="805">
        <v>2.9950000000000001</v>
      </c>
      <c r="F3371" s="806">
        <v>2.2000000000000002</v>
      </c>
      <c r="G3371" s="805">
        <v>3.3975903614457801</v>
      </c>
      <c r="H3371" s="805">
        <v>35.1</v>
      </c>
      <c r="I3371" s="805">
        <v>5.98</v>
      </c>
      <c r="J3371" s="805">
        <v>1416.18</v>
      </c>
      <c r="K3371" s="805">
        <v>3010.24</v>
      </c>
    </row>
    <row r="3372" spans="3:11">
      <c r="C3372" s="861">
        <v>41242</v>
      </c>
      <c r="D3372" s="805">
        <v>19.53</v>
      </c>
      <c r="E3372" s="805">
        <v>3.01</v>
      </c>
      <c r="F3372" s="806">
        <v>2.04</v>
      </c>
      <c r="G3372" s="805">
        <v>3.3218588640275399</v>
      </c>
      <c r="H3372" s="805">
        <v>35.1</v>
      </c>
      <c r="I3372" s="805">
        <v>5.91</v>
      </c>
      <c r="J3372" s="805">
        <v>1415.95</v>
      </c>
      <c r="K3372" s="805">
        <v>3012.03</v>
      </c>
    </row>
    <row r="3373" spans="3:11">
      <c r="C3373" s="861">
        <v>41241</v>
      </c>
      <c r="D3373" s="805">
        <v>20.09</v>
      </c>
      <c r="E3373" s="805">
        <v>3.0649999999999999</v>
      </c>
      <c r="F3373" s="806">
        <v>1.96</v>
      </c>
      <c r="G3373" s="805">
        <v>3.2932692307692299</v>
      </c>
      <c r="H3373" s="805">
        <v>34.56</v>
      </c>
      <c r="I3373" s="805">
        <v>5.77</v>
      </c>
      <c r="J3373" s="805">
        <v>1409.93</v>
      </c>
      <c r="K3373" s="805">
        <v>2991.78</v>
      </c>
    </row>
    <row r="3374" spans="3:11">
      <c r="C3374" s="861">
        <v>41240</v>
      </c>
      <c r="D3374" s="805">
        <v>19.93</v>
      </c>
      <c r="E3374" s="805">
        <v>3.0375000000000001</v>
      </c>
      <c r="F3374" s="806">
        <v>1.88</v>
      </c>
      <c r="G3374" s="805">
        <v>3.3109850438370301</v>
      </c>
      <c r="H3374" s="805">
        <v>34.119999999999997</v>
      </c>
      <c r="I3374" s="805">
        <v>5.68</v>
      </c>
      <c r="J3374" s="805">
        <v>1398.94</v>
      </c>
      <c r="K3374" s="805">
        <v>2967.79</v>
      </c>
    </row>
    <row r="3375" spans="3:11">
      <c r="C3375" s="861">
        <v>41239</v>
      </c>
      <c r="D3375" s="805">
        <v>19.885000000000002</v>
      </c>
      <c r="E3375" s="805">
        <v>3.03</v>
      </c>
      <c r="F3375" s="806">
        <v>1.87</v>
      </c>
      <c r="G3375" s="805">
        <v>3.2794218857536102</v>
      </c>
      <c r="H3375" s="805">
        <v>34.04</v>
      </c>
      <c r="I3375" s="805">
        <v>5.69</v>
      </c>
      <c r="J3375" s="805">
        <v>1406.29</v>
      </c>
      <c r="K3375" s="805">
        <v>2976.78</v>
      </c>
    </row>
    <row r="3376" spans="3:11">
      <c r="C3376" s="861">
        <v>41238</v>
      </c>
      <c r="D3376" s="805">
        <v>19.72</v>
      </c>
      <c r="E3376" s="805">
        <v>2.9750000000000001</v>
      </c>
      <c r="F3376" s="806">
        <v>1.95</v>
      </c>
      <c r="G3376" s="805">
        <v>3.2795329670329698</v>
      </c>
      <c r="H3376" s="805">
        <v>33.549999999999997</v>
      </c>
      <c r="I3376" s="805">
        <v>5.68</v>
      </c>
      <c r="J3376" s="805">
        <v>1409.15</v>
      </c>
      <c r="K3376" s="805">
        <v>2966.85</v>
      </c>
    </row>
    <row r="3377" spans="3:11">
      <c r="C3377" s="861">
        <v>41237</v>
      </c>
      <c r="D3377" s="805">
        <v>19.72</v>
      </c>
      <c r="E3377" s="805">
        <v>2.9750000000000001</v>
      </c>
      <c r="F3377" s="806">
        <v>1.95</v>
      </c>
      <c r="G3377" s="805">
        <v>3.2795329670329698</v>
      </c>
      <c r="H3377" s="805">
        <v>33.549999999999997</v>
      </c>
      <c r="I3377" s="805">
        <v>5.68</v>
      </c>
      <c r="J3377" s="805">
        <v>1409.15</v>
      </c>
      <c r="K3377" s="805">
        <v>2966.85</v>
      </c>
    </row>
    <row r="3378" spans="3:11">
      <c r="C3378" s="861">
        <v>41236</v>
      </c>
      <c r="D3378" s="805">
        <v>19.72</v>
      </c>
      <c r="E3378" s="805">
        <v>2.9750000000000001</v>
      </c>
      <c r="F3378" s="806">
        <v>1.95</v>
      </c>
      <c r="G3378" s="805">
        <v>3.2795329670329698</v>
      </c>
      <c r="H3378" s="805">
        <v>33.549999999999997</v>
      </c>
      <c r="I3378" s="805">
        <v>5.68</v>
      </c>
      <c r="J3378" s="805">
        <v>1409.15</v>
      </c>
      <c r="K3378" s="805">
        <v>2966.85</v>
      </c>
    </row>
    <row r="3379" spans="3:11">
      <c r="C3379" s="861">
        <v>41235</v>
      </c>
      <c r="D3379" s="805">
        <v>19.36</v>
      </c>
      <c r="E3379" s="805">
        <v>2.9550000000000001</v>
      </c>
      <c r="F3379" s="806">
        <v>1.87</v>
      </c>
      <c r="G3379" s="805">
        <v>3.1336880041187598</v>
      </c>
      <c r="H3379" s="805">
        <v>32.82</v>
      </c>
      <c r="I3379" s="805">
        <v>5.52</v>
      </c>
      <c r="J3379" s="805">
        <v>1391.03</v>
      </c>
      <c r="K3379" s="805">
        <v>2926.55</v>
      </c>
    </row>
    <row r="3380" spans="3:11">
      <c r="C3380" s="861">
        <v>41234</v>
      </c>
      <c r="D3380" s="805">
        <v>19.36</v>
      </c>
      <c r="E3380" s="805">
        <v>2.9550000000000001</v>
      </c>
      <c r="F3380" s="806">
        <v>1.87</v>
      </c>
      <c r="G3380" s="805">
        <v>3.1110347198349899</v>
      </c>
      <c r="H3380" s="805">
        <v>32.82</v>
      </c>
      <c r="I3380" s="805">
        <v>5.52</v>
      </c>
      <c r="J3380" s="805">
        <v>1391.03</v>
      </c>
      <c r="K3380" s="805">
        <v>2926.55</v>
      </c>
    </row>
    <row r="3381" spans="3:11">
      <c r="C3381" s="861">
        <v>41233</v>
      </c>
      <c r="D3381" s="805">
        <v>19.513200000000001</v>
      </c>
      <c r="E3381" s="805">
        <v>2.8725000000000001</v>
      </c>
      <c r="F3381" s="806">
        <v>1.88</v>
      </c>
      <c r="G3381" s="805">
        <v>3.1065292096219901</v>
      </c>
      <c r="H3381" s="805">
        <v>32.81</v>
      </c>
      <c r="I3381" s="805">
        <v>5.56</v>
      </c>
      <c r="J3381" s="805">
        <v>1387.81</v>
      </c>
      <c r="K3381" s="805">
        <v>2916.68</v>
      </c>
    </row>
    <row r="3382" spans="3:11">
      <c r="C3382" s="861">
        <v>41232</v>
      </c>
      <c r="D3382" s="805">
        <v>20.25</v>
      </c>
      <c r="E3382" s="805">
        <v>2.9249999999999998</v>
      </c>
      <c r="F3382" s="806">
        <v>1.92</v>
      </c>
      <c r="G3382" s="805">
        <v>3.0874785591766698</v>
      </c>
      <c r="H3382" s="805">
        <v>32.75</v>
      </c>
      <c r="I3382" s="805">
        <v>5.55</v>
      </c>
      <c r="J3382" s="805">
        <v>1386.89</v>
      </c>
      <c r="K3382" s="805">
        <v>2916.07</v>
      </c>
    </row>
    <row r="3383" spans="3:11">
      <c r="C3383" s="861">
        <v>41231</v>
      </c>
      <c r="D3383" s="805">
        <v>20.190000000000001</v>
      </c>
      <c r="E3383" s="805">
        <v>2.8450000000000002</v>
      </c>
      <c r="F3383" s="806">
        <v>1.86</v>
      </c>
      <c r="G3383" s="805">
        <v>3.09380895215229</v>
      </c>
      <c r="H3383" s="805">
        <v>31.94</v>
      </c>
      <c r="I3383" s="805">
        <v>5.47</v>
      </c>
      <c r="J3383" s="805">
        <v>1359.88</v>
      </c>
      <c r="K3383" s="805">
        <v>2853.13</v>
      </c>
    </row>
    <row r="3384" spans="3:11">
      <c r="C3384" s="861">
        <v>41230</v>
      </c>
      <c r="D3384" s="805">
        <v>20.190000000000001</v>
      </c>
      <c r="E3384" s="805">
        <v>2.8450000000000002</v>
      </c>
      <c r="F3384" s="806">
        <v>1.86</v>
      </c>
      <c r="G3384" s="805">
        <v>3.09380895215229</v>
      </c>
      <c r="H3384" s="805">
        <v>31.94</v>
      </c>
      <c r="I3384" s="805">
        <v>5.47</v>
      </c>
      <c r="J3384" s="805">
        <v>1359.88</v>
      </c>
      <c r="K3384" s="805">
        <v>2853.13</v>
      </c>
    </row>
    <row r="3385" spans="3:11">
      <c r="C3385" s="861">
        <v>41229</v>
      </c>
      <c r="D3385" s="805">
        <v>20.190000000000001</v>
      </c>
      <c r="E3385" s="805">
        <v>2.8450000000000002</v>
      </c>
      <c r="F3385" s="806">
        <v>1.86</v>
      </c>
      <c r="G3385" s="805">
        <v>3.09380895215229</v>
      </c>
      <c r="H3385" s="805">
        <v>31.94</v>
      </c>
      <c r="I3385" s="805">
        <v>5.47</v>
      </c>
      <c r="J3385" s="805">
        <v>1359.88</v>
      </c>
      <c r="K3385" s="805">
        <v>2853.13</v>
      </c>
    </row>
    <row r="3386" spans="3:11">
      <c r="C3386" s="861">
        <v>41228</v>
      </c>
      <c r="D3386" s="805">
        <v>20.03</v>
      </c>
      <c r="E3386" s="805">
        <v>2.8975</v>
      </c>
      <c r="F3386" s="806">
        <v>1.87</v>
      </c>
      <c r="G3386" s="805">
        <v>3.1053120804213901</v>
      </c>
      <c r="H3386" s="805">
        <v>32.25</v>
      </c>
      <c r="I3386" s="805">
        <v>5.48</v>
      </c>
      <c r="J3386" s="805">
        <v>1353.33</v>
      </c>
      <c r="K3386" s="805">
        <v>2836.94</v>
      </c>
    </row>
    <row r="3387" spans="3:11">
      <c r="C3387" s="861">
        <v>41227</v>
      </c>
      <c r="D3387" s="805">
        <v>19.96</v>
      </c>
      <c r="E3387" s="805">
        <v>2.8875000000000002</v>
      </c>
      <c r="F3387" s="806">
        <v>1.93</v>
      </c>
      <c r="G3387" s="805">
        <v>3.1219815095901802</v>
      </c>
      <c r="H3387" s="805">
        <v>33.04</v>
      </c>
      <c r="I3387" s="805">
        <v>5.55</v>
      </c>
      <c r="J3387" s="805">
        <v>1355.49</v>
      </c>
      <c r="K3387" s="805">
        <v>2846.81</v>
      </c>
    </row>
    <row r="3388" spans="3:11">
      <c r="C3388" s="861">
        <v>41226</v>
      </c>
      <c r="D3388" s="805">
        <v>20.28</v>
      </c>
      <c r="E3388" s="805">
        <v>2.9575</v>
      </c>
      <c r="F3388" s="806">
        <v>2.09</v>
      </c>
      <c r="G3388" s="805">
        <v>3.11551200662434</v>
      </c>
      <c r="H3388" s="805">
        <v>33.28</v>
      </c>
      <c r="I3388" s="805">
        <v>5.73</v>
      </c>
      <c r="J3388" s="805">
        <v>1374.53</v>
      </c>
      <c r="K3388" s="805">
        <v>2883.89</v>
      </c>
    </row>
    <row r="3389" spans="3:11">
      <c r="C3389" s="861">
        <v>41225</v>
      </c>
      <c r="D3389" s="805">
        <v>20.765000000000001</v>
      </c>
      <c r="E3389" s="805">
        <v>2.98</v>
      </c>
      <c r="F3389" s="806">
        <v>1.99</v>
      </c>
      <c r="G3389" s="805">
        <v>3.1504485852311901</v>
      </c>
      <c r="H3389" s="805">
        <v>33.61</v>
      </c>
      <c r="I3389" s="805">
        <v>5.57</v>
      </c>
      <c r="J3389" s="805">
        <v>1380.03</v>
      </c>
      <c r="K3389" s="805">
        <v>2904.25</v>
      </c>
    </row>
    <row r="3390" spans="3:11">
      <c r="C3390" s="861">
        <v>41224</v>
      </c>
      <c r="D3390" s="805">
        <v>20.8</v>
      </c>
      <c r="E3390" s="805">
        <v>3.0474999999999999</v>
      </c>
      <c r="F3390" s="806">
        <v>2.0299999999999998</v>
      </c>
      <c r="G3390" s="805">
        <v>3.1297394181717899</v>
      </c>
      <c r="H3390" s="805">
        <v>33.479999999999997</v>
      </c>
      <c r="I3390" s="805">
        <v>5.62</v>
      </c>
      <c r="J3390" s="805">
        <v>1379.85</v>
      </c>
      <c r="K3390" s="805">
        <v>2904.87</v>
      </c>
    </row>
    <row r="3391" spans="3:11">
      <c r="C3391" s="861">
        <v>41223</v>
      </c>
      <c r="D3391" s="805">
        <v>20.8</v>
      </c>
      <c r="E3391" s="805">
        <v>3.0474999999999999</v>
      </c>
      <c r="F3391" s="806">
        <v>2.0299999999999998</v>
      </c>
      <c r="G3391" s="805">
        <v>3.1297394181717899</v>
      </c>
      <c r="H3391" s="805">
        <v>33.479999999999997</v>
      </c>
      <c r="I3391" s="805">
        <v>5.62</v>
      </c>
      <c r="J3391" s="805">
        <v>1379.85</v>
      </c>
      <c r="K3391" s="805">
        <v>2904.87</v>
      </c>
    </row>
    <row r="3392" spans="3:11">
      <c r="C3392" s="861">
        <v>41222</v>
      </c>
      <c r="D3392" s="805">
        <v>20.8</v>
      </c>
      <c r="E3392" s="805">
        <v>3.0474999999999999</v>
      </c>
      <c r="F3392" s="806">
        <v>2.0299999999999998</v>
      </c>
      <c r="G3392" s="805">
        <v>3.1297394181717899</v>
      </c>
      <c r="H3392" s="805">
        <v>33.479999999999997</v>
      </c>
      <c r="I3392" s="805">
        <v>5.62</v>
      </c>
      <c r="J3392" s="805">
        <v>1379.85</v>
      </c>
      <c r="K3392" s="805">
        <v>2904.87</v>
      </c>
    </row>
    <row r="3393" spans="3:11">
      <c r="C3393" s="861">
        <v>41221</v>
      </c>
      <c r="D3393" s="805">
        <v>20.83</v>
      </c>
      <c r="E3393" s="805">
        <v>3.17</v>
      </c>
      <c r="F3393" s="806">
        <v>1.98</v>
      </c>
      <c r="G3393" s="805">
        <v>3.1105000859254202</v>
      </c>
      <c r="H3393" s="805">
        <v>33.840000000000003</v>
      </c>
      <c r="I3393" s="805">
        <v>5.69</v>
      </c>
      <c r="J3393" s="805">
        <v>1377.51</v>
      </c>
      <c r="K3393" s="805">
        <v>2895.58</v>
      </c>
    </row>
    <row r="3394" spans="3:11">
      <c r="C3394" s="861">
        <v>41220</v>
      </c>
      <c r="D3394" s="805">
        <v>20.91</v>
      </c>
      <c r="E3394" s="805">
        <v>3.15</v>
      </c>
      <c r="F3394" s="806">
        <v>2.0099999999999998</v>
      </c>
      <c r="G3394" s="805">
        <v>3.1244635193132999</v>
      </c>
      <c r="H3394" s="805">
        <v>33.96</v>
      </c>
      <c r="I3394" s="805">
        <v>5.88</v>
      </c>
      <c r="J3394" s="805">
        <v>1394.53</v>
      </c>
      <c r="K3394" s="805">
        <v>2937.29</v>
      </c>
    </row>
    <row r="3395" spans="3:11">
      <c r="C3395" s="861">
        <v>41219</v>
      </c>
      <c r="D3395" s="805">
        <v>21.73</v>
      </c>
      <c r="E3395" s="805">
        <v>3.2524999999999999</v>
      </c>
      <c r="F3395" s="806">
        <v>2.0699999999999998</v>
      </c>
      <c r="G3395" s="805">
        <v>3.09324208725406</v>
      </c>
      <c r="H3395" s="805">
        <v>35.26</v>
      </c>
      <c r="I3395" s="805">
        <v>6.09</v>
      </c>
      <c r="J3395" s="805">
        <v>1428.39</v>
      </c>
      <c r="K3395" s="805">
        <v>3011.93</v>
      </c>
    </row>
    <row r="3396" spans="3:11">
      <c r="C3396" s="861">
        <v>41218</v>
      </c>
      <c r="D3396" s="805">
        <v>21.839099999999998</v>
      </c>
      <c r="E3396" s="805">
        <v>3.2549999999999999</v>
      </c>
      <c r="F3396" s="806">
        <v>2.11</v>
      </c>
      <c r="G3396" s="805">
        <v>3.0898203592814402</v>
      </c>
      <c r="H3396" s="805">
        <v>34.32</v>
      </c>
      <c r="I3396" s="805">
        <v>5.84</v>
      </c>
      <c r="J3396" s="805">
        <v>1417.26</v>
      </c>
      <c r="K3396" s="805">
        <v>2999.66</v>
      </c>
    </row>
    <row r="3397" spans="3:11">
      <c r="C3397" s="861">
        <v>41217</v>
      </c>
      <c r="D3397" s="805">
        <v>22.06</v>
      </c>
      <c r="E3397" s="805">
        <v>3.1225000000000001</v>
      </c>
      <c r="F3397" s="806">
        <v>2.1</v>
      </c>
      <c r="G3397" s="805">
        <v>3.0779238564776801</v>
      </c>
      <c r="H3397" s="805">
        <v>33.97</v>
      </c>
      <c r="I3397" s="805">
        <v>5.71</v>
      </c>
      <c r="J3397" s="805">
        <v>1414.2</v>
      </c>
      <c r="K3397" s="805">
        <v>2982.13</v>
      </c>
    </row>
    <row r="3398" spans="3:11">
      <c r="C3398" s="861">
        <v>41216</v>
      </c>
      <c r="D3398" s="805">
        <v>22.06</v>
      </c>
      <c r="E3398" s="805">
        <v>3.1225000000000001</v>
      </c>
      <c r="F3398" s="806">
        <v>2.1</v>
      </c>
      <c r="G3398" s="805">
        <v>3.0779238564776801</v>
      </c>
      <c r="H3398" s="805">
        <v>33.97</v>
      </c>
      <c r="I3398" s="805">
        <v>5.71</v>
      </c>
      <c r="J3398" s="805">
        <v>1414.2</v>
      </c>
      <c r="K3398" s="805">
        <v>2982.13</v>
      </c>
    </row>
    <row r="3399" spans="3:11">
      <c r="C3399" s="861">
        <v>41215</v>
      </c>
      <c r="D3399" s="805">
        <v>22.06</v>
      </c>
      <c r="E3399" s="805">
        <v>3.1225000000000001</v>
      </c>
      <c r="F3399" s="806">
        <v>2.1</v>
      </c>
      <c r="G3399" s="805">
        <v>3.0779238564776801</v>
      </c>
      <c r="H3399" s="805">
        <v>33.97</v>
      </c>
      <c r="I3399" s="805">
        <v>5.71</v>
      </c>
      <c r="J3399" s="805">
        <v>1414.2</v>
      </c>
      <c r="K3399" s="805">
        <v>2982.13</v>
      </c>
    </row>
    <row r="3400" spans="3:11">
      <c r="C3400" s="861">
        <v>41214</v>
      </c>
      <c r="D3400" s="805">
        <v>22.26</v>
      </c>
      <c r="E3400" s="805">
        <v>3.1375000000000002</v>
      </c>
      <c r="F3400" s="806">
        <v>2.14</v>
      </c>
      <c r="G3400" s="805">
        <v>3.0536441751395</v>
      </c>
      <c r="H3400" s="805">
        <v>34.5</v>
      </c>
      <c r="I3400" s="805">
        <v>5.79</v>
      </c>
      <c r="J3400" s="805">
        <v>1427.59</v>
      </c>
      <c r="K3400" s="805">
        <v>3020.06</v>
      </c>
    </row>
    <row r="3401" spans="3:11">
      <c r="C3401" s="861">
        <v>41213</v>
      </c>
      <c r="D3401" s="805">
        <v>21.63</v>
      </c>
      <c r="E3401" s="805">
        <v>2.9925000000000002</v>
      </c>
      <c r="F3401" s="806">
        <v>2.0499999999999998</v>
      </c>
      <c r="G3401" s="805">
        <v>3.0376712328767099</v>
      </c>
      <c r="H3401" s="805">
        <v>33.03</v>
      </c>
      <c r="I3401" s="805">
        <v>5.4249999999999998</v>
      </c>
      <c r="J3401" s="805">
        <v>1412.16</v>
      </c>
      <c r="K3401" s="805">
        <v>2977.23</v>
      </c>
    </row>
    <row r="3402" spans="3:11">
      <c r="C3402" s="861">
        <v>41212</v>
      </c>
      <c r="D3402" s="805">
        <v>21.95</v>
      </c>
      <c r="E3402" s="805">
        <v>3.0125000000000002</v>
      </c>
      <c r="F3402" s="806">
        <v>2.0699999999999998</v>
      </c>
      <c r="G3402" s="805">
        <v>3.0114297447128902</v>
      </c>
      <c r="H3402" s="805">
        <v>33.83</v>
      </c>
      <c r="I3402" s="805">
        <v>5.47</v>
      </c>
      <c r="J3402" s="805">
        <v>1411.94</v>
      </c>
      <c r="K3402" s="805">
        <v>2987.95</v>
      </c>
    </row>
    <row r="3403" spans="3:11">
      <c r="C3403" s="861">
        <v>41211</v>
      </c>
      <c r="D3403" s="805">
        <v>21.95</v>
      </c>
      <c r="E3403" s="805">
        <v>3.0125000000000002</v>
      </c>
      <c r="F3403" s="806">
        <v>2.0699999999999998</v>
      </c>
      <c r="G3403" s="805">
        <v>3.01134809953514</v>
      </c>
      <c r="H3403" s="805">
        <v>33.83</v>
      </c>
      <c r="I3403" s="805">
        <v>5.47</v>
      </c>
      <c r="J3403" s="805">
        <v>1411.94</v>
      </c>
      <c r="K3403" s="805">
        <v>2987.95</v>
      </c>
    </row>
    <row r="3404" spans="3:11">
      <c r="C3404" s="861">
        <v>41210</v>
      </c>
      <c r="D3404" s="805">
        <v>21.95</v>
      </c>
      <c r="E3404" s="805">
        <v>3.0125000000000002</v>
      </c>
      <c r="F3404" s="806">
        <v>2.0699999999999998</v>
      </c>
      <c r="G3404" s="805">
        <v>2.98614674191893</v>
      </c>
      <c r="H3404" s="805">
        <v>33.83</v>
      </c>
      <c r="I3404" s="805">
        <v>5.47</v>
      </c>
      <c r="J3404" s="805">
        <v>1411.94</v>
      </c>
      <c r="K3404" s="805">
        <v>2987.95</v>
      </c>
    </row>
    <row r="3405" spans="3:11">
      <c r="C3405" s="861">
        <v>41209</v>
      </c>
      <c r="D3405" s="805">
        <v>21.95</v>
      </c>
      <c r="E3405" s="805">
        <v>3.0125000000000002</v>
      </c>
      <c r="F3405" s="806">
        <v>2.0699999999999998</v>
      </c>
      <c r="G3405" s="805">
        <v>2.98614674191893</v>
      </c>
      <c r="H3405" s="805">
        <v>33.83</v>
      </c>
      <c r="I3405" s="805">
        <v>5.47</v>
      </c>
      <c r="J3405" s="805">
        <v>1411.94</v>
      </c>
      <c r="K3405" s="805">
        <v>2987.95</v>
      </c>
    </row>
    <row r="3406" spans="3:11">
      <c r="C3406" s="861">
        <v>41208</v>
      </c>
      <c r="D3406" s="805">
        <v>21.95</v>
      </c>
      <c r="E3406" s="805">
        <v>3.0125000000000002</v>
      </c>
      <c r="F3406" s="806">
        <v>2.0699999999999998</v>
      </c>
      <c r="G3406" s="805">
        <v>2.98614674191893</v>
      </c>
      <c r="H3406" s="805">
        <v>33.83</v>
      </c>
      <c r="I3406" s="805">
        <v>5.47</v>
      </c>
      <c r="J3406" s="805">
        <v>1411.94</v>
      </c>
      <c r="K3406" s="805">
        <v>2987.95</v>
      </c>
    </row>
    <row r="3407" spans="3:11">
      <c r="C3407" s="861">
        <v>41207</v>
      </c>
      <c r="D3407" s="805">
        <v>21.69</v>
      </c>
      <c r="E3407" s="805">
        <v>3.0449999999999999</v>
      </c>
      <c r="F3407" s="806">
        <v>2.12</v>
      </c>
      <c r="G3407" s="805">
        <v>2.9003351802448898</v>
      </c>
      <c r="H3407" s="805">
        <v>33.700000000000003</v>
      </c>
      <c r="I3407" s="805">
        <v>5.69</v>
      </c>
      <c r="J3407" s="805">
        <v>1412.97</v>
      </c>
      <c r="K3407" s="805">
        <v>2986.12</v>
      </c>
    </row>
    <row r="3408" spans="3:11">
      <c r="C3408" s="861">
        <v>41206</v>
      </c>
      <c r="D3408" s="805">
        <v>21.46</v>
      </c>
      <c r="E3408" s="805">
        <v>3.0425</v>
      </c>
      <c r="F3408" s="806">
        <v>2.08</v>
      </c>
      <c r="G3408" s="805">
        <v>2.9165670571360298</v>
      </c>
      <c r="H3408" s="805">
        <v>32.729999999999997</v>
      </c>
      <c r="I3408" s="805">
        <v>5.16</v>
      </c>
      <c r="J3408" s="805">
        <v>1408.75</v>
      </c>
      <c r="K3408" s="805">
        <v>2981.7</v>
      </c>
    </row>
    <row r="3409" spans="3:11">
      <c r="C3409" s="861">
        <v>41205</v>
      </c>
      <c r="D3409" s="805">
        <v>21.59</v>
      </c>
      <c r="E3409" s="805">
        <v>3.0825</v>
      </c>
      <c r="F3409" s="806">
        <v>2.14</v>
      </c>
      <c r="G3409" s="805">
        <v>2.9239167519617899</v>
      </c>
      <c r="H3409" s="805">
        <v>33.24</v>
      </c>
      <c r="I3409" s="805">
        <v>5.41</v>
      </c>
      <c r="J3409" s="805">
        <v>1413.11</v>
      </c>
      <c r="K3409" s="805">
        <v>2990.46</v>
      </c>
    </row>
    <row r="3410" spans="3:11">
      <c r="C3410" s="861">
        <v>41204</v>
      </c>
      <c r="D3410" s="805">
        <v>21.46</v>
      </c>
      <c r="E3410" s="805">
        <v>2.9925000000000002</v>
      </c>
      <c r="F3410" s="806">
        <v>2.1</v>
      </c>
      <c r="G3410" s="805">
        <v>2.9396684327465401</v>
      </c>
      <c r="H3410" s="805">
        <v>33.4</v>
      </c>
      <c r="I3410" s="805">
        <v>5.44</v>
      </c>
      <c r="J3410" s="805">
        <v>1433.82</v>
      </c>
      <c r="K3410" s="805">
        <v>3016.96</v>
      </c>
    </row>
    <row r="3411" spans="3:11">
      <c r="C3411" s="861">
        <v>41203</v>
      </c>
      <c r="D3411" s="805">
        <v>21.265000000000001</v>
      </c>
      <c r="E3411" s="805">
        <v>3.0274999999999999</v>
      </c>
      <c r="F3411" s="806">
        <v>2.1800000000000002</v>
      </c>
      <c r="G3411" s="805">
        <v>2.9673488945170798</v>
      </c>
      <c r="H3411" s="805">
        <v>33.19</v>
      </c>
      <c r="I3411" s="805">
        <v>5.45</v>
      </c>
      <c r="J3411" s="805">
        <v>1433.19</v>
      </c>
      <c r="K3411" s="805">
        <v>3005.62</v>
      </c>
    </row>
    <row r="3412" spans="3:11">
      <c r="C3412" s="861">
        <v>41202</v>
      </c>
      <c r="D3412" s="805">
        <v>21.265000000000001</v>
      </c>
      <c r="E3412" s="805">
        <v>3.0274999999999999</v>
      </c>
      <c r="F3412" s="806">
        <v>2.1800000000000002</v>
      </c>
      <c r="G3412" s="805">
        <v>2.9673488945170798</v>
      </c>
      <c r="H3412" s="805">
        <v>33.19</v>
      </c>
      <c r="I3412" s="805">
        <v>5.45</v>
      </c>
      <c r="J3412" s="805">
        <v>1433.19</v>
      </c>
      <c r="K3412" s="805">
        <v>3005.62</v>
      </c>
    </row>
    <row r="3413" spans="3:11">
      <c r="C3413" s="861">
        <v>41201</v>
      </c>
      <c r="D3413" s="805">
        <v>21.265000000000001</v>
      </c>
      <c r="E3413" s="805">
        <v>3.0274999999999999</v>
      </c>
      <c r="F3413" s="806">
        <v>2.1800000000000002</v>
      </c>
      <c r="G3413" s="805">
        <v>2.9673488945170798</v>
      </c>
      <c r="H3413" s="805">
        <v>33.19</v>
      </c>
      <c r="I3413" s="805">
        <v>5.45</v>
      </c>
      <c r="J3413" s="805">
        <v>1433.19</v>
      </c>
      <c r="K3413" s="805">
        <v>3005.62</v>
      </c>
    </row>
    <row r="3414" spans="3:11">
      <c r="C3414" s="861">
        <v>41200</v>
      </c>
      <c r="D3414" s="805">
        <v>21.67</v>
      </c>
      <c r="E3414" s="805">
        <v>3.2174999999999998</v>
      </c>
      <c r="F3414" s="806">
        <v>2.62</v>
      </c>
      <c r="G3414" s="805">
        <v>3.0160903800068501</v>
      </c>
      <c r="H3414" s="805">
        <v>34.049999999999997</v>
      </c>
      <c r="I3414" s="805">
        <v>5.67</v>
      </c>
      <c r="J3414" s="805">
        <v>1457.34</v>
      </c>
      <c r="K3414" s="805">
        <v>3072.87</v>
      </c>
    </row>
    <row r="3415" spans="3:11">
      <c r="C3415" s="861">
        <v>41199</v>
      </c>
      <c r="D3415" s="805">
        <v>21.79</v>
      </c>
      <c r="E3415" s="805">
        <v>3.2675000000000001</v>
      </c>
      <c r="F3415" s="806">
        <v>2.77</v>
      </c>
      <c r="G3415" s="805">
        <v>2.9997254255903401</v>
      </c>
      <c r="H3415" s="805">
        <v>34.11</v>
      </c>
      <c r="I3415" s="805">
        <v>5.78</v>
      </c>
      <c r="J3415" s="805">
        <v>1460.91</v>
      </c>
      <c r="K3415" s="805">
        <v>3104.12</v>
      </c>
    </row>
    <row r="3416" spans="3:11">
      <c r="C3416" s="861">
        <v>41198</v>
      </c>
      <c r="D3416" s="805">
        <v>22.35</v>
      </c>
      <c r="E3416" s="805">
        <v>3.2875000000000001</v>
      </c>
      <c r="F3416" s="806">
        <v>2.68</v>
      </c>
      <c r="G3416" s="805">
        <v>3.00264232524622</v>
      </c>
      <c r="H3416" s="805">
        <v>34.35</v>
      </c>
      <c r="I3416" s="805">
        <v>5.78</v>
      </c>
      <c r="J3416" s="805">
        <v>1454.92</v>
      </c>
      <c r="K3416" s="805">
        <v>3101.17</v>
      </c>
    </row>
    <row r="3417" spans="3:11">
      <c r="C3417" s="861">
        <v>41197</v>
      </c>
      <c r="D3417" s="805">
        <v>21.73</v>
      </c>
      <c r="E3417" s="805">
        <v>3.1974999999999998</v>
      </c>
      <c r="F3417" s="806">
        <v>2.75</v>
      </c>
      <c r="G3417" s="805">
        <v>2.9593094944513001</v>
      </c>
      <c r="H3417" s="805">
        <v>33.19</v>
      </c>
      <c r="I3417" s="805">
        <v>5.72</v>
      </c>
      <c r="J3417" s="805">
        <v>1440.13</v>
      </c>
      <c r="K3417" s="805">
        <v>3064.18</v>
      </c>
    </row>
    <row r="3418" spans="3:11">
      <c r="C3418" s="861">
        <v>41196</v>
      </c>
      <c r="D3418" s="805">
        <v>21.4803</v>
      </c>
      <c r="E3418" s="805">
        <v>3.1575000000000002</v>
      </c>
      <c r="F3418" s="806">
        <v>2.74</v>
      </c>
      <c r="G3418" s="805">
        <v>2.95396200581893</v>
      </c>
      <c r="H3418" s="805">
        <v>32.96</v>
      </c>
      <c r="I3418" s="805">
        <v>5.67</v>
      </c>
      <c r="J3418" s="805">
        <v>1428.59</v>
      </c>
      <c r="K3418" s="805">
        <v>3044.11</v>
      </c>
    </row>
    <row r="3419" spans="3:11">
      <c r="C3419" s="861">
        <v>41195</v>
      </c>
      <c r="D3419" s="805">
        <v>21.4803</v>
      </c>
      <c r="E3419" s="805">
        <v>3.1575000000000002</v>
      </c>
      <c r="F3419" s="806">
        <v>2.74</v>
      </c>
      <c r="G3419" s="805">
        <v>2.95396200581893</v>
      </c>
      <c r="H3419" s="805">
        <v>32.96</v>
      </c>
      <c r="I3419" s="805">
        <v>5.67</v>
      </c>
      <c r="J3419" s="805">
        <v>1428.59</v>
      </c>
      <c r="K3419" s="805">
        <v>3044.11</v>
      </c>
    </row>
    <row r="3420" spans="3:11">
      <c r="C3420" s="861">
        <v>41194</v>
      </c>
      <c r="D3420" s="805">
        <v>21.4803</v>
      </c>
      <c r="E3420" s="805">
        <v>3.1575000000000002</v>
      </c>
      <c r="F3420" s="806">
        <v>2.74</v>
      </c>
      <c r="G3420" s="805">
        <v>2.95396200581893</v>
      </c>
      <c r="H3420" s="805">
        <v>32.96</v>
      </c>
      <c r="I3420" s="805">
        <v>5.67</v>
      </c>
      <c r="J3420" s="805">
        <v>1428.59</v>
      </c>
      <c r="K3420" s="805">
        <v>3044.11</v>
      </c>
    </row>
    <row r="3421" spans="3:11">
      <c r="C3421" s="861">
        <v>41193</v>
      </c>
      <c r="D3421" s="805">
        <v>21.68</v>
      </c>
      <c r="E3421" s="805">
        <v>3.1850000000000001</v>
      </c>
      <c r="F3421" s="806">
        <v>3.2</v>
      </c>
      <c r="G3421" s="805">
        <v>2.9225773372073198</v>
      </c>
      <c r="H3421" s="805">
        <v>32.93</v>
      </c>
      <c r="I3421" s="805">
        <v>5.75</v>
      </c>
      <c r="J3421" s="805">
        <v>1432.84</v>
      </c>
      <c r="K3421" s="805">
        <v>3049.41</v>
      </c>
    </row>
    <row r="3422" spans="3:11">
      <c r="C3422" s="861">
        <v>41192</v>
      </c>
      <c r="D3422" s="805">
        <v>21.76</v>
      </c>
      <c r="E3422" s="805">
        <v>3.1675</v>
      </c>
      <c r="F3422" s="806">
        <v>3.15</v>
      </c>
      <c r="G3422" s="805">
        <v>2.9732036183649102</v>
      </c>
      <c r="H3422" s="805">
        <v>32.590000000000003</v>
      </c>
      <c r="I3422" s="805">
        <v>5.76</v>
      </c>
      <c r="J3422" s="805">
        <v>1432.56</v>
      </c>
      <c r="K3422" s="805">
        <v>3051.78</v>
      </c>
    </row>
    <row r="3423" spans="3:11">
      <c r="C3423" s="861">
        <v>41191</v>
      </c>
      <c r="D3423" s="805">
        <v>21.9</v>
      </c>
      <c r="E3423" s="805">
        <v>3.22</v>
      </c>
      <c r="F3423" s="806">
        <v>3.25</v>
      </c>
      <c r="G3423" s="805">
        <v>2.9732036183649102</v>
      </c>
      <c r="H3423" s="805">
        <v>33.590000000000003</v>
      </c>
      <c r="I3423" s="805">
        <v>5.75</v>
      </c>
      <c r="J3423" s="805">
        <v>1441.48</v>
      </c>
      <c r="K3423" s="805">
        <v>3065.02</v>
      </c>
    </row>
    <row r="3424" spans="3:11">
      <c r="C3424" s="861">
        <v>41190</v>
      </c>
      <c r="D3424" s="805">
        <v>22.51</v>
      </c>
      <c r="E3424" s="805">
        <v>3.2925</v>
      </c>
      <c r="F3424" s="806">
        <v>3.19</v>
      </c>
      <c r="G3424" s="805">
        <v>3.0457373350652901</v>
      </c>
      <c r="H3424" s="805">
        <v>33.880000000000003</v>
      </c>
      <c r="I3424" s="805">
        <v>5.85</v>
      </c>
      <c r="J3424" s="805">
        <v>1455.88</v>
      </c>
      <c r="K3424" s="805">
        <v>3112.35</v>
      </c>
    </row>
    <row r="3425" spans="3:11">
      <c r="C3425" s="861">
        <v>41189</v>
      </c>
      <c r="D3425" s="805">
        <v>22.68</v>
      </c>
      <c r="E3425" s="805">
        <v>3.3250000000000002</v>
      </c>
      <c r="F3425" s="806">
        <v>3.22</v>
      </c>
      <c r="G3425" s="805">
        <v>3.11249444197421</v>
      </c>
      <c r="H3425" s="805">
        <v>34.44</v>
      </c>
      <c r="I3425" s="805">
        <v>5.89</v>
      </c>
      <c r="J3425" s="805">
        <v>1460.93</v>
      </c>
      <c r="K3425" s="805">
        <v>3136.19</v>
      </c>
    </row>
    <row r="3426" spans="3:11">
      <c r="C3426" s="861">
        <v>41188</v>
      </c>
      <c r="D3426" s="805">
        <v>22.68</v>
      </c>
      <c r="E3426" s="805">
        <v>3.3250000000000002</v>
      </c>
      <c r="F3426" s="806">
        <v>3.22</v>
      </c>
      <c r="G3426" s="805">
        <v>3.11249444197421</v>
      </c>
      <c r="H3426" s="805">
        <v>34.44</v>
      </c>
      <c r="I3426" s="805">
        <v>5.89</v>
      </c>
      <c r="J3426" s="805">
        <v>1460.93</v>
      </c>
      <c r="K3426" s="805">
        <v>3136.19</v>
      </c>
    </row>
    <row r="3427" spans="3:11">
      <c r="C3427" s="861">
        <v>41187</v>
      </c>
      <c r="D3427" s="805">
        <v>22.68</v>
      </c>
      <c r="E3427" s="805">
        <v>3.3250000000000002</v>
      </c>
      <c r="F3427" s="806">
        <v>3.22</v>
      </c>
      <c r="G3427" s="805">
        <v>3.11249444197421</v>
      </c>
      <c r="H3427" s="805">
        <v>34.44</v>
      </c>
      <c r="I3427" s="805">
        <v>5.89</v>
      </c>
      <c r="J3427" s="805">
        <v>1460.93</v>
      </c>
      <c r="K3427" s="805">
        <v>3136.19</v>
      </c>
    </row>
    <row r="3428" spans="3:11">
      <c r="C3428" s="861">
        <v>41186</v>
      </c>
      <c r="D3428" s="805">
        <v>22.465</v>
      </c>
      <c r="E3428" s="805">
        <v>3.4049999999999998</v>
      </c>
      <c r="F3428" s="806">
        <v>3.22</v>
      </c>
      <c r="G3428" s="805">
        <v>3.0947907771135799</v>
      </c>
      <c r="H3428" s="805">
        <v>34.42</v>
      </c>
      <c r="I3428" s="805">
        <v>5.87</v>
      </c>
      <c r="J3428" s="805">
        <v>1461.4</v>
      </c>
      <c r="K3428" s="805">
        <v>3149.46</v>
      </c>
    </row>
    <row r="3429" spans="3:11">
      <c r="C3429" s="861">
        <v>41185</v>
      </c>
      <c r="D3429" s="805">
        <v>22.55</v>
      </c>
      <c r="E3429" s="805">
        <v>3.2625000000000002</v>
      </c>
      <c r="F3429" s="806">
        <v>3.12</v>
      </c>
      <c r="G3429" s="805">
        <v>3.0648464163822502</v>
      </c>
      <c r="H3429" s="805">
        <v>34.57</v>
      </c>
      <c r="I3429" s="805">
        <v>5.84</v>
      </c>
      <c r="J3429" s="805">
        <v>1450.99</v>
      </c>
      <c r="K3429" s="805">
        <v>3135.23</v>
      </c>
    </row>
    <row r="3430" spans="3:11">
      <c r="C3430" s="861">
        <v>41184</v>
      </c>
      <c r="D3430" s="805">
        <v>22.84</v>
      </c>
      <c r="E3430" s="805">
        <v>3.2925</v>
      </c>
      <c r="F3430" s="806">
        <v>3.27</v>
      </c>
      <c r="G3430" s="805">
        <v>3.0602138051162902</v>
      </c>
      <c r="H3430" s="805">
        <v>34.42</v>
      </c>
      <c r="I3430" s="805">
        <v>5.84</v>
      </c>
      <c r="J3430" s="805">
        <v>1445.75</v>
      </c>
      <c r="K3430" s="805">
        <v>3120.04</v>
      </c>
    </row>
    <row r="3431" spans="3:11">
      <c r="C3431" s="861">
        <v>41183</v>
      </c>
      <c r="D3431" s="805">
        <v>22.754999999999999</v>
      </c>
      <c r="E3431" s="805">
        <v>3.2787500000000001</v>
      </c>
      <c r="F3431" s="806">
        <v>3.28</v>
      </c>
      <c r="G3431" s="805">
        <v>3.0341296928327699</v>
      </c>
      <c r="H3431" s="805">
        <v>34.69</v>
      </c>
      <c r="I3431" s="805">
        <v>5.78</v>
      </c>
      <c r="J3431" s="805">
        <v>1444.49</v>
      </c>
      <c r="K3431" s="805">
        <v>3113.53</v>
      </c>
    </row>
    <row r="3432" spans="3:11">
      <c r="C3432" s="861">
        <v>41182</v>
      </c>
      <c r="D3432" s="805">
        <v>22.655000000000001</v>
      </c>
      <c r="E3432" s="805">
        <v>3.335</v>
      </c>
      <c r="F3432" s="806">
        <v>3.37</v>
      </c>
      <c r="G3432" s="805">
        <v>3.0655788072235701</v>
      </c>
      <c r="H3432" s="805">
        <v>34.865000000000002</v>
      </c>
      <c r="I3432" s="805">
        <v>5.9850000000000003</v>
      </c>
      <c r="J3432" s="805">
        <v>1440.67</v>
      </c>
      <c r="K3432" s="805">
        <v>3116.23</v>
      </c>
    </row>
    <row r="3433" spans="3:11">
      <c r="C3433" s="861">
        <v>41181</v>
      </c>
      <c r="D3433" s="805">
        <v>22.655000000000001</v>
      </c>
      <c r="E3433" s="805">
        <v>3.335</v>
      </c>
      <c r="F3433" s="806">
        <v>3.37</v>
      </c>
      <c r="G3433" s="805">
        <v>3.0655788072235701</v>
      </c>
      <c r="H3433" s="805">
        <v>34.865000000000002</v>
      </c>
      <c r="I3433" s="805">
        <v>5.9850000000000003</v>
      </c>
      <c r="J3433" s="805">
        <v>1440.67</v>
      </c>
      <c r="K3433" s="805">
        <v>3116.23</v>
      </c>
    </row>
    <row r="3434" spans="3:11">
      <c r="C3434" s="861">
        <v>41180</v>
      </c>
      <c r="D3434" s="805">
        <v>22.655000000000001</v>
      </c>
      <c r="E3434" s="805">
        <v>3.335</v>
      </c>
      <c r="F3434" s="806">
        <v>3.37</v>
      </c>
      <c r="G3434" s="805">
        <v>3.0655788072235701</v>
      </c>
      <c r="H3434" s="805">
        <v>34.865000000000002</v>
      </c>
      <c r="I3434" s="805">
        <v>5.9850000000000003</v>
      </c>
      <c r="J3434" s="805">
        <v>1440.67</v>
      </c>
      <c r="K3434" s="805">
        <v>3116.23</v>
      </c>
    </row>
    <row r="3435" spans="3:11">
      <c r="C3435" s="861">
        <v>41179</v>
      </c>
      <c r="D3435" s="805">
        <v>23.085000000000001</v>
      </c>
      <c r="E3435" s="805">
        <v>3.3149999999999999</v>
      </c>
      <c r="F3435" s="806">
        <v>3.43</v>
      </c>
      <c r="G3435" s="805">
        <v>2.9879255065147698</v>
      </c>
      <c r="H3435" s="805">
        <v>34.895000000000003</v>
      </c>
      <c r="I3435" s="805">
        <v>6</v>
      </c>
      <c r="J3435" s="805">
        <v>1447.15</v>
      </c>
      <c r="K3435" s="805">
        <v>3136.6</v>
      </c>
    </row>
    <row r="3436" spans="3:11">
      <c r="C3436" s="861">
        <v>41178</v>
      </c>
      <c r="D3436" s="805">
        <v>22.645</v>
      </c>
      <c r="E3436" s="805">
        <v>3.2925</v>
      </c>
      <c r="F3436" s="806">
        <v>3.32</v>
      </c>
      <c r="G3436" s="805">
        <v>2.9397754338210298</v>
      </c>
      <c r="H3436" s="805">
        <v>33.46</v>
      </c>
      <c r="I3436" s="805">
        <v>5.96</v>
      </c>
      <c r="J3436" s="805">
        <v>1433.32</v>
      </c>
      <c r="K3436" s="805">
        <v>3093.7</v>
      </c>
    </row>
    <row r="3437" spans="3:11">
      <c r="C3437" s="861">
        <v>41177</v>
      </c>
      <c r="D3437" s="805">
        <v>22.535</v>
      </c>
      <c r="E3437" s="805">
        <v>3.3512499999999998</v>
      </c>
      <c r="F3437" s="806">
        <v>3.28</v>
      </c>
      <c r="G3437" s="805">
        <v>2.9286420510722402</v>
      </c>
      <c r="H3437" s="805">
        <v>32.99</v>
      </c>
      <c r="I3437" s="805">
        <v>6.1</v>
      </c>
      <c r="J3437" s="805">
        <v>1441.59</v>
      </c>
      <c r="K3437" s="805">
        <v>3117.73</v>
      </c>
    </row>
    <row r="3438" spans="3:11">
      <c r="C3438" s="861">
        <v>41176</v>
      </c>
      <c r="D3438" s="805">
        <v>22.795000000000002</v>
      </c>
      <c r="E3438" s="805">
        <v>3.4125000000000001</v>
      </c>
      <c r="F3438" s="806">
        <v>3.46</v>
      </c>
      <c r="G3438" s="805">
        <v>2.9323615557523302</v>
      </c>
      <c r="H3438" s="805">
        <v>34.6</v>
      </c>
      <c r="I3438" s="805">
        <v>6.25</v>
      </c>
      <c r="J3438" s="805">
        <v>1456.89</v>
      </c>
      <c r="K3438" s="805">
        <v>3160.78</v>
      </c>
    </row>
    <row r="3439" spans="3:11">
      <c r="C3439" s="861">
        <v>41175</v>
      </c>
      <c r="D3439" s="805">
        <v>23.125</v>
      </c>
      <c r="E3439" s="805">
        <v>3.4175</v>
      </c>
      <c r="F3439" s="806">
        <v>3.6</v>
      </c>
      <c r="G3439" s="805">
        <v>2.9264128393375501</v>
      </c>
      <c r="H3439" s="805">
        <v>35.630000000000003</v>
      </c>
      <c r="I3439" s="805">
        <v>6.36</v>
      </c>
      <c r="J3439" s="805">
        <v>1460.15</v>
      </c>
      <c r="K3439" s="805">
        <v>3179.96</v>
      </c>
    </row>
    <row r="3440" spans="3:11">
      <c r="C3440" s="861">
        <v>41174</v>
      </c>
      <c r="D3440" s="805">
        <v>23.125</v>
      </c>
      <c r="E3440" s="805">
        <v>3.4175</v>
      </c>
      <c r="F3440" s="806">
        <v>3.6</v>
      </c>
      <c r="G3440" s="805">
        <v>2.9264128393375501</v>
      </c>
      <c r="H3440" s="805">
        <v>35.630000000000003</v>
      </c>
      <c r="I3440" s="805">
        <v>6.36</v>
      </c>
      <c r="J3440" s="805">
        <v>1460.15</v>
      </c>
      <c r="K3440" s="805">
        <v>3179.96</v>
      </c>
    </row>
    <row r="3441" spans="3:11">
      <c r="C3441" s="861">
        <v>41173</v>
      </c>
      <c r="D3441" s="805">
        <v>23.125</v>
      </c>
      <c r="E3441" s="805">
        <v>3.4175</v>
      </c>
      <c r="F3441" s="806">
        <v>3.6</v>
      </c>
      <c r="G3441" s="805">
        <v>2.9264128393375501</v>
      </c>
      <c r="H3441" s="805">
        <v>35.630000000000003</v>
      </c>
      <c r="I3441" s="805">
        <v>6.36</v>
      </c>
      <c r="J3441" s="805">
        <v>1460.15</v>
      </c>
      <c r="K3441" s="805">
        <v>3179.96</v>
      </c>
    </row>
    <row r="3442" spans="3:11">
      <c r="C3442" s="861">
        <v>41172</v>
      </c>
      <c r="D3442" s="805">
        <v>23.178799999999999</v>
      </c>
      <c r="E3442" s="805">
        <v>3.4</v>
      </c>
      <c r="F3442" s="806">
        <v>3.59</v>
      </c>
      <c r="G3442" s="805">
        <v>2.9087809036658099</v>
      </c>
      <c r="H3442" s="805">
        <v>33.729999999999997</v>
      </c>
      <c r="I3442" s="805">
        <v>6.44</v>
      </c>
      <c r="J3442" s="805">
        <v>1460.26</v>
      </c>
      <c r="K3442" s="805">
        <v>3175.96</v>
      </c>
    </row>
    <row r="3443" spans="3:11">
      <c r="C3443" s="861">
        <v>41171</v>
      </c>
      <c r="D3443" s="805">
        <v>23.15</v>
      </c>
      <c r="E3443" s="805">
        <v>3.4275000000000002</v>
      </c>
      <c r="F3443" s="806">
        <v>3.66</v>
      </c>
      <c r="G3443" s="805">
        <v>2.9327513299686299</v>
      </c>
      <c r="H3443" s="805">
        <v>35.049999999999997</v>
      </c>
      <c r="I3443" s="805">
        <v>6.65</v>
      </c>
      <c r="J3443" s="805">
        <v>1461.05</v>
      </c>
      <c r="K3443" s="805">
        <v>3182.62</v>
      </c>
    </row>
    <row r="3444" spans="3:11">
      <c r="C3444" s="861">
        <v>41170</v>
      </c>
      <c r="D3444" s="805">
        <v>23.37</v>
      </c>
      <c r="E3444" s="805">
        <v>3.39</v>
      </c>
      <c r="F3444" s="806">
        <v>3.62</v>
      </c>
      <c r="G3444" s="805">
        <v>2.9204293746805301</v>
      </c>
      <c r="H3444" s="805">
        <v>35.17</v>
      </c>
      <c r="I3444" s="805">
        <v>6.48</v>
      </c>
      <c r="J3444" s="805">
        <v>1459.32</v>
      </c>
      <c r="K3444" s="805">
        <v>3177.8</v>
      </c>
    </row>
    <row r="3445" spans="3:11">
      <c r="C3445" s="861">
        <v>41169</v>
      </c>
      <c r="D3445" s="805">
        <v>23.31</v>
      </c>
      <c r="E3445" s="805">
        <v>3.3650000000000002</v>
      </c>
      <c r="F3445" s="806">
        <v>4.01</v>
      </c>
      <c r="G3445" s="805">
        <v>2.9535288694642698</v>
      </c>
      <c r="H3445" s="805">
        <v>35.28</v>
      </c>
      <c r="I3445" s="805">
        <v>6.57</v>
      </c>
      <c r="J3445" s="805">
        <v>1461.19</v>
      </c>
      <c r="K3445" s="805">
        <v>3178.67</v>
      </c>
    </row>
    <row r="3446" spans="3:11">
      <c r="C3446" s="861">
        <v>41168</v>
      </c>
      <c r="D3446" s="805">
        <v>23.37</v>
      </c>
      <c r="E3446" s="805">
        <v>3.46</v>
      </c>
      <c r="F3446" s="806">
        <v>3.9</v>
      </c>
      <c r="G3446" s="805">
        <v>2.9473899413929399</v>
      </c>
      <c r="H3446" s="805">
        <v>35.06</v>
      </c>
      <c r="I3446" s="805">
        <v>6.7</v>
      </c>
      <c r="J3446" s="805">
        <v>1465.77</v>
      </c>
      <c r="K3446" s="805">
        <v>3183.95</v>
      </c>
    </row>
    <row r="3447" spans="3:11">
      <c r="C3447" s="861">
        <v>41167</v>
      </c>
      <c r="D3447" s="805">
        <v>23.37</v>
      </c>
      <c r="E3447" s="805">
        <v>3.46</v>
      </c>
      <c r="F3447" s="806">
        <v>3.9</v>
      </c>
      <c r="G3447" s="805">
        <v>2.9473899413929399</v>
      </c>
      <c r="H3447" s="805">
        <v>35.06</v>
      </c>
      <c r="I3447" s="805">
        <v>6.7</v>
      </c>
      <c r="J3447" s="805">
        <v>1465.77</v>
      </c>
      <c r="K3447" s="805">
        <v>3183.95</v>
      </c>
    </row>
    <row r="3448" spans="3:11">
      <c r="C3448" s="861">
        <v>41166</v>
      </c>
      <c r="D3448" s="805">
        <v>23.37</v>
      </c>
      <c r="E3448" s="805">
        <v>3.46</v>
      </c>
      <c r="F3448" s="806">
        <v>3.9</v>
      </c>
      <c r="G3448" s="805">
        <v>2.9473899413929399</v>
      </c>
      <c r="H3448" s="805">
        <v>35.06</v>
      </c>
      <c r="I3448" s="805">
        <v>6.7</v>
      </c>
      <c r="J3448" s="805">
        <v>1465.77</v>
      </c>
      <c r="K3448" s="805">
        <v>3183.95</v>
      </c>
    </row>
    <row r="3449" spans="3:11">
      <c r="C3449" s="861">
        <v>41165</v>
      </c>
      <c r="D3449" s="805">
        <v>23.355</v>
      </c>
      <c r="E3449" s="805">
        <v>3.42</v>
      </c>
      <c r="F3449" s="806">
        <v>3.92</v>
      </c>
      <c r="G3449" s="805">
        <v>2.8764805414551602</v>
      </c>
      <c r="H3449" s="805">
        <v>35.090000000000003</v>
      </c>
      <c r="I3449" s="805">
        <v>6.62</v>
      </c>
      <c r="J3449" s="805">
        <v>1459.99</v>
      </c>
      <c r="K3449" s="805">
        <v>3155.83</v>
      </c>
    </row>
    <row r="3450" spans="3:11">
      <c r="C3450" s="861">
        <v>41164</v>
      </c>
      <c r="D3450" s="805">
        <v>23.19</v>
      </c>
      <c r="E3450" s="805">
        <v>3.3975</v>
      </c>
      <c r="F3450" s="806">
        <v>3.89</v>
      </c>
      <c r="G3450" s="805">
        <v>2.8571428571428599</v>
      </c>
      <c r="H3450" s="805">
        <v>35.229999999999997</v>
      </c>
      <c r="I3450" s="805">
        <v>6.47</v>
      </c>
      <c r="J3450" s="805">
        <v>1436.56</v>
      </c>
      <c r="K3450" s="805">
        <v>3114.31</v>
      </c>
    </row>
    <row r="3451" spans="3:11">
      <c r="C3451" s="861">
        <v>41163</v>
      </c>
      <c r="D3451" s="805">
        <v>23.34</v>
      </c>
      <c r="E3451" s="805">
        <v>3.36</v>
      </c>
      <c r="F3451" s="806">
        <v>3.75</v>
      </c>
      <c r="G3451" s="805">
        <v>2.8534721752654</v>
      </c>
      <c r="H3451" s="805">
        <v>34.96</v>
      </c>
      <c r="I3451" s="805">
        <v>6.36</v>
      </c>
      <c r="J3451" s="805">
        <v>1433.56</v>
      </c>
      <c r="K3451" s="805">
        <v>3104.53</v>
      </c>
    </row>
    <row r="3452" spans="3:11">
      <c r="C3452" s="861">
        <v>41162</v>
      </c>
      <c r="D3452" s="805">
        <v>23.26</v>
      </c>
      <c r="E3452" s="805">
        <v>3.32</v>
      </c>
      <c r="F3452" s="806">
        <v>3.47</v>
      </c>
      <c r="G3452" s="805">
        <v>2.8176143074067799</v>
      </c>
      <c r="H3452" s="805">
        <v>35</v>
      </c>
      <c r="I3452" s="805">
        <v>6.41</v>
      </c>
      <c r="J3452" s="805">
        <v>1429.08</v>
      </c>
      <c r="K3452" s="805">
        <v>3104.02</v>
      </c>
    </row>
    <row r="3453" spans="3:11">
      <c r="C3453" s="861">
        <v>41161</v>
      </c>
      <c r="D3453" s="805">
        <v>24.19</v>
      </c>
      <c r="E3453" s="805">
        <v>3.35</v>
      </c>
      <c r="F3453" s="806">
        <v>3.45</v>
      </c>
      <c r="G3453" s="805">
        <v>2.8234501347708898</v>
      </c>
      <c r="H3453" s="805">
        <v>36.200000000000003</v>
      </c>
      <c r="I3453" s="805">
        <v>6.42</v>
      </c>
      <c r="J3453" s="805">
        <v>1437.92</v>
      </c>
      <c r="K3453" s="805">
        <v>3136.42</v>
      </c>
    </row>
    <row r="3454" spans="3:11">
      <c r="C3454" s="861">
        <v>41160</v>
      </c>
      <c r="D3454" s="805">
        <v>24.19</v>
      </c>
      <c r="E3454" s="805">
        <v>3.35</v>
      </c>
      <c r="F3454" s="806">
        <v>3.45</v>
      </c>
      <c r="G3454" s="805">
        <v>2.8234501347708898</v>
      </c>
      <c r="H3454" s="805">
        <v>36.200000000000003</v>
      </c>
      <c r="I3454" s="805">
        <v>6.42</v>
      </c>
      <c r="J3454" s="805">
        <v>1437.92</v>
      </c>
      <c r="K3454" s="805">
        <v>3136.42</v>
      </c>
    </row>
    <row r="3455" spans="3:11">
      <c r="C3455" s="861">
        <v>41159</v>
      </c>
      <c r="D3455" s="805">
        <v>24.19</v>
      </c>
      <c r="E3455" s="805">
        <v>3.35</v>
      </c>
      <c r="F3455" s="806">
        <v>3.45</v>
      </c>
      <c r="G3455" s="805">
        <v>2.8234501347708898</v>
      </c>
      <c r="H3455" s="805">
        <v>36.200000000000003</v>
      </c>
      <c r="I3455" s="805">
        <v>6.42</v>
      </c>
      <c r="J3455" s="805">
        <v>1437.92</v>
      </c>
      <c r="K3455" s="805">
        <v>3136.42</v>
      </c>
    </row>
    <row r="3456" spans="3:11">
      <c r="C3456" s="861">
        <v>41158</v>
      </c>
      <c r="D3456" s="805">
        <v>25.094999999999999</v>
      </c>
      <c r="E3456" s="805">
        <v>3.4325000000000001</v>
      </c>
      <c r="F3456" s="806">
        <v>3.66</v>
      </c>
      <c r="G3456" s="805">
        <v>2.7255923374222801</v>
      </c>
      <c r="H3456" s="805">
        <v>36.619999999999997</v>
      </c>
      <c r="I3456" s="805">
        <v>6.68</v>
      </c>
      <c r="J3456" s="805">
        <v>1432.12</v>
      </c>
      <c r="K3456" s="805">
        <v>3135.81</v>
      </c>
    </row>
    <row r="3457" spans="3:11">
      <c r="C3457" s="861">
        <v>41157</v>
      </c>
      <c r="D3457" s="805">
        <v>24.39</v>
      </c>
      <c r="E3457" s="805">
        <v>3.33</v>
      </c>
      <c r="F3457" s="806">
        <v>3.51</v>
      </c>
      <c r="G3457" s="805">
        <v>2.7480813700190998</v>
      </c>
      <c r="H3457" s="805">
        <v>35.18</v>
      </c>
      <c r="I3457" s="805">
        <v>6.19</v>
      </c>
      <c r="J3457" s="805">
        <v>1403.44</v>
      </c>
      <c r="K3457" s="805">
        <v>3069.27</v>
      </c>
    </row>
    <row r="3458" spans="3:11">
      <c r="C3458" s="861">
        <v>41156</v>
      </c>
      <c r="D3458" s="805">
        <v>24.414999999999999</v>
      </c>
      <c r="E3458" s="805">
        <v>3.3187500000000001</v>
      </c>
      <c r="F3458" s="806">
        <v>3.64</v>
      </c>
      <c r="G3458" s="805">
        <v>2.8168069481238098</v>
      </c>
      <c r="H3458" s="805">
        <v>35.89</v>
      </c>
      <c r="I3458" s="805">
        <v>6.09</v>
      </c>
      <c r="J3458" s="805">
        <v>1404.94</v>
      </c>
      <c r="K3458" s="805">
        <v>3075.06</v>
      </c>
    </row>
    <row r="3459" spans="3:11">
      <c r="C3459" s="861">
        <v>41155</v>
      </c>
      <c r="D3459" s="805">
        <v>24.83</v>
      </c>
      <c r="E3459" s="805">
        <v>3.5074999999999998</v>
      </c>
      <c r="F3459" s="806">
        <v>3.72</v>
      </c>
      <c r="G3459" s="805">
        <v>2.8097789685197601</v>
      </c>
      <c r="H3459" s="805">
        <v>36.57</v>
      </c>
      <c r="I3459" s="805">
        <v>6.21</v>
      </c>
      <c r="J3459" s="805">
        <v>1406.58</v>
      </c>
      <c r="K3459" s="805">
        <v>3066.96</v>
      </c>
    </row>
    <row r="3460" spans="3:11">
      <c r="C3460" s="861">
        <v>41154</v>
      </c>
      <c r="D3460" s="805">
        <v>24.83</v>
      </c>
      <c r="E3460" s="805">
        <v>3.5074999999999998</v>
      </c>
      <c r="F3460" s="806">
        <v>3.72</v>
      </c>
      <c r="G3460" s="805">
        <v>2.7885645420460601</v>
      </c>
      <c r="H3460" s="805">
        <v>36.57</v>
      </c>
      <c r="I3460" s="805">
        <v>6.21</v>
      </c>
      <c r="J3460" s="805">
        <v>1406.58</v>
      </c>
      <c r="K3460" s="805">
        <v>3066.96</v>
      </c>
    </row>
    <row r="3461" spans="3:11">
      <c r="C3461" s="861">
        <v>41153</v>
      </c>
      <c r="D3461" s="805">
        <v>24.83</v>
      </c>
      <c r="E3461" s="805">
        <v>3.5074999999999998</v>
      </c>
      <c r="F3461" s="806">
        <v>3.72</v>
      </c>
      <c r="G3461" s="805">
        <v>2.7885645420460601</v>
      </c>
      <c r="H3461" s="805">
        <v>36.57</v>
      </c>
      <c r="I3461" s="805">
        <v>6.21</v>
      </c>
      <c r="J3461" s="805">
        <v>1406.58</v>
      </c>
      <c r="K3461" s="805">
        <v>3066.96</v>
      </c>
    </row>
    <row r="3462" spans="3:11">
      <c r="C3462" s="861">
        <v>41152</v>
      </c>
      <c r="D3462" s="805">
        <v>24.83</v>
      </c>
      <c r="E3462" s="805">
        <v>3.5074999999999998</v>
      </c>
      <c r="F3462" s="806">
        <v>3.72</v>
      </c>
      <c r="G3462" s="805">
        <v>2.7885645420460601</v>
      </c>
      <c r="H3462" s="805">
        <v>36.57</v>
      </c>
      <c r="I3462" s="805">
        <v>6.21</v>
      </c>
      <c r="J3462" s="805">
        <v>1406.58</v>
      </c>
      <c r="K3462" s="805">
        <v>3066.96</v>
      </c>
    </row>
    <row r="3463" spans="3:11">
      <c r="C3463" s="861">
        <v>41151</v>
      </c>
      <c r="D3463" s="805">
        <v>24.27</v>
      </c>
      <c r="E3463" s="805">
        <v>3.5125000000000002</v>
      </c>
      <c r="F3463" s="806">
        <v>3.7</v>
      </c>
      <c r="G3463" s="805">
        <v>2.76311393250919</v>
      </c>
      <c r="H3463" s="805">
        <v>36.020000000000003</v>
      </c>
      <c r="I3463" s="805">
        <v>6.18</v>
      </c>
      <c r="J3463" s="805">
        <v>1399.48</v>
      </c>
      <c r="K3463" s="805">
        <v>3048.71</v>
      </c>
    </row>
    <row r="3464" spans="3:11">
      <c r="C3464" s="861">
        <v>41150</v>
      </c>
      <c r="D3464" s="805">
        <v>24.667999999999999</v>
      </c>
      <c r="E3464" s="805">
        <v>3.58</v>
      </c>
      <c r="F3464" s="806">
        <v>3.77</v>
      </c>
      <c r="G3464" s="805">
        <v>2.7635756056808698</v>
      </c>
      <c r="H3464" s="805">
        <v>36.6</v>
      </c>
      <c r="I3464" s="805">
        <v>6.2</v>
      </c>
      <c r="J3464" s="805">
        <v>1410.49</v>
      </c>
      <c r="K3464" s="805">
        <v>3081.19</v>
      </c>
    </row>
    <row r="3465" spans="3:11">
      <c r="C3465" s="861">
        <v>41149</v>
      </c>
      <c r="D3465" s="805">
        <v>25</v>
      </c>
      <c r="E3465" s="805">
        <v>3.5724999999999998</v>
      </c>
      <c r="F3465" s="806">
        <v>3.79</v>
      </c>
      <c r="G3465" s="805">
        <v>2.7545630808317201</v>
      </c>
      <c r="H3465" s="805">
        <v>36.270000000000003</v>
      </c>
      <c r="I3465" s="805">
        <v>6.2</v>
      </c>
      <c r="J3465" s="805">
        <v>1409.3</v>
      </c>
      <c r="K3465" s="805">
        <v>3077.14</v>
      </c>
    </row>
    <row r="3466" spans="3:11">
      <c r="C3466" s="861">
        <v>41148</v>
      </c>
      <c r="D3466" s="805">
        <v>24.84</v>
      </c>
      <c r="E3466" s="805">
        <v>3.5874999999999999</v>
      </c>
      <c r="F3466" s="806">
        <v>3.85</v>
      </c>
      <c r="G3466" s="805">
        <v>2.7713780092824498</v>
      </c>
      <c r="H3466" s="805">
        <v>35.770000000000003</v>
      </c>
      <c r="I3466" s="805">
        <v>6.23</v>
      </c>
      <c r="J3466" s="805">
        <v>1410.44</v>
      </c>
      <c r="K3466" s="805">
        <v>3073.19</v>
      </c>
    </row>
    <row r="3467" spans="3:11">
      <c r="C3467" s="861">
        <v>41147</v>
      </c>
      <c r="D3467" s="805">
        <v>24.91</v>
      </c>
      <c r="E3467" s="805">
        <v>3.65</v>
      </c>
      <c r="F3467" s="806">
        <v>3.94</v>
      </c>
      <c r="G3467" s="805">
        <v>2.7389024349510702</v>
      </c>
      <c r="H3467" s="805">
        <v>36.049999999999997</v>
      </c>
      <c r="I3467" s="805">
        <v>6.3</v>
      </c>
      <c r="J3467" s="805">
        <v>1411.13</v>
      </c>
      <c r="K3467" s="805">
        <v>3069.79</v>
      </c>
    </row>
    <row r="3468" spans="3:11">
      <c r="C3468" s="861">
        <v>41146</v>
      </c>
      <c r="D3468" s="805">
        <v>24.91</v>
      </c>
      <c r="E3468" s="805">
        <v>3.65</v>
      </c>
      <c r="F3468" s="806">
        <v>3.94</v>
      </c>
      <c r="G3468" s="805">
        <v>2.7389024349510702</v>
      </c>
      <c r="H3468" s="805">
        <v>36.049999999999997</v>
      </c>
      <c r="I3468" s="805">
        <v>6.3</v>
      </c>
      <c r="J3468" s="805">
        <v>1411.13</v>
      </c>
      <c r="K3468" s="805">
        <v>3069.79</v>
      </c>
    </row>
    <row r="3469" spans="3:11">
      <c r="C3469" s="861">
        <v>41145</v>
      </c>
      <c r="D3469" s="805">
        <v>24.91</v>
      </c>
      <c r="E3469" s="805">
        <v>3.65</v>
      </c>
      <c r="F3469" s="806">
        <v>3.94</v>
      </c>
      <c r="G3469" s="805">
        <v>2.7389024349510702</v>
      </c>
      <c r="H3469" s="805">
        <v>36.049999999999997</v>
      </c>
      <c r="I3469" s="805">
        <v>6.3</v>
      </c>
      <c r="J3469" s="805">
        <v>1411.13</v>
      </c>
      <c r="K3469" s="805">
        <v>3069.79</v>
      </c>
    </row>
    <row r="3470" spans="3:11">
      <c r="C3470" s="861">
        <v>41144</v>
      </c>
      <c r="D3470" s="805">
        <v>25.04</v>
      </c>
      <c r="E3470" s="805">
        <v>3.5775000000000001</v>
      </c>
      <c r="F3470" s="806">
        <v>3.9</v>
      </c>
      <c r="G3470" s="805">
        <v>2.7604392669982301</v>
      </c>
      <c r="H3470" s="805">
        <v>36.020000000000003</v>
      </c>
      <c r="I3470" s="805">
        <v>6.27</v>
      </c>
      <c r="J3470" s="805">
        <v>1402.08</v>
      </c>
      <c r="K3470" s="805">
        <v>3053.4</v>
      </c>
    </row>
    <row r="3471" spans="3:11">
      <c r="C3471" s="861">
        <v>41143</v>
      </c>
      <c r="D3471" s="805">
        <v>25.73</v>
      </c>
      <c r="E3471" s="805">
        <v>3.66</v>
      </c>
      <c r="F3471" s="806">
        <v>4.01</v>
      </c>
      <c r="G3471" s="805">
        <v>2.7535505430242302</v>
      </c>
      <c r="H3471" s="805">
        <v>36.49</v>
      </c>
      <c r="I3471" s="805">
        <v>6.32</v>
      </c>
      <c r="J3471" s="805">
        <v>1413.49</v>
      </c>
      <c r="K3471" s="805">
        <v>3073.67</v>
      </c>
    </row>
    <row r="3472" spans="3:11">
      <c r="C3472" s="861">
        <v>41142</v>
      </c>
      <c r="D3472" s="805">
        <v>26.11</v>
      </c>
      <c r="E3472" s="805">
        <v>3.6524999999999999</v>
      </c>
      <c r="F3472" s="806">
        <v>4.07</v>
      </c>
      <c r="G3472" s="805">
        <v>2.79318409622452</v>
      </c>
      <c r="H3472" s="805">
        <v>36.380000000000003</v>
      </c>
      <c r="I3472" s="805">
        <v>6.46</v>
      </c>
      <c r="J3472" s="805">
        <v>1413.17</v>
      </c>
      <c r="K3472" s="805">
        <v>3067.26</v>
      </c>
    </row>
    <row r="3473" spans="3:11">
      <c r="C3473" s="861">
        <v>41141</v>
      </c>
      <c r="D3473" s="805">
        <v>26.23</v>
      </c>
      <c r="E3473" s="805">
        <v>3.6625000000000001</v>
      </c>
      <c r="F3473" s="806">
        <v>4.09</v>
      </c>
      <c r="G3473" s="805">
        <v>2.7495078247522402</v>
      </c>
      <c r="H3473" s="805">
        <v>35.96</v>
      </c>
      <c r="I3473" s="805">
        <v>6.49</v>
      </c>
      <c r="J3473" s="805">
        <v>1418.13</v>
      </c>
      <c r="K3473" s="805">
        <v>3076.21</v>
      </c>
    </row>
    <row r="3474" spans="3:11">
      <c r="C3474" s="861">
        <v>41140</v>
      </c>
      <c r="D3474" s="805">
        <v>26.33</v>
      </c>
      <c r="E3474" s="805">
        <v>3.6625000000000001</v>
      </c>
      <c r="F3474" s="806">
        <v>4.0999999999999996</v>
      </c>
      <c r="G3474" s="805">
        <v>2.7342447482494201</v>
      </c>
      <c r="H3474" s="805">
        <v>36.840000000000003</v>
      </c>
      <c r="I3474" s="805">
        <v>6.57</v>
      </c>
      <c r="J3474" s="805">
        <v>1418.16</v>
      </c>
      <c r="K3474" s="805">
        <v>3076.59</v>
      </c>
    </row>
    <row r="3475" spans="3:11">
      <c r="C3475" s="861">
        <v>41139</v>
      </c>
      <c r="D3475" s="805">
        <v>26.33</v>
      </c>
      <c r="E3475" s="805">
        <v>3.6625000000000001</v>
      </c>
      <c r="F3475" s="806">
        <v>4.0999999999999996</v>
      </c>
      <c r="G3475" s="805">
        <v>2.7342447482494201</v>
      </c>
      <c r="H3475" s="805">
        <v>36.840000000000003</v>
      </c>
      <c r="I3475" s="805">
        <v>6.57</v>
      </c>
      <c r="J3475" s="805">
        <v>1418.16</v>
      </c>
      <c r="K3475" s="805">
        <v>3076.59</v>
      </c>
    </row>
    <row r="3476" spans="3:11">
      <c r="C3476" s="861">
        <v>41138</v>
      </c>
      <c r="D3476" s="805">
        <v>26.33</v>
      </c>
      <c r="E3476" s="805">
        <v>3.6625000000000001</v>
      </c>
      <c r="F3476" s="806">
        <v>4.0999999999999996</v>
      </c>
      <c r="G3476" s="805">
        <v>2.7342447482494201</v>
      </c>
      <c r="H3476" s="805">
        <v>36.840000000000003</v>
      </c>
      <c r="I3476" s="805">
        <v>6.57</v>
      </c>
      <c r="J3476" s="805">
        <v>1418.16</v>
      </c>
      <c r="K3476" s="805">
        <v>3076.59</v>
      </c>
    </row>
    <row r="3477" spans="3:11">
      <c r="C3477" s="861">
        <v>41137</v>
      </c>
      <c r="D3477" s="805">
        <v>26.59</v>
      </c>
      <c r="E3477" s="805">
        <v>3.6949999999999998</v>
      </c>
      <c r="F3477" s="806">
        <v>4.17</v>
      </c>
      <c r="G3477" s="805">
        <v>2.7652690216484901</v>
      </c>
      <c r="H3477" s="805">
        <v>36.909999999999997</v>
      </c>
      <c r="I3477" s="805">
        <v>6.61</v>
      </c>
      <c r="J3477" s="805">
        <v>1415.51</v>
      </c>
      <c r="K3477" s="805">
        <v>3062.39</v>
      </c>
    </row>
    <row r="3478" spans="3:11">
      <c r="C3478" s="861">
        <v>41136</v>
      </c>
      <c r="D3478" s="805">
        <v>26.27</v>
      </c>
      <c r="E3478" s="805">
        <v>3.62</v>
      </c>
      <c r="F3478" s="806">
        <v>4.1900000000000004</v>
      </c>
      <c r="G3478" s="805">
        <v>2.7694361027694399</v>
      </c>
      <c r="H3478" s="805">
        <v>36.58</v>
      </c>
      <c r="I3478" s="805">
        <v>6.49</v>
      </c>
      <c r="J3478" s="805">
        <v>1405.53</v>
      </c>
      <c r="K3478" s="805">
        <v>3030.93</v>
      </c>
    </row>
    <row r="3479" spans="3:11">
      <c r="C3479" s="861">
        <v>41135</v>
      </c>
      <c r="D3479" s="805">
        <v>26.48</v>
      </c>
      <c r="E3479" s="805">
        <v>3.6475</v>
      </c>
      <c r="F3479" s="806">
        <v>4.12</v>
      </c>
      <c r="G3479" s="805">
        <v>2.7770360480640899</v>
      </c>
      <c r="H3479" s="805">
        <v>36.15</v>
      </c>
      <c r="I3479" s="805">
        <v>6.55</v>
      </c>
      <c r="J3479" s="805">
        <v>1403.93</v>
      </c>
      <c r="K3479" s="805">
        <v>3016.98</v>
      </c>
    </row>
    <row r="3480" spans="3:11">
      <c r="C3480" s="861">
        <v>41134</v>
      </c>
      <c r="D3480" s="805">
        <v>26.69</v>
      </c>
      <c r="E3480" s="805">
        <v>3.7025000000000001</v>
      </c>
      <c r="F3480" s="806">
        <v>4.26</v>
      </c>
      <c r="G3480" s="805">
        <v>2.7594260927594298</v>
      </c>
      <c r="H3480" s="805">
        <v>36.270000000000003</v>
      </c>
      <c r="I3480" s="805">
        <v>6.72</v>
      </c>
      <c r="J3480" s="805">
        <v>1404.11</v>
      </c>
      <c r="K3480" s="805">
        <v>3022.52</v>
      </c>
    </row>
    <row r="3481" spans="3:11">
      <c r="C3481" s="861">
        <v>41133</v>
      </c>
      <c r="D3481" s="805">
        <v>26.88</v>
      </c>
      <c r="E3481" s="805">
        <v>3.6575000000000002</v>
      </c>
      <c r="F3481" s="806">
        <v>4.34</v>
      </c>
      <c r="G3481" s="805">
        <v>2.7378964941569301</v>
      </c>
      <c r="H3481" s="805">
        <v>37.15</v>
      </c>
      <c r="I3481" s="805">
        <v>6.76</v>
      </c>
      <c r="J3481" s="805">
        <v>1405.87</v>
      </c>
      <c r="K3481" s="805">
        <v>3020.86</v>
      </c>
    </row>
    <row r="3482" spans="3:11">
      <c r="C3482" s="861">
        <v>41132</v>
      </c>
      <c r="D3482" s="805">
        <v>26.88</v>
      </c>
      <c r="E3482" s="805">
        <v>3.6575000000000002</v>
      </c>
      <c r="F3482" s="806">
        <v>4.34</v>
      </c>
      <c r="G3482" s="805">
        <v>2.7378964941569301</v>
      </c>
      <c r="H3482" s="805">
        <v>37.15</v>
      </c>
      <c r="I3482" s="805">
        <v>6.76</v>
      </c>
      <c r="J3482" s="805">
        <v>1405.87</v>
      </c>
      <c r="K3482" s="805">
        <v>3020.86</v>
      </c>
    </row>
    <row r="3483" spans="3:11">
      <c r="C3483" s="861">
        <v>41131</v>
      </c>
      <c r="D3483" s="805">
        <v>26.88</v>
      </c>
      <c r="E3483" s="805">
        <v>3.6575000000000002</v>
      </c>
      <c r="F3483" s="806">
        <v>4.34</v>
      </c>
      <c r="G3483" s="805">
        <v>2.7378964941569301</v>
      </c>
      <c r="H3483" s="805">
        <v>37.15</v>
      </c>
      <c r="I3483" s="805">
        <v>6.76</v>
      </c>
      <c r="J3483" s="805">
        <v>1405.87</v>
      </c>
      <c r="K3483" s="805">
        <v>3020.86</v>
      </c>
    </row>
    <row r="3484" spans="3:11">
      <c r="C3484" s="861">
        <v>41130</v>
      </c>
      <c r="D3484" s="805">
        <v>26.7</v>
      </c>
      <c r="E3484" s="805">
        <v>3.6775000000000002</v>
      </c>
      <c r="F3484" s="806">
        <v>4.37</v>
      </c>
      <c r="G3484" s="805">
        <v>2.7504845932758499</v>
      </c>
      <c r="H3484" s="805">
        <v>37.32</v>
      </c>
      <c r="I3484" s="805">
        <v>6.81</v>
      </c>
      <c r="J3484" s="805">
        <v>1402.8</v>
      </c>
      <c r="K3484" s="805">
        <v>3018.64</v>
      </c>
    </row>
    <row r="3485" spans="3:11">
      <c r="C3485" s="861">
        <v>41129</v>
      </c>
      <c r="D3485" s="805">
        <v>26.6</v>
      </c>
      <c r="E3485" s="805">
        <v>3.5575000000000001</v>
      </c>
      <c r="F3485" s="806">
        <v>4.4000000000000004</v>
      </c>
      <c r="G3485" s="805">
        <v>2.68691588785047</v>
      </c>
      <c r="H3485" s="805">
        <v>37.479999999999997</v>
      </c>
      <c r="I3485" s="805">
        <v>6.89</v>
      </c>
      <c r="J3485" s="805">
        <v>1402.22</v>
      </c>
      <c r="K3485" s="805">
        <v>3011.25</v>
      </c>
    </row>
    <row r="3486" spans="3:11">
      <c r="C3486" s="861">
        <v>41128</v>
      </c>
      <c r="D3486" s="805">
        <v>26.5</v>
      </c>
      <c r="E3486" s="805">
        <v>3.5375000000000001</v>
      </c>
      <c r="F3486" s="806">
        <v>4.0199999999999996</v>
      </c>
      <c r="G3486" s="805">
        <v>2.7216798181088699</v>
      </c>
      <c r="H3486" s="805">
        <v>37.4</v>
      </c>
      <c r="I3486" s="805">
        <v>6.82</v>
      </c>
      <c r="J3486" s="805">
        <v>1401.35</v>
      </c>
      <c r="K3486" s="805">
        <v>3015.86</v>
      </c>
    </row>
    <row r="3487" spans="3:11">
      <c r="C3487" s="861">
        <v>41127</v>
      </c>
      <c r="D3487" s="805">
        <v>26.31</v>
      </c>
      <c r="E3487" s="805">
        <v>3.5024999999999999</v>
      </c>
      <c r="F3487" s="806">
        <v>4.01</v>
      </c>
      <c r="G3487" s="805">
        <v>2.7029736050785198</v>
      </c>
      <c r="H3487" s="805">
        <v>37.07</v>
      </c>
      <c r="I3487" s="805">
        <v>6.57</v>
      </c>
      <c r="J3487" s="805">
        <v>1394.23</v>
      </c>
      <c r="K3487" s="805">
        <v>2989.91</v>
      </c>
    </row>
    <row r="3488" spans="3:11">
      <c r="C3488" s="861">
        <v>41126</v>
      </c>
      <c r="D3488" s="805">
        <v>26.23</v>
      </c>
      <c r="E3488" s="805">
        <v>3.43</v>
      </c>
      <c r="F3488" s="806">
        <v>4.09</v>
      </c>
      <c r="G3488" s="805">
        <v>2.6631069581178002</v>
      </c>
      <c r="H3488" s="805">
        <v>37.11</v>
      </c>
      <c r="I3488" s="805">
        <v>6.33</v>
      </c>
      <c r="J3488" s="805">
        <v>1390.99</v>
      </c>
      <c r="K3488" s="805">
        <v>2967.9</v>
      </c>
    </row>
    <row r="3489" spans="3:11">
      <c r="C3489" s="861">
        <v>41125</v>
      </c>
      <c r="D3489" s="805">
        <v>26.23</v>
      </c>
      <c r="E3489" s="805">
        <v>3.43</v>
      </c>
      <c r="F3489" s="806">
        <v>4.09</v>
      </c>
      <c r="G3489" s="805">
        <v>2.6631069581178002</v>
      </c>
      <c r="H3489" s="805">
        <v>37.11</v>
      </c>
      <c r="I3489" s="805">
        <v>6.33</v>
      </c>
      <c r="J3489" s="805">
        <v>1390.99</v>
      </c>
      <c r="K3489" s="805">
        <v>2967.9</v>
      </c>
    </row>
    <row r="3490" spans="3:11">
      <c r="C3490" s="861">
        <v>41124</v>
      </c>
      <c r="D3490" s="805">
        <v>26.23</v>
      </c>
      <c r="E3490" s="805">
        <v>3.43</v>
      </c>
      <c r="F3490" s="806">
        <v>4.09</v>
      </c>
      <c r="G3490" s="805">
        <v>2.6631069581178002</v>
      </c>
      <c r="H3490" s="805">
        <v>37.11</v>
      </c>
      <c r="I3490" s="805">
        <v>6.33</v>
      </c>
      <c r="J3490" s="805">
        <v>1390.99</v>
      </c>
      <c r="K3490" s="805">
        <v>2967.9</v>
      </c>
    </row>
    <row r="3491" spans="3:11">
      <c r="C3491" s="861">
        <v>41123</v>
      </c>
      <c r="D3491" s="805">
        <v>25.91</v>
      </c>
      <c r="E3491" s="805">
        <v>3.36</v>
      </c>
      <c r="F3491" s="806">
        <v>3.97</v>
      </c>
      <c r="G3491" s="805">
        <v>2.6685346409153099</v>
      </c>
      <c r="H3491" s="805">
        <v>36.54</v>
      </c>
      <c r="I3491" s="805">
        <v>6.16</v>
      </c>
      <c r="J3491" s="805">
        <v>1365</v>
      </c>
      <c r="K3491" s="805">
        <v>2909.77</v>
      </c>
    </row>
    <row r="3492" spans="3:11">
      <c r="C3492" s="861">
        <v>41122</v>
      </c>
      <c r="D3492" s="805">
        <v>25.93</v>
      </c>
      <c r="E3492" s="805">
        <v>3.3475000000000001</v>
      </c>
      <c r="F3492" s="806">
        <v>4.05</v>
      </c>
      <c r="G3492" s="805">
        <v>2.6685346409153099</v>
      </c>
      <c r="H3492" s="805">
        <v>36.69</v>
      </c>
      <c r="I3492" s="805">
        <v>6.27</v>
      </c>
      <c r="J3492" s="805">
        <v>1375.14</v>
      </c>
      <c r="K3492" s="805">
        <v>2920.21</v>
      </c>
    </row>
    <row r="3493" spans="3:11">
      <c r="C3493" s="861">
        <v>41121</v>
      </c>
      <c r="D3493" s="805">
        <v>25.7</v>
      </c>
      <c r="E3493" s="805">
        <v>3.3849999999999998</v>
      </c>
      <c r="F3493" s="806">
        <v>4.0599999999999996</v>
      </c>
      <c r="G3493" s="805">
        <v>2.7055011857443501</v>
      </c>
      <c r="H3493" s="805">
        <v>37</v>
      </c>
      <c r="I3493" s="805">
        <v>6.21</v>
      </c>
      <c r="J3493" s="805">
        <v>1379.32</v>
      </c>
      <c r="K3493" s="805">
        <v>2939.52</v>
      </c>
    </row>
    <row r="3494" spans="3:11">
      <c r="C3494" s="861">
        <v>41120</v>
      </c>
      <c r="D3494" s="805">
        <v>25.76</v>
      </c>
      <c r="E3494" s="805">
        <v>3.3325</v>
      </c>
      <c r="F3494" s="806">
        <v>4.0999999999999996</v>
      </c>
      <c r="G3494" s="805">
        <v>2.6332455584813799</v>
      </c>
      <c r="H3494" s="805">
        <v>35.97</v>
      </c>
      <c r="I3494" s="805">
        <v>6.11</v>
      </c>
      <c r="J3494" s="805">
        <v>1385.3</v>
      </c>
      <c r="K3494" s="805">
        <v>2945.84</v>
      </c>
    </row>
    <row r="3495" spans="3:11">
      <c r="C3495" s="861">
        <v>41119</v>
      </c>
      <c r="D3495" s="805">
        <v>26.02</v>
      </c>
      <c r="E3495" s="805">
        <v>3.37</v>
      </c>
      <c r="F3495" s="806">
        <v>4.09</v>
      </c>
      <c r="G3495" s="805">
        <v>2.6417482843627198</v>
      </c>
      <c r="H3495" s="805">
        <v>36.19</v>
      </c>
      <c r="I3495" s="805">
        <v>6.29</v>
      </c>
      <c r="J3495" s="805">
        <v>1385.97</v>
      </c>
      <c r="K3495" s="805">
        <v>2958.09</v>
      </c>
    </row>
    <row r="3496" spans="3:11">
      <c r="C3496" s="861">
        <v>41118</v>
      </c>
      <c r="D3496" s="805">
        <v>26.02</v>
      </c>
      <c r="E3496" s="805">
        <v>3.37</v>
      </c>
      <c r="F3496" s="806">
        <v>4.09</v>
      </c>
      <c r="G3496" s="805">
        <v>2.6417482843627198</v>
      </c>
      <c r="H3496" s="805">
        <v>36.19</v>
      </c>
      <c r="I3496" s="805">
        <v>6.29</v>
      </c>
      <c r="J3496" s="805">
        <v>1385.97</v>
      </c>
      <c r="K3496" s="805">
        <v>2958.09</v>
      </c>
    </row>
    <row r="3497" spans="3:11">
      <c r="C3497" s="861">
        <v>41117</v>
      </c>
      <c r="D3497" s="805">
        <v>26.02</v>
      </c>
      <c r="E3497" s="805">
        <v>3.37</v>
      </c>
      <c r="F3497" s="806">
        <v>4.09</v>
      </c>
      <c r="G3497" s="805">
        <v>2.6417482843627198</v>
      </c>
      <c r="H3497" s="805">
        <v>36.19</v>
      </c>
      <c r="I3497" s="805">
        <v>6.29</v>
      </c>
      <c r="J3497" s="805">
        <v>1385.97</v>
      </c>
      <c r="K3497" s="805">
        <v>2958.09</v>
      </c>
    </row>
    <row r="3498" spans="3:11">
      <c r="C3498" s="861">
        <v>41116</v>
      </c>
      <c r="D3498" s="805">
        <v>25.5</v>
      </c>
      <c r="E3498" s="805">
        <v>3.29</v>
      </c>
      <c r="F3498" s="806">
        <v>4.04</v>
      </c>
      <c r="G3498" s="805">
        <v>2.53488372093023</v>
      </c>
      <c r="H3498" s="805">
        <v>35.44</v>
      </c>
      <c r="I3498" s="805">
        <v>5.96</v>
      </c>
      <c r="J3498" s="805">
        <v>1360.02</v>
      </c>
      <c r="K3498" s="805">
        <v>2893.25</v>
      </c>
    </row>
    <row r="3499" spans="3:11">
      <c r="C3499" s="861">
        <v>41115</v>
      </c>
      <c r="D3499" s="805">
        <v>25.13</v>
      </c>
      <c r="E3499" s="805">
        <v>3.2725</v>
      </c>
      <c r="F3499" s="806">
        <v>4.01</v>
      </c>
      <c r="G3499" s="805">
        <v>2.4768418606195399</v>
      </c>
      <c r="H3499" s="805">
        <v>34.21</v>
      </c>
      <c r="I3499" s="805">
        <v>5.84</v>
      </c>
      <c r="J3499" s="805">
        <v>1337.89</v>
      </c>
      <c r="K3499" s="805">
        <v>2854.24</v>
      </c>
    </row>
    <row r="3500" spans="3:11">
      <c r="C3500" s="861">
        <v>41114</v>
      </c>
      <c r="D3500" s="805">
        <v>25.004999999999999</v>
      </c>
      <c r="E3500" s="805">
        <v>3.21</v>
      </c>
      <c r="F3500" s="806">
        <v>4.0599999999999996</v>
      </c>
      <c r="G3500" s="805">
        <v>2.4838120537937902</v>
      </c>
      <c r="H3500" s="805">
        <v>34.18</v>
      </c>
      <c r="I3500" s="805">
        <v>5.73</v>
      </c>
      <c r="J3500" s="805">
        <v>1338.31</v>
      </c>
      <c r="K3500" s="805">
        <v>2862.99</v>
      </c>
    </row>
    <row r="3501" spans="3:11">
      <c r="C3501" s="861">
        <v>41113</v>
      </c>
      <c r="D3501" s="805">
        <v>25.26</v>
      </c>
      <c r="E3501" s="805">
        <v>3.2450000000000001</v>
      </c>
      <c r="F3501" s="806">
        <v>4.1500000000000004</v>
      </c>
      <c r="G3501" s="805">
        <v>2.4688486459544801</v>
      </c>
      <c r="H3501" s="805">
        <v>34.49</v>
      </c>
      <c r="I3501" s="805">
        <v>5.62</v>
      </c>
      <c r="J3501" s="805">
        <v>1350.52</v>
      </c>
      <c r="K3501" s="805">
        <v>2890.15</v>
      </c>
    </row>
    <row r="3502" spans="3:11">
      <c r="C3502" s="861">
        <v>41112</v>
      </c>
      <c r="D3502" s="805">
        <v>25.52</v>
      </c>
      <c r="E3502" s="805">
        <v>3.2</v>
      </c>
      <c r="F3502" s="806">
        <v>4.22</v>
      </c>
      <c r="G3502" s="805">
        <v>2.5605074278083801</v>
      </c>
      <c r="H3502" s="805">
        <v>35.270000000000003</v>
      </c>
      <c r="I3502" s="805">
        <v>5.81</v>
      </c>
      <c r="J3502" s="805">
        <v>1362.66</v>
      </c>
      <c r="K3502" s="805">
        <v>2925.3</v>
      </c>
    </row>
    <row r="3503" spans="3:11">
      <c r="C3503" s="861">
        <v>41111</v>
      </c>
      <c r="D3503" s="805">
        <v>25.52</v>
      </c>
      <c r="E3503" s="805">
        <v>3.2</v>
      </c>
      <c r="F3503" s="806">
        <v>4.22</v>
      </c>
      <c r="G3503" s="805">
        <v>2.5605074278083801</v>
      </c>
      <c r="H3503" s="805">
        <v>35.270000000000003</v>
      </c>
      <c r="I3503" s="805">
        <v>5.81</v>
      </c>
      <c r="J3503" s="805">
        <v>1362.66</v>
      </c>
      <c r="K3503" s="805">
        <v>2925.3</v>
      </c>
    </row>
    <row r="3504" spans="3:11">
      <c r="C3504" s="861">
        <v>41110</v>
      </c>
      <c r="D3504" s="805">
        <v>25.52</v>
      </c>
      <c r="E3504" s="805">
        <v>3.2</v>
      </c>
      <c r="F3504" s="806">
        <v>4.22</v>
      </c>
      <c r="G3504" s="805">
        <v>2.5605074278083801</v>
      </c>
      <c r="H3504" s="805">
        <v>35.270000000000003</v>
      </c>
      <c r="I3504" s="805">
        <v>5.81</v>
      </c>
      <c r="J3504" s="805">
        <v>1362.66</v>
      </c>
      <c r="K3504" s="805">
        <v>2925.3</v>
      </c>
    </row>
    <row r="3505" spans="3:11">
      <c r="C3505" s="861">
        <v>41109</v>
      </c>
      <c r="D3505" s="805">
        <v>26.06</v>
      </c>
      <c r="E3505" s="805">
        <v>3.2974999999999999</v>
      </c>
      <c r="F3505" s="806">
        <v>4.8600000000000003</v>
      </c>
      <c r="G3505" s="805">
        <v>2.5863507425329599</v>
      </c>
      <c r="H3505" s="805">
        <v>36.04</v>
      </c>
      <c r="I3505" s="805">
        <v>5.77</v>
      </c>
      <c r="J3505" s="805">
        <v>1376.51</v>
      </c>
      <c r="K3505" s="805">
        <v>2965.9</v>
      </c>
    </row>
    <row r="3506" spans="3:11">
      <c r="C3506" s="861">
        <v>41108</v>
      </c>
      <c r="D3506" s="805">
        <v>26.21</v>
      </c>
      <c r="E3506" s="805">
        <v>3.2650000000000001</v>
      </c>
      <c r="F3506" s="806">
        <v>4.8899999999999997</v>
      </c>
      <c r="G3506" s="805">
        <v>2.4974958263773002</v>
      </c>
      <c r="H3506" s="805">
        <v>33.79</v>
      </c>
      <c r="I3506" s="805">
        <v>5.84</v>
      </c>
      <c r="J3506" s="805">
        <v>1372.78</v>
      </c>
      <c r="K3506" s="805">
        <v>2942.6</v>
      </c>
    </row>
    <row r="3507" spans="3:11">
      <c r="C3507" s="861">
        <v>41107</v>
      </c>
      <c r="D3507" s="805">
        <v>25.38</v>
      </c>
      <c r="E3507" s="805">
        <v>3.0924999999999998</v>
      </c>
      <c r="F3507" s="806">
        <v>4.87</v>
      </c>
      <c r="G3507" s="805">
        <v>2.4986638161411001</v>
      </c>
      <c r="H3507" s="805">
        <v>33.04</v>
      </c>
      <c r="I3507" s="805">
        <v>5.77</v>
      </c>
      <c r="J3507" s="805">
        <v>1363.67</v>
      </c>
      <c r="K3507" s="805">
        <v>2910.04</v>
      </c>
    </row>
    <row r="3508" spans="3:11">
      <c r="C3508" s="861">
        <v>41106</v>
      </c>
      <c r="D3508" s="805">
        <v>25.13</v>
      </c>
      <c r="E3508" s="805">
        <v>3.1524999999999999</v>
      </c>
      <c r="F3508" s="806">
        <v>4.83</v>
      </c>
      <c r="G3508" s="805">
        <v>2.5208681135225399</v>
      </c>
      <c r="H3508" s="805">
        <v>32.74</v>
      </c>
      <c r="I3508" s="805">
        <v>6</v>
      </c>
      <c r="J3508" s="805">
        <v>1353.64</v>
      </c>
      <c r="K3508" s="805">
        <v>2896.94</v>
      </c>
    </row>
    <row r="3509" spans="3:11">
      <c r="C3509" s="861">
        <v>41105</v>
      </c>
      <c r="D3509" s="805">
        <v>25.25</v>
      </c>
      <c r="E3509" s="805">
        <v>3.14</v>
      </c>
      <c r="F3509" s="806">
        <v>4.9000000000000004</v>
      </c>
      <c r="G3509" s="805">
        <v>2.5334224598930501</v>
      </c>
      <c r="H3509" s="805">
        <v>33.15</v>
      </c>
      <c r="I3509" s="805">
        <v>6.13</v>
      </c>
      <c r="J3509" s="805">
        <v>1356.78</v>
      </c>
      <c r="K3509" s="805">
        <v>2908.47</v>
      </c>
    </row>
    <row r="3510" spans="3:11">
      <c r="C3510" s="861">
        <v>41104</v>
      </c>
      <c r="D3510" s="805">
        <v>25.25</v>
      </c>
      <c r="E3510" s="805">
        <v>3.14</v>
      </c>
      <c r="F3510" s="806">
        <v>4.9000000000000004</v>
      </c>
      <c r="G3510" s="805">
        <v>2.5334224598930501</v>
      </c>
      <c r="H3510" s="805">
        <v>33.15</v>
      </c>
      <c r="I3510" s="805">
        <v>6.13</v>
      </c>
      <c r="J3510" s="805">
        <v>1356.78</v>
      </c>
      <c r="K3510" s="805">
        <v>2908.47</v>
      </c>
    </row>
    <row r="3511" spans="3:11">
      <c r="C3511" s="861">
        <v>41103</v>
      </c>
      <c r="D3511" s="805">
        <v>25.25</v>
      </c>
      <c r="E3511" s="805">
        <v>3.14</v>
      </c>
      <c r="F3511" s="806">
        <v>4.9000000000000004</v>
      </c>
      <c r="G3511" s="805">
        <v>2.5334224598930501</v>
      </c>
      <c r="H3511" s="805">
        <v>33.15</v>
      </c>
      <c r="I3511" s="805">
        <v>6.13</v>
      </c>
      <c r="J3511" s="805">
        <v>1356.78</v>
      </c>
      <c r="K3511" s="805">
        <v>2908.47</v>
      </c>
    </row>
    <row r="3512" spans="3:11">
      <c r="C3512" s="861">
        <v>41102</v>
      </c>
      <c r="D3512" s="805">
        <v>24.74</v>
      </c>
      <c r="E3512" s="805">
        <v>3.1</v>
      </c>
      <c r="F3512" s="806">
        <v>4.88</v>
      </c>
      <c r="G3512" s="805">
        <v>2.52249250249917</v>
      </c>
      <c r="H3512" s="805">
        <v>32.58</v>
      </c>
      <c r="I3512" s="805">
        <v>6.13</v>
      </c>
      <c r="J3512" s="805">
        <v>1334.76</v>
      </c>
      <c r="K3512" s="805">
        <v>2866.19</v>
      </c>
    </row>
    <row r="3513" spans="3:11">
      <c r="C3513" s="861">
        <v>41101</v>
      </c>
      <c r="D3513" s="805">
        <v>25.39</v>
      </c>
      <c r="E3513" s="805">
        <v>3.1524999999999999</v>
      </c>
      <c r="F3513" s="806">
        <v>4.8899999999999997</v>
      </c>
      <c r="G3513" s="805">
        <v>2.6089861366293601</v>
      </c>
      <c r="H3513" s="805">
        <v>33.1</v>
      </c>
      <c r="I3513" s="805">
        <v>6.21</v>
      </c>
      <c r="J3513" s="805">
        <v>1341.45</v>
      </c>
      <c r="K3513" s="805">
        <v>2887.98</v>
      </c>
    </row>
    <row r="3514" spans="3:11">
      <c r="C3514" s="861">
        <v>41100</v>
      </c>
      <c r="D3514" s="805">
        <v>25.56</v>
      </c>
      <c r="E3514" s="805">
        <v>3.2050000000000001</v>
      </c>
      <c r="F3514" s="806">
        <v>4.99</v>
      </c>
      <c r="G3514" s="805">
        <v>2.64362822098192</v>
      </c>
      <c r="H3514" s="805">
        <v>33.43</v>
      </c>
      <c r="I3514" s="805">
        <v>6.16</v>
      </c>
      <c r="J3514" s="805">
        <v>1341.47</v>
      </c>
      <c r="K3514" s="805">
        <v>2902.33</v>
      </c>
    </row>
    <row r="3515" spans="3:11">
      <c r="C3515" s="861">
        <v>41099</v>
      </c>
      <c r="D3515" s="805">
        <v>26.17</v>
      </c>
      <c r="E3515" s="805">
        <v>3.3050000000000002</v>
      </c>
      <c r="F3515" s="806">
        <v>5.62</v>
      </c>
      <c r="G3515" s="805">
        <v>2.6711185308848102</v>
      </c>
      <c r="H3515" s="805">
        <v>33.29</v>
      </c>
      <c r="I3515" s="805">
        <v>6.49</v>
      </c>
      <c r="J3515" s="805">
        <v>1352.46</v>
      </c>
      <c r="K3515" s="805">
        <v>2931.77</v>
      </c>
    </row>
    <row r="3516" spans="3:11">
      <c r="C3516" s="861">
        <v>41098</v>
      </c>
      <c r="D3516" s="805">
        <v>26.155000000000001</v>
      </c>
      <c r="E3516" s="805">
        <v>3.35</v>
      </c>
      <c r="F3516" s="806">
        <v>5.75</v>
      </c>
      <c r="G3516" s="805">
        <v>2.7047810096957501</v>
      </c>
      <c r="H3516" s="805">
        <v>34.46</v>
      </c>
      <c r="I3516" s="805">
        <v>6.71</v>
      </c>
      <c r="J3516" s="805">
        <v>1354.68</v>
      </c>
      <c r="K3516" s="805">
        <v>2937.33</v>
      </c>
    </row>
    <row r="3517" spans="3:11">
      <c r="C3517" s="861">
        <v>41097</v>
      </c>
      <c r="D3517" s="805">
        <v>26.155000000000001</v>
      </c>
      <c r="E3517" s="805">
        <v>3.35</v>
      </c>
      <c r="F3517" s="806">
        <v>5.75</v>
      </c>
      <c r="G3517" s="805">
        <v>2.7047810096957501</v>
      </c>
      <c r="H3517" s="805">
        <v>34.46</v>
      </c>
      <c r="I3517" s="805">
        <v>6.71</v>
      </c>
      <c r="J3517" s="805">
        <v>1354.68</v>
      </c>
      <c r="K3517" s="805">
        <v>2937.33</v>
      </c>
    </row>
    <row r="3518" spans="3:11">
      <c r="C3518" s="861">
        <v>41096</v>
      </c>
      <c r="D3518" s="805">
        <v>26.155000000000001</v>
      </c>
      <c r="E3518" s="805">
        <v>3.35</v>
      </c>
      <c r="F3518" s="806">
        <v>5.75</v>
      </c>
      <c r="G3518" s="805">
        <v>2.7047810096957501</v>
      </c>
      <c r="H3518" s="805">
        <v>34.46</v>
      </c>
      <c r="I3518" s="805">
        <v>6.71</v>
      </c>
      <c r="J3518" s="805">
        <v>1354.68</v>
      </c>
      <c r="K3518" s="805">
        <v>2937.33</v>
      </c>
    </row>
    <row r="3519" spans="3:11">
      <c r="C3519" s="861">
        <v>41095</v>
      </c>
      <c r="D3519" s="805">
        <v>26.55</v>
      </c>
      <c r="E3519" s="805">
        <v>3.415</v>
      </c>
      <c r="F3519" s="806">
        <v>5.88</v>
      </c>
      <c r="G3519" s="805">
        <v>2.71347693544605</v>
      </c>
      <c r="H3519" s="805">
        <v>35.58</v>
      </c>
      <c r="I3519" s="805">
        <v>6.81</v>
      </c>
      <c r="J3519" s="805">
        <v>1367.58</v>
      </c>
      <c r="K3519" s="805">
        <v>2976.12</v>
      </c>
    </row>
    <row r="3520" spans="3:11">
      <c r="C3520" s="861">
        <v>41094</v>
      </c>
      <c r="D3520" s="805">
        <v>26.86</v>
      </c>
      <c r="E3520" s="805">
        <v>3.4525000000000001</v>
      </c>
      <c r="F3520" s="806">
        <v>6.03</v>
      </c>
      <c r="G3520" s="805">
        <v>2.7241009125067102</v>
      </c>
      <c r="H3520" s="805">
        <v>35.74</v>
      </c>
      <c r="I3520" s="805">
        <v>6.89</v>
      </c>
      <c r="J3520" s="805">
        <v>1374.02</v>
      </c>
      <c r="K3520" s="805">
        <v>2976.08</v>
      </c>
    </row>
    <row r="3521" spans="3:11">
      <c r="C3521" s="861">
        <v>41093</v>
      </c>
      <c r="D3521" s="805">
        <v>26.86</v>
      </c>
      <c r="E3521" s="805">
        <v>3.4525000000000001</v>
      </c>
      <c r="F3521" s="806">
        <v>6.03</v>
      </c>
      <c r="G3521" s="805">
        <v>2.8248398027308999</v>
      </c>
      <c r="H3521" s="805">
        <v>35.74</v>
      </c>
      <c r="I3521" s="805">
        <v>6.89</v>
      </c>
      <c r="J3521" s="805">
        <v>1374.02</v>
      </c>
      <c r="K3521" s="805">
        <v>2976.08</v>
      </c>
    </row>
    <row r="3522" spans="3:11">
      <c r="C3522" s="861">
        <v>41092</v>
      </c>
      <c r="D3522" s="805">
        <v>26.664999999999999</v>
      </c>
      <c r="E3522" s="805">
        <v>3.3624999999999998</v>
      </c>
      <c r="F3522" s="806">
        <v>5.75</v>
      </c>
      <c r="G3522" s="805">
        <v>2.7874447865078298</v>
      </c>
      <c r="H3522" s="805">
        <v>35.49</v>
      </c>
      <c r="I3522" s="805">
        <v>6.55</v>
      </c>
      <c r="J3522" s="805">
        <v>1365.51</v>
      </c>
      <c r="K3522" s="805">
        <v>2951.23</v>
      </c>
    </row>
    <row r="3523" spans="3:11">
      <c r="C3523" s="861">
        <v>41091</v>
      </c>
      <c r="D3523" s="805">
        <v>26.65</v>
      </c>
      <c r="E3523" s="805">
        <v>3.4550000000000001</v>
      </c>
      <c r="F3523" s="806">
        <v>5.73</v>
      </c>
      <c r="G3523" s="805">
        <v>2.7301118237684299</v>
      </c>
      <c r="H3523" s="805">
        <v>35.9</v>
      </c>
      <c r="I3523" s="805">
        <v>6.31</v>
      </c>
      <c r="J3523" s="805">
        <v>1362.16</v>
      </c>
      <c r="K3523" s="805">
        <v>2935.05</v>
      </c>
    </row>
    <row r="3524" spans="3:11">
      <c r="C3524" s="861">
        <v>41090</v>
      </c>
      <c r="D3524" s="805">
        <v>26.65</v>
      </c>
      <c r="E3524" s="805">
        <v>3.4550000000000001</v>
      </c>
      <c r="F3524" s="806">
        <v>5.73</v>
      </c>
      <c r="G3524" s="805">
        <v>2.7301118237684299</v>
      </c>
      <c r="H3524" s="805">
        <v>35.9</v>
      </c>
      <c r="I3524" s="805">
        <v>6.31</v>
      </c>
      <c r="J3524" s="805">
        <v>1362.16</v>
      </c>
      <c r="K3524" s="805">
        <v>2935.05</v>
      </c>
    </row>
    <row r="3525" spans="3:11">
      <c r="C3525" s="861">
        <v>41089</v>
      </c>
      <c r="D3525" s="805">
        <v>26.65</v>
      </c>
      <c r="E3525" s="805">
        <v>3.4550000000000001</v>
      </c>
      <c r="F3525" s="806">
        <v>5.73</v>
      </c>
      <c r="G3525" s="805">
        <v>2.7301118237684299</v>
      </c>
      <c r="H3525" s="805">
        <v>35.9</v>
      </c>
      <c r="I3525" s="805">
        <v>6.31</v>
      </c>
      <c r="J3525" s="805">
        <v>1362.16</v>
      </c>
      <c r="K3525" s="805">
        <v>2935.05</v>
      </c>
    </row>
    <row r="3526" spans="3:11">
      <c r="C3526" s="861">
        <v>41088</v>
      </c>
      <c r="D3526" s="805">
        <v>25.83</v>
      </c>
      <c r="E3526" s="805">
        <v>3.31</v>
      </c>
      <c r="F3526" s="806">
        <v>5.41</v>
      </c>
      <c r="G3526" s="805">
        <v>2.67018681281957</v>
      </c>
      <c r="H3526" s="805">
        <v>34.31</v>
      </c>
      <c r="I3526" s="805">
        <v>5.97</v>
      </c>
      <c r="J3526" s="805">
        <v>1329.04</v>
      </c>
      <c r="K3526" s="805">
        <v>2849.49</v>
      </c>
    </row>
    <row r="3527" spans="3:11">
      <c r="C3527" s="861">
        <v>41087</v>
      </c>
      <c r="D3527" s="805">
        <v>26.22</v>
      </c>
      <c r="E3527" s="805">
        <v>3.2850000000000001</v>
      </c>
      <c r="F3527" s="806">
        <v>5.5</v>
      </c>
      <c r="G3527" s="805">
        <v>2.65394912985274</v>
      </c>
      <c r="H3527" s="805">
        <v>34.9</v>
      </c>
      <c r="I3527" s="805">
        <v>5.72</v>
      </c>
      <c r="J3527" s="805">
        <v>1331.85</v>
      </c>
      <c r="K3527" s="805">
        <v>2875.32</v>
      </c>
    </row>
    <row r="3528" spans="3:11">
      <c r="C3528" s="861">
        <v>41086</v>
      </c>
      <c r="D3528" s="805">
        <v>26.004999999999999</v>
      </c>
      <c r="E3528" s="805">
        <v>3.18</v>
      </c>
      <c r="F3528" s="806">
        <v>5.44</v>
      </c>
      <c r="G3528" s="805">
        <v>2.6273619549976601</v>
      </c>
      <c r="H3528" s="805">
        <v>34.39</v>
      </c>
      <c r="I3528" s="805">
        <v>5.63</v>
      </c>
      <c r="J3528" s="805">
        <v>1319.99</v>
      </c>
      <c r="K3528" s="805">
        <v>2854.06</v>
      </c>
    </row>
    <row r="3529" spans="3:11">
      <c r="C3529" s="861">
        <v>41085</v>
      </c>
      <c r="D3529" s="805">
        <v>26.05</v>
      </c>
      <c r="E3529" s="805">
        <v>3.1475</v>
      </c>
      <c r="F3529" s="806">
        <v>5.41</v>
      </c>
      <c r="G3529" s="805">
        <v>2.6565211587238</v>
      </c>
      <c r="H3529" s="805">
        <v>34.200000000000003</v>
      </c>
      <c r="I3529" s="805">
        <v>5.59</v>
      </c>
      <c r="J3529" s="805">
        <v>1313.72</v>
      </c>
      <c r="K3529" s="805">
        <v>2836.16</v>
      </c>
    </row>
    <row r="3530" spans="3:11">
      <c r="C3530" s="861">
        <v>41084</v>
      </c>
      <c r="D3530" s="805">
        <v>26.934999999999999</v>
      </c>
      <c r="E3530" s="805">
        <v>3.2475000000000001</v>
      </c>
      <c r="F3530" s="806">
        <v>5.73</v>
      </c>
      <c r="G3530" s="805">
        <v>2.6753507014028099</v>
      </c>
      <c r="H3530" s="805">
        <v>34.799999999999997</v>
      </c>
      <c r="I3530" s="805">
        <v>5.74</v>
      </c>
      <c r="J3530" s="805">
        <v>1335.02</v>
      </c>
      <c r="K3530" s="805">
        <v>2892.42</v>
      </c>
    </row>
    <row r="3531" spans="3:11">
      <c r="C3531" s="861">
        <v>41083</v>
      </c>
      <c r="D3531" s="805">
        <v>26.934999999999999</v>
      </c>
      <c r="E3531" s="805">
        <v>3.2475000000000001</v>
      </c>
      <c r="F3531" s="806">
        <v>5.73</v>
      </c>
      <c r="G3531" s="805">
        <v>2.6753507014028099</v>
      </c>
      <c r="H3531" s="805">
        <v>34.799999999999997</v>
      </c>
      <c r="I3531" s="805">
        <v>5.74</v>
      </c>
      <c r="J3531" s="805">
        <v>1335.02</v>
      </c>
      <c r="K3531" s="805">
        <v>2892.42</v>
      </c>
    </row>
    <row r="3532" spans="3:11">
      <c r="C3532" s="861">
        <v>41082</v>
      </c>
      <c r="D3532" s="805">
        <v>26.934999999999999</v>
      </c>
      <c r="E3532" s="805">
        <v>3.2475000000000001</v>
      </c>
      <c r="F3532" s="806">
        <v>5.73</v>
      </c>
      <c r="G3532" s="805">
        <v>2.6753507014028099</v>
      </c>
      <c r="H3532" s="805">
        <v>34.799999999999997</v>
      </c>
      <c r="I3532" s="805">
        <v>5.74</v>
      </c>
      <c r="J3532" s="805">
        <v>1335.02</v>
      </c>
      <c r="K3532" s="805">
        <v>2892.42</v>
      </c>
    </row>
    <row r="3533" spans="3:11">
      <c r="C3533" s="861">
        <v>41081</v>
      </c>
      <c r="D3533" s="805">
        <v>26.71</v>
      </c>
      <c r="E3533" s="805">
        <v>3.2087500000000002</v>
      </c>
      <c r="F3533" s="806">
        <v>5.72</v>
      </c>
      <c r="G3533" s="805">
        <v>2.6988113175958501</v>
      </c>
      <c r="H3533" s="805">
        <v>34.479999999999997</v>
      </c>
      <c r="I3533" s="805">
        <v>5.6449999999999996</v>
      </c>
      <c r="J3533" s="805">
        <v>1325.51</v>
      </c>
      <c r="K3533" s="805">
        <v>2859.09</v>
      </c>
    </row>
    <row r="3534" spans="3:11">
      <c r="C3534" s="861">
        <v>41080</v>
      </c>
      <c r="D3534" s="805">
        <v>27.64</v>
      </c>
      <c r="E3534" s="805">
        <v>3.3624999999999998</v>
      </c>
      <c r="F3534" s="806">
        <v>6.06</v>
      </c>
      <c r="G3534" s="805">
        <v>2.7338515143393201</v>
      </c>
      <c r="H3534" s="805">
        <v>35.270000000000003</v>
      </c>
      <c r="I3534" s="805">
        <v>6.12</v>
      </c>
      <c r="J3534" s="805">
        <v>1355.69</v>
      </c>
      <c r="K3534" s="805">
        <v>2930.45</v>
      </c>
    </row>
    <row r="3535" spans="3:11">
      <c r="C3535" s="861">
        <v>41079</v>
      </c>
      <c r="D3535" s="805">
        <v>27.51</v>
      </c>
      <c r="E3535" s="805">
        <v>3.3075000000000001</v>
      </c>
      <c r="F3535" s="806">
        <v>5.81</v>
      </c>
      <c r="G3535" s="805">
        <v>2.6977211796246601</v>
      </c>
      <c r="H3535" s="805">
        <v>34.700000000000003</v>
      </c>
      <c r="I3535" s="805">
        <v>6.1</v>
      </c>
      <c r="J3535" s="805">
        <v>1357.98</v>
      </c>
      <c r="K3535" s="805">
        <v>2929.76</v>
      </c>
    </row>
    <row r="3536" spans="3:11">
      <c r="C3536" s="861">
        <v>41078</v>
      </c>
      <c r="D3536" s="805">
        <v>27.42</v>
      </c>
      <c r="E3536" s="805">
        <v>3.1</v>
      </c>
      <c r="F3536" s="806">
        <v>5.93</v>
      </c>
      <c r="G3536" s="805">
        <v>2.7012570205937401</v>
      </c>
      <c r="H3536" s="805">
        <v>34.76</v>
      </c>
      <c r="I3536" s="805">
        <v>5.94</v>
      </c>
      <c r="J3536" s="805">
        <v>1344.78</v>
      </c>
      <c r="K3536" s="805">
        <v>2895.33</v>
      </c>
    </row>
    <row r="3537" spans="3:11">
      <c r="C3537" s="861">
        <v>41077</v>
      </c>
      <c r="D3537" s="805">
        <v>27.34</v>
      </c>
      <c r="E3537" s="805">
        <v>3.0724999999999998</v>
      </c>
      <c r="F3537" s="806">
        <v>5.87</v>
      </c>
      <c r="G3537" s="805">
        <v>2.6136135466166901</v>
      </c>
      <c r="H3537" s="805">
        <v>34.07</v>
      </c>
      <c r="I3537" s="805">
        <v>5.89</v>
      </c>
      <c r="J3537" s="805">
        <v>1342.84</v>
      </c>
      <c r="K3537" s="805">
        <v>2872.8</v>
      </c>
    </row>
    <row r="3538" spans="3:11">
      <c r="C3538" s="861">
        <v>41076</v>
      </c>
      <c r="D3538" s="805">
        <v>27.34</v>
      </c>
      <c r="E3538" s="805">
        <v>3.0724999999999998</v>
      </c>
      <c r="F3538" s="806">
        <v>5.87</v>
      </c>
      <c r="G3538" s="805">
        <v>2.6136135466166901</v>
      </c>
      <c r="H3538" s="805">
        <v>34.07</v>
      </c>
      <c r="I3538" s="805">
        <v>5.89</v>
      </c>
      <c r="J3538" s="805">
        <v>1342.84</v>
      </c>
      <c r="K3538" s="805">
        <v>2872.8</v>
      </c>
    </row>
    <row r="3539" spans="3:11">
      <c r="C3539" s="861">
        <v>41075</v>
      </c>
      <c r="D3539" s="805">
        <v>27.34</v>
      </c>
      <c r="E3539" s="805">
        <v>3.0724999999999998</v>
      </c>
      <c r="F3539" s="806">
        <v>5.87</v>
      </c>
      <c r="G3539" s="805">
        <v>2.6136135466166901</v>
      </c>
      <c r="H3539" s="805">
        <v>34.07</v>
      </c>
      <c r="I3539" s="805">
        <v>5.89</v>
      </c>
      <c r="J3539" s="805">
        <v>1342.84</v>
      </c>
      <c r="K3539" s="805">
        <v>2872.8</v>
      </c>
    </row>
    <row r="3540" spans="3:11">
      <c r="C3540" s="861">
        <v>41074</v>
      </c>
      <c r="D3540" s="805">
        <v>26.98</v>
      </c>
      <c r="E3540" s="805">
        <v>3.01</v>
      </c>
      <c r="F3540" s="806">
        <v>5.76</v>
      </c>
      <c r="G3540" s="805">
        <v>2.6466165413533802</v>
      </c>
      <c r="H3540" s="805">
        <v>33.31</v>
      </c>
      <c r="I3540" s="805">
        <v>5.76</v>
      </c>
      <c r="J3540" s="805">
        <v>1329.1</v>
      </c>
      <c r="K3540" s="805">
        <v>2836.33</v>
      </c>
    </row>
    <row r="3541" spans="3:11">
      <c r="C3541" s="861">
        <v>41073</v>
      </c>
      <c r="D3541" s="805">
        <v>26.54</v>
      </c>
      <c r="E3541" s="805">
        <v>3.0449999999999999</v>
      </c>
      <c r="F3541" s="806">
        <v>5.76</v>
      </c>
      <c r="G3541" s="805">
        <v>2.6725462684572698</v>
      </c>
      <c r="H3541" s="805">
        <v>34.04</v>
      </c>
      <c r="I3541" s="805">
        <v>5.85</v>
      </c>
      <c r="J3541" s="805">
        <v>1314.88</v>
      </c>
      <c r="K3541" s="805">
        <v>2818.61</v>
      </c>
    </row>
    <row r="3542" spans="3:11">
      <c r="C3542" s="861">
        <v>41072</v>
      </c>
      <c r="D3542" s="805">
        <v>26.52</v>
      </c>
      <c r="E3542" s="805">
        <v>3.1274999999999999</v>
      </c>
      <c r="F3542" s="806">
        <v>5.91</v>
      </c>
      <c r="G3542" s="805">
        <v>2.6536546238427898</v>
      </c>
      <c r="H3542" s="805">
        <v>33.92</v>
      </c>
      <c r="I3542" s="805">
        <v>5.92</v>
      </c>
      <c r="J3542" s="805">
        <v>1324.18</v>
      </c>
      <c r="K3542" s="805">
        <v>2843.07</v>
      </c>
    </row>
    <row r="3543" spans="3:11">
      <c r="C3543" s="861">
        <v>41071</v>
      </c>
      <c r="D3543" s="805">
        <v>25.984999999999999</v>
      </c>
      <c r="E3543" s="805">
        <v>3.07</v>
      </c>
      <c r="F3543" s="806">
        <v>5.69</v>
      </c>
      <c r="G3543" s="805">
        <v>2.6858192750960401</v>
      </c>
      <c r="H3543" s="805">
        <v>33.24</v>
      </c>
      <c r="I3543" s="805">
        <v>5.7</v>
      </c>
      <c r="J3543" s="805">
        <v>1308.93</v>
      </c>
      <c r="K3543" s="805">
        <v>2809.73</v>
      </c>
    </row>
    <row r="3544" spans="3:11">
      <c r="C3544" s="861">
        <v>41070</v>
      </c>
      <c r="D3544" s="805">
        <v>26.41</v>
      </c>
      <c r="E3544" s="805">
        <v>3.03</v>
      </c>
      <c r="F3544" s="806">
        <v>5.91</v>
      </c>
      <c r="G3544" s="805">
        <v>2.6004807050340499</v>
      </c>
      <c r="H3544" s="805">
        <v>33.840000000000003</v>
      </c>
      <c r="I3544" s="805">
        <v>5.88</v>
      </c>
      <c r="J3544" s="805">
        <v>1325.66</v>
      </c>
      <c r="K3544" s="805">
        <v>2858.42</v>
      </c>
    </row>
    <row r="3545" spans="3:11">
      <c r="C3545" s="861">
        <v>41069</v>
      </c>
      <c r="D3545" s="805">
        <v>26.41</v>
      </c>
      <c r="E3545" s="805">
        <v>3.03</v>
      </c>
      <c r="F3545" s="806">
        <v>5.91</v>
      </c>
      <c r="G3545" s="805">
        <v>2.6004807050340499</v>
      </c>
      <c r="H3545" s="805">
        <v>33.840000000000003</v>
      </c>
      <c r="I3545" s="805">
        <v>5.88</v>
      </c>
      <c r="J3545" s="805">
        <v>1325.66</v>
      </c>
      <c r="K3545" s="805">
        <v>2858.42</v>
      </c>
    </row>
    <row r="3546" spans="3:11">
      <c r="C3546" s="861">
        <v>41068</v>
      </c>
      <c r="D3546" s="805">
        <v>26.41</v>
      </c>
      <c r="E3546" s="805">
        <v>3.03</v>
      </c>
      <c r="F3546" s="806">
        <v>5.91</v>
      </c>
      <c r="G3546" s="805">
        <v>2.6004807050340499</v>
      </c>
      <c r="H3546" s="805">
        <v>33.840000000000003</v>
      </c>
      <c r="I3546" s="805">
        <v>5.88</v>
      </c>
      <c r="J3546" s="805">
        <v>1325.66</v>
      </c>
      <c r="K3546" s="805">
        <v>2858.42</v>
      </c>
    </row>
    <row r="3547" spans="3:11">
      <c r="C3547" s="861">
        <v>41067</v>
      </c>
      <c r="D3547" s="805">
        <v>25.94</v>
      </c>
      <c r="E3547" s="805">
        <v>2.9725000000000001</v>
      </c>
      <c r="F3547" s="806">
        <v>5.76</v>
      </c>
      <c r="G3547" s="805">
        <v>2.6777624911915701</v>
      </c>
      <c r="H3547" s="805">
        <v>32.950000000000003</v>
      </c>
      <c r="I3547" s="805">
        <v>5.67</v>
      </c>
      <c r="J3547" s="805">
        <v>1314.99</v>
      </c>
      <c r="K3547" s="805">
        <v>2831.02</v>
      </c>
    </row>
    <row r="3548" spans="3:11">
      <c r="C3548" s="861">
        <v>41066</v>
      </c>
      <c r="D3548" s="805">
        <v>26.07</v>
      </c>
      <c r="E3548" s="805">
        <v>3.0975000000000001</v>
      </c>
      <c r="F3548" s="806">
        <v>6.02</v>
      </c>
      <c r="G3548" s="805">
        <v>2.6098624622609901</v>
      </c>
      <c r="H3548" s="805">
        <v>32.99</v>
      </c>
      <c r="I3548" s="805">
        <v>5.76</v>
      </c>
      <c r="J3548" s="805">
        <v>1315.13</v>
      </c>
      <c r="K3548" s="805">
        <v>2844.72</v>
      </c>
    </row>
    <row r="3549" spans="3:11">
      <c r="C3549" s="861">
        <v>41065</v>
      </c>
      <c r="D3549" s="805">
        <v>25.43</v>
      </c>
      <c r="E3549" s="805">
        <v>3.0150000000000001</v>
      </c>
      <c r="F3549" s="806">
        <v>5.82</v>
      </c>
      <c r="G3549" s="805">
        <v>2.61319966583125</v>
      </c>
      <c r="H3549" s="805">
        <v>31.41</v>
      </c>
      <c r="I3549" s="805">
        <v>5.6</v>
      </c>
      <c r="J3549" s="805">
        <v>1285.5</v>
      </c>
      <c r="K3549" s="805">
        <v>2778.11</v>
      </c>
    </row>
    <row r="3550" spans="3:11">
      <c r="C3550" s="861">
        <v>41064</v>
      </c>
      <c r="D3550" s="805">
        <v>25.04</v>
      </c>
      <c r="E3550" s="805">
        <v>2.9325000000000001</v>
      </c>
      <c r="F3550" s="806">
        <v>5.63</v>
      </c>
      <c r="G3550" s="805">
        <v>2.5483011325782798</v>
      </c>
      <c r="H3550" s="805">
        <v>30.53</v>
      </c>
      <c r="I3550" s="805">
        <v>5.39</v>
      </c>
      <c r="J3550" s="805">
        <v>1278.18</v>
      </c>
      <c r="K3550" s="805">
        <v>2760.01</v>
      </c>
    </row>
    <row r="3551" spans="3:11">
      <c r="C3551" s="861">
        <v>41063</v>
      </c>
      <c r="D3551" s="805">
        <v>25.14</v>
      </c>
      <c r="E3551" s="805">
        <v>2.9950000000000001</v>
      </c>
      <c r="F3551" s="806">
        <v>5.73</v>
      </c>
      <c r="G3551" s="805">
        <v>2.6668891855807701</v>
      </c>
      <c r="H3551" s="805">
        <v>30.98</v>
      </c>
      <c r="I3551" s="805">
        <v>5.45</v>
      </c>
      <c r="J3551" s="805">
        <v>1278.04</v>
      </c>
      <c r="K3551" s="805">
        <v>2747.48</v>
      </c>
    </row>
    <row r="3552" spans="3:11">
      <c r="C3552" s="861">
        <v>41062</v>
      </c>
      <c r="D3552" s="805">
        <v>25.14</v>
      </c>
      <c r="E3552" s="805">
        <v>2.9950000000000001</v>
      </c>
      <c r="F3552" s="806">
        <v>5.73</v>
      </c>
      <c r="G3552" s="805">
        <v>2.6668891855807701</v>
      </c>
      <c r="H3552" s="805">
        <v>30.98</v>
      </c>
      <c r="I3552" s="805">
        <v>5.45</v>
      </c>
      <c r="J3552" s="805">
        <v>1278.04</v>
      </c>
      <c r="K3552" s="805">
        <v>2747.48</v>
      </c>
    </row>
    <row r="3553" spans="3:11">
      <c r="C3553" s="861">
        <v>41061</v>
      </c>
      <c r="D3553" s="805">
        <v>25.14</v>
      </c>
      <c r="E3553" s="805">
        <v>2.9950000000000001</v>
      </c>
      <c r="F3553" s="806">
        <v>5.73</v>
      </c>
      <c r="G3553" s="805">
        <v>2.6668891855807701</v>
      </c>
      <c r="H3553" s="805">
        <v>30.98</v>
      </c>
      <c r="I3553" s="805">
        <v>5.45</v>
      </c>
      <c r="J3553" s="805">
        <v>1278.04</v>
      </c>
      <c r="K3553" s="805">
        <v>2747.48</v>
      </c>
    </row>
    <row r="3554" spans="3:11">
      <c r="C3554" s="861">
        <v>41060</v>
      </c>
      <c r="D3554" s="805">
        <v>25.84</v>
      </c>
      <c r="E3554" s="805">
        <v>3.1074999999999999</v>
      </c>
      <c r="F3554" s="806">
        <v>6.08</v>
      </c>
      <c r="G3554" s="805">
        <v>2.8513033572338</v>
      </c>
      <c r="H3554" s="805">
        <v>33.1</v>
      </c>
      <c r="I3554" s="805">
        <v>5.84</v>
      </c>
      <c r="J3554" s="805">
        <v>1310.33</v>
      </c>
      <c r="K3554" s="805">
        <v>2827.34</v>
      </c>
    </row>
    <row r="3555" spans="3:11">
      <c r="C3555" s="861">
        <v>41059</v>
      </c>
      <c r="D3555" s="805">
        <v>26.13</v>
      </c>
      <c r="E3555" s="805">
        <v>3.1425000000000001</v>
      </c>
      <c r="F3555" s="806">
        <v>6.15</v>
      </c>
      <c r="G3555" s="805">
        <v>2.7429914386436098</v>
      </c>
      <c r="H3555" s="805">
        <v>33.06</v>
      </c>
      <c r="I3555" s="805">
        <v>5.99</v>
      </c>
      <c r="J3555" s="805">
        <v>1313.32</v>
      </c>
      <c r="K3555" s="805">
        <v>2837.36</v>
      </c>
    </row>
    <row r="3556" spans="3:11">
      <c r="C3556" s="861">
        <v>41058</v>
      </c>
      <c r="D3556" s="805">
        <v>26.09</v>
      </c>
      <c r="E3556" s="805">
        <v>3.18</v>
      </c>
      <c r="F3556" s="806">
        <v>6.46</v>
      </c>
      <c r="G3556" s="805">
        <v>2.77946639648767</v>
      </c>
      <c r="H3556" s="805">
        <v>34.450000000000003</v>
      </c>
      <c r="I3556" s="805">
        <v>6.12</v>
      </c>
      <c r="J3556" s="805">
        <v>1332.42</v>
      </c>
      <c r="K3556" s="805">
        <v>2870.99</v>
      </c>
    </row>
    <row r="3557" spans="3:11">
      <c r="C3557" s="861">
        <v>41057</v>
      </c>
      <c r="D3557" s="805">
        <v>25.74</v>
      </c>
      <c r="E3557" s="805">
        <v>3.1</v>
      </c>
      <c r="F3557" s="806">
        <v>6.22</v>
      </c>
      <c r="G3557" s="805">
        <v>2.7560118886787399</v>
      </c>
      <c r="H3557" s="805">
        <v>33.15</v>
      </c>
      <c r="I3557" s="805">
        <v>5.96</v>
      </c>
      <c r="J3557" s="805">
        <v>1317.82</v>
      </c>
      <c r="K3557" s="805">
        <v>2837.53</v>
      </c>
    </row>
    <row r="3558" spans="3:11">
      <c r="C3558" s="861">
        <v>41056</v>
      </c>
      <c r="D3558" s="805">
        <v>25.74</v>
      </c>
      <c r="E3558" s="805">
        <v>3.1</v>
      </c>
      <c r="F3558" s="806">
        <v>6.22</v>
      </c>
      <c r="G3558" s="805">
        <v>2.7027027027027</v>
      </c>
      <c r="H3558" s="805">
        <v>33.15</v>
      </c>
      <c r="I3558" s="805">
        <v>5.96</v>
      </c>
      <c r="J3558" s="805">
        <v>1317.82</v>
      </c>
      <c r="K3558" s="805">
        <v>2837.53</v>
      </c>
    </row>
    <row r="3559" spans="3:11">
      <c r="C3559" s="861">
        <v>41055</v>
      </c>
      <c r="D3559" s="805">
        <v>25.74</v>
      </c>
      <c r="E3559" s="805">
        <v>3.1</v>
      </c>
      <c r="F3559" s="806">
        <v>6.22</v>
      </c>
      <c r="G3559" s="805">
        <v>2.7027027027027</v>
      </c>
      <c r="H3559" s="805">
        <v>33.15</v>
      </c>
      <c r="I3559" s="805">
        <v>5.96</v>
      </c>
      <c r="J3559" s="805">
        <v>1317.82</v>
      </c>
      <c r="K3559" s="805">
        <v>2837.53</v>
      </c>
    </row>
    <row r="3560" spans="3:11">
      <c r="C3560" s="861">
        <v>41054</v>
      </c>
      <c r="D3560" s="805">
        <v>25.74</v>
      </c>
      <c r="E3560" s="805">
        <v>3.1</v>
      </c>
      <c r="F3560" s="806">
        <v>6.22</v>
      </c>
      <c r="G3560" s="805">
        <v>2.7027027027027</v>
      </c>
      <c r="H3560" s="805">
        <v>33.15</v>
      </c>
      <c r="I3560" s="805">
        <v>5.96</v>
      </c>
      <c r="J3560" s="805">
        <v>1317.82</v>
      </c>
      <c r="K3560" s="805">
        <v>2837.53</v>
      </c>
    </row>
    <row r="3561" spans="3:11">
      <c r="C3561" s="861">
        <v>41053</v>
      </c>
      <c r="D3561" s="805">
        <v>25.65</v>
      </c>
      <c r="E3561" s="805">
        <v>3.0274999999999999</v>
      </c>
      <c r="F3561" s="806">
        <v>6.02</v>
      </c>
      <c r="G3561" s="805">
        <v>2.7225130890052398</v>
      </c>
      <c r="H3561" s="805">
        <v>32.51</v>
      </c>
      <c r="I3561" s="805">
        <v>5.74</v>
      </c>
      <c r="J3561" s="805">
        <v>1320.68</v>
      </c>
      <c r="K3561" s="805">
        <v>2839.38</v>
      </c>
    </row>
    <row r="3562" spans="3:11">
      <c r="C3562" s="861">
        <v>41052</v>
      </c>
      <c r="D3562" s="805">
        <v>25.44</v>
      </c>
      <c r="E3562" s="805">
        <v>3.11</v>
      </c>
      <c r="F3562" s="806">
        <v>6.08</v>
      </c>
      <c r="G3562" s="805">
        <v>2.6768189509306302</v>
      </c>
      <c r="H3562" s="805">
        <v>33.520000000000003</v>
      </c>
      <c r="I3562" s="805">
        <v>5.75</v>
      </c>
      <c r="J3562" s="805">
        <v>1318.86</v>
      </c>
      <c r="K3562" s="805">
        <v>2850.12</v>
      </c>
    </row>
    <row r="3563" spans="3:11">
      <c r="C3563" s="861">
        <v>41051</v>
      </c>
      <c r="D3563" s="805">
        <v>26.03</v>
      </c>
      <c r="E3563" s="805">
        <v>3.0350000000000001</v>
      </c>
      <c r="F3563" s="806">
        <v>6.16</v>
      </c>
      <c r="G3563" s="805">
        <v>2.7833271255883201</v>
      </c>
      <c r="H3563" s="805">
        <v>31.27</v>
      </c>
      <c r="I3563" s="805">
        <v>5.71</v>
      </c>
      <c r="J3563" s="805">
        <v>1316.63</v>
      </c>
      <c r="K3563" s="805">
        <v>2839.08</v>
      </c>
    </row>
    <row r="3564" spans="3:11">
      <c r="C3564" s="861">
        <v>41050</v>
      </c>
      <c r="D3564" s="805">
        <v>26.15</v>
      </c>
      <c r="E3564" s="805">
        <v>3.0724999999999998</v>
      </c>
      <c r="F3564" s="806">
        <v>6.3</v>
      </c>
      <c r="G3564" s="805">
        <v>2.80135823429542</v>
      </c>
      <c r="H3564" s="805">
        <v>30.91</v>
      </c>
      <c r="I3564" s="805">
        <v>5.78</v>
      </c>
      <c r="J3564" s="805">
        <v>1315.99</v>
      </c>
      <c r="K3564" s="805">
        <v>2847.21</v>
      </c>
    </row>
    <row r="3565" spans="3:11">
      <c r="C3565" s="861">
        <v>41049</v>
      </c>
      <c r="D3565" s="805">
        <v>26.07</v>
      </c>
      <c r="E3565" s="805">
        <v>3.02</v>
      </c>
      <c r="F3565" s="806">
        <v>6.01</v>
      </c>
      <c r="G3565" s="805">
        <v>2.7689391374991499</v>
      </c>
      <c r="H3565" s="805">
        <v>30.02</v>
      </c>
      <c r="I3565" s="805">
        <v>5.62</v>
      </c>
      <c r="J3565" s="805">
        <v>1295.22</v>
      </c>
      <c r="K3565" s="805">
        <v>2778.79</v>
      </c>
    </row>
    <row r="3566" spans="3:11">
      <c r="C3566" s="861">
        <v>41048</v>
      </c>
      <c r="D3566" s="805">
        <v>26.07</v>
      </c>
      <c r="E3566" s="805">
        <v>3.02</v>
      </c>
      <c r="F3566" s="806">
        <v>6.01</v>
      </c>
      <c r="G3566" s="805">
        <v>2.7689391374991499</v>
      </c>
      <c r="H3566" s="805">
        <v>30.02</v>
      </c>
      <c r="I3566" s="805">
        <v>5.62</v>
      </c>
      <c r="J3566" s="805">
        <v>1295.22</v>
      </c>
      <c r="K3566" s="805">
        <v>2778.79</v>
      </c>
    </row>
    <row r="3567" spans="3:11">
      <c r="C3567" s="861">
        <v>41047</v>
      </c>
      <c r="D3567" s="805">
        <v>26.07</v>
      </c>
      <c r="E3567" s="805">
        <v>3.02</v>
      </c>
      <c r="F3567" s="806">
        <v>6.01</v>
      </c>
      <c r="G3567" s="805">
        <v>2.7689391374991499</v>
      </c>
      <c r="H3567" s="805">
        <v>30.02</v>
      </c>
      <c r="I3567" s="805">
        <v>5.62</v>
      </c>
      <c r="J3567" s="805">
        <v>1295.22</v>
      </c>
      <c r="K3567" s="805">
        <v>2778.79</v>
      </c>
    </row>
    <row r="3568" spans="3:11">
      <c r="C3568" s="861">
        <v>41046</v>
      </c>
      <c r="D3568" s="805">
        <v>26.19</v>
      </c>
      <c r="E3568" s="805">
        <v>3.1625000000000001</v>
      </c>
      <c r="F3568" s="806">
        <v>6.13</v>
      </c>
      <c r="G3568" s="805">
        <v>2.8784035176729201</v>
      </c>
      <c r="H3568" s="805">
        <v>30.07</v>
      </c>
      <c r="I3568" s="805">
        <v>5.95</v>
      </c>
      <c r="J3568" s="805">
        <v>1304.8599999999999</v>
      </c>
      <c r="K3568" s="805">
        <v>2813.69</v>
      </c>
    </row>
    <row r="3569" spans="3:11">
      <c r="C3569" s="861">
        <v>41045</v>
      </c>
      <c r="D3569" s="805">
        <v>26.495000000000001</v>
      </c>
      <c r="E3569" s="805">
        <v>3.1850000000000001</v>
      </c>
      <c r="F3569" s="806">
        <v>6.39</v>
      </c>
      <c r="G3569" s="805">
        <v>2.8168062685760602</v>
      </c>
      <c r="H3569" s="805">
        <v>30.77</v>
      </c>
      <c r="I3569" s="805">
        <v>6.15</v>
      </c>
      <c r="J3569" s="805">
        <v>1324.8</v>
      </c>
      <c r="K3569" s="805">
        <v>2874.04</v>
      </c>
    </row>
    <row r="3570" spans="3:11">
      <c r="C3570" s="861">
        <v>41044</v>
      </c>
      <c r="D3570" s="805">
        <v>26.88</v>
      </c>
      <c r="E3570" s="805">
        <v>3.25</v>
      </c>
      <c r="F3570" s="806">
        <v>6.6</v>
      </c>
      <c r="G3570" s="805">
        <v>2.8931072987514002</v>
      </c>
      <c r="H3570" s="805">
        <v>31.05</v>
      </c>
      <c r="I3570" s="805">
        <v>6.02</v>
      </c>
      <c r="J3570" s="805">
        <v>1330.66</v>
      </c>
      <c r="K3570" s="805">
        <v>2893.76</v>
      </c>
    </row>
    <row r="3571" spans="3:11">
      <c r="C3571" s="861">
        <v>41043</v>
      </c>
      <c r="D3571" s="805">
        <v>27.015000000000001</v>
      </c>
      <c r="E3571" s="805">
        <v>3.2825000000000002</v>
      </c>
      <c r="F3571" s="806">
        <v>6.75</v>
      </c>
      <c r="G3571" s="805">
        <v>2.88982133188955</v>
      </c>
      <c r="H3571" s="805">
        <v>31.13</v>
      </c>
      <c r="I3571" s="805">
        <v>6.21</v>
      </c>
      <c r="J3571" s="805">
        <v>1338.35</v>
      </c>
      <c r="K3571" s="805">
        <v>2902.58</v>
      </c>
    </row>
    <row r="3572" spans="3:11">
      <c r="C3572" s="861">
        <v>41042</v>
      </c>
      <c r="D3572" s="805">
        <v>27.63</v>
      </c>
      <c r="E3572" s="805">
        <v>3.3025000000000002</v>
      </c>
      <c r="F3572" s="806">
        <v>6.78</v>
      </c>
      <c r="G3572" s="805">
        <v>2.9106382978723402</v>
      </c>
      <c r="H3572" s="805">
        <v>30.94</v>
      </c>
      <c r="I3572" s="805">
        <v>6.36</v>
      </c>
      <c r="J3572" s="805">
        <v>1353.39</v>
      </c>
      <c r="K3572" s="805">
        <v>2933.82</v>
      </c>
    </row>
    <row r="3573" spans="3:11">
      <c r="C3573" s="861">
        <v>41041</v>
      </c>
      <c r="D3573" s="805">
        <v>27.63</v>
      </c>
      <c r="E3573" s="805">
        <v>3.3025000000000002</v>
      </c>
      <c r="F3573" s="806">
        <v>6.78</v>
      </c>
      <c r="G3573" s="805">
        <v>2.9106382978723402</v>
      </c>
      <c r="H3573" s="805">
        <v>30.94</v>
      </c>
      <c r="I3573" s="805">
        <v>6.36</v>
      </c>
      <c r="J3573" s="805">
        <v>1353.39</v>
      </c>
      <c r="K3573" s="805">
        <v>2933.82</v>
      </c>
    </row>
    <row r="3574" spans="3:11">
      <c r="C3574" s="861">
        <v>41040</v>
      </c>
      <c r="D3574" s="805">
        <v>27.63</v>
      </c>
      <c r="E3574" s="805">
        <v>3.3025000000000002</v>
      </c>
      <c r="F3574" s="806">
        <v>6.78</v>
      </c>
      <c r="G3574" s="805">
        <v>2.9106382978723402</v>
      </c>
      <c r="H3574" s="805">
        <v>30.94</v>
      </c>
      <c r="I3574" s="805">
        <v>6.36</v>
      </c>
      <c r="J3574" s="805">
        <v>1353.39</v>
      </c>
      <c r="K3574" s="805">
        <v>2933.82</v>
      </c>
    </row>
    <row r="3575" spans="3:11">
      <c r="C3575" s="861">
        <v>41039</v>
      </c>
      <c r="D3575" s="805">
        <v>27.24</v>
      </c>
      <c r="E3575" s="805">
        <v>3.105</v>
      </c>
      <c r="F3575" s="806">
        <v>6.78</v>
      </c>
      <c r="G3575" s="805">
        <v>2.90977315367559</v>
      </c>
      <c r="H3575" s="805">
        <v>30.88</v>
      </c>
      <c r="I3575" s="805">
        <v>6.29</v>
      </c>
      <c r="J3575" s="805">
        <v>1357.99</v>
      </c>
      <c r="K3575" s="805">
        <v>2933.64</v>
      </c>
    </row>
    <row r="3576" spans="3:11">
      <c r="C3576" s="861">
        <v>41038</v>
      </c>
      <c r="D3576" s="805">
        <v>27.19</v>
      </c>
      <c r="E3576" s="805">
        <v>3.1274999999999999</v>
      </c>
      <c r="F3576" s="806">
        <v>6.86</v>
      </c>
      <c r="G3576" s="805">
        <v>2.8839270495994498</v>
      </c>
      <c r="H3576" s="805">
        <v>31.07</v>
      </c>
      <c r="I3576" s="805">
        <v>6.36</v>
      </c>
      <c r="J3576" s="805">
        <v>1354.58</v>
      </c>
      <c r="K3576" s="805">
        <v>2934.71</v>
      </c>
    </row>
    <row r="3577" spans="3:11">
      <c r="C3577" s="861">
        <v>41037</v>
      </c>
      <c r="D3577" s="805">
        <v>27.37</v>
      </c>
      <c r="E3577" s="805">
        <v>3.1150000000000002</v>
      </c>
      <c r="F3577" s="806">
        <v>7.03</v>
      </c>
      <c r="G3577" s="805">
        <v>2.87907214736483</v>
      </c>
      <c r="H3577" s="805">
        <v>31.55</v>
      </c>
      <c r="I3577" s="805">
        <v>6.24</v>
      </c>
      <c r="J3577" s="805">
        <v>1363.72</v>
      </c>
      <c r="K3577" s="805">
        <v>2946.27</v>
      </c>
    </row>
    <row r="3578" spans="3:11">
      <c r="C3578" s="861">
        <v>41036</v>
      </c>
      <c r="D3578" s="805">
        <v>27.76</v>
      </c>
      <c r="E3578" s="805">
        <v>3.1175000000000002</v>
      </c>
      <c r="F3578" s="806">
        <v>7.18</v>
      </c>
      <c r="G3578" s="805">
        <v>2.9234972677595601</v>
      </c>
      <c r="H3578" s="805">
        <v>31.28</v>
      </c>
      <c r="I3578" s="805">
        <v>6.5</v>
      </c>
      <c r="J3578" s="805">
        <v>1369.58</v>
      </c>
      <c r="K3578" s="805">
        <v>2957.76</v>
      </c>
    </row>
    <row r="3579" spans="3:11">
      <c r="C3579" s="861">
        <v>41035</v>
      </c>
      <c r="D3579" s="805">
        <v>27.9</v>
      </c>
      <c r="E3579" s="805">
        <v>3.0649999999999999</v>
      </c>
      <c r="F3579" s="806">
        <v>7.18</v>
      </c>
      <c r="G3579" s="805">
        <v>2.9974337040205299</v>
      </c>
      <c r="H3579" s="805">
        <v>31.63</v>
      </c>
      <c r="I3579" s="805">
        <v>6.55</v>
      </c>
      <c r="J3579" s="805">
        <v>1369.1</v>
      </c>
      <c r="K3579" s="805">
        <v>2956.34</v>
      </c>
    </row>
    <row r="3580" spans="3:11">
      <c r="C3580" s="861">
        <v>41034</v>
      </c>
      <c r="D3580" s="805">
        <v>27.9</v>
      </c>
      <c r="E3580" s="805">
        <v>3.0649999999999999</v>
      </c>
      <c r="F3580" s="806">
        <v>7.18</v>
      </c>
      <c r="G3580" s="805">
        <v>2.9974337040205299</v>
      </c>
      <c r="H3580" s="805">
        <v>31.63</v>
      </c>
      <c r="I3580" s="805">
        <v>6.55</v>
      </c>
      <c r="J3580" s="805">
        <v>1369.1</v>
      </c>
      <c r="K3580" s="805">
        <v>2956.34</v>
      </c>
    </row>
    <row r="3581" spans="3:11">
      <c r="C3581" s="861">
        <v>41033</v>
      </c>
      <c r="D3581" s="805">
        <v>27.9</v>
      </c>
      <c r="E3581" s="805">
        <v>3.0649999999999999</v>
      </c>
      <c r="F3581" s="806">
        <v>7.18</v>
      </c>
      <c r="G3581" s="805">
        <v>2.9974337040205299</v>
      </c>
      <c r="H3581" s="805">
        <v>31.63</v>
      </c>
      <c r="I3581" s="805">
        <v>6.55</v>
      </c>
      <c r="J3581" s="805">
        <v>1369.1</v>
      </c>
      <c r="K3581" s="805">
        <v>2956.34</v>
      </c>
    </row>
    <row r="3582" spans="3:11">
      <c r="C3582" s="861">
        <v>41032</v>
      </c>
      <c r="D3582" s="805">
        <v>28.56</v>
      </c>
      <c r="E3582" s="805">
        <v>3.1575000000000002</v>
      </c>
      <c r="F3582" s="806">
        <v>7.41</v>
      </c>
      <c r="G3582" s="805">
        <v>3.0419161676646702</v>
      </c>
      <c r="H3582" s="805">
        <v>33.36</v>
      </c>
      <c r="I3582" s="805">
        <v>6.47</v>
      </c>
      <c r="J3582" s="805">
        <v>1391.57</v>
      </c>
      <c r="K3582" s="805">
        <v>3024.3</v>
      </c>
    </row>
    <row r="3583" spans="3:11">
      <c r="C3583" s="861">
        <v>41031</v>
      </c>
      <c r="D3583" s="805">
        <v>29.18</v>
      </c>
      <c r="E3583" s="805">
        <v>3.2124999999999999</v>
      </c>
      <c r="F3583" s="806">
        <v>7.63</v>
      </c>
      <c r="G3583" s="805">
        <v>3.02999143101971</v>
      </c>
      <c r="H3583" s="805">
        <v>34.78</v>
      </c>
      <c r="I3583" s="805">
        <v>6.82</v>
      </c>
      <c r="J3583" s="805">
        <v>1402.31</v>
      </c>
      <c r="K3583" s="805">
        <v>3059.85</v>
      </c>
    </row>
    <row r="3584" spans="3:11">
      <c r="C3584" s="861">
        <v>41030</v>
      </c>
      <c r="D3584" s="805">
        <v>28.95</v>
      </c>
      <c r="E3584" s="805">
        <v>3.3075000000000001</v>
      </c>
      <c r="F3584" s="806">
        <v>7.59</v>
      </c>
      <c r="G3584" s="805">
        <v>2.9797459663577102</v>
      </c>
      <c r="H3584" s="805">
        <v>34.46</v>
      </c>
      <c r="I3584" s="805">
        <v>6.68</v>
      </c>
      <c r="J3584" s="805">
        <v>1405.82</v>
      </c>
      <c r="K3584" s="805">
        <v>3050.44</v>
      </c>
    </row>
    <row r="3585" spans="3:11">
      <c r="C3585" s="861">
        <v>41029</v>
      </c>
      <c r="D3585" s="805">
        <v>28.395</v>
      </c>
      <c r="E3585" s="805">
        <v>3.25</v>
      </c>
      <c r="F3585" s="806">
        <v>7.36</v>
      </c>
      <c r="G3585" s="805">
        <v>2.9797459663577102</v>
      </c>
      <c r="H3585" s="805">
        <v>34.479999999999997</v>
      </c>
      <c r="I3585" s="805">
        <v>6.59</v>
      </c>
      <c r="J3585" s="805">
        <v>1397.91</v>
      </c>
      <c r="K3585" s="805">
        <v>3046.36</v>
      </c>
    </row>
    <row r="3586" spans="3:11">
      <c r="C3586" s="861">
        <v>41028</v>
      </c>
      <c r="D3586" s="805">
        <v>28.38</v>
      </c>
      <c r="E3586" s="805">
        <v>3.2450000000000001</v>
      </c>
      <c r="F3586" s="806">
        <v>7.33</v>
      </c>
      <c r="G3586" s="805">
        <v>2.94550810014728</v>
      </c>
      <c r="H3586" s="805">
        <v>34.6</v>
      </c>
      <c r="I3586" s="805">
        <v>6.57</v>
      </c>
      <c r="J3586" s="805">
        <v>1403.36</v>
      </c>
      <c r="K3586" s="805">
        <v>3069.2</v>
      </c>
    </row>
    <row r="3587" spans="3:11">
      <c r="C3587" s="861">
        <v>41027</v>
      </c>
      <c r="D3587" s="805">
        <v>28.38</v>
      </c>
      <c r="E3587" s="805">
        <v>3.2450000000000001</v>
      </c>
      <c r="F3587" s="806">
        <v>7.33</v>
      </c>
      <c r="G3587" s="805">
        <v>2.94550810014728</v>
      </c>
      <c r="H3587" s="805">
        <v>34.6</v>
      </c>
      <c r="I3587" s="805">
        <v>6.57</v>
      </c>
      <c r="J3587" s="805">
        <v>1403.36</v>
      </c>
      <c r="K3587" s="805">
        <v>3069.2</v>
      </c>
    </row>
    <row r="3588" spans="3:11">
      <c r="C3588" s="861">
        <v>41026</v>
      </c>
      <c r="D3588" s="805">
        <v>28.38</v>
      </c>
      <c r="E3588" s="805">
        <v>3.2450000000000001</v>
      </c>
      <c r="F3588" s="806">
        <v>7.33</v>
      </c>
      <c r="G3588" s="805">
        <v>2.94550810014728</v>
      </c>
      <c r="H3588" s="805">
        <v>34.6</v>
      </c>
      <c r="I3588" s="805">
        <v>6.57</v>
      </c>
      <c r="J3588" s="805">
        <v>1403.36</v>
      </c>
      <c r="K3588" s="805">
        <v>3069.2</v>
      </c>
    </row>
    <row r="3589" spans="3:11">
      <c r="C3589" s="861">
        <v>41025</v>
      </c>
      <c r="D3589" s="805">
        <v>28.22</v>
      </c>
      <c r="E3589" s="805">
        <v>3.2725</v>
      </c>
      <c r="F3589" s="806">
        <v>7.45</v>
      </c>
      <c r="G3589" s="805">
        <v>2.8744482086028098</v>
      </c>
      <c r="H3589" s="805">
        <v>35.06</v>
      </c>
      <c r="I3589" s="805">
        <v>6.6</v>
      </c>
      <c r="J3589" s="805">
        <v>1399.98</v>
      </c>
      <c r="K3589" s="805">
        <v>3050.61</v>
      </c>
    </row>
    <row r="3590" spans="3:11">
      <c r="C3590" s="861">
        <v>41024</v>
      </c>
      <c r="D3590" s="805">
        <v>27.86</v>
      </c>
      <c r="E3590" s="805">
        <v>3.27</v>
      </c>
      <c r="F3590" s="806">
        <v>7.39</v>
      </c>
      <c r="G3590" s="805">
        <v>2.8590831918505901</v>
      </c>
      <c r="H3590" s="805">
        <v>34.979999999999997</v>
      </c>
      <c r="I3590" s="805">
        <v>6.52</v>
      </c>
      <c r="J3590" s="805">
        <v>1390.69</v>
      </c>
      <c r="K3590" s="805">
        <v>3029.63</v>
      </c>
    </row>
    <row r="3591" spans="3:11">
      <c r="C3591" s="861">
        <v>41023</v>
      </c>
      <c r="D3591" s="805">
        <v>27.31</v>
      </c>
      <c r="E3591" s="805">
        <v>3.2050000000000001</v>
      </c>
      <c r="F3591" s="806">
        <v>7.31</v>
      </c>
      <c r="G3591" s="805">
        <v>2.8726655348047498</v>
      </c>
      <c r="H3591" s="805">
        <v>32.68</v>
      </c>
      <c r="I3591" s="805">
        <v>6.51</v>
      </c>
      <c r="J3591" s="805">
        <v>1371.97</v>
      </c>
      <c r="K3591" s="805">
        <v>2961.6</v>
      </c>
    </row>
    <row r="3592" spans="3:11">
      <c r="C3592" s="861">
        <v>41022</v>
      </c>
      <c r="D3592" s="805">
        <v>27.45</v>
      </c>
      <c r="E3592" s="805">
        <v>3.3075000000000001</v>
      </c>
      <c r="F3592" s="806">
        <v>7.39</v>
      </c>
      <c r="G3592" s="805">
        <v>2.8605361384458798</v>
      </c>
      <c r="H3592" s="805">
        <v>33.229999999999997</v>
      </c>
      <c r="I3592" s="805">
        <v>6.63</v>
      </c>
      <c r="J3592" s="805">
        <v>1366.94</v>
      </c>
      <c r="K3592" s="805">
        <v>2970.45</v>
      </c>
    </row>
    <row r="3593" spans="3:11">
      <c r="C3593" s="861">
        <v>41021</v>
      </c>
      <c r="D3593" s="805">
        <v>27.6</v>
      </c>
      <c r="E3593" s="805">
        <v>3.3475000000000001</v>
      </c>
      <c r="F3593" s="806">
        <v>7.76</v>
      </c>
      <c r="G3593" s="805">
        <v>2.8590808885874202</v>
      </c>
      <c r="H3593" s="805">
        <v>34.28</v>
      </c>
      <c r="I3593" s="805">
        <v>6.64</v>
      </c>
      <c r="J3593" s="805">
        <v>1378.53</v>
      </c>
      <c r="K3593" s="805">
        <v>3000.45</v>
      </c>
    </row>
    <row r="3594" spans="3:11">
      <c r="C3594" s="861">
        <v>41020</v>
      </c>
      <c r="D3594" s="805">
        <v>27.6</v>
      </c>
      <c r="E3594" s="805">
        <v>3.3475000000000001</v>
      </c>
      <c r="F3594" s="806">
        <v>7.76</v>
      </c>
      <c r="G3594" s="805">
        <v>2.8590808885874202</v>
      </c>
      <c r="H3594" s="805">
        <v>34.28</v>
      </c>
      <c r="I3594" s="805">
        <v>6.64</v>
      </c>
      <c r="J3594" s="805">
        <v>1378.53</v>
      </c>
      <c r="K3594" s="805">
        <v>3000.45</v>
      </c>
    </row>
    <row r="3595" spans="3:11">
      <c r="C3595" s="861">
        <v>41019</v>
      </c>
      <c r="D3595" s="805">
        <v>27.6</v>
      </c>
      <c r="E3595" s="805">
        <v>3.3475000000000001</v>
      </c>
      <c r="F3595" s="806">
        <v>7.76</v>
      </c>
      <c r="G3595" s="805">
        <v>2.8590808885874202</v>
      </c>
      <c r="H3595" s="805">
        <v>34.28</v>
      </c>
      <c r="I3595" s="805">
        <v>6.64</v>
      </c>
      <c r="J3595" s="805">
        <v>1378.53</v>
      </c>
      <c r="K3595" s="805">
        <v>3000.45</v>
      </c>
    </row>
    <row r="3596" spans="3:11">
      <c r="C3596" s="861">
        <v>41018</v>
      </c>
      <c r="D3596" s="805">
        <v>27.69</v>
      </c>
      <c r="E3596" s="805">
        <v>3.4175</v>
      </c>
      <c r="F3596" s="806">
        <v>7.97</v>
      </c>
      <c r="G3596" s="805">
        <v>2.9094608341810799</v>
      </c>
      <c r="H3596" s="805">
        <v>35.71</v>
      </c>
      <c r="I3596" s="805">
        <v>7.01</v>
      </c>
      <c r="J3596" s="805">
        <v>1376.92</v>
      </c>
      <c r="K3596" s="805">
        <v>3007.56</v>
      </c>
    </row>
    <row r="3597" spans="3:11">
      <c r="C3597" s="861">
        <v>41017</v>
      </c>
      <c r="D3597" s="805">
        <v>27.95</v>
      </c>
      <c r="E3597" s="805">
        <v>3.4674999999999998</v>
      </c>
      <c r="F3597" s="806">
        <v>7.97</v>
      </c>
      <c r="G3597" s="805">
        <v>2.88282177378328</v>
      </c>
      <c r="H3597" s="805">
        <v>37.479999999999997</v>
      </c>
      <c r="I3597" s="805">
        <v>7.07</v>
      </c>
      <c r="J3597" s="805">
        <v>1385.14</v>
      </c>
      <c r="K3597" s="805">
        <v>3031.45</v>
      </c>
    </row>
    <row r="3598" spans="3:11">
      <c r="C3598" s="861">
        <v>41016</v>
      </c>
      <c r="D3598" s="805">
        <v>28.47</v>
      </c>
      <c r="E3598" s="805">
        <v>3.5049999999999999</v>
      </c>
      <c r="F3598" s="806">
        <v>7.94</v>
      </c>
      <c r="G3598" s="805">
        <v>2.8406779661016901</v>
      </c>
      <c r="H3598" s="805">
        <v>37.74</v>
      </c>
      <c r="I3598" s="805">
        <v>7.24</v>
      </c>
      <c r="J3598" s="805">
        <v>1390.78</v>
      </c>
      <c r="K3598" s="805">
        <v>3042.82</v>
      </c>
    </row>
    <row r="3599" spans="3:11">
      <c r="C3599" s="861">
        <v>41015</v>
      </c>
      <c r="D3599" s="805">
        <v>28.405000000000001</v>
      </c>
      <c r="E3599" s="805">
        <v>3.4950000000000001</v>
      </c>
      <c r="F3599" s="806">
        <v>7.7</v>
      </c>
      <c r="G3599" s="805">
        <v>2.8823629264980499</v>
      </c>
      <c r="H3599" s="805">
        <v>37.049999999999997</v>
      </c>
      <c r="I3599" s="805">
        <v>7.11</v>
      </c>
      <c r="J3599" s="805">
        <v>1369.57</v>
      </c>
      <c r="K3599" s="805">
        <v>2988.4</v>
      </c>
    </row>
    <row r="3600" spans="3:11">
      <c r="C3600" s="861">
        <v>41014</v>
      </c>
      <c r="D3600" s="805">
        <v>28.09</v>
      </c>
      <c r="E3600" s="805">
        <v>3.54</v>
      </c>
      <c r="F3600" s="806">
        <v>7.73</v>
      </c>
      <c r="G3600" s="805">
        <v>2.87718584790565</v>
      </c>
      <c r="H3600" s="805">
        <v>37.28</v>
      </c>
      <c r="I3600" s="805">
        <v>6.96</v>
      </c>
      <c r="J3600" s="805">
        <v>1370.26</v>
      </c>
      <c r="K3600" s="805">
        <v>3011.33</v>
      </c>
    </row>
    <row r="3601" spans="3:11">
      <c r="C3601" s="861">
        <v>41013</v>
      </c>
      <c r="D3601" s="805">
        <v>28.09</v>
      </c>
      <c r="E3601" s="805">
        <v>3.54</v>
      </c>
      <c r="F3601" s="806">
        <v>7.73</v>
      </c>
      <c r="G3601" s="805">
        <v>2.87718584790565</v>
      </c>
      <c r="H3601" s="805">
        <v>37.28</v>
      </c>
      <c r="I3601" s="805">
        <v>6.96</v>
      </c>
      <c r="J3601" s="805">
        <v>1370.26</v>
      </c>
      <c r="K3601" s="805">
        <v>3011.33</v>
      </c>
    </row>
    <row r="3602" spans="3:11">
      <c r="C3602" s="861">
        <v>41012</v>
      </c>
      <c r="D3602" s="805">
        <v>28.09</v>
      </c>
      <c r="E3602" s="805">
        <v>3.54</v>
      </c>
      <c r="F3602" s="806">
        <v>7.73</v>
      </c>
      <c r="G3602" s="805">
        <v>2.87718584790565</v>
      </c>
      <c r="H3602" s="805">
        <v>37.28</v>
      </c>
      <c r="I3602" s="805">
        <v>6.96</v>
      </c>
      <c r="J3602" s="805">
        <v>1370.26</v>
      </c>
      <c r="K3602" s="805">
        <v>3011.33</v>
      </c>
    </row>
    <row r="3603" spans="3:11">
      <c r="C3603" s="861">
        <v>41011</v>
      </c>
      <c r="D3603" s="805">
        <v>28.48</v>
      </c>
      <c r="E3603" s="805">
        <v>3.67</v>
      </c>
      <c r="F3603" s="806">
        <v>7.92</v>
      </c>
      <c r="G3603" s="805">
        <v>2.8071367884452001</v>
      </c>
      <c r="H3603" s="805">
        <v>38.17</v>
      </c>
      <c r="I3603" s="805">
        <v>7.13</v>
      </c>
      <c r="J3603" s="805">
        <v>1387.57</v>
      </c>
      <c r="K3603" s="805">
        <v>3055.55</v>
      </c>
    </row>
    <row r="3604" spans="3:11">
      <c r="C3604" s="861">
        <v>41010</v>
      </c>
      <c r="D3604" s="805">
        <v>27.85</v>
      </c>
      <c r="E3604" s="805">
        <v>3.585</v>
      </c>
      <c r="F3604" s="806">
        <v>7.64</v>
      </c>
      <c r="G3604" s="805">
        <v>2.7932203389830499</v>
      </c>
      <c r="H3604" s="805">
        <v>37.479999999999997</v>
      </c>
      <c r="I3604" s="805">
        <v>7.17</v>
      </c>
      <c r="J3604" s="805">
        <v>1368.71</v>
      </c>
      <c r="K3604" s="805">
        <v>3016.46</v>
      </c>
    </row>
    <row r="3605" spans="3:11">
      <c r="C3605" s="861">
        <v>41009</v>
      </c>
      <c r="D3605" s="805">
        <v>27.45</v>
      </c>
      <c r="E3605" s="805">
        <v>3.54</v>
      </c>
      <c r="F3605" s="806">
        <v>7.53</v>
      </c>
      <c r="G3605" s="805">
        <v>2.7782483482974798</v>
      </c>
      <c r="H3605" s="805">
        <v>36.799999999999997</v>
      </c>
      <c r="I3605" s="805">
        <v>7.15</v>
      </c>
      <c r="J3605" s="805">
        <v>1358.59</v>
      </c>
      <c r="K3605" s="805">
        <v>2991.22</v>
      </c>
    </row>
    <row r="3606" spans="3:11">
      <c r="C3606" s="861">
        <v>41008</v>
      </c>
      <c r="D3606" s="805">
        <v>27.76</v>
      </c>
      <c r="E3606" s="805">
        <v>3.61</v>
      </c>
      <c r="F3606" s="806">
        <v>7.75</v>
      </c>
      <c r="G3606" s="805">
        <v>2.81165311653116</v>
      </c>
      <c r="H3606" s="805">
        <v>37.58</v>
      </c>
      <c r="I3606" s="805">
        <v>7.35</v>
      </c>
      <c r="J3606" s="805">
        <v>1382.2</v>
      </c>
      <c r="K3606" s="805">
        <v>3047.08</v>
      </c>
    </row>
    <row r="3607" spans="3:11">
      <c r="C3607" s="861">
        <v>41007</v>
      </c>
      <c r="D3607" s="805">
        <v>28.07</v>
      </c>
      <c r="E3607" s="805">
        <v>3.6575000000000002</v>
      </c>
      <c r="F3607" s="806">
        <v>7.87</v>
      </c>
      <c r="G3607" s="805">
        <v>2.83913809459276</v>
      </c>
      <c r="H3607" s="805">
        <v>37.61</v>
      </c>
      <c r="I3607" s="805">
        <v>7.59</v>
      </c>
      <c r="J3607" s="805">
        <v>1398.08</v>
      </c>
      <c r="K3607" s="805">
        <v>3080.5</v>
      </c>
    </row>
    <row r="3608" spans="3:11">
      <c r="C3608" s="861">
        <v>41006</v>
      </c>
      <c r="D3608" s="805">
        <v>28.07</v>
      </c>
      <c r="E3608" s="805">
        <v>3.6575000000000002</v>
      </c>
      <c r="F3608" s="806">
        <v>7.87</v>
      </c>
      <c r="G3608" s="805">
        <v>2.83913809459276</v>
      </c>
      <c r="H3608" s="805">
        <v>37.61</v>
      </c>
      <c r="I3608" s="805">
        <v>7.59</v>
      </c>
      <c r="J3608" s="805">
        <v>1398.08</v>
      </c>
      <c r="K3608" s="805">
        <v>3080.5</v>
      </c>
    </row>
    <row r="3609" spans="3:11">
      <c r="C3609" s="861">
        <v>41005</v>
      </c>
      <c r="D3609" s="805">
        <v>28.07</v>
      </c>
      <c r="E3609" s="805">
        <v>3.6575000000000002</v>
      </c>
      <c r="F3609" s="806">
        <v>7.87</v>
      </c>
      <c r="G3609" s="805">
        <v>2.83913809459276</v>
      </c>
      <c r="H3609" s="805">
        <v>37.61</v>
      </c>
      <c r="I3609" s="805">
        <v>7.59</v>
      </c>
      <c r="J3609" s="805">
        <v>1398.08</v>
      </c>
      <c r="K3609" s="805">
        <v>3080.5</v>
      </c>
    </row>
    <row r="3610" spans="3:11">
      <c r="C3610" s="861">
        <v>41004</v>
      </c>
      <c r="D3610" s="805">
        <v>28.07</v>
      </c>
      <c r="E3610" s="805">
        <v>3.6575000000000002</v>
      </c>
      <c r="F3610" s="806">
        <v>7.87</v>
      </c>
      <c r="G3610" s="805">
        <v>2.81694915254237</v>
      </c>
      <c r="H3610" s="805">
        <v>37.61</v>
      </c>
      <c r="I3610" s="805">
        <v>7.59</v>
      </c>
      <c r="J3610" s="805">
        <v>1398.08</v>
      </c>
      <c r="K3610" s="805">
        <v>3080.5</v>
      </c>
    </row>
    <row r="3611" spans="3:11">
      <c r="C3611" s="861">
        <v>41003</v>
      </c>
      <c r="D3611" s="805">
        <v>27.93</v>
      </c>
      <c r="E3611" s="805">
        <v>3.6625000000000001</v>
      </c>
      <c r="F3611" s="806">
        <v>7.81</v>
      </c>
      <c r="G3611" s="805">
        <v>2.88233299423533</v>
      </c>
      <c r="H3611" s="805">
        <v>37.409999999999997</v>
      </c>
      <c r="I3611" s="805">
        <v>7.66</v>
      </c>
      <c r="J3611" s="805">
        <v>1398.96</v>
      </c>
      <c r="K3611" s="805">
        <v>3068.09</v>
      </c>
    </row>
    <row r="3612" spans="3:11">
      <c r="C3612" s="861">
        <v>41002</v>
      </c>
      <c r="D3612" s="805">
        <v>28.11</v>
      </c>
      <c r="E3612" s="805">
        <v>3.77</v>
      </c>
      <c r="F3612" s="806">
        <v>7.98</v>
      </c>
      <c r="G3612" s="805">
        <v>2.88233299423533</v>
      </c>
      <c r="H3612" s="805">
        <v>38.369999999999997</v>
      </c>
      <c r="I3612" s="805">
        <v>7.99</v>
      </c>
      <c r="J3612" s="805">
        <v>1413.38</v>
      </c>
      <c r="K3612" s="805">
        <v>3113.57</v>
      </c>
    </row>
    <row r="3613" spans="3:11">
      <c r="C3613" s="861">
        <v>41001</v>
      </c>
      <c r="D3613" s="805">
        <v>28.38</v>
      </c>
      <c r="E3613" s="805">
        <v>3.8325</v>
      </c>
      <c r="F3613" s="806">
        <v>8.1999999999999993</v>
      </c>
      <c r="G3613" s="805">
        <v>2.8867028493894198</v>
      </c>
      <c r="H3613" s="805">
        <v>38.69</v>
      </c>
      <c r="I3613" s="805">
        <v>8.1</v>
      </c>
      <c r="J3613" s="805">
        <v>1419.04</v>
      </c>
      <c r="K3613" s="805">
        <v>3119.7</v>
      </c>
    </row>
    <row r="3614" spans="3:11">
      <c r="C3614" s="861">
        <v>41000</v>
      </c>
      <c r="D3614" s="805">
        <v>28.114999999999998</v>
      </c>
      <c r="E3614" s="805">
        <v>3.8475000000000001</v>
      </c>
      <c r="F3614" s="806">
        <v>8.02</v>
      </c>
      <c r="G3614" s="805">
        <v>2.87699085055913</v>
      </c>
      <c r="H3614" s="805">
        <v>38.97</v>
      </c>
      <c r="I3614" s="805">
        <v>8.1</v>
      </c>
      <c r="J3614" s="805">
        <v>1408.47</v>
      </c>
      <c r="K3614" s="805">
        <v>3091.57</v>
      </c>
    </row>
    <row r="3615" spans="3:11">
      <c r="C3615" s="861">
        <v>40999</v>
      </c>
      <c r="D3615" s="805">
        <v>28.114999999999998</v>
      </c>
      <c r="E3615" s="805">
        <v>3.8475000000000001</v>
      </c>
      <c r="F3615" s="806">
        <v>8.02</v>
      </c>
      <c r="G3615" s="805">
        <v>2.87699085055913</v>
      </c>
      <c r="H3615" s="805">
        <v>38.97</v>
      </c>
      <c r="I3615" s="805">
        <v>8.1</v>
      </c>
      <c r="J3615" s="805">
        <v>1408.47</v>
      </c>
      <c r="K3615" s="805">
        <v>3091.57</v>
      </c>
    </row>
    <row r="3616" spans="3:11">
      <c r="C3616" s="861">
        <v>40998</v>
      </c>
      <c r="D3616" s="805">
        <v>28.114999999999998</v>
      </c>
      <c r="E3616" s="805">
        <v>3.8475000000000001</v>
      </c>
      <c r="F3616" s="806">
        <v>8.02</v>
      </c>
      <c r="G3616" s="805">
        <v>2.87699085055913</v>
      </c>
      <c r="H3616" s="805">
        <v>38.97</v>
      </c>
      <c r="I3616" s="805">
        <v>8.1</v>
      </c>
      <c r="J3616" s="805">
        <v>1408.47</v>
      </c>
      <c r="K3616" s="805">
        <v>3091.57</v>
      </c>
    </row>
    <row r="3617" spans="3:11">
      <c r="C3617" s="861">
        <v>40997</v>
      </c>
      <c r="D3617" s="805">
        <v>28.16</v>
      </c>
      <c r="E3617" s="805">
        <v>3.8075000000000001</v>
      </c>
      <c r="F3617" s="806">
        <v>8.1199999999999992</v>
      </c>
      <c r="G3617" s="805">
        <v>2.8445797395569099</v>
      </c>
      <c r="H3617" s="805">
        <v>38.340000000000003</v>
      </c>
      <c r="I3617" s="805">
        <v>8.42</v>
      </c>
      <c r="J3617" s="805">
        <v>1403.28</v>
      </c>
      <c r="K3617" s="805">
        <v>3095.36</v>
      </c>
    </row>
    <row r="3618" spans="3:11">
      <c r="C3618" s="861">
        <v>40996</v>
      </c>
      <c r="D3618" s="805">
        <v>27.8</v>
      </c>
      <c r="E3618" s="805">
        <v>3.79</v>
      </c>
      <c r="F3618" s="806">
        <v>8.08</v>
      </c>
      <c r="G3618" s="805">
        <v>2.89271576953006</v>
      </c>
      <c r="H3618" s="805">
        <v>37.97</v>
      </c>
      <c r="I3618" s="805">
        <v>8.64</v>
      </c>
      <c r="J3618" s="805">
        <v>1405.54</v>
      </c>
      <c r="K3618" s="805">
        <v>3104.96</v>
      </c>
    </row>
    <row r="3619" spans="3:11">
      <c r="C3619" s="861">
        <v>40995</v>
      </c>
      <c r="D3619" s="805">
        <v>28.19</v>
      </c>
      <c r="E3619" s="805">
        <v>3.7050000000000001</v>
      </c>
      <c r="F3619" s="806">
        <v>8.19</v>
      </c>
      <c r="G3619" s="805">
        <v>2.9020801623541299</v>
      </c>
      <c r="H3619" s="805">
        <v>38.78</v>
      </c>
      <c r="I3619" s="805">
        <v>8.5749999999999993</v>
      </c>
      <c r="J3619" s="805">
        <v>1412.52</v>
      </c>
      <c r="K3619" s="805">
        <v>3120.35</v>
      </c>
    </row>
    <row r="3620" spans="3:11">
      <c r="C3620" s="861">
        <v>40994</v>
      </c>
      <c r="D3620" s="805">
        <v>28.19</v>
      </c>
      <c r="E3620" s="805">
        <v>3.68</v>
      </c>
      <c r="F3620" s="806">
        <v>8.24</v>
      </c>
      <c r="G3620" s="805">
        <v>2.8281461434370798</v>
      </c>
      <c r="H3620" s="805">
        <v>38.840000000000003</v>
      </c>
      <c r="I3620" s="805">
        <v>8.25</v>
      </c>
      <c r="J3620" s="805">
        <v>1416.51</v>
      </c>
      <c r="K3620" s="805">
        <v>3122.57</v>
      </c>
    </row>
    <row r="3621" spans="3:11">
      <c r="C3621" s="861">
        <v>40993</v>
      </c>
      <c r="D3621" s="805">
        <v>27.875</v>
      </c>
      <c r="E3621" s="805">
        <v>3.6349999999999998</v>
      </c>
      <c r="F3621" s="806">
        <v>8.09</v>
      </c>
      <c r="G3621" s="805">
        <v>2.88952799864659</v>
      </c>
      <c r="H3621" s="805">
        <v>38.1</v>
      </c>
      <c r="I3621" s="805">
        <v>8.41</v>
      </c>
      <c r="J3621" s="805">
        <v>1397.11</v>
      </c>
      <c r="K3621" s="805">
        <v>3067.92</v>
      </c>
    </row>
    <row r="3622" spans="3:11">
      <c r="C3622" s="861">
        <v>40992</v>
      </c>
      <c r="D3622" s="805">
        <v>27.875</v>
      </c>
      <c r="E3622" s="805">
        <v>3.6349999999999998</v>
      </c>
      <c r="F3622" s="806">
        <v>8.09</v>
      </c>
      <c r="G3622" s="805">
        <v>2.88952799864659</v>
      </c>
      <c r="H3622" s="805">
        <v>38.1</v>
      </c>
      <c r="I3622" s="805">
        <v>8.41</v>
      </c>
      <c r="J3622" s="805">
        <v>1397.11</v>
      </c>
      <c r="K3622" s="805">
        <v>3067.92</v>
      </c>
    </row>
    <row r="3623" spans="3:11">
      <c r="C3623" s="861">
        <v>40991</v>
      </c>
      <c r="D3623" s="805">
        <v>27.875</v>
      </c>
      <c r="E3623" s="805">
        <v>3.6349999999999998</v>
      </c>
      <c r="F3623" s="806">
        <v>8.09</v>
      </c>
      <c r="G3623" s="805">
        <v>2.88952799864659</v>
      </c>
      <c r="H3623" s="805">
        <v>38.1</v>
      </c>
      <c r="I3623" s="805">
        <v>8.41</v>
      </c>
      <c r="J3623" s="805">
        <v>1397.11</v>
      </c>
      <c r="K3623" s="805">
        <v>3067.92</v>
      </c>
    </row>
    <row r="3624" spans="3:11">
      <c r="C3624" s="861">
        <v>40990</v>
      </c>
      <c r="D3624" s="805">
        <v>27.895</v>
      </c>
      <c r="E3624" s="805">
        <v>3.61</v>
      </c>
      <c r="F3624" s="806">
        <v>8.0299999999999994</v>
      </c>
      <c r="G3624" s="805">
        <v>2.87692047948675</v>
      </c>
      <c r="H3624" s="805">
        <v>37.950000000000003</v>
      </c>
      <c r="I3624" s="805">
        <v>8.7100000000000009</v>
      </c>
      <c r="J3624" s="805">
        <v>1392.78</v>
      </c>
      <c r="K3624" s="805">
        <v>3063.32</v>
      </c>
    </row>
    <row r="3625" spans="3:11">
      <c r="C3625" s="861">
        <v>40989</v>
      </c>
      <c r="D3625" s="805">
        <v>27.774999999999999</v>
      </c>
      <c r="E3625" s="805">
        <v>3.6150000000000002</v>
      </c>
      <c r="F3625" s="806">
        <v>8.0399999999999991</v>
      </c>
      <c r="G3625" s="805">
        <v>2.8745556119857798</v>
      </c>
      <c r="H3625" s="805">
        <v>38.36</v>
      </c>
      <c r="I3625" s="805">
        <v>8.74</v>
      </c>
      <c r="J3625" s="805">
        <v>1402.89</v>
      </c>
      <c r="K3625" s="805">
        <v>3075.32</v>
      </c>
    </row>
    <row r="3626" spans="3:11">
      <c r="C3626" s="861">
        <v>40988</v>
      </c>
      <c r="D3626" s="805">
        <v>27.75</v>
      </c>
      <c r="E3626" s="805">
        <v>3.6</v>
      </c>
      <c r="F3626" s="806">
        <v>8.06</v>
      </c>
      <c r="G3626" s="805">
        <v>2.8150905092201</v>
      </c>
      <c r="H3626" s="805">
        <v>38.03</v>
      </c>
      <c r="I3626" s="805">
        <v>8.57</v>
      </c>
      <c r="J3626" s="805">
        <v>1405.52</v>
      </c>
      <c r="K3626" s="805">
        <v>3074.15</v>
      </c>
    </row>
    <row r="3627" spans="3:11">
      <c r="C3627" s="861">
        <v>40987</v>
      </c>
      <c r="D3627" s="805">
        <v>27.74</v>
      </c>
      <c r="E3627" s="805">
        <v>3.66</v>
      </c>
      <c r="F3627" s="806">
        <v>8.18</v>
      </c>
      <c r="G3627" s="805">
        <v>2.8368073207930902</v>
      </c>
      <c r="H3627" s="805">
        <v>38.06</v>
      </c>
      <c r="I3627" s="805">
        <v>8.6300000000000008</v>
      </c>
      <c r="J3627" s="805">
        <v>1409.75</v>
      </c>
      <c r="K3627" s="805">
        <v>3078.32</v>
      </c>
    </row>
    <row r="3628" spans="3:11">
      <c r="C3628" s="861">
        <v>40986</v>
      </c>
      <c r="D3628" s="805">
        <v>27.73</v>
      </c>
      <c r="E3628" s="805">
        <v>3.65</v>
      </c>
      <c r="F3628" s="806">
        <v>8.1999999999999993</v>
      </c>
      <c r="G3628" s="805">
        <v>2.74840721160363</v>
      </c>
      <c r="H3628" s="805">
        <v>37.9</v>
      </c>
      <c r="I3628" s="805">
        <v>8.82</v>
      </c>
      <c r="J3628" s="805">
        <v>1404.17</v>
      </c>
      <c r="K3628" s="805">
        <v>3055.26</v>
      </c>
    </row>
    <row r="3629" spans="3:11">
      <c r="C3629" s="861">
        <v>40985</v>
      </c>
      <c r="D3629" s="805">
        <v>27.73</v>
      </c>
      <c r="E3629" s="805">
        <v>3.65</v>
      </c>
      <c r="F3629" s="806">
        <v>8.1999999999999993</v>
      </c>
      <c r="G3629" s="805">
        <v>2.74840721160363</v>
      </c>
      <c r="H3629" s="805">
        <v>37.9</v>
      </c>
      <c r="I3629" s="805">
        <v>8.82</v>
      </c>
      <c r="J3629" s="805">
        <v>1404.17</v>
      </c>
      <c r="K3629" s="805">
        <v>3055.26</v>
      </c>
    </row>
    <row r="3630" spans="3:11">
      <c r="C3630" s="861">
        <v>40984</v>
      </c>
      <c r="D3630" s="805">
        <v>27.73</v>
      </c>
      <c r="E3630" s="805">
        <v>3.65</v>
      </c>
      <c r="F3630" s="806">
        <v>8.1999999999999993</v>
      </c>
      <c r="G3630" s="805">
        <v>2.74840721160363</v>
      </c>
      <c r="H3630" s="805">
        <v>37.9</v>
      </c>
      <c r="I3630" s="805">
        <v>8.82</v>
      </c>
      <c r="J3630" s="805">
        <v>1404.17</v>
      </c>
      <c r="K3630" s="805">
        <v>3055.26</v>
      </c>
    </row>
    <row r="3631" spans="3:11">
      <c r="C3631" s="861">
        <v>40983</v>
      </c>
      <c r="D3631" s="805">
        <v>27.75</v>
      </c>
      <c r="E3631" s="805">
        <v>3.645</v>
      </c>
      <c r="F3631" s="806">
        <v>8.25</v>
      </c>
      <c r="G3631" s="805">
        <v>2.81938325991189</v>
      </c>
      <c r="H3631" s="805">
        <v>37.76</v>
      </c>
      <c r="I3631" s="805">
        <v>8.83</v>
      </c>
      <c r="J3631" s="805">
        <v>1402.6</v>
      </c>
      <c r="K3631" s="805">
        <v>3056.37</v>
      </c>
    </row>
    <row r="3632" spans="3:11">
      <c r="C3632" s="861">
        <v>40982</v>
      </c>
      <c r="D3632" s="805">
        <v>27.46</v>
      </c>
      <c r="E3632" s="805">
        <v>3.59</v>
      </c>
      <c r="F3632" s="806">
        <v>7.76</v>
      </c>
      <c r="G3632" s="805">
        <v>2.8112856901503598</v>
      </c>
      <c r="H3632" s="805">
        <v>37.11</v>
      </c>
      <c r="I3632" s="805">
        <v>8.58</v>
      </c>
      <c r="J3632" s="805">
        <v>1394.28</v>
      </c>
      <c r="K3632" s="805">
        <v>3040.73</v>
      </c>
    </row>
    <row r="3633" spans="3:11">
      <c r="C3633" s="861">
        <v>40981</v>
      </c>
      <c r="D3633" s="805">
        <v>27.49</v>
      </c>
      <c r="E3633" s="805">
        <v>3.6974999999999998</v>
      </c>
      <c r="F3633" s="806">
        <v>7.76</v>
      </c>
      <c r="G3633" s="805">
        <v>2.7554651753939998</v>
      </c>
      <c r="H3633" s="805">
        <v>37.630000000000003</v>
      </c>
      <c r="I3633" s="805">
        <v>8.49</v>
      </c>
      <c r="J3633" s="805">
        <v>1395.95</v>
      </c>
      <c r="K3633" s="805">
        <v>3039.88</v>
      </c>
    </row>
    <row r="3634" spans="3:11">
      <c r="C3634" s="861">
        <v>40980</v>
      </c>
      <c r="D3634" s="805">
        <v>26.984999999999999</v>
      </c>
      <c r="E3634" s="805">
        <v>3.6462500000000002</v>
      </c>
      <c r="F3634" s="806">
        <v>7.5</v>
      </c>
      <c r="G3634" s="805">
        <v>2.7127839945744299</v>
      </c>
      <c r="H3634" s="805">
        <v>36.6</v>
      </c>
      <c r="I3634" s="805">
        <v>8.08</v>
      </c>
      <c r="J3634" s="805">
        <v>1371.09</v>
      </c>
      <c r="K3634" s="805">
        <v>2983.66</v>
      </c>
    </row>
    <row r="3635" spans="3:11">
      <c r="C3635" s="861">
        <v>40979</v>
      </c>
      <c r="D3635" s="805">
        <v>27.07</v>
      </c>
      <c r="E3635" s="805">
        <v>3.7050000000000001</v>
      </c>
      <c r="F3635" s="806">
        <v>7.58</v>
      </c>
      <c r="G3635" s="805">
        <v>2.7201632097925899</v>
      </c>
      <c r="H3635" s="805">
        <v>36.770000000000003</v>
      </c>
      <c r="I3635" s="805">
        <v>8.33</v>
      </c>
      <c r="J3635" s="805">
        <v>1370.87</v>
      </c>
      <c r="K3635" s="805">
        <v>2988.34</v>
      </c>
    </row>
    <row r="3636" spans="3:11">
      <c r="C3636" s="861">
        <v>40978</v>
      </c>
      <c r="D3636" s="805">
        <v>27.07</v>
      </c>
      <c r="E3636" s="805">
        <v>3.7050000000000001</v>
      </c>
      <c r="F3636" s="806">
        <v>7.58</v>
      </c>
      <c r="G3636" s="805">
        <v>2.7201632097925899</v>
      </c>
      <c r="H3636" s="805">
        <v>36.770000000000003</v>
      </c>
      <c r="I3636" s="805">
        <v>8.33</v>
      </c>
      <c r="J3636" s="805">
        <v>1370.87</v>
      </c>
      <c r="K3636" s="805">
        <v>2988.34</v>
      </c>
    </row>
    <row r="3637" spans="3:11">
      <c r="C3637" s="861">
        <v>40977</v>
      </c>
      <c r="D3637" s="805">
        <v>27.07</v>
      </c>
      <c r="E3637" s="805">
        <v>3.7050000000000001</v>
      </c>
      <c r="F3637" s="806">
        <v>7.58</v>
      </c>
      <c r="G3637" s="805">
        <v>2.7201632097925899</v>
      </c>
      <c r="H3637" s="805">
        <v>36.770000000000003</v>
      </c>
      <c r="I3637" s="805">
        <v>8.33</v>
      </c>
      <c r="J3637" s="805">
        <v>1370.87</v>
      </c>
      <c r="K3637" s="805">
        <v>2988.34</v>
      </c>
    </row>
    <row r="3638" spans="3:11">
      <c r="C3638" s="861">
        <v>40976</v>
      </c>
      <c r="D3638" s="805">
        <v>26.84</v>
      </c>
      <c r="E3638" s="805">
        <v>3.7149999999999999</v>
      </c>
      <c r="F3638" s="806">
        <v>7.47</v>
      </c>
      <c r="G3638" s="805">
        <v>2.70444519850696</v>
      </c>
      <c r="H3638" s="805">
        <v>36.42</v>
      </c>
      <c r="I3638" s="805">
        <v>8.17</v>
      </c>
      <c r="J3638" s="805">
        <v>1365.91</v>
      </c>
      <c r="K3638" s="805">
        <v>2970.42</v>
      </c>
    </row>
    <row r="3639" spans="3:11">
      <c r="C3639" s="861">
        <v>40975</v>
      </c>
      <c r="D3639" s="805">
        <v>26.91</v>
      </c>
      <c r="E3639" s="805">
        <v>3.7025000000000001</v>
      </c>
      <c r="F3639" s="806">
        <v>7.17</v>
      </c>
      <c r="G3639" s="805">
        <v>2.68135593220339</v>
      </c>
      <c r="H3639" s="805">
        <v>35.75</v>
      </c>
      <c r="I3639" s="805">
        <v>8.09</v>
      </c>
      <c r="J3639" s="805">
        <v>1352.63</v>
      </c>
      <c r="K3639" s="805">
        <v>2935.69</v>
      </c>
    </row>
    <row r="3640" spans="3:11">
      <c r="C3640" s="861">
        <v>40974</v>
      </c>
      <c r="D3640" s="805">
        <v>26.605</v>
      </c>
      <c r="E3640" s="805">
        <v>3.6825000000000001</v>
      </c>
      <c r="F3640" s="806">
        <v>6.9</v>
      </c>
      <c r="G3640" s="805">
        <v>2.6903553299492402</v>
      </c>
      <c r="H3640" s="805">
        <v>35.31</v>
      </c>
      <c r="I3640" s="805">
        <v>8.01</v>
      </c>
      <c r="J3640" s="805">
        <v>1343.36</v>
      </c>
      <c r="K3640" s="805">
        <v>2910.32</v>
      </c>
    </row>
    <row r="3641" spans="3:11">
      <c r="C3641" s="861">
        <v>40973</v>
      </c>
      <c r="D3641" s="805">
        <v>26.54</v>
      </c>
      <c r="E3641" s="805">
        <v>3.7174999999999998</v>
      </c>
      <c r="F3641" s="806">
        <v>7.07</v>
      </c>
      <c r="G3641" s="805">
        <v>2.6763907734057</v>
      </c>
      <c r="H3641" s="805">
        <v>35.450000000000003</v>
      </c>
      <c r="I3641" s="805">
        <v>8.1999999999999993</v>
      </c>
      <c r="J3641" s="805">
        <v>1364.33</v>
      </c>
      <c r="K3641" s="805">
        <v>2950.48</v>
      </c>
    </row>
    <row r="3642" spans="3:11">
      <c r="C3642" s="861">
        <v>40972</v>
      </c>
      <c r="D3642" s="805">
        <v>26.914999999999999</v>
      </c>
      <c r="E3642" s="805">
        <v>3.8450000000000002</v>
      </c>
      <c r="F3642" s="806">
        <v>7.46</v>
      </c>
      <c r="G3642" s="805">
        <v>2.69526204880701</v>
      </c>
      <c r="H3642" s="805">
        <v>36.6</v>
      </c>
      <c r="I3642" s="805">
        <v>8.65</v>
      </c>
      <c r="J3642" s="805">
        <v>1369.63</v>
      </c>
      <c r="K3642" s="805">
        <v>2976.19</v>
      </c>
    </row>
    <row r="3643" spans="3:11">
      <c r="C3643" s="861">
        <v>40971</v>
      </c>
      <c r="D3643" s="805">
        <v>26.914999999999999</v>
      </c>
      <c r="E3643" s="805">
        <v>3.8450000000000002</v>
      </c>
      <c r="F3643" s="806">
        <v>7.46</v>
      </c>
      <c r="G3643" s="805">
        <v>2.69526204880701</v>
      </c>
      <c r="H3643" s="805">
        <v>36.6</v>
      </c>
      <c r="I3643" s="805">
        <v>8.65</v>
      </c>
      <c r="J3643" s="805">
        <v>1369.63</v>
      </c>
      <c r="K3643" s="805">
        <v>2976.19</v>
      </c>
    </row>
    <row r="3644" spans="3:11">
      <c r="C3644" s="861">
        <v>40970</v>
      </c>
      <c r="D3644" s="805">
        <v>26.914999999999999</v>
      </c>
      <c r="E3644" s="805">
        <v>3.8450000000000002</v>
      </c>
      <c r="F3644" s="806">
        <v>7.46</v>
      </c>
      <c r="G3644" s="805">
        <v>2.7190537692882901</v>
      </c>
      <c r="H3644" s="805">
        <v>36.6</v>
      </c>
      <c r="I3644" s="805">
        <v>8.65</v>
      </c>
      <c r="J3644" s="805">
        <v>1369.63</v>
      </c>
      <c r="K3644" s="805">
        <v>2976.19</v>
      </c>
    </row>
    <row r="3645" spans="3:11">
      <c r="C3645" s="861">
        <v>40969</v>
      </c>
      <c r="D3645" s="805">
        <v>26.86</v>
      </c>
      <c r="E3645" s="805">
        <v>3.8125</v>
      </c>
      <c r="F3645" s="806">
        <v>7.51</v>
      </c>
      <c r="G3645" s="805">
        <v>2.7272727272727302</v>
      </c>
      <c r="H3645" s="805">
        <v>37.32</v>
      </c>
      <c r="I3645" s="805">
        <v>8.7100000000000009</v>
      </c>
      <c r="J3645" s="805">
        <v>1374.09</v>
      </c>
      <c r="K3645" s="805">
        <v>2988.97</v>
      </c>
    </row>
    <row r="3646" spans="3:11">
      <c r="C3646" s="861">
        <v>40968</v>
      </c>
      <c r="D3646" s="805">
        <v>26.88</v>
      </c>
      <c r="E3646" s="805">
        <v>3.7875000000000001</v>
      </c>
      <c r="F3646" s="806">
        <v>7.35</v>
      </c>
      <c r="G3646" s="805">
        <v>2.7605691333651001</v>
      </c>
      <c r="H3646" s="805">
        <v>37.61</v>
      </c>
      <c r="I3646" s="805">
        <v>8.5500000000000007</v>
      </c>
      <c r="J3646" s="805">
        <v>1365.68</v>
      </c>
      <c r="K3646" s="805">
        <v>2966.89</v>
      </c>
    </row>
    <row r="3647" spans="3:11">
      <c r="C3647" s="861">
        <v>40967</v>
      </c>
      <c r="D3647" s="805">
        <v>27.24</v>
      </c>
      <c r="E3647" s="805">
        <v>3.8325</v>
      </c>
      <c r="F3647" s="806">
        <v>7.52</v>
      </c>
      <c r="G3647" s="805">
        <v>2.6786318997629501</v>
      </c>
      <c r="H3647" s="805">
        <v>37.01</v>
      </c>
      <c r="I3647" s="805">
        <v>8.8800000000000008</v>
      </c>
      <c r="J3647" s="805">
        <v>1372.18</v>
      </c>
      <c r="K3647" s="805">
        <v>2986.76</v>
      </c>
    </row>
    <row r="3648" spans="3:11">
      <c r="C3648" s="861">
        <v>40966</v>
      </c>
      <c r="D3648" s="805">
        <v>26.89</v>
      </c>
      <c r="E3648" s="805">
        <v>3.8675000000000002</v>
      </c>
      <c r="F3648" s="806">
        <v>7.47</v>
      </c>
      <c r="G3648" s="805">
        <v>2.6786318997629501</v>
      </c>
      <c r="H3648" s="805">
        <v>36.979999999999997</v>
      </c>
      <c r="I3648" s="805">
        <v>8.56</v>
      </c>
      <c r="J3648" s="805">
        <v>1367.59</v>
      </c>
      <c r="K3648" s="805">
        <v>2966.16</v>
      </c>
    </row>
    <row r="3649" spans="3:11">
      <c r="C3649" s="861">
        <v>40965</v>
      </c>
      <c r="D3649" s="805">
        <v>26.7</v>
      </c>
      <c r="E3649" s="805">
        <v>3.9474999999999998</v>
      </c>
      <c r="F3649" s="806">
        <v>7.46</v>
      </c>
      <c r="G3649" s="805">
        <v>2.6786318997629501</v>
      </c>
      <c r="H3649" s="805">
        <v>36.32</v>
      </c>
      <c r="I3649" s="805">
        <v>7.95</v>
      </c>
      <c r="J3649" s="805">
        <v>1365.74</v>
      </c>
      <c r="K3649" s="805">
        <v>2963.75</v>
      </c>
    </row>
    <row r="3650" spans="3:11">
      <c r="C3650" s="861">
        <v>40964</v>
      </c>
      <c r="D3650" s="805">
        <v>26.7</v>
      </c>
      <c r="E3650" s="805">
        <v>3.9474999999999998</v>
      </c>
      <c r="F3650" s="806">
        <v>7.46</v>
      </c>
      <c r="G3650" s="805">
        <v>2.6786318997629501</v>
      </c>
      <c r="H3650" s="805">
        <v>36.32</v>
      </c>
      <c r="I3650" s="805">
        <v>7.95</v>
      </c>
      <c r="J3650" s="805">
        <v>1365.74</v>
      </c>
      <c r="K3650" s="805">
        <v>2963.75</v>
      </c>
    </row>
    <row r="3651" spans="3:11">
      <c r="C3651" s="861">
        <v>40963</v>
      </c>
      <c r="D3651" s="805">
        <v>26.7</v>
      </c>
      <c r="E3651" s="805">
        <v>3.9474999999999998</v>
      </c>
      <c r="F3651" s="806">
        <v>7.46</v>
      </c>
      <c r="G3651" s="805">
        <v>2.6786318997629501</v>
      </c>
      <c r="H3651" s="805">
        <v>36.32</v>
      </c>
      <c r="I3651" s="805">
        <v>7.95</v>
      </c>
      <c r="J3651" s="805">
        <v>1365.74</v>
      </c>
      <c r="K3651" s="805">
        <v>2963.75</v>
      </c>
    </row>
    <row r="3652" spans="3:11">
      <c r="C3652" s="861">
        <v>40962</v>
      </c>
      <c r="D3652" s="805">
        <v>26.66</v>
      </c>
      <c r="E3652" s="805">
        <v>3.9775</v>
      </c>
      <c r="F3652" s="806">
        <v>7.29</v>
      </c>
      <c r="G3652" s="805">
        <v>2.64208389715832</v>
      </c>
      <c r="H3652" s="805">
        <v>37.19</v>
      </c>
      <c r="I3652" s="805">
        <v>7.82</v>
      </c>
      <c r="J3652" s="805">
        <v>1363.46</v>
      </c>
      <c r="K3652" s="805">
        <v>2956.98</v>
      </c>
    </row>
    <row r="3653" spans="3:11">
      <c r="C3653" s="861">
        <v>40961</v>
      </c>
      <c r="D3653" s="805">
        <v>26.73</v>
      </c>
      <c r="E3653" s="805">
        <v>3.9550000000000001</v>
      </c>
      <c r="F3653" s="806">
        <v>7.14</v>
      </c>
      <c r="G3653" s="805">
        <v>2.69511700257</v>
      </c>
      <c r="H3653" s="805">
        <v>35.9</v>
      </c>
      <c r="I3653" s="805">
        <v>8.0399999999999991</v>
      </c>
      <c r="J3653" s="805">
        <v>1357.66</v>
      </c>
      <c r="K3653" s="805">
        <v>2933.17</v>
      </c>
    </row>
    <row r="3654" spans="3:11">
      <c r="C3654" s="861">
        <v>40960</v>
      </c>
      <c r="D3654" s="805">
        <v>27.16</v>
      </c>
      <c r="E3654" s="805">
        <v>3.9812500000000002</v>
      </c>
      <c r="F3654" s="806">
        <v>7.28</v>
      </c>
      <c r="G3654" s="805">
        <v>2.7054447074737902</v>
      </c>
      <c r="H3654" s="805">
        <v>35.47</v>
      </c>
      <c r="I3654" s="805">
        <v>8.2100000000000009</v>
      </c>
      <c r="J3654" s="805">
        <v>1362.21</v>
      </c>
      <c r="K3654" s="805">
        <v>2948.57</v>
      </c>
    </row>
    <row r="3655" spans="3:11">
      <c r="C3655" s="861">
        <v>40959</v>
      </c>
      <c r="D3655" s="805">
        <v>27.37</v>
      </c>
      <c r="E3655" s="805">
        <v>3.9624999999999999</v>
      </c>
      <c r="F3655" s="806">
        <v>7.42</v>
      </c>
      <c r="G3655" s="805">
        <v>2.7132440223842602</v>
      </c>
      <c r="H3655" s="805">
        <v>35.24</v>
      </c>
      <c r="I3655" s="805">
        <v>8.43</v>
      </c>
      <c r="J3655" s="805">
        <v>1361.23</v>
      </c>
      <c r="K3655" s="805">
        <v>2951.78</v>
      </c>
    </row>
    <row r="3656" spans="3:11">
      <c r="C3656" s="861">
        <v>40958</v>
      </c>
      <c r="D3656" s="805">
        <v>27.37</v>
      </c>
      <c r="E3656" s="805">
        <v>3.9624999999999999</v>
      </c>
      <c r="F3656" s="806">
        <v>7.42</v>
      </c>
      <c r="G3656" s="805">
        <v>2.7081922816519999</v>
      </c>
      <c r="H3656" s="805">
        <v>35.24</v>
      </c>
      <c r="I3656" s="805">
        <v>8.43</v>
      </c>
      <c r="J3656" s="805">
        <v>1361.23</v>
      </c>
      <c r="K3656" s="805">
        <v>2951.78</v>
      </c>
    </row>
    <row r="3657" spans="3:11">
      <c r="C3657" s="861">
        <v>40957</v>
      </c>
      <c r="D3657" s="805">
        <v>27.37</v>
      </c>
      <c r="E3657" s="805">
        <v>3.9624999999999999</v>
      </c>
      <c r="F3657" s="806">
        <v>7.42</v>
      </c>
      <c r="G3657" s="805">
        <v>2.7081922816519999</v>
      </c>
      <c r="H3657" s="805">
        <v>35.24</v>
      </c>
      <c r="I3657" s="805">
        <v>8.43</v>
      </c>
      <c r="J3657" s="805">
        <v>1361.23</v>
      </c>
      <c r="K3657" s="805">
        <v>2951.78</v>
      </c>
    </row>
    <row r="3658" spans="3:11">
      <c r="C3658" s="861">
        <v>40956</v>
      </c>
      <c r="D3658" s="805">
        <v>27.37</v>
      </c>
      <c r="E3658" s="805">
        <v>3.9624999999999999</v>
      </c>
      <c r="F3658" s="806">
        <v>7.42</v>
      </c>
      <c r="G3658" s="805">
        <v>2.7081922816519999</v>
      </c>
      <c r="H3658" s="805">
        <v>35.24</v>
      </c>
      <c r="I3658" s="805">
        <v>8.43</v>
      </c>
      <c r="J3658" s="805">
        <v>1361.23</v>
      </c>
      <c r="K3658" s="805">
        <v>2951.78</v>
      </c>
    </row>
    <row r="3659" spans="3:11">
      <c r="C3659" s="861">
        <v>40955</v>
      </c>
      <c r="D3659" s="805">
        <v>26.824999999999999</v>
      </c>
      <c r="E3659" s="805">
        <v>4.1124999999999998</v>
      </c>
      <c r="F3659" s="806">
        <v>7.59</v>
      </c>
      <c r="G3659" s="805">
        <v>2.6585836691841398</v>
      </c>
      <c r="H3659" s="805">
        <v>35.86</v>
      </c>
      <c r="I3659" s="805">
        <v>8.4600000000000009</v>
      </c>
      <c r="J3659" s="805">
        <v>1358.04</v>
      </c>
      <c r="K3659" s="805">
        <v>2959.85</v>
      </c>
    </row>
    <row r="3660" spans="3:11">
      <c r="C3660" s="861">
        <v>40954</v>
      </c>
      <c r="D3660" s="805">
        <v>26.58</v>
      </c>
      <c r="E3660" s="805">
        <v>4.0425000000000004</v>
      </c>
      <c r="F3660" s="806">
        <v>7.3</v>
      </c>
      <c r="G3660" s="805">
        <v>2.6578635517182998</v>
      </c>
      <c r="H3660" s="805">
        <v>34.979999999999997</v>
      </c>
      <c r="I3660" s="805">
        <v>8.2799999999999994</v>
      </c>
      <c r="J3660" s="805">
        <v>1343.23</v>
      </c>
      <c r="K3660" s="805">
        <v>2915.83</v>
      </c>
    </row>
  </sheetData>
  <conditionalFormatting sqref="N7">
    <cfRule type="expression" dxfId="32" priority="1">
      <formula>AND(MOD(ROW($A375),2)=1,LEN(#REF!)&gt;0,ROW()&gt;16)</formula>
    </cfRule>
  </conditionalFormatting>
  <dataValidations count="1">
    <dataValidation allowBlank="1" showInputMessage="1" showErrorMessage="1" prompt="MM/DD/YYYY" sqref="Q9:Q10" xr:uid="{0AF0FA14-FD72-46AA-9432-99877DDD849E}"/>
  </dataValidations>
  <printOptions horizontalCentered="1"/>
  <pageMargins left="0.75" right="0.75" top="1" bottom="1" header="0.5" footer="0.5"/>
  <pageSetup paperSize="9" orientation="landscape" r:id="rId1"/>
  <headerFooter alignWithMargins="0">
    <oddHeader>&amp;L&amp;"Calibri"&amp;10&amp;K000000Classification: Confidential&amp;1#</oddHead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2ECD1-3E97-4DE9-88AB-EFB67165CA61}">
  <dimension ref="B1:J3657"/>
  <sheetViews>
    <sheetView showGridLines="0" workbookViewId="0">
      <pane xSplit="2" ySplit="3" topLeftCell="C4" activePane="bottomRight" state="frozen"/>
      <selection pane="topRight" activeCell="O36" sqref="O36"/>
      <selection pane="bottomLeft" activeCell="O36" sqref="O36"/>
      <selection pane="bottomRight"/>
    </sheetView>
  </sheetViews>
  <sheetFormatPr defaultColWidth="9" defaultRowHeight="10.5" outlineLevelCol="1"/>
  <cols>
    <col min="1" max="1" width="3.6328125" style="864" customWidth="1"/>
    <col min="2" max="2" width="32.1796875" style="864" bestFit="1" customWidth="1"/>
    <col min="3" max="5" width="19.6328125" style="864" customWidth="1"/>
    <col min="6" max="8" width="19.6328125" style="864" hidden="1" customWidth="1" outlineLevel="1"/>
    <col min="9" max="9" width="19.6328125" style="864" customWidth="1" collapsed="1"/>
    <col min="10" max="10" width="19.6328125" style="864" customWidth="1"/>
    <col min="11" max="16384" width="9" style="864"/>
  </cols>
  <sheetData>
    <row r="1" spans="2:10" ht="10.9" thickBot="1">
      <c r="B1" s="862" t="s">
        <v>937</v>
      </c>
      <c r="C1" s="863" cm="1">
        <f t="array" aca="1" ref="C1" ca="1">_xlfn.SINGLE(IFERROR(_xll.TR(C$3,"AVG(TR.Volume(SDate=0D,EDate=0D-249D))"),C1))</f>
        <v>42574772.916000001</v>
      </c>
      <c r="D1" s="863" cm="1">
        <f t="array" aca="1" ref="D1" ca="1">_xlfn.SINGLE(IFERROR(_xll.TR(D$3,"AVG(TR.Volume(SDate=0D,EDate=0D-249D))"),D1))</f>
        <v>9578056.852</v>
      </c>
      <c r="E1" s="863" cm="1">
        <f t="array" aca="1" ref="E1" ca="1">_xlfn.SINGLE(IFERROR(_xll.TR(E$3,"AVG(TR.Volume(SDate=0D,EDate=0D-249D))"),E1))</f>
        <v>10998198.872</v>
      </c>
      <c r="F1" s="863" cm="1">
        <f t="array" aca="1" ref="F1" ca="1">_xlfn.SINGLE(IFERROR(_xll.TR(F$3,"AVG(TR.Volume(SDate=0D,EDate=0D-249D))"),F1))</f>
        <v>34223274.228</v>
      </c>
      <c r="G1" s="863" cm="1">
        <f t="array" aca="1" ref="G1" ca="1">_xlfn.SINGLE(IFERROR(_xll.TR(G$3,"AVG(TR.Volume(SDate=0D,EDate=0D-249D))"),G1))</f>
        <v>989090.98400000005</v>
      </c>
      <c r="H1" s="863" cm="1">
        <f t="array" aca="1" ref="H1" ca="1">_xlfn.SINGLE(IFERROR(_xll.TR(H$3,"AVG(TR.Volume(SDate=0D,EDate=0D-249D))"),H1))</f>
        <v>5298789.1639999999</v>
      </c>
      <c r="I1" s="863" cm="1">
        <f t="array" aca="1" ref="I1" ca="1">_xlfn.SINGLE(IFERROR(_xll.TR(I$3,"AVG(TR.Volume(SDate=0D,EDate=0D-249D))"),I1))</f>
        <v>0</v>
      </c>
      <c r="J1" s="863" cm="1">
        <f t="array" aca="1" ref="J1" ca="1">_xlfn.SINGLE(IFERROR(_xll.TR(J$3,"AVG(TR.Volume(SDate=0D,EDate=0D-249D))"),J1))</f>
        <v>960127021.08000004</v>
      </c>
    </row>
    <row r="2" spans="2:10" ht="10.9" thickBot="1">
      <c r="B2" s="865" t="s">
        <v>926</v>
      </c>
      <c r="C2" s="865" t="s">
        <v>501</v>
      </c>
      <c r="D2" s="865" t="s">
        <v>654</v>
      </c>
      <c r="E2" s="866" t="s">
        <v>657</v>
      </c>
      <c r="F2" s="865" t="s">
        <v>666</v>
      </c>
      <c r="G2" s="865" t="s">
        <v>669</v>
      </c>
      <c r="H2" s="865" t="s">
        <v>672</v>
      </c>
      <c r="I2" s="865" t="s">
        <v>938</v>
      </c>
      <c r="J2" s="865" t="s">
        <v>939</v>
      </c>
    </row>
    <row r="3" spans="2:10" ht="40.9">
      <c r="B3" s="867" t="s">
        <v>601</v>
      </c>
      <c r="C3" s="868" t="s">
        <v>586</v>
      </c>
      <c r="D3" s="868" t="s">
        <v>954</v>
      </c>
      <c r="E3" s="869" t="s">
        <v>587</v>
      </c>
      <c r="F3" s="868" t="str" cm="1">
        <f t="array" aca="1" ref="F3" ca="1">_xlfn.SINGLE(IFERROR(_xll.TR(F$3,"TR.CommonName"),F3))</f>
        <v>Taiwan Semiconductor Manufacturing Co Ltd</v>
      </c>
      <c r="G3" s="868" t="str" cm="1">
        <f t="array" aca="1" ref="G3" ca="1">_xlfn.SINGLE(IFERROR(_xll.TR(G$3,"TR.CommonName"),G3))</f>
        <v>Broadcom Inc</v>
      </c>
      <c r="H3" s="868" t="str" cm="1">
        <f t="array" aca="1" ref="H3" ca="1">_xlfn.SINGLE(IFERROR(_xll.TR(H$3,"TR.CommonName"),H3))</f>
        <v>Micron Technology Inc</v>
      </c>
      <c r="I3" s="868" t="s">
        <v>955</v>
      </c>
      <c r="J3" s="868" t="s">
        <v>956</v>
      </c>
    </row>
    <row r="4" spans="2:10">
      <c r="B4" s="870">
        <f ca="1">IFERROR(_xll.TR(C$3,"TR.PriceClose().calcdate","sdate=#2 Edate=#1 frq=#3 curn=#4 Null='#N/A'",B4:B10482,StartDate,EndDate,Frqcy,#REF!),B4)</f>
        <v>44607</v>
      </c>
      <c r="C4" s="871" t="e">
        <f>'Peers Stock History'!D7/'Peers Stock History'!D$1833*100</f>
        <v>#NAME?</v>
      </c>
      <c r="D4" s="871" t="e">
        <f>'Peers Stock History'!E7/'Peers Stock History'!E$1833*100</f>
        <v>#NAME?</v>
      </c>
      <c r="E4" s="871" t="e">
        <f>'Peers Stock History'!F7/'Peers Stock History'!F$1833*100</f>
        <v>#NAME?</v>
      </c>
      <c r="F4" s="871" t="e">
        <f>'Peers Stock History'!G7/'Peers Stock History'!G$1833*100</f>
        <v>#NAME?</v>
      </c>
      <c r="G4" s="871" t="e">
        <f>'Peers Stock History'!H7/'Peers Stock History'!H$1833*100</f>
        <v>#NAME?</v>
      </c>
      <c r="H4" s="871" t="e">
        <f>'Peers Stock History'!I7/'Peers Stock History'!I$1833*100</f>
        <v>#NAME?</v>
      </c>
      <c r="I4" s="871" t="e">
        <f>'Peers Stock History'!J7/'Peers Stock History'!J$1833*100</f>
        <v>#NAME?</v>
      </c>
      <c r="J4" s="871" t="e">
        <f>'Peers Stock History'!K7/'Peers Stock History'!K$1833*100</f>
        <v>#NAME?</v>
      </c>
    </row>
    <row r="5" spans="2:10">
      <c r="B5" s="870">
        <v>44606</v>
      </c>
      <c r="C5" s="871">
        <f>'Peers Stock History'!D8/'Peers Stock History'!D$1833*100</f>
        <v>131.98335644937586</v>
      </c>
      <c r="D5" s="871">
        <f>'Peers Stock History'!E8/'Peers Stock History'!E$1833*100</f>
        <v>890.53211009174311</v>
      </c>
      <c r="E5" s="871">
        <f>'Peers Stock History'!F8/'Peers Stock History'!F$1833*100</f>
        <v>859.17293233082694</v>
      </c>
      <c r="F5" s="871">
        <f>'Peers Stock History'!G8/'Peers Stock History'!G$1833*100</f>
        <v>371.85831133652937</v>
      </c>
      <c r="G5" s="871">
        <f>'Peers Stock History'!H8/'Peers Stock History'!H$1833*100</f>
        <v>280.87771251031603</v>
      </c>
      <c r="H5" s="871">
        <f>'Peers Stock History'!I8/'Peers Stock History'!I$1833*100</f>
        <v>390.35621198957432</v>
      </c>
      <c r="I5" s="871">
        <f>'Peers Stock History'!J8/'Peers Stock History'!J$1833*100</f>
        <v>187.36490369266787</v>
      </c>
      <c r="J5" s="871">
        <f>'Peers Stock History'!K8/'Peers Stock History'!K$1833*100</f>
        <v>236.98017335001308</v>
      </c>
    </row>
    <row r="6" spans="2:10">
      <c r="B6" s="872">
        <v>44605</v>
      </c>
      <c r="C6" s="871">
        <f>'Peers Stock History'!D9/'Peers Stock History'!D$1833*100</f>
        <v>132.12205270457699</v>
      </c>
      <c r="D6" s="871">
        <f>'Peers Stock History'!E9/'Peers Stock History'!E$1833*100</f>
        <v>878.86238532110087</v>
      </c>
      <c r="E6" s="871">
        <f>'Peers Stock History'!F9/'Peers Stock History'!F$1833*100</f>
        <v>850.97744360902254</v>
      </c>
      <c r="F6" s="871">
        <f>'Peers Stock History'!G9/'Peers Stock History'!G$1833*100</f>
        <v>379.0799572895441</v>
      </c>
      <c r="G6" s="871">
        <f>'Peers Stock History'!H9/'Peers Stock History'!H$1833*100</f>
        <v>278.37273654060874</v>
      </c>
      <c r="H6" s="871">
        <f>'Peers Stock History'!I9/'Peers Stock History'!I$1833*100</f>
        <v>389.92180712423982</v>
      </c>
      <c r="I6" s="871">
        <f>'Peers Stock History'!J9/'Peers Stock History'!J$1833*100</f>
        <v>188.08726189209324</v>
      </c>
      <c r="J6" s="871">
        <f>'Peers Stock History'!K9/'Peers Stock History'!K$1833*100</f>
        <v>236.98421153925463</v>
      </c>
    </row>
    <row r="7" spans="2:10">
      <c r="B7" s="870">
        <v>44604</v>
      </c>
      <c r="C7" s="871">
        <f>'Peers Stock History'!D10/'Peers Stock History'!D$1833*100</f>
        <v>132.12205270457699</v>
      </c>
      <c r="D7" s="871">
        <f>'Peers Stock History'!E10/'Peers Stock History'!E$1833*100</f>
        <v>878.86238532110087</v>
      </c>
      <c r="E7" s="871">
        <f>'Peers Stock History'!F10/'Peers Stock History'!F$1833*100</f>
        <v>850.97744360902254</v>
      </c>
      <c r="F7" s="871">
        <f>'Peers Stock History'!G10/'Peers Stock History'!G$1833*100</f>
        <v>379.0799572895441</v>
      </c>
      <c r="G7" s="871">
        <f>'Peers Stock History'!H10/'Peers Stock History'!H$1833*100</f>
        <v>278.37273654060874</v>
      </c>
      <c r="H7" s="871">
        <f>'Peers Stock History'!I10/'Peers Stock History'!I$1833*100</f>
        <v>389.92180712423982</v>
      </c>
      <c r="I7" s="871">
        <f>'Peers Stock History'!J10/'Peers Stock History'!J$1833*100</f>
        <v>188.08726189209324</v>
      </c>
      <c r="J7" s="871">
        <f>'Peers Stock History'!K10/'Peers Stock History'!K$1833*100</f>
        <v>236.98421153925463</v>
      </c>
    </row>
    <row r="8" spans="2:10">
      <c r="B8" s="870">
        <v>44603</v>
      </c>
      <c r="C8" s="871">
        <f>'Peers Stock History'!D11/'Peers Stock History'!D$1833*100</f>
        <v>132.12205270457699</v>
      </c>
      <c r="D8" s="871">
        <f>'Peers Stock History'!E11/'Peers Stock History'!E$1833*100</f>
        <v>878.86238532110087</v>
      </c>
      <c r="E8" s="871">
        <f>'Peers Stock History'!F11/'Peers Stock History'!F$1833*100</f>
        <v>850.97744360902254</v>
      </c>
      <c r="F8" s="871">
        <f>'Peers Stock History'!G11/'Peers Stock History'!G$1833*100</f>
        <v>379.0799572895441</v>
      </c>
      <c r="G8" s="871">
        <f>'Peers Stock History'!H11/'Peers Stock History'!H$1833*100</f>
        <v>278.37273654060874</v>
      </c>
      <c r="H8" s="871">
        <f>'Peers Stock History'!I11/'Peers Stock History'!I$1833*100</f>
        <v>389.92180712423982</v>
      </c>
      <c r="I8" s="871">
        <f>'Peers Stock History'!J11/'Peers Stock History'!J$1833*100</f>
        <v>188.08726189209324</v>
      </c>
      <c r="J8" s="871">
        <f>'Peers Stock History'!K11/'Peers Stock History'!K$1833*100</f>
        <v>236.98421153925463</v>
      </c>
    </row>
    <row r="9" spans="2:10">
      <c r="B9" s="870">
        <v>44602</v>
      </c>
      <c r="C9" s="871">
        <f>'Peers Stock History'!D12/'Peers Stock History'!D$1833*100</f>
        <v>135.53398058252429</v>
      </c>
      <c r="D9" s="871">
        <f>'Peers Stock History'!E12/'Peers Stock History'!E$1833*100</f>
        <v>947.66972477064223</v>
      </c>
      <c r="E9" s="871">
        <f>'Peers Stock History'!F12/'Peers Stock History'!F$1833*100</f>
        <v>945.63909774436081</v>
      </c>
      <c r="F9" s="871">
        <f>'Peers Stock History'!G12/'Peers Stock History'!G$1833*100</f>
        <v>379.09476293260343</v>
      </c>
      <c r="G9" s="871">
        <f>'Peers Stock History'!H12/'Peers Stock History'!H$1833*100</f>
        <v>287.08189717947471</v>
      </c>
      <c r="H9" s="871">
        <f>'Peers Stock History'!I12/'Peers Stock History'!I$1833*100</f>
        <v>395.39530842745438</v>
      </c>
      <c r="I9" s="871">
        <f>'Peers Stock History'!J12/'Peers Stock History'!J$1833*100</f>
        <v>191.72416728743215</v>
      </c>
      <c r="J9" s="871">
        <f>'Peers Stock History'!K12/'Peers Stock History'!K$1833*100</f>
        <v>243.76299094070907</v>
      </c>
    </row>
    <row r="10" spans="2:10">
      <c r="B10" s="870">
        <v>44601</v>
      </c>
      <c r="C10" s="871">
        <f>'Peers Stock History'!D13/'Peers Stock History'!D$1833*100</f>
        <v>138.44660194174759</v>
      </c>
      <c r="D10" s="871">
        <f>'Peers Stock History'!E13/'Peers Stock History'!E$1833*100</f>
        <v>980.00000000000011</v>
      </c>
      <c r="E10" s="871">
        <f>'Peers Stock History'!F13/'Peers Stock History'!F$1833*100</f>
        <v>998.87218045112775</v>
      </c>
      <c r="F10" s="871">
        <f>'Peers Stock History'!G13/'Peers Stock History'!G$1833*100</f>
        <v>370.64051978384947</v>
      </c>
      <c r="G10" s="871">
        <f>'Peers Stock History'!H13/'Peers Stock History'!H$1833*100</f>
        <v>296.78139715520172</v>
      </c>
      <c r="H10" s="871">
        <f>'Peers Stock History'!I13/'Peers Stock History'!I$1833*100</f>
        <v>382.79756733275417</v>
      </c>
      <c r="I10" s="871">
        <f>'Peers Stock History'!J13/'Peers Stock History'!J$1833*100</f>
        <v>195.26146642545496</v>
      </c>
      <c r="J10" s="871">
        <f>'Peers Stock History'!K13/'Peers Stock History'!K$1833*100</f>
        <v>248.9994398086414</v>
      </c>
    </row>
    <row r="11" spans="2:10">
      <c r="B11" s="870">
        <v>44600</v>
      </c>
      <c r="C11" s="871">
        <f>'Peers Stock History'!D14/'Peers Stock History'!D$1833*100</f>
        <v>135.39528432732317</v>
      </c>
      <c r="D11" s="871">
        <f>'Peers Stock History'!E14/'Peers Stock History'!E$1833*100</f>
        <v>921.39449541284398</v>
      </c>
      <c r="E11" s="871">
        <f>'Peers Stock History'!F14/'Peers Stock History'!F$1833*100</f>
        <v>964.13533834586451</v>
      </c>
      <c r="F11" s="871">
        <f>'Peers Stock History'!G14/'Peers Stock History'!G$1833*100</f>
        <v>367.3426444372156</v>
      </c>
      <c r="G11" s="871">
        <f>'Peers Stock History'!H14/'Peers Stock History'!H$1833*100</f>
        <v>291.38307684839071</v>
      </c>
      <c r="H11" s="871">
        <f>'Peers Stock History'!I14/'Peers Stock History'!I$1833*100</f>
        <v>365.42137271937446</v>
      </c>
      <c r="I11" s="871">
        <f>'Peers Stock History'!J14/'Peers Stock History'!J$1833*100</f>
        <v>192.46738320740661</v>
      </c>
      <c r="J11" s="871">
        <f>'Peers Stock History'!K14/'Peers Stock History'!K$1833*100</f>
        <v>243.91444881294419</v>
      </c>
    </row>
    <row r="12" spans="2:10">
      <c r="B12" s="870">
        <v>44599</v>
      </c>
      <c r="C12" s="871">
        <f>'Peers Stock History'!D15/'Peers Stock History'!D$1833*100</f>
        <v>133.6477115117892</v>
      </c>
      <c r="D12" s="871">
        <f>'Peers Stock History'!E15/'Peers Stock History'!E$1833*100</f>
        <v>907.44954128440372</v>
      </c>
      <c r="E12" s="871">
        <f>'Peers Stock History'!F15/'Peers Stock History'!F$1833*100</f>
        <v>929.84962406015029</v>
      </c>
      <c r="F12" s="871">
        <f>'Peers Stock History'!G15/'Peers Stock History'!G$1833*100</f>
        <v>370.98367016841422</v>
      </c>
      <c r="G12" s="871">
        <f>'Peers Stock History'!H15/'Peers Stock History'!H$1833*100</f>
        <v>285.27112966648866</v>
      </c>
      <c r="H12" s="871">
        <f>'Peers Stock History'!I15/'Peers Stock History'!I$1833*100</f>
        <v>351.3032145960035</v>
      </c>
      <c r="I12" s="871">
        <f>'Peers Stock History'!J15/'Peers Stock History'!J$1833*100</f>
        <v>190.86389273172287</v>
      </c>
      <c r="J12" s="871">
        <f>'Peers Stock History'!K15/'Peers Stock History'!K$1833*100</f>
        <v>240.84221162173679</v>
      </c>
    </row>
    <row r="13" spans="2:10">
      <c r="B13" s="870">
        <v>44598</v>
      </c>
      <c r="C13" s="871">
        <f>'Peers Stock History'!D16/'Peers Stock History'!D$1833*100</f>
        <v>133.17614424410542</v>
      </c>
      <c r="D13" s="871">
        <f>'Peers Stock History'!E16/'Peers Stock History'!E$1833*100</f>
        <v>892.44036697247702</v>
      </c>
      <c r="E13" s="871">
        <f>'Peers Stock History'!F16/'Peers Stock History'!F$1833*100</f>
        <v>929.32330827067665</v>
      </c>
      <c r="F13" s="871">
        <f>'Peers Stock History'!G16/'Peers Stock History'!G$1833*100</f>
        <v>372.94749677143983</v>
      </c>
      <c r="G13" s="871">
        <f>'Peers Stock History'!H16/'Peers Stock History'!H$1833*100</f>
        <v>286.49934462837996</v>
      </c>
      <c r="H13" s="871">
        <f>'Peers Stock History'!I16/'Peers Stock History'!I$1833*100</f>
        <v>352.606429192007</v>
      </c>
      <c r="I13" s="871">
        <f>'Peers Stock History'!J16/'Peers Stock History'!J$1833*100</f>
        <v>191.57305523039267</v>
      </c>
      <c r="J13" s="871">
        <f>'Peers Stock History'!K16/'Peers Stock History'!K$1833*100</f>
        <v>242.25710721306518</v>
      </c>
    </row>
    <row r="14" spans="2:10">
      <c r="B14" s="870">
        <v>44597</v>
      </c>
      <c r="C14" s="871">
        <f>'Peers Stock History'!D17/'Peers Stock History'!D$1833*100</f>
        <v>133.17614424410542</v>
      </c>
      <c r="D14" s="871">
        <f>'Peers Stock History'!E17/'Peers Stock History'!E$1833*100</f>
        <v>892.44036697247702</v>
      </c>
      <c r="E14" s="871">
        <f>'Peers Stock History'!F17/'Peers Stock History'!F$1833*100</f>
        <v>929.32330827067665</v>
      </c>
      <c r="F14" s="871">
        <f>'Peers Stock History'!G17/'Peers Stock History'!G$1833*100</f>
        <v>372.94749677143983</v>
      </c>
      <c r="G14" s="871">
        <f>'Peers Stock History'!H17/'Peers Stock History'!H$1833*100</f>
        <v>286.49934462837996</v>
      </c>
      <c r="H14" s="871">
        <f>'Peers Stock History'!I17/'Peers Stock History'!I$1833*100</f>
        <v>352.606429192007</v>
      </c>
      <c r="I14" s="871">
        <f>'Peers Stock History'!J17/'Peers Stock History'!J$1833*100</f>
        <v>191.57305523039267</v>
      </c>
      <c r="J14" s="871">
        <f>'Peers Stock History'!K17/'Peers Stock History'!K$1833*100</f>
        <v>242.25710721306518</v>
      </c>
    </row>
    <row r="15" spans="2:10">
      <c r="B15" s="870">
        <v>44596</v>
      </c>
      <c r="C15" s="871">
        <f>'Peers Stock History'!D18/'Peers Stock History'!D$1833*100</f>
        <v>133.17614424410542</v>
      </c>
      <c r="D15" s="871">
        <f>'Peers Stock History'!E18/'Peers Stock History'!E$1833*100</f>
        <v>892.44036697247702</v>
      </c>
      <c r="E15" s="871">
        <f>'Peers Stock History'!F18/'Peers Stock History'!F$1833*100</f>
        <v>929.32330827067665</v>
      </c>
      <c r="F15" s="871">
        <f>'Peers Stock History'!G18/'Peers Stock History'!G$1833*100</f>
        <v>372.94749677143983</v>
      </c>
      <c r="G15" s="871">
        <f>'Peers Stock History'!H18/'Peers Stock History'!H$1833*100</f>
        <v>286.49934462837996</v>
      </c>
      <c r="H15" s="871">
        <f>'Peers Stock History'!I18/'Peers Stock History'!I$1833*100</f>
        <v>352.606429192007</v>
      </c>
      <c r="I15" s="871">
        <f>'Peers Stock History'!J18/'Peers Stock History'!J$1833*100</f>
        <v>191.57305523039267</v>
      </c>
      <c r="J15" s="871">
        <f>'Peers Stock History'!K18/'Peers Stock History'!K$1833*100</f>
        <v>242.25710721306518</v>
      </c>
    </row>
    <row r="16" spans="2:10">
      <c r="B16" s="870">
        <v>44595</v>
      </c>
      <c r="C16" s="871">
        <f>'Peers Stock History'!D19/'Peers Stock History'!D$1833*100</f>
        <v>133.92510402219142</v>
      </c>
      <c r="D16" s="871">
        <f>'Peers Stock History'!E19/'Peers Stock History'!E$1833*100</f>
        <v>878.82568807339453</v>
      </c>
      <c r="E16" s="871">
        <f>'Peers Stock History'!F19/'Peers Stock History'!F$1833*100</f>
        <v>902.85714285714289</v>
      </c>
      <c r="F16" s="871">
        <f>'Peers Stock History'!G19/'Peers Stock History'!G$1833*100</f>
        <v>372.94749677143983</v>
      </c>
      <c r="G16" s="871">
        <f>'Peers Stock History'!H19/'Peers Stock History'!H$1833*100</f>
        <v>281.97970775280356</v>
      </c>
      <c r="H16" s="871">
        <f>'Peers Stock History'!I19/'Peers Stock History'!I$1833*100</f>
        <v>356.08166811468288</v>
      </c>
      <c r="I16" s="871">
        <f>'Peers Stock History'!J19/'Peers Stock History'!J$1833*100</f>
        <v>190.59018835798659</v>
      </c>
      <c r="J16" s="871">
        <f>'Peers Stock History'!K19/'Peers Stock History'!K$1833*100</f>
        <v>238.49061078041873</v>
      </c>
    </row>
    <row r="17" spans="2:10">
      <c r="B17" s="870">
        <v>44594</v>
      </c>
      <c r="C17" s="871">
        <f>'Peers Stock History'!D20/'Peers Stock History'!D$1833*100</f>
        <v>137.3370319001387</v>
      </c>
      <c r="D17" s="871">
        <f>'Peers Stock History'!E20/'Peers Stock History'!E$1833*100</f>
        <v>926.3119266055046</v>
      </c>
      <c r="E17" s="871">
        <f>'Peers Stock History'!F20/'Peers Stock History'!F$1833*100</f>
        <v>923.00751879699249</v>
      </c>
      <c r="F17" s="871">
        <f>'Peers Stock History'!G20/'Peers Stock History'!G$1833*100</f>
        <v>372.94749677143983</v>
      </c>
      <c r="G17" s="871">
        <f>'Peers Stock History'!H20/'Peers Stock History'!H$1833*100</f>
        <v>292.94140492256901</v>
      </c>
      <c r="H17" s="871">
        <f>'Peers Stock History'!I20/'Peers Stock History'!I$1833*100</f>
        <v>367.11555169417898</v>
      </c>
      <c r="I17" s="871">
        <f>'Peers Stock History'!J20/'Peers Stock History'!J$1833*100</f>
        <v>195.35511333404278</v>
      </c>
      <c r="J17" s="871">
        <f>'Peers Stock History'!K20/'Peers Stock History'!K$1833*100</f>
        <v>247.74801355456884</v>
      </c>
    </row>
    <row r="18" spans="2:10">
      <c r="B18" s="870">
        <v>44593</v>
      </c>
      <c r="C18" s="871">
        <f>'Peers Stock History'!D21/'Peers Stock History'!D$1833*100</f>
        <v>135.78363384188629</v>
      </c>
      <c r="D18" s="871">
        <f>'Peers Stock History'!E21/'Peers Stock History'!E$1833*100</f>
        <v>904.1467889908256</v>
      </c>
      <c r="E18" s="871">
        <f>'Peers Stock History'!F21/'Peers Stock History'!F$1833*100</f>
        <v>878.0451127819548</v>
      </c>
      <c r="F18" s="871">
        <f>'Peers Stock History'!G21/'Peers Stock History'!G$1833*100</f>
        <v>372.94749677143983</v>
      </c>
      <c r="G18" s="871">
        <f>'Peers Stock History'!H21/'Peers Stock History'!H$1833*100</f>
        <v>287.74212340404875</v>
      </c>
      <c r="H18" s="871">
        <f>'Peers Stock History'!I21/'Peers Stock History'!I$1833*100</f>
        <v>353.82276281494353</v>
      </c>
      <c r="I18" s="871">
        <f>'Peers Stock History'!J21/'Peers Stock History'!J$1833*100</f>
        <v>193.53155262317762</v>
      </c>
      <c r="J18" s="871">
        <f>'Peers Stock History'!K21/'Peers Stock History'!K$1833*100</f>
        <v>246.51861691159289</v>
      </c>
    </row>
    <row r="19" spans="2:10">
      <c r="B19" s="870">
        <v>44592</v>
      </c>
      <c r="C19" s="871">
        <f>'Peers Stock History'!D22/'Peers Stock History'!D$1833*100</f>
        <v>135.4230235783634</v>
      </c>
      <c r="D19" s="871">
        <f>'Peers Stock History'!E22/'Peers Stock History'!E$1833*100</f>
        <v>898.56880733944956</v>
      </c>
      <c r="E19" s="871">
        <f>'Peers Stock History'!F22/'Peers Stock History'!F$1833*100</f>
        <v>859.02255639097746</v>
      </c>
      <c r="F19" s="871">
        <f>'Peers Stock History'!G22/'Peers Stock History'!G$1833*100</f>
        <v>372.94749677143983</v>
      </c>
      <c r="G19" s="871">
        <f>'Peers Stock History'!H22/'Peers Stock History'!H$1833*100</f>
        <v>284.42157386280888</v>
      </c>
      <c r="H19" s="871">
        <f>'Peers Stock History'!I22/'Peers Stock History'!I$1833*100</f>
        <v>357.38488271068633</v>
      </c>
      <c r="I19" s="871">
        <f>'Peers Stock History'!J22/'Peers Stock History'!J$1833*100</f>
        <v>192.21240821538791</v>
      </c>
      <c r="J19" s="871">
        <f>'Peers Stock History'!K22/'Peers Stock History'!K$1833*100</f>
        <v>244.69507375280097</v>
      </c>
    </row>
    <row r="20" spans="2:10">
      <c r="B20" s="870">
        <v>44591</v>
      </c>
      <c r="C20" s="871">
        <f>'Peers Stock History'!D23/'Peers Stock History'!D$1833*100</f>
        <v>132.39944521497918</v>
      </c>
      <c r="D20" s="871">
        <f>'Peers Stock History'!E23/'Peers Stock History'!E$1833*100</f>
        <v>838.165137614679</v>
      </c>
      <c r="E20" s="871">
        <f>'Peers Stock History'!F23/'Peers Stock History'!F$1833*100</f>
        <v>791.27819548872174</v>
      </c>
      <c r="F20" s="871">
        <f>'Peers Stock History'!G23/'Peers Stock History'!G$1833*100</f>
        <v>372.94749677143983</v>
      </c>
      <c r="G20" s="871">
        <f>'Peers Stock History'!H23/'Peers Stock History'!H$1833*100</f>
        <v>271.90640322345746</v>
      </c>
      <c r="H20" s="871">
        <f>'Peers Stock History'!I23/'Peers Stock History'!I$1833*100</f>
        <v>344.35273675065162</v>
      </c>
      <c r="I20" s="871">
        <f>'Peers Stock History'!J23/'Peers Stock History'!J$1833*100</f>
        <v>188.64956901138663</v>
      </c>
      <c r="J20" s="871">
        <f>'Peers Stock History'!K23/'Peers Stock History'!K$1833*100</f>
        <v>236.63055208061257</v>
      </c>
    </row>
    <row r="21" spans="2:10">
      <c r="B21" s="870">
        <v>44590</v>
      </c>
      <c r="C21" s="871">
        <f>'Peers Stock History'!D24/'Peers Stock History'!D$1833*100</f>
        <v>132.39944521497918</v>
      </c>
      <c r="D21" s="871">
        <f>'Peers Stock History'!E24/'Peers Stock History'!E$1833*100</f>
        <v>838.165137614679</v>
      </c>
      <c r="E21" s="871">
        <f>'Peers Stock History'!F24/'Peers Stock History'!F$1833*100</f>
        <v>791.27819548872174</v>
      </c>
      <c r="F21" s="871">
        <f>'Peers Stock History'!G24/'Peers Stock History'!G$1833*100</f>
        <v>372.94749677143983</v>
      </c>
      <c r="G21" s="871">
        <f>'Peers Stock History'!H24/'Peers Stock History'!H$1833*100</f>
        <v>271.90640322345746</v>
      </c>
      <c r="H21" s="871">
        <f>'Peers Stock History'!I24/'Peers Stock History'!I$1833*100</f>
        <v>344.35273675065162</v>
      </c>
      <c r="I21" s="871">
        <f>'Peers Stock History'!J24/'Peers Stock History'!J$1833*100</f>
        <v>188.64956901138663</v>
      </c>
      <c r="J21" s="871">
        <f>'Peers Stock History'!K24/'Peers Stock History'!K$1833*100</f>
        <v>236.63055208061257</v>
      </c>
    </row>
    <row r="22" spans="2:10">
      <c r="B22" s="870">
        <v>44589</v>
      </c>
      <c r="C22" s="871">
        <f>'Peers Stock History'!D25/'Peers Stock History'!D$1833*100</f>
        <v>132.39944521497918</v>
      </c>
      <c r="D22" s="871">
        <f>'Peers Stock History'!E25/'Peers Stock History'!E$1833*100</f>
        <v>838.165137614679</v>
      </c>
      <c r="E22" s="871">
        <f>'Peers Stock History'!F25/'Peers Stock History'!F$1833*100</f>
        <v>791.27819548872174</v>
      </c>
      <c r="F22" s="871">
        <f>'Peers Stock History'!G25/'Peers Stock History'!G$1833*100</f>
        <v>372.94749677143983</v>
      </c>
      <c r="G22" s="871">
        <f>'Peers Stock History'!H25/'Peers Stock History'!H$1833*100</f>
        <v>271.90640322345746</v>
      </c>
      <c r="H22" s="871">
        <f>'Peers Stock History'!I25/'Peers Stock History'!I$1833*100</f>
        <v>344.35273675065162</v>
      </c>
      <c r="I22" s="871">
        <f>'Peers Stock History'!J25/'Peers Stock History'!J$1833*100</f>
        <v>188.64956901138663</v>
      </c>
      <c r="J22" s="871">
        <f>'Peers Stock History'!K25/'Peers Stock History'!K$1833*100</f>
        <v>236.63055208061257</v>
      </c>
    </row>
    <row r="23" spans="2:10">
      <c r="B23" s="870">
        <v>44588</v>
      </c>
      <c r="C23" s="871">
        <f>'Peers Stock History'!D26/'Peers Stock History'!D$1833*100</f>
        <v>133.28710124826631</v>
      </c>
      <c r="D23" s="871">
        <f>'Peers Stock History'!E26/'Peers Stock History'!E$1833*100</f>
        <v>805.28440366972484</v>
      </c>
      <c r="E23" s="871">
        <f>'Peers Stock History'!F26/'Peers Stock History'!F$1833*100</f>
        <v>771.42857142857133</v>
      </c>
      <c r="F23" s="871">
        <f>'Peers Stock History'!G26/'Peers Stock History'!G$1833*100</f>
        <v>372.94749677143983</v>
      </c>
      <c r="G23" s="871">
        <f>'Peers Stock History'!H26/'Peers Stock History'!H$1833*100</f>
        <v>263.27006165347831</v>
      </c>
      <c r="H23" s="871">
        <f>'Peers Stock History'!I26/'Peers Stock History'!I$1833*100</f>
        <v>341.96350999131192</v>
      </c>
      <c r="I23" s="871">
        <f>'Peers Stock History'!J26/'Peers Stock History'!J$1833*100</f>
        <v>184.16558476109398</v>
      </c>
      <c r="J23" s="871">
        <f>'Peers Stock History'!K26/'Peers Stock History'!K$1833*100</f>
        <v>229.45133896044982</v>
      </c>
    </row>
    <row r="24" spans="2:10">
      <c r="B24" s="870">
        <v>44587</v>
      </c>
      <c r="C24" s="871">
        <f>'Peers Stock History'!D27/'Peers Stock History'!D$1833*100</f>
        <v>143.38418862690708</v>
      </c>
      <c r="D24" s="871">
        <f>'Peers Stock History'!E27/'Peers Stock History'!E$1833*100</f>
        <v>835.66972477064212</v>
      </c>
      <c r="E24" s="871">
        <f>'Peers Stock History'!F27/'Peers Stock History'!F$1833*100</f>
        <v>832.40601503759387</v>
      </c>
      <c r="F24" s="871">
        <f>'Peers Stock History'!G27/'Peers Stock History'!G$1833*100</f>
        <v>372.94749677143983</v>
      </c>
      <c r="G24" s="871">
        <f>'Peers Stock History'!H27/'Peers Stock History'!H$1833*100</f>
        <v>270.45973105490555</v>
      </c>
      <c r="H24" s="871">
        <f>'Peers Stock History'!I27/'Peers Stock History'!I$1833*100</f>
        <v>356.08166811468288</v>
      </c>
      <c r="I24" s="871">
        <f>'Peers Stock History'!J27/'Peers Stock History'!J$1833*100</f>
        <v>185.16249866978825</v>
      </c>
      <c r="J24" s="871">
        <f>'Peers Stock History'!K27/'Peers Stock History'!K$1833*100</f>
        <v>232.70484788914399</v>
      </c>
    </row>
    <row r="25" spans="2:10">
      <c r="B25" s="870">
        <v>44586</v>
      </c>
      <c r="C25" s="871">
        <f>'Peers Stock History'!D28/'Peers Stock History'!D$1833*100</f>
        <v>141.47018030513178</v>
      </c>
      <c r="D25" s="871">
        <f>'Peers Stock History'!E28/'Peers Stock History'!E$1833*100</f>
        <v>819.2293577981651</v>
      </c>
      <c r="E25" s="871">
        <f>'Peers Stock History'!F28/'Peers Stock History'!F$1833*100</f>
        <v>835.56390977443607</v>
      </c>
      <c r="F25" s="871">
        <f>'Peers Stock History'!G28/'Peers Stock History'!G$1833*100</f>
        <v>376.25924608568164</v>
      </c>
      <c r="G25" s="871">
        <f>'Peers Stock History'!H28/'Peers Stock History'!H$1833*100</f>
        <v>259.30384970144178</v>
      </c>
      <c r="H25" s="871">
        <f>'Peers Stock History'!I28/'Peers Stock History'!I$1833*100</f>
        <v>350.65160729800175</v>
      </c>
      <c r="I25" s="871">
        <f>'Peers Stock History'!J28/'Peers Stock History'!J$1833*100</f>
        <v>185.4400340534213</v>
      </c>
      <c r="J25" s="871">
        <f>'Peers Stock History'!K28/'Peers Stock History'!K$1833*100</f>
        <v>232.65632088310903</v>
      </c>
    </row>
    <row r="26" spans="2:10">
      <c r="B26" s="870">
        <v>44585</v>
      </c>
      <c r="C26" s="871">
        <f>'Peers Stock History'!D29/'Peers Stock History'!D$1833*100</f>
        <v>144.07766990291262</v>
      </c>
      <c r="D26" s="871">
        <f>'Peers Stock History'!E29/'Peers Stock History'!E$1833*100</f>
        <v>857.6880733944954</v>
      </c>
      <c r="E26" s="871">
        <f>'Peers Stock History'!F29/'Peers Stock History'!F$1833*100</f>
        <v>876.16541353383445</v>
      </c>
      <c r="F26" s="871">
        <f>'Peers Stock History'!G29/'Peers Stock History'!G$1833*100</f>
        <v>383.74620989049748</v>
      </c>
      <c r="G26" s="871">
        <f>'Peers Stock History'!H29/'Peers Stock History'!H$1833*100</f>
        <v>262.91567551822908</v>
      </c>
      <c r="H26" s="871">
        <f>'Peers Stock History'!I29/'Peers Stock History'!I$1833*100</f>
        <v>360.33883579496091</v>
      </c>
      <c r="I26" s="871">
        <f>'Peers Stock History'!J29/'Peers Stock History'!J$1833*100</f>
        <v>187.72501862296477</v>
      </c>
      <c r="J26" s="871">
        <f>'Peers Stock History'!K29/'Peers Stock History'!K$1833*100</f>
        <v>238.08354412108383</v>
      </c>
    </row>
    <row r="27" spans="2:10">
      <c r="B27" s="870">
        <v>44584</v>
      </c>
      <c r="C27" s="871">
        <f>'Peers Stock History'!D30/'Peers Stock History'!D$1833*100</f>
        <v>144.35506241331484</v>
      </c>
      <c r="D27" s="871">
        <f>'Peers Stock History'!E30/'Peers Stock History'!E$1833*100</f>
        <v>857.76146788990832</v>
      </c>
      <c r="E27" s="871">
        <f>'Peers Stock History'!F30/'Peers Stock History'!F$1833*100</f>
        <v>893.30827067669179</v>
      </c>
      <c r="F27" s="871">
        <f>'Peers Stock History'!G30/'Peers Stock History'!G$1833*100</f>
        <v>376.54457918433144</v>
      </c>
      <c r="G27" s="871">
        <f>'Peers Stock History'!H30/'Peers Stock History'!H$1833*100</f>
        <v>258.86208068352829</v>
      </c>
      <c r="H27" s="871">
        <f>'Peers Stock History'!I30/'Peers Stock History'!I$1833*100</f>
        <v>355.90790616854912</v>
      </c>
      <c r="I27" s="871">
        <f>'Peers Stock History'!J30/'Peers Stock History'!J$1833*100</f>
        <v>187.20612961583484</v>
      </c>
      <c r="J27" s="871">
        <f>'Peers Stock History'!K30/'Peers Stock History'!K$1833*100</f>
        <v>236.60218165321751</v>
      </c>
    </row>
    <row r="28" spans="2:10">
      <c r="B28" s="870">
        <v>44583</v>
      </c>
      <c r="C28" s="871">
        <f>'Peers Stock History'!D31/'Peers Stock History'!D$1833*100</f>
        <v>144.35506241331484</v>
      </c>
      <c r="D28" s="871">
        <f>'Peers Stock History'!E31/'Peers Stock History'!E$1833*100</f>
        <v>857.76146788990832</v>
      </c>
      <c r="E28" s="871">
        <f>'Peers Stock History'!F31/'Peers Stock History'!F$1833*100</f>
        <v>893.30827067669179</v>
      </c>
      <c r="F28" s="871">
        <f>'Peers Stock History'!G31/'Peers Stock History'!G$1833*100</f>
        <v>376.54457918433144</v>
      </c>
      <c r="G28" s="871">
        <f>'Peers Stock History'!H31/'Peers Stock History'!H$1833*100</f>
        <v>258.86208068352829</v>
      </c>
      <c r="H28" s="871">
        <f>'Peers Stock History'!I31/'Peers Stock History'!I$1833*100</f>
        <v>355.90790616854912</v>
      </c>
      <c r="I28" s="871">
        <f>'Peers Stock History'!J31/'Peers Stock History'!J$1833*100</f>
        <v>187.20612961583484</v>
      </c>
      <c r="J28" s="871">
        <f>'Peers Stock History'!K31/'Peers Stock History'!K$1833*100</f>
        <v>236.60218165321751</v>
      </c>
    </row>
    <row r="29" spans="2:10">
      <c r="B29" s="870">
        <v>44582</v>
      </c>
      <c r="C29" s="871">
        <f>'Peers Stock History'!D32/'Peers Stock History'!D$1833*100</f>
        <v>144.35506241331484</v>
      </c>
      <c r="D29" s="871">
        <f>'Peers Stock History'!E32/'Peers Stock History'!E$1833*100</f>
        <v>857.76146788990832</v>
      </c>
      <c r="E29" s="871">
        <f>'Peers Stock History'!F32/'Peers Stock History'!F$1833*100</f>
        <v>893.30827067669179</v>
      </c>
      <c r="F29" s="871">
        <f>'Peers Stock History'!G32/'Peers Stock History'!G$1833*100</f>
        <v>376.54457918433144</v>
      </c>
      <c r="G29" s="871">
        <f>'Peers Stock History'!H32/'Peers Stock History'!H$1833*100</f>
        <v>258.86208068352829</v>
      </c>
      <c r="H29" s="871">
        <f>'Peers Stock History'!I32/'Peers Stock History'!I$1833*100</f>
        <v>355.90790616854912</v>
      </c>
      <c r="I29" s="871">
        <f>'Peers Stock History'!J32/'Peers Stock History'!J$1833*100</f>
        <v>187.20612961583484</v>
      </c>
      <c r="J29" s="871">
        <f>'Peers Stock History'!K32/'Peers Stock History'!K$1833*100</f>
        <v>236.60218165321751</v>
      </c>
    </row>
    <row r="30" spans="2:10">
      <c r="B30" s="870">
        <v>44581</v>
      </c>
      <c r="C30" s="871">
        <f>'Peers Stock History'!D33/'Peers Stock History'!D$1833*100</f>
        <v>144.35506241331484</v>
      </c>
      <c r="D30" s="871">
        <f>'Peers Stock History'!E33/'Peers Stock History'!E$1833*100</f>
        <v>886.2385321100918</v>
      </c>
      <c r="E30" s="871">
        <f>'Peers Stock History'!F33/'Peers Stock History'!F$1833*100</f>
        <v>916.46616541353387</v>
      </c>
      <c r="F30" s="871">
        <f>'Peers Stock History'!G33/'Peers Stock History'!G$1833*100</f>
        <v>383.37416082411198</v>
      </c>
      <c r="G30" s="871">
        <f>'Peers Stock History'!H33/'Peers Stock History'!H$1833*100</f>
        <v>265.89640273799699</v>
      </c>
      <c r="H30" s="871">
        <f>'Peers Stock History'!I33/'Peers Stock History'!I$1833*100</f>
        <v>369.5482189400521</v>
      </c>
      <c r="I30" s="871">
        <f>'Peers Stock History'!J33/'Peers Stock History'!J$1833*100</f>
        <v>190.81536660636371</v>
      </c>
      <c r="J30" s="871">
        <f>'Peers Stock History'!K33/'Peers Stock History'!K$1833*100</f>
        <v>243.21962250663299</v>
      </c>
    </row>
    <row r="31" spans="2:10">
      <c r="B31" s="870">
        <v>44580</v>
      </c>
      <c r="C31" s="871">
        <f>'Peers Stock History'!D34/'Peers Stock History'!D$1833*100</f>
        <v>148.73786407766991</v>
      </c>
      <c r="D31" s="871">
        <f>'Peers Stock History'!E34/'Peers Stock History'!E$1833*100</f>
        <v>919.88990825688074</v>
      </c>
      <c r="E31" s="871">
        <f>'Peers Stock History'!F34/'Peers Stock History'!F$1833*100</f>
        <v>964.43609022556393</v>
      </c>
      <c r="F31" s="871">
        <f>'Peers Stock History'!G34/'Peers Stock History'!G$1833*100</f>
        <v>385.1408620260662</v>
      </c>
      <c r="G31" s="871">
        <f>'Peers Stock History'!H34/'Peers Stock History'!H$1833*100</f>
        <v>273.7851352007379</v>
      </c>
      <c r="H31" s="871">
        <f>'Peers Stock History'!I34/'Peers Stock History'!I$1833*100</f>
        <v>390.96437880104259</v>
      </c>
      <c r="I31" s="871">
        <f>'Peers Stock History'!J34/'Peers Stock History'!J$1833*100</f>
        <v>192.94498244120467</v>
      </c>
      <c r="J31" s="871">
        <f>'Peers Stock History'!K34/'Peers Stock History'!K$1833*100</f>
        <v>246.41984452112231</v>
      </c>
    </row>
    <row r="32" spans="2:10">
      <c r="B32" s="870">
        <v>44579</v>
      </c>
      <c r="C32" s="871">
        <f>'Peers Stock History'!D35/'Peers Stock History'!D$1833*100</f>
        <v>151.9001386962552</v>
      </c>
      <c r="D32" s="871">
        <f>'Peers Stock History'!E35/'Peers Stock History'!E$1833*100</f>
        <v>950.56880733944945</v>
      </c>
      <c r="E32" s="871">
        <f>'Peers Stock History'!F35/'Peers Stock History'!F$1833*100</f>
        <v>991.95488721804509</v>
      </c>
      <c r="F32" s="871">
        <f>'Peers Stock History'!G35/'Peers Stock History'!G$1833*100</f>
        <v>391.02700064936778</v>
      </c>
      <c r="G32" s="871">
        <f>'Peers Stock History'!H35/'Peers Stock History'!H$1833*100</f>
        <v>280.49419874751197</v>
      </c>
      <c r="H32" s="871">
        <f>'Peers Stock History'!I35/'Peers Stock History'!I$1833*100</f>
        <v>403.43179843614251</v>
      </c>
      <c r="I32" s="871">
        <f>'Peers Stock History'!J35/'Peers Stock History'!J$1833*100</f>
        <v>194.83281898478236</v>
      </c>
      <c r="J32" s="871">
        <f>'Peers Stock History'!K35/'Peers Stock History'!K$1833*100</f>
        <v>249.28338465556826</v>
      </c>
    </row>
    <row r="33" spans="2:10">
      <c r="B33" s="870">
        <v>44578</v>
      </c>
      <c r="C33" s="871">
        <f>'Peers Stock History'!D36/'Peers Stock History'!D$1833*100</f>
        <v>154.50762829403607</v>
      </c>
      <c r="D33" s="871">
        <f>'Peers Stock History'!E36/'Peers Stock History'!E$1833*100</f>
        <v>988.6972477064221</v>
      </c>
      <c r="E33" s="871">
        <f>'Peers Stock History'!F36/'Peers Stock History'!F$1833*100</f>
        <v>1029.1729323308268</v>
      </c>
      <c r="F33" s="871">
        <f>'Peers Stock History'!G36/'Peers Stock History'!G$1833*100</f>
        <v>403.9004910933084</v>
      </c>
      <c r="G33" s="871">
        <f>'Peers Stock History'!H36/'Peers Stock History'!H$1833*100</f>
        <v>289.51405408029513</v>
      </c>
      <c r="H33" s="871">
        <f>'Peers Stock History'!I36/'Peers Stock History'!I$1833*100</f>
        <v>422.93657688966118</v>
      </c>
      <c r="I33" s="871">
        <f>'Peers Stock History'!J36/'Peers Stock History'!J$1833*100</f>
        <v>198.4824944131106</v>
      </c>
      <c r="J33" s="871">
        <f>'Peers Stock History'!K36/'Peers Stock History'!K$1833*100</f>
        <v>255.9310346012675</v>
      </c>
    </row>
    <row r="34" spans="2:10">
      <c r="B34" s="870">
        <v>44577</v>
      </c>
      <c r="C34" s="871">
        <f>'Peers Stock History'!D37/'Peers Stock History'!D$1833*100</f>
        <v>154.50762829403607</v>
      </c>
      <c r="D34" s="871">
        <f>'Peers Stock History'!E37/'Peers Stock History'!E$1833*100</f>
        <v>988.6972477064221</v>
      </c>
      <c r="E34" s="871">
        <f>'Peers Stock History'!F37/'Peers Stock History'!F$1833*100</f>
        <v>1029.1729323308268</v>
      </c>
      <c r="F34" s="871">
        <f>'Peers Stock History'!G37/'Peers Stock History'!G$1833*100</f>
        <v>396.93375292503862</v>
      </c>
      <c r="G34" s="871">
        <f>'Peers Stock History'!H37/'Peers Stock History'!H$1833*100</f>
        <v>289.51405408029513</v>
      </c>
      <c r="H34" s="871">
        <f>'Peers Stock History'!I37/'Peers Stock History'!I$1833*100</f>
        <v>422.93657688966118</v>
      </c>
      <c r="I34" s="871">
        <f>'Peers Stock History'!J37/'Peers Stock History'!J$1833*100</f>
        <v>198.4824944131106</v>
      </c>
      <c r="J34" s="871">
        <f>'Peers Stock History'!K37/'Peers Stock History'!K$1833*100</f>
        <v>255.9310346012675</v>
      </c>
    </row>
    <row r="35" spans="2:10">
      <c r="B35" s="870">
        <v>44576</v>
      </c>
      <c r="C35" s="871">
        <f>'Peers Stock History'!D38/'Peers Stock History'!D$1833*100</f>
        <v>154.50762829403607</v>
      </c>
      <c r="D35" s="871">
        <f>'Peers Stock History'!E38/'Peers Stock History'!E$1833*100</f>
        <v>988.6972477064221</v>
      </c>
      <c r="E35" s="871">
        <f>'Peers Stock History'!F38/'Peers Stock History'!F$1833*100</f>
        <v>1029.1729323308268</v>
      </c>
      <c r="F35" s="871">
        <f>'Peers Stock History'!G38/'Peers Stock History'!G$1833*100</f>
        <v>396.93375292503862</v>
      </c>
      <c r="G35" s="871">
        <f>'Peers Stock History'!H38/'Peers Stock History'!H$1833*100</f>
        <v>289.51405408029513</v>
      </c>
      <c r="H35" s="871">
        <f>'Peers Stock History'!I38/'Peers Stock History'!I$1833*100</f>
        <v>422.93657688966118</v>
      </c>
      <c r="I35" s="871">
        <f>'Peers Stock History'!J38/'Peers Stock History'!J$1833*100</f>
        <v>198.4824944131106</v>
      </c>
      <c r="J35" s="871">
        <f>'Peers Stock History'!K38/'Peers Stock History'!K$1833*100</f>
        <v>255.9310346012675</v>
      </c>
    </row>
    <row r="36" spans="2:10">
      <c r="B36" s="870">
        <v>44575</v>
      </c>
      <c r="C36" s="871">
        <f>'Peers Stock History'!D39/'Peers Stock History'!D$1833*100</f>
        <v>154.50762829403607</v>
      </c>
      <c r="D36" s="871">
        <f>'Peers Stock History'!E39/'Peers Stock History'!E$1833*100</f>
        <v>988.6972477064221</v>
      </c>
      <c r="E36" s="871">
        <f>'Peers Stock History'!F39/'Peers Stock History'!F$1833*100</f>
        <v>1029.1729323308268</v>
      </c>
      <c r="F36" s="871">
        <f>'Peers Stock History'!G39/'Peers Stock History'!G$1833*100</f>
        <v>396.93375292503862</v>
      </c>
      <c r="G36" s="871">
        <f>'Peers Stock History'!H39/'Peers Stock History'!H$1833*100</f>
        <v>289.51405408029513</v>
      </c>
      <c r="H36" s="871">
        <f>'Peers Stock History'!I39/'Peers Stock History'!I$1833*100</f>
        <v>422.93657688966118</v>
      </c>
      <c r="I36" s="871">
        <f>'Peers Stock History'!J39/'Peers Stock History'!J$1833*100</f>
        <v>198.4824944131106</v>
      </c>
      <c r="J36" s="871">
        <f>'Peers Stock History'!K39/'Peers Stock History'!K$1833*100</f>
        <v>255.9310346012675</v>
      </c>
    </row>
    <row r="37" spans="2:10">
      <c r="B37" s="870">
        <v>44574</v>
      </c>
      <c r="C37" s="871">
        <f>'Peers Stock History'!D40/'Peers Stock History'!D$1833*100</f>
        <v>152.39944521497921</v>
      </c>
      <c r="D37" s="871">
        <f>'Peers Stock History'!E40/'Peers Stock History'!E$1833*100</f>
        <v>975.22935779816521</v>
      </c>
      <c r="E37" s="871">
        <f>'Peers Stock History'!F40/'Peers Stock History'!F$1833*100</f>
        <v>998.04511278195491</v>
      </c>
      <c r="F37" s="871">
        <f>'Peers Stock History'!G40/'Peers Stock History'!G$1833*100</f>
        <v>389.09413432662893</v>
      </c>
      <c r="G37" s="871">
        <f>'Peers Stock History'!H40/'Peers Stock History'!H$1833*100</f>
        <v>289.91213165687657</v>
      </c>
      <c r="H37" s="871">
        <f>'Peers Stock History'!I40/'Peers Stock History'!I$1833*100</f>
        <v>415.37793223284103</v>
      </c>
      <c r="I37" s="871">
        <f>'Peers Stock History'!J40/'Peers Stock History'!J$1833*100</f>
        <v>198.31988932638075</v>
      </c>
      <c r="J37" s="871">
        <f>'Peers Stock History'!K40/'Peers Stock History'!K$1833*100</f>
        <v>254.43705923594021</v>
      </c>
    </row>
    <row r="38" spans="2:10">
      <c r="B38" s="870">
        <v>44573</v>
      </c>
      <c r="C38" s="871">
        <f>'Peers Stock History'!D41/'Peers Stock History'!D$1833*100</f>
        <v>154.61858529819696</v>
      </c>
      <c r="D38" s="871">
        <f>'Peers Stock History'!E41/'Peers Stock History'!E$1833*100</f>
        <v>1027.4862385321103</v>
      </c>
      <c r="E38" s="871">
        <f>'Peers Stock History'!F41/'Peers Stock History'!F$1833*100</f>
        <v>1033.609022556391</v>
      </c>
      <c r="F38" s="871">
        <f>'Peers Stock History'!G41/'Peers Stock History'!G$1833*100</f>
        <v>388.3368613719112</v>
      </c>
      <c r="G38" s="871">
        <f>'Peers Stock History'!H41/'Peers Stock History'!H$1833*100</f>
        <v>301.95640565075973</v>
      </c>
      <c r="H38" s="871">
        <f>'Peers Stock History'!I41/'Peers Stock History'!I$1833*100</f>
        <v>413.16246741963505</v>
      </c>
      <c r="I38" s="871">
        <f>'Peers Stock History'!J41/'Peers Stock History'!J$1833*100</f>
        <v>201.18548472916888</v>
      </c>
      <c r="J38" s="871">
        <f>'Peers Stock History'!K41/'Peers Stock History'!K$1833*100</f>
        <v>260.99404753722013</v>
      </c>
    </row>
    <row r="39" spans="2:10">
      <c r="B39" s="870">
        <v>44572</v>
      </c>
      <c r="C39" s="871">
        <f>'Peers Stock History'!D42/'Peers Stock History'!D$1833*100</f>
        <v>155.09015256588071</v>
      </c>
      <c r="D39" s="871">
        <f>'Peers Stock History'!E42/'Peers Stock History'!E$1833*100</f>
        <v>1020.8073394495412</v>
      </c>
      <c r="E39" s="871">
        <f>'Peers Stock History'!F42/'Peers Stock History'!F$1833*100</f>
        <v>1032.4060150375938</v>
      </c>
      <c r="F39" s="871">
        <f>'Peers Stock History'!G42/'Peers Stock History'!G$1833*100</f>
        <v>382.79213607245407</v>
      </c>
      <c r="G39" s="871">
        <f>'Peers Stock History'!H42/'Peers Stock History'!H$1833*100</f>
        <v>301.98067867372197</v>
      </c>
      <c r="H39" s="871">
        <f>'Peers Stock History'!I42/'Peers Stock History'!I$1833*100</f>
        <v>409.20938314509129</v>
      </c>
      <c r="I39" s="871">
        <f>'Peers Stock History'!J42/'Peers Stock History'!J$1833*100</f>
        <v>200.62019793551133</v>
      </c>
      <c r="J39" s="871">
        <f>'Peers Stock History'!K42/'Peers Stock History'!K$1833*100</f>
        <v>260.39359457267369</v>
      </c>
    </row>
    <row r="40" spans="2:10">
      <c r="B40" s="870">
        <v>44571</v>
      </c>
      <c r="C40" s="871">
        <f>'Peers Stock History'!D43/'Peers Stock History'!D$1833*100</f>
        <v>153.14840499306521</v>
      </c>
      <c r="D40" s="871">
        <f>'Peers Stock History'!E43/'Peers Stock History'!E$1833*100</f>
        <v>1005.5045871559633</v>
      </c>
      <c r="E40" s="871">
        <f>'Peers Stock History'!F43/'Peers Stock History'!F$1833*100</f>
        <v>992.48120300751884</v>
      </c>
      <c r="F40" s="871">
        <f>'Peers Stock History'!G43/'Peers Stock History'!G$1833*100</f>
        <v>378.21112519188887</v>
      </c>
      <c r="G40" s="871">
        <f>'Peers Stock History'!H43/'Peers Stock History'!H$1833*100</f>
        <v>301.54861886499339</v>
      </c>
      <c r="H40" s="871">
        <f>'Peers Stock History'!I43/'Peers Stock History'!I$1833*100</f>
        <v>407.86272806255431</v>
      </c>
      <c r="I40" s="871">
        <f>'Peers Stock History'!J43/'Peers Stock History'!J$1833*100</f>
        <v>198.79919123124401</v>
      </c>
      <c r="J40" s="871">
        <f>'Peers Stock History'!K43/'Peers Stock History'!K$1833*100</f>
        <v>256.77432880139668</v>
      </c>
    </row>
    <row r="41" spans="2:10">
      <c r="B41" s="870">
        <v>44570</v>
      </c>
      <c r="C41" s="871">
        <f>'Peers Stock History'!D44/'Peers Stock History'!D$1833*100</f>
        <v>148.2385575589459</v>
      </c>
      <c r="D41" s="871">
        <f>'Peers Stock History'!E44/'Peers Stock History'!E$1833*100</f>
        <v>999.88990825688086</v>
      </c>
      <c r="E41" s="871">
        <f>'Peers Stock History'!F44/'Peers Stock History'!F$1833*100</f>
        <v>992.48120300751884</v>
      </c>
      <c r="F41" s="871">
        <f>'Peers Stock History'!G44/'Peers Stock History'!G$1833*100</f>
        <v>373.60630742264431</v>
      </c>
      <c r="G41" s="871">
        <f>'Peers Stock History'!H44/'Peers Stock History'!H$1833*100</f>
        <v>300.57284334190979</v>
      </c>
      <c r="H41" s="871">
        <f>'Peers Stock History'!I44/'Peers Stock History'!I$1833*100</f>
        <v>410.29539530842749</v>
      </c>
      <c r="I41" s="871">
        <f>'Peers Stock History'!J44/'Peers Stock History'!J$1833*100</f>
        <v>199.08609130573586</v>
      </c>
      <c r="J41" s="871">
        <f>'Peers Stock History'!K44/'Peers Stock History'!K$1833*100</f>
        <v>256.65531391336629</v>
      </c>
    </row>
    <row r="42" spans="2:10">
      <c r="B42" s="870">
        <v>44569</v>
      </c>
      <c r="C42" s="871">
        <f>'Peers Stock History'!D45/'Peers Stock History'!D$1833*100</f>
        <v>148.2385575589459</v>
      </c>
      <c r="D42" s="871">
        <f>'Peers Stock History'!E45/'Peers Stock History'!E$1833*100</f>
        <v>999.88990825688086</v>
      </c>
      <c r="E42" s="871">
        <f>'Peers Stock History'!F45/'Peers Stock History'!F$1833*100</f>
        <v>992.48120300751884</v>
      </c>
      <c r="F42" s="871">
        <f>'Peers Stock History'!G45/'Peers Stock History'!G$1833*100</f>
        <v>373.60630742264431</v>
      </c>
      <c r="G42" s="871">
        <f>'Peers Stock History'!H45/'Peers Stock History'!H$1833*100</f>
        <v>300.57284334190979</v>
      </c>
      <c r="H42" s="871">
        <f>'Peers Stock History'!I45/'Peers Stock History'!I$1833*100</f>
        <v>410.29539530842749</v>
      </c>
      <c r="I42" s="871">
        <f>'Peers Stock History'!J45/'Peers Stock History'!J$1833*100</f>
        <v>199.08609130573586</v>
      </c>
      <c r="J42" s="871">
        <f>'Peers Stock History'!K45/'Peers Stock History'!K$1833*100</f>
        <v>256.65531391336629</v>
      </c>
    </row>
    <row r="43" spans="2:10">
      <c r="B43" s="870">
        <v>44568</v>
      </c>
      <c r="C43" s="871">
        <f>'Peers Stock History'!D46/'Peers Stock History'!D$1833*100</f>
        <v>148.2385575589459</v>
      </c>
      <c r="D43" s="871">
        <f>'Peers Stock History'!E46/'Peers Stock History'!E$1833*100</f>
        <v>999.88990825688086</v>
      </c>
      <c r="E43" s="871">
        <f>'Peers Stock History'!F46/'Peers Stock History'!F$1833*100</f>
        <v>992.48120300751884</v>
      </c>
      <c r="F43" s="871">
        <f>'Peers Stock History'!G46/'Peers Stock History'!G$1833*100</f>
        <v>373.60630742264431</v>
      </c>
      <c r="G43" s="871">
        <f>'Peers Stock History'!H46/'Peers Stock History'!H$1833*100</f>
        <v>300.57284334190979</v>
      </c>
      <c r="H43" s="871">
        <f>'Peers Stock History'!I46/'Peers Stock History'!I$1833*100</f>
        <v>410.29539530842749</v>
      </c>
      <c r="I43" s="871">
        <f>'Peers Stock History'!J46/'Peers Stock History'!J$1833*100</f>
        <v>199.08609130573586</v>
      </c>
      <c r="J43" s="871">
        <f>'Peers Stock History'!K46/'Peers Stock History'!K$1833*100</f>
        <v>256.65531391336629</v>
      </c>
    </row>
    <row r="44" spans="2:10">
      <c r="B44" s="870">
        <v>44567</v>
      </c>
      <c r="C44" s="871">
        <f>'Peers Stock History'!D47/'Peers Stock History'!D$1833*100</f>
        <v>149.81969486823857</v>
      </c>
      <c r="D44" s="871">
        <f>'Peers Stock History'!E47/'Peers Stock History'!E$1833*100</f>
        <v>1034.0550458715595</v>
      </c>
      <c r="E44" s="871">
        <f>'Peers Stock History'!F47/'Peers Stock History'!F$1833*100</f>
        <v>1024.2857142857142</v>
      </c>
      <c r="F44" s="871">
        <f>'Peers Stock History'!G47/'Peers Stock History'!G$1833*100</f>
        <v>378.70346940223715</v>
      </c>
      <c r="G44" s="871">
        <f>'Peers Stock History'!H47/'Peers Stock History'!H$1833*100</f>
        <v>309.25287635322098</v>
      </c>
      <c r="H44" s="871">
        <f>'Peers Stock History'!I47/'Peers Stock History'!I$1833*100</f>
        <v>415.50825369244137</v>
      </c>
      <c r="I44" s="871">
        <f>'Peers Stock History'!J47/'Peers Stock History'!J$1833*100</f>
        <v>199.89571139725447</v>
      </c>
      <c r="J44" s="871">
        <f>'Peers Stock History'!K47/'Peers Stock History'!K$1833*100</f>
        <v>259.14632679433078</v>
      </c>
    </row>
    <row r="45" spans="2:10">
      <c r="B45" s="870">
        <v>44566</v>
      </c>
      <c r="C45" s="871">
        <f>'Peers Stock History'!D48/'Peers Stock History'!D$1833*100</f>
        <v>149.43134535367545</v>
      </c>
      <c r="D45" s="871">
        <f>'Peers Stock History'!E48/'Peers Stock History'!E$1833*100</f>
        <v>1012.9908256880734</v>
      </c>
      <c r="E45" s="871">
        <f>'Peers Stock History'!F48/'Peers Stock History'!F$1833*100</f>
        <v>1023.6842105263157</v>
      </c>
      <c r="F45" s="871">
        <f>'Peers Stock History'!G48/'Peers Stock History'!G$1833*100</f>
        <v>382.99323560841987</v>
      </c>
      <c r="G45" s="871">
        <f>'Peers Stock History'!H48/'Peers Stock History'!H$1833*100</f>
        <v>312.15107529491723</v>
      </c>
      <c r="H45" s="871">
        <f>'Peers Stock History'!I48/'Peers Stock History'!I$1833*100</f>
        <v>410.07819287576029</v>
      </c>
      <c r="I45" s="871">
        <f>'Peers Stock History'!J48/'Peers Stock History'!J$1833*100</f>
        <v>200.08853889539213</v>
      </c>
      <c r="J45" s="871">
        <f>'Peers Stock History'!K48/'Peers Stock History'!K$1833*100</f>
        <v>259.4781284797163</v>
      </c>
    </row>
    <row r="46" spans="2:10">
      <c r="B46" s="870">
        <v>44565</v>
      </c>
      <c r="C46" s="871">
        <f>'Peers Stock History'!D49/'Peers Stock History'!D$1833*100</f>
        <v>147.40638002773926</v>
      </c>
      <c r="D46" s="871">
        <f>'Peers Stock History'!E49/'Peers Stock History'!E$1833*100</f>
        <v>1074.8623853211009</v>
      </c>
      <c r="E46" s="871">
        <f>'Peers Stock History'!F49/'Peers Stock History'!F$1833*100</f>
        <v>1085.8646616541353</v>
      </c>
      <c r="F46" s="871">
        <f>'Peers Stock History'!G49/'Peers Stock History'!G$1833*100</f>
        <v>387.62369862987401</v>
      </c>
      <c r="G46" s="871">
        <f>'Peers Stock History'!H49/'Peers Stock History'!H$1833*100</f>
        <v>325.70513131705422</v>
      </c>
      <c r="H46" s="871">
        <f>'Peers Stock History'!I49/'Peers Stock History'!I$1833*100</f>
        <v>418.50564726324933</v>
      </c>
      <c r="I46" s="871">
        <f>'Peers Stock History'!J49/'Peers Stock History'!J$1833*100</f>
        <v>204.045546450995</v>
      </c>
      <c r="J46" s="871">
        <f>'Peers Stock History'!K49/'Peers Stock History'!K$1833*100</f>
        <v>268.4574117097178</v>
      </c>
    </row>
    <row r="47" spans="2:10">
      <c r="B47" s="870">
        <v>44564</v>
      </c>
      <c r="C47" s="871">
        <f>'Peers Stock History'!D50/'Peers Stock History'!D$1833*100</f>
        <v>147.60055478502082</v>
      </c>
      <c r="D47" s="871">
        <f>'Peers Stock History'!E50/'Peers Stock History'!E$1833*100</f>
        <v>1105.3577981651376</v>
      </c>
      <c r="E47" s="871">
        <f>'Peers Stock History'!F50/'Peers Stock History'!F$1833*100</f>
        <v>1129.624060150376</v>
      </c>
      <c r="F47" s="871">
        <f>'Peers Stock History'!G50/'Peers Stock History'!G$1833*100</f>
        <v>371.40791435758359</v>
      </c>
      <c r="G47" s="871">
        <f>'Peers Stock History'!H50/'Peers Stock History'!H$1833*100</f>
        <v>322.01563182678774</v>
      </c>
      <c r="H47" s="871">
        <f>'Peers Stock History'!I50/'Peers Stock History'!I$1833*100</f>
        <v>415.94265855777587</v>
      </c>
      <c r="I47" s="871">
        <f>'Peers Stock History'!J50/'Peers Stock History'!J$1833*100</f>
        <v>204.17409811642014</v>
      </c>
      <c r="J47" s="871">
        <f>'Peers Stock History'!K50/'Peers Stock History'!K$1833*100</f>
        <v>272.06739823763115</v>
      </c>
    </row>
    <row r="48" spans="2:10">
      <c r="B48" s="870">
        <v>44563</v>
      </c>
      <c r="C48" s="871">
        <f>'Peers Stock History'!D51/'Peers Stock History'!D$1833*100</f>
        <v>142.85714285714286</v>
      </c>
      <c r="D48" s="871">
        <f>'Peers Stock History'!E51/'Peers Stock History'!E$1833*100</f>
        <v>1079.3027522935781</v>
      </c>
      <c r="E48" s="871">
        <f>'Peers Stock History'!F51/'Peers Stock History'!F$1833*100</f>
        <v>1081.9548872180451</v>
      </c>
      <c r="F48" s="871">
        <f>'Peers Stock History'!G51/'Peers Stock History'!G$1833*100</f>
        <v>360.88036205271658</v>
      </c>
      <c r="G48" s="871">
        <f>'Peers Stock History'!H51/'Peers Stock History'!H$1833*100</f>
        <v>323.03024418661096</v>
      </c>
      <c r="H48" s="871">
        <f>'Peers Stock History'!I51/'Peers Stock History'!I$1833*100</f>
        <v>404.6481320590791</v>
      </c>
      <c r="I48" s="871">
        <f>'Peers Stock History'!J51/'Peers Stock History'!J$1833*100</f>
        <v>202.88091944237524</v>
      </c>
      <c r="J48" s="871">
        <f>'Peers Stock History'!K51/'Peers Stock History'!K$1833*100</f>
        <v>268.83980245521906</v>
      </c>
    </row>
    <row r="49" spans="2:10">
      <c r="B49" s="870">
        <v>44562</v>
      </c>
      <c r="C49" s="871">
        <f>'Peers Stock History'!D52/'Peers Stock History'!D$1833*100</f>
        <v>142.85714285714286</v>
      </c>
      <c r="D49" s="871">
        <f>'Peers Stock History'!E52/'Peers Stock History'!E$1833*100</f>
        <v>1079.3027522935781</v>
      </c>
      <c r="E49" s="871">
        <f>'Peers Stock History'!F52/'Peers Stock History'!F$1833*100</f>
        <v>1081.9548872180451</v>
      </c>
      <c r="F49" s="871">
        <f>'Peers Stock History'!G52/'Peers Stock History'!G$1833*100</f>
        <v>360.88036205271658</v>
      </c>
      <c r="G49" s="871">
        <f>'Peers Stock History'!H52/'Peers Stock History'!H$1833*100</f>
        <v>323.03024418661096</v>
      </c>
      <c r="H49" s="871">
        <f>'Peers Stock History'!I52/'Peers Stock History'!I$1833*100</f>
        <v>404.6481320590791</v>
      </c>
      <c r="I49" s="871">
        <f>'Peers Stock History'!J52/'Peers Stock History'!J$1833*100</f>
        <v>202.88091944237524</v>
      </c>
      <c r="J49" s="871">
        <f>'Peers Stock History'!K52/'Peers Stock History'!K$1833*100</f>
        <v>268.83980245521906</v>
      </c>
    </row>
    <row r="50" spans="2:10">
      <c r="B50" s="870">
        <v>44561</v>
      </c>
      <c r="C50" s="871">
        <f>'Peers Stock History'!D53/'Peers Stock History'!D$1833*100</f>
        <v>142.85714285714286</v>
      </c>
      <c r="D50" s="871">
        <f>'Peers Stock History'!E53/'Peers Stock History'!E$1833*100</f>
        <v>1079.3027522935781</v>
      </c>
      <c r="E50" s="871">
        <f>'Peers Stock History'!F53/'Peers Stock History'!F$1833*100</f>
        <v>1081.9548872180451</v>
      </c>
      <c r="F50" s="871">
        <f>'Peers Stock History'!G53/'Peers Stock History'!G$1833*100</f>
        <v>360.88036205271658</v>
      </c>
      <c r="G50" s="871">
        <f>'Peers Stock History'!H53/'Peers Stock History'!H$1833*100</f>
        <v>323.03024418661096</v>
      </c>
      <c r="H50" s="871">
        <f>'Peers Stock History'!I53/'Peers Stock History'!I$1833*100</f>
        <v>404.6481320590791</v>
      </c>
      <c r="I50" s="871">
        <f>'Peers Stock History'!J53/'Peers Stock History'!J$1833*100</f>
        <v>202.88091944237524</v>
      </c>
      <c r="J50" s="871">
        <f>'Peers Stock History'!K53/'Peers Stock History'!K$1833*100</f>
        <v>268.83980245521906</v>
      </c>
    </row>
    <row r="51" spans="2:10">
      <c r="B51" s="870">
        <v>44560</v>
      </c>
      <c r="C51" s="871">
        <f>'Peers Stock History'!D54/'Peers Stock History'!D$1833*100</f>
        <v>143.5228848821082</v>
      </c>
      <c r="D51" s="871">
        <f>'Peers Stock History'!E54/'Peers Stock History'!E$1833*100</f>
        <v>1085.724770642202</v>
      </c>
      <c r="E51" s="871">
        <f>'Peers Stock History'!F54/'Peers Stock History'!F$1833*100</f>
        <v>1091.3533834586467</v>
      </c>
      <c r="F51" s="871">
        <f>'Peers Stock History'!G54/'Peers Stock History'!G$1833*100</f>
        <v>360.88036205271658</v>
      </c>
      <c r="G51" s="871">
        <f>'Peers Stock History'!H54/'Peers Stock History'!H$1833*100</f>
        <v>322.87004223506</v>
      </c>
      <c r="H51" s="871">
        <f>'Peers Stock History'!I54/'Peers Stock History'!I$1833*100</f>
        <v>407.86272806255431</v>
      </c>
      <c r="I51" s="871">
        <f>'Peers Stock History'!J54/'Peers Stock History'!J$1833*100</f>
        <v>203.41513248909226</v>
      </c>
      <c r="J51" s="871">
        <f>'Peers Stock History'!K54/'Peers Stock History'!K$1833*100</f>
        <v>270.49963570377906</v>
      </c>
    </row>
    <row r="52" spans="2:10">
      <c r="B52" s="870">
        <v>44559</v>
      </c>
      <c r="C52" s="871">
        <f>'Peers Stock History'!D55/'Peers Stock History'!D$1833*100</f>
        <v>143.77253814147019</v>
      </c>
      <c r="D52" s="871">
        <f>'Peers Stock History'!E55/'Peers Stock History'!E$1833*100</f>
        <v>1100.954128440367</v>
      </c>
      <c r="E52" s="871">
        <f>'Peers Stock History'!F55/'Peers Stock History'!F$1833*100</f>
        <v>1114.7368421052631</v>
      </c>
      <c r="F52" s="871">
        <f>'Peers Stock History'!G55/'Peers Stock History'!G$1833*100</f>
        <v>362.59200291621727</v>
      </c>
      <c r="G52" s="871">
        <f>'Peers Stock History'!H55/'Peers Stock History'!H$1833*100</f>
        <v>326.52555949317923</v>
      </c>
      <c r="H52" s="871">
        <f>'Peers Stock History'!I55/'Peers Stock History'!I$1833*100</f>
        <v>417.76715899218073</v>
      </c>
      <c r="I52" s="871">
        <f>'Peers Stock History'!J55/'Peers Stock History'!J$1833*100</f>
        <v>204.02511439821222</v>
      </c>
      <c r="J52" s="871">
        <f>'Peers Stock History'!K55/'Peers Stock History'!K$1833*100</f>
        <v>270.92325034711246</v>
      </c>
    </row>
    <row r="53" spans="2:10">
      <c r="B53" s="870">
        <v>44558</v>
      </c>
      <c r="C53" s="871">
        <f>'Peers Stock History'!D56/'Peers Stock History'!D$1833*100</f>
        <v>143.57836338418863</v>
      </c>
      <c r="D53" s="871">
        <f>'Peers Stock History'!E56/'Peers Stock History'!E$1833*100</f>
        <v>1112.7339449541284</v>
      </c>
      <c r="E53" s="871">
        <f>'Peers Stock History'!F56/'Peers Stock History'!F$1833*100</f>
        <v>1151.5037593984962</v>
      </c>
      <c r="F53" s="871">
        <f>'Peers Stock History'!G56/'Peers Stock History'!G$1833*100</f>
        <v>362.08199047504178</v>
      </c>
      <c r="G53" s="871">
        <f>'Peers Stock History'!H56/'Peers Stock History'!H$1833*100</f>
        <v>324.77304723530267</v>
      </c>
      <c r="H53" s="871">
        <f>'Peers Stock History'!I56/'Peers Stock History'!I$1833*100</f>
        <v>403.73588184187656</v>
      </c>
      <c r="I53" s="871">
        <f>'Peers Stock History'!J56/'Peers Stock History'!J$1833*100</f>
        <v>203.73949132701927</v>
      </c>
      <c r="J53" s="871">
        <f>'Peers Stock History'!K56/'Peers Stock History'!K$1833*100</f>
        <v>271.18971928570448</v>
      </c>
    </row>
    <row r="54" spans="2:10">
      <c r="B54" s="870">
        <v>44557</v>
      </c>
      <c r="C54" s="871">
        <f>'Peers Stock History'!D57/'Peers Stock History'!D$1833*100</f>
        <v>144.07766990291262</v>
      </c>
      <c r="D54" s="871">
        <f>'Peers Stock History'!E57/'Peers Stock History'!E$1833*100</f>
        <v>1135.5963302752293</v>
      </c>
      <c r="E54" s="871">
        <f>'Peers Stock History'!F57/'Peers Stock History'!F$1833*100</f>
        <v>1160.6015037593986</v>
      </c>
      <c r="F54" s="871">
        <f>'Peers Stock History'!G57/'Peers Stock History'!G$1833*100</f>
        <v>356.04871004155927</v>
      </c>
      <c r="G54" s="871">
        <f>'Peers Stock History'!H57/'Peers Stock History'!H$1833*100</f>
        <v>327.33627846011939</v>
      </c>
      <c r="H54" s="871">
        <f>'Peers Stock History'!I57/'Peers Stock History'!I$1833*100</f>
        <v>410.20851433536063</v>
      </c>
      <c r="I54" s="871">
        <f>'Peers Stock History'!J57/'Peers Stock History'!J$1833*100</f>
        <v>203.9455145259125</v>
      </c>
      <c r="J54" s="871">
        <f>'Peers Stock History'!K57/'Peers Stock History'!K$1833*100</f>
        <v>272.72833812188117</v>
      </c>
    </row>
    <row r="55" spans="2:10">
      <c r="B55" s="870">
        <v>44556</v>
      </c>
      <c r="C55" s="871">
        <f>'Peers Stock History'!D58/'Peers Stock History'!D$1833*100</f>
        <v>142.33009708737865</v>
      </c>
      <c r="D55" s="871">
        <f>'Peers Stock History'!E58/'Peers Stock History'!E$1833*100</f>
        <v>1087.7064220183483</v>
      </c>
      <c r="E55" s="871">
        <f>'Peers Stock History'!F58/'Peers Stock History'!F$1833*100</f>
        <v>1098.796992481203</v>
      </c>
      <c r="F55" s="871">
        <f>'Peers Stock History'!G58/'Peers Stock History'!G$1833*100</f>
        <v>354.98902534092952</v>
      </c>
      <c r="G55" s="871">
        <f>'Peers Stock History'!H58/'Peers Stock History'!H$1833*100</f>
        <v>322.73411330647116</v>
      </c>
      <c r="H55" s="871">
        <f>'Peers Stock History'!I58/'Peers Stock History'!I$1833*100</f>
        <v>410.16507384882709</v>
      </c>
      <c r="I55" s="871">
        <f>'Peers Stock History'!J58/'Peers Stock History'!J$1833*100</f>
        <v>201.16164733425563</v>
      </c>
      <c r="J55" s="871">
        <f>'Peers Stock History'!K58/'Peers Stock History'!K$1833*100</f>
        <v>268.98419779222746</v>
      </c>
    </row>
    <row r="56" spans="2:10">
      <c r="B56" s="870">
        <v>44555</v>
      </c>
      <c r="C56" s="871">
        <f>'Peers Stock History'!D59/'Peers Stock History'!D$1833*100</f>
        <v>142.33009708737865</v>
      </c>
      <c r="D56" s="871">
        <f>'Peers Stock History'!E59/'Peers Stock History'!E$1833*100</f>
        <v>1087.7064220183483</v>
      </c>
      <c r="E56" s="871">
        <f>'Peers Stock History'!F59/'Peers Stock History'!F$1833*100</f>
        <v>1098.796992481203</v>
      </c>
      <c r="F56" s="871">
        <f>'Peers Stock History'!G59/'Peers Stock History'!G$1833*100</f>
        <v>354.98902534092952</v>
      </c>
      <c r="G56" s="871">
        <f>'Peers Stock History'!H59/'Peers Stock History'!H$1833*100</f>
        <v>322.73411330647116</v>
      </c>
      <c r="H56" s="871">
        <f>'Peers Stock History'!I59/'Peers Stock History'!I$1833*100</f>
        <v>410.16507384882709</v>
      </c>
      <c r="I56" s="871">
        <f>'Peers Stock History'!J59/'Peers Stock History'!J$1833*100</f>
        <v>201.16164733425563</v>
      </c>
      <c r="J56" s="871">
        <f>'Peers Stock History'!K59/'Peers Stock History'!K$1833*100</f>
        <v>268.98419779222746</v>
      </c>
    </row>
    <row r="57" spans="2:10">
      <c r="B57" s="870">
        <v>44554</v>
      </c>
      <c r="C57" s="871">
        <f>'Peers Stock History'!D60/'Peers Stock History'!D$1833*100</f>
        <v>142.33009708737865</v>
      </c>
      <c r="D57" s="871">
        <f>'Peers Stock History'!E60/'Peers Stock History'!E$1833*100</f>
        <v>1087.7064220183483</v>
      </c>
      <c r="E57" s="871">
        <f>'Peers Stock History'!F60/'Peers Stock History'!F$1833*100</f>
        <v>1098.796992481203</v>
      </c>
      <c r="F57" s="871">
        <f>'Peers Stock History'!G60/'Peers Stock History'!G$1833*100</f>
        <v>354.98902534092952</v>
      </c>
      <c r="G57" s="871">
        <f>'Peers Stock History'!H60/'Peers Stock History'!H$1833*100</f>
        <v>322.73411330647116</v>
      </c>
      <c r="H57" s="871">
        <f>'Peers Stock History'!I60/'Peers Stock History'!I$1833*100</f>
        <v>410.16507384882709</v>
      </c>
      <c r="I57" s="871">
        <f>'Peers Stock History'!J60/'Peers Stock History'!J$1833*100</f>
        <v>201.16164733425563</v>
      </c>
      <c r="J57" s="871">
        <f>'Peers Stock History'!K60/'Peers Stock History'!K$1833*100</f>
        <v>268.98419779222746</v>
      </c>
    </row>
    <row r="58" spans="2:10">
      <c r="B58" s="870">
        <v>44553</v>
      </c>
      <c r="C58" s="871">
        <f>'Peers Stock History'!D61/'Peers Stock History'!D$1833*100</f>
        <v>142.33009708737865</v>
      </c>
      <c r="D58" s="871">
        <f>'Peers Stock History'!E61/'Peers Stock History'!E$1833*100</f>
        <v>1087.7064220183483</v>
      </c>
      <c r="E58" s="871">
        <f>'Peers Stock History'!F61/'Peers Stock History'!F$1833*100</f>
        <v>1098.796992481203</v>
      </c>
      <c r="F58" s="871">
        <f>'Peers Stock History'!G61/'Peers Stock History'!G$1833*100</f>
        <v>355.97156808293136</v>
      </c>
      <c r="G58" s="871">
        <f>'Peers Stock History'!H61/'Peers Stock History'!H$1833*100</f>
        <v>322.73411330647116</v>
      </c>
      <c r="H58" s="871">
        <f>'Peers Stock History'!I61/'Peers Stock History'!I$1833*100</f>
        <v>410.16507384882709</v>
      </c>
      <c r="I58" s="871">
        <f>'Peers Stock History'!J61/'Peers Stock History'!J$1833*100</f>
        <v>201.16164733425563</v>
      </c>
      <c r="J58" s="871">
        <f>'Peers Stock History'!K61/'Peers Stock History'!K$1833*100</f>
        <v>268.98419779222746</v>
      </c>
    </row>
    <row r="59" spans="2:10">
      <c r="B59" s="870">
        <v>44552</v>
      </c>
      <c r="C59" s="871">
        <f>'Peers Stock History'!D62/'Peers Stock History'!D$1833*100</f>
        <v>141.38696255201111</v>
      </c>
      <c r="D59" s="871">
        <f>'Peers Stock History'!E62/'Peers Stock History'!E$1833*100</f>
        <v>1078.8990825688072</v>
      </c>
      <c r="E59" s="871">
        <f>'Peers Stock History'!F62/'Peers Stock History'!F$1833*100</f>
        <v>1081.8045112781954</v>
      </c>
      <c r="F59" s="871">
        <f>'Peers Stock History'!G62/'Peers Stock History'!G$1833*100</f>
        <v>351.57112096813921</v>
      </c>
      <c r="G59" s="871">
        <f>'Peers Stock History'!H62/'Peers Stock History'!H$1833*100</f>
        <v>318.0736928977135</v>
      </c>
      <c r="H59" s="871">
        <f>'Peers Stock History'!I62/'Peers Stock History'!I$1833*100</f>
        <v>392.44135534317985</v>
      </c>
      <c r="I59" s="871">
        <f>'Peers Stock History'!J62/'Peers Stock History'!J$1833*100</f>
        <v>199.91742045333618</v>
      </c>
      <c r="J59" s="871">
        <f>'Peers Stock History'!K62/'Peers Stock History'!K$1833*100</f>
        <v>266.72483950345736</v>
      </c>
    </row>
    <row r="60" spans="2:10">
      <c r="B60" s="870">
        <v>44551</v>
      </c>
      <c r="C60" s="871">
        <f>'Peers Stock History'!D63/'Peers Stock History'!D$1833*100</f>
        <v>140.83217753120667</v>
      </c>
      <c r="D60" s="871">
        <f>'Peers Stock History'!E63/'Peers Stock History'!E$1833*100</f>
        <v>1066.9724770642201</v>
      </c>
      <c r="E60" s="871">
        <f>'Peers Stock History'!F63/'Peers Stock History'!F$1833*100</f>
        <v>1084.5864661654134</v>
      </c>
      <c r="F60" s="871">
        <f>'Peers Stock History'!G63/'Peers Stock History'!G$1833*100</f>
        <v>349.37280544720164</v>
      </c>
      <c r="G60" s="871">
        <f>'Peers Stock History'!H63/'Peers Stock History'!H$1833*100</f>
        <v>313.72396718287297</v>
      </c>
      <c r="H60" s="871">
        <f>'Peers Stock History'!I63/'Peers Stock History'!I$1833*100</f>
        <v>393.91833188531717</v>
      </c>
      <c r="I60" s="871">
        <f>'Peers Stock History'!J63/'Peers Stock History'!J$1833*100</f>
        <v>197.90273491539853</v>
      </c>
      <c r="J60" s="871">
        <f>'Peers Stock History'!K63/'Peers Stock History'!K$1833*100</f>
        <v>263.61792543612444</v>
      </c>
    </row>
    <row r="61" spans="2:10">
      <c r="B61" s="870">
        <v>44550</v>
      </c>
      <c r="C61" s="871">
        <f>'Peers Stock History'!D64/'Peers Stock History'!D$1833*100</f>
        <v>137.58668515950069</v>
      </c>
      <c r="D61" s="871">
        <f>'Peers Stock History'!E64/'Peers Stock History'!E$1833*100</f>
        <v>1017.2110091743119</v>
      </c>
      <c r="E61" s="871">
        <f>'Peers Stock History'!F64/'Peers Stock History'!F$1833*100</f>
        <v>1021.0526315789474</v>
      </c>
      <c r="F61" s="871">
        <f>'Peers Stock History'!G64/'Peers Stock History'!G$1833*100</f>
        <v>349.21679597871531</v>
      </c>
      <c r="G61" s="871">
        <f>'Peers Stock History'!H64/'Peers Stock History'!H$1833*100</f>
        <v>313.13656002718579</v>
      </c>
      <c r="H61" s="871">
        <f>'Peers Stock History'!I64/'Peers Stock History'!I$1833*100</f>
        <v>356.34231103388362</v>
      </c>
      <c r="I61" s="871">
        <f>'Peers Stock History'!J64/'Peers Stock History'!J$1833*100</f>
        <v>194.44588698520806</v>
      </c>
      <c r="J61" s="871">
        <f>'Peers Stock History'!K64/'Peers Stock History'!K$1833*100</f>
        <v>257.42930591259642</v>
      </c>
    </row>
    <row r="62" spans="2:10">
      <c r="B62" s="870">
        <v>44549</v>
      </c>
      <c r="C62" s="871">
        <f>'Peers Stock History'!D65/'Peers Stock History'!D$1833*100</f>
        <v>140.41608876560335</v>
      </c>
      <c r="D62" s="871">
        <f>'Peers Stock History'!E65/'Peers Stock History'!E$1833*100</f>
        <v>1020.2201834862384</v>
      </c>
      <c r="E62" s="871">
        <f>'Peers Stock History'!F65/'Peers Stock History'!F$1833*100</f>
        <v>1035.7142857142856</v>
      </c>
      <c r="F62" s="871">
        <f>'Peers Stock History'!G65/'Peers Stock History'!G$1833*100</f>
        <v>354.82923065573692</v>
      </c>
      <c r="G62" s="871">
        <f>'Peers Stock History'!H65/'Peers Stock History'!H$1833*100</f>
        <v>308.24797320258261</v>
      </c>
      <c r="H62" s="871">
        <f>'Peers Stock History'!I65/'Peers Stock History'!I$1833*100</f>
        <v>360.55603822762816</v>
      </c>
      <c r="I62" s="871">
        <f>'Peers Stock History'!J65/'Peers Stock History'!J$1833*100</f>
        <v>196.68575077152283</v>
      </c>
      <c r="J62" s="871">
        <f>'Peers Stock History'!K65/'Peers Stock History'!K$1833*100</f>
        <v>260.67253893845458</v>
      </c>
    </row>
    <row r="63" spans="2:10">
      <c r="B63" s="870">
        <v>44548</v>
      </c>
      <c r="C63" s="871">
        <f>'Peers Stock History'!D66/'Peers Stock History'!D$1833*100</f>
        <v>140.41608876560335</v>
      </c>
      <c r="D63" s="871">
        <f>'Peers Stock History'!E66/'Peers Stock History'!E$1833*100</f>
        <v>1020.2201834862384</v>
      </c>
      <c r="E63" s="871">
        <f>'Peers Stock History'!F66/'Peers Stock History'!F$1833*100</f>
        <v>1035.7142857142856</v>
      </c>
      <c r="F63" s="871">
        <f>'Peers Stock History'!G66/'Peers Stock History'!G$1833*100</f>
        <v>354.82923065573692</v>
      </c>
      <c r="G63" s="871">
        <f>'Peers Stock History'!H66/'Peers Stock History'!H$1833*100</f>
        <v>308.24797320258261</v>
      </c>
      <c r="H63" s="871">
        <f>'Peers Stock History'!I66/'Peers Stock History'!I$1833*100</f>
        <v>360.55603822762816</v>
      </c>
      <c r="I63" s="871">
        <f>'Peers Stock History'!J66/'Peers Stock History'!J$1833*100</f>
        <v>196.68575077152283</v>
      </c>
      <c r="J63" s="871">
        <f>'Peers Stock History'!K66/'Peers Stock History'!K$1833*100</f>
        <v>260.67253893845458</v>
      </c>
    </row>
    <row r="64" spans="2:10">
      <c r="B64" s="870">
        <v>44547</v>
      </c>
      <c r="C64" s="871">
        <f>'Peers Stock History'!D67/'Peers Stock History'!D$1833*100</f>
        <v>140.41608876560335</v>
      </c>
      <c r="D64" s="871">
        <f>'Peers Stock History'!E67/'Peers Stock History'!E$1833*100</f>
        <v>1020.2201834862384</v>
      </c>
      <c r="E64" s="871">
        <f>'Peers Stock History'!F67/'Peers Stock History'!F$1833*100</f>
        <v>1035.7142857142856</v>
      </c>
      <c r="F64" s="871">
        <f>'Peers Stock History'!G67/'Peers Stock History'!G$1833*100</f>
        <v>354.82923065573692</v>
      </c>
      <c r="G64" s="871">
        <f>'Peers Stock History'!H67/'Peers Stock History'!H$1833*100</f>
        <v>308.24797320258261</v>
      </c>
      <c r="H64" s="871">
        <f>'Peers Stock History'!I67/'Peers Stock History'!I$1833*100</f>
        <v>360.55603822762816</v>
      </c>
      <c r="I64" s="871">
        <f>'Peers Stock History'!J67/'Peers Stock History'!J$1833*100</f>
        <v>196.68575077152283</v>
      </c>
      <c r="J64" s="871">
        <f>'Peers Stock History'!K67/'Peers Stock History'!K$1833*100</f>
        <v>260.67253893845458</v>
      </c>
    </row>
    <row r="65" spans="2:10">
      <c r="B65" s="870">
        <v>44546</v>
      </c>
      <c r="C65" s="871">
        <f>'Peers Stock History'!D68/'Peers Stock History'!D$1833*100</f>
        <v>140.998613037448</v>
      </c>
      <c r="D65" s="871">
        <f>'Peers Stock History'!E68/'Peers Stock History'!E$1833*100</f>
        <v>1041.724770642202</v>
      </c>
      <c r="E65" s="871">
        <f>'Peers Stock History'!F68/'Peers Stock History'!F$1833*100</f>
        <v>1042.4060150375938</v>
      </c>
      <c r="F65" s="871">
        <f>'Peers Stock History'!G68/'Peers Stock History'!G$1833*100</f>
        <v>353.91446487174261</v>
      </c>
      <c r="G65" s="871">
        <f>'Peers Stock History'!H68/'Peers Stock History'!H$1833*100</f>
        <v>301.3155978445555</v>
      </c>
      <c r="H65" s="871">
        <f>'Peers Stock History'!I68/'Peers Stock History'!I$1833*100</f>
        <v>359.20938314509124</v>
      </c>
      <c r="I65" s="871">
        <f>'Peers Stock History'!J68/'Peers Stock History'!J$1833*100</f>
        <v>198.73023305310207</v>
      </c>
      <c r="J65" s="871">
        <f>'Peers Stock History'!K68/'Peers Stock History'!K$1833*100</f>
        <v>260.85731616787871</v>
      </c>
    </row>
    <row r="66" spans="2:10">
      <c r="B66" s="870">
        <v>44545</v>
      </c>
      <c r="C66" s="871">
        <f>'Peers Stock History'!D69/'Peers Stock History'!D$1833*100</f>
        <v>140.55478502080445</v>
      </c>
      <c r="D66" s="871">
        <f>'Peers Stock History'!E69/'Peers Stock History'!E$1833*100</f>
        <v>1117.7614678899081</v>
      </c>
      <c r="E66" s="871">
        <f>'Peers Stock History'!F69/'Peers Stock History'!F$1833*100</f>
        <v>1101.5037593984962</v>
      </c>
      <c r="F66" s="871">
        <f>'Peers Stock History'!G69/'Peers Stock History'!G$1833*100</f>
        <v>351.33067421322011</v>
      </c>
      <c r="G66" s="871">
        <f>'Peers Stock History'!H69/'Peers Stock History'!H$1833*100</f>
        <v>310.62672945288608</v>
      </c>
      <c r="H66" s="871">
        <f>'Peers Stock History'!I69/'Peers Stock History'!I$1833*100</f>
        <v>372.11120764552561</v>
      </c>
      <c r="I66" s="871">
        <f>'Peers Stock History'!J69/'Peers Stock History'!J$1833*100</f>
        <v>200.48313291476006</v>
      </c>
      <c r="J66" s="871">
        <f>'Peers Stock History'!K69/'Peers Stock History'!K$1833*100</f>
        <v>267.47561621049448</v>
      </c>
    </row>
    <row r="67" spans="2:10">
      <c r="B67" s="870">
        <v>44544</v>
      </c>
      <c r="C67" s="871">
        <f>'Peers Stock History'!D70/'Peers Stock History'!D$1833*100</f>
        <v>137.86407766990294</v>
      </c>
      <c r="D67" s="871">
        <f>'Peers Stock History'!E70/'Peers Stock History'!E$1833*100</f>
        <v>1039.8899082568807</v>
      </c>
      <c r="E67" s="871">
        <f>'Peers Stock History'!F70/'Peers Stock History'!F$1833*100</f>
        <v>1019.5488721804511</v>
      </c>
      <c r="F67" s="871">
        <f>'Peers Stock History'!G70/'Peers Stock History'!G$1833*100</f>
        <v>350.10240962023136</v>
      </c>
      <c r="G67" s="871">
        <f>'Peers Stock History'!H70/'Peers Stock History'!H$1833*100</f>
        <v>298.51449099470841</v>
      </c>
      <c r="H67" s="871">
        <f>'Peers Stock History'!I70/'Peers Stock History'!I$1833*100</f>
        <v>361.81581233709824</v>
      </c>
      <c r="I67" s="871">
        <f>'Peers Stock History'!J70/'Peers Stock History'!J$1833*100</f>
        <v>197.25827391720762</v>
      </c>
      <c r="J67" s="871">
        <f>'Peers Stock History'!K70/'Peers Stock History'!K$1833*100</f>
        <v>261.84031453198247</v>
      </c>
    </row>
    <row r="68" spans="2:10">
      <c r="B68" s="870">
        <v>44543</v>
      </c>
      <c r="C68" s="871">
        <f>'Peers Stock History'!D71/'Peers Stock History'!D$1833*100</f>
        <v>138.69625520110958</v>
      </c>
      <c r="D68" s="871">
        <f>'Peers Stock History'!E71/'Peers Stock History'!E$1833*100</f>
        <v>1033.4311926605506</v>
      </c>
      <c r="E68" s="871">
        <f>'Peers Stock History'!F71/'Peers Stock History'!F$1833*100</f>
        <v>1006.015037593985</v>
      </c>
      <c r="F68" s="871">
        <f>'Peers Stock History'!G71/'Peers Stock History'!G$1833*100</f>
        <v>351.61246740099466</v>
      </c>
      <c r="G68" s="871">
        <f>'Peers Stock History'!H71/'Peers Stock History'!H$1833*100</f>
        <v>301.79134909461618</v>
      </c>
      <c r="H68" s="871">
        <f>'Peers Stock History'!I71/'Peers Stock History'!I$1833*100</f>
        <v>366.42050390964374</v>
      </c>
      <c r="I68" s="871">
        <f>'Peers Stock History'!J71/'Peers Stock History'!J$1833*100</f>
        <v>198.74300308609131</v>
      </c>
      <c r="J68" s="871">
        <f>'Peers Stock History'!K71/'Peers Stock History'!K$1833*100</f>
        <v>264.85850872248875</v>
      </c>
    </row>
    <row r="69" spans="2:10">
      <c r="B69" s="870">
        <v>44542</v>
      </c>
      <c r="C69" s="871">
        <f>'Peers Stock History'!D72/'Peers Stock History'!D$1833*100</f>
        <v>140.33287101248268</v>
      </c>
      <c r="D69" s="871">
        <f>'Peers Stock History'!E72/'Peers Stock History'!E$1833*100</f>
        <v>1108.1834862385322</v>
      </c>
      <c r="E69" s="871">
        <f>'Peers Stock History'!F72/'Peers Stock History'!F$1833*100</f>
        <v>1041.7293233082708</v>
      </c>
      <c r="F69" s="871">
        <f>'Peers Stock History'!G72/'Peers Stock History'!G$1833*100</f>
        <v>356.16869713207257</v>
      </c>
      <c r="G69" s="871">
        <f>'Peers Stock History'!H72/'Peers Stock History'!H$1833*100</f>
        <v>306.65566289625707</v>
      </c>
      <c r="H69" s="871">
        <f>'Peers Stock History'!I72/'Peers Stock History'!I$1833*100</f>
        <v>371.58992180712426</v>
      </c>
      <c r="I69" s="871">
        <f>'Peers Stock History'!J72/'Peers Stock History'!J$1833*100</f>
        <v>200.57550282004897</v>
      </c>
      <c r="J69" s="871">
        <f>'Peers Stock History'!K72/'Peers Stock History'!K$1833*100</f>
        <v>268.59287147904269</v>
      </c>
    </row>
    <row r="70" spans="2:10">
      <c r="B70" s="870">
        <v>44541</v>
      </c>
      <c r="C70" s="871">
        <f>'Peers Stock History'!D73/'Peers Stock History'!D$1833*100</f>
        <v>140.33287101248268</v>
      </c>
      <c r="D70" s="871">
        <f>'Peers Stock History'!E73/'Peers Stock History'!E$1833*100</f>
        <v>1108.1834862385322</v>
      </c>
      <c r="E70" s="871">
        <f>'Peers Stock History'!F73/'Peers Stock History'!F$1833*100</f>
        <v>1041.7293233082708</v>
      </c>
      <c r="F70" s="871">
        <f>'Peers Stock History'!G73/'Peers Stock History'!G$1833*100</f>
        <v>356.16869713207257</v>
      </c>
      <c r="G70" s="871">
        <f>'Peers Stock History'!H73/'Peers Stock History'!H$1833*100</f>
        <v>306.65566289625707</v>
      </c>
      <c r="H70" s="871">
        <f>'Peers Stock History'!I73/'Peers Stock History'!I$1833*100</f>
        <v>371.58992180712426</v>
      </c>
      <c r="I70" s="871">
        <f>'Peers Stock History'!J73/'Peers Stock History'!J$1833*100</f>
        <v>200.57550282004897</v>
      </c>
      <c r="J70" s="871">
        <f>'Peers Stock History'!K73/'Peers Stock History'!K$1833*100</f>
        <v>268.59287147904269</v>
      </c>
    </row>
    <row r="71" spans="2:10">
      <c r="B71" s="870">
        <v>44540</v>
      </c>
      <c r="C71" s="871">
        <f>'Peers Stock History'!D74/'Peers Stock History'!D$1833*100</f>
        <v>140.33287101248268</v>
      </c>
      <c r="D71" s="871">
        <f>'Peers Stock History'!E74/'Peers Stock History'!E$1833*100</f>
        <v>1108.1834862385322</v>
      </c>
      <c r="E71" s="871">
        <f>'Peers Stock History'!F74/'Peers Stock History'!F$1833*100</f>
        <v>1041.7293233082708</v>
      </c>
      <c r="F71" s="871">
        <f>'Peers Stock History'!G74/'Peers Stock History'!G$1833*100</f>
        <v>356.16869713207257</v>
      </c>
      <c r="G71" s="871">
        <f>'Peers Stock History'!H74/'Peers Stock History'!H$1833*100</f>
        <v>306.65566289625707</v>
      </c>
      <c r="H71" s="871">
        <f>'Peers Stock History'!I74/'Peers Stock History'!I$1833*100</f>
        <v>371.58992180712426</v>
      </c>
      <c r="I71" s="871">
        <f>'Peers Stock History'!J74/'Peers Stock History'!J$1833*100</f>
        <v>200.57550282004897</v>
      </c>
      <c r="J71" s="871">
        <f>'Peers Stock History'!K74/'Peers Stock History'!K$1833*100</f>
        <v>268.59287147904269</v>
      </c>
    </row>
    <row r="72" spans="2:10">
      <c r="B72" s="870">
        <v>44539</v>
      </c>
      <c r="C72" s="871">
        <f>'Peers Stock History'!D75/'Peers Stock History'!D$1833*100</f>
        <v>140.02773925104023</v>
      </c>
      <c r="D72" s="871">
        <f>'Peers Stock History'!E75/'Peers Stock History'!E$1833*100</f>
        <v>1118.8990825688072</v>
      </c>
      <c r="E72" s="871">
        <f>'Peers Stock History'!F75/'Peers Stock History'!F$1833*100</f>
        <v>1038.3458646616541</v>
      </c>
      <c r="F72" s="871">
        <f>'Peers Stock History'!G75/'Peers Stock History'!G$1833*100</f>
        <v>356.60555350477915</v>
      </c>
      <c r="G72" s="871">
        <f>'Peers Stock History'!H75/'Peers Stock History'!H$1833*100</f>
        <v>283.22734113306467</v>
      </c>
      <c r="H72" s="871">
        <f>'Peers Stock History'!I75/'Peers Stock History'!I$1833*100</f>
        <v>368.94005212858389</v>
      </c>
      <c r="I72" s="871">
        <f>'Peers Stock History'!J75/'Peers Stock History'!J$1833*100</f>
        <v>198.67830158561242</v>
      </c>
      <c r="J72" s="871">
        <f>'Peers Stock History'!K75/'Peers Stock History'!K$1833*100</f>
        <v>266.64713443217909</v>
      </c>
    </row>
    <row r="73" spans="2:10">
      <c r="B73" s="870">
        <v>44538</v>
      </c>
      <c r="C73" s="871">
        <f>'Peers Stock History'!D76/'Peers Stock History'!D$1833*100</f>
        <v>143.5506241331484</v>
      </c>
      <c r="D73" s="871">
        <f>'Peers Stock History'!E76/'Peers Stock History'!E$1833*100</f>
        <v>1167.9266055045873</v>
      </c>
      <c r="E73" s="871">
        <f>'Peers Stock History'!F76/'Peers Stock History'!F$1833*100</f>
        <v>1092.0300751879699</v>
      </c>
      <c r="F73" s="871">
        <f>'Peers Stock History'!G76/'Peers Stock History'!G$1833*100</f>
        <v>353.29022879078826</v>
      </c>
      <c r="G73" s="871">
        <f>'Peers Stock History'!H76/'Peers Stock History'!H$1833*100</f>
        <v>285.722607893587</v>
      </c>
      <c r="H73" s="871">
        <f>'Peers Stock History'!I76/'Peers Stock History'!I$1833*100</f>
        <v>373.67506516072979</v>
      </c>
      <c r="I73" s="871">
        <f>'Peers Stock History'!J76/'Peers Stock History'!J$1833*100</f>
        <v>200.11535596466956</v>
      </c>
      <c r="J73" s="871">
        <f>'Peers Stock History'!K76/'Peers Stock History'!K$1833*100</f>
        <v>271.28019190849983</v>
      </c>
    </row>
    <row r="74" spans="2:10">
      <c r="B74" s="870">
        <v>44537</v>
      </c>
      <c r="C74" s="871">
        <f>'Peers Stock History'!D77/'Peers Stock History'!D$1833*100</f>
        <v>145.82524271844662</v>
      </c>
      <c r="D74" s="871">
        <f>'Peers Stock History'!E77/'Peers Stock History'!E$1833*100</f>
        <v>1189.9816513761466</v>
      </c>
      <c r="E74" s="871">
        <f>'Peers Stock History'!F77/'Peers Stock History'!F$1833*100</f>
        <v>1089.0977443609022</v>
      </c>
      <c r="F74" s="871">
        <f>'Peers Stock History'!G77/'Peers Stock History'!G$1833*100</f>
        <v>355.96769280391567</v>
      </c>
      <c r="G74" s="871">
        <f>'Peers Stock History'!H77/'Peers Stock History'!H$1833*100</f>
        <v>286.61585513859893</v>
      </c>
      <c r="H74" s="871">
        <f>'Peers Stock History'!I77/'Peers Stock History'!I$1833*100</f>
        <v>372.84969591659427</v>
      </c>
      <c r="I74" s="871">
        <f>'Peers Stock History'!J77/'Peers Stock History'!J$1833*100</f>
        <v>199.49984037458762</v>
      </c>
      <c r="J74" s="871">
        <f>'Peers Stock History'!K77/'Peers Stock History'!K$1833*100</f>
        <v>269.56057627538047</v>
      </c>
    </row>
    <row r="75" spans="2:10">
      <c r="B75" s="870">
        <v>44536</v>
      </c>
      <c r="C75" s="871">
        <f>'Peers Stock History'!D78/'Peers Stock History'!D$1833*100</f>
        <v>141.44244105409157</v>
      </c>
      <c r="D75" s="871">
        <f>'Peers Stock History'!E78/'Peers Stock History'!E$1833*100</f>
        <v>1102.2752293577983</v>
      </c>
      <c r="E75" s="871">
        <f>'Peers Stock History'!F78/'Peers Stock History'!F$1833*100</f>
        <v>1045.5639097744361</v>
      </c>
      <c r="F75" s="871">
        <f>'Peers Stock History'!G78/'Peers Stock History'!G$1833*100</f>
        <v>352.19274204588021</v>
      </c>
      <c r="G75" s="871">
        <f>'Peers Stock History'!H78/'Peers Stock History'!H$1833*100</f>
        <v>274.27545026457597</v>
      </c>
      <c r="H75" s="871">
        <f>'Peers Stock History'!I78/'Peers Stock History'!I$1833*100</f>
        <v>358.16681146828847</v>
      </c>
      <c r="I75" s="871">
        <f>'Peers Stock History'!J78/'Peers Stock History'!J$1833*100</f>
        <v>195.45259125252741</v>
      </c>
      <c r="J75" s="871">
        <f>'Peers Stock History'!K78/'Peers Stock History'!K$1833*100</f>
        <v>261.6257234373067</v>
      </c>
    </row>
    <row r="76" spans="2:10">
      <c r="B76" s="870">
        <v>44535</v>
      </c>
      <c r="C76" s="871">
        <f>'Peers Stock History'!D79/'Peers Stock History'!D$1833*100</f>
        <v>136.61581137309292</v>
      </c>
      <c r="D76" s="871">
        <f>'Peers Stock History'!E79/'Peers Stock History'!E$1833*100</f>
        <v>1126.3486238532109</v>
      </c>
      <c r="E76" s="871">
        <f>'Peers Stock History'!F79/'Peers Stock History'!F$1833*100</f>
        <v>1082.781954887218</v>
      </c>
      <c r="F76" s="871">
        <f>'Peers Stock History'!G79/'Peers Stock History'!G$1833*100</f>
        <v>357.62420546915837</v>
      </c>
      <c r="G76" s="871">
        <f>'Peers Stock History'!H79/'Peers Stock History'!H$1833*100</f>
        <v>270.94519151415113</v>
      </c>
      <c r="H76" s="871">
        <f>'Peers Stock History'!I79/'Peers Stock History'!I$1833*100</f>
        <v>354.56125108601219</v>
      </c>
      <c r="I76" s="871">
        <f>'Peers Stock History'!J79/'Peers Stock History'!J$1833*100</f>
        <v>193.18633606470149</v>
      </c>
      <c r="J76" s="871">
        <f>'Peers Stock History'!K79/'Peers Stock History'!K$1833*100</f>
        <v>259.22549248724965</v>
      </c>
    </row>
    <row r="77" spans="2:10">
      <c r="B77" s="870">
        <v>44534</v>
      </c>
      <c r="C77" s="871">
        <f>'Peers Stock History'!D80/'Peers Stock History'!D$1833*100</f>
        <v>136.61581137309292</v>
      </c>
      <c r="D77" s="871">
        <f>'Peers Stock History'!E80/'Peers Stock History'!E$1833*100</f>
        <v>1126.3486238532109</v>
      </c>
      <c r="E77" s="871">
        <f>'Peers Stock History'!F80/'Peers Stock History'!F$1833*100</f>
        <v>1082.781954887218</v>
      </c>
      <c r="F77" s="871">
        <f>'Peers Stock History'!G80/'Peers Stock History'!G$1833*100</f>
        <v>357.62420546915837</v>
      </c>
      <c r="G77" s="871">
        <f>'Peers Stock History'!H80/'Peers Stock History'!H$1833*100</f>
        <v>270.94519151415113</v>
      </c>
      <c r="H77" s="871">
        <f>'Peers Stock History'!I80/'Peers Stock History'!I$1833*100</f>
        <v>354.56125108601219</v>
      </c>
      <c r="I77" s="871">
        <f>'Peers Stock History'!J80/'Peers Stock History'!J$1833*100</f>
        <v>193.18633606470149</v>
      </c>
      <c r="J77" s="871">
        <f>'Peers Stock History'!K80/'Peers Stock History'!K$1833*100</f>
        <v>259.22549248724965</v>
      </c>
    </row>
    <row r="78" spans="2:10">
      <c r="B78" s="870">
        <v>44533</v>
      </c>
      <c r="C78" s="871">
        <f>'Peers Stock History'!D81/'Peers Stock History'!D$1833*100</f>
        <v>136.61581137309292</v>
      </c>
      <c r="D78" s="871">
        <f>'Peers Stock History'!E81/'Peers Stock History'!E$1833*100</f>
        <v>1126.3486238532109</v>
      </c>
      <c r="E78" s="871">
        <f>'Peers Stock History'!F81/'Peers Stock History'!F$1833*100</f>
        <v>1082.781954887218</v>
      </c>
      <c r="F78" s="871">
        <f>'Peers Stock History'!G81/'Peers Stock History'!G$1833*100</f>
        <v>357.62420546915837</v>
      </c>
      <c r="G78" s="871">
        <f>'Peers Stock History'!H81/'Peers Stock History'!H$1833*100</f>
        <v>270.94519151415113</v>
      </c>
      <c r="H78" s="871">
        <f>'Peers Stock History'!I81/'Peers Stock History'!I$1833*100</f>
        <v>354.56125108601219</v>
      </c>
      <c r="I78" s="871">
        <f>'Peers Stock History'!J81/'Peers Stock History'!J$1833*100</f>
        <v>193.18633606470149</v>
      </c>
      <c r="J78" s="871">
        <f>'Peers Stock History'!K81/'Peers Stock History'!K$1833*100</f>
        <v>259.22549248724965</v>
      </c>
    </row>
    <row r="79" spans="2:10">
      <c r="B79" s="870">
        <v>44532</v>
      </c>
      <c r="C79" s="871">
        <f>'Peers Stock History'!D82/'Peers Stock History'!D$1833*100</f>
        <v>137.30929264909847</v>
      </c>
      <c r="D79" s="871">
        <f>'Peers Stock History'!E82/'Peers Stock History'!E$1833*100</f>
        <v>1178.9357798165136</v>
      </c>
      <c r="E79" s="871">
        <f>'Peers Stock History'!F82/'Peers Stock History'!F$1833*100</f>
        <v>1132.9323308270677</v>
      </c>
      <c r="F79" s="871">
        <f>'Peers Stock History'!G82/'Peers Stock History'!G$1833*100</f>
        <v>360.47726000163641</v>
      </c>
      <c r="G79" s="871">
        <f>'Peers Stock History'!H82/'Peers Stock History'!H$1833*100</f>
        <v>268.19263071022863</v>
      </c>
      <c r="H79" s="871">
        <f>'Peers Stock History'!I82/'Peers Stock History'!I$1833*100</f>
        <v>360.03475238922675</v>
      </c>
      <c r="I79" s="871">
        <f>'Peers Stock History'!J82/'Peers Stock History'!J$1833*100</f>
        <v>194.83239331701608</v>
      </c>
      <c r="J79" s="871">
        <f>'Peers Stock History'!K82/'Peers Stock History'!K$1833*100</f>
        <v>264.3092806180664</v>
      </c>
    </row>
    <row r="80" spans="2:10">
      <c r="B80" s="870">
        <v>44531</v>
      </c>
      <c r="C80" s="871">
        <f>'Peers Stock History'!D83/'Peers Stock History'!D$1833*100</f>
        <v>134.81276005547852</v>
      </c>
      <c r="D80" s="871">
        <f>'Peers Stock History'!E83/'Peers Stock History'!E$1833*100</f>
        <v>1153.5779816513764</v>
      </c>
      <c r="E80" s="871">
        <f>'Peers Stock History'!F83/'Peers Stock History'!F$1833*100</f>
        <v>1121.1278195488721</v>
      </c>
      <c r="F80" s="871">
        <f>'Peers Stock History'!G83/'Peers Stock History'!G$1833*100</f>
        <v>352.52347528867193</v>
      </c>
      <c r="G80" s="871">
        <f>'Peers Stock History'!H83/'Peers Stock History'!H$1833*100</f>
        <v>269.31404437108597</v>
      </c>
      <c r="H80" s="871">
        <f>'Peers Stock History'!I83/'Peers Stock History'!I$1833*100</f>
        <v>369.89574283231974</v>
      </c>
      <c r="I80" s="871">
        <f>'Peers Stock History'!J83/'Peers Stock History'!J$1833*100</f>
        <v>192.10556560604448</v>
      </c>
      <c r="J80" s="871">
        <f>'Peers Stock History'!K83/'Peers Stock History'!K$1833*100</f>
        <v>262.12233479510058</v>
      </c>
    </row>
    <row r="81" spans="2:10">
      <c r="B81" s="870">
        <v>44530</v>
      </c>
      <c r="C81" s="871">
        <f>'Peers Stock History'!D84/'Peers Stock History'!D$1833*100</f>
        <v>136.47711511789186</v>
      </c>
      <c r="D81" s="871">
        <f>'Peers Stock History'!E84/'Peers Stock History'!E$1833*100</f>
        <v>1199.119266055046</v>
      </c>
      <c r="E81" s="871">
        <f>'Peers Stock History'!F84/'Peers Stock History'!F$1833*100</f>
        <v>1190.7518796992481</v>
      </c>
      <c r="F81" s="871">
        <f>'Peers Stock History'!G84/'Peers Stock History'!G$1833*100</f>
        <v>350.92111905489583</v>
      </c>
      <c r="G81" s="871">
        <f>'Peers Stock History'!H84/'Peers Stock History'!H$1833*100</f>
        <v>268.78974707510071</v>
      </c>
      <c r="H81" s="871">
        <f>'Peers Stock History'!I84/'Peers Stock History'!I$1833*100</f>
        <v>364.90008688097311</v>
      </c>
      <c r="I81" s="871">
        <f>'Peers Stock History'!J84/'Peers Stock History'!J$1833*100</f>
        <v>194.4024688730446</v>
      </c>
      <c r="J81" s="871">
        <f>'Peers Stock History'!K84/'Peers Stock History'!K$1833*100</f>
        <v>266.99632610697938</v>
      </c>
    </row>
    <row r="82" spans="2:10">
      <c r="B82" s="870">
        <v>44529</v>
      </c>
      <c r="C82" s="871">
        <f>'Peers Stock History'!D85/'Peers Stock History'!D$1833*100</f>
        <v>138.69625520110958</v>
      </c>
      <c r="D82" s="871">
        <f>'Peers Stock History'!E85/'Peers Stock History'!E$1833*100</f>
        <v>1224.8073394495411</v>
      </c>
      <c r="E82" s="871">
        <f>'Peers Stock History'!F85/'Peers Stock History'!F$1833*100</f>
        <v>1217.3684210526314</v>
      </c>
      <c r="F82" s="871">
        <f>'Peers Stock History'!G85/'Peers Stock History'!G$1833*100</f>
        <v>347.49449171279093</v>
      </c>
      <c r="G82" s="871">
        <f>'Peers Stock History'!H85/'Peers Stock History'!H$1833*100</f>
        <v>273.96475557065878</v>
      </c>
      <c r="H82" s="871">
        <f>'Peers Stock History'!I85/'Peers Stock History'!I$1833*100</f>
        <v>374.1963509991312</v>
      </c>
      <c r="I82" s="871">
        <f>'Peers Stock History'!J85/'Peers Stock History'!J$1833*100</f>
        <v>198.15983824624882</v>
      </c>
      <c r="J82" s="871">
        <f>'Peers Stock History'!K85/'Peers Stock History'!K$1833*100</f>
        <v>271.20881046973597</v>
      </c>
    </row>
    <row r="83" spans="2:10">
      <c r="B83" s="870">
        <v>44528</v>
      </c>
      <c r="C83" s="871">
        <f>'Peers Stock History'!D86/'Peers Stock History'!D$1833*100</f>
        <v>135.3120665742025</v>
      </c>
      <c r="D83" s="871">
        <f>'Peers Stock History'!E86/'Peers Stock History'!E$1833*100</f>
        <v>1156.0733944954129</v>
      </c>
      <c r="E83" s="871">
        <f>'Peers Stock History'!F86/'Peers Stock History'!F$1833*100</f>
        <v>1163.984962406015</v>
      </c>
      <c r="F83" s="871">
        <f>'Peers Stock History'!G86/'Peers Stock History'!G$1833*100</f>
        <v>348.0863345868915</v>
      </c>
      <c r="G83" s="871">
        <f>'Peers Stock History'!H86/'Peers Stock History'!H$1833*100</f>
        <v>265.3478324190495</v>
      </c>
      <c r="H83" s="871">
        <f>'Peers Stock History'!I86/'Peers Stock History'!I$1833*100</f>
        <v>362.38053866203302</v>
      </c>
      <c r="I83" s="871">
        <f>'Peers Stock History'!J86/'Peers Stock History'!J$1833*100</f>
        <v>195.57816324358836</v>
      </c>
      <c r="J83" s="871">
        <f>'Peers Stock History'!K86/'Peers Stock History'!K$1833*100</f>
        <v>266.20528779401457</v>
      </c>
    </row>
    <row r="84" spans="2:10">
      <c r="B84" s="870">
        <v>44527</v>
      </c>
      <c r="C84" s="871">
        <f>'Peers Stock History'!D87/'Peers Stock History'!D$1833*100</f>
        <v>135.3120665742025</v>
      </c>
      <c r="D84" s="871">
        <f>'Peers Stock History'!E87/'Peers Stock History'!E$1833*100</f>
        <v>1156.0733944954129</v>
      </c>
      <c r="E84" s="871">
        <f>'Peers Stock History'!F87/'Peers Stock History'!F$1833*100</f>
        <v>1163.984962406015</v>
      </c>
      <c r="F84" s="871">
        <f>'Peers Stock History'!G87/'Peers Stock History'!G$1833*100</f>
        <v>348.0863345868915</v>
      </c>
      <c r="G84" s="871">
        <f>'Peers Stock History'!H87/'Peers Stock History'!H$1833*100</f>
        <v>265.3478324190495</v>
      </c>
      <c r="H84" s="871">
        <f>'Peers Stock History'!I87/'Peers Stock History'!I$1833*100</f>
        <v>362.38053866203302</v>
      </c>
      <c r="I84" s="871">
        <f>'Peers Stock History'!J87/'Peers Stock History'!J$1833*100</f>
        <v>195.57816324358836</v>
      </c>
      <c r="J84" s="871">
        <f>'Peers Stock History'!K87/'Peers Stock History'!K$1833*100</f>
        <v>266.20528779401457</v>
      </c>
    </row>
    <row r="85" spans="2:10">
      <c r="B85" s="870">
        <v>44526</v>
      </c>
      <c r="C85" s="871">
        <f>'Peers Stock History'!D88/'Peers Stock History'!D$1833*100</f>
        <v>135.3120665742025</v>
      </c>
      <c r="D85" s="871">
        <f>'Peers Stock History'!E88/'Peers Stock History'!E$1833*100</f>
        <v>1156.0733944954129</v>
      </c>
      <c r="E85" s="871">
        <f>'Peers Stock History'!F88/'Peers Stock History'!F$1833*100</f>
        <v>1163.984962406015</v>
      </c>
      <c r="F85" s="871">
        <f>'Peers Stock History'!G88/'Peers Stock History'!G$1833*100</f>
        <v>348.0863345868915</v>
      </c>
      <c r="G85" s="871">
        <f>'Peers Stock History'!H88/'Peers Stock History'!H$1833*100</f>
        <v>265.3478324190495</v>
      </c>
      <c r="H85" s="871">
        <f>'Peers Stock History'!I88/'Peers Stock History'!I$1833*100</f>
        <v>362.38053866203302</v>
      </c>
      <c r="I85" s="871">
        <f>'Peers Stock History'!J88/'Peers Stock History'!J$1833*100</f>
        <v>195.57816324358836</v>
      </c>
      <c r="J85" s="871">
        <f>'Peers Stock History'!K88/'Peers Stock History'!K$1833*100</f>
        <v>266.20528779401457</v>
      </c>
    </row>
    <row r="86" spans="2:10">
      <c r="B86" s="870">
        <v>44525</v>
      </c>
      <c r="C86" s="871">
        <f>'Peers Stock History'!D89/'Peers Stock History'!D$1833*100</f>
        <v>138.03051317614427</v>
      </c>
      <c r="D86" s="871">
        <f>'Peers Stock History'!E89/'Peers Stock History'!E$1833*100</f>
        <v>1199.045871559633</v>
      </c>
      <c r="E86" s="871">
        <f>'Peers Stock History'!F89/'Peers Stock History'!F$1833*100</f>
        <v>1186.4661654135339</v>
      </c>
      <c r="F86" s="871">
        <f>'Peers Stock History'!G89/'Peers Stock History'!G$1833*100</f>
        <v>352.94757655508886</v>
      </c>
      <c r="G86" s="871">
        <f>'Peers Stock History'!H89/'Peers Stock History'!H$1833*100</f>
        <v>271.24132239429099</v>
      </c>
      <c r="H86" s="871">
        <f>'Peers Stock History'!I89/'Peers Stock History'!I$1833*100</f>
        <v>374.50043440486536</v>
      </c>
      <c r="I86" s="871">
        <f>'Peers Stock History'!J89/'Peers Stock History'!J$1833*100</f>
        <v>200.12599765882732</v>
      </c>
      <c r="J86" s="871">
        <f>'Peers Stock History'!K89/'Peers Stock History'!K$1833*100</f>
        <v>272.2809411214825</v>
      </c>
    </row>
    <row r="87" spans="2:10">
      <c r="B87" s="870">
        <v>44524</v>
      </c>
      <c r="C87" s="871">
        <f>'Peers Stock History'!D90/'Peers Stock History'!D$1833*100</f>
        <v>138.03051317614427</v>
      </c>
      <c r="D87" s="871">
        <f>'Peers Stock History'!E90/'Peers Stock History'!E$1833*100</f>
        <v>1199.045871559633</v>
      </c>
      <c r="E87" s="871">
        <f>'Peers Stock History'!F90/'Peers Stock History'!F$1833*100</f>
        <v>1186.4661654135339</v>
      </c>
      <c r="F87" s="871">
        <f>'Peers Stock History'!G90/'Peers Stock History'!G$1833*100</f>
        <v>352.89678542304779</v>
      </c>
      <c r="G87" s="871">
        <f>'Peers Stock History'!H90/'Peers Stock History'!H$1833*100</f>
        <v>271.24132239429099</v>
      </c>
      <c r="H87" s="871">
        <f>'Peers Stock History'!I90/'Peers Stock History'!I$1833*100</f>
        <v>374.50043440486536</v>
      </c>
      <c r="I87" s="871">
        <f>'Peers Stock History'!J90/'Peers Stock History'!J$1833*100</f>
        <v>200.12599765882732</v>
      </c>
      <c r="J87" s="871">
        <f>'Peers Stock History'!K90/'Peers Stock History'!K$1833*100</f>
        <v>272.2809411214825</v>
      </c>
    </row>
    <row r="88" spans="2:10">
      <c r="B88" s="870">
        <v>44523</v>
      </c>
      <c r="C88" s="871">
        <f>'Peers Stock History'!D91/'Peers Stock History'!D$1833*100</f>
        <v>136.1997226074896</v>
      </c>
      <c r="D88" s="871">
        <f>'Peers Stock History'!E91/'Peers Stock History'!E$1833*100</f>
        <v>1164.9908256880733</v>
      </c>
      <c r="E88" s="871">
        <f>'Peers Stock History'!F91/'Peers Stock History'!F$1833*100</f>
        <v>1127.2180451127817</v>
      </c>
      <c r="F88" s="871">
        <f>'Peers Stock History'!G91/'Peers Stock History'!G$1833*100</f>
        <v>358.34438879576078</v>
      </c>
      <c r="G88" s="871">
        <f>'Peers Stock History'!H91/'Peers Stock History'!H$1833*100</f>
        <v>269.48881013641437</v>
      </c>
      <c r="H88" s="871">
        <f>'Peers Stock History'!I91/'Peers Stock History'!I$1833*100</f>
        <v>371.02519548218942</v>
      </c>
      <c r="I88" s="871">
        <f>'Peers Stock History'!J91/'Peers Stock History'!J$1833*100</f>
        <v>199.66797914227945</v>
      </c>
      <c r="J88" s="871">
        <f>'Peers Stock History'!K91/'Peers Stock History'!K$1833*100</f>
        <v>271.07656406802033</v>
      </c>
    </row>
    <row r="89" spans="2:10">
      <c r="B89" s="870">
        <v>44522</v>
      </c>
      <c r="C89" s="871">
        <f>'Peers Stock History'!D92/'Peers Stock History'!D$1833*100</f>
        <v>138.2246879334258</v>
      </c>
      <c r="D89" s="871">
        <f>'Peers Stock History'!E92/'Peers Stock History'!E$1833*100</f>
        <v>1172.6972477064221</v>
      </c>
      <c r="E89" s="871">
        <f>'Peers Stock History'!F92/'Peers Stock History'!F$1833*100</f>
        <v>1146.7669172932331</v>
      </c>
      <c r="F89" s="871">
        <f>'Peers Stock History'!G92/'Peers Stock History'!G$1833*100</f>
        <v>359.8678200296909</v>
      </c>
      <c r="G89" s="871">
        <f>'Peers Stock History'!H92/'Peers Stock History'!H$1833*100</f>
        <v>268.59556289140249</v>
      </c>
      <c r="H89" s="871">
        <f>'Peers Stock History'!I92/'Peers Stock History'!I$1833*100</f>
        <v>364.29192006950478</v>
      </c>
      <c r="I89" s="871">
        <f>'Peers Stock History'!J92/'Peers Stock History'!J$1833*100</f>
        <v>199.3376609556241</v>
      </c>
      <c r="J89" s="871">
        <f>'Peers Stock History'!K92/'Peers Stock History'!K$1833*100</f>
        <v>272.44471976685043</v>
      </c>
    </row>
    <row r="90" spans="2:10">
      <c r="B90" s="870">
        <v>44521</v>
      </c>
      <c r="C90" s="871">
        <f>'Peers Stock History'!D93/'Peers Stock History'!D$1833*100</f>
        <v>137.36477115117893</v>
      </c>
      <c r="D90" s="871">
        <f>'Peers Stock History'!E93/'Peers Stock History'!E$1833*100</f>
        <v>1210.4587155963304</v>
      </c>
      <c r="E90" s="871">
        <f>'Peers Stock History'!F93/'Peers Stock History'!F$1833*100</f>
        <v>1168.4962406015038</v>
      </c>
      <c r="F90" s="871">
        <f>'Peers Stock History'!G93/'Peers Stock History'!G$1833*100</f>
        <v>361.80547700737816</v>
      </c>
      <c r="G90" s="871">
        <f>'Peers Stock History'!H93/'Peers Stock History'!H$1833*100</f>
        <v>276.09107238215449</v>
      </c>
      <c r="H90" s="871">
        <f>'Peers Stock History'!I93/'Peers Stock History'!I$1833*100</f>
        <v>360.6863596872285</v>
      </c>
      <c r="I90" s="871">
        <f>'Peers Stock History'!J93/'Peers Stock History'!J$1833*100</f>
        <v>199.97701394061934</v>
      </c>
      <c r="J90" s="871">
        <f>'Peers Stock History'!K93/'Peers Stock History'!K$1833*100</f>
        <v>275.92752910933012</v>
      </c>
    </row>
    <row r="91" spans="2:10">
      <c r="B91" s="870">
        <v>44520</v>
      </c>
      <c r="C91" s="871">
        <f>'Peers Stock History'!D94/'Peers Stock History'!D$1833*100</f>
        <v>137.36477115117893</v>
      </c>
      <c r="D91" s="871">
        <f>'Peers Stock History'!E94/'Peers Stock History'!E$1833*100</f>
        <v>1210.4587155963304</v>
      </c>
      <c r="E91" s="871">
        <f>'Peers Stock History'!F94/'Peers Stock History'!F$1833*100</f>
        <v>1168.4962406015038</v>
      </c>
      <c r="F91" s="871">
        <f>'Peers Stock History'!G94/'Peers Stock History'!G$1833*100</f>
        <v>361.80547700737816</v>
      </c>
      <c r="G91" s="871">
        <f>'Peers Stock History'!H94/'Peers Stock History'!H$1833*100</f>
        <v>276.09107238215449</v>
      </c>
      <c r="H91" s="871">
        <f>'Peers Stock History'!I94/'Peers Stock History'!I$1833*100</f>
        <v>360.6863596872285</v>
      </c>
      <c r="I91" s="871">
        <f>'Peers Stock History'!J94/'Peers Stock History'!J$1833*100</f>
        <v>199.97701394061934</v>
      </c>
      <c r="J91" s="871">
        <f>'Peers Stock History'!K94/'Peers Stock History'!K$1833*100</f>
        <v>275.92752910933012</v>
      </c>
    </row>
    <row r="92" spans="2:10">
      <c r="B92" s="870">
        <v>44519</v>
      </c>
      <c r="C92" s="871">
        <f>'Peers Stock History'!D95/'Peers Stock History'!D$1833*100</f>
        <v>137.36477115117893</v>
      </c>
      <c r="D92" s="871">
        <f>'Peers Stock History'!E95/'Peers Stock History'!E$1833*100</f>
        <v>1210.4587155963304</v>
      </c>
      <c r="E92" s="871">
        <f>'Peers Stock History'!F95/'Peers Stock History'!F$1833*100</f>
        <v>1168.4962406015038</v>
      </c>
      <c r="F92" s="871">
        <f>'Peers Stock History'!G95/'Peers Stock History'!G$1833*100</f>
        <v>361.80547700737816</v>
      </c>
      <c r="G92" s="871">
        <f>'Peers Stock History'!H95/'Peers Stock History'!H$1833*100</f>
        <v>276.09107238215449</v>
      </c>
      <c r="H92" s="871">
        <f>'Peers Stock History'!I95/'Peers Stock History'!I$1833*100</f>
        <v>360.6863596872285</v>
      </c>
      <c r="I92" s="871">
        <f>'Peers Stock History'!J95/'Peers Stock History'!J$1833*100</f>
        <v>199.97701394061934</v>
      </c>
      <c r="J92" s="871">
        <f>'Peers Stock History'!K95/'Peers Stock History'!K$1833*100</f>
        <v>275.92752910933012</v>
      </c>
    </row>
    <row r="93" spans="2:10">
      <c r="B93" s="870">
        <v>44518</v>
      </c>
      <c r="C93" s="871">
        <f>'Peers Stock History'!D96/'Peers Stock History'!D$1833*100</f>
        <v>137.80859916782248</v>
      </c>
      <c r="D93" s="871">
        <f>'Peers Stock History'!E96/'Peers Stock History'!E$1833*100</f>
        <v>1162.3853211009175</v>
      </c>
      <c r="E93" s="871">
        <f>'Peers Stock History'!F96/'Peers Stock History'!F$1833*100</f>
        <v>1165.5639097744361</v>
      </c>
      <c r="F93" s="871">
        <f>'Peers Stock History'!G96/'Peers Stock History'!G$1833*100</f>
        <v>358.87824822899989</v>
      </c>
      <c r="G93" s="871">
        <f>'Peers Stock History'!H96/'Peers Stock History'!H$1833*100</f>
        <v>279.04752657896012</v>
      </c>
      <c r="H93" s="871">
        <f>'Peers Stock History'!I96/'Peers Stock History'!I$1833*100</f>
        <v>334.57862728062554</v>
      </c>
      <c r="I93" s="871">
        <f>'Peers Stock History'!J96/'Peers Stock History'!J$1833*100</f>
        <v>200.25710333085027</v>
      </c>
      <c r="J93" s="871">
        <f>'Peers Stock History'!K96/'Peers Stock History'!K$1833*100</f>
        <v>274.83245810593456</v>
      </c>
    </row>
    <row r="94" spans="2:10">
      <c r="B94" s="870">
        <v>44517</v>
      </c>
      <c r="C94" s="871">
        <f>'Peers Stock History'!D97/'Peers Stock History'!D$1833*100</f>
        <v>139.33425797503466</v>
      </c>
      <c r="D94" s="871">
        <f>'Peers Stock History'!E97/'Peers Stock History'!E$1833*100</f>
        <v>1073.7981651376147</v>
      </c>
      <c r="E94" s="871">
        <f>'Peers Stock History'!F97/'Peers Stock History'!F$1833*100</f>
        <v>1137.8947368421052</v>
      </c>
      <c r="F94" s="871">
        <f>'Peers Stock History'!G97/'Peers Stock History'!G$1833*100</f>
        <v>357.34053865783477</v>
      </c>
      <c r="G94" s="871">
        <f>'Peers Stock History'!H97/'Peers Stock History'!H$1833*100</f>
        <v>276.5376960046604</v>
      </c>
      <c r="H94" s="871">
        <f>'Peers Stock History'!I97/'Peers Stock History'!I$1833*100</f>
        <v>327.80191138140748</v>
      </c>
      <c r="I94" s="871">
        <f>'Peers Stock History'!J97/'Peers Stock History'!J$1833*100</f>
        <v>199.58156858571886</v>
      </c>
      <c r="J94" s="871">
        <f>'Peers Stock History'!K97/'Peers Stock History'!K$1833*100</f>
        <v>273.59283711147464</v>
      </c>
    </row>
    <row r="95" spans="2:10">
      <c r="B95" s="870">
        <v>44516</v>
      </c>
      <c r="C95" s="871">
        <f>'Peers Stock History'!D98/'Peers Stock History'!D$1833*100</f>
        <v>140.38834951456312</v>
      </c>
      <c r="D95" s="871">
        <f>'Peers Stock History'!E98/'Peers Stock History'!E$1833*100</f>
        <v>1108.3669724770641</v>
      </c>
      <c r="E95" s="871">
        <f>'Peers Stock History'!F98/'Peers Stock History'!F$1833*100</f>
        <v>1146.2406015037593</v>
      </c>
      <c r="F95" s="871">
        <f>'Peers Stock History'!G98/'Peers Stock History'!G$1833*100</f>
        <v>356.57010377625608</v>
      </c>
      <c r="G95" s="871">
        <f>'Peers Stock History'!H98/'Peers Stock History'!H$1833*100</f>
        <v>276.11534540511673</v>
      </c>
      <c r="H95" s="871">
        <f>'Peers Stock History'!I98/'Peers Stock History'!I$1833*100</f>
        <v>333.66637706342311</v>
      </c>
      <c r="I95" s="871">
        <f>'Peers Stock History'!J98/'Peers Stock History'!J$1833*100</f>
        <v>200.10216026391402</v>
      </c>
      <c r="J95" s="871">
        <f>'Peers Stock History'!K98/'Peers Stock History'!K$1833*100</f>
        <v>274.4912740744814</v>
      </c>
    </row>
    <row r="96" spans="2:10">
      <c r="B96" s="870">
        <v>44515</v>
      </c>
      <c r="C96" s="871">
        <f>'Peers Stock History'!D99/'Peers Stock History'!D$1833*100</f>
        <v>139.58391123439668</v>
      </c>
      <c r="D96" s="871">
        <f>'Peers Stock History'!E99/'Peers Stock History'!E$1833*100</f>
        <v>1101.834862385321</v>
      </c>
      <c r="E96" s="871">
        <f>'Peers Stock History'!F99/'Peers Stock History'!F$1833*100</f>
        <v>1101.4285714285713</v>
      </c>
      <c r="F96" s="871">
        <f>'Peers Stock History'!G99/'Peers Stock History'!G$1833*100</f>
        <v>356.41279374612702</v>
      </c>
      <c r="G96" s="871">
        <f>'Peers Stock History'!H99/'Peers Stock History'!H$1833*100</f>
        <v>274.65896402737997</v>
      </c>
      <c r="H96" s="871">
        <f>'Peers Stock History'!I99/'Peers Stock History'!I$1833*100</f>
        <v>333.53605560382277</v>
      </c>
      <c r="I96" s="871">
        <f>'Peers Stock History'!J99/'Peers Stock History'!J$1833*100</f>
        <v>199.33170160689582</v>
      </c>
      <c r="J96" s="871">
        <f>'Peers Stock History'!K99/'Peers Stock History'!K$1833*100</f>
        <v>272.42906533962031</v>
      </c>
    </row>
    <row r="97" spans="2:10">
      <c r="B97" s="870">
        <v>44514</v>
      </c>
      <c r="C97" s="871">
        <f>'Peers Stock History'!D100/'Peers Stock History'!D$1833*100</f>
        <v>139.55617198335645</v>
      </c>
      <c r="D97" s="871">
        <f>'Peers Stock History'!E100/'Peers Stock History'!E$1833*100</f>
        <v>1115.229357798165</v>
      </c>
      <c r="E97" s="871">
        <f>'Peers Stock History'!F100/'Peers Stock History'!F$1833*100</f>
        <v>1111.9548872180449</v>
      </c>
      <c r="F97" s="871">
        <f>'Peers Stock History'!G100/'Peers Stock History'!G$1833*100</f>
        <v>353.67287870797423</v>
      </c>
      <c r="G97" s="871">
        <f>'Peers Stock History'!H100/'Peers Stock History'!H$1833*100</f>
        <v>273.42103985630371</v>
      </c>
      <c r="H97" s="871">
        <f>'Peers Stock History'!I100/'Peers Stock History'!I$1833*100</f>
        <v>335.79496090356213</v>
      </c>
      <c r="I97" s="871">
        <f>'Peers Stock History'!J100/'Peers Stock History'!J$1833*100</f>
        <v>199.33382994572736</v>
      </c>
      <c r="J97" s="871">
        <f>'Peers Stock History'!K100/'Peers Stock History'!K$1833*100</f>
        <v>272.55127641147607</v>
      </c>
    </row>
    <row r="98" spans="2:10">
      <c r="B98" s="870">
        <v>44513</v>
      </c>
      <c r="C98" s="871">
        <f>'Peers Stock History'!D101/'Peers Stock History'!D$1833*100</f>
        <v>139.55617198335645</v>
      </c>
      <c r="D98" s="871">
        <f>'Peers Stock History'!E101/'Peers Stock History'!E$1833*100</f>
        <v>1115.229357798165</v>
      </c>
      <c r="E98" s="871">
        <f>'Peers Stock History'!F101/'Peers Stock History'!F$1833*100</f>
        <v>1111.9548872180449</v>
      </c>
      <c r="F98" s="871">
        <f>'Peers Stock History'!G101/'Peers Stock History'!G$1833*100</f>
        <v>353.67287870797423</v>
      </c>
      <c r="G98" s="871">
        <f>'Peers Stock History'!H101/'Peers Stock History'!H$1833*100</f>
        <v>273.42103985630371</v>
      </c>
      <c r="H98" s="871">
        <f>'Peers Stock History'!I101/'Peers Stock History'!I$1833*100</f>
        <v>335.79496090356213</v>
      </c>
      <c r="I98" s="871">
        <f>'Peers Stock History'!J101/'Peers Stock History'!J$1833*100</f>
        <v>199.33382994572736</v>
      </c>
      <c r="J98" s="871">
        <f>'Peers Stock History'!K101/'Peers Stock History'!K$1833*100</f>
        <v>272.55127641147607</v>
      </c>
    </row>
    <row r="99" spans="2:10">
      <c r="B99" s="870">
        <v>44512</v>
      </c>
      <c r="C99" s="871">
        <f>'Peers Stock History'!D102/'Peers Stock History'!D$1833*100</f>
        <v>139.55617198335645</v>
      </c>
      <c r="D99" s="871">
        <f>'Peers Stock History'!E102/'Peers Stock History'!E$1833*100</f>
        <v>1115.229357798165</v>
      </c>
      <c r="E99" s="871">
        <f>'Peers Stock History'!F102/'Peers Stock History'!F$1833*100</f>
        <v>1111.9548872180449</v>
      </c>
      <c r="F99" s="871">
        <f>'Peers Stock History'!G102/'Peers Stock History'!G$1833*100</f>
        <v>353.67287870797423</v>
      </c>
      <c r="G99" s="871">
        <f>'Peers Stock History'!H102/'Peers Stock History'!H$1833*100</f>
        <v>273.42103985630371</v>
      </c>
      <c r="H99" s="871">
        <f>'Peers Stock History'!I102/'Peers Stock History'!I$1833*100</f>
        <v>335.79496090356213</v>
      </c>
      <c r="I99" s="871">
        <f>'Peers Stock History'!J102/'Peers Stock History'!J$1833*100</f>
        <v>199.33382994572736</v>
      </c>
      <c r="J99" s="871">
        <f>'Peers Stock History'!K102/'Peers Stock History'!K$1833*100</f>
        <v>272.55127641147607</v>
      </c>
    </row>
    <row r="100" spans="2:10">
      <c r="B100" s="870">
        <v>44511</v>
      </c>
      <c r="C100" s="871">
        <f>'Peers Stock History'!D103/'Peers Stock History'!D$1833*100</f>
        <v>140.16643550624136</v>
      </c>
      <c r="D100" s="871">
        <f>'Peers Stock History'!E103/'Peers Stock History'!E$1833*100</f>
        <v>1115.229357798165</v>
      </c>
      <c r="E100" s="871">
        <f>'Peers Stock History'!F103/'Peers Stock History'!F$1833*100</f>
        <v>1097.8195488721803</v>
      </c>
      <c r="F100" s="871">
        <f>'Peers Stock History'!G103/'Peers Stock History'!G$1833*100</f>
        <v>354.24466849650054</v>
      </c>
      <c r="G100" s="871">
        <f>'Peers Stock History'!H103/'Peers Stock History'!H$1833*100</f>
        <v>269.62473906500315</v>
      </c>
      <c r="H100" s="871">
        <f>'Peers Stock History'!I103/'Peers Stock History'!I$1833*100</f>
        <v>323.84882710686355</v>
      </c>
      <c r="I100" s="871">
        <f>'Peers Stock History'!J103/'Peers Stock History'!J$1833*100</f>
        <v>197.90443758646379</v>
      </c>
      <c r="J100" s="871">
        <f>'Peers Stock History'!K103/'Peers Stock History'!K$1833*100</f>
        <v>269.85897268465698</v>
      </c>
    </row>
    <row r="101" spans="2:10">
      <c r="B101" s="870">
        <v>44510</v>
      </c>
      <c r="C101" s="871">
        <f>'Peers Stock History'!D104/'Peers Stock History'!D$1833*100</f>
        <v>140.80443828016644</v>
      </c>
      <c r="D101" s="871">
        <f>'Peers Stock History'!E104/'Peers Stock History'!E$1833*100</f>
        <v>1081.0642201834862</v>
      </c>
      <c r="E101" s="871">
        <f>'Peers Stock History'!F104/'Peers Stock History'!F$1833*100</f>
        <v>1051.6541353383457</v>
      </c>
      <c r="F101" s="871">
        <f>'Peers Stock History'!G104/'Peers Stock History'!G$1833*100</f>
        <v>358.33149082258188</v>
      </c>
      <c r="G101" s="871">
        <f>'Peers Stock History'!H104/'Peers Stock History'!H$1833*100</f>
        <v>266.40613622020487</v>
      </c>
      <c r="H101" s="871">
        <f>'Peers Stock History'!I104/'Peers Stock History'!I$1833*100</f>
        <v>318.89661164205035</v>
      </c>
      <c r="I101" s="871">
        <f>'Peers Stock History'!J104/'Peers Stock History'!J$1833*100</f>
        <v>197.79546663828881</v>
      </c>
      <c r="J101" s="871">
        <f>'Peers Stock History'!K104/'Peers Stock History'!K$1833*100</f>
        <v>268.45718832052569</v>
      </c>
    </row>
    <row r="102" spans="2:10">
      <c r="B102" s="870">
        <v>44509</v>
      </c>
      <c r="C102" s="871">
        <f>'Peers Stock History'!D105/'Peers Stock History'!D$1833*100</f>
        <v>142.02496532593622</v>
      </c>
      <c r="D102" s="871">
        <f>'Peers Stock History'!E105/'Peers Stock History'!E$1833*100</f>
        <v>1125.0275229357799</v>
      </c>
      <c r="E102" s="871">
        <f>'Peers Stock History'!F105/'Peers Stock History'!F$1833*100</f>
        <v>1119.6992481203006</v>
      </c>
      <c r="F102" s="871">
        <f>'Peers Stock History'!G105/'Peers Stock History'!G$1833*100</f>
        <v>358.00369606154328</v>
      </c>
      <c r="G102" s="871">
        <f>'Peers Stock History'!H105/'Peers Stock History'!H$1833*100</f>
        <v>270.78984416719254</v>
      </c>
      <c r="H102" s="871">
        <f>'Peers Stock History'!I105/'Peers Stock History'!I$1833*100</f>
        <v>328.36663770634232</v>
      </c>
      <c r="I102" s="871">
        <f>'Peers Stock History'!J105/'Peers Stock History'!J$1833*100</f>
        <v>199.43599020964137</v>
      </c>
      <c r="J102" s="871">
        <f>'Peers Stock History'!K105/'Peers Stock History'!K$1833*100</f>
        <v>272.99092352528771</v>
      </c>
    </row>
    <row r="103" spans="2:10">
      <c r="B103" s="870">
        <v>44508</v>
      </c>
      <c r="C103" s="871">
        <f>'Peers Stock History'!D106/'Peers Stock History'!D$1833*100</f>
        <v>142.99583911234396</v>
      </c>
      <c r="D103" s="871">
        <f>'Peers Stock History'!E106/'Peers Stock History'!E$1833*100</f>
        <v>1130.4220183486239</v>
      </c>
      <c r="E103" s="871">
        <f>'Peers Stock History'!F106/'Peers Stock History'!F$1833*100</f>
        <v>1129.0225563909773</v>
      </c>
      <c r="F103" s="871">
        <f>'Peers Stock History'!G106/'Peers Stock History'!G$1833*100</f>
        <v>351.90641985955989</v>
      </c>
      <c r="G103" s="871">
        <f>'Peers Stock History'!H106/'Peers Stock History'!H$1833*100</f>
        <v>271.348123695325</v>
      </c>
      <c r="H103" s="871">
        <f>'Peers Stock History'!I106/'Peers Stock History'!I$1833*100</f>
        <v>323.89226759339704</v>
      </c>
      <c r="I103" s="871">
        <f>'Peers Stock History'!J106/'Peers Stock History'!J$1833*100</f>
        <v>200.13621368521868</v>
      </c>
      <c r="J103" s="871">
        <f>'Peers Stock History'!K106/'Peers Stock History'!K$1833*100</f>
        <v>274.63737060610646</v>
      </c>
    </row>
    <row r="104" spans="2:10">
      <c r="B104" s="870">
        <v>44507</v>
      </c>
      <c r="C104" s="871">
        <f>'Peers Stock History'!D107/'Peers Stock History'!D$1833*100</f>
        <v>141.24826629680999</v>
      </c>
      <c r="D104" s="871">
        <f>'Peers Stock History'!E107/'Peers Stock History'!E$1833*100</f>
        <v>1091.8165137614678</v>
      </c>
      <c r="E104" s="871">
        <f>'Peers Stock History'!F107/'Peers Stock History'!F$1833*100</f>
        <v>1025.1127819548872</v>
      </c>
      <c r="F104" s="871">
        <f>'Peers Stock History'!G107/'Peers Stock History'!G$1833*100</f>
        <v>350.71208984252462</v>
      </c>
      <c r="G104" s="871">
        <f>'Peers Stock History'!H107/'Peers Stock History'!H$1833*100</f>
        <v>271.33355988154761</v>
      </c>
      <c r="H104" s="871">
        <f>'Peers Stock History'!I107/'Peers Stock History'!I$1833*100</f>
        <v>316.76802780191139</v>
      </c>
      <c r="I104" s="871">
        <f>'Peers Stock History'!J107/'Peers Stock History'!J$1833*100</f>
        <v>199.95871022666807</v>
      </c>
      <c r="J104" s="871">
        <f>'Peers Stock History'!K107/'Peers Stock History'!K$1833*100</f>
        <v>274.45231843613823</v>
      </c>
    </row>
    <row r="105" spans="2:10">
      <c r="B105" s="870">
        <v>44506</v>
      </c>
      <c r="C105" s="871">
        <f>'Peers Stock History'!D108/'Peers Stock History'!D$1833*100</f>
        <v>141.24826629680999</v>
      </c>
      <c r="D105" s="871">
        <f>'Peers Stock History'!E108/'Peers Stock History'!E$1833*100</f>
        <v>1091.8165137614678</v>
      </c>
      <c r="E105" s="871">
        <f>'Peers Stock History'!F108/'Peers Stock History'!F$1833*100</f>
        <v>1025.1127819548872</v>
      </c>
      <c r="F105" s="871">
        <f>'Peers Stock History'!G108/'Peers Stock History'!G$1833*100</f>
        <v>350.71208984252462</v>
      </c>
      <c r="G105" s="871">
        <f>'Peers Stock History'!H108/'Peers Stock History'!H$1833*100</f>
        <v>271.33355988154761</v>
      </c>
      <c r="H105" s="871">
        <f>'Peers Stock History'!I108/'Peers Stock History'!I$1833*100</f>
        <v>316.76802780191139</v>
      </c>
      <c r="I105" s="871">
        <f>'Peers Stock History'!J108/'Peers Stock History'!J$1833*100</f>
        <v>199.95871022666807</v>
      </c>
      <c r="J105" s="871">
        <f>'Peers Stock History'!K108/'Peers Stock History'!K$1833*100</f>
        <v>274.45231843613823</v>
      </c>
    </row>
    <row r="106" spans="2:10">
      <c r="B106" s="870">
        <v>44505</v>
      </c>
      <c r="C106" s="871">
        <f>'Peers Stock History'!D109/'Peers Stock History'!D$1833*100</f>
        <v>141.24826629680999</v>
      </c>
      <c r="D106" s="871">
        <f>'Peers Stock History'!E109/'Peers Stock History'!E$1833*100</f>
        <v>1091.8165137614678</v>
      </c>
      <c r="E106" s="871">
        <f>'Peers Stock History'!F109/'Peers Stock History'!F$1833*100</f>
        <v>1025.1127819548872</v>
      </c>
      <c r="F106" s="871">
        <f>'Peers Stock History'!G109/'Peers Stock History'!G$1833*100</f>
        <v>350.71208984252462</v>
      </c>
      <c r="G106" s="871">
        <f>'Peers Stock History'!H109/'Peers Stock History'!H$1833*100</f>
        <v>271.33355988154761</v>
      </c>
      <c r="H106" s="871">
        <f>'Peers Stock History'!I109/'Peers Stock History'!I$1833*100</f>
        <v>316.76802780191139</v>
      </c>
      <c r="I106" s="871">
        <f>'Peers Stock History'!J109/'Peers Stock History'!J$1833*100</f>
        <v>199.95871022666807</v>
      </c>
      <c r="J106" s="871">
        <f>'Peers Stock History'!K109/'Peers Stock History'!K$1833*100</f>
        <v>274.45231843613823</v>
      </c>
    </row>
    <row r="107" spans="2:10">
      <c r="B107" s="870">
        <v>44504</v>
      </c>
      <c r="C107" s="871">
        <f>'Peers Stock History'!D110/'Peers Stock History'!D$1833*100</f>
        <v>139.55617198335645</v>
      </c>
      <c r="D107" s="871">
        <f>'Peers Stock History'!E110/'Peers Stock History'!E$1833*100</f>
        <v>1093.6146788990825</v>
      </c>
      <c r="E107" s="871">
        <f>'Peers Stock History'!F110/'Peers Stock History'!F$1833*100</f>
        <v>1033.8345864661653</v>
      </c>
      <c r="F107" s="871">
        <f>'Peers Stock History'!G110/'Peers Stock History'!G$1833*100</f>
        <v>342.54713428554794</v>
      </c>
      <c r="G107" s="871">
        <f>'Peers Stock History'!H110/'Peers Stock History'!H$1833*100</f>
        <v>266.33331715131806</v>
      </c>
      <c r="H107" s="871">
        <f>'Peers Stock History'!I110/'Peers Stock History'!I$1833*100</f>
        <v>313.8140747176368</v>
      </c>
      <c r="I107" s="871">
        <f>'Peers Stock History'!J110/'Peers Stock History'!J$1833*100</f>
        <v>199.21506863892733</v>
      </c>
      <c r="J107" s="871">
        <f>'Peers Stock History'!K110/'Peers Stock History'!K$1833*100</f>
        <v>273.91480967240835</v>
      </c>
    </row>
    <row r="108" spans="2:10">
      <c r="B108" s="870">
        <v>44503</v>
      </c>
      <c r="C108" s="871">
        <f>'Peers Stock History'!D111/'Peers Stock History'!D$1833*100</f>
        <v>139.77808599167824</v>
      </c>
      <c r="D108" s="871">
        <f>'Peers Stock History'!E111/'Peers Stock History'!E$1833*100</f>
        <v>976.07339449541291</v>
      </c>
      <c r="E108" s="871">
        <f>'Peers Stock History'!F111/'Peers Stock History'!F$1833*100</f>
        <v>981.42857142857133</v>
      </c>
      <c r="F108" s="871">
        <f>'Peers Stock History'!G111/'Peers Stock History'!G$1833*100</f>
        <v>346.47166375894568</v>
      </c>
      <c r="G108" s="871">
        <f>'Peers Stock History'!H111/'Peers Stock History'!H$1833*100</f>
        <v>263.29918928103308</v>
      </c>
      <c r="H108" s="871">
        <f>'Peers Stock History'!I111/'Peers Stock History'!I$1833*100</f>
        <v>309.51346655082534</v>
      </c>
      <c r="I108" s="871">
        <f>'Peers Stock History'!J111/'Peers Stock History'!J$1833*100</f>
        <v>198.38544216239225</v>
      </c>
      <c r="J108" s="871">
        <f>'Peers Stock History'!K111/'Peers Stock History'!K$1833*100</f>
        <v>271.70284425992884</v>
      </c>
    </row>
    <row r="109" spans="2:10">
      <c r="B109" s="870">
        <v>44502</v>
      </c>
      <c r="C109" s="871">
        <f>'Peers Stock History'!D112/'Peers Stock History'!D$1833*100</f>
        <v>138.30790568654646</v>
      </c>
      <c r="D109" s="871">
        <f>'Peers Stock History'!E112/'Peers Stock History'!E$1833*100</f>
        <v>968.8440366972477</v>
      </c>
      <c r="E109" s="871">
        <f>'Peers Stock History'!F112/'Peers Stock History'!F$1833*100</f>
        <v>959.62406015037584</v>
      </c>
      <c r="F109" s="871">
        <f>'Peers Stock History'!G112/'Peers Stock History'!G$1833*100</f>
        <v>345.37818363088314</v>
      </c>
      <c r="G109" s="871">
        <f>'Peers Stock History'!H112/'Peers Stock History'!H$1833*100</f>
        <v>260.72624884703146</v>
      </c>
      <c r="H109" s="871">
        <f>'Peers Stock History'!I112/'Peers Stock History'!I$1833*100</f>
        <v>307.38488271068638</v>
      </c>
      <c r="I109" s="871">
        <f>'Peers Stock History'!J112/'Peers Stock History'!J$1833*100</f>
        <v>197.11184420559752</v>
      </c>
      <c r="J109" s="871">
        <f>'Peers Stock History'!K112/'Peers Stock History'!K$1833*100</f>
        <v>268.91939774273811</v>
      </c>
    </row>
    <row r="110" spans="2:10">
      <c r="B110" s="870">
        <v>44501</v>
      </c>
      <c r="C110" s="871">
        <f>'Peers Stock History'!D113/'Peers Stock History'!D$1833*100</f>
        <v>137.44798890429959</v>
      </c>
      <c r="D110" s="871">
        <f>'Peers Stock History'!E113/'Peers Stock History'!E$1833*100</f>
        <v>947.77981651376138</v>
      </c>
      <c r="E110" s="871">
        <f>'Peers Stock History'!F113/'Peers Stock History'!F$1833*100</f>
        <v>941.57894736842104</v>
      </c>
      <c r="F110" s="871">
        <f>'Peers Stock History'!G113/'Peers Stock History'!G$1833*100</f>
        <v>344.65635445992473</v>
      </c>
      <c r="G110" s="871">
        <f>'Peers Stock History'!H113/'Peers Stock History'!H$1833*100</f>
        <v>256.3473955046361</v>
      </c>
      <c r="H110" s="871">
        <f>'Peers Stock History'!I113/'Peers Stock History'!I$1833*100</f>
        <v>307.12423979148571</v>
      </c>
      <c r="I110" s="871">
        <f>'Peers Stock History'!J113/'Peers Stock History'!J$1833*100</f>
        <v>196.3890603384059</v>
      </c>
      <c r="J110" s="871">
        <f>'Peers Stock History'!K113/'Peers Stock History'!K$1833*100</f>
        <v>267.996834746986</v>
      </c>
    </row>
    <row r="111" spans="2:10">
      <c r="B111" s="870">
        <v>44500</v>
      </c>
      <c r="C111" s="871">
        <f>'Peers Stock History'!D114/'Peers Stock History'!D$1833*100</f>
        <v>135.92233009708738</v>
      </c>
      <c r="D111" s="871">
        <f>'Peers Stock History'!E114/'Peers Stock History'!E$1833*100</f>
        <v>938.2385321100918</v>
      </c>
      <c r="E111" s="871">
        <f>'Peers Stock History'!F114/'Peers Stock History'!F$1833*100</f>
        <v>903.98496240601492</v>
      </c>
      <c r="F111" s="871">
        <f>'Peers Stock History'!G114/'Peers Stock History'!G$1833*100</f>
        <v>344.96605214023077</v>
      </c>
      <c r="G111" s="871">
        <f>'Peers Stock History'!H114/'Peers Stock History'!H$1833*100</f>
        <v>258.10476236710514</v>
      </c>
      <c r="H111" s="871">
        <f>'Peers Stock History'!I114/'Peers Stock History'!I$1833*100</f>
        <v>300.17376194613377</v>
      </c>
      <c r="I111" s="871">
        <f>'Peers Stock History'!J114/'Peers Stock History'!J$1833*100</f>
        <v>196.03618176013623</v>
      </c>
      <c r="J111" s="871">
        <f>'Peers Stock History'!K114/'Peers Stock History'!K$1833*100</f>
        <v>266.32095184416374</v>
      </c>
    </row>
    <row r="112" spans="2:10">
      <c r="B112" s="870">
        <v>44499</v>
      </c>
      <c r="C112" s="871">
        <f>'Peers Stock History'!D115/'Peers Stock History'!D$1833*100</f>
        <v>135.92233009708738</v>
      </c>
      <c r="D112" s="871">
        <f>'Peers Stock History'!E115/'Peers Stock History'!E$1833*100</f>
        <v>938.2385321100918</v>
      </c>
      <c r="E112" s="871">
        <f>'Peers Stock History'!F115/'Peers Stock History'!F$1833*100</f>
        <v>903.98496240601492</v>
      </c>
      <c r="F112" s="871">
        <f>'Peers Stock History'!G115/'Peers Stock History'!G$1833*100</f>
        <v>344.96605214023077</v>
      </c>
      <c r="G112" s="871">
        <f>'Peers Stock History'!H115/'Peers Stock History'!H$1833*100</f>
        <v>258.10476236710514</v>
      </c>
      <c r="H112" s="871">
        <f>'Peers Stock History'!I115/'Peers Stock History'!I$1833*100</f>
        <v>300.17376194613377</v>
      </c>
      <c r="I112" s="871">
        <f>'Peers Stock History'!J115/'Peers Stock History'!J$1833*100</f>
        <v>196.03618176013623</v>
      </c>
      <c r="J112" s="871">
        <f>'Peers Stock History'!K115/'Peers Stock History'!K$1833*100</f>
        <v>266.32095184416374</v>
      </c>
    </row>
    <row r="113" spans="2:10">
      <c r="B113" s="870">
        <v>44498</v>
      </c>
      <c r="C113" s="871">
        <f>'Peers Stock History'!D116/'Peers Stock History'!D$1833*100</f>
        <v>135.92233009708738</v>
      </c>
      <c r="D113" s="871">
        <f>'Peers Stock History'!E116/'Peers Stock History'!E$1833*100</f>
        <v>938.2385321100918</v>
      </c>
      <c r="E113" s="871">
        <f>'Peers Stock History'!F116/'Peers Stock History'!F$1833*100</f>
        <v>903.98496240601492</v>
      </c>
      <c r="F113" s="871">
        <f>'Peers Stock History'!G116/'Peers Stock History'!G$1833*100</f>
        <v>344.96605214023077</v>
      </c>
      <c r="G113" s="871">
        <f>'Peers Stock History'!H116/'Peers Stock History'!H$1833*100</f>
        <v>258.10476236710514</v>
      </c>
      <c r="H113" s="871">
        <f>'Peers Stock History'!I116/'Peers Stock History'!I$1833*100</f>
        <v>300.17376194613377</v>
      </c>
      <c r="I113" s="871">
        <f>'Peers Stock History'!J116/'Peers Stock History'!J$1833*100</f>
        <v>196.03618176013623</v>
      </c>
      <c r="J113" s="871">
        <f>'Peers Stock History'!K116/'Peers Stock History'!K$1833*100</f>
        <v>266.32095184416374</v>
      </c>
    </row>
    <row r="114" spans="2:10">
      <c r="B114" s="870">
        <v>44497</v>
      </c>
      <c r="C114" s="871">
        <f>'Peers Stock History'!D117/'Peers Stock History'!D$1833*100</f>
        <v>133.37031900138697</v>
      </c>
      <c r="D114" s="871">
        <f>'Peers Stock History'!E117/'Peers Stock History'!E$1833*100</f>
        <v>915.26605504587155</v>
      </c>
      <c r="E114" s="871">
        <f>'Peers Stock History'!F117/'Peers Stock History'!F$1833*100</f>
        <v>910.97744360902254</v>
      </c>
      <c r="F114" s="871">
        <f>'Peers Stock History'!G117/'Peers Stock History'!G$1833*100</f>
        <v>348.30261907522748</v>
      </c>
      <c r="G114" s="871">
        <f>'Peers Stock History'!H117/'Peers Stock History'!H$1833*100</f>
        <v>257.0852954026895</v>
      </c>
      <c r="H114" s="871">
        <f>'Peers Stock History'!I117/'Peers Stock History'!I$1833*100</f>
        <v>302.25890529973935</v>
      </c>
      <c r="I114" s="871">
        <f>'Peers Stock History'!J117/'Peers Stock History'!J$1833*100</f>
        <v>195.6547834415239</v>
      </c>
      <c r="J114" s="871">
        <f>'Peers Stock History'!K117/'Peers Stock History'!K$1833*100</f>
        <v>265.4571230221465</v>
      </c>
    </row>
    <row r="115" spans="2:10">
      <c r="B115" s="870">
        <v>44496</v>
      </c>
      <c r="C115" s="871">
        <f>'Peers Stock History'!D118/'Peers Stock History'!D$1833*100</f>
        <v>132.84327323162276</v>
      </c>
      <c r="D115" s="871">
        <f>'Peers Stock History'!E118/'Peers Stock History'!E$1833*100</f>
        <v>897.28440366972484</v>
      </c>
      <c r="E115" s="871">
        <f>'Peers Stock History'!F118/'Peers Stock History'!F$1833*100</f>
        <v>919.3984962406015</v>
      </c>
      <c r="F115" s="871">
        <f>'Peers Stock History'!G118/'Peers Stock History'!G$1833*100</f>
        <v>350.51801376129674</v>
      </c>
      <c r="G115" s="871">
        <f>'Peers Stock History'!H118/'Peers Stock History'!H$1833*100</f>
        <v>253.94922083596293</v>
      </c>
      <c r="H115" s="871">
        <f>'Peers Stock History'!I118/'Peers Stock History'!I$1833*100</f>
        <v>296.43788010425715</v>
      </c>
      <c r="I115" s="871">
        <f>'Peers Stock History'!J118/'Peers Stock History'!J$1833*100</f>
        <v>193.75034585506015</v>
      </c>
      <c r="J115" s="871">
        <f>'Peers Stock History'!K118/'Peers Stock History'!K$1833*100</f>
        <v>261.80934935320238</v>
      </c>
    </row>
    <row r="116" spans="2:10">
      <c r="B116" s="870">
        <v>44495</v>
      </c>
      <c r="C116" s="871">
        <f>'Peers Stock History'!D119/'Peers Stock History'!D$1833*100</f>
        <v>133.92510402219142</v>
      </c>
      <c r="D116" s="871">
        <f>'Peers Stock History'!E119/'Peers Stock History'!E$1833*100</f>
        <v>907.04587155963293</v>
      </c>
      <c r="E116" s="871">
        <f>'Peers Stock History'!F119/'Peers Stock History'!F$1833*100</f>
        <v>924.28571428571422</v>
      </c>
      <c r="F116" s="871">
        <f>'Peers Stock History'!G119/'Peers Stock History'!G$1833*100</f>
        <v>350.6567678332475</v>
      </c>
      <c r="G116" s="871">
        <f>'Peers Stock History'!H119/'Peers Stock History'!H$1833*100</f>
        <v>259.17277537744548</v>
      </c>
      <c r="H116" s="871">
        <f>'Peers Stock History'!I119/'Peers Stock History'!I$1833*100</f>
        <v>299.47871416159859</v>
      </c>
      <c r="I116" s="871">
        <f>'Peers Stock History'!J119/'Peers Stock History'!J$1833*100</f>
        <v>194.73406406299881</v>
      </c>
      <c r="J116" s="871">
        <f>'Peers Stock History'!K119/'Peers Stock History'!K$1833*100</f>
        <v>261.80723574776954</v>
      </c>
    </row>
    <row r="117" spans="2:10">
      <c r="B117" s="870">
        <v>44494</v>
      </c>
      <c r="C117" s="871">
        <f>'Peers Stock History'!D120/'Peers Stock History'!D$1833*100</f>
        <v>137.05963938973647</v>
      </c>
      <c r="D117" s="871">
        <f>'Peers Stock History'!E120/'Peers Stock History'!E$1833*100</f>
        <v>850.12844036697254</v>
      </c>
      <c r="E117" s="871">
        <f>'Peers Stock History'!F120/'Peers Stock History'!F$1833*100</f>
        <v>919.99999999999989</v>
      </c>
      <c r="F117" s="871">
        <f>'Peers Stock History'!G120/'Peers Stock History'!G$1833*100</f>
        <v>346.09813037984611</v>
      </c>
      <c r="G117" s="871">
        <f>'Peers Stock History'!H120/'Peers Stock History'!H$1833*100</f>
        <v>253.44434195834751</v>
      </c>
      <c r="H117" s="871">
        <f>'Peers Stock History'!I120/'Peers Stock History'!I$1833*100</f>
        <v>298.69678540399656</v>
      </c>
      <c r="I117" s="871">
        <f>'Peers Stock History'!J120/'Peers Stock History'!J$1833*100</f>
        <v>194.38033414919653</v>
      </c>
      <c r="J117" s="871">
        <f>'Peers Stock History'!K120/'Peers Stock History'!K$1833*100</f>
        <v>261.65242703765313</v>
      </c>
    </row>
    <row r="118" spans="2:10">
      <c r="B118" s="870">
        <v>44493</v>
      </c>
      <c r="C118" s="871">
        <f>'Peers Stock History'!D121/'Peers Stock History'!D$1833*100</f>
        <v>137.1983356449376</v>
      </c>
      <c r="D118" s="871">
        <f>'Peers Stock History'!E121/'Peers Stock History'!E$1833*100</f>
        <v>833.98165137614683</v>
      </c>
      <c r="E118" s="871">
        <f>'Peers Stock History'!F121/'Peers Stock History'!F$1833*100</f>
        <v>900.90225563909758</v>
      </c>
      <c r="F118" s="871">
        <f>'Peers Stock History'!G121/'Peers Stock History'!G$1833*100</f>
        <v>350.24643701573399</v>
      </c>
      <c r="G118" s="871">
        <f>'Peers Stock History'!H121/'Peers Stock History'!H$1833*100</f>
        <v>250.21117529977181</v>
      </c>
      <c r="H118" s="871">
        <f>'Peers Stock History'!I121/'Peers Stock History'!I$1833*100</f>
        <v>293.26672458731542</v>
      </c>
      <c r="I118" s="871">
        <f>'Peers Stock History'!J121/'Peers Stock History'!J$1833*100</f>
        <v>193.461743109503</v>
      </c>
      <c r="J118" s="871">
        <f>'Peers Stock History'!K121/'Peers Stock History'!K$1833*100</f>
        <v>259.30673741803338</v>
      </c>
    </row>
    <row r="119" spans="2:10">
      <c r="B119" s="870">
        <v>44492</v>
      </c>
      <c r="C119" s="871">
        <f>'Peers Stock History'!D122/'Peers Stock History'!D$1833*100</f>
        <v>137.1983356449376</v>
      </c>
      <c r="D119" s="871">
        <f>'Peers Stock History'!E122/'Peers Stock History'!E$1833*100</f>
        <v>833.98165137614683</v>
      </c>
      <c r="E119" s="871">
        <f>'Peers Stock History'!F122/'Peers Stock History'!F$1833*100</f>
        <v>900.90225563909758</v>
      </c>
      <c r="F119" s="871">
        <f>'Peers Stock History'!G122/'Peers Stock History'!G$1833*100</f>
        <v>350.24643701573399</v>
      </c>
      <c r="G119" s="871">
        <f>'Peers Stock History'!H122/'Peers Stock History'!H$1833*100</f>
        <v>250.21117529977181</v>
      </c>
      <c r="H119" s="871">
        <f>'Peers Stock History'!I122/'Peers Stock History'!I$1833*100</f>
        <v>293.26672458731542</v>
      </c>
      <c r="I119" s="871">
        <f>'Peers Stock History'!J122/'Peers Stock History'!J$1833*100</f>
        <v>193.461743109503</v>
      </c>
      <c r="J119" s="871">
        <f>'Peers Stock History'!K122/'Peers Stock History'!K$1833*100</f>
        <v>259.30673741803338</v>
      </c>
    </row>
    <row r="120" spans="2:10">
      <c r="B120" s="870">
        <v>44491</v>
      </c>
      <c r="C120" s="871">
        <f>'Peers Stock History'!D123/'Peers Stock History'!D$1833*100</f>
        <v>137.1983356449376</v>
      </c>
      <c r="D120" s="871">
        <f>'Peers Stock History'!E123/'Peers Stock History'!E$1833*100</f>
        <v>833.98165137614683</v>
      </c>
      <c r="E120" s="871">
        <f>'Peers Stock History'!F123/'Peers Stock History'!F$1833*100</f>
        <v>900.90225563909758</v>
      </c>
      <c r="F120" s="871">
        <f>'Peers Stock History'!G123/'Peers Stock History'!G$1833*100</f>
        <v>350.24643701573399</v>
      </c>
      <c r="G120" s="871">
        <f>'Peers Stock History'!H123/'Peers Stock History'!H$1833*100</f>
        <v>250.21117529977181</v>
      </c>
      <c r="H120" s="871">
        <f>'Peers Stock History'!I123/'Peers Stock History'!I$1833*100</f>
        <v>293.26672458731542</v>
      </c>
      <c r="I120" s="871">
        <f>'Peers Stock History'!J123/'Peers Stock History'!J$1833*100</f>
        <v>193.461743109503</v>
      </c>
      <c r="J120" s="871">
        <f>'Peers Stock History'!K123/'Peers Stock History'!K$1833*100</f>
        <v>259.30673741803338</v>
      </c>
    </row>
    <row r="121" spans="2:10">
      <c r="B121" s="870">
        <v>44490</v>
      </c>
      <c r="C121" s="871">
        <f>'Peers Stock History'!D124/'Peers Stock History'!D$1833*100</f>
        <v>155.33980582524273</v>
      </c>
      <c r="D121" s="871">
        <f>'Peers Stock History'!E124/'Peers Stock History'!E$1833*100</f>
        <v>832.73394495412845</v>
      </c>
      <c r="E121" s="871">
        <f>'Peers Stock History'!F124/'Peers Stock History'!F$1833*100</f>
        <v>897.21804511278197</v>
      </c>
      <c r="F121" s="871">
        <f>'Peers Stock History'!G124/'Peers Stock History'!G$1833*100</f>
        <v>347.8864931374888</v>
      </c>
      <c r="G121" s="871">
        <f>'Peers Stock History'!H124/'Peers Stock History'!H$1833*100</f>
        <v>249.59949512112237</v>
      </c>
      <c r="H121" s="871">
        <f>'Peers Stock History'!I124/'Peers Stock History'!I$1833*100</f>
        <v>298.17549956559515</v>
      </c>
      <c r="I121" s="871">
        <f>'Peers Stock History'!J124/'Peers Stock History'!J$1833*100</f>
        <v>193.6694689794615</v>
      </c>
      <c r="J121" s="871">
        <f>'Peers Stock History'!K124/'Peers Stock History'!K$1833*100</f>
        <v>261.46330231087529</v>
      </c>
    </row>
    <row r="122" spans="2:10">
      <c r="B122" s="870">
        <v>44489</v>
      </c>
      <c r="C122" s="871">
        <f>'Peers Stock History'!D125/'Peers Stock History'!D$1833*100</f>
        <v>153.59223300970874</v>
      </c>
      <c r="D122" s="871">
        <f>'Peers Stock History'!E125/'Peers Stock History'!E$1833*100</f>
        <v>811.11926605504595</v>
      </c>
      <c r="E122" s="871">
        <f>'Peers Stock History'!F125/'Peers Stock History'!F$1833*100</f>
        <v>875.11278195488717</v>
      </c>
      <c r="F122" s="871">
        <f>'Peers Stock History'!G125/'Peers Stock History'!G$1833*100</f>
        <v>349.04137311744068</v>
      </c>
      <c r="G122" s="871">
        <f>'Peers Stock History'!H125/'Peers Stock History'!H$1833*100</f>
        <v>247.28870333511335</v>
      </c>
      <c r="H122" s="871">
        <f>'Peers Stock History'!I125/'Peers Stock History'!I$1833*100</f>
        <v>296.56820156385749</v>
      </c>
      <c r="I122" s="871">
        <f>'Peers Stock History'!J125/'Peers Stock History'!J$1833*100</f>
        <v>193.0909864850484</v>
      </c>
      <c r="J122" s="871">
        <f>'Peers Stock History'!K125/'Peers Stock History'!K$1833*100</f>
        <v>259.84764857099651</v>
      </c>
    </row>
    <row r="123" spans="2:10">
      <c r="B123" s="870">
        <v>44488</v>
      </c>
      <c r="C123" s="871">
        <f>'Peers Stock History'!D126/'Peers Stock History'!D$1833*100</f>
        <v>153.14840499306521</v>
      </c>
      <c r="D123" s="871">
        <f>'Peers Stock History'!E126/'Peers Stock History'!E$1833*100</f>
        <v>817.98165137614683</v>
      </c>
      <c r="E123" s="871">
        <f>'Peers Stock History'!F126/'Peers Stock History'!F$1833*100</f>
        <v>874.66165413533827</v>
      </c>
      <c r="F123" s="871">
        <f>'Peers Stock History'!G126/'Peers Stock History'!G$1833*100</f>
        <v>350.35959007529181</v>
      </c>
      <c r="G123" s="871">
        <f>'Peers Stock History'!H126/'Peers Stock History'!H$1833*100</f>
        <v>247.77416379435894</v>
      </c>
      <c r="H123" s="871">
        <f>'Peers Stock History'!I126/'Peers Stock History'!I$1833*100</f>
        <v>293.52736750651604</v>
      </c>
      <c r="I123" s="871">
        <f>'Peers Stock History'!J126/'Peers Stock History'!J$1833*100</f>
        <v>192.38608066404171</v>
      </c>
      <c r="J123" s="871">
        <f>'Peers Stock History'!K126/'Peers Stock History'!K$1833*100</f>
        <v>259.97501477805429</v>
      </c>
    </row>
    <row r="124" spans="2:10">
      <c r="B124" s="870">
        <v>44487</v>
      </c>
      <c r="C124" s="871">
        <f>'Peers Stock History'!D127/'Peers Stock History'!D$1833*100</f>
        <v>151.09570041608876</v>
      </c>
      <c r="D124" s="871">
        <f>'Peers Stock History'!E127/'Peers Stock History'!E$1833*100</f>
        <v>815.48623853211006</v>
      </c>
      <c r="E124" s="871">
        <f>'Peers Stock History'!F127/'Peers Stock History'!F$1833*100</f>
        <v>875.41353383458647</v>
      </c>
      <c r="F124" s="871">
        <f>'Peers Stock History'!G127/'Peers Stock History'!G$1833*100</f>
        <v>342.88326614431406</v>
      </c>
      <c r="G124" s="871">
        <f>'Peers Stock History'!H127/'Peers Stock History'!H$1833*100</f>
        <v>244.36137676586242</v>
      </c>
      <c r="H124" s="871">
        <f>'Peers Stock History'!I127/'Peers Stock History'!I$1833*100</f>
        <v>292.18071242397917</v>
      </c>
      <c r="I124" s="871">
        <f>'Peers Stock History'!J127/'Peers Stock History'!J$1833*100</f>
        <v>190.97414068319677</v>
      </c>
      <c r="J124" s="871">
        <f>'Peers Stock History'!K127/'Peers Stock History'!K$1833*100</f>
        <v>258.13152124603056</v>
      </c>
    </row>
    <row r="125" spans="2:10">
      <c r="B125" s="870">
        <v>44486</v>
      </c>
      <c r="C125" s="871">
        <f>'Peers Stock History'!D128/'Peers Stock History'!D$1833*100</f>
        <v>151.06796116504856</v>
      </c>
      <c r="D125" s="871">
        <f>'Peers Stock History'!E128/'Peers Stock History'!E$1833*100</f>
        <v>802.27522935779825</v>
      </c>
      <c r="E125" s="871">
        <f>'Peers Stock History'!F128/'Peers Stock History'!F$1833*100</f>
        <v>843.00751879699249</v>
      </c>
      <c r="F125" s="871">
        <f>'Peers Stock History'!G128/'Peers Stock History'!G$1833*100</f>
        <v>349.18136306230167</v>
      </c>
      <c r="G125" s="871">
        <f>'Peers Stock History'!H128/'Peers Stock History'!H$1833*100</f>
        <v>244.30797611534541</v>
      </c>
      <c r="H125" s="871">
        <f>'Peers Stock History'!I128/'Peers Stock History'!I$1833*100</f>
        <v>294.00521285838408</v>
      </c>
      <c r="I125" s="871">
        <f>'Peers Stock History'!J128/'Peers Stock History'!J$1833*100</f>
        <v>190.3318080238374</v>
      </c>
      <c r="J125" s="871">
        <f>'Peers Stock History'!K128/'Peers Stock History'!K$1833*100</f>
        <v>255.99267283449959</v>
      </c>
    </row>
    <row r="126" spans="2:10">
      <c r="B126" s="870">
        <v>44485</v>
      </c>
      <c r="C126" s="871">
        <f>'Peers Stock History'!D129/'Peers Stock History'!D$1833*100</f>
        <v>151.06796116504856</v>
      </c>
      <c r="D126" s="871">
        <f>'Peers Stock History'!E129/'Peers Stock History'!E$1833*100</f>
        <v>802.27522935779825</v>
      </c>
      <c r="E126" s="871">
        <f>'Peers Stock History'!F129/'Peers Stock History'!F$1833*100</f>
        <v>843.00751879699249</v>
      </c>
      <c r="F126" s="871">
        <f>'Peers Stock History'!G129/'Peers Stock History'!G$1833*100</f>
        <v>349.18136306230167</v>
      </c>
      <c r="G126" s="871">
        <f>'Peers Stock History'!H129/'Peers Stock History'!H$1833*100</f>
        <v>244.30797611534541</v>
      </c>
      <c r="H126" s="871">
        <f>'Peers Stock History'!I129/'Peers Stock History'!I$1833*100</f>
        <v>294.00521285838408</v>
      </c>
      <c r="I126" s="871">
        <f>'Peers Stock History'!J129/'Peers Stock History'!J$1833*100</f>
        <v>190.3318080238374</v>
      </c>
      <c r="J126" s="871">
        <f>'Peers Stock History'!K129/'Peers Stock History'!K$1833*100</f>
        <v>255.99267283449959</v>
      </c>
    </row>
    <row r="127" spans="2:10">
      <c r="B127" s="870">
        <v>44484</v>
      </c>
      <c r="C127" s="871">
        <f>'Peers Stock History'!D130/'Peers Stock History'!D$1833*100</f>
        <v>151.06796116504856</v>
      </c>
      <c r="D127" s="871">
        <f>'Peers Stock History'!E130/'Peers Stock History'!E$1833*100</f>
        <v>802.27522935779825</v>
      </c>
      <c r="E127" s="871">
        <f>'Peers Stock History'!F130/'Peers Stock History'!F$1833*100</f>
        <v>843.00751879699249</v>
      </c>
      <c r="F127" s="871">
        <f>'Peers Stock History'!G130/'Peers Stock History'!G$1833*100</f>
        <v>349.18136306230167</v>
      </c>
      <c r="G127" s="871">
        <f>'Peers Stock History'!H130/'Peers Stock History'!H$1833*100</f>
        <v>244.30797611534541</v>
      </c>
      <c r="H127" s="871">
        <f>'Peers Stock History'!I130/'Peers Stock History'!I$1833*100</f>
        <v>294.00521285838408</v>
      </c>
      <c r="I127" s="871">
        <f>'Peers Stock History'!J130/'Peers Stock History'!J$1833*100</f>
        <v>190.3318080238374</v>
      </c>
      <c r="J127" s="871">
        <f>'Peers Stock History'!K130/'Peers Stock History'!K$1833*100</f>
        <v>255.99267283449959</v>
      </c>
    </row>
    <row r="128" spans="2:10">
      <c r="B128" s="870">
        <v>44483</v>
      </c>
      <c r="C128" s="871">
        <f>'Peers Stock History'!D131/'Peers Stock History'!D$1833*100</f>
        <v>149.51456310679612</v>
      </c>
      <c r="D128" s="871">
        <f>'Peers Stock History'!E131/'Peers Stock History'!E$1833*100</f>
        <v>798.01834862385329</v>
      </c>
      <c r="E128" s="871">
        <f>'Peers Stock History'!F131/'Peers Stock History'!F$1833*100</f>
        <v>842.03007518796994</v>
      </c>
      <c r="F128" s="871">
        <f>'Peers Stock History'!G131/'Peers Stock History'!G$1833*100</f>
        <v>332.54024882637026</v>
      </c>
      <c r="G128" s="871">
        <f>'Peers Stock History'!H131/'Peers Stock History'!H$1833*100</f>
        <v>241.56512452060781</v>
      </c>
      <c r="H128" s="871">
        <f>'Peers Stock History'!I131/'Peers Stock History'!I$1833*100</f>
        <v>294.52649869678538</v>
      </c>
      <c r="I128" s="871">
        <f>'Peers Stock History'!J131/'Peers Stock History'!J$1833*100</f>
        <v>188.92242204959032</v>
      </c>
      <c r="J128" s="871">
        <f>'Peers Stock History'!K131/'Peers Stock History'!K$1833*100</f>
        <v>254.72260217477972</v>
      </c>
    </row>
    <row r="129" spans="2:10">
      <c r="B129" s="870">
        <v>44482</v>
      </c>
      <c r="C129" s="871">
        <f>'Peers Stock History'!D132/'Peers Stock History'!D$1833*100</f>
        <v>144.96532593619972</v>
      </c>
      <c r="D129" s="871">
        <f>'Peers Stock History'!E132/'Peers Stock History'!E$1833*100</f>
        <v>768.40366972477057</v>
      </c>
      <c r="E129" s="871">
        <f>'Peers Stock History'!F132/'Peers Stock History'!F$1833*100</f>
        <v>820.75187969924809</v>
      </c>
      <c r="F129" s="871">
        <f>'Peers Stock History'!G132/'Peers Stock History'!G$1833*100</f>
        <v>331.23774278114166</v>
      </c>
      <c r="G129" s="871">
        <f>'Peers Stock History'!H132/'Peers Stock History'!H$1833*100</f>
        <v>235.45317733870576</v>
      </c>
      <c r="H129" s="871">
        <f>'Peers Stock History'!I132/'Peers Stock History'!I$1833*100</f>
        <v>288.35794960903559</v>
      </c>
      <c r="I129" s="871">
        <f>'Peers Stock History'!J132/'Peers Stock History'!J$1833*100</f>
        <v>185.75289986165799</v>
      </c>
      <c r="J129" s="871">
        <f>'Peers Stock History'!K132/'Peers Stock History'!K$1833*100</f>
        <v>250.39582846459453</v>
      </c>
    </row>
    <row r="130" spans="2:10">
      <c r="B130" s="870">
        <v>44481</v>
      </c>
      <c r="C130" s="871">
        <f>'Peers Stock History'!D133/'Peers Stock History'!D$1833*100</f>
        <v>144.71567267683773</v>
      </c>
      <c r="D130" s="871">
        <f>'Peers Stock History'!E133/'Peers Stock History'!E$1833*100</f>
        <v>758.56880733944956</v>
      </c>
      <c r="E130" s="871">
        <f>'Peers Stock History'!F133/'Peers Stock History'!F$1833*100</f>
        <v>789.77443609022555</v>
      </c>
      <c r="F130" s="871">
        <f>'Peers Stock History'!G133/'Peers Stock History'!G$1833*100</f>
        <v>332.46739056435479</v>
      </c>
      <c r="G130" s="871">
        <f>'Peers Stock History'!H133/'Peers Stock History'!H$1833*100</f>
        <v>235.58425166270206</v>
      </c>
      <c r="H130" s="871">
        <f>'Peers Stock History'!I133/'Peers Stock History'!I$1833*100</f>
        <v>289.83492615117285</v>
      </c>
      <c r="I130" s="871">
        <f>'Peers Stock History'!J133/'Peers Stock History'!J$1833*100</f>
        <v>185.19314674896242</v>
      </c>
      <c r="J130" s="871">
        <f>'Peers Stock History'!K133/'Peers Stock History'!K$1833*100</f>
        <v>248.57933065724538</v>
      </c>
    </row>
    <row r="131" spans="2:10">
      <c r="B131" s="870">
        <v>44480</v>
      </c>
      <c r="C131" s="871">
        <f>'Peers Stock History'!D134/'Peers Stock History'!D$1833*100</f>
        <v>148.2385575589459</v>
      </c>
      <c r="D131" s="871">
        <f>'Peers Stock History'!E134/'Peers Stock History'!E$1833*100</f>
        <v>759.44954128440361</v>
      </c>
      <c r="E131" s="871">
        <f>'Peers Stock History'!F134/'Peers Stock History'!F$1833*100</f>
        <v>787.06766917293237</v>
      </c>
      <c r="F131" s="871">
        <f>'Peers Stock History'!G134/'Peers Stock History'!G$1833*100</f>
        <v>333.21355014561482</v>
      </c>
      <c r="G131" s="871">
        <f>'Peers Stock History'!H134/'Peers Stock History'!H$1833*100</f>
        <v>239.01160250497594</v>
      </c>
      <c r="H131" s="871">
        <f>'Peers Stock History'!I134/'Peers Stock History'!I$1833*100</f>
        <v>300.69504778453518</v>
      </c>
      <c r="I131" s="871">
        <f>'Peers Stock History'!J134/'Peers Stock History'!J$1833*100</f>
        <v>185.64180057465148</v>
      </c>
      <c r="J131" s="871">
        <f>'Peers Stock History'!K134/'Peers Stock History'!K$1833*100</f>
        <v>248.92773187798142</v>
      </c>
    </row>
    <row r="132" spans="2:10">
      <c r="B132" s="870">
        <v>44479</v>
      </c>
      <c r="C132" s="871">
        <f>'Peers Stock History'!D135/'Peers Stock History'!D$1833*100</f>
        <v>149.26490984743415</v>
      </c>
      <c r="D132" s="871">
        <f>'Peers Stock History'!E135/'Peers Stock History'!E$1833*100</f>
        <v>764.44036697247702</v>
      </c>
      <c r="E132" s="871">
        <f>'Peers Stock History'!F135/'Peers Stock History'!F$1833*100</f>
        <v>789.92481203007515</v>
      </c>
      <c r="F132" s="871">
        <f>'Peers Stock History'!G135/'Peers Stock History'!G$1833*100</f>
        <v>333.21355014561482</v>
      </c>
      <c r="G132" s="871">
        <f>'Peers Stock History'!H135/'Peers Stock History'!H$1833*100</f>
        <v>239.25918733919121</v>
      </c>
      <c r="H132" s="871">
        <f>'Peers Stock History'!I135/'Peers Stock History'!I$1833*100</f>
        <v>304.60469157254562</v>
      </c>
      <c r="I132" s="871">
        <f>'Peers Stock History'!J135/'Peers Stock History'!J$1833*100</f>
        <v>186.9251888900713</v>
      </c>
      <c r="J132" s="871">
        <f>'Peers Stock History'!K135/'Peers Stock History'!K$1833*100</f>
        <v>250.53161472581556</v>
      </c>
    </row>
    <row r="133" spans="2:10">
      <c r="B133" s="870">
        <v>44478</v>
      </c>
      <c r="C133" s="871">
        <f>'Peers Stock History'!D136/'Peers Stock History'!D$1833*100</f>
        <v>149.26490984743415</v>
      </c>
      <c r="D133" s="871">
        <f>'Peers Stock History'!E136/'Peers Stock History'!E$1833*100</f>
        <v>764.44036697247702</v>
      </c>
      <c r="E133" s="871">
        <f>'Peers Stock History'!F136/'Peers Stock History'!F$1833*100</f>
        <v>789.92481203007515</v>
      </c>
      <c r="F133" s="871">
        <f>'Peers Stock History'!G136/'Peers Stock History'!G$1833*100</f>
        <v>333.21355014561482</v>
      </c>
      <c r="G133" s="871">
        <f>'Peers Stock History'!H136/'Peers Stock History'!H$1833*100</f>
        <v>239.25918733919121</v>
      </c>
      <c r="H133" s="871">
        <f>'Peers Stock History'!I136/'Peers Stock History'!I$1833*100</f>
        <v>304.60469157254562</v>
      </c>
      <c r="I133" s="871">
        <f>'Peers Stock History'!J136/'Peers Stock History'!J$1833*100</f>
        <v>186.9251888900713</v>
      </c>
      <c r="J133" s="871">
        <f>'Peers Stock History'!K136/'Peers Stock History'!K$1833*100</f>
        <v>250.53161472581556</v>
      </c>
    </row>
    <row r="134" spans="2:10">
      <c r="B134" s="870">
        <v>44477</v>
      </c>
      <c r="C134" s="871">
        <f>'Peers Stock History'!D137/'Peers Stock History'!D$1833*100</f>
        <v>149.26490984743415</v>
      </c>
      <c r="D134" s="871">
        <f>'Peers Stock History'!E137/'Peers Stock History'!E$1833*100</f>
        <v>764.44036697247702</v>
      </c>
      <c r="E134" s="871">
        <f>'Peers Stock History'!F137/'Peers Stock History'!F$1833*100</f>
        <v>789.92481203007515</v>
      </c>
      <c r="F134" s="871">
        <f>'Peers Stock History'!G137/'Peers Stock History'!G$1833*100</f>
        <v>333.21355014561482</v>
      </c>
      <c r="G134" s="871">
        <f>'Peers Stock History'!H137/'Peers Stock History'!H$1833*100</f>
        <v>239.25918733919121</v>
      </c>
      <c r="H134" s="871">
        <f>'Peers Stock History'!I137/'Peers Stock History'!I$1833*100</f>
        <v>304.60469157254562</v>
      </c>
      <c r="I134" s="871">
        <f>'Peers Stock History'!J137/'Peers Stock History'!J$1833*100</f>
        <v>186.9251888900713</v>
      </c>
      <c r="J134" s="871">
        <f>'Peers Stock History'!K137/'Peers Stock History'!K$1833*100</f>
        <v>250.53161472581556</v>
      </c>
    </row>
    <row r="135" spans="2:10">
      <c r="B135" s="870">
        <v>44476</v>
      </c>
      <c r="C135" s="871">
        <f>'Peers Stock History'!D138/'Peers Stock History'!D$1833*100</f>
        <v>150.29126213592235</v>
      </c>
      <c r="D135" s="871">
        <f>'Peers Stock History'!E138/'Peers Stock History'!E$1833*100</f>
        <v>773.39449541284409</v>
      </c>
      <c r="E135" s="871">
        <f>'Peers Stock History'!F138/'Peers Stock History'!F$1833*100</f>
        <v>800.37593984962405</v>
      </c>
      <c r="F135" s="871">
        <f>'Peers Stock History'!G138/'Peers Stock History'!G$1833*100</f>
        <v>337.0596436472398</v>
      </c>
      <c r="G135" s="871">
        <f>'Peers Stock History'!H138/'Peers Stock History'!H$1833*100</f>
        <v>239.77863003058403</v>
      </c>
      <c r="H135" s="871">
        <f>'Peers Stock History'!I138/'Peers Stock History'!I$1833*100</f>
        <v>306.42919200695047</v>
      </c>
      <c r="I135" s="871">
        <f>'Peers Stock History'!J138/'Peers Stock History'!J$1833*100</f>
        <v>187.28360114930297</v>
      </c>
      <c r="J135" s="871">
        <f>'Peers Stock History'!K138/'Peers Stock History'!K$1833*100</f>
        <v>251.81144577485122</v>
      </c>
    </row>
    <row r="136" spans="2:10">
      <c r="B136" s="870">
        <v>44475</v>
      </c>
      <c r="C136" s="871">
        <f>'Peers Stock History'!D139/'Peers Stock History'!D$1833*100</f>
        <v>149.73647711511791</v>
      </c>
      <c r="D136" s="871">
        <f>'Peers Stock History'!E139/'Peers Stock History'!E$1833*100</f>
        <v>759.63302752293578</v>
      </c>
      <c r="E136" s="871">
        <f>'Peers Stock History'!F139/'Peers Stock History'!F$1833*100</f>
        <v>779.24812030075191</v>
      </c>
      <c r="F136" s="871">
        <f>'Peers Stock History'!G139/'Peers Stock History'!G$1833*100</f>
        <v>332.04292496849871</v>
      </c>
      <c r="G136" s="871">
        <f>'Peers Stock History'!H139/'Peers Stock History'!H$1833*100</f>
        <v>237.28336327006164</v>
      </c>
      <c r="H136" s="871">
        <f>'Peers Stock History'!I139/'Peers Stock History'!I$1833*100</f>
        <v>303.82276281494353</v>
      </c>
      <c r="I136" s="871">
        <f>'Peers Stock History'!J139/'Peers Stock History'!J$1833*100</f>
        <v>185.74225816750027</v>
      </c>
      <c r="J136" s="871">
        <f>'Peers Stock History'!K139/'Peers Stock History'!K$1833*100</f>
        <v>249.19770630851082</v>
      </c>
    </row>
    <row r="137" spans="2:10">
      <c r="B137" s="870">
        <v>44474</v>
      </c>
      <c r="C137" s="871">
        <f>'Peers Stock History'!D140/'Peers Stock History'!D$1833*100</f>
        <v>149.65325936199724</v>
      </c>
      <c r="D137" s="871">
        <f>'Peers Stock History'!E140/'Peers Stock History'!E$1833*100</f>
        <v>750.49541284403665</v>
      </c>
      <c r="E137" s="871">
        <f>'Peers Stock History'!F140/'Peers Stock History'!F$1833*100</f>
        <v>765.48872180451121</v>
      </c>
      <c r="F137" s="871">
        <f>'Peers Stock History'!G140/'Peers Stock History'!G$1833*100</f>
        <v>333.43495946520397</v>
      </c>
      <c r="G137" s="871">
        <f>'Peers Stock History'!H140/'Peers Stock History'!H$1833*100</f>
        <v>235.65221612699645</v>
      </c>
      <c r="H137" s="871">
        <f>'Peers Stock History'!I140/'Peers Stock History'!I$1833*100</f>
        <v>306.25543006081671</v>
      </c>
      <c r="I137" s="871">
        <f>'Peers Stock History'!J140/'Peers Stock History'!J$1833*100</f>
        <v>184.98329254017241</v>
      </c>
      <c r="J137" s="871">
        <f>'Peers Stock History'!K140/'Peers Stock History'!K$1833*100</f>
        <v>248.02781710955006</v>
      </c>
    </row>
    <row r="138" spans="2:10">
      <c r="B138" s="870">
        <v>44473</v>
      </c>
      <c r="C138" s="871">
        <f>'Peers Stock History'!D141/'Peers Stock History'!D$1833*100</f>
        <v>148.32177531206659</v>
      </c>
      <c r="D138" s="871">
        <f>'Peers Stock History'!E141/'Peers Stock History'!E$1833*100</f>
        <v>724.11009174311926</v>
      </c>
      <c r="E138" s="871">
        <f>'Peers Stock History'!F141/'Peers Stock History'!F$1833*100</f>
        <v>754.43609022556393</v>
      </c>
      <c r="F138" s="871">
        <f>'Peers Stock History'!G141/'Peers Stock History'!G$1833*100</f>
        <v>333.17229944270952</v>
      </c>
      <c r="G138" s="871">
        <f>'Peers Stock History'!H141/'Peers Stock History'!H$1833*100</f>
        <v>231.05490557794064</v>
      </c>
      <c r="H138" s="871">
        <f>'Peers Stock History'!I141/'Peers Stock History'!I$1833*100</f>
        <v>306.77671589921812</v>
      </c>
      <c r="I138" s="871">
        <f>'Peers Stock History'!J141/'Peers Stock History'!J$1833*100</f>
        <v>183.05672022986059</v>
      </c>
      <c r="J138" s="871">
        <f>'Peers Stock History'!K141/'Peers Stock History'!K$1833*100</f>
        <v>244.96317515087367</v>
      </c>
    </row>
    <row r="139" spans="2:10">
      <c r="B139" s="870">
        <v>44472</v>
      </c>
      <c r="C139" s="871">
        <f>'Peers Stock History'!D142/'Peers Stock History'!D$1833*100</f>
        <v>149.40360610263522</v>
      </c>
      <c r="D139" s="871">
        <f>'Peers Stock History'!E142/'Peers Stock History'!E$1833*100</f>
        <v>761.17431192660547</v>
      </c>
      <c r="E139" s="871">
        <f>'Peers Stock History'!F142/'Peers Stock History'!F$1833*100</f>
        <v>770.30075187969919</v>
      </c>
      <c r="F139" s="871">
        <f>'Peers Stock History'!G142/'Peers Stock History'!G$1833*100</f>
        <v>336.4333202554717</v>
      </c>
      <c r="G139" s="871">
        <f>'Peers Stock History'!H142/'Peers Stock History'!H$1833*100</f>
        <v>236.58915481334043</v>
      </c>
      <c r="H139" s="871">
        <f>'Peers Stock History'!I142/'Peers Stock History'!I$1833*100</f>
        <v>308.38401390095567</v>
      </c>
      <c r="I139" s="871">
        <f>'Peers Stock History'!J142/'Peers Stock History'!J$1833*100</f>
        <v>185.4651484516335</v>
      </c>
      <c r="J139" s="871">
        <f>'Peers Stock History'!K142/'Peers Stock History'!K$1833*100</f>
        <v>250.31097493916943</v>
      </c>
    </row>
    <row r="140" spans="2:10">
      <c r="B140" s="870">
        <v>44471</v>
      </c>
      <c r="C140" s="871">
        <f>'Peers Stock History'!D143/'Peers Stock History'!D$1833*100</f>
        <v>149.40360610263522</v>
      </c>
      <c r="D140" s="871">
        <f>'Peers Stock History'!E143/'Peers Stock History'!E$1833*100</f>
        <v>761.17431192660547</v>
      </c>
      <c r="E140" s="871">
        <f>'Peers Stock History'!F143/'Peers Stock History'!F$1833*100</f>
        <v>770.30075187969919</v>
      </c>
      <c r="F140" s="871">
        <f>'Peers Stock History'!G143/'Peers Stock History'!G$1833*100</f>
        <v>336.4333202554717</v>
      </c>
      <c r="G140" s="871">
        <f>'Peers Stock History'!H143/'Peers Stock History'!H$1833*100</f>
        <v>236.58915481334043</v>
      </c>
      <c r="H140" s="871">
        <f>'Peers Stock History'!I143/'Peers Stock History'!I$1833*100</f>
        <v>308.38401390095567</v>
      </c>
      <c r="I140" s="871">
        <f>'Peers Stock History'!J143/'Peers Stock History'!J$1833*100</f>
        <v>185.4651484516335</v>
      </c>
      <c r="J140" s="871">
        <f>'Peers Stock History'!K143/'Peers Stock History'!K$1833*100</f>
        <v>250.31097493916943</v>
      </c>
    </row>
    <row r="141" spans="2:10">
      <c r="B141" s="870">
        <v>44470</v>
      </c>
      <c r="C141" s="871">
        <f>'Peers Stock History'!D144/'Peers Stock History'!D$1833*100</f>
        <v>149.40360610263522</v>
      </c>
      <c r="D141" s="871">
        <f>'Peers Stock History'!E144/'Peers Stock History'!E$1833*100</f>
        <v>761.17431192660547</v>
      </c>
      <c r="E141" s="871">
        <f>'Peers Stock History'!F144/'Peers Stock History'!F$1833*100</f>
        <v>770.30075187969919</v>
      </c>
      <c r="F141" s="871">
        <f>'Peers Stock History'!G144/'Peers Stock History'!G$1833*100</f>
        <v>336.4333202554717</v>
      </c>
      <c r="G141" s="871">
        <f>'Peers Stock History'!H144/'Peers Stock History'!H$1833*100</f>
        <v>236.58915481334043</v>
      </c>
      <c r="H141" s="871">
        <f>'Peers Stock History'!I144/'Peers Stock History'!I$1833*100</f>
        <v>308.38401390095567</v>
      </c>
      <c r="I141" s="871">
        <f>'Peers Stock History'!J144/'Peers Stock History'!J$1833*100</f>
        <v>185.4651484516335</v>
      </c>
      <c r="J141" s="871">
        <f>'Peers Stock History'!K144/'Peers Stock History'!K$1833*100</f>
        <v>250.31097493916943</v>
      </c>
    </row>
    <row r="142" spans="2:10">
      <c r="B142" s="870">
        <v>44469</v>
      </c>
      <c r="C142" s="871">
        <f>'Peers Stock History'!D145/'Peers Stock History'!D$1833*100</f>
        <v>147.79472954230238</v>
      </c>
      <c r="D142" s="871">
        <f>'Peers Stock History'!E145/'Peers Stock History'!E$1833*100</f>
        <v>760.22018348623851</v>
      </c>
      <c r="E142" s="871">
        <f>'Peers Stock History'!F145/'Peers Stock History'!F$1833*100</f>
        <v>773.68421052631572</v>
      </c>
      <c r="F142" s="871">
        <f>'Peers Stock History'!G145/'Peers Stock History'!G$1833*100</f>
        <v>339.26549963946661</v>
      </c>
      <c r="G142" s="871">
        <f>'Peers Stock History'!H145/'Peers Stock History'!H$1833*100</f>
        <v>235.41434050196611</v>
      </c>
      <c r="H142" s="871">
        <f>'Peers Stock History'!I145/'Peers Stock History'!I$1833*100</f>
        <v>308.34057341442229</v>
      </c>
      <c r="I142" s="871">
        <f>'Peers Stock History'!J145/'Peers Stock History'!J$1833*100</f>
        <v>183.35809300840694</v>
      </c>
      <c r="J142" s="871">
        <f>'Peers Stock History'!K145/'Peers Stock History'!K$1833*100</f>
        <v>248.28129510743304</v>
      </c>
    </row>
    <row r="143" spans="2:10">
      <c r="B143" s="870">
        <v>44468</v>
      </c>
      <c r="C143" s="871">
        <f>'Peers Stock History'!D146/'Peers Stock History'!D$1833*100</f>
        <v>148.37725381414702</v>
      </c>
      <c r="D143" s="871">
        <f>'Peers Stock History'!E146/'Peers Stock History'!E$1833*100</f>
        <v>752.9174311926605</v>
      </c>
      <c r="E143" s="871">
        <f>'Peers Stock History'!F146/'Peers Stock History'!F$1833*100</f>
        <v>754.51127819548867</v>
      </c>
      <c r="F143" s="871">
        <f>'Peers Stock History'!G146/'Peers Stock History'!G$1833*100</f>
        <v>338.65662401197227</v>
      </c>
      <c r="G143" s="871">
        <f>'Peers Stock History'!H146/'Peers Stock History'!H$1833*100</f>
        <v>237.62318559153357</v>
      </c>
      <c r="H143" s="871">
        <f>'Peers Stock History'!I146/'Peers Stock History'!I$1833*100</f>
        <v>311.20764552562991</v>
      </c>
      <c r="I143" s="871">
        <f>'Peers Stock History'!J146/'Peers Stock History'!J$1833*100</f>
        <v>185.56816005108016</v>
      </c>
      <c r="J143" s="871">
        <f>'Peers Stock History'!K146/'Peers Stock History'!K$1833*100</f>
        <v>249.37865155410145</v>
      </c>
    </row>
    <row r="144" spans="2:10">
      <c r="B144" s="870">
        <v>44467</v>
      </c>
      <c r="C144" s="871">
        <f>'Peers Stock History'!D147/'Peers Stock History'!D$1833*100</f>
        <v>149.79195561719837</v>
      </c>
      <c r="D144" s="871">
        <f>'Peers Stock History'!E147/'Peers Stock History'!E$1833*100</f>
        <v>759.59633027522932</v>
      </c>
      <c r="E144" s="871">
        <f>'Peers Stock History'!F147/'Peers Stock History'!F$1833*100</f>
        <v>763.30827067669168</v>
      </c>
      <c r="F144" s="871">
        <f>'Peers Stock History'!G147/'Peers Stock History'!G$1833*100</f>
        <v>347.81736747108721</v>
      </c>
      <c r="G144" s="871">
        <f>'Peers Stock History'!H147/'Peers Stock History'!H$1833*100</f>
        <v>238.37079469877179</v>
      </c>
      <c r="H144" s="871">
        <f>'Peers Stock History'!I147/'Peers Stock History'!I$1833*100</f>
        <v>317.54995655951348</v>
      </c>
      <c r="I144" s="871">
        <f>'Peers Stock History'!J147/'Peers Stock History'!J$1833*100</f>
        <v>185.2774289666915</v>
      </c>
      <c r="J144" s="871">
        <f>'Peers Stock History'!K147/'Peers Stock History'!K$1833*100</f>
        <v>249.96705868605918</v>
      </c>
    </row>
    <row r="145" spans="2:10">
      <c r="B145" s="870">
        <v>44466</v>
      </c>
      <c r="C145" s="871">
        <f>'Peers Stock History'!D148/'Peers Stock History'!D$1833*100</f>
        <v>151.62274618585298</v>
      </c>
      <c r="D145" s="871">
        <f>'Peers Stock History'!E148/'Peers Stock History'!E$1833*100</f>
        <v>794.86238532110087</v>
      </c>
      <c r="E145" s="871">
        <f>'Peers Stock History'!F148/'Peers Stock History'!F$1833*100</f>
        <v>813.23308270676694</v>
      </c>
      <c r="F145" s="871">
        <f>'Peers Stock History'!G148/'Peers Stock History'!G$1833*100</f>
        <v>353.32846918212852</v>
      </c>
      <c r="G145" s="871">
        <f>'Peers Stock History'!H148/'Peers Stock History'!H$1833*100</f>
        <v>245.08471285013837</v>
      </c>
      <c r="H145" s="871">
        <f>'Peers Stock History'!I148/'Peers Stock History'!I$1833*100</f>
        <v>326.58557775847095</v>
      </c>
      <c r="I145" s="871">
        <f>'Peers Stock History'!J148/'Peers Stock History'!J$1833*100</f>
        <v>189.12887091624987</v>
      </c>
      <c r="J145" s="871">
        <f>'Peers Stock History'!K148/'Peers Stock History'!K$1833*100</f>
        <v>257.24073106690679</v>
      </c>
    </row>
    <row r="146" spans="2:10">
      <c r="B146" s="870">
        <v>44465</v>
      </c>
      <c r="C146" s="871">
        <f>'Peers Stock History'!D149/'Peers Stock History'!D$1833*100</f>
        <v>150.40221914008322</v>
      </c>
      <c r="D146" s="871">
        <f>'Peers Stock History'!E149/'Peers Stock History'!E$1833*100</f>
        <v>810.3119266055046</v>
      </c>
      <c r="E146" s="871">
        <f>'Peers Stock History'!F149/'Peers Stock History'!F$1833*100</f>
        <v>795.48872180451121</v>
      </c>
      <c r="F146" s="871">
        <f>'Peers Stock History'!G149/'Peers Stock History'!G$1833*100</f>
        <v>350.7403305852917</v>
      </c>
      <c r="G146" s="871">
        <f>'Peers Stock History'!H149/'Peers Stock History'!H$1833*100</f>
        <v>245.11869508228554</v>
      </c>
      <c r="H146" s="871">
        <f>'Peers Stock History'!I149/'Peers Stock History'!I$1833*100</f>
        <v>321.67680278019117</v>
      </c>
      <c r="I146" s="871">
        <f>'Peers Stock History'!J149/'Peers Stock History'!J$1833*100</f>
        <v>189.65542194317334</v>
      </c>
      <c r="J146" s="871">
        <f>'Peers Stock History'!K149/'Peers Stock History'!K$1833*100</f>
        <v>258.57640941396426</v>
      </c>
    </row>
    <row r="147" spans="2:10">
      <c r="B147" s="870">
        <v>44464</v>
      </c>
      <c r="C147" s="871">
        <f>'Peers Stock History'!D150/'Peers Stock History'!D$1833*100</f>
        <v>150.40221914008322</v>
      </c>
      <c r="D147" s="871">
        <f>'Peers Stock History'!E150/'Peers Stock History'!E$1833*100</f>
        <v>810.3119266055046</v>
      </c>
      <c r="E147" s="871">
        <f>'Peers Stock History'!F150/'Peers Stock History'!F$1833*100</f>
        <v>795.48872180451121</v>
      </c>
      <c r="F147" s="871">
        <f>'Peers Stock History'!G150/'Peers Stock History'!G$1833*100</f>
        <v>350.7403305852917</v>
      </c>
      <c r="G147" s="871">
        <f>'Peers Stock History'!H150/'Peers Stock History'!H$1833*100</f>
        <v>245.11869508228554</v>
      </c>
      <c r="H147" s="871">
        <f>'Peers Stock History'!I150/'Peers Stock History'!I$1833*100</f>
        <v>321.67680278019117</v>
      </c>
      <c r="I147" s="871">
        <f>'Peers Stock History'!J150/'Peers Stock History'!J$1833*100</f>
        <v>189.65542194317334</v>
      </c>
      <c r="J147" s="871">
        <f>'Peers Stock History'!K150/'Peers Stock History'!K$1833*100</f>
        <v>258.57640941396426</v>
      </c>
    </row>
    <row r="148" spans="2:10">
      <c r="B148" s="870">
        <v>44463</v>
      </c>
      <c r="C148" s="871">
        <f>'Peers Stock History'!D151/'Peers Stock History'!D$1833*100</f>
        <v>150.40221914008322</v>
      </c>
      <c r="D148" s="871">
        <f>'Peers Stock History'!E151/'Peers Stock History'!E$1833*100</f>
        <v>810.3119266055046</v>
      </c>
      <c r="E148" s="871">
        <f>'Peers Stock History'!F151/'Peers Stock History'!F$1833*100</f>
        <v>795.48872180451121</v>
      </c>
      <c r="F148" s="871">
        <f>'Peers Stock History'!G151/'Peers Stock History'!G$1833*100</f>
        <v>350.7403305852917</v>
      </c>
      <c r="G148" s="871">
        <f>'Peers Stock History'!H151/'Peers Stock History'!H$1833*100</f>
        <v>245.11869508228554</v>
      </c>
      <c r="H148" s="871">
        <f>'Peers Stock History'!I151/'Peers Stock History'!I$1833*100</f>
        <v>321.67680278019117</v>
      </c>
      <c r="I148" s="871">
        <f>'Peers Stock History'!J151/'Peers Stock History'!J$1833*100</f>
        <v>189.65542194317334</v>
      </c>
      <c r="J148" s="871">
        <f>'Peers Stock History'!K151/'Peers Stock History'!K$1833*100</f>
        <v>258.57640941396426</v>
      </c>
    </row>
    <row r="149" spans="2:10">
      <c r="B149" s="870">
        <v>44462</v>
      </c>
      <c r="C149" s="871">
        <f>'Peers Stock History'!D152/'Peers Stock History'!D$1833*100</f>
        <v>149.875173370319</v>
      </c>
      <c r="D149" s="871">
        <f>'Peers Stock History'!E152/'Peers Stock History'!E$1833*100</f>
        <v>825.02752293577987</v>
      </c>
      <c r="E149" s="871">
        <f>'Peers Stock History'!F152/'Peers Stock History'!F$1833*100</f>
        <v>798.12030075187965</v>
      </c>
      <c r="F149" s="871">
        <f>'Peers Stock History'!G152/'Peers Stock History'!G$1833*100</f>
        <v>344.68868868868896</v>
      </c>
      <c r="G149" s="871">
        <f>'Peers Stock History'!H152/'Peers Stock History'!H$1833*100</f>
        <v>244.81770959755326</v>
      </c>
      <c r="H149" s="871">
        <f>'Peers Stock History'!I152/'Peers Stock History'!I$1833*100</f>
        <v>321.63336229365768</v>
      </c>
      <c r="I149" s="871">
        <f>'Peers Stock History'!J152/'Peers Stock History'!J$1833*100</f>
        <v>189.37873789507287</v>
      </c>
      <c r="J149" s="871">
        <f>'Peers Stock History'!K152/'Peers Stock History'!K$1833*100</f>
        <v>258.65450971227472</v>
      </c>
    </row>
    <row r="150" spans="2:10">
      <c r="B150" s="870">
        <v>44461</v>
      </c>
      <c r="C150" s="871">
        <f>'Peers Stock History'!D153/'Peers Stock History'!D$1833*100</f>
        <v>148.40499306518723</v>
      </c>
      <c r="D150" s="871">
        <f>'Peers Stock History'!E153/'Peers Stock History'!E$1833*100</f>
        <v>805.17431192660547</v>
      </c>
      <c r="E150" s="871">
        <f>'Peers Stock History'!F153/'Peers Stock History'!F$1833*100</f>
        <v>784.81203007518786</v>
      </c>
      <c r="F150" s="871">
        <f>'Peers Stock History'!G153/'Peers Stock History'!G$1833*100</f>
        <v>343.36779481221612</v>
      </c>
      <c r="G150" s="871">
        <f>'Peers Stock History'!H153/'Peers Stock History'!H$1833*100</f>
        <v>243.01665129375212</v>
      </c>
      <c r="H150" s="871">
        <f>'Peers Stock History'!I153/'Peers Stock History'!I$1833*100</f>
        <v>321.32927888792352</v>
      </c>
      <c r="I150" s="871">
        <f>'Peers Stock History'!J153/'Peers Stock History'!J$1833*100</f>
        <v>187.10822602958393</v>
      </c>
      <c r="J150" s="871">
        <f>'Peers Stock History'!K153/'Peers Stock History'!K$1833*100</f>
        <v>255.98420122898426</v>
      </c>
    </row>
    <row r="151" spans="2:10">
      <c r="B151" s="870">
        <v>44460</v>
      </c>
      <c r="C151" s="871">
        <f>'Peers Stock History'!D154/'Peers Stock History'!D$1833*100</f>
        <v>146.65742024965326</v>
      </c>
      <c r="D151" s="871">
        <f>'Peers Stock History'!E154/'Peers Stock History'!E$1833*100</f>
        <v>779.66972477064223</v>
      </c>
      <c r="E151" s="871">
        <f>'Peers Stock History'!F154/'Peers Stock History'!F$1833*100</f>
        <v>773.08270676691723</v>
      </c>
      <c r="F151" s="871">
        <f>'Peers Stock History'!G154/'Peers Stock History'!G$1833*100</f>
        <v>351.31802823113821</v>
      </c>
      <c r="G151" s="871">
        <f>'Peers Stock History'!H154/'Peers Stock History'!H$1833*100</f>
        <v>238.35623088499443</v>
      </c>
      <c r="H151" s="871">
        <f>'Peers Stock History'!I154/'Peers Stock History'!I$1833*100</f>
        <v>313.37966985230236</v>
      </c>
      <c r="I151" s="871">
        <f>'Peers Stock History'!J154/'Peers Stock History'!J$1833*100</f>
        <v>185.3438331382356</v>
      </c>
      <c r="J151" s="871">
        <f>'Peers Stock History'!K154/'Peers Stock History'!K$1833*100</f>
        <v>253.39891810895895</v>
      </c>
    </row>
    <row r="152" spans="2:10">
      <c r="B152" s="870">
        <v>44459</v>
      </c>
      <c r="C152" s="871">
        <f>'Peers Stock History'!D155/'Peers Stock History'!D$1833*100</f>
        <v>146.96255201109568</v>
      </c>
      <c r="D152" s="871">
        <f>'Peers Stock History'!E155/'Peers Stock History'!E$1833*100</f>
        <v>774.78899082568796</v>
      </c>
      <c r="E152" s="871">
        <f>'Peers Stock History'!F155/'Peers Stock History'!F$1833*100</f>
        <v>763.53383458646613</v>
      </c>
      <c r="F152" s="871">
        <f>'Peers Stock History'!G155/'Peers Stock History'!G$1833*100</f>
        <v>351.31802823113821</v>
      </c>
      <c r="G152" s="871">
        <f>'Peers Stock History'!H155/'Peers Stock History'!H$1833*100</f>
        <v>240.21554444390506</v>
      </c>
      <c r="H152" s="871">
        <f>'Peers Stock History'!I155/'Peers Stock History'!I$1833*100</f>
        <v>314.37880104257169</v>
      </c>
      <c r="I152" s="871">
        <f>'Peers Stock History'!J155/'Peers Stock History'!J$1833*100</f>
        <v>185.49451952750874</v>
      </c>
      <c r="J152" s="871">
        <f>'Peers Stock History'!K155/'Peers Stock History'!K$1833*100</f>
        <v>252.84053104766096</v>
      </c>
    </row>
    <row r="153" spans="2:10">
      <c r="B153" s="870">
        <v>44458</v>
      </c>
      <c r="C153" s="871">
        <f>'Peers Stock History'!D156/'Peers Stock History'!D$1833*100</f>
        <v>150.51317614424411</v>
      </c>
      <c r="D153" s="871">
        <f>'Peers Stock History'!E156/'Peers Stock History'!E$1833*100</f>
        <v>803.66972477064223</v>
      </c>
      <c r="E153" s="871">
        <f>'Peers Stock History'!F156/'Peers Stock History'!F$1833*100</f>
        <v>781.05263157894728</v>
      </c>
      <c r="F153" s="871">
        <f>'Peers Stock History'!G156/'Peers Stock History'!G$1833*100</f>
        <v>351.31802823113821</v>
      </c>
      <c r="G153" s="871">
        <f>'Peers Stock History'!H156/'Peers Stock History'!H$1833*100</f>
        <v>245.64299237827078</v>
      </c>
      <c r="H153" s="871">
        <f>'Peers Stock History'!I156/'Peers Stock History'!I$1833*100</f>
        <v>322.76281494352736</v>
      </c>
      <c r="I153" s="871">
        <f>'Peers Stock History'!J156/'Peers Stock History'!J$1833*100</f>
        <v>188.69809513674576</v>
      </c>
      <c r="J153" s="871">
        <f>'Peers Stock History'!K156/'Peers Stock History'!K$1833*100</f>
        <v>258.51229671583525</v>
      </c>
    </row>
    <row r="154" spans="2:10">
      <c r="B154" s="870">
        <v>44457</v>
      </c>
      <c r="C154" s="871">
        <f>'Peers Stock History'!D157/'Peers Stock History'!D$1833*100</f>
        <v>150.51317614424411</v>
      </c>
      <c r="D154" s="871">
        <f>'Peers Stock History'!E157/'Peers Stock History'!E$1833*100</f>
        <v>803.66972477064223</v>
      </c>
      <c r="E154" s="871">
        <f>'Peers Stock History'!F157/'Peers Stock History'!F$1833*100</f>
        <v>781.05263157894728</v>
      </c>
      <c r="F154" s="871">
        <f>'Peers Stock History'!G157/'Peers Stock History'!G$1833*100</f>
        <v>351.31802823113821</v>
      </c>
      <c r="G154" s="871">
        <f>'Peers Stock History'!H157/'Peers Stock History'!H$1833*100</f>
        <v>245.64299237827078</v>
      </c>
      <c r="H154" s="871">
        <f>'Peers Stock History'!I157/'Peers Stock History'!I$1833*100</f>
        <v>322.76281494352736</v>
      </c>
      <c r="I154" s="871">
        <f>'Peers Stock History'!J157/'Peers Stock History'!J$1833*100</f>
        <v>188.69809513674576</v>
      </c>
      <c r="J154" s="871">
        <f>'Peers Stock History'!K157/'Peers Stock History'!K$1833*100</f>
        <v>258.51229671583525</v>
      </c>
    </row>
    <row r="155" spans="2:10">
      <c r="B155" s="870">
        <v>44456</v>
      </c>
      <c r="C155" s="871">
        <f>'Peers Stock History'!D158/'Peers Stock History'!D$1833*100</f>
        <v>150.51317614424411</v>
      </c>
      <c r="D155" s="871">
        <f>'Peers Stock History'!E158/'Peers Stock History'!E$1833*100</f>
        <v>803.66972477064223</v>
      </c>
      <c r="E155" s="871">
        <f>'Peers Stock History'!F158/'Peers Stock History'!F$1833*100</f>
        <v>781.05263157894728</v>
      </c>
      <c r="F155" s="871">
        <f>'Peers Stock History'!G158/'Peers Stock History'!G$1833*100</f>
        <v>351.31802823113821</v>
      </c>
      <c r="G155" s="871">
        <f>'Peers Stock History'!H158/'Peers Stock History'!H$1833*100</f>
        <v>245.64299237827078</v>
      </c>
      <c r="H155" s="871">
        <f>'Peers Stock History'!I158/'Peers Stock History'!I$1833*100</f>
        <v>322.76281494352736</v>
      </c>
      <c r="I155" s="871">
        <f>'Peers Stock History'!J158/'Peers Stock History'!J$1833*100</f>
        <v>188.69809513674576</v>
      </c>
      <c r="J155" s="871">
        <f>'Peers Stock History'!K158/'Peers Stock History'!K$1833*100</f>
        <v>258.51229671583525</v>
      </c>
    </row>
    <row r="156" spans="2:10">
      <c r="B156" s="870">
        <v>44455</v>
      </c>
      <c r="C156" s="871">
        <f>'Peers Stock History'!D159/'Peers Stock History'!D$1833*100</f>
        <v>152.09431345353676</v>
      </c>
      <c r="D156" s="871">
        <f>'Peers Stock History'!E159/'Peers Stock History'!E$1833*100</f>
        <v>816.22018348623851</v>
      </c>
      <c r="E156" s="871">
        <f>'Peers Stock History'!F159/'Peers Stock History'!F$1833*100</f>
        <v>798.64661654135341</v>
      </c>
      <c r="F156" s="871">
        <f>'Peers Stock History'!G159/'Peers Stock History'!G$1833*100</f>
        <v>351.71047747171065</v>
      </c>
      <c r="G156" s="871">
        <f>'Peers Stock History'!H159/'Peers Stock History'!H$1833*100</f>
        <v>246.29836399825234</v>
      </c>
      <c r="H156" s="871">
        <f>'Peers Stock History'!I159/'Peers Stock History'!I$1833*100</f>
        <v>324.19635099913114</v>
      </c>
      <c r="I156" s="871">
        <f>'Peers Stock History'!J159/'Peers Stock History'!J$1833*100</f>
        <v>190.4331169522188</v>
      </c>
      <c r="J156" s="871">
        <f>'Peers Stock History'!K159/'Peers Stock History'!K$1833*100</f>
        <v>260.88290282226473</v>
      </c>
    </row>
    <row r="157" spans="2:10">
      <c r="B157" s="870">
        <v>44454</v>
      </c>
      <c r="C157" s="871">
        <f>'Peers Stock History'!D160/'Peers Stock History'!D$1833*100</f>
        <v>152.89875173370319</v>
      </c>
      <c r="D157" s="871">
        <f>'Peers Stock History'!E160/'Peers Stock History'!E$1833*100</f>
        <v>819.8532110091744</v>
      </c>
      <c r="E157" s="871">
        <f>'Peers Stock History'!F160/'Peers Stock History'!F$1833*100</f>
        <v>793.98496240601503</v>
      </c>
      <c r="F157" s="871">
        <f>'Peers Stock History'!G160/'Peers Stock History'!G$1833*100</f>
        <v>356.93275848351004</v>
      </c>
      <c r="G157" s="871">
        <f>'Peers Stock History'!H160/'Peers Stock History'!H$1833*100</f>
        <v>247.4586144958493</v>
      </c>
      <c r="H157" s="871">
        <f>'Peers Stock History'!I160/'Peers Stock History'!I$1833*100</f>
        <v>320.67767158992177</v>
      </c>
      <c r="I157" s="871">
        <f>'Peers Stock History'!J160/'Peers Stock History'!J$1833*100</f>
        <v>190.72895604980312</v>
      </c>
      <c r="J157" s="871">
        <f>'Peers Stock History'!K160/'Peers Stock History'!K$1833*100</f>
        <v>260.53243954744789</v>
      </c>
    </row>
    <row r="158" spans="2:10">
      <c r="B158" s="870">
        <v>44453</v>
      </c>
      <c r="C158" s="871">
        <f>'Peers Stock History'!D161/'Peers Stock History'!D$1833*100</f>
        <v>151.23439667128991</v>
      </c>
      <c r="D158" s="871">
        <f>'Peers Stock History'!E161/'Peers Stock History'!E$1833*100</f>
        <v>816.22018348623851</v>
      </c>
      <c r="E158" s="871">
        <f>'Peers Stock History'!F161/'Peers Stock History'!F$1833*100</f>
        <v>794.96240601503757</v>
      </c>
      <c r="F158" s="871">
        <f>'Peers Stock History'!G161/'Peers Stock History'!G$1833*100</f>
        <v>360.070448663646</v>
      </c>
      <c r="G158" s="871">
        <f>'Peers Stock History'!H161/'Peers Stock History'!H$1833*100</f>
        <v>243.63804068158649</v>
      </c>
      <c r="H158" s="871">
        <f>'Peers Stock History'!I161/'Peers Stock History'!I$1833*100</f>
        <v>319.24413553431799</v>
      </c>
      <c r="I158" s="871">
        <f>'Peers Stock History'!J161/'Peers Stock History'!J$1833*100</f>
        <v>189.12631690965202</v>
      </c>
      <c r="J158" s="871">
        <f>'Peers Stock History'!K161/'Peers Stock History'!K$1833*100</f>
        <v>258.40560260093753</v>
      </c>
    </row>
    <row r="159" spans="2:10">
      <c r="B159" s="870">
        <v>44452</v>
      </c>
      <c r="C159" s="871">
        <f>'Peers Stock History'!D162/'Peers Stock History'!D$1833*100</f>
        <v>152.53814147018034</v>
      </c>
      <c r="D159" s="871">
        <f>'Peers Stock History'!E162/'Peers Stock History'!E$1833*100</f>
        <v>812.91743119266062</v>
      </c>
      <c r="E159" s="871">
        <f>'Peers Stock History'!F162/'Peers Stock History'!F$1833*100</f>
        <v>787.96992481202994</v>
      </c>
      <c r="F159" s="871">
        <f>'Peers Stock History'!G162/'Peers Stock History'!G$1833*100</f>
        <v>361.3757187120857</v>
      </c>
      <c r="G159" s="871">
        <f>'Peers Stock History'!H162/'Peers Stock History'!H$1833*100</f>
        <v>242.2253507451818</v>
      </c>
      <c r="H159" s="871">
        <f>'Peers Stock History'!I162/'Peers Stock History'!I$1833*100</f>
        <v>322.98001737619455</v>
      </c>
      <c r="I159" s="871">
        <f>'Peers Stock History'!J162/'Peers Stock History'!J$1833*100</f>
        <v>190.21943173353196</v>
      </c>
      <c r="J159" s="871">
        <f>'Peers Stock History'!K162/'Peers Stock History'!K$1833*100</f>
        <v>259.57105838362457</v>
      </c>
    </row>
    <row r="160" spans="2:10">
      <c r="B160" s="870">
        <v>44451</v>
      </c>
      <c r="C160" s="871">
        <f>'Peers Stock History'!D163/'Peers Stock History'!D$1833*100</f>
        <v>149.34812760055479</v>
      </c>
      <c r="D160" s="871">
        <f>'Peers Stock History'!E163/'Peers Stock History'!E$1833*100</f>
        <v>824.88073394495416</v>
      </c>
      <c r="E160" s="871">
        <f>'Peers Stock History'!F163/'Peers Stock History'!F$1833*100</f>
        <v>790.97744360902254</v>
      </c>
      <c r="F160" s="871">
        <f>'Peers Stock History'!G163/'Peers Stock History'!G$1833*100</f>
        <v>365.79284072143997</v>
      </c>
      <c r="G160" s="871">
        <f>'Peers Stock History'!H163/'Peers Stock History'!H$1833*100</f>
        <v>241.83212777319287</v>
      </c>
      <c r="H160" s="871">
        <f>'Peers Stock History'!I163/'Peers Stock History'!I$1833*100</f>
        <v>319.28757602085142</v>
      </c>
      <c r="I160" s="871">
        <f>'Peers Stock History'!J163/'Peers Stock History'!J$1833*100</f>
        <v>189.78737895072894</v>
      </c>
      <c r="J160" s="871">
        <f>'Peers Stock History'!K163/'Peers Stock History'!K$1833*100</f>
        <v>259.74138405069908</v>
      </c>
    </row>
    <row r="161" spans="2:10">
      <c r="B161" s="870">
        <v>44450</v>
      </c>
      <c r="C161" s="871">
        <f>'Peers Stock History'!D164/'Peers Stock History'!D$1833*100</f>
        <v>149.34812760055479</v>
      </c>
      <c r="D161" s="871">
        <f>'Peers Stock History'!E164/'Peers Stock History'!E$1833*100</f>
        <v>824.88073394495416</v>
      </c>
      <c r="E161" s="871">
        <f>'Peers Stock History'!F164/'Peers Stock History'!F$1833*100</f>
        <v>790.97744360902254</v>
      </c>
      <c r="F161" s="871">
        <f>'Peers Stock History'!G164/'Peers Stock History'!G$1833*100</f>
        <v>365.79284072143997</v>
      </c>
      <c r="G161" s="871">
        <f>'Peers Stock History'!H164/'Peers Stock History'!H$1833*100</f>
        <v>241.83212777319287</v>
      </c>
      <c r="H161" s="871">
        <f>'Peers Stock History'!I164/'Peers Stock History'!I$1833*100</f>
        <v>319.28757602085142</v>
      </c>
      <c r="I161" s="871">
        <f>'Peers Stock History'!J164/'Peers Stock History'!J$1833*100</f>
        <v>189.78737895072894</v>
      </c>
      <c r="J161" s="871">
        <f>'Peers Stock History'!K164/'Peers Stock History'!K$1833*100</f>
        <v>259.74138405069908</v>
      </c>
    </row>
    <row r="162" spans="2:10">
      <c r="B162" s="870">
        <v>44449</v>
      </c>
      <c r="C162" s="871">
        <f>'Peers Stock History'!D165/'Peers Stock History'!D$1833*100</f>
        <v>149.34812760055479</v>
      </c>
      <c r="D162" s="871">
        <f>'Peers Stock History'!E165/'Peers Stock History'!E$1833*100</f>
        <v>824.88073394495416</v>
      </c>
      <c r="E162" s="871">
        <f>'Peers Stock History'!F165/'Peers Stock History'!F$1833*100</f>
        <v>790.97744360902254</v>
      </c>
      <c r="F162" s="871">
        <f>'Peers Stock History'!G165/'Peers Stock History'!G$1833*100</f>
        <v>365.79284072143997</v>
      </c>
      <c r="G162" s="871">
        <f>'Peers Stock History'!H165/'Peers Stock History'!H$1833*100</f>
        <v>241.83212777319287</v>
      </c>
      <c r="H162" s="871">
        <f>'Peers Stock History'!I165/'Peers Stock History'!I$1833*100</f>
        <v>319.28757602085142</v>
      </c>
      <c r="I162" s="871">
        <f>'Peers Stock History'!J165/'Peers Stock History'!J$1833*100</f>
        <v>189.78737895072894</v>
      </c>
      <c r="J162" s="871">
        <f>'Peers Stock History'!K165/'Peers Stock History'!K$1833*100</f>
        <v>259.74138405069908</v>
      </c>
    </row>
    <row r="163" spans="2:10">
      <c r="B163" s="870">
        <v>44448</v>
      </c>
      <c r="C163" s="871">
        <f>'Peers Stock History'!D166/'Peers Stock History'!D$1833*100</f>
        <v>148.12760055478503</v>
      </c>
      <c r="D163" s="871">
        <f>'Peers Stock History'!E166/'Peers Stock History'!E$1833*100</f>
        <v>813.83486238532112</v>
      </c>
      <c r="E163" s="871">
        <f>'Peers Stock History'!F166/'Peers Stock History'!F$1833*100</f>
        <v>798.12030075187965</v>
      </c>
      <c r="F163" s="871">
        <f>'Peers Stock History'!G166/'Peers Stock History'!G$1833*100</f>
        <v>363.91016190437904</v>
      </c>
      <c r="G163" s="871">
        <f>'Peers Stock History'!H166/'Peers Stock History'!H$1833*100</f>
        <v>239.56988203310837</v>
      </c>
      <c r="H163" s="871">
        <f>'Peers Stock History'!I166/'Peers Stock History'!I$1833*100</f>
        <v>316.55082536924419</v>
      </c>
      <c r="I163" s="871">
        <f>'Peers Stock History'!J166/'Peers Stock History'!J$1833*100</f>
        <v>191.26444609981908</v>
      </c>
      <c r="J163" s="871">
        <f>'Peers Stock History'!K166/'Peers Stock History'!K$1833*100</f>
        <v>262.02270321542971</v>
      </c>
    </row>
    <row r="164" spans="2:10">
      <c r="B164" s="870">
        <v>44447</v>
      </c>
      <c r="C164" s="871">
        <f>'Peers Stock History'!D167/'Peers Stock History'!D$1833*100</f>
        <v>148.59916782246881</v>
      </c>
      <c r="D164" s="871">
        <f>'Peers Stock History'!E167/'Peers Stock History'!E$1833*100</f>
        <v>819.77981651376149</v>
      </c>
      <c r="E164" s="871">
        <f>'Peers Stock History'!F167/'Peers Stock History'!F$1833*100</f>
        <v>798.27067669172925</v>
      </c>
      <c r="F164" s="871">
        <f>'Peers Stock History'!G167/'Peers Stock History'!G$1833*100</f>
        <v>363.43731249166831</v>
      </c>
      <c r="G164" s="871">
        <f>'Peers Stock History'!H167/'Peers Stock History'!H$1833*100</f>
        <v>240.00194184183695</v>
      </c>
      <c r="H164" s="871">
        <f>'Peers Stock History'!I167/'Peers Stock History'!I$1833*100</f>
        <v>313.94439617723719</v>
      </c>
      <c r="I164" s="871">
        <f>'Peers Stock History'!J167/'Peers Stock History'!J$1833*100</f>
        <v>192.14940938597425</v>
      </c>
      <c r="J164" s="871">
        <f>'Peers Stock History'!K167/'Peers Stock History'!K$1833*100</f>
        <v>262.68226839695916</v>
      </c>
    </row>
    <row r="165" spans="2:10">
      <c r="B165" s="870">
        <v>44446</v>
      </c>
      <c r="C165" s="871">
        <f>'Peers Stock History'!D168/'Peers Stock History'!D$1833*100</f>
        <v>148.82108183079058</v>
      </c>
      <c r="D165" s="871">
        <f>'Peers Stock History'!E168/'Peers Stock History'!E$1833*100</f>
        <v>831.63302752293578</v>
      </c>
      <c r="E165" s="871">
        <f>'Peers Stock History'!F168/'Peers Stock History'!F$1833*100</f>
        <v>820.67669172932335</v>
      </c>
      <c r="F165" s="871">
        <f>'Peers Stock History'!G168/'Peers Stock History'!G$1833*100</f>
        <v>366.85838779956396</v>
      </c>
      <c r="G165" s="871">
        <f>'Peers Stock History'!H168/'Peers Stock History'!H$1833*100</f>
        <v>241.07480945676971</v>
      </c>
      <c r="H165" s="871">
        <f>'Peers Stock History'!I168/'Peers Stock History'!I$1833*100</f>
        <v>319.89574283231974</v>
      </c>
      <c r="I165" s="871">
        <f>'Peers Stock History'!J168/'Peers Stock History'!J$1833*100</f>
        <v>192.40310737469403</v>
      </c>
      <c r="J165" s="871">
        <f>'Peers Stock History'!K168/'Peers Stock History'!K$1833*100</f>
        <v>264.18911441650744</v>
      </c>
    </row>
    <row r="166" spans="2:10">
      <c r="B166" s="870">
        <v>44445</v>
      </c>
      <c r="C166" s="871">
        <f>'Peers Stock History'!D169/'Peers Stock History'!D$1833*100</f>
        <v>148.43273231622746</v>
      </c>
      <c r="D166" s="871">
        <f>'Peers Stock History'!E169/'Peers Stock History'!E$1833*100</f>
        <v>838.27522935779814</v>
      </c>
      <c r="E166" s="871">
        <f>'Peers Stock History'!F169/'Peers Stock History'!F$1833*100</f>
        <v>826.46616541353387</v>
      </c>
      <c r="F166" s="871">
        <f>'Peers Stock History'!G169/'Peers Stock History'!G$1833*100</f>
        <v>372.66194195107926</v>
      </c>
      <c r="G166" s="871">
        <f>'Peers Stock History'!H169/'Peers Stock History'!H$1833*100</f>
        <v>241.60396135734743</v>
      </c>
      <c r="H166" s="871">
        <f>'Peers Stock History'!I169/'Peers Stock History'!I$1833*100</f>
        <v>320.6342311033884</v>
      </c>
      <c r="I166" s="871">
        <f>'Peers Stock History'!J169/'Peers Stock History'!J$1833*100</f>
        <v>193.058635734809</v>
      </c>
      <c r="J166" s="871">
        <f>'Peers Stock History'!K169/'Peers Stock History'!K$1833*100</f>
        <v>264.00334052761087</v>
      </c>
    </row>
    <row r="167" spans="2:10">
      <c r="B167" s="870">
        <v>44444</v>
      </c>
      <c r="C167" s="871">
        <f>'Peers Stock History'!D170/'Peers Stock History'!D$1833*100</f>
        <v>148.43273231622746</v>
      </c>
      <c r="D167" s="871">
        <f>'Peers Stock History'!E170/'Peers Stock History'!E$1833*100</f>
        <v>838.27522935779814</v>
      </c>
      <c r="E167" s="871">
        <f>'Peers Stock History'!F170/'Peers Stock History'!F$1833*100</f>
        <v>826.46616541353387</v>
      </c>
      <c r="F167" s="871">
        <f>'Peers Stock History'!G170/'Peers Stock History'!G$1833*100</f>
        <v>365.32985748764361</v>
      </c>
      <c r="G167" s="871">
        <f>'Peers Stock History'!H170/'Peers Stock History'!H$1833*100</f>
        <v>241.60396135734743</v>
      </c>
      <c r="H167" s="871">
        <f>'Peers Stock History'!I170/'Peers Stock History'!I$1833*100</f>
        <v>320.6342311033884</v>
      </c>
      <c r="I167" s="871">
        <f>'Peers Stock History'!J170/'Peers Stock History'!J$1833*100</f>
        <v>193.058635734809</v>
      </c>
      <c r="J167" s="871">
        <f>'Peers Stock History'!K170/'Peers Stock History'!K$1833*100</f>
        <v>264.00334052761087</v>
      </c>
    </row>
    <row r="168" spans="2:10">
      <c r="B168" s="870">
        <v>44443</v>
      </c>
      <c r="C168" s="871">
        <f>'Peers Stock History'!D171/'Peers Stock History'!D$1833*100</f>
        <v>148.43273231622746</v>
      </c>
      <c r="D168" s="871">
        <f>'Peers Stock History'!E171/'Peers Stock History'!E$1833*100</f>
        <v>838.27522935779814</v>
      </c>
      <c r="E168" s="871">
        <f>'Peers Stock History'!F171/'Peers Stock History'!F$1833*100</f>
        <v>826.46616541353387</v>
      </c>
      <c r="F168" s="871">
        <f>'Peers Stock History'!G171/'Peers Stock History'!G$1833*100</f>
        <v>365.32985748764361</v>
      </c>
      <c r="G168" s="871">
        <f>'Peers Stock History'!H171/'Peers Stock History'!H$1833*100</f>
        <v>241.60396135734743</v>
      </c>
      <c r="H168" s="871">
        <f>'Peers Stock History'!I171/'Peers Stock History'!I$1833*100</f>
        <v>320.6342311033884</v>
      </c>
      <c r="I168" s="871">
        <f>'Peers Stock History'!J171/'Peers Stock History'!J$1833*100</f>
        <v>193.058635734809</v>
      </c>
      <c r="J168" s="871">
        <f>'Peers Stock History'!K171/'Peers Stock History'!K$1833*100</f>
        <v>264.00334052761087</v>
      </c>
    </row>
    <row r="169" spans="2:10">
      <c r="B169" s="870">
        <v>44442</v>
      </c>
      <c r="C169" s="871">
        <f>'Peers Stock History'!D172/'Peers Stock History'!D$1833*100</f>
        <v>148.43273231622746</v>
      </c>
      <c r="D169" s="871">
        <f>'Peers Stock History'!E172/'Peers Stock History'!E$1833*100</f>
        <v>838.27522935779814</v>
      </c>
      <c r="E169" s="871">
        <f>'Peers Stock History'!F172/'Peers Stock History'!F$1833*100</f>
        <v>826.46616541353387</v>
      </c>
      <c r="F169" s="871">
        <f>'Peers Stock History'!G172/'Peers Stock History'!G$1833*100</f>
        <v>365.32985748764361</v>
      </c>
      <c r="G169" s="871">
        <f>'Peers Stock History'!H172/'Peers Stock History'!H$1833*100</f>
        <v>241.60396135734743</v>
      </c>
      <c r="H169" s="871">
        <f>'Peers Stock History'!I172/'Peers Stock History'!I$1833*100</f>
        <v>320.6342311033884</v>
      </c>
      <c r="I169" s="871">
        <f>'Peers Stock History'!J172/'Peers Stock History'!J$1833*100</f>
        <v>193.058635734809</v>
      </c>
      <c r="J169" s="871">
        <f>'Peers Stock History'!K172/'Peers Stock History'!K$1833*100</f>
        <v>264.00334052761087</v>
      </c>
    </row>
    <row r="170" spans="2:10">
      <c r="B170" s="870">
        <v>44441</v>
      </c>
      <c r="C170" s="871">
        <f>'Peers Stock History'!D173/'Peers Stock History'!D$1833*100</f>
        <v>149.04299583911236</v>
      </c>
      <c r="D170" s="871">
        <f>'Peers Stock History'!E173/'Peers Stock History'!E$1833*100</f>
        <v>821.87155963302757</v>
      </c>
      <c r="E170" s="871">
        <f>'Peers Stock History'!F173/'Peers Stock History'!F$1833*100</f>
        <v>821.0526315789474</v>
      </c>
      <c r="F170" s="871">
        <f>'Peers Stock History'!G173/'Peers Stock History'!G$1833*100</f>
        <v>356.86825800310288</v>
      </c>
      <c r="G170" s="871">
        <f>'Peers Stock History'!H173/'Peers Stock History'!H$1833*100</f>
        <v>238.79799990290786</v>
      </c>
      <c r="H170" s="871">
        <f>'Peers Stock History'!I173/'Peers Stock History'!I$1833*100</f>
        <v>321.41615986099043</v>
      </c>
      <c r="I170" s="871">
        <f>'Peers Stock History'!J173/'Peers Stock History'!J$1833*100</f>
        <v>193.12333723528786</v>
      </c>
      <c r="J170" s="871">
        <f>'Peers Stock History'!K173/'Peers Stock History'!K$1833*100</f>
        <v>263.44763413661798</v>
      </c>
    </row>
    <row r="171" spans="2:10">
      <c r="B171" s="870">
        <v>44440</v>
      </c>
      <c r="C171" s="871">
        <f>'Peers Stock History'!D174/'Peers Stock History'!D$1833*100</f>
        <v>148.87656033287101</v>
      </c>
      <c r="D171" s="871">
        <f>'Peers Stock History'!E174/'Peers Stock History'!E$1833*100</f>
        <v>823.52293577981652</v>
      </c>
      <c r="E171" s="871">
        <f>'Peers Stock History'!F174/'Peers Stock History'!F$1833*100</f>
        <v>826.99248120300751</v>
      </c>
      <c r="F171" s="871">
        <f>'Peers Stock History'!G174/'Peers Stock History'!G$1833*100</f>
        <v>359.81060133113283</v>
      </c>
      <c r="G171" s="871">
        <f>'Peers Stock History'!H174/'Peers Stock History'!H$1833*100</f>
        <v>239.40968008155735</v>
      </c>
      <c r="H171" s="871">
        <f>'Peers Stock History'!I174/'Peers Stock History'!I$1833*100</f>
        <v>320.24326672458733</v>
      </c>
      <c r="I171" s="871">
        <f>'Peers Stock History'!J174/'Peers Stock History'!J$1833*100</f>
        <v>192.57592848781528</v>
      </c>
      <c r="J171" s="871">
        <f>'Peers Stock History'!K174/'Peers Stock History'!K$1833*100</f>
        <v>263.07309638040772</v>
      </c>
    </row>
    <row r="172" spans="2:10">
      <c r="B172" s="870">
        <v>44439</v>
      </c>
      <c r="C172" s="871">
        <f>'Peers Stock History'!D175/'Peers Stock History'!D$1833*100</f>
        <v>149.9583911234397</v>
      </c>
      <c r="D172" s="871">
        <f>'Peers Stock History'!E175/'Peers Stock History'!E$1833*100</f>
        <v>821.46788990825689</v>
      </c>
      <c r="E172" s="871">
        <f>'Peers Stock History'!F175/'Peers Stock History'!F$1833*100</f>
        <v>832.48120300751884</v>
      </c>
      <c r="F172" s="871">
        <f>'Peers Stock History'!G175/'Peers Stock History'!G$1833*100</f>
        <v>361.21869737290467</v>
      </c>
      <c r="G172" s="871">
        <f>'Peers Stock History'!H175/'Peers Stock History'!H$1833*100</f>
        <v>241.37579494150199</v>
      </c>
      <c r="H172" s="871">
        <f>'Peers Stock History'!I175/'Peers Stock History'!I$1833*100</f>
        <v>320.15638575152042</v>
      </c>
      <c r="I172" s="871">
        <f>'Peers Stock History'!J175/'Peers Stock History'!J$1833*100</f>
        <v>192.5159093327658</v>
      </c>
      <c r="J172" s="871">
        <f>'Peers Stock History'!K175/'Peers Stock History'!K$1833*100</f>
        <v>262.21139834760737</v>
      </c>
    </row>
    <row r="173" spans="2:10">
      <c r="B173" s="870">
        <v>44438</v>
      </c>
      <c r="C173" s="871">
        <f>'Peers Stock History'!D176/'Peers Stock History'!D$1833*100</f>
        <v>149.62552011095701</v>
      </c>
      <c r="D173" s="871">
        <f>'Peers Stock History'!E176/'Peers Stock History'!E$1833*100</f>
        <v>832.58715596330273</v>
      </c>
      <c r="E173" s="871">
        <f>'Peers Stock History'!F176/'Peers Stock History'!F$1833*100</f>
        <v>836.9924812030074</v>
      </c>
      <c r="F173" s="871">
        <f>'Peers Stock History'!G176/'Peers Stock History'!G$1833*100</f>
        <v>354.50088030953998</v>
      </c>
      <c r="G173" s="871">
        <f>'Peers Stock History'!H176/'Peers Stock History'!H$1833*100</f>
        <v>242.19136851303458</v>
      </c>
      <c r="H173" s="871">
        <f>'Peers Stock History'!I176/'Peers Stock History'!I$1833*100</f>
        <v>317.81059947871415</v>
      </c>
      <c r="I173" s="871">
        <f>'Peers Stock History'!J176/'Peers Stock History'!J$1833*100</f>
        <v>192.7759923379802</v>
      </c>
      <c r="J173" s="871">
        <f>'Peers Stock History'!K176/'Peers Stock History'!K$1833*100</f>
        <v>262.32575643017196</v>
      </c>
    </row>
    <row r="174" spans="2:10">
      <c r="B174" s="870">
        <v>44437</v>
      </c>
      <c r="C174" s="871">
        <f>'Peers Stock History'!D177/'Peers Stock History'!D$1833*100</f>
        <v>149.48682385575592</v>
      </c>
      <c r="D174" s="871">
        <f>'Peers Stock History'!E177/'Peers Stock History'!E$1833*100</f>
        <v>830.67889908256893</v>
      </c>
      <c r="E174" s="871">
        <f>'Peers Stock History'!F177/'Peers Stock History'!F$1833*100</f>
        <v>837.59398496240601</v>
      </c>
      <c r="F174" s="871">
        <f>'Peers Stock History'!G177/'Peers Stock History'!G$1833*100</f>
        <v>349.61250994044912</v>
      </c>
      <c r="G174" s="871">
        <f>'Peers Stock History'!H177/'Peers Stock History'!H$1833*100</f>
        <v>240.75926015826008</v>
      </c>
      <c r="H174" s="871">
        <f>'Peers Stock History'!I177/'Peers Stock History'!I$1833*100</f>
        <v>321.45960034752392</v>
      </c>
      <c r="I174" s="871">
        <f>'Peers Stock History'!J177/'Peers Stock History'!J$1833*100</f>
        <v>191.9493455358093</v>
      </c>
      <c r="J174" s="871">
        <f>'Peers Stock History'!K177/'Peers Stock History'!K$1833*100</f>
        <v>259.98207731328102</v>
      </c>
    </row>
    <row r="175" spans="2:10">
      <c r="B175" s="870">
        <v>44436</v>
      </c>
      <c r="C175" s="871">
        <f>'Peers Stock History'!D178/'Peers Stock History'!D$1833*100</f>
        <v>149.48682385575592</v>
      </c>
      <c r="D175" s="871">
        <f>'Peers Stock History'!E178/'Peers Stock History'!E$1833*100</f>
        <v>830.67889908256893</v>
      </c>
      <c r="E175" s="871">
        <f>'Peers Stock History'!F178/'Peers Stock History'!F$1833*100</f>
        <v>837.59398496240601</v>
      </c>
      <c r="F175" s="871">
        <f>'Peers Stock History'!G178/'Peers Stock History'!G$1833*100</f>
        <v>349.61250994044912</v>
      </c>
      <c r="G175" s="871">
        <f>'Peers Stock History'!H178/'Peers Stock History'!H$1833*100</f>
        <v>240.75926015826008</v>
      </c>
      <c r="H175" s="871">
        <f>'Peers Stock History'!I178/'Peers Stock History'!I$1833*100</f>
        <v>321.45960034752392</v>
      </c>
      <c r="I175" s="871">
        <f>'Peers Stock History'!J178/'Peers Stock History'!J$1833*100</f>
        <v>191.9493455358093</v>
      </c>
      <c r="J175" s="871">
        <f>'Peers Stock History'!K178/'Peers Stock History'!K$1833*100</f>
        <v>259.98207731328102</v>
      </c>
    </row>
    <row r="176" spans="2:10">
      <c r="B176" s="870">
        <v>44435</v>
      </c>
      <c r="C176" s="871">
        <f>'Peers Stock History'!D179/'Peers Stock History'!D$1833*100</f>
        <v>149.48682385575592</v>
      </c>
      <c r="D176" s="871">
        <f>'Peers Stock History'!E179/'Peers Stock History'!E$1833*100</f>
        <v>830.67889908256893</v>
      </c>
      <c r="E176" s="871">
        <f>'Peers Stock History'!F179/'Peers Stock History'!F$1833*100</f>
        <v>837.59398496240601</v>
      </c>
      <c r="F176" s="871">
        <f>'Peers Stock History'!G179/'Peers Stock History'!G$1833*100</f>
        <v>349.61250994044912</v>
      </c>
      <c r="G176" s="871">
        <f>'Peers Stock History'!H179/'Peers Stock History'!H$1833*100</f>
        <v>240.75926015826008</v>
      </c>
      <c r="H176" s="871">
        <f>'Peers Stock History'!I179/'Peers Stock History'!I$1833*100</f>
        <v>321.45960034752392</v>
      </c>
      <c r="I176" s="871">
        <f>'Peers Stock History'!J179/'Peers Stock History'!J$1833*100</f>
        <v>191.9493455358093</v>
      </c>
      <c r="J176" s="871">
        <f>'Peers Stock History'!K179/'Peers Stock History'!K$1833*100</f>
        <v>259.98207731328102</v>
      </c>
    </row>
    <row r="177" spans="2:10">
      <c r="B177" s="870">
        <v>44434</v>
      </c>
      <c r="C177" s="871">
        <f>'Peers Stock History'!D180/'Peers Stock History'!D$1833*100</f>
        <v>147.37864077669906</v>
      </c>
      <c r="D177" s="871">
        <f>'Peers Stock History'!E180/'Peers Stock History'!E$1833*100</f>
        <v>809.834862385321</v>
      </c>
      <c r="E177" s="871">
        <f>'Peers Stock History'!F180/'Peers Stock History'!F$1833*100</f>
        <v>806.5413533834585</v>
      </c>
      <c r="F177" s="871">
        <f>'Peers Stock History'!G180/'Peers Stock History'!G$1833*100</f>
        <v>345.92468713400984</v>
      </c>
      <c r="G177" s="871">
        <f>'Peers Stock History'!H180/'Peers Stock History'!H$1833*100</f>
        <v>235.80756347395507</v>
      </c>
      <c r="H177" s="871">
        <f>'Peers Stock History'!I180/'Peers Stock History'!I$1833*100</f>
        <v>316.11642050390964</v>
      </c>
      <c r="I177" s="871">
        <f>'Peers Stock History'!J180/'Peers Stock History'!J$1833*100</f>
        <v>190.27349153985313</v>
      </c>
      <c r="J177" s="871">
        <f>'Peers Stock History'!K180/'Peers Stock History'!K$1833*100</f>
        <v>256.82551929395271</v>
      </c>
    </row>
    <row r="178" spans="2:10">
      <c r="B178" s="870">
        <v>44433</v>
      </c>
      <c r="C178" s="871">
        <f>'Peers Stock History'!D181/'Peers Stock History'!D$1833*100</f>
        <v>149.26490984743415</v>
      </c>
      <c r="D178" s="871">
        <f>'Peers Stock History'!E181/'Peers Stock History'!E$1833*100</f>
        <v>815.1559633027523</v>
      </c>
      <c r="E178" s="871">
        <f>'Peers Stock History'!F181/'Peers Stock History'!F$1833*100</f>
        <v>814.28571428571422</v>
      </c>
      <c r="F178" s="871">
        <f>'Peers Stock History'!G181/'Peers Stock History'!G$1833*100</f>
        <v>341.13527114315764</v>
      </c>
      <c r="G178" s="871">
        <f>'Peers Stock History'!H181/'Peers Stock History'!H$1833*100</f>
        <v>234.67644060391279</v>
      </c>
      <c r="H178" s="871">
        <f>'Peers Stock History'!I181/'Peers Stock History'!I$1833*100</f>
        <v>321.63336229365768</v>
      </c>
      <c r="I178" s="871">
        <f>'Peers Stock History'!J181/'Peers Stock History'!J$1833*100</f>
        <v>191.38831541981483</v>
      </c>
      <c r="J178" s="871">
        <f>'Peers Stock History'!K181/'Peers Stock History'!K$1833*100</f>
        <v>258.47605611536505</v>
      </c>
    </row>
    <row r="179" spans="2:10">
      <c r="B179" s="870">
        <v>44432</v>
      </c>
      <c r="C179" s="871">
        <f>'Peers Stock History'!D182/'Peers Stock History'!D$1833*100</f>
        <v>149.26490984743415</v>
      </c>
      <c r="D179" s="871">
        <f>'Peers Stock History'!E182/'Peers Stock History'!E$1833*100</f>
        <v>799.74311926605503</v>
      </c>
      <c r="E179" s="871">
        <f>'Peers Stock History'!F182/'Peers Stock History'!F$1833*100</f>
        <v>809.3984962406015</v>
      </c>
      <c r="F179" s="871">
        <f>'Peers Stock History'!G182/'Peers Stock History'!G$1833*100</f>
        <v>333.33939882625106</v>
      </c>
      <c r="G179" s="871">
        <f>'Peers Stock History'!H182/'Peers Stock History'!H$1833*100</f>
        <v>233.71522889460655</v>
      </c>
      <c r="H179" s="871">
        <f>'Peers Stock History'!I182/'Peers Stock History'!I$1833*100</f>
        <v>312.68462206776718</v>
      </c>
      <c r="I179" s="871">
        <f>'Peers Stock History'!J182/'Peers Stock History'!J$1833*100</f>
        <v>190.96435032457165</v>
      </c>
      <c r="J179" s="871">
        <f>'Peers Stock History'!K182/'Peers Stock History'!K$1833*100</f>
        <v>258.09699902396108</v>
      </c>
    </row>
    <row r="180" spans="2:10">
      <c r="B180" s="870">
        <v>44431</v>
      </c>
      <c r="C180" s="871">
        <f>'Peers Stock History'!D183/'Peers Stock History'!D$1833*100</f>
        <v>147.65603328710125</v>
      </c>
      <c r="D180" s="871">
        <f>'Peers Stock History'!E183/'Peers Stock History'!E$1833*100</f>
        <v>805.79816513761477</v>
      </c>
      <c r="E180" s="871">
        <f>'Peers Stock History'!F183/'Peers Stock History'!F$1833*100</f>
        <v>817.81954887218035</v>
      </c>
      <c r="F180" s="871">
        <f>'Peers Stock History'!G183/'Peers Stock History'!G$1833*100</f>
        <v>329.66568098509873</v>
      </c>
      <c r="G180" s="871">
        <f>'Peers Stock History'!H183/'Peers Stock History'!H$1833*100</f>
        <v>234.21039856303702</v>
      </c>
      <c r="H180" s="871">
        <f>'Peers Stock History'!I183/'Peers Stock History'!I$1833*100</f>
        <v>311.64205039096436</v>
      </c>
      <c r="I180" s="871">
        <f>'Peers Stock History'!J183/'Peers Stock History'!J$1833*100</f>
        <v>190.67915292114503</v>
      </c>
      <c r="J180" s="871">
        <f>'Peers Stock History'!K183/'Peers Stock History'!K$1833*100</f>
        <v>256.77130445541155</v>
      </c>
    </row>
    <row r="181" spans="2:10">
      <c r="B181" s="870">
        <v>44430</v>
      </c>
      <c r="C181" s="871">
        <f>'Peers Stock History'!D184/'Peers Stock History'!D$1833*100</f>
        <v>144.27184466019418</v>
      </c>
      <c r="D181" s="871">
        <f>'Peers Stock History'!E184/'Peers Stock History'!E$1833*100</f>
        <v>763.88990825688074</v>
      </c>
      <c r="E181" s="871">
        <f>'Peers Stock History'!F184/'Peers Stock History'!F$1833*100</f>
        <v>786.84210526315792</v>
      </c>
      <c r="F181" s="871">
        <f>'Peers Stock History'!G184/'Peers Stock History'!G$1833*100</f>
        <v>321.07455442099848</v>
      </c>
      <c r="G181" s="871">
        <f>'Peers Stock History'!H184/'Peers Stock History'!H$1833*100</f>
        <v>230.67624641972913</v>
      </c>
      <c r="H181" s="871">
        <f>'Peers Stock History'!I184/'Peers Stock History'!I$1833*100</f>
        <v>305.0825369244136</v>
      </c>
      <c r="I181" s="871">
        <f>'Peers Stock History'!J184/'Peers Stock History'!J$1833*100</f>
        <v>189.06757475790147</v>
      </c>
      <c r="J181" s="871">
        <f>'Peers Stock History'!K184/'Peers Stock History'!K$1833*100</f>
        <v>252.85359072350607</v>
      </c>
    </row>
    <row r="182" spans="2:10">
      <c r="B182" s="870">
        <v>44429</v>
      </c>
      <c r="C182" s="871">
        <f>'Peers Stock History'!D185/'Peers Stock History'!D$1833*100</f>
        <v>144.27184466019418</v>
      </c>
      <c r="D182" s="871">
        <f>'Peers Stock History'!E185/'Peers Stock History'!E$1833*100</f>
        <v>763.88990825688074</v>
      </c>
      <c r="E182" s="871">
        <f>'Peers Stock History'!F185/'Peers Stock History'!F$1833*100</f>
        <v>786.84210526315792</v>
      </c>
      <c r="F182" s="871">
        <f>'Peers Stock History'!G185/'Peers Stock History'!G$1833*100</f>
        <v>321.07455442099848</v>
      </c>
      <c r="G182" s="871">
        <f>'Peers Stock History'!H185/'Peers Stock History'!H$1833*100</f>
        <v>230.67624641972913</v>
      </c>
      <c r="H182" s="871">
        <f>'Peers Stock History'!I185/'Peers Stock History'!I$1833*100</f>
        <v>305.0825369244136</v>
      </c>
      <c r="I182" s="871">
        <f>'Peers Stock History'!J185/'Peers Stock History'!J$1833*100</f>
        <v>189.06757475790147</v>
      </c>
      <c r="J182" s="871">
        <f>'Peers Stock History'!K185/'Peers Stock History'!K$1833*100</f>
        <v>252.85359072350607</v>
      </c>
    </row>
    <row r="183" spans="2:10">
      <c r="B183" s="870">
        <v>44428</v>
      </c>
      <c r="C183" s="871">
        <f>'Peers Stock History'!D186/'Peers Stock History'!D$1833*100</f>
        <v>144.27184466019418</v>
      </c>
      <c r="D183" s="871">
        <f>'Peers Stock History'!E186/'Peers Stock History'!E$1833*100</f>
        <v>763.88990825688074</v>
      </c>
      <c r="E183" s="871">
        <f>'Peers Stock History'!F186/'Peers Stock History'!F$1833*100</f>
        <v>786.84210526315792</v>
      </c>
      <c r="F183" s="871">
        <f>'Peers Stock History'!G186/'Peers Stock History'!G$1833*100</f>
        <v>321.07455442099848</v>
      </c>
      <c r="G183" s="871">
        <f>'Peers Stock History'!H186/'Peers Stock History'!H$1833*100</f>
        <v>230.67624641972913</v>
      </c>
      <c r="H183" s="871">
        <f>'Peers Stock History'!I186/'Peers Stock History'!I$1833*100</f>
        <v>305.0825369244136</v>
      </c>
      <c r="I183" s="871">
        <f>'Peers Stock History'!J186/'Peers Stock History'!J$1833*100</f>
        <v>189.06757475790147</v>
      </c>
      <c r="J183" s="871">
        <f>'Peers Stock History'!K186/'Peers Stock History'!K$1833*100</f>
        <v>252.85359072350607</v>
      </c>
    </row>
    <row r="184" spans="2:10">
      <c r="B184" s="870">
        <v>44427</v>
      </c>
      <c r="C184" s="871">
        <f>'Peers Stock History'!D187/'Peers Stock History'!D$1833*100</f>
        <v>145.4646324549237</v>
      </c>
      <c r="D184" s="871">
        <f>'Peers Stock History'!E187/'Peers Stock History'!E$1833*100</f>
        <v>726.53211009174311</v>
      </c>
      <c r="E184" s="871">
        <f>'Peers Stock History'!F187/'Peers Stock History'!F$1833*100</f>
        <v>779.69924812030081</v>
      </c>
      <c r="F184" s="871">
        <f>'Peers Stock History'!G187/'Peers Stock History'!G$1833*100</f>
        <v>324.45008148793835</v>
      </c>
      <c r="G184" s="871">
        <f>'Peers Stock History'!H187/'Peers Stock History'!H$1833*100</f>
        <v>229.8800912665663</v>
      </c>
      <c r="H184" s="871">
        <f>'Peers Stock History'!I187/'Peers Stock History'!I$1833*100</f>
        <v>305.2997393570808</v>
      </c>
      <c r="I184" s="871">
        <f>'Peers Stock History'!J187/'Peers Stock History'!J$1833*100</f>
        <v>187.54070448015327</v>
      </c>
      <c r="J184" s="871">
        <f>'Peers Stock History'!K187/'Peers Stock History'!K$1833*100</f>
        <v>249.88294406334632</v>
      </c>
    </row>
    <row r="185" spans="2:10">
      <c r="B185" s="870">
        <v>44426</v>
      </c>
      <c r="C185" s="871">
        <f>'Peers Stock History'!D188/'Peers Stock History'!D$1833*100</f>
        <v>144.77115117891816</v>
      </c>
      <c r="D185" s="871">
        <f>'Peers Stock History'!E188/'Peers Stock History'!E$1833*100</f>
        <v>698.71559633027528</v>
      </c>
      <c r="E185" s="871">
        <f>'Peers Stock History'!F188/'Peers Stock History'!F$1833*100</f>
        <v>777.74436090225561</v>
      </c>
      <c r="F185" s="871">
        <f>'Peers Stock History'!G188/'Peers Stock History'!G$1833*100</f>
        <v>335.51456594934785</v>
      </c>
      <c r="G185" s="871">
        <f>'Peers Stock History'!H188/'Peers Stock History'!H$1833*100</f>
        <v>227.66639157240641</v>
      </c>
      <c r="H185" s="871">
        <f>'Peers Stock History'!I188/'Peers Stock History'!I$1833*100</f>
        <v>306.77671589921812</v>
      </c>
      <c r="I185" s="871">
        <f>'Peers Stock History'!J188/'Peers Stock History'!J$1833*100</f>
        <v>187.30531020538473</v>
      </c>
      <c r="J185" s="871">
        <f>'Peers Stock History'!K188/'Peers Stock History'!K$1833*100</f>
        <v>249.61016867602385</v>
      </c>
    </row>
    <row r="186" spans="2:10">
      <c r="B186" s="870">
        <v>44425</v>
      </c>
      <c r="C186" s="871">
        <f>'Peers Stock History'!D189/'Peers Stock History'!D$1833*100</f>
        <v>146.15811373092927</v>
      </c>
      <c r="D186" s="871">
        <f>'Peers Stock History'!E189/'Peers Stock History'!E$1833*100</f>
        <v>714.05504587155963</v>
      </c>
      <c r="E186" s="871">
        <f>'Peers Stock History'!F189/'Peers Stock History'!F$1833*100</f>
        <v>808.72180451127815</v>
      </c>
      <c r="F186" s="871">
        <f>'Peers Stock History'!G189/'Peers Stock History'!G$1833*100</f>
        <v>338.04992995247318</v>
      </c>
      <c r="G186" s="871">
        <f>'Peers Stock History'!H189/'Peers Stock History'!H$1833*100</f>
        <v>232.38506723627358</v>
      </c>
      <c r="H186" s="871">
        <f>'Peers Stock History'!I189/'Peers Stock History'!I$1833*100</f>
        <v>307.47176368375324</v>
      </c>
      <c r="I186" s="871">
        <f>'Peers Stock History'!J189/'Peers Stock History'!J$1833*100</f>
        <v>189.34042779610513</v>
      </c>
      <c r="J186" s="871">
        <f>'Peers Stock History'!K189/'Peers Stock History'!K$1833*100</f>
        <v>251.84864866722575</v>
      </c>
    </row>
    <row r="187" spans="2:10">
      <c r="B187" s="870">
        <v>44424</v>
      </c>
      <c r="C187" s="871">
        <f>'Peers Stock History'!D190/'Peers Stock History'!D$1833*100</f>
        <v>148.32177531206659</v>
      </c>
      <c r="D187" s="871">
        <f>'Peers Stock History'!E190/'Peers Stock History'!E$1833*100</f>
        <v>732.11009174311926</v>
      </c>
      <c r="E187" s="871">
        <f>'Peers Stock History'!F190/'Peers Stock History'!F$1833*100</f>
        <v>808.12030075187965</v>
      </c>
      <c r="F187" s="871">
        <f>'Peers Stock History'!G190/'Peers Stock History'!G$1833*100</f>
        <v>341.34750199569987</v>
      </c>
      <c r="G187" s="871">
        <f>'Peers Stock History'!H190/'Peers Stock History'!H$1833*100</f>
        <v>236.97266857614446</v>
      </c>
      <c r="H187" s="871">
        <f>'Peers Stock History'!I190/'Peers Stock History'!I$1833*100</f>
        <v>308.12337098175504</v>
      </c>
      <c r="I187" s="871">
        <f>'Peers Stock History'!J190/'Peers Stock History'!J$1833*100</f>
        <v>190.6868149409386</v>
      </c>
      <c r="J187" s="871">
        <f>'Peers Stock History'!K190/'Peers Stock History'!K$1833*100</f>
        <v>254.21281085465273</v>
      </c>
    </row>
    <row r="188" spans="2:10">
      <c r="B188" s="870">
        <v>44423</v>
      </c>
      <c r="C188" s="871">
        <f>'Peers Stock History'!D191/'Peers Stock History'!D$1833*100</f>
        <v>148.37725381414702</v>
      </c>
      <c r="D188" s="871">
        <f>'Peers Stock History'!E191/'Peers Stock History'!E$1833*100</f>
        <v>740.8440366972477</v>
      </c>
      <c r="E188" s="871">
        <f>'Peers Stock History'!F191/'Peers Stock History'!F$1833*100</f>
        <v>831.20300751879699</v>
      </c>
      <c r="F188" s="871">
        <f>'Peers Stock History'!G191/'Peers Stock History'!G$1833*100</f>
        <v>339.87488279418699</v>
      </c>
      <c r="G188" s="871">
        <f>'Peers Stock History'!H191/'Peers Stock History'!H$1833*100</f>
        <v>236.01145686683819</v>
      </c>
      <c r="H188" s="871">
        <f>'Peers Stock History'!I191/'Peers Stock History'!I$1833*100</f>
        <v>308.07993049522156</v>
      </c>
      <c r="I188" s="871">
        <f>'Peers Stock History'!J191/'Peers Stock History'!J$1833*100</f>
        <v>190.18835798659146</v>
      </c>
      <c r="J188" s="871">
        <f>'Peers Stock History'!K191/'Peers Stock History'!K$1833*100</f>
        <v>254.71347758547216</v>
      </c>
    </row>
    <row r="189" spans="2:10">
      <c r="B189" s="870">
        <v>44422</v>
      </c>
      <c r="C189" s="871">
        <f>'Peers Stock History'!D192/'Peers Stock History'!D$1833*100</f>
        <v>148.37725381414702</v>
      </c>
      <c r="D189" s="871">
        <f>'Peers Stock History'!E192/'Peers Stock History'!E$1833*100</f>
        <v>740.8440366972477</v>
      </c>
      <c r="E189" s="871">
        <f>'Peers Stock History'!F192/'Peers Stock History'!F$1833*100</f>
        <v>831.20300751879699</v>
      </c>
      <c r="F189" s="871">
        <f>'Peers Stock History'!G192/'Peers Stock History'!G$1833*100</f>
        <v>339.87488279418699</v>
      </c>
      <c r="G189" s="871">
        <f>'Peers Stock History'!H192/'Peers Stock History'!H$1833*100</f>
        <v>236.01145686683819</v>
      </c>
      <c r="H189" s="871">
        <f>'Peers Stock History'!I192/'Peers Stock History'!I$1833*100</f>
        <v>308.07993049522156</v>
      </c>
      <c r="I189" s="871">
        <f>'Peers Stock History'!J192/'Peers Stock History'!J$1833*100</f>
        <v>190.18835798659146</v>
      </c>
      <c r="J189" s="871">
        <f>'Peers Stock History'!K192/'Peers Stock History'!K$1833*100</f>
        <v>254.71347758547216</v>
      </c>
    </row>
    <row r="190" spans="2:10">
      <c r="B190" s="870">
        <v>44421</v>
      </c>
      <c r="C190" s="871">
        <f>'Peers Stock History'!D193/'Peers Stock History'!D$1833*100</f>
        <v>148.37725381414702</v>
      </c>
      <c r="D190" s="871">
        <f>'Peers Stock History'!E193/'Peers Stock History'!E$1833*100</f>
        <v>740.8440366972477</v>
      </c>
      <c r="E190" s="871">
        <f>'Peers Stock History'!F193/'Peers Stock History'!F$1833*100</f>
        <v>831.20300751879699</v>
      </c>
      <c r="F190" s="871">
        <f>'Peers Stock History'!G193/'Peers Stock History'!G$1833*100</f>
        <v>339.87488279418699</v>
      </c>
      <c r="G190" s="871">
        <f>'Peers Stock History'!H193/'Peers Stock History'!H$1833*100</f>
        <v>236.01145686683819</v>
      </c>
      <c r="H190" s="871">
        <f>'Peers Stock History'!I193/'Peers Stock History'!I$1833*100</f>
        <v>308.07993049522156</v>
      </c>
      <c r="I190" s="871">
        <f>'Peers Stock History'!J193/'Peers Stock History'!J$1833*100</f>
        <v>190.18835798659146</v>
      </c>
      <c r="J190" s="871">
        <f>'Peers Stock History'!K193/'Peers Stock History'!K$1833*100</f>
        <v>254.71347758547216</v>
      </c>
    </row>
    <row r="191" spans="2:10">
      <c r="B191" s="870">
        <v>44420</v>
      </c>
      <c r="C191" s="871">
        <f>'Peers Stock History'!D194/'Peers Stock History'!D$1833*100</f>
        <v>148.51595006934815</v>
      </c>
      <c r="D191" s="871">
        <f>'Peers Stock History'!E194/'Peers Stock History'!E$1833*100</f>
        <v>730.45871559633031</v>
      </c>
      <c r="E191" s="871">
        <f>'Peers Stock History'!F194/'Peers Stock History'!F$1833*100</f>
        <v>800.75187969924798</v>
      </c>
      <c r="F191" s="871">
        <f>'Peers Stock History'!G194/'Peers Stock History'!G$1833*100</f>
        <v>343.12060757241085</v>
      </c>
      <c r="G191" s="871">
        <f>'Peers Stock History'!H194/'Peers Stock History'!H$1833*100</f>
        <v>235.08908199427157</v>
      </c>
      <c r="H191" s="871">
        <f>'Peers Stock History'!I194/'Peers Stock History'!I$1833*100</f>
        <v>305.16941789748046</v>
      </c>
      <c r="I191" s="871">
        <f>'Peers Stock History'!J194/'Peers Stock History'!J$1833*100</f>
        <v>189.88315419814833</v>
      </c>
      <c r="J191" s="871">
        <f>'Peers Stock History'!K194/'Peers Stock History'!K$1833*100</f>
        <v>254.59944599480363</v>
      </c>
    </row>
    <row r="192" spans="2:10">
      <c r="B192" s="870">
        <v>44419</v>
      </c>
      <c r="C192" s="871">
        <f>'Peers Stock History'!D195/'Peers Stock History'!D$1833*100</f>
        <v>150.18030513176146</v>
      </c>
      <c r="D192" s="871">
        <f>'Peers Stock History'!E195/'Peers Stock History'!E$1833*100</f>
        <v>722.89908256880744</v>
      </c>
      <c r="E192" s="871">
        <f>'Peers Stock History'!F195/'Peers Stock History'!F$1833*100</f>
        <v>809.62406015037584</v>
      </c>
      <c r="F192" s="871">
        <f>'Peers Stock History'!G195/'Peers Stock History'!G$1833*100</f>
        <v>345.22662863370101</v>
      </c>
      <c r="G192" s="871">
        <f>'Peers Stock History'!H195/'Peers Stock History'!H$1833*100</f>
        <v>234.74440506820719</v>
      </c>
      <c r="H192" s="871">
        <f>'Peers Stock History'!I195/'Peers Stock History'!I$1833*100</f>
        <v>325.93397046046914</v>
      </c>
      <c r="I192" s="871">
        <f>'Peers Stock History'!J195/'Peers Stock History'!J$1833*100</f>
        <v>189.3242524209854</v>
      </c>
      <c r="J192" s="871">
        <f>'Peers Stock History'!K195/'Peers Stock History'!K$1833*100</f>
        <v>253.72089066989267</v>
      </c>
    </row>
    <row r="193" spans="2:10">
      <c r="B193" s="870">
        <v>44418</v>
      </c>
      <c r="C193" s="871">
        <f>'Peers Stock History'!D196/'Peers Stock History'!D$1833*100</f>
        <v>149.62552011095701</v>
      </c>
      <c r="D193" s="871">
        <f>'Peers Stock History'!E196/'Peers Stock History'!E$1833*100</f>
        <v>731.59633027522943</v>
      </c>
      <c r="E193" s="871">
        <f>'Peers Stock History'!F196/'Peers Stock History'!F$1833*100</f>
        <v>800.6015037593985</v>
      </c>
      <c r="F193" s="871">
        <f>'Peers Stock History'!G196/'Peers Stock History'!G$1833*100</f>
        <v>345.21572402645353</v>
      </c>
      <c r="G193" s="871">
        <f>'Peers Stock History'!H196/'Peers Stock History'!H$1833*100</f>
        <v>234.11816107578036</v>
      </c>
      <c r="H193" s="871">
        <f>'Peers Stock History'!I196/'Peers Stock History'!I$1833*100</f>
        <v>329.75673327541267</v>
      </c>
      <c r="I193" s="871">
        <f>'Peers Stock History'!J196/'Peers Stock History'!J$1833*100</f>
        <v>188.85814621687774</v>
      </c>
      <c r="J193" s="871">
        <f>'Peers Stock History'!K196/'Peers Stock History'!K$1833*100</f>
        <v>254.11529288041464</v>
      </c>
    </row>
    <row r="194" spans="2:10">
      <c r="B194" s="870">
        <v>44417</v>
      </c>
      <c r="C194" s="871">
        <f>'Peers Stock History'!D197/'Peers Stock History'!D$1833*100</f>
        <v>149.93065187239944</v>
      </c>
      <c r="D194" s="871">
        <f>'Peers Stock History'!E197/'Peers Stock History'!E$1833*100</f>
        <v>744.77064220183479</v>
      </c>
      <c r="E194" s="871">
        <f>'Peers Stock History'!F197/'Peers Stock History'!F$1833*100</f>
        <v>808.87218045112763</v>
      </c>
      <c r="F194" s="871">
        <f>'Peers Stock History'!G197/'Peers Stock History'!G$1833*100</f>
        <v>347.96453413436467</v>
      </c>
      <c r="G194" s="871">
        <f>'Peers Stock History'!H197/'Peers Stock History'!H$1833*100</f>
        <v>235.29297538715471</v>
      </c>
      <c r="H194" s="871">
        <f>'Peers Stock History'!I197/'Peers Stock History'!I$1833*100</f>
        <v>348.43614248479582</v>
      </c>
      <c r="I194" s="871">
        <f>'Peers Stock History'!J197/'Peers Stock History'!J$1833*100</f>
        <v>188.67085239970206</v>
      </c>
      <c r="J194" s="871">
        <f>'Peers Stock History'!K197/'Peers Stock History'!K$1833*100</f>
        <v>255.35407186945824</v>
      </c>
    </row>
    <row r="195" spans="2:10">
      <c r="B195" s="870">
        <v>44416</v>
      </c>
      <c r="C195" s="871">
        <f>'Peers Stock History'!D198/'Peers Stock History'!D$1833*100</f>
        <v>149.57004160887658</v>
      </c>
      <c r="D195" s="871">
        <f>'Peers Stock History'!E198/'Peers Stock History'!E$1833*100</f>
        <v>747.37614678899081</v>
      </c>
      <c r="E195" s="871">
        <f>'Peers Stock History'!F198/'Peers Stock History'!F$1833*100</f>
        <v>827.8947368421052</v>
      </c>
      <c r="F195" s="871">
        <f>'Peers Stock History'!G198/'Peers Stock History'!G$1833*100</f>
        <v>345.77444606577188</v>
      </c>
      <c r="G195" s="871">
        <f>'Peers Stock History'!H198/'Peers Stock History'!H$1833*100</f>
        <v>235.6570707315889</v>
      </c>
      <c r="H195" s="871">
        <f>'Peers Stock History'!I198/'Peers Stock History'!I$1833*100</f>
        <v>356.21198957428322</v>
      </c>
      <c r="I195" s="871">
        <f>'Peers Stock History'!J198/'Peers Stock History'!J$1833*100</f>
        <v>188.84835585825266</v>
      </c>
      <c r="J195" s="871">
        <f>'Peers Stock History'!K198/'Peers Stock History'!K$1833*100</f>
        <v>254.93452978293445</v>
      </c>
    </row>
    <row r="196" spans="2:10">
      <c r="B196" s="870">
        <v>44415</v>
      </c>
      <c r="C196" s="871">
        <f>'Peers Stock History'!D199/'Peers Stock History'!D$1833*100</f>
        <v>149.57004160887658</v>
      </c>
      <c r="D196" s="871">
        <f>'Peers Stock History'!E199/'Peers Stock History'!E$1833*100</f>
        <v>747.37614678899081</v>
      </c>
      <c r="E196" s="871">
        <f>'Peers Stock History'!F199/'Peers Stock History'!F$1833*100</f>
        <v>827.8947368421052</v>
      </c>
      <c r="F196" s="871">
        <f>'Peers Stock History'!G199/'Peers Stock History'!G$1833*100</f>
        <v>345.77444606577188</v>
      </c>
      <c r="G196" s="871">
        <f>'Peers Stock History'!H199/'Peers Stock History'!H$1833*100</f>
        <v>235.6570707315889</v>
      </c>
      <c r="H196" s="871">
        <f>'Peers Stock History'!I199/'Peers Stock History'!I$1833*100</f>
        <v>356.21198957428322</v>
      </c>
      <c r="I196" s="871">
        <f>'Peers Stock History'!J199/'Peers Stock History'!J$1833*100</f>
        <v>188.84835585825266</v>
      </c>
      <c r="J196" s="871">
        <f>'Peers Stock History'!K199/'Peers Stock History'!K$1833*100</f>
        <v>254.93452978293445</v>
      </c>
    </row>
    <row r="197" spans="2:10">
      <c r="B197" s="870">
        <v>44414</v>
      </c>
      <c r="C197" s="871">
        <f>'Peers Stock History'!D200/'Peers Stock History'!D$1833*100</f>
        <v>149.57004160887658</v>
      </c>
      <c r="D197" s="871">
        <f>'Peers Stock History'!E200/'Peers Stock History'!E$1833*100</f>
        <v>747.37614678899081</v>
      </c>
      <c r="E197" s="871">
        <f>'Peers Stock History'!F200/'Peers Stock History'!F$1833*100</f>
        <v>827.8947368421052</v>
      </c>
      <c r="F197" s="871">
        <f>'Peers Stock History'!G200/'Peers Stock History'!G$1833*100</f>
        <v>345.77444606577188</v>
      </c>
      <c r="G197" s="871">
        <f>'Peers Stock History'!H200/'Peers Stock History'!H$1833*100</f>
        <v>235.6570707315889</v>
      </c>
      <c r="H197" s="871">
        <f>'Peers Stock History'!I200/'Peers Stock History'!I$1833*100</f>
        <v>356.21198957428322</v>
      </c>
      <c r="I197" s="871">
        <f>'Peers Stock History'!J200/'Peers Stock History'!J$1833*100</f>
        <v>188.84835585825266</v>
      </c>
      <c r="J197" s="871">
        <f>'Peers Stock History'!K200/'Peers Stock History'!K$1833*100</f>
        <v>254.93452978293445</v>
      </c>
    </row>
    <row r="198" spans="2:10">
      <c r="B198" s="870">
        <v>44413</v>
      </c>
      <c r="C198" s="871">
        <f>'Peers Stock History'!D201/'Peers Stock History'!D$1833*100</f>
        <v>149.48682385575592</v>
      </c>
      <c r="D198" s="871">
        <f>'Peers Stock History'!E201/'Peers Stock History'!E$1833*100</f>
        <v>757.32110091743118</v>
      </c>
      <c r="E198" s="871">
        <f>'Peers Stock History'!F201/'Peers Stock History'!F$1833*100</f>
        <v>844.73684210526301</v>
      </c>
      <c r="F198" s="871">
        <f>'Peers Stock History'!G201/'Peers Stock History'!G$1833*100</f>
        <v>349.2650555585094</v>
      </c>
      <c r="G198" s="871">
        <f>'Peers Stock History'!H201/'Peers Stock History'!H$1833*100</f>
        <v>236.74450216029905</v>
      </c>
      <c r="H198" s="871">
        <f>'Peers Stock History'!I201/'Peers Stock History'!I$1833*100</f>
        <v>353.99652476107735</v>
      </c>
      <c r="I198" s="871">
        <f>'Peers Stock History'!J201/'Peers Stock History'!J$1833*100</f>
        <v>188.53251037565181</v>
      </c>
      <c r="J198" s="871">
        <f>'Peers Stock History'!K201/'Peers Stock History'!K$1833*100</f>
        <v>255.95447328265263</v>
      </c>
    </row>
    <row r="199" spans="2:10">
      <c r="B199" s="870">
        <v>44412</v>
      </c>
      <c r="C199" s="871">
        <f>'Peers Stock History'!D202/'Peers Stock History'!D$1833*100</f>
        <v>149.51456310679612</v>
      </c>
      <c r="D199" s="871">
        <f>'Peers Stock History'!E202/'Peers Stock History'!E$1833*100</f>
        <v>744</v>
      </c>
      <c r="E199" s="871">
        <f>'Peers Stock History'!F202/'Peers Stock History'!F$1833*100</f>
        <v>893.00751879699249</v>
      </c>
      <c r="F199" s="871">
        <f>'Peers Stock History'!G202/'Peers Stock History'!G$1833*100</f>
        <v>349.08899568821079</v>
      </c>
      <c r="G199" s="871">
        <f>'Peers Stock History'!H202/'Peers Stock History'!H$1833*100</f>
        <v>236.80761202000099</v>
      </c>
      <c r="H199" s="871">
        <f>'Peers Stock History'!I202/'Peers Stock History'!I$1833*100</f>
        <v>356.12510860121637</v>
      </c>
      <c r="I199" s="871">
        <f>'Peers Stock History'!J202/'Peers Stock History'!J$1833*100</f>
        <v>187.40704480153241</v>
      </c>
      <c r="J199" s="871">
        <f>'Peers Stock History'!K202/'Peers Stock History'!K$1833*100</f>
        <v>253.98548657602794</v>
      </c>
    </row>
    <row r="200" spans="2:10">
      <c r="B200" s="870">
        <v>44411</v>
      </c>
      <c r="C200" s="871">
        <f>'Peers Stock History'!D203/'Peers Stock History'!D$1833*100</f>
        <v>149.9583911234397</v>
      </c>
      <c r="D200" s="871">
        <f>'Peers Stock History'!E203/'Peers Stock History'!E$1833*100</f>
        <v>727.1559633027523</v>
      </c>
      <c r="E200" s="871">
        <f>'Peers Stock History'!F203/'Peers Stock History'!F$1833*100</f>
        <v>846.31578947368416</v>
      </c>
      <c r="F200" s="871">
        <f>'Peers Stock History'!G203/'Peers Stock History'!G$1833*100</f>
        <v>346.56986068341433</v>
      </c>
      <c r="G200" s="871">
        <f>'Peers Stock History'!H203/'Peers Stock History'!H$1833*100</f>
        <v>236.31729695616292</v>
      </c>
      <c r="H200" s="871">
        <f>'Peers Stock History'!I203/'Peers Stock History'!I$1833*100</f>
        <v>351.25977410947002</v>
      </c>
      <c r="I200" s="871">
        <f>'Peers Stock History'!J203/'Peers Stock History'!J$1833*100</f>
        <v>188.27923805469828</v>
      </c>
      <c r="J200" s="871">
        <f>'Peers Stock History'!K203/'Peers Stock History'!K$1833*100</f>
        <v>253.6549049393069</v>
      </c>
    </row>
    <row r="201" spans="2:10">
      <c r="B201" s="870">
        <v>44410</v>
      </c>
      <c r="C201" s="871">
        <f>'Peers Stock History'!D204/'Peers Stock History'!D$1833*100</f>
        <v>148.90429958391124</v>
      </c>
      <c r="D201" s="871">
        <f>'Peers Stock History'!E204/'Peers Stock History'!E$1833*100</f>
        <v>724.77064220183479</v>
      </c>
      <c r="E201" s="871">
        <f>'Peers Stock History'!F204/'Peers Stock History'!F$1833*100</f>
        <v>816.76691729323295</v>
      </c>
      <c r="F201" s="871">
        <f>'Peers Stock History'!G204/'Peers Stock History'!G$1833*100</f>
        <v>343.65674243216506</v>
      </c>
      <c r="G201" s="871">
        <f>'Peers Stock History'!H204/'Peers Stock History'!H$1833*100</f>
        <v>235.29297538715471</v>
      </c>
      <c r="H201" s="871">
        <f>'Peers Stock History'!I204/'Peers Stock History'!I$1833*100</f>
        <v>337.27193744569939</v>
      </c>
      <c r="I201" s="871">
        <f>'Peers Stock History'!J204/'Peers Stock History'!J$1833*100</f>
        <v>186.74725976375439</v>
      </c>
      <c r="J201" s="871">
        <f>'Peers Stock History'!K204/'Peers Stock History'!K$1833*100</f>
        <v>252.27631868358466</v>
      </c>
    </row>
    <row r="202" spans="2:10">
      <c r="B202" s="870">
        <v>44409</v>
      </c>
      <c r="C202" s="871">
        <f>'Peers Stock History'!D205/'Peers Stock History'!D$1833*100</f>
        <v>149.01525658807213</v>
      </c>
      <c r="D202" s="871">
        <f>'Peers Stock History'!E205/'Peers Stock History'!E$1833*100</f>
        <v>715.55963302752298</v>
      </c>
      <c r="E202" s="871">
        <f>'Peers Stock History'!F205/'Peers Stock History'!F$1833*100</f>
        <v>798.42105263157896</v>
      </c>
      <c r="F202" s="871">
        <f>'Peers Stock History'!G205/'Peers Stock History'!G$1833*100</f>
        <v>337.80786054327001</v>
      </c>
      <c r="G202" s="871">
        <f>'Peers Stock History'!H205/'Peers Stock History'!H$1833*100</f>
        <v>235.64250691781155</v>
      </c>
      <c r="H202" s="871">
        <f>'Peers Stock History'!I205/'Peers Stock History'!I$1833*100</f>
        <v>337.01129452649872</v>
      </c>
      <c r="I202" s="871">
        <f>'Peers Stock History'!J205/'Peers Stock History'!J$1833*100</f>
        <v>187.0920506544642</v>
      </c>
      <c r="J202" s="871">
        <f>'Peers Stock History'!K205/'Peers Stock History'!K$1833*100</f>
        <v>252.13212955198441</v>
      </c>
    </row>
    <row r="203" spans="2:10">
      <c r="B203" s="870">
        <v>44408</v>
      </c>
      <c r="C203" s="871">
        <f>'Peers Stock History'!D206/'Peers Stock History'!D$1833*100</f>
        <v>149.01525658807213</v>
      </c>
      <c r="D203" s="871">
        <f>'Peers Stock History'!E206/'Peers Stock History'!E$1833*100</f>
        <v>715.55963302752298</v>
      </c>
      <c r="E203" s="871">
        <f>'Peers Stock History'!F206/'Peers Stock History'!F$1833*100</f>
        <v>798.42105263157896</v>
      </c>
      <c r="F203" s="871">
        <f>'Peers Stock History'!G206/'Peers Stock History'!G$1833*100</f>
        <v>337.80786054327001</v>
      </c>
      <c r="G203" s="871">
        <f>'Peers Stock History'!H206/'Peers Stock History'!H$1833*100</f>
        <v>235.64250691781155</v>
      </c>
      <c r="H203" s="871">
        <f>'Peers Stock History'!I206/'Peers Stock History'!I$1833*100</f>
        <v>337.01129452649872</v>
      </c>
      <c r="I203" s="871">
        <f>'Peers Stock History'!J206/'Peers Stock History'!J$1833*100</f>
        <v>187.0920506544642</v>
      </c>
      <c r="J203" s="871">
        <f>'Peers Stock History'!K206/'Peers Stock History'!K$1833*100</f>
        <v>252.13212955198441</v>
      </c>
    </row>
    <row r="204" spans="2:10">
      <c r="B204" s="870">
        <v>44407</v>
      </c>
      <c r="C204" s="871">
        <f>'Peers Stock History'!D207/'Peers Stock History'!D$1833*100</f>
        <v>149.01525658807213</v>
      </c>
      <c r="D204" s="871">
        <f>'Peers Stock History'!E207/'Peers Stock History'!E$1833*100</f>
        <v>715.55963302752298</v>
      </c>
      <c r="E204" s="871">
        <f>'Peers Stock History'!F207/'Peers Stock History'!F$1833*100</f>
        <v>798.42105263157896</v>
      </c>
      <c r="F204" s="871">
        <f>'Peers Stock History'!G207/'Peers Stock History'!G$1833*100</f>
        <v>337.80786054327001</v>
      </c>
      <c r="G204" s="871">
        <f>'Peers Stock History'!H207/'Peers Stock History'!H$1833*100</f>
        <v>235.64250691781155</v>
      </c>
      <c r="H204" s="871">
        <f>'Peers Stock History'!I207/'Peers Stock History'!I$1833*100</f>
        <v>337.01129452649872</v>
      </c>
      <c r="I204" s="871">
        <f>'Peers Stock History'!J207/'Peers Stock History'!J$1833*100</f>
        <v>187.0920506544642</v>
      </c>
      <c r="J204" s="871">
        <f>'Peers Stock History'!K207/'Peers Stock History'!K$1833*100</f>
        <v>252.13212955198441</v>
      </c>
    </row>
    <row r="205" spans="2:10">
      <c r="B205" s="870">
        <v>44406</v>
      </c>
      <c r="C205" s="871">
        <f>'Peers Stock History'!D208/'Peers Stock History'!D$1833*100</f>
        <v>148.9597780859917</v>
      </c>
      <c r="D205" s="871">
        <f>'Peers Stock History'!E208/'Peers Stock History'!E$1833*100</f>
        <v>721.54128440366969</v>
      </c>
      <c r="E205" s="871">
        <f>'Peers Stock History'!F208/'Peers Stock History'!F$1833*100</f>
        <v>774.06015037593988</v>
      </c>
      <c r="F205" s="871">
        <f>'Peers Stock History'!G208/'Peers Stock History'!G$1833*100</f>
        <v>340.01775176664057</v>
      </c>
      <c r="G205" s="871">
        <f>'Peers Stock History'!H208/'Peers Stock History'!H$1833*100</f>
        <v>235.01626292538472</v>
      </c>
      <c r="H205" s="871">
        <f>'Peers Stock History'!I208/'Peers Stock History'!I$1833*100</f>
        <v>334.83927019982622</v>
      </c>
      <c r="I205" s="871">
        <f>'Peers Stock History'!J208/'Peers Stock History'!J$1833*100</f>
        <v>188.10897094817494</v>
      </c>
      <c r="J205" s="871">
        <f>'Peers Stock History'!K208/'Peers Stock History'!K$1833*100</f>
        <v>253.94649657011672</v>
      </c>
    </row>
    <row r="206" spans="2:10">
      <c r="B206" s="870">
        <v>44405</v>
      </c>
      <c r="C206" s="871">
        <f>'Peers Stock History'!D209/'Peers Stock History'!D$1833*100</f>
        <v>147.2122052704577</v>
      </c>
      <c r="D206" s="871">
        <f>'Peers Stock History'!E209/'Peers Stock History'!E$1833*100</f>
        <v>715.70642201834869</v>
      </c>
      <c r="E206" s="871">
        <f>'Peers Stock History'!F209/'Peers Stock History'!F$1833*100</f>
        <v>736.31578947368416</v>
      </c>
      <c r="F206" s="871">
        <f>'Peers Stock History'!G209/'Peers Stock History'!G$1833*100</f>
        <v>337.14093672213755</v>
      </c>
      <c r="G206" s="871">
        <f>'Peers Stock History'!H209/'Peers Stock History'!H$1833*100</f>
        <v>231.88018835865819</v>
      </c>
      <c r="H206" s="871">
        <f>'Peers Stock History'!I209/'Peers Stock History'!I$1833*100</f>
        <v>328.19287576020855</v>
      </c>
      <c r="I206" s="871">
        <f>'Peers Stock History'!J209/'Peers Stock History'!J$1833*100</f>
        <v>187.32105991273812</v>
      </c>
      <c r="J206" s="871">
        <f>'Peers Stock History'!K209/'Peers Stock History'!K$1833*100</f>
        <v>253.67705483689153</v>
      </c>
    </row>
    <row r="207" spans="2:10">
      <c r="B207" s="870">
        <v>44404</v>
      </c>
      <c r="C207" s="871">
        <f>'Peers Stock History'!D210/'Peers Stock History'!D$1833*100</f>
        <v>147.51733703190015</v>
      </c>
      <c r="D207" s="871">
        <f>'Peers Stock History'!E210/'Peers Stock History'!E$1833*100</f>
        <v>704.88073394495416</v>
      </c>
      <c r="E207" s="871">
        <f>'Peers Stock History'!F210/'Peers Stock History'!F$1833*100</f>
        <v>684.43609022556393</v>
      </c>
      <c r="F207" s="871">
        <f>'Peers Stock History'!G210/'Peers Stock History'!G$1833*100</f>
        <v>336.66274915159829</v>
      </c>
      <c r="G207" s="871">
        <f>'Peers Stock History'!H210/'Peers Stock History'!H$1833*100</f>
        <v>230.76848390698578</v>
      </c>
      <c r="H207" s="871">
        <f>'Peers Stock History'!I210/'Peers Stock History'!I$1833*100</f>
        <v>322.41529105125977</v>
      </c>
      <c r="I207" s="871">
        <f>'Peers Stock History'!J210/'Peers Stock History'!J$1833*100</f>
        <v>187.3559646695754</v>
      </c>
      <c r="J207" s="871">
        <f>'Peers Stock History'!K210/'Peers Stock History'!K$1833*100</f>
        <v>251.92417139793523</v>
      </c>
    </row>
    <row r="208" spans="2:10">
      <c r="B208" s="870">
        <v>44403</v>
      </c>
      <c r="C208" s="871">
        <f>'Peers Stock History'!D211/'Peers Stock History'!D$1833*100</f>
        <v>150.65187239944524</v>
      </c>
      <c r="D208" s="871">
        <f>'Peers Stock History'!E211/'Peers Stock History'!E$1833*100</f>
        <v>708.03669724770634</v>
      </c>
      <c r="E208" s="871">
        <f>'Peers Stock History'!F211/'Peers Stock History'!F$1833*100</f>
        <v>690.37593984962393</v>
      </c>
      <c r="F208" s="871">
        <f>'Peers Stock History'!G211/'Peers Stock History'!G$1833*100</f>
        <v>336.48265138992605</v>
      </c>
      <c r="G208" s="871">
        <f>'Peers Stock History'!H211/'Peers Stock History'!H$1833*100</f>
        <v>234.10845186659546</v>
      </c>
      <c r="H208" s="871">
        <f>'Peers Stock History'!I211/'Peers Stock History'!I$1833*100</f>
        <v>331.45091225021719</v>
      </c>
      <c r="I208" s="871">
        <f>'Peers Stock History'!J211/'Peers Stock History'!J$1833*100</f>
        <v>188.24305629456211</v>
      </c>
      <c r="J208" s="871">
        <f>'Peers Stock History'!K211/'Peers Stock History'!K$1833*100</f>
        <v>255.01960669755169</v>
      </c>
    </row>
    <row r="209" spans="2:10">
      <c r="B209" s="870">
        <v>44402</v>
      </c>
      <c r="C209" s="871">
        <f>'Peers Stock History'!D212/'Peers Stock History'!D$1833*100</f>
        <v>147.01803051317614</v>
      </c>
      <c r="D209" s="871">
        <f>'Peers Stock History'!E212/'Peers Stock History'!E$1833*100</f>
        <v>717.72477064220186</v>
      </c>
      <c r="E209" s="871">
        <f>'Peers Stock History'!F212/'Peers Stock History'!F$1833*100</f>
        <v>692.85714285714289</v>
      </c>
      <c r="F209" s="871">
        <f>'Peers Stock History'!G212/'Peers Stock History'!G$1833*100</f>
        <v>339.44389241339422</v>
      </c>
      <c r="G209" s="871">
        <f>'Peers Stock History'!H212/'Peers Stock History'!H$1833*100</f>
        <v>234.55022088450895</v>
      </c>
      <c r="H209" s="871">
        <f>'Peers Stock History'!I212/'Peers Stock History'!I$1833*100</f>
        <v>329.88705473501301</v>
      </c>
      <c r="I209" s="871">
        <f>'Peers Stock History'!J212/'Peers Stock History'!J$1833*100</f>
        <v>187.79567947217197</v>
      </c>
      <c r="J209" s="871">
        <f>'Peers Stock History'!K212/'Peers Stock History'!K$1833*100</f>
        <v>254.9556486534787</v>
      </c>
    </row>
    <row r="210" spans="2:10">
      <c r="B210" s="870">
        <v>44401</v>
      </c>
      <c r="C210" s="871">
        <f>'Peers Stock History'!D213/'Peers Stock History'!D$1833*100</f>
        <v>147.01803051317614</v>
      </c>
      <c r="D210" s="871">
        <f>'Peers Stock History'!E213/'Peers Stock History'!E$1833*100</f>
        <v>717.72477064220186</v>
      </c>
      <c r="E210" s="871">
        <f>'Peers Stock History'!F213/'Peers Stock History'!F$1833*100</f>
        <v>692.85714285714289</v>
      </c>
      <c r="F210" s="871">
        <f>'Peers Stock History'!G213/'Peers Stock History'!G$1833*100</f>
        <v>339.44389241339422</v>
      </c>
      <c r="G210" s="871">
        <f>'Peers Stock History'!H213/'Peers Stock History'!H$1833*100</f>
        <v>234.55022088450895</v>
      </c>
      <c r="H210" s="871">
        <f>'Peers Stock History'!I213/'Peers Stock History'!I$1833*100</f>
        <v>329.88705473501301</v>
      </c>
      <c r="I210" s="871">
        <f>'Peers Stock History'!J213/'Peers Stock History'!J$1833*100</f>
        <v>187.79567947217197</v>
      </c>
      <c r="J210" s="871">
        <f>'Peers Stock History'!K213/'Peers Stock History'!K$1833*100</f>
        <v>254.9556486534787</v>
      </c>
    </row>
    <row r="211" spans="2:10">
      <c r="B211" s="870">
        <v>44400</v>
      </c>
      <c r="C211" s="871">
        <f>'Peers Stock History'!D214/'Peers Stock History'!D$1833*100</f>
        <v>147.01803051317614</v>
      </c>
      <c r="D211" s="871">
        <f>'Peers Stock History'!E214/'Peers Stock History'!E$1833*100</f>
        <v>717.72477064220186</v>
      </c>
      <c r="E211" s="871">
        <f>'Peers Stock History'!F214/'Peers Stock History'!F$1833*100</f>
        <v>692.85714285714289</v>
      </c>
      <c r="F211" s="871">
        <f>'Peers Stock History'!G214/'Peers Stock History'!G$1833*100</f>
        <v>339.44389241339422</v>
      </c>
      <c r="G211" s="871">
        <f>'Peers Stock History'!H214/'Peers Stock History'!H$1833*100</f>
        <v>234.55022088450895</v>
      </c>
      <c r="H211" s="871">
        <f>'Peers Stock History'!I214/'Peers Stock History'!I$1833*100</f>
        <v>329.88705473501301</v>
      </c>
      <c r="I211" s="871">
        <f>'Peers Stock History'!J214/'Peers Stock History'!J$1833*100</f>
        <v>187.79567947217197</v>
      </c>
      <c r="J211" s="871">
        <f>'Peers Stock History'!K214/'Peers Stock History'!K$1833*100</f>
        <v>254.9556486534787</v>
      </c>
    </row>
    <row r="212" spans="2:10">
      <c r="B212" s="870">
        <v>44399</v>
      </c>
      <c r="C212" s="871">
        <f>'Peers Stock History'!D215/'Peers Stock History'!D$1833*100</f>
        <v>155.22884882108187</v>
      </c>
      <c r="D212" s="871">
        <f>'Peers Stock History'!E215/'Peers Stock History'!E$1833*100</f>
        <v>719.04587155963304</v>
      </c>
      <c r="E212" s="871">
        <f>'Peers Stock History'!F215/'Peers Stock History'!F$1833*100</f>
        <v>685.78947368421041</v>
      </c>
      <c r="F212" s="871">
        <f>'Peers Stock History'!G215/'Peers Stock History'!G$1833*100</f>
        <v>343.03549198646624</v>
      </c>
      <c r="G212" s="871">
        <f>'Peers Stock History'!H215/'Peers Stock History'!H$1833*100</f>
        <v>231.23938055245395</v>
      </c>
      <c r="H212" s="871">
        <f>'Peers Stock History'!I215/'Peers Stock History'!I$1833*100</f>
        <v>328.10599478714164</v>
      </c>
      <c r="I212" s="871">
        <f>'Peers Stock History'!J215/'Peers Stock History'!J$1833*100</f>
        <v>185.90954559965945</v>
      </c>
      <c r="J212" s="871">
        <f>'Peers Stock History'!K215/'Peers Stock History'!K$1833*100</f>
        <v>252.33694307356035</v>
      </c>
    </row>
    <row r="213" spans="2:10">
      <c r="B213" s="870">
        <v>44398</v>
      </c>
      <c r="C213" s="871">
        <f>'Peers Stock History'!D216/'Peers Stock History'!D$1833*100</f>
        <v>155.97780859916784</v>
      </c>
      <c r="D213" s="871">
        <f>'Peers Stock History'!E216/'Peers Stock History'!E$1833*100</f>
        <v>712.29357798165131</v>
      </c>
      <c r="E213" s="871">
        <f>'Peers Stock History'!F216/'Peers Stock History'!F$1833*100</f>
        <v>672.25563909774428</v>
      </c>
      <c r="F213" s="871">
        <f>'Peers Stock History'!G216/'Peers Stock History'!G$1833*100</f>
        <v>339.91675681560037</v>
      </c>
      <c r="G213" s="871">
        <f>'Peers Stock History'!H216/'Peers Stock History'!H$1833*100</f>
        <v>232.54526918782466</v>
      </c>
      <c r="H213" s="871">
        <f>'Peers Stock History'!I216/'Peers Stock History'!I$1833*100</f>
        <v>335.31711555169414</v>
      </c>
      <c r="I213" s="871">
        <f>'Peers Stock History'!J216/'Peers Stock History'!J$1833*100</f>
        <v>185.53538363307436</v>
      </c>
      <c r="J213" s="871">
        <f>'Peers Stock History'!K216/'Peers Stock History'!K$1833*100</f>
        <v>251.4323371320952</v>
      </c>
    </row>
    <row r="214" spans="2:10">
      <c r="B214" s="870">
        <v>44397</v>
      </c>
      <c r="C214" s="871">
        <f>'Peers Stock History'!D217/'Peers Stock History'!D$1833*100</f>
        <v>153.23162274618588</v>
      </c>
      <c r="D214" s="871">
        <f>'Peers Stock History'!E217/'Peers Stock History'!E$1833*100</f>
        <v>683.00917431192659</v>
      </c>
      <c r="E214" s="871">
        <f>'Peers Stock History'!F217/'Peers Stock History'!F$1833*100</f>
        <v>654.96240601503757</v>
      </c>
      <c r="F214" s="871">
        <f>'Peers Stock History'!G217/'Peers Stock History'!G$1833*100</f>
        <v>337.21913657333027</v>
      </c>
      <c r="G214" s="871">
        <f>'Peers Stock History'!H217/'Peers Stock History'!H$1833*100</f>
        <v>227.4819165978931</v>
      </c>
      <c r="H214" s="871">
        <f>'Peers Stock History'!I217/'Peers Stock History'!I$1833*100</f>
        <v>327.49782797567332</v>
      </c>
      <c r="I214" s="871">
        <f>'Peers Stock History'!J217/'Peers Stock History'!J$1833*100</f>
        <v>184.01872938171761</v>
      </c>
      <c r="J214" s="871">
        <f>'Peers Stock History'!K217/'Peers Stock History'!K$1833*100</f>
        <v>249.14558789161845</v>
      </c>
    </row>
    <row r="215" spans="2:10">
      <c r="B215" s="870">
        <v>44396</v>
      </c>
      <c r="C215" s="871">
        <f>'Peers Stock History'!D218/'Peers Stock History'!D$1833*100</f>
        <v>151.56726768377254</v>
      </c>
      <c r="D215" s="871">
        <f>'Peers Stock History'!E218/'Peers Stock History'!E$1833*100</f>
        <v>689.165137614679</v>
      </c>
      <c r="E215" s="871">
        <f>'Peers Stock History'!F218/'Peers Stock History'!F$1833*100</f>
        <v>650.97744360902254</v>
      </c>
      <c r="F215" s="871">
        <f>'Peers Stock History'!G218/'Peers Stock History'!G$1833*100</f>
        <v>337.08993578679565</v>
      </c>
      <c r="G215" s="871">
        <f>'Peers Stock History'!H218/'Peers Stock History'!H$1833*100</f>
        <v>226.06437205689596</v>
      </c>
      <c r="H215" s="871">
        <f>'Peers Stock History'!I218/'Peers Stock History'!I$1833*100</f>
        <v>323.97914856646395</v>
      </c>
      <c r="I215" s="871">
        <f>'Peers Stock History'!J218/'Peers Stock History'!J$1833*100</f>
        <v>181.27019261466424</v>
      </c>
      <c r="J215" s="871">
        <f>'Peers Stock History'!K218/'Peers Stock History'!K$1833*100</f>
        <v>245.29824175522043</v>
      </c>
    </row>
    <row r="216" spans="2:10">
      <c r="B216" s="870">
        <v>44395</v>
      </c>
      <c r="C216" s="871">
        <f>'Peers Stock History'!D219/'Peers Stock History'!D$1833*100</f>
        <v>152.48266296809987</v>
      </c>
      <c r="D216" s="871">
        <f>'Peers Stock History'!E219/'Peers Stock History'!E$1833*100</f>
        <v>666.45871559633042</v>
      </c>
      <c r="E216" s="871">
        <f>'Peers Stock History'!F219/'Peers Stock History'!F$1833*100</f>
        <v>645.78947368421052</v>
      </c>
      <c r="F216" s="871">
        <f>'Peers Stock History'!G219/'Peers Stock History'!G$1833*100</f>
        <v>342.5346170055173</v>
      </c>
      <c r="G216" s="871">
        <f>'Peers Stock History'!H219/'Peers Stock History'!H$1833*100</f>
        <v>227.22947715908538</v>
      </c>
      <c r="H216" s="871">
        <f>'Peers Stock History'!I219/'Peers Stock History'!I$1833*100</f>
        <v>325.84708948740229</v>
      </c>
      <c r="I216" s="871">
        <f>'Peers Stock History'!J219/'Peers Stock History'!J$1833*100</f>
        <v>184.193253165904</v>
      </c>
      <c r="J216" s="871">
        <f>'Peers Stock History'!K219/'Peers Stock History'!K$1833*100</f>
        <v>247.91452442159385</v>
      </c>
    </row>
    <row r="217" spans="2:10">
      <c r="B217" s="870">
        <v>44394</v>
      </c>
      <c r="C217" s="871">
        <f>'Peers Stock History'!D220/'Peers Stock History'!D$1833*100</f>
        <v>152.48266296809987</v>
      </c>
      <c r="D217" s="871">
        <f>'Peers Stock History'!E220/'Peers Stock History'!E$1833*100</f>
        <v>666.45871559633042</v>
      </c>
      <c r="E217" s="871">
        <f>'Peers Stock History'!F220/'Peers Stock History'!F$1833*100</f>
        <v>645.78947368421052</v>
      </c>
      <c r="F217" s="871">
        <f>'Peers Stock History'!G220/'Peers Stock History'!G$1833*100</f>
        <v>342.5346170055173</v>
      </c>
      <c r="G217" s="871">
        <f>'Peers Stock History'!H220/'Peers Stock History'!H$1833*100</f>
        <v>227.22947715908538</v>
      </c>
      <c r="H217" s="871">
        <f>'Peers Stock History'!I220/'Peers Stock History'!I$1833*100</f>
        <v>325.84708948740229</v>
      </c>
      <c r="I217" s="871">
        <f>'Peers Stock History'!J220/'Peers Stock History'!J$1833*100</f>
        <v>184.193253165904</v>
      </c>
      <c r="J217" s="871">
        <f>'Peers Stock History'!K220/'Peers Stock History'!K$1833*100</f>
        <v>247.91452442159385</v>
      </c>
    </row>
    <row r="218" spans="2:10">
      <c r="B218" s="870">
        <v>44393</v>
      </c>
      <c r="C218" s="871">
        <f>'Peers Stock History'!D221/'Peers Stock History'!D$1833*100</f>
        <v>152.48266296809987</v>
      </c>
      <c r="D218" s="871">
        <f>'Peers Stock History'!E221/'Peers Stock History'!E$1833*100</f>
        <v>666.45871559633042</v>
      </c>
      <c r="E218" s="871">
        <f>'Peers Stock History'!F221/'Peers Stock History'!F$1833*100</f>
        <v>645.78947368421052</v>
      </c>
      <c r="F218" s="871">
        <f>'Peers Stock History'!G221/'Peers Stock History'!G$1833*100</f>
        <v>342.5346170055173</v>
      </c>
      <c r="G218" s="871">
        <f>'Peers Stock History'!H221/'Peers Stock History'!H$1833*100</f>
        <v>227.22947715908538</v>
      </c>
      <c r="H218" s="871">
        <f>'Peers Stock History'!I221/'Peers Stock History'!I$1833*100</f>
        <v>325.84708948740229</v>
      </c>
      <c r="I218" s="871">
        <f>'Peers Stock History'!J221/'Peers Stock History'!J$1833*100</f>
        <v>184.193253165904</v>
      </c>
      <c r="J218" s="871">
        <f>'Peers Stock History'!K221/'Peers Stock History'!K$1833*100</f>
        <v>247.91452442159385</v>
      </c>
    </row>
    <row r="219" spans="2:10">
      <c r="B219" s="870">
        <v>44392</v>
      </c>
      <c r="C219" s="871">
        <f>'Peers Stock History'!D222/'Peers Stock History'!D$1833*100</f>
        <v>154.81276005547852</v>
      </c>
      <c r="D219" s="871">
        <f>'Peers Stock History'!E222/'Peers Stock History'!E$1833*100</f>
        <v>696.00917431192659</v>
      </c>
      <c r="E219" s="871">
        <f>'Peers Stock History'!F222/'Peers Stock History'!F$1833*100</f>
        <v>653.60902255639098</v>
      </c>
      <c r="F219" s="871">
        <f>'Peers Stock History'!G222/'Peers Stock History'!G$1833*100</f>
        <v>358.02058215851361</v>
      </c>
      <c r="G219" s="871">
        <f>'Peers Stock History'!H222/'Peers Stock History'!H$1833*100</f>
        <v>231.72969561629202</v>
      </c>
      <c r="H219" s="871">
        <f>'Peers Stock History'!I222/'Peers Stock History'!I$1833*100</f>
        <v>334.1442224152911</v>
      </c>
      <c r="I219" s="871">
        <f>'Peers Stock History'!J222/'Peers Stock History'!J$1833*100</f>
        <v>185.59242311375971</v>
      </c>
      <c r="J219" s="871">
        <f>'Peers Stock History'!K222/'Peers Stock History'!K$1833*100</f>
        <v>249.90605625283533</v>
      </c>
    </row>
    <row r="220" spans="2:10">
      <c r="B220" s="870">
        <v>44391</v>
      </c>
      <c r="C220" s="871">
        <f>'Peers Stock History'!D223/'Peers Stock History'!D$1833*100</f>
        <v>156.78224687933428</v>
      </c>
      <c r="D220" s="871">
        <f>'Peers Stock History'!E223/'Peers Stock History'!E$1833*100</f>
        <v>728.12844036697243</v>
      </c>
      <c r="E220" s="871">
        <f>'Peers Stock History'!F223/'Peers Stock History'!F$1833*100</f>
        <v>669.5488721804511</v>
      </c>
      <c r="F220" s="871">
        <f>'Peers Stock History'!G223/'Peers Stock History'!G$1833*100</f>
        <v>356.55561931172417</v>
      </c>
      <c r="G220" s="871">
        <f>'Peers Stock History'!H223/'Peers Stock History'!H$1833*100</f>
        <v>233.79290256808582</v>
      </c>
      <c r="H220" s="871">
        <f>'Peers Stock History'!I223/'Peers Stock History'!I$1833*100</f>
        <v>340.96437880104253</v>
      </c>
      <c r="I220" s="871">
        <f>'Peers Stock History'!J223/'Peers Stock History'!J$1833*100</f>
        <v>186.1998510162818</v>
      </c>
      <c r="J220" s="871">
        <f>'Peers Stock History'!K223/'Peers Stock History'!K$1833*100</f>
        <v>251.65569195661436</v>
      </c>
    </row>
    <row r="221" spans="2:10">
      <c r="B221" s="870">
        <v>44390</v>
      </c>
      <c r="C221" s="871">
        <f>'Peers Stock History'!D224/'Peers Stock History'!D$1833*100</f>
        <v>157.75312066574202</v>
      </c>
      <c r="D221" s="871">
        <f>'Peers Stock History'!E224/'Peers Stock History'!E$1833*100</f>
        <v>743.11926605504595</v>
      </c>
      <c r="E221" s="871">
        <f>'Peers Stock History'!F224/'Peers Stock History'!F$1833*100</f>
        <v>678.6466165413533</v>
      </c>
      <c r="F221" s="871">
        <f>'Peers Stock History'!G224/'Peers Stock History'!G$1833*100</f>
        <v>352.03350674490468</v>
      </c>
      <c r="G221" s="871">
        <f>'Peers Stock History'!H224/'Peers Stock History'!H$1833*100</f>
        <v>234.96771687946017</v>
      </c>
      <c r="H221" s="871">
        <f>'Peers Stock History'!I224/'Peers Stock History'!I$1833*100</f>
        <v>340.79061685490882</v>
      </c>
      <c r="I221" s="871">
        <f>'Peers Stock History'!J224/'Peers Stock History'!J$1833*100</f>
        <v>185.98318612323081</v>
      </c>
      <c r="J221" s="871">
        <f>'Peers Stock History'!K224/'Peers Stock History'!K$1833*100</f>
        <v>252.2176360612018</v>
      </c>
    </row>
    <row r="222" spans="2:10">
      <c r="B222" s="870">
        <v>44389</v>
      </c>
      <c r="C222" s="871">
        <f>'Peers Stock History'!D225/'Peers Stock History'!D$1833*100</f>
        <v>157.36477115117893</v>
      </c>
      <c r="D222" s="871">
        <f>'Peers Stock History'!E225/'Peers Stock History'!E$1833*100</f>
        <v>752.75229357798162</v>
      </c>
      <c r="E222" s="871">
        <f>'Peers Stock History'!F225/'Peers Stock History'!F$1833*100</f>
        <v>682.78195488721803</v>
      </c>
      <c r="F222" s="871">
        <f>'Peers Stock History'!G225/'Peers Stock History'!G$1833*100</f>
        <v>344.68831165393709</v>
      </c>
      <c r="G222" s="871">
        <f>'Peers Stock History'!H225/'Peers Stock History'!H$1833*100</f>
        <v>235.81241807854747</v>
      </c>
      <c r="H222" s="871">
        <f>'Peers Stock History'!I225/'Peers Stock History'!I$1833*100</f>
        <v>345.61251086012163</v>
      </c>
      <c r="I222" s="871">
        <f>'Peers Stock History'!J225/'Peers Stock History'!J$1833*100</f>
        <v>186.63956581887837</v>
      </c>
      <c r="J222" s="871">
        <f>'Peers Stock History'!K225/'Peers Stock History'!K$1833*100</f>
        <v>253.17281387899868</v>
      </c>
    </row>
    <row r="223" spans="2:10">
      <c r="B223" s="870">
        <v>44388</v>
      </c>
      <c r="C223" s="871">
        <f>'Peers Stock History'!D226/'Peers Stock History'!D$1833*100</f>
        <v>155.3120665742025</v>
      </c>
      <c r="D223" s="871">
        <f>'Peers Stock History'!E226/'Peers Stock History'!E$1833*100</f>
        <v>735.78899082568807</v>
      </c>
      <c r="E223" s="871">
        <f>'Peers Stock History'!F226/'Peers Stock History'!F$1833*100</f>
        <v>683.45864661654139</v>
      </c>
      <c r="F223" s="871">
        <f>'Peers Stock History'!G226/'Peers Stock History'!G$1833*100</f>
        <v>339.88201953569978</v>
      </c>
      <c r="G223" s="871">
        <f>'Peers Stock History'!H226/'Peers Stock History'!H$1833*100</f>
        <v>233.10840332054954</v>
      </c>
      <c r="H223" s="871">
        <f>'Peers Stock History'!I226/'Peers Stock History'!I$1833*100</f>
        <v>342.05039096437878</v>
      </c>
      <c r="I223" s="871">
        <f>'Peers Stock History'!J226/'Peers Stock History'!J$1833*100</f>
        <v>185.99765882728531</v>
      </c>
      <c r="J223" s="871">
        <f>'Peers Stock History'!K226/'Peers Stock History'!K$1833*100</f>
        <v>252.63460058012456</v>
      </c>
    </row>
    <row r="224" spans="2:10">
      <c r="B224" s="870">
        <v>44387</v>
      </c>
      <c r="C224" s="871">
        <f>'Peers Stock History'!D227/'Peers Stock History'!D$1833*100</f>
        <v>155.3120665742025</v>
      </c>
      <c r="D224" s="871">
        <f>'Peers Stock History'!E227/'Peers Stock History'!E$1833*100</f>
        <v>735.78899082568807</v>
      </c>
      <c r="E224" s="871">
        <f>'Peers Stock History'!F227/'Peers Stock History'!F$1833*100</f>
        <v>683.45864661654139</v>
      </c>
      <c r="F224" s="871">
        <f>'Peers Stock History'!G227/'Peers Stock History'!G$1833*100</f>
        <v>339.88201953569978</v>
      </c>
      <c r="G224" s="871">
        <f>'Peers Stock History'!H227/'Peers Stock History'!H$1833*100</f>
        <v>233.10840332054954</v>
      </c>
      <c r="H224" s="871">
        <f>'Peers Stock History'!I227/'Peers Stock History'!I$1833*100</f>
        <v>342.05039096437878</v>
      </c>
      <c r="I224" s="871">
        <f>'Peers Stock History'!J227/'Peers Stock History'!J$1833*100</f>
        <v>185.99765882728531</v>
      </c>
      <c r="J224" s="871">
        <f>'Peers Stock History'!K227/'Peers Stock History'!K$1833*100</f>
        <v>252.63460058012456</v>
      </c>
    </row>
    <row r="225" spans="2:10">
      <c r="B225" s="870">
        <v>44386</v>
      </c>
      <c r="C225" s="871">
        <f>'Peers Stock History'!D228/'Peers Stock History'!D$1833*100</f>
        <v>155.3120665742025</v>
      </c>
      <c r="D225" s="871">
        <f>'Peers Stock History'!E228/'Peers Stock History'!E$1833*100</f>
        <v>735.78899082568807</v>
      </c>
      <c r="E225" s="871">
        <f>'Peers Stock History'!F228/'Peers Stock History'!F$1833*100</f>
        <v>683.45864661654139</v>
      </c>
      <c r="F225" s="871">
        <f>'Peers Stock History'!G228/'Peers Stock History'!G$1833*100</f>
        <v>339.88201953569978</v>
      </c>
      <c r="G225" s="871">
        <f>'Peers Stock History'!H228/'Peers Stock History'!H$1833*100</f>
        <v>233.10840332054954</v>
      </c>
      <c r="H225" s="871">
        <f>'Peers Stock History'!I228/'Peers Stock History'!I$1833*100</f>
        <v>342.05039096437878</v>
      </c>
      <c r="I225" s="871">
        <f>'Peers Stock History'!J228/'Peers Stock History'!J$1833*100</f>
        <v>185.99765882728531</v>
      </c>
      <c r="J225" s="871">
        <f>'Peers Stock History'!K228/'Peers Stock History'!K$1833*100</f>
        <v>252.63460058012456</v>
      </c>
    </row>
    <row r="226" spans="2:10">
      <c r="B226" s="870">
        <v>44385</v>
      </c>
      <c r="C226" s="871">
        <f>'Peers Stock History'!D229/'Peers Stock History'!D$1833*100</f>
        <v>153.6477115117892</v>
      </c>
      <c r="D226" s="871">
        <f>'Peers Stock History'!E229/'Peers Stock History'!E$1833*100</f>
        <v>730.37614678899092</v>
      </c>
      <c r="E226" s="871">
        <f>'Peers Stock History'!F229/'Peers Stock History'!F$1833*100</f>
        <v>674.73684210526312</v>
      </c>
      <c r="F226" s="871">
        <f>'Peers Stock History'!G229/'Peers Stock History'!G$1833*100</f>
        <v>341.39164505357627</v>
      </c>
      <c r="G226" s="871">
        <f>'Peers Stock History'!H229/'Peers Stock History'!H$1833*100</f>
        <v>228.40914607505218</v>
      </c>
      <c r="H226" s="871">
        <f>'Peers Stock History'!I229/'Peers Stock History'!I$1833*100</f>
        <v>334.96959165942661</v>
      </c>
      <c r="I226" s="871">
        <f>'Peers Stock History'!J229/'Peers Stock History'!J$1833*100</f>
        <v>183.92337980206449</v>
      </c>
      <c r="J226" s="871">
        <f>'Peers Stock History'!K229/'Peers Stock History'!K$1833*100</f>
        <v>250.19220062411506</v>
      </c>
    </row>
    <row r="227" spans="2:10">
      <c r="B227" s="870">
        <v>44384</v>
      </c>
      <c r="C227" s="871">
        <f>'Peers Stock History'!D230/'Peers Stock History'!D$1833*100</f>
        <v>155.22884882108187</v>
      </c>
      <c r="D227" s="871">
        <f>'Peers Stock History'!E230/'Peers Stock History'!E$1833*100</f>
        <v>747.58715596330273</v>
      </c>
      <c r="E227" s="871">
        <f>'Peers Stock History'!F230/'Peers Stock History'!F$1833*100</f>
        <v>680.75187969924821</v>
      </c>
      <c r="F227" s="871">
        <f>'Peers Stock History'!G230/'Peers Stock History'!G$1833*100</f>
        <v>345.05996806464634</v>
      </c>
      <c r="G227" s="871">
        <f>'Peers Stock History'!H230/'Peers Stock History'!H$1833*100</f>
        <v>227.94310403417643</v>
      </c>
      <c r="H227" s="871">
        <f>'Peers Stock History'!I230/'Peers Stock History'!I$1833*100</f>
        <v>339.79148566463942</v>
      </c>
      <c r="I227" s="871">
        <f>'Peers Stock History'!J230/'Peers Stock History'!J$1833*100</f>
        <v>185.51154623816112</v>
      </c>
      <c r="J227" s="871">
        <f>'Peers Stock History'!K230/'Peers Stock History'!K$1833*100</f>
        <v>252.00127503677331</v>
      </c>
    </row>
    <row r="228" spans="2:10">
      <c r="B228" s="870">
        <v>44383</v>
      </c>
      <c r="C228" s="871">
        <f>'Peers Stock History'!D231/'Peers Stock History'!D$1833*100</f>
        <v>155.58945908460473</v>
      </c>
      <c r="D228" s="871">
        <f>'Peers Stock History'!E231/'Peers Stock History'!E$1833*100</f>
        <v>759.57798165137615</v>
      </c>
      <c r="E228" s="871">
        <f>'Peers Stock History'!F231/'Peers Stock History'!F$1833*100</f>
        <v>710.30075187969919</v>
      </c>
      <c r="F228" s="871">
        <f>'Peers Stock History'!G231/'Peers Stock History'!G$1833*100</f>
        <v>344.0578740328653</v>
      </c>
      <c r="G228" s="871">
        <f>'Peers Stock History'!H231/'Peers Stock History'!H$1833*100</f>
        <v>229.7587261517549</v>
      </c>
      <c r="H228" s="871">
        <f>'Peers Stock History'!I231/'Peers Stock History'!I$1833*100</f>
        <v>352.21546481320593</v>
      </c>
      <c r="I228" s="871">
        <f>'Peers Stock History'!J231/'Peers Stock History'!J$1833*100</f>
        <v>184.89049696711717</v>
      </c>
      <c r="J228" s="871">
        <f>'Peers Stock History'!K231/'Peers Stock History'!K$1833*100</f>
        <v>251.97682251213175</v>
      </c>
    </row>
    <row r="229" spans="2:10">
      <c r="B229" s="870">
        <v>44382</v>
      </c>
      <c r="C229" s="871">
        <f>'Peers Stock History'!D232/'Peers Stock History'!D$1833*100</f>
        <v>157.44798890429959</v>
      </c>
      <c r="D229" s="871">
        <f>'Peers Stock History'!E232/'Peers Stock History'!E$1833*100</f>
        <v>751.81651376146795</v>
      </c>
      <c r="E229" s="871">
        <f>'Peers Stock History'!F232/'Peers Stock History'!F$1833*100</f>
        <v>712.03007518796994</v>
      </c>
      <c r="F229" s="871">
        <f>'Peers Stock History'!G232/'Peers Stock History'!G$1833*100</f>
        <v>344.74531855031711</v>
      </c>
      <c r="G229" s="871">
        <f>'Peers Stock History'!H232/'Peers Stock History'!H$1833*100</f>
        <v>227.27802320500996</v>
      </c>
      <c r="H229" s="871">
        <f>'Peers Stock History'!I232/'Peers Stock History'!I$1833*100</f>
        <v>348.95742832319723</v>
      </c>
      <c r="I229" s="871">
        <f>'Peers Stock History'!J232/'Peers Stock History'!J$1833*100</f>
        <v>185.26508460146854</v>
      </c>
      <c r="J229" s="871">
        <f>'Peers Stock History'!K232/'Peers Stock History'!K$1833*100</f>
        <v>251.55899880400864</v>
      </c>
    </row>
    <row r="230" spans="2:10">
      <c r="B230" s="870">
        <v>44381</v>
      </c>
      <c r="C230" s="871">
        <f>'Peers Stock History'!D233/'Peers Stock History'!D$1833*100</f>
        <v>157.44798890429959</v>
      </c>
      <c r="D230" s="871">
        <f>'Peers Stock History'!E233/'Peers Stock History'!E$1833*100</f>
        <v>751.81651376146795</v>
      </c>
      <c r="E230" s="871">
        <f>'Peers Stock History'!F233/'Peers Stock History'!F$1833*100</f>
        <v>712.03007518796994</v>
      </c>
      <c r="F230" s="871">
        <f>'Peers Stock History'!G233/'Peers Stock History'!G$1833*100</f>
        <v>342.89697476648485</v>
      </c>
      <c r="G230" s="871">
        <f>'Peers Stock History'!H233/'Peers Stock History'!H$1833*100</f>
        <v>227.27802320500996</v>
      </c>
      <c r="H230" s="871">
        <f>'Peers Stock History'!I233/'Peers Stock History'!I$1833*100</f>
        <v>348.95742832319723</v>
      </c>
      <c r="I230" s="871">
        <f>'Peers Stock History'!J233/'Peers Stock History'!J$1833*100</f>
        <v>185.26508460146854</v>
      </c>
      <c r="J230" s="871">
        <f>'Peers Stock History'!K233/'Peers Stock History'!K$1833*100</f>
        <v>251.55899880400864</v>
      </c>
    </row>
    <row r="231" spans="2:10">
      <c r="B231" s="870">
        <v>44380</v>
      </c>
      <c r="C231" s="871">
        <f>'Peers Stock History'!D234/'Peers Stock History'!D$1833*100</f>
        <v>157.44798890429959</v>
      </c>
      <c r="D231" s="871">
        <f>'Peers Stock History'!E234/'Peers Stock History'!E$1833*100</f>
        <v>751.81651376146795</v>
      </c>
      <c r="E231" s="871">
        <f>'Peers Stock History'!F234/'Peers Stock History'!F$1833*100</f>
        <v>712.03007518796994</v>
      </c>
      <c r="F231" s="871">
        <f>'Peers Stock History'!G234/'Peers Stock History'!G$1833*100</f>
        <v>342.89697476648485</v>
      </c>
      <c r="G231" s="871">
        <f>'Peers Stock History'!H234/'Peers Stock History'!H$1833*100</f>
        <v>227.27802320500996</v>
      </c>
      <c r="H231" s="871">
        <f>'Peers Stock History'!I234/'Peers Stock History'!I$1833*100</f>
        <v>348.95742832319723</v>
      </c>
      <c r="I231" s="871">
        <f>'Peers Stock History'!J234/'Peers Stock History'!J$1833*100</f>
        <v>185.26508460146854</v>
      </c>
      <c r="J231" s="871">
        <f>'Peers Stock History'!K234/'Peers Stock History'!K$1833*100</f>
        <v>251.55899880400864</v>
      </c>
    </row>
    <row r="232" spans="2:10">
      <c r="B232" s="870">
        <v>44379</v>
      </c>
      <c r="C232" s="871">
        <f>'Peers Stock History'!D235/'Peers Stock History'!D$1833*100</f>
        <v>157.44798890429959</v>
      </c>
      <c r="D232" s="871">
        <f>'Peers Stock History'!E235/'Peers Stock History'!E$1833*100</f>
        <v>751.81651376146795</v>
      </c>
      <c r="E232" s="871">
        <f>'Peers Stock History'!F235/'Peers Stock History'!F$1833*100</f>
        <v>712.03007518796994</v>
      </c>
      <c r="F232" s="871">
        <f>'Peers Stock History'!G235/'Peers Stock History'!G$1833*100</f>
        <v>342.89697476648485</v>
      </c>
      <c r="G232" s="871">
        <f>'Peers Stock History'!H235/'Peers Stock History'!H$1833*100</f>
        <v>227.27802320500996</v>
      </c>
      <c r="H232" s="871">
        <f>'Peers Stock History'!I235/'Peers Stock History'!I$1833*100</f>
        <v>348.95742832319723</v>
      </c>
      <c r="I232" s="871">
        <f>'Peers Stock History'!J235/'Peers Stock History'!J$1833*100</f>
        <v>185.26508460146854</v>
      </c>
      <c r="J232" s="871">
        <f>'Peers Stock History'!K235/'Peers Stock History'!K$1833*100</f>
        <v>251.55899880400864</v>
      </c>
    </row>
    <row r="233" spans="2:10">
      <c r="B233" s="870">
        <v>44378</v>
      </c>
      <c r="C233" s="871">
        <f>'Peers Stock History'!D236/'Peers Stock History'!D$1833*100</f>
        <v>155.36754507628294</v>
      </c>
      <c r="D233" s="871">
        <f>'Peers Stock History'!E236/'Peers Stock History'!E$1833*100</f>
        <v>741.72477064220186</v>
      </c>
      <c r="E233" s="871">
        <f>'Peers Stock History'!F236/'Peers Stock History'!F$1833*100</f>
        <v>701.57894736842104</v>
      </c>
      <c r="F233" s="871">
        <f>'Peers Stock History'!G236/'Peers Stock History'!G$1833*100</f>
        <v>345.49074495709613</v>
      </c>
      <c r="G233" s="871">
        <f>'Peers Stock History'!H236/'Peers Stock History'!H$1833*100</f>
        <v>227.99165008010095</v>
      </c>
      <c r="H233" s="871">
        <f>'Peers Stock History'!I236/'Peers Stock History'!I$1833*100</f>
        <v>348.00173761946132</v>
      </c>
      <c r="I233" s="871">
        <f>'Peers Stock History'!J236/'Peers Stock History'!J$1833*100</f>
        <v>183.88592103862933</v>
      </c>
      <c r="J233" s="871">
        <f>'Peers Stock History'!K236/'Peers Stock History'!K$1833*100</f>
        <v>249.54937244820812</v>
      </c>
    </row>
    <row r="234" spans="2:10">
      <c r="B234" s="870">
        <v>44377</v>
      </c>
      <c r="C234" s="871">
        <f>'Peers Stock History'!D237/'Peers Stock History'!D$1833*100</f>
        <v>155.72815533980585</v>
      </c>
      <c r="D234" s="871">
        <f>'Peers Stock History'!E237/'Peers Stock History'!E$1833*100</f>
        <v>734.03669724770646</v>
      </c>
      <c r="E234" s="871">
        <f>'Peers Stock History'!F237/'Peers Stock History'!F$1833*100</f>
        <v>706.24060150375942</v>
      </c>
      <c r="F234" s="871">
        <f>'Peers Stock History'!G237/'Peers Stock History'!G$1833*100</f>
        <v>346.75532839470753</v>
      </c>
      <c r="G234" s="871">
        <f>'Peers Stock History'!H237/'Peers Stock History'!H$1833*100</f>
        <v>231.48696538666923</v>
      </c>
      <c r="H234" s="871">
        <f>'Peers Stock History'!I237/'Peers Stock History'!I$1833*100</f>
        <v>369.15725456125108</v>
      </c>
      <c r="I234" s="871">
        <f>'Peers Stock History'!J237/'Peers Stock History'!J$1833*100</f>
        <v>182.9307225710333</v>
      </c>
      <c r="J234" s="871">
        <f>'Peers Stock History'!K237/'Peers Stock History'!K$1833*100</f>
        <v>249.23279559545247</v>
      </c>
    </row>
    <row r="235" spans="2:10">
      <c r="B235" s="870">
        <v>44376</v>
      </c>
      <c r="C235" s="871">
        <f>'Peers Stock History'!D238/'Peers Stock History'!D$1833*100</f>
        <v>157.42024965325939</v>
      </c>
      <c r="D235" s="871">
        <f>'Peers Stock History'!E238/'Peers Stock History'!E$1833*100</f>
        <v>734.9266055045872</v>
      </c>
      <c r="E235" s="871">
        <f>'Peers Stock History'!F238/'Peers Stock History'!F$1833*100</f>
        <v>673.08270676691723</v>
      </c>
      <c r="F235" s="871">
        <f>'Peers Stock History'!G238/'Peers Stock History'!G$1833*100</f>
        <v>346.48224383323662</v>
      </c>
      <c r="G235" s="871">
        <f>'Peers Stock History'!H238/'Peers Stock History'!H$1833*100</f>
        <v>231.63745812903537</v>
      </c>
      <c r="H235" s="871">
        <f>'Peers Stock History'!I238/'Peers Stock History'!I$1833*100</f>
        <v>360.25195482189406</v>
      </c>
      <c r="I235" s="871">
        <f>'Peers Stock History'!J238/'Peers Stock History'!J$1833*100</f>
        <v>182.68809194423753</v>
      </c>
      <c r="J235" s="871">
        <f>'Peers Stock History'!K238/'Peers Stock History'!K$1833*100</f>
        <v>249.65177061710406</v>
      </c>
    </row>
    <row r="236" spans="2:10">
      <c r="B236" s="870">
        <v>44375</v>
      </c>
      <c r="C236" s="871">
        <f>'Peers Stock History'!D239/'Peers Stock History'!D$1833*100</f>
        <v>159.44521497919558</v>
      </c>
      <c r="D236" s="871">
        <f>'Peers Stock History'!E239/'Peers Stock History'!E$1833*100</f>
        <v>733.39449541284398</v>
      </c>
      <c r="E236" s="871">
        <f>'Peers Stock History'!F239/'Peers Stock History'!F$1833*100</f>
        <v>654.73684210526312</v>
      </c>
      <c r="F236" s="871">
        <f>'Peers Stock History'!G239/'Peers Stock History'!G$1833*100</f>
        <v>344.18667752001022</v>
      </c>
      <c r="G236" s="871">
        <f>'Peers Stock History'!H239/'Peers Stock History'!H$1833*100</f>
        <v>229.52570513131704</v>
      </c>
      <c r="H236" s="871">
        <f>'Peers Stock History'!I239/'Peers Stock History'!I$1833*100</f>
        <v>362.20677671589925</v>
      </c>
      <c r="I236" s="871">
        <f>'Peers Stock History'!J239/'Peers Stock History'!J$1833*100</f>
        <v>182.63743748004683</v>
      </c>
      <c r="J236" s="871">
        <f>'Peers Stock History'!K239/'Peers Stock History'!K$1833*100</f>
        <v>249.1735974595494</v>
      </c>
    </row>
    <row r="237" spans="2:10">
      <c r="B237" s="870">
        <v>44374</v>
      </c>
      <c r="C237" s="871">
        <f>'Peers Stock History'!D240/'Peers Stock History'!D$1833*100</f>
        <v>155.09015256588071</v>
      </c>
      <c r="D237" s="871">
        <f>'Peers Stock History'!E240/'Peers Stock History'!E$1833*100</f>
        <v>698.38532110091739</v>
      </c>
      <c r="E237" s="871">
        <f>'Peers Stock History'!F240/'Peers Stock History'!F$1833*100</f>
        <v>643.75939849624069</v>
      </c>
      <c r="F237" s="871">
        <f>'Peers Stock History'!G240/'Peers Stock History'!G$1833*100</f>
        <v>344.65880470397553</v>
      </c>
      <c r="G237" s="871">
        <f>'Peers Stock History'!H240/'Peers Stock History'!H$1833*100</f>
        <v>224.37982426331376</v>
      </c>
      <c r="H237" s="871">
        <f>'Peers Stock History'!I240/'Peers Stock History'!I$1833*100</f>
        <v>356.34231103388362</v>
      </c>
      <c r="I237" s="871">
        <f>'Peers Stock History'!J240/'Peers Stock History'!J$1833*100</f>
        <v>182.21560072363519</v>
      </c>
      <c r="J237" s="871">
        <f>'Peers Stock History'!K240/'Peers Stock History'!K$1833*100</f>
        <v>246.76580564452939</v>
      </c>
    </row>
    <row r="238" spans="2:10">
      <c r="B238" s="870">
        <v>44373</v>
      </c>
      <c r="C238" s="871">
        <f>'Peers Stock History'!D241/'Peers Stock History'!D$1833*100</f>
        <v>155.09015256588071</v>
      </c>
      <c r="D238" s="871">
        <f>'Peers Stock History'!E241/'Peers Stock History'!E$1833*100</f>
        <v>698.38532110091739</v>
      </c>
      <c r="E238" s="871">
        <f>'Peers Stock History'!F241/'Peers Stock History'!F$1833*100</f>
        <v>643.75939849624069</v>
      </c>
      <c r="F238" s="871">
        <f>'Peers Stock History'!G241/'Peers Stock History'!G$1833*100</f>
        <v>344.65880470397553</v>
      </c>
      <c r="G238" s="871">
        <f>'Peers Stock History'!H241/'Peers Stock History'!H$1833*100</f>
        <v>224.37982426331376</v>
      </c>
      <c r="H238" s="871">
        <f>'Peers Stock History'!I241/'Peers Stock History'!I$1833*100</f>
        <v>356.34231103388362</v>
      </c>
      <c r="I238" s="871">
        <f>'Peers Stock History'!J241/'Peers Stock History'!J$1833*100</f>
        <v>182.21560072363519</v>
      </c>
      <c r="J238" s="871">
        <f>'Peers Stock History'!K241/'Peers Stock History'!K$1833*100</f>
        <v>246.76580564452939</v>
      </c>
    </row>
    <row r="239" spans="2:10">
      <c r="B239" s="870">
        <v>44372</v>
      </c>
      <c r="C239" s="871">
        <f>'Peers Stock History'!D242/'Peers Stock History'!D$1833*100</f>
        <v>155.09015256588071</v>
      </c>
      <c r="D239" s="871">
        <f>'Peers Stock History'!E242/'Peers Stock History'!E$1833*100</f>
        <v>698.38532110091739</v>
      </c>
      <c r="E239" s="871">
        <f>'Peers Stock History'!F242/'Peers Stock History'!F$1833*100</f>
        <v>643.75939849624069</v>
      </c>
      <c r="F239" s="871">
        <f>'Peers Stock History'!G242/'Peers Stock History'!G$1833*100</f>
        <v>344.65880470397553</v>
      </c>
      <c r="G239" s="871">
        <f>'Peers Stock History'!H242/'Peers Stock History'!H$1833*100</f>
        <v>224.37982426331376</v>
      </c>
      <c r="H239" s="871">
        <f>'Peers Stock History'!I242/'Peers Stock History'!I$1833*100</f>
        <v>356.34231103388362</v>
      </c>
      <c r="I239" s="871">
        <f>'Peers Stock History'!J242/'Peers Stock History'!J$1833*100</f>
        <v>182.21560072363519</v>
      </c>
      <c r="J239" s="871">
        <f>'Peers Stock History'!K242/'Peers Stock History'!K$1833*100</f>
        <v>246.76580564452939</v>
      </c>
    </row>
    <row r="240" spans="2:10">
      <c r="B240" s="870">
        <v>44371</v>
      </c>
      <c r="C240" s="871">
        <f>'Peers Stock History'!D243/'Peers Stock History'!D$1833*100</f>
        <v>155.53398058252426</v>
      </c>
      <c r="D240" s="871">
        <f>'Peers Stock History'!E243/'Peers Stock History'!E$1833*100</f>
        <v>704.78899082568807</v>
      </c>
      <c r="E240" s="871">
        <f>'Peers Stock History'!F243/'Peers Stock History'!F$1833*100</f>
        <v>647.36842105263145</v>
      </c>
      <c r="F240" s="871">
        <f>'Peers Stock History'!G243/'Peers Stock History'!G$1833*100</f>
        <v>343.9030207340374</v>
      </c>
      <c r="G240" s="871">
        <f>'Peers Stock History'!H243/'Peers Stock History'!H$1833*100</f>
        <v>228.1955434729841</v>
      </c>
      <c r="H240" s="871">
        <f>'Peers Stock History'!I243/'Peers Stock History'!I$1833*100</f>
        <v>350.04344048653343</v>
      </c>
      <c r="I240" s="871">
        <f>'Peers Stock History'!J243/'Peers Stock History'!J$1833*100</f>
        <v>181.61072682771095</v>
      </c>
      <c r="J240" s="871">
        <f>'Peers Stock History'!K243/'Peers Stock History'!K$1833*100</f>
        <v>246.92597569525594</v>
      </c>
    </row>
    <row r="241" spans="2:10">
      <c r="B241" s="870">
        <v>44370</v>
      </c>
      <c r="C241" s="871">
        <f>'Peers Stock History'!D244/'Peers Stock History'!D$1833*100</f>
        <v>153.28710124826631</v>
      </c>
      <c r="D241" s="871">
        <f>'Peers Stock History'!E244/'Peers Stock History'!E$1833*100</f>
        <v>699.34862385321094</v>
      </c>
      <c r="E241" s="871">
        <f>'Peers Stock History'!F244/'Peers Stock History'!F$1833*100</f>
        <v>630.22556390977434</v>
      </c>
      <c r="F241" s="871">
        <f>'Peers Stock History'!G244/'Peers Stock History'!G$1833*100</f>
        <v>346.09817211905482</v>
      </c>
      <c r="G241" s="871">
        <f>'Peers Stock History'!H244/'Peers Stock History'!H$1833*100</f>
        <v>226.5449779115491</v>
      </c>
      <c r="H241" s="871">
        <f>'Peers Stock History'!I244/'Peers Stock History'!I$1833*100</f>
        <v>343.26672458731537</v>
      </c>
      <c r="I241" s="871">
        <f>'Peers Stock History'!J244/'Peers Stock History'!J$1833*100</f>
        <v>180.56145578376078</v>
      </c>
      <c r="J241" s="871">
        <f>'Peers Stock History'!K244/'Peers Stock History'!K$1833*100</f>
        <v>245.24237727341466</v>
      </c>
    </row>
    <row r="242" spans="2:10">
      <c r="B242" s="870">
        <v>44369</v>
      </c>
      <c r="C242" s="871">
        <f>'Peers Stock History'!D245/'Peers Stock History'!D$1833*100</f>
        <v>154.97919556171985</v>
      </c>
      <c r="D242" s="871">
        <f>'Peers Stock History'!E245/'Peers Stock History'!E$1833*100</f>
        <v>693.09174311926608</v>
      </c>
      <c r="E242" s="871">
        <f>'Peers Stock History'!F245/'Peers Stock History'!F$1833*100</f>
        <v>628.42105263157896</v>
      </c>
      <c r="F242" s="871">
        <f>'Peers Stock History'!G245/'Peers Stock History'!G$1833*100</f>
        <v>335.86137358239563</v>
      </c>
      <c r="G242" s="871">
        <f>'Peers Stock History'!H245/'Peers Stock History'!H$1833*100</f>
        <v>225.47211029661631</v>
      </c>
      <c r="H242" s="871">
        <f>'Peers Stock History'!I245/'Peers Stock History'!I$1833*100</f>
        <v>337.35881841876625</v>
      </c>
      <c r="I242" s="871">
        <f>'Peers Stock History'!J245/'Peers Stock History'!J$1833*100</f>
        <v>180.75726295626262</v>
      </c>
      <c r="J242" s="871">
        <f>'Peers Stock History'!K245/'Peers Stock History'!K$1833*100</f>
        <v>244.92507870173074</v>
      </c>
    </row>
    <row r="243" spans="2:10">
      <c r="B243" s="870">
        <v>44368</v>
      </c>
      <c r="C243" s="871">
        <f>'Peers Stock History'!D246/'Peers Stock History'!D$1833*100</f>
        <v>154.97919556171985</v>
      </c>
      <c r="D243" s="871">
        <f>'Peers Stock History'!E246/'Peers Stock History'!E$1833*100</f>
        <v>676.22935779816521</v>
      </c>
      <c r="E243" s="871">
        <f>'Peers Stock History'!F246/'Peers Stock History'!F$1833*100</f>
        <v>620.97744360902254</v>
      </c>
      <c r="F243" s="871">
        <f>'Peers Stock History'!G246/'Peers Stock History'!G$1833*100</f>
        <v>339.95681013281438</v>
      </c>
      <c r="G243" s="871">
        <f>'Peers Stock History'!H246/'Peers Stock History'!H$1833*100</f>
        <v>225.54978397009563</v>
      </c>
      <c r="H243" s="871">
        <f>'Peers Stock History'!I246/'Peers Stock History'!I$1833*100</f>
        <v>334.79582971329279</v>
      </c>
      <c r="I243" s="871">
        <f>'Peers Stock History'!J246/'Peers Stock History'!J$1833*100</f>
        <v>179.83569224220494</v>
      </c>
      <c r="J243" s="871">
        <f>'Peers Stock History'!K246/'Peers Stock History'!K$1833*100</f>
        <v>243.00413785518882</v>
      </c>
    </row>
    <row r="244" spans="2:10">
      <c r="B244" s="870">
        <v>44367</v>
      </c>
      <c r="C244" s="871">
        <f>'Peers Stock History'!D247/'Peers Stock History'!D$1833*100</f>
        <v>154.4244105409154</v>
      </c>
      <c r="D244" s="871">
        <f>'Peers Stock History'!E247/'Peers Stock History'!E$1833*100</f>
        <v>683.99082568807341</v>
      </c>
      <c r="E244" s="871">
        <f>'Peers Stock History'!F247/'Peers Stock History'!F$1833*100</f>
        <v>636.46616541353387</v>
      </c>
      <c r="F244" s="871">
        <f>'Peers Stock History'!G247/'Peers Stock History'!G$1833*100</f>
        <v>352.96027662261326</v>
      </c>
      <c r="G244" s="871">
        <f>'Peers Stock History'!H247/'Peers Stock History'!H$1833*100</f>
        <v>225.01092286033301</v>
      </c>
      <c r="H244" s="871">
        <f>'Peers Stock History'!I247/'Peers Stock History'!I$1833*100</f>
        <v>334.27454387489144</v>
      </c>
      <c r="I244" s="871">
        <f>'Peers Stock History'!J247/'Peers Stock History'!J$1833*100</f>
        <v>177.35234649356178</v>
      </c>
      <c r="J244" s="871">
        <f>'Peers Stock History'!K247/'Peers Stock History'!K$1833*100</f>
        <v>241.09495071690748</v>
      </c>
    </row>
    <row r="245" spans="2:10">
      <c r="B245" s="870">
        <v>44366</v>
      </c>
      <c r="C245" s="871">
        <f>'Peers Stock History'!D248/'Peers Stock History'!D$1833*100</f>
        <v>154.4244105409154</v>
      </c>
      <c r="D245" s="871">
        <f>'Peers Stock History'!E248/'Peers Stock History'!E$1833*100</f>
        <v>683.99082568807341</v>
      </c>
      <c r="E245" s="871">
        <f>'Peers Stock History'!F248/'Peers Stock History'!F$1833*100</f>
        <v>636.46616541353387</v>
      </c>
      <c r="F245" s="871">
        <f>'Peers Stock History'!G248/'Peers Stock History'!G$1833*100</f>
        <v>352.96027662261326</v>
      </c>
      <c r="G245" s="871">
        <f>'Peers Stock History'!H248/'Peers Stock History'!H$1833*100</f>
        <v>225.01092286033301</v>
      </c>
      <c r="H245" s="871">
        <f>'Peers Stock History'!I248/'Peers Stock History'!I$1833*100</f>
        <v>334.27454387489144</v>
      </c>
      <c r="I245" s="871">
        <f>'Peers Stock History'!J248/'Peers Stock History'!J$1833*100</f>
        <v>177.35234649356178</v>
      </c>
      <c r="J245" s="871">
        <f>'Peers Stock History'!K248/'Peers Stock History'!K$1833*100</f>
        <v>241.09495071690748</v>
      </c>
    </row>
    <row r="246" spans="2:10">
      <c r="B246" s="870">
        <v>44365</v>
      </c>
      <c r="C246" s="871">
        <f>'Peers Stock History'!D249/'Peers Stock History'!D$1833*100</f>
        <v>154.4244105409154</v>
      </c>
      <c r="D246" s="871">
        <f>'Peers Stock History'!E249/'Peers Stock History'!E$1833*100</f>
        <v>683.99082568807341</v>
      </c>
      <c r="E246" s="871">
        <f>'Peers Stock History'!F249/'Peers Stock History'!F$1833*100</f>
        <v>636.46616541353387</v>
      </c>
      <c r="F246" s="871">
        <f>'Peers Stock History'!G249/'Peers Stock History'!G$1833*100</f>
        <v>352.96027662261326</v>
      </c>
      <c r="G246" s="871">
        <f>'Peers Stock History'!H249/'Peers Stock History'!H$1833*100</f>
        <v>225.01092286033301</v>
      </c>
      <c r="H246" s="871">
        <f>'Peers Stock History'!I249/'Peers Stock History'!I$1833*100</f>
        <v>334.27454387489144</v>
      </c>
      <c r="I246" s="871">
        <f>'Peers Stock History'!J249/'Peers Stock History'!J$1833*100</f>
        <v>177.35234649356178</v>
      </c>
      <c r="J246" s="871">
        <f>'Peers Stock History'!K249/'Peers Stock History'!K$1833*100</f>
        <v>241.09495071690748</v>
      </c>
    </row>
    <row r="247" spans="2:10">
      <c r="B247" s="870">
        <v>44364</v>
      </c>
      <c r="C247" s="871">
        <f>'Peers Stock History'!D250/'Peers Stock History'!D$1833*100</f>
        <v>158.61303744798892</v>
      </c>
      <c r="D247" s="871">
        <f>'Peers Stock History'!E250/'Peers Stock History'!E$1833*100</f>
        <v>684.66972477064212</v>
      </c>
      <c r="E247" s="871">
        <f>'Peers Stock History'!F250/'Peers Stock History'!F$1833*100</f>
        <v>635.78947368421052</v>
      </c>
      <c r="F247" s="871">
        <f>'Peers Stock History'!G250/'Peers Stock History'!G$1833*100</f>
        <v>354.98453852793011</v>
      </c>
      <c r="G247" s="871">
        <f>'Peers Stock History'!H250/'Peers Stock History'!H$1833*100</f>
        <v>228.73440458274672</v>
      </c>
      <c r="H247" s="871">
        <f>'Peers Stock History'!I250/'Peers Stock History'!I$1833*100</f>
        <v>350.30408340573416</v>
      </c>
      <c r="I247" s="871">
        <f>'Peers Stock History'!J250/'Peers Stock History'!J$1833*100</f>
        <v>179.71097158667661</v>
      </c>
      <c r="J247" s="871">
        <f>'Peers Stock History'!K250/'Peers Stock History'!K$1833*100</f>
        <v>243.34557964340212</v>
      </c>
    </row>
    <row r="248" spans="2:10">
      <c r="B248" s="870">
        <v>44363</v>
      </c>
      <c r="C248" s="871">
        <f>'Peers Stock History'!D251/'Peers Stock History'!D$1833*100</f>
        <v>158.72399445214981</v>
      </c>
      <c r="D248" s="871">
        <f>'Peers Stock History'!E251/'Peers Stock History'!E$1833*100</f>
        <v>653.58715596330273</v>
      </c>
      <c r="E248" s="871">
        <f>'Peers Stock History'!F251/'Peers Stock History'!F$1833*100</f>
        <v>602.33082706766913</v>
      </c>
      <c r="F248" s="871">
        <f>'Peers Stock History'!G251/'Peers Stock History'!G$1833*100</f>
        <v>354.39875546105219</v>
      </c>
      <c r="G248" s="871">
        <f>'Peers Stock History'!H251/'Peers Stock History'!H$1833*100</f>
        <v>226.10320889363561</v>
      </c>
      <c r="H248" s="871">
        <f>'Peers Stock History'!I251/'Peers Stock History'!I$1833*100</f>
        <v>349.65247610773235</v>
      </c>
      <c r="I248" s="871">
        <f>'Peers Stock History'!J251/'Peers Stock History'!J$1833*100</f>
        <v>179.78929445567732</v>
      </c>
      <c r="J248" s="871">
        <f>'Peers Stock History'!K251/'Peers Stock History'!K$1833*100</f>
        <v>241.25489737844191</v>
      </c>
    </row>
    <row r="249" spans="2:10">
      <c r="B249" s="870">
        <v>44362</v>
      </c>
      <c r="C249" s="871">
        <f>'Peers Stock History'!D252/'Peers Stock History'!D$1833*100</f>
        <v>160.8599167822469</v>
      </c>
      <c r="D249" s="871">
        <f>'Peers Stock History'!E252/'Peers Stock History'!E$1833*100</f>
        <v>652.78899082568807</v>
      </c>
      <c r="E249" s="871">
        <f>'Peers Stock History'!F252/'Peers Stock History'!F$1833*100</f>
        <v>605.03759398496243</v>
      </c>
      <c r="F249" s="871">
        <f>'Peers Stock History'!G252/'Peers Stock History'!G$1833*100</f>
        <v>358.16060094801958</v>
      </c>
      <c r="G249" s="871">
        <f>'Peers Stock History'!H252/'Peers Stock History'!H$1833*100</f>
        <v>228.52565658527112</v>
      </c>
      <c r="H249" s="871">
        <f>'Peers Stock History'!I252/'Peers Stock History'!I$1833*100</f>
        <v>356.99391833188537</v>
      </c>
      <c r="I249" s="871">
        <f>'Peers Stock History'!J252/'Peers Stock History'!J$1833*100</f>
        <v>180.76364797275727</v>
      </c>
      <c r="J249" s="871">
        <f>'Peers Stock History'!K252/'Peers Stock History'!K$1833*100</f>
        <v>241.82491786151249</v>
      </c>
    </row>
    <row r="250" spans="2:10">
      <c r="B250" s="870">
        <v>44361</v>
      </c>
      <c r="C250" s="871">
        <f>'Peers Stock History'!D253/'Peers Stock History'!D$1833*100</f>
        <v>161.41470180305134</v>
      </c>
      <c r="D250" s="871">
        <f>'Peers Stock History'!E253/'Peers Stock History'!E$1833*100</f>
        <v>661.23853211009168</v>
      </c>
      <c r="E250" s="871">
        <f>'Peers Stock History'!F253/'Peers Stock History'!F$1833*100</f>
        <v>613.15789473684208</v>
      </c>
      <c r="F250" s="871">
        <f>'Peers Stock History'!G253/'Peers Stock History'!G$1833*100</f>
        <v>354.28717672485971</v>
      </c>
      <c r="G250" s="871">
        <f>'Peers Stock History'!H253/'Peers Stock History'!H$1833*100</f>
        <v>230.99665032283121</v>
      </c>
      <c r="H250" s="871">
        <f>'Peers Stock History'!I253/'Peers Stock History'!I$1833*100</f>
        <v>349.65247610773235</v>
      </c>
      <c r="I250" s="871">
        <f>'Peers Stock History'!J253/'Peers Stock History'!J$1833*100</f>
        <v>181.12801958071722</v>
      </c>
      <c r="J250" s="871">
        <f>'Peers Stock History'!K253/'Peers Stock History'!K$1833*100</f>
        <v>243.56541179219997</v>
      </c>
    </row>
    <row r="251" spans="2:10">
      <c r="B251" s="870">
        <v>44360</v>
      </c>
      <c r="C251" s="871">
        <f>'Peers Stock History'!D254/'Peers Stock History'!D$1833*100</f>
        <v>160.47156726768378</v>
      </c>
      <c r="D251" s="871">
        <f>'Peers Stock History'!E254/'Peers Stock History'!E$1833*100</f>
        <v>654.13761467889901</v>
      </c>
      <c r="E251" s="871">
        <f>'Peers Stock History'!F254/'Peers Stock History'!F$1833*100</f>
        <v>611.35338345864659</v>
      </c>
      <c r="F251" s="871">
        <f>'Peers Stock History'!G254/'Peers Stock History'!G$1833*100</f>
        <v>354.28717672485971</v>
      </c>
      <c r="G251" s="871">
        <f>'Peers Stock History'!H254/'Peers Stock History'!H$1833*100</f>
        <v>228.50623816690128</v>
      </c>
      <c r="H251" s="871">
        <f>'Peers Stock History'!I254/'Peers Stock History'!I$1833*100</f>
        <v>344.65682015638578</v>
      </c>
      <c r="I251" s="871">
        <f>'Peers Stock History'!J254/'Peers Stock History'!J$1833*100</f>
        <v>180.79982973289347</v>
      </c>
      <c r="J251" s="871">
        <f>'Peers Stock History'!K254/'Peers Stock History'!K$1833*100</f>
        <v>241.76592593101748</v>
      </c>
    </row>
    <row r="252" spans="2:10">
      <c r="B252" s="870">
        <v>44359</v>
      </c>
      <c r="C252" s="871">
        <f>'Peers Stock History'!D255/'Peers Stock History'!D$1833*100</f>
        <v>160.47156726768378</v>
      </c>
      <c r="D252" s="871">
        <f>'Peers Stock History'!E255/'Peers Stock History'!E$1833*100</f>
        <v>654.13761467889901</v>
      </c>
      <c r="E252" s="871">
        <f>'Peers Stock History'!F255/'Peers Stock History'!F$1833*100</f>
        <v>611.35338345864659</v>
      </c>
      <c r="F252" s="871">
        <f>'Peers Stock History'!G255/'Peers Stock History'!G$1833*100</f>
        <v>354.28717672485971</v>
      </c>
      <c r="G252" s="871">
        <f>'Peers Stock History'!H255/'Peers Stock History'!H$1833*100</f>
        <v>228.50623816690128</v>
      </c>
      <c r="H252" s="871">
        <f>'Peers Stock History'!I255/'Peers Stock History'!I$1833*100</f>
        <v>344.65682015638578</v>
      </c>
      <c r="I252" s="871">
        <f>'Peers Stock History'!J255/'Peers Stock History'!J$1833*100</f>
        <v>180.79982973289347</v>
      </c>
      <c r="J252" s="871">
        <f>'Peers Stock History'!K255/'Peers Stock History'!K$1833*100</f>
        <v>241.76592593101748</v>
      </c>
    </row>
    <row r="253" spans="2:10">
      <c r="B253" s="870">
        <v>44358</v>
      </c>
      <c r="C253" s="871">
        <f>'Peers Stock History'!D256/'Peers Stock History'!D$1833*100</f>
        <v>160.47156726768378</v>
      </c>
      <c r="D253" s="871">
        <f>'Peers Stock History'!E256/'Peers Stock History'!E$1833*100</f>
        <v>654.13761467889901</v>
      </c>
      <c r="E253" s="871">
        <f>'Peers Stock History'!F256/'Peers Stock History'!F$1833*100</f>
        <v>611.35338345864659</v>
      </c>
      <c r="F253" s="871">
        <f>'Peers Stock History'!G256/'Peers Stock History'!G$1833*100</f>
        <v>354.28717672485971</v>
      </c>
      <c r="G253" s="871">
        <f>'Peers Stock History'!H256/'Peers Stock History'!H$1833*100</f>
        <v>228.50623816690128</v>
      </c>
      <c r="H253" s="871">
        <f>'Peers Stock History'!I256/'Peers Stock History'!I$1833*100</f>
        <v>344.65682015638578</v>
      </c>
      <c r="I253" s="871">
        <f>'Peers Stock History'!J256/'Peers Stock History'!J$1833*100</f>
        <v>180.79982973289347</v>
      </c>
      <c r="J253" s="871">
        <f>'Peers Stock History'!K256/'Peers Stock History'!K$1833*100</f>
        <v>241.76592593101748</v>
      </c>
    </row>
    <row r="254" spans="2:10">
      <c r="B254" s="870">
        <v>44357</v>
      </c>
      <c r="C254" s="871">
        <f>'Peers Stock History'!D257/'Peers Stock History'!D$1833*100</f>
        <v>159.16782246879336</v>
      </c>
      <c r="D254" s="871">
        <f>'Peers Stock History'!E257/'Peers Stock History'!E$1833*100</f>
        <v>639.44954128440361</v>
      </c>
      <c r="E254" s="871">
        <f>'Peers Stock History'!F257/'Peers Stock History'!F$1833*100</f>
        <v>613.23308270676694</v>
      </c>
      <c r="F254" s="871">
        <f>'Peers Stock History'!G257/'Peers Stock History'!G$1833*100</f>
        <v>352.19034461814755</v>
      </c>
      <c r="G254" s="871">
        <f>'Peers Stock History'!H257/'Peers Stock History'!H$1833*100</f>
        <v>227.52075343463275</v>
      </c>
      <c r="H254" s="871">
        <f>'Peers Stock History'!I257/'Peers Stock History'!I$1833*100</f>
        <v>344.3961772371851</v>
      </c>
      <c r="I254" s="871">
        <f>'Peers Stock History'!J257/'Peers Stock History'!J$1833*100</f>
        <v>180.44822815792276</v>
      </c>
      <c r="J254" s="871">
        <f>'Peers Stock History'!K257/'Peers Stock History'!K$1833*100</f>
        <v>240.92237397412811</v>
      </c>
    </row>
    <row r="255" spans="2:10">
      <c r="B255" s="870">
        <v>44356</v>
      </c>
      <c r="C255" s="871">
        <f>'Peers Stock History'!D258/'Peers Stock History'!D$1833*100</f>
        <v>158.11373092926493</v>
      </c>
      <c r="D255" s="871">
        <f>'Peers Stock History'!E258/'Peers Stock History'!E$1833*100</f>
        <v>637</v>
      </c>
      <c r="E255" s="871">
        <f>'Peers Stock History'!F258/'Peers Stock History'!F$1833*100</f>
        <v>601.20300751879688</v>
      </c>
      <c r="F255" s="871">
        <f>'Peers Stock History'!G258/'Peers Stock History'!G$1833*100</f>
        <v>344.03698280557029</v>
      </c>
      <c r="G255" s="871">
        <f>'Peers Stock History'!H258/'Peers Stock History'!H$1833*100</f>
        <v>225.21967085780861</v>
      </c>
      <c r="H255" s="871">
        <f>'Peers Stock History'!I258/'Peers Stock History'!I$1833*100</f>
        <v>341.70286707211119</v>
      </c>
      <c r="I255" s="871">
        <f>'Peers Stock History'!J258/'Peers Stock History'!J$1833*100</f>
        <v>179.61264233265936</v>
      </c>
      <c r="J255" s="871">
        <f>'Peers Stock History'!K258/'Peers Stock History'!K$1833*100</f>
        <v>239.05650715532767</v>
      </c>
    </row>
    <row r="256" spans="2:10">
      <c r="B256" s="870">
        <v>44355</v>
      </c>
      <c r="C256" s="871">
        <f>'Peers Stock History'!D259/'Peers Stock History'!D$1833*100</f>
        <v>158.11373092926493</v>
      </c>
      <c r="D256" s="871">
        <f>'Peers Stock History'!E259/'Peers Stock History'!E$1833*100</f>
        <v>640.62385321100908</v>
      </c>
      <c r="E256" s="871">
        <f>'Peers Stock History'!F259/'Peers Stock History'!F$1833*100</f>
        <v>608.1954887218044</v>
      </c>
      <c r="F256" s="871">
        <f>'Peers Stock History'!G259/'Peers Stock History'!G$1833*100</f>
        <v>345.94809022524277</v>
      </c>
      <c r="G256" s="871">
        <f>'Peers Stock History'!H259/'Peers Stock History'!H$1833*100</f>
        <v>225.02548667411037</v>
      </c>
      <c r="H256" s="871">
        <f>'Peers Stock History'!I259/'Peers Stock History'!I$1833*100</f>
        <v>349.82623805386623</v>
      </c>
      <c r="I256" s="871">
        <f>'Peers Stock History'!J259/'Peers Stock History'!J$1833*100</f>
        <v>179.94083218048314</v>
      </c>
      <c r="J256" s="871">
        <f>'Peers Stock History'!K259/'Peers Stock History'!K$1833*100</f>
        <v>239.28266293663998</v>
      </c>
    </row>
    <row r="257" spans="2:10">
      <c r="B257" s="870">
        <v>44354</v>
      </c>
      <c r="C257" s="871">
        <f>'Peers Stock History'!D260/'Peers Stock History'!D$1833*100</f>
        <v>158.36338418862692</v>
      </c>
      <c r="D257" s="871">
        <f>'Peers Stock History'!E260/'Peers Stock History'!E$1833*100</f>
        <v>646.56880733944945</v>
      </c>
      <c r="E257" s="871">
        <f>'Peers Stock History'!F260/'Peers Stock History'!F$1833*100</f>
        <v>611.65413533834578</v>
      </c>
      <c r="F257" s="871">
        <f>'Peers Stock History'!G260/'Peers Stock History'!G$1833*100</f>
        <v>347.54700256883734</v>
      </c>
      <c r="G257" s="871">
        <f>'Peers Stock History'!H260/'Peers Stock History'!H$1833*100</f>
        <v>225.14685178892177</v>
      </c>
      <c r="H257" s="871">
        <f>'Peers Stock History'!I260/'Peers Stock History'!I$1833*100</f>
        <v>365.07384882710687</v>
      </c>
      <c r="I257" s="871">
        <f>'Peers Stock History'!J260/'Peers Stock History'!J$1833*100</f>
        <v>179.90933276577633</v>
      </c>
      <c r="J257" s="871">
        <f>'Peers Stock History'!K260/'Peers Stock History'!K$1833*100</f>
        <v>238.54049530539024</v>
      </c>
    </row>
    <row r="258" spans="2:10">
      <c r="B258" s="870">
        <v>44353</v>
      </c>
      <c r="C258" s="871">
        <f>'Peers Stock History'!D261/'Peers Stock History'!D$1833*100</f>
        <v>159.14008321775313</v>
      </c>
      <c r="D258" s="871">
        <f>'Peers Stock History'!E261/'Peers Stock History'!E$1833*100</f>
        <v>645.07339449541291</v>
      </c>
      <c r="E258" s="871">
        <f>'Peers Stock History'!F261/'Peers Stock History'!F$1833*100</f>
        <v>613.38345864661642</v>
      </c>
      <c r="F258" s="871">
        <f>'Peers Stock History'!G261/'Peers Stock History'!G$1833*100</f>
        <v>351.50281382486571</v>
      </c>
      <c r="G258" s="871">
        <f>'Peers Stock History'!H261/'Peers Stock History'!H$1833*100</f>
        <v>230.59371814165735</v>
      </c>
      <c r="H258" s="871">
        <f>'Peers Stock History'!I261/'Peers Stock History'!I$1833*100</f>
        <v>363.85751520417034</v>
      </c>
      <c r="I258" s="871">
        <f>'Peers Stock History'!J261/'Peers Stock History'!J$1833*100</f>
        <v>180.05278280302227</v>
      </c>
      <c r="J258" s="871">
        <f>'Peers Stock History'!K261/'Peers Stock History'!K$1833*100</f>
        <v>237.38519513905118</v>
      </c>
    </row>
    <row r="259" spans="2:10">
      <c r="B259" s="870">
        <v>44352</v>
      </c>
      <c r="C259" s="871">
        <f>'Peers Stock History'!D262/'Peers Stock History'!D$1833*100</f>
        <v>159.14008321775313</v>
      </c>
      <c r="D259" s="871">
        <f>'Peers Stock History'!E262/'Peers Stock History'!E$1833*100</f>
        <v>645.07339449541291</v>
      </c>
      <c r="E259" s="871">
        <f>'Peers Stock History'!F262/'Peers Stock History'!F$1833*100</f>
        <v>613.38345864661642</v>
      </c>
      <c r="F259" s="871">
        <f>'Peers Stock History'!G262/'Peers Stock History'!G$1833*100</f>
        <v>351.50281382486571</v>
      </c>
      <c r="G259" s="871">
        <f>'Peers Stock History'!H262/'Peers Stock History'!H$1833*100</f>
        <v>230.59371814165735</v>
      </c>
      <c r="H259" s="871">
        <f>'Peers Stock History'!I262/'Peers Stock History'!I$1833*100</f>
        <v>363.85751520417034</v>
      </c>
      <c r="I259" s="871">
        <f>'Peers Stock History'!J262/'Peers Stock History'!J$1833*100</f>
        <v>180.05278280302227</v>
      </c>
      <c r="J259" s="871">
        <f>'Peers Stock History'!K262/'Peers Stock History'!K$1833*100</f>
        <v>237.38519513905118</v>
      </c>
    </row>
    <row r="260" spans="2:10">
      <c r="B260" s="870">
        <v>44351</v>
      </c>
      <c r="C260" s="871">
        <f>'Peers Stock History'!D263/'Peers Stock History'!D$1833*100</f>
        <v>159.14008321775313</v>
      </c>
      <c r="D260" s="871">
        <f>'Peers Stock History'!E263/'Peers Stock History'!E$1833*100</f>
        <v>645.07339449541291</v>
      </c>
      <c r="E260" s="871">
        <f>'Peers Stock History'!F263/'Peers Stock History'!F$1833*100</f>
        <v>613.38345864661642</v>
      </c>
      <c r="F260" s="871">
        <f>'Peers Stock History'!G263/'Peers Stock History'!G$1833*100</f>
        <v>351.50281382486571</v>
      </c>
      <c r="G260" s="871">
        <f>'Peers Stock History'!H263/'Peers Stock History'!H$1833*100</f>
        <v>230.59371814165735</v>
      </c>
      <c r="H260" s="871">
        <f>'Peers Stock History'!I263/'Peers Stock History'!I$1833*100</f>
        <v>363.85751520417034</v>
      </c>
      <c r="I260" s="871">
        <f>'Peers Stock History'!J263/'Peers Stock History'!J$1833*100</f>
        <v>180.05278280302227</v>
      </c>
      <c r="J260" s="871">
        <f>'Peers Stock History'!K263/'Peers Stock History'!K$1833*100</f>
        <v>237.38519513905118</v>
      </c>
    </row>
    <row r="261" spans="2:10">
      <c r="B261" s="870">
        <v>44350</v>
      </c>
      <c r="C261" s="871">
        <f>'Peers Stock History'!D264/'Peers Stock History'!D$1833*100</f>
        <v>156.00554785020805</v>
      </c>
      <c r="D261" s="871">
        <f>'Peers Stock History'!E264/'Peers Stock History'!E$1833*100</f>
        <v>622.74311926605503</v>
      </c>
      <c r="E261" s="871">
        <f>'Peers Stock History'!F264/'Peers Stock History'!F$1833*100</f>
        <v>603.60902255639098</v>
      </c>
      <c r="F261" s="871">
        <f>'Peers Stock History'!G264/'Peers Stock History'!G$1833*100</f>
        <v>349.94581040421167</v>
      </c>
      <c r="G261" s="871">
        <f>'Peers Stock History'!H264/'Peers Stock History'!H$1833*100</f>
        <v>225.64202145735229</v>
      </c>
      <c r="H261" s="871">
        <f>'Peers Stock History'!I264/'Peers Stock History'!I$1833*100</f>
        <v>356.34231103388362</v>
      </c>
      <c r="I261" s="871">
        <f>'Peers Stock History'!J264/'Peers Stock History'!J$1833*100</f>
        <v>178.47610939661595</v>
      </c>
      <c r="J261" s="871">
        <f>'Peers Stock History'!K264/'Peers Stock History'!K$1833*100</f>
        <v>233.94874764582161</v>
      </c>
    </row>
    <row r="262" spans="2:10">
      <c r="B262" s="870">
        <v>44349</v>
      </c>
      <c r="C262" s="871">
        <f>'Peers Stock History'!D265/'Peers Stock History'!D$1833*100</f>
        <v>159.44521497919558</v>
      </c>
      <c r="D262" s="871">
        <f>'Peers Stock History'!E265/'Peers Stock History'!E$1833*100</f>
        <v>615.71559633027528</v>
      </c>
      <c r="E262" s="871">
        <f>'Peers Stock History'!F265/'Peers Stock History'!F$1833*100</f>
        <v>616.31578947368416</v>
      </c>
      <c r="F262" s="871">
        <f>'Peers Stock History'!G265/'Peers Stock History'!G$1833*100</f>
        <v>349.82584507306223</v>
      </c>
      <c r="G262" s="871">
        <f>'Peers Stock History'!H265/'Peers Stock History'!H$1833*100</f>
        <v>229.97718335841543</v>
      </c>
      <c r="H262" s="871">
        <f>'Peers Stock History'!I265/'Peers Stock History'!I$1833*100</f>
        <v>366.37706342311037</v>
      </c>
      <c r="I262" s="871">
        <f>'Peers Stock History'!J265/'Peers Stock History'!J$1833*100</f>
        <v>179.12610407576886</v>
      </c>
      <c r="J262" s="871">
        <f>'Peers Stock History'!K265/'Peers Stock History'!K$1833*100</f>
        <v>236.38575189365301</v>
      </c>
    </row>
    <row r="263" spans="2:10">
      <c r="B263" s="870">
        <v>44348</v>
      </c>
      <c r="C263" s="871">
        <f>'Peers Stock History'!D266/'Peers Stock History'!D$1833*100</f>
        <v>157.80859916782248</v>
      </c>
      <c r="D263" s="871">
        <f>'Peers Stock History'!E266/'Peers Stock History'!E$1833*100</f>
        <v>596.86238532110099</v>
      </c>
      <c r="E263" s="871">
        <f>'Peers Stock History'!F266/'Peers Stock History'!F$1833*100</f>
        <v>607.59398496240601</v>
      </c>
      <c r="F263" s="871">
        <f>'Peers Stock History'!G266/'Peers Stock History'!G$1833*100</f>
        <v>352.80103974116253</v>
      </c>
      <c r="G263" s="871">
        <f>'Peers Stock History'!H266/'Peers Stock History'!H$1833*100</f>
        <v>227.34598766930435</v>
      </c>
      <c r="H263" s="871">
        <f>'Peers Stock History'!I266/'Peers Stock History'!I$1833*100</f>
        <v>365.55169417897486</v>
      </c>
      <c r="I263" s="871">
        <f>'Peers Stock History'!J266/'Peers Stock History'!J$1833*100</f>
        <v>178.86729807385336</v>
      </c>
      <c r="J263" s="871">
        <f>'Peers Stock History'!K266/'Peers Stock History'!K$1833*100</f>
        <v>236.04467096490382</v>
      </c>
    </row>
    <row r="264" spans="2:10">
      <c r="B264" s="870">
        <v>44347</v>
      </c>
      <c r="C264" s="871">
        <f>'Peers Stock History'!D267/'Peers Stock History'!D$1833*100</f>
        <v>158.44660194174759</v>
      </c>
      <c r="D264" s="871">
        <f>'Peers Stock History'!E267/'Peers Stock History'!E$1833*100</f>
        <v>596.12844036697243</v>
      </c>
      <c r="E264" s="871">
        <f>'Peers Stock History'!F267/'Peers Stock History'!F$1833*100</f>
        <v>602.10526315789468</v>
      </c>
      <c r="F264" s="871">
        <f>'Peers Stock History'!G267/'Peers Stock History'!G$1833*100</f>
        <v>352.83810031303074</v>
      </c>
      <c r="G264" s="871">
        <f>'Peers Stock History'!H267/'Peers Stock History'!H$1833*100</f>
        <v>229.2975387154716</v>
      </c>
      <c r="H264" s="871">
        <f>'Peers Stock History'!I267/'Peers Stock History'!I$1833*100</f>
        <v>365.50825369244137</v>
      </c>
      <c r="I264" s="871">
        <f>'Peers Stock History'!J267/'Peers Stock History'!J$1833*100</f>
        <v>178.95541130147919</v>
      </c>
      <c r="J264" s="871">
        <f>'Peers Stock History'!K267/'Peers Stock History'!K$1833*100</f>
        <v>236.25536134061011</v>
      </c>
    </row>
    <row r="265" spans="2:10">
      <c r="B265" s="870">
        <v>44346</v>
      </c>
      <c r="C265" s="871">
        <f>'Peers Stock History'!D268/'Peers Stock History'!D$1833*100</f>
        <v>158.44660194174759</v>
      </c>
      <c r="D265" s="871">
        <f>'Peers Stock History'!E268/'Peers Stock History'!E$1833*100</f>
        <v>596.12844036697243</v>
      </c>
      <c r="E265" s="871">
        <f>'Peers Stock History'!F268/'Peers Stock History'!F$1833*100</f>
        <v>602.10526315789468</v>
      </c>
      <c r="F265" s="871">
        <f>'Peers Stock History'!G268/'Peers Stock History'!G$1833*100</f>
        <v>346.52292676627485</v>
      </c>
      <c r="G265" s="871">
        <f>'Peers Stock History'!H268/'Peers Stock History'!H$1833*100</f>
        <v>229.2975387154716</v>
      </c>
      <c r="H265" s="871">
        <f>'Peers Stock History'!I268/'Peers Stock History'!I$1833*100</f>
        <v>365.50825369244137</v>
      </c>
      <c r="I265" s="871">
        <f>'Peers Stock History'!J268/'Peers Stock History'!J$1833*100</f>
        <v>178.95541130147919</v>
      </c>
      <c r="J265" s="871">
        <f>'Peers Stock History'!K268/'Peers Stock History'!K$1833*100</f>
        <v>236.25536134061011</v>
      </c>
    </row>
    <row r="266" spans="2:10">
      <c r="B266" s="870">
        <v>44345</v>
      </c>
      <c r="C266" s="871">
        <f>'Peers Stock History'!D269/'Peers Stock History'!D$1833*100</f>
        <v>158.44660194174759</v>
      </c>
      <c r="D266" s="871">
        <f>'Peers Stock History'!E269/'Peers Stock History'!E$1833*100</f>
        <v>596.12844036697243</v>
      </c>
      <c r="E266" s="871">
        <f>'Peers Stock History'!F269/'Peers Stock History'!F$1833*100</f>
        <v>602.10526315789468</v>
      </c>
      <c r="F266" s="871">
        <f>'Peers Stock History'!G269/'Peers Stock History'!G$1833*100</f>
        <v>346.52292676627485</v>
      </c>
      <c r="G266" s="871">
        <f>'Peers Stock History'!H269/'Peers Stock History'!H$1833*100</f>
        <v>229.2975387154716</v>
      </c>
      <c r="H266" s="871">
        <f>'Peers Stock History'!I269/'Peers Stock History'!I$1833*100</f>
        <v>365.50825369244137</v>
      </c>
      <c r="I266" s="871">
        <f>'Peers Stock History'!J269/'Peers Stock History'!J$1833*100</f>
        <v>178.95541130147919</v>
      </c>
      <c r="J266" s="871">
        <f>'Peers Stock History'!K269/'Peers Stock History'!K$1833*100</f>
        <v>236.25536134061011</v>
      </c>
    </row>
    <row r="267" spans="2:10">
      <c r="B267" s="870">
        <v>44344</v>
      </c>
      <c r="C267" s="871">
        <f>'Peers Stock History'!D270/'Peers Stock History'!D$1833*100</f>
        <v>158.44660194174759</v>
      </c>
      <c r="D267" s="871">
        <f>'Peers Stock History'!E270/'Peers Stock History'!E$1833*100</f>
        <v>596.12844036697243</v>
      </c>
      <c r="E267" s="871">
        <f>'Peers Stock History'!F270/'Peers Stock History'!F$1833*100</f>
        <v>602.10526315789468</v>
      </c>
      <c r="F267" s="871">
        <f>'Peers Stock History'!G270/'Peers Stock History'!G$1833*100</f>
        <v>346.52292676627485</v>
      </c>
      <c r="G267" s="871">
        <f>'Peers Stock History'!H270/'Peers Stock History'!H$1833*100</f>
        <v>229.2975387154716</v>
      </c>
      <c r="H267" s="871">
        <f>'Peers Stock History'!I270/'Peers Stock History'!I$1833*100</f>
        <v>365.50825369244137</v>
      </c>
      <c r="I267" s="871">
        <f>'Peers Stock History'!J270/'Peers Stock History'!J$1833*100</f>
        <v>178.95541130147919</v>
      </c>
      <c r="J267" s="871">
        <f>'Peers Stock History'!K270/'Peers Stock History'!K$1833*100</f>
        <v>236.25536134061011</v>
      </c>
    </row>
    <row r="268" spans="2:10">
      <c r="B268" s="870">
        <v>44343</v>
      </c>
      <c r="C268" s="871">
        <f>'Peers Stock History'!D271/'Peers Stock History'!D$1833*100</f>
        <v>160.13869625520113</v>
      </c>
      <c r="D268" s="871">
        <f>'Peers Stock History'!E271/'Peers Stock History'!E$1833*100</f>
        <v>568.36697247706422</v>
      </c>
      <c r="E268" s="871">
        <f>'Peers Stock History'!F271/'Peers Stock History'!F$1833*100</f>
        <v>589.62406015037595</v>
      </c>
      <c r="F268" s="871">
        <f>'Peers Stock History'!G271/'Peers Stock History'!G$1833*100</f>
        <v>340.45986538075232</v>
      </c>
      <c r="G268" s="871">
        <f>'Peers Stock History'!H271/'Peers Stock History'!H$1833*100</f>
        <v>227.04014757997962</v>
      </c>
      <c r="H268" s="871">
        <f>'Peers Stock History'!I271/'Peers Stock History'!I$1833*100</f>
        <v>364.59600347523894</v>
      </c>
      <c r="I268" s="871">
        <f>'Peers Stock History'!J271/'Peers Stock History'!J$1833*100</f>
        <v>178.81792061296159</v>
      </c>
      <c r="J268" s="871">
        <f>'Peers Stock History'!K271/'Peers Stock History'!K$1833*100</f>
        <v>236.04119984053452</v>
      </c>
    </row>
    <row r="269" spans="2:10">
      <c r="B269" s="870">
        <v>44342</v>
      </c>
      <c r="C269" s="871">
        <f>'Peers Stock History'!D272/'Peers Stock History'!D$1833*100</f>
        <v>157.89181692094317</v>
      </c>
      <c r="D269" s="871">
        <f>'Peers Stock History'!E272/'Peers Stock History'!E$1833*100</f>
        <v>576.14678899082571</v>
      </c>
      <c r="E269" s="871">
        <f>'Peers Stock History'!F272/'Peers Stock History'!F$1833*100</f>
        <v>589.02255639097746</v>
      </c>
      <c r="F269" s="871">
        <f>'Peers Stock History'!G272/'Peers Stock History'!G$1833*100</f>
        <v>342.70777599429329</v>
      </c>
      <c r="G269" s="871">
        <f>'Peers Stock History'!H272/'Peers Stock History'!H$1833*100</f>
        <v>223.54968687800377</v>
      </c>
      <c r="H269" s="871">
        <f>'Peers Stock History'!I272/'Peers Stock History'!I$1833*100</f>
        <v>357.25456125108599</v>
      </c>
      <c r="I269" s="871">
        <f>'Peers Stock History'!J272/'Peers Stock History'!J$1833*100</f>
        <v>178.60976907523678</v>
      </c>
      <c r="J269" s="871">
        <f>'Peers Stock History'!K272/'Peers Stock History'!K$1833*100</f>
        <v>236.07075594902605</v>
      </c>
    </row>
    <row r="270" spans="2:10">
      <c r="B270" s="870">
        <v>44341</v>
      </c>
      <c r="C270" s="871">
        <f>'Peers Stock History'!D273/'Peers Stock History'!D$1833*100</f>
        <v>157.75312066574202</v>
      </c>
      <c r="D270" s="871">
        <f>'Peers Stock History'!E273/'Peers Stock History'!E$1833*100</f>
        <v>574.2293577981651</v>
      </c>
      <c r="E270" s="871">
        <f>'Peers Stock History'!F273/'Peers Stock History'!F$1833*100</f>
        <v>585.41353383458647</v>
      </c>
      <c r="F270" s="871">
        <f>'Peers Stock History'!G273/'Peers Stock History'!G$1833*100</f>
        <v>340.0665208073421</v>
      </c>
      <c r="G270" s="871">
        <f>'Peers Stock History'!H273/'Peers Stock History'!H$1833*100</f>
        <v>223.08849944172047</v>
      </c>
      <c r="H270" s="871">
        <f>'Peers Stock History'!I273/'Peers Stock History'!I$1833*100</f>
        <v>352.86707211120768</v>
      </c>
      <c r="I270" s="871">
        <f>'Peers Stock History'!J273/'Peers Stock History'!J$1833*100</f>
        <v>178.27519421091839</v>
      </c>
      <c r="J270" s="871">
        <f>'Peers Stock History'!K273/'Peers Stock History'!K$1833*100</f>
        <v>234.68192815803584</v>
      </c>
    </row>
    <row r="271" spans="2:10">
      <c r="B271" s="870">
        <v>44340</v>
      </c>
      <c r="C271" s="871">
        <f>'Peers Stock History'!D274/'Peers Stock History'!D$1833*100</f>
        <v>158.00277392510404</v>
      </c>
      <c r="D271" s="871">
        <f>'Peers Stock History'!E274/'Peers Stock History'!E$1833*100</f>
        <v>572.91743119266062</v>
      </c>
      <c r="E271" s="871">
        <f>'Peers Stock History'!F274/'Peers Stock History'!F$1833*100</f>
        <v>582.25563909774428</v>
      </c>
      <c r="F271" s="871">
        <f>'Peers Stock History'!G274/'Peers Stock History'!G$1833*100</f>
        <v>330.81873239409879</v>
      </c>
      <c r="G271" s="871">
        <f>'Peers Stock History'!H274/'Peers Stock History'!H$1833*100</f>
        <v>222.91858828098449</v>
      </c>
      <c r="H271" s="871">
        <f>'Peers Stock History'!I274/'Peers Stock History'!I$1833*100</f>
        <v>360.12163336229366</v>
      </c>
      <c r="I271" s="871">
        <f>'Peers Stock History'!J274/'Peers Stock History'!J$1833*100</f>
        <v>178.65488985846548</v>
      </c>
      <c r="J271" s="871">
        <f>'Peers Stock History'!K274/'Peers Stock History'!K$1833*100</f>
        <v>234.75059455892665</v>
      </c>
    </row>
    <row r="272" spans="2:10">
      <c r="B272" s="870">
        <v>44339</v>
      </c>
      <c r="C272" s="871">
        <f>'Peers Stock History'!D275/'Peers Stock History'!D$1833*100</f>
        <v>155.5617198335645</v>
      </c>
      <c r="D272" s="871">
        <f>'Peers Stock History'!E275/'Peers Stock History'!E$1833*100</f>
        <v>550.15596330275218</v>
      </c>
      <c r="E272" s="871">
        <f>'Peers Stock History'!F275/'Peers Stock History'!F$1833*100</f>
        <v>580.22556390977445</v>
      </c>
      <c r="F272" s="871">
        <f>'Peers Stock History'!G275/'Peers Stock History'!G$1833*100</f>
        <v>333.36086601348904</v>
      </c>
      <c r="G272" s="871">
        <f>'Peers Stock History'!H275/'Peers Stock History'!H$1833*100</f>
        <v>219.05917762998203</v>
      </c>
      <c r="H272" s="871">
        <f>'Peers Stock History'!I275/'Peers Stock History'!I$1833*100</f>
        <v>350.65160729800175</v>
      </c>
      <c r="I272" s="871">
        <f>'Peers Stock History'!J275/'Peers Stock History'!J$1833*100</f>
        <v>176.90156432904115</v>
      </c>
      <c r="J272" s="871">
        <f>'Peers Stock History'!K275/'Peers Stock History'!K$1833*100</f>
        <v>231.48258251653081</v>
      </c>
    </row>
    <row r="273" spans="2:10">
      <c r="B273" s="870">
        <v>44338</v>
      </c>
      <c r="C273" s="871">
        <f>'Peers Stock History'!D276/'Peers Stock History'!D$1833*100</f>
        <v>155.5617198335645</v>
      </c>
      <c r="D273" s="871">
        <f>'Peers Stock History'!E276/'Peers Stock History'!E$1833*100</f>
        <v>550.15596330275218</v>
      </c>
      <c r="E273" s="871">
        <f>'Peers Stock History'!F276/'Peers Stock History'!F$1833*100</f>
        <v>580.22556390977445</v>
      </c>
      <c r="F273" s="871">
        <f>'Peers Stock History'!G276/'Peers Stock History'!G$1833*100</f>
        <v>333.36086601348904</v>
      </c>
      <c r="G273" s="871">
        <f>'Peers Stock History'!H276/'Peers Stock History'!H$1833*100</f>
        <v>219.05917762998203</v>
      </c>
      <c r="H273" s="871">
        <f>'Peers Stock History'!I276/'Peers Stock History'!I$1833*100</f>
        <v>350.65160729800175</v>
      </c>
      <c r="I273" s="871">
        <f>'Peers Stock History'!J276/'Peers Stock History'!J$1833*100</f>
        <v>176.90156432904115</v>
      </c>
      <c r="J273" s="871">
        <f>'Peers Stock History'!K276/'Peers Stock History'!K$1833*100</f>
        <v>231.48258251653081</v>
      </c>
    </row>
    <row r="274" spans="2:10">
      <c r="B274" s="870">
        <v>44337</v>
      </c>
      <c r="C274" s="871">
        <f>'Peers Stock History'!D277/'Peers Stock History'!D$1833*100</f>
        <v>155.5617198335645</v>
      </c>
      <c r="D274" s="871">
        <f>'Peers Stock History'!E277/'Peers Stock History'!E$1833*100</f>
        <v>550.15596330275218</v>
      </c>
      <c r="E274" s="871">
        <f>'Peers Stock History'!F277/'Peers Stock History'!F$1833*100</f>
        <v>580.22556390977445</v>
      </c>
      <c r="F274" s="871">
        <f>'Peers Stock History'!G277/'Peers Stock History'!G$1833*100</f>
        <v>333.36086601348904</v>
      </c>
      <c r="G274" s="871">
        <f>'Peers Stock History'!H277/'Peers Stock History'!H$1833*100</f>
        <v>219.05917762998203</v>
      </c>
      <c r="H274" s="871">
        <f>'Peers Stock History'!I277/'Peers Stock History'!I$1833*100</f>
        <v>350.65160729800175</v>
      </c>
      <c r="I274" s="871">
        <f>'Peers Stock History'!J277/'Peers Stock History'!J$1833*100</f>
        <v>176.90156432904115</v>
      </c>
      <c r="J274" s="871">
        <f>'Peers Stock History'!K277/'Peers Stock History'!K$1833*100</f>
        <v>231.48258251653081</v>
      </c>
    </row>
    <row r="275" spans="2:10">
      <c r="B275" s="870">
        <v>44336</v>
      </c>
      <c r="C275" s="871">
        <f>'Peers Stock History'!D278/'Peers Stock History'!D$1833*100</f>
        <v>155.20110957004164</v>
      </c>
      <c r="D275" s="871">
        <f>'Peers Stock History'!E278/'Peers Stock History'!E$1833*100</f>
        <v>536.23853211009168</v>
      </c>
      <c r="E275" s="871">
        <f>'Peers Stock History'!F278/'Peers Stock History'!F$1833*100</f>
        <v>586.91729323308266</v>
      </c>
      <c r="F275" s="871">
        <f>'Peers Stock History'!G278/'Peers Stock History'!G$1833*100</f>
        <v>330.08266828901719</v>
      </c>
      <c r="G275" s="871">
        <f>'Peers Stock History'!H278/'Peers Stock History'!H$1833*100</f>
        <v>220.88450895674546</v>
      </c>
      <c r="H275" s="871">
        <f>'Peers Stock History'!I278/'Peers Stock History'!I$1833*100</f>
        <v>352.43266724587312</v>
      </c>
      <c r="I275" s="871">
        <f>'Peers Stock History'!J278/'Peers Stock History'!J$1833*100</f>
        <v>177.0403320208577</v>
      </c>
      <c r="J275" s="871">
        <f>'Peers Stock History'!K278/'Peers Stock History'!K$1833*100</f>
        <v>232.59523253096521</v>
      </c>
    </row>
    <row r="276" spans="2:10">
      <c r="B276" s="870">
        <v>44335</v>
      </c>
      <c r="C276" s="871">
        <f>'Peers Stock History'!D279/'Peers Stock History'!D$1833*100</f>
        <v>153.5644937586685</v>
      </c>
      <c r="D276" s="871">
        <f>'Peers Stock History'!E279/'Peers Stock History'!E$1833*100</f>
        <v>516.17431192660547</v>
      </c>
      <c r="E276" s="871">
        <f>'Peers Stock History'!F279/'Peers Stock History'!F$1833*100</f>
        <v>573.15789473684208</v>
      </c>
      <c r="F276" s="871">
        <f>'Peers Stock History'!G279/'Peers Stock History'!G$1833*100</f>
        <v>329.55195083607214</v>
      </c>
      <c r="G276" s="871">
        <f>'Peers Stock History'!H279/'Peers Stock History'!H$1833*100</f>
        <v>214.43759405796396</v>
      </c>
      <c r="H276" s="871">
        <f>'Peers Stock History'!I279/'Peers Stock History'!I$1833*100</f>
        <v>347.21980886185929</v>
      </c>
      <c r="I276" s="871">
        <f>'Peers Stock History'!J279/'Peers Stock History'!J$1833*100</f>
        <v>175.19123124401406</v>
      </c>
      <c r="J276" s="871">
        <f>'Peers Stock History'!K279/'Peers Stock History'!K$1833*100</f>
        <v>228.53985950538197</v>
      </c>
    </row>
    <row r="277" spans="2:10">
      <c r="B277" s="870">
        <v>44334</v>
      </c>
      <c r="C277" s="871">
        <f>'Peers Stock History'!D280/'Peers Stock History'!D$1833*100</f>
        <v>152.12205270457699</v>
      </c>
      <c r="D277" s="871">
        <f>'Peers Stock History'!E280/'Peers Stock History'!E$1833*100</f>
        <v>514.33944954128435</v>
      </c>
      <c r="E277" s="871">
        <f>'Peers Stock History'!F280/'Peers Stock History'!F$1833*100</f>
        <v>559.69924812030069</v>
      </c>
      <c r="F277" s="871">
        <f>'Peers Stock History'!G280/'Peers Stock History'!G$1833*100</f>
        <v>332.91005291005348</v>
      </c>
      <c r="G277" s="871">
        <f>'Peers Stock History'!H280/'Peers Stock History'!H$1833*100</f>
        <v>210.56361959318414</v>
      </c>
      <c r="H277" s="871">
        <f>'Peers Stock History'!I280/'Peers Stock History'!I$1833*100</f>
        <v>342.65855777584704</v>
      </c>
      <c r="I277" s="871">
        <f>'Peers Stock History'!J280/'Peers Stock History'!J$1833*100</f>
        <v>175.70841758007873</v>
      </c>
      <c r="J277" s="871">
        <f>'Peers Stock History'!K280/'Peers Stock History'!K$1833*100</f>
        <v>228.60687626300816</v>
      </c>
    </row>
    <row r="278" spans="2:10">
      <c r="B278" s="870">
        <v>44333</v>
      </c>
      <c r="C278" s="871">
        <f>'Peers Stock History'!D281/'Peers Stock History'!D$1833*100</f>
        <v>153.48127600554787</v>
      </c>
      <c r="D278" s="871">
        <f>'Peers Stock History'!E281/'Peers Stock History'!E$1833*100</f>
        <v>519.83486238532112</v>
      </c>
      <c r="E278" s="871">
        <f>'Peers Stock History'!F281/'Peers Stock History'!F$1833*100</f>
        <v>561.27819548872185</v>
      </c>
      <c r="F278" s="871">
        <f>'Peers Stock History'!G281/'Peers Stock History'!G$1833*100</f>
        <v>317.79554751229313</v>
      </c>
      <c r="G278" s="871">
        <f>'Peers Stock History'!H281/'Peers Stock History'!H$1833*100</f>
        <v>213.5734744405068</v>
      </c>
      <c r="H278" s="871">
        <f>'Peers Stock History'!I281/'Peers Stock History'!I$1833*100</f>
        <v>349.21807124239791</v>
      </c>
      <c r="I278" s="871">
        <f>'Peers Stock History'!J281/'Peers Stock History'!J$1833*100</f>
        <v>177.21783547940834</v>
      </c>
      <c r="J278" s="871">
        <f>'Peers Stock History'!K281/'Peers Stock History'!K$1833*100</f>
        <v>229.902705414954</v>
      </c>
    </row>
    <row r="279" spans="2:10">
      <c r="B279" s="870">
        <v>44332</v>
      </c>
      <c r="C279" s="871">
        <f>'Peers Stock History'!D282/'Peers Stock History'!D$1833*100</f>
        <v>153.5367545076283</v>
      </c>
      <c r="D279" s="871">
        <f>'Peers Stock History'!E282/'Peers Stock History'!E$1833*100</f>
        <v>522.67889908256882</v>
      </c>
      <c r="E279" s="871">
        <f>'Peers Stock History'!F282/'Peers Stock History'!F$1833*100</f>
        <v>560.82706766917295</v>
      </c>
      <c r="F279" s="871">
        <f>'Peers Stock History'!G282/'Peers Stock History'!G$1833*100</f>
        <v>324.08713221003171</v>
      </c>
      <c r="G279" s="871">
        <f>'Peers Stock History'!H282/'Peers Stock History'!H$1833*100</f>
        <v>214.38904801203938</v>
      </c>
      <c r="H279" s="871">
        <f>'Peers Stock History'!I282/'Peers Stock History'!I$1833*100</f>
        <v>346.22067767158995</v>
      </c>
      <c r="I279" s="871">
        <f>'Peers Stock History'!J282/'Peers Stock History'!J$1833*100</f>
        <v>177.66734064063002</v>
      </c>
      <c r="J279" s="871">
        <f>'Peers Stock History'!K282/'Peers Stock History'!K$1833*100</f>
        <v>230.7778755344157</v>
      </c>
    </row>
    <row r="280" spans="2:10">
      <c r="B280" s="870">
        <v>44331</v>
      </c>
      <c r="C280" s="871">
        <f>'Peers Stock History'!D283/'Peers Stock History'!D$1833*100</f>
        <v>153.5367545076283</v>
      </c>
      <c r="D280" s="871">
        <f>'Peers Stock History'!E283/'Peers Stock History'!E$1833*100</f>
        <v>522.67889908256882</v>
      </c>
      <c r="E280" s="871">
        <f>'Peers Stock History'!F283/'Peers Stock History'!F$1833*100</f>
        <v>560.82706766917295</v>
      </c>
      <c r="F280" s="871">
        <f>'Peers Stock History'!G283/'Peers Stock History'!G$1833*100</f>
        <v>324.08713221003171</v>
      </c>
      <c r="G280" s="871">
        <f>'Peers Stock History'!H283/'Peers Stock History'!H$1833*100</f>
        <v>214.38904801203938</v>
      </c>
      <c r="H280" s="871">
        <f>'Peers Stock History'!I283/'Peers Stock History'!I$1833*100</f>
        <v>346.22067767158995</v>
      </c>
      <c r="I280" s="871">
        <f>'Peers Stock History'!J283/'Peers Stock History'!J$1833*100</f>
        <v>177.66734064063002</v>
      </c>
      <c r="J280" s="871">
        <f>'Peers Stock History'!K283/'Peers Stock History'!K$1833*100</f>
        <v>230.7778755344157</v>
      </c>
    </row>
    <row r="281" spans="2:10">
      <c r="B281" s="870">
        <v>44330</v>
      </c>
      <c r="C281" s="871">
        <f>'Peers Stock History'!D284/'Peers Stock History'!D$1833*100</f>
        <v>153.5367545076283</v>
      </c>
      <c r="D281" s="871">
        <f>'Peers Stock History'!E284/'Peers Stock History'!E$1833*100</f>
        <v>522.67889908256882</v>
      </c>
      <c r="E281" s="871">
        <f>'Peers Stock History'!F284/'Peers Stock History'!F$1833*100</f>
        <v>560.82706766917295</v>
      </c>
      <c r="F281" s="871">
        <f>'Peers Stock History'!G284/'Peers Stock History'!G$1833*100</f>
        <v>324.08713221003171</v>
      </c>
      <c r="G281" s="871">
        <f>'Peers Stock History'!H284/'Peers Stock History'!H$1833*100</f>
        <v>214.38904801203938</v>
      </c>
      <c r="H281" s="871">
        <f>'Peers Stock History'!I284/'Peers Stock History'!I$1833*100</f>
        <v>346.22067767158995</v>
      </c>
      <c r="I281" s="871">
        <f>'Peers Stock History'!J284/'Peers Stock History'!J$1833*100</f>
        <v>177.66734064063002</v>
      </c>
      <c r="J281" s="871">
        <f>'Peers Stock History'!K284/'Peers Stock History'!K$1833*100</f>
        <v>230.7778755344157</v>
      </c>
    </row>
    <row r="282" spans="2:10">
      <c r="B282" s="870">
        <v>44329</v>
      </c>
      <c r="C282" s="871">
        <f>'Peers Stock History'!D285/'Peers Stock History'!D$1833*100</f>
        <v>149.81969486823857</v>
      </c>
      <c r="D282" s="871">
        <f>'Peers Stock History'!E285/'Peers Stock History'!E$1833*100</f>
        <v>501.47706422018354</v>
      </c>
      <c r="E282" s="871">
        <f>'Peers Stock History'!F285/'Peers Stock History'!F$1833*100</f>
        <v>549.5488721804511</v>
      </c>
      <c r="F282" s="871">
        <f>'Peers Stock History'!G285/'Peers Stock History'!G$1833*100</f>
        <v>318.46233437085658</v>
      </c>
      <c r="G282" s="871">
        <f>'Peers Stock History'!H285/'Peers Stock History'!H$1833*100</f>
        <v>209.03927375115296</v>
      </c>
      <c r="H282" s="871">
        <f>'Peers Stock History'!I285/'Peers Stock History'!I$1833*100</f>
        <v>335.31711555169414</v>
      </c>
      <c r="I282" s="871">
        <f>'Peers Stock History'!J285/'Peers Stock History'!J$1833*100</f>
        <v>175.05586889432797</v>
      </c>
      <c r="J282" s="871">
        <f>'Peers Stock History'!K285/'Peers Stock History'!K$1833*100</f>
        <v>225.53699325020963</v>
      </c>
    </row>
    <row r="283" spans="2:10">
      <c r="B283" s="870">
        <v>44328</v>
      </c>
      <c r="C283" s="871">
        <f>'Peers Stock History'!D286/'Peers Stock History'!D$1833*100</f>
        <v>148.73786407766991</v>
      </c>
      <c r="D283" s="871">
        <f>'Peers Stock History'!E286/'Peers Stock History'!E$1833*100</f>
        <v>504.89908256880733</v>
      </c>
      <c r="E283" s="871">
        <f>'Peers Stock History'!F286/'Peers Stock History'!F$1833*100</f>
        <v>561.20300751879699</v>
      </c>
      <c r="F283" s="871">
        <f>'Peers Stock History'!G286/'Peers Stock History'!G$1833*100</f>
        <v>325.08848867424211</v>
      </c>
      <c r="G283" s="871">
        <f>'Peers Stock History'!H286/'Peers Stock History'!H$1833*100</f>
        <v>205.04878877615417</v>
      </c>
      <c r="H283" s="871">
        <f>'Peers Stock History'!I286/'Peers Stock History'!I$1833*100</f>
        <v>333.62293657688963</v>
      </c>
      <c r="I283" s="871">
        <f>'Peers Stock History'!J286/'Peers Stock History'!J$1833*100</f>
        <v>172.95051612216665</v>
      </c>
      <c r="J283" s="871">
        <f>'Peers Stock History'!K286/'Peers Stock History'!K$1833*100</f>
        <v>223.93357436454369</v>
      </c>
    </row>
    <row r="284" spans="2:10">
      <c r="B284" s="870">
        <v>44327</v>
      </c>
      <c r="C284" s="871">
        <f>'Peers Stock History'!D287/'Peers Stock History'!D$1833*100</f>
        <v>152.67683772538143</v>
      </c>
      <c r="D284" s="871">
        <f>'Peers Stock History'!E287/'Peers Stock History'!E$1833*100</f>
        <v>525</v>
      </c>
      <c r="E284" s="871">
        <f>'Peers Stock History'!F287/'Peers Stock History'!F$1833*100</f>
        <v>577.66917293233075</v>
      </c>
      <c r="F284" s="871">
        <f>'Peers Stock History'!G287/'Peers Stock History'!G$1833*100</f>
        <v>332.51839274965175</v>
      </c>
      <c r="G284" s="871">
        <f>'Peers Stock History'!H287/'Peers Stock History'!H$1833*100</f>
        <v>213.63658430020874</v>
      </c>
      <c r="H284" s="871">
        <f>'Peers Stock History'!I287/'Peers Stock History'!I$1833*100</f>
        <v>350.47784535186798</v>
      </c>
      <c r="I284" s="871">
        <f>'Peers Stock History'!J287/'Peers Stock History'!J$1833*100</f>
        <v>176.74151324890923</v>
      </c>
      <c r="J284" s="871">
        <f>'Peers Stock History'!K287/'Peers Stock History'!K$1833*100</f>
        <v>230.08107309294368</v>
      </c>
    </row>
    <row r="285" spans="2:10">
      <c r="B285" s="870">
        <v>44326</v>
      </c>
      <c r="C285" s="871">
        <f>'Peers Stock History'!D288/'Peers Stock History'!D$1833*100</f>
        <v>155.25658807212207</v>
      </c>
      <c r="D285" s="871">
        <f>'Peers Stock History'!E288/'Peers Stock History'!E$1833*100</f>
        <v>523.51376146788994</v>
      </c>
      <c r="E285" s="871">
        <f>'Peers Stock History'!F288/'Peers Stock History'!F$1833*100</f>
        <v>571.35338345864659</v>
      </c>
      <c r="F285" s="871">
        <f>'Peers Stock History'!G288/'Peers Stock History'!G$1833*100</f>
        <v>345.21269345625319</v>
      </c>
      <c r="G285" s="871">
        <f>'Peers Stock History'!H288/'Peers Stock History'!H$1833*100</f>
        <v>211.70930627700372</v>
      </c>
      <c r="H285" s="871">
        <f>'Peers Stock History'!I288/'Peers Stock History'!I$1833*100</f>
        <v>351.21633362293653</v>
      </c>
      <c r="I285" s="871">
        <f>'Peers Stock History'!J288/'Peers Stock History'!J$1833*100</f>
        <v>178.28796424390765</v>
      </c>
      <c r="J285" s="871">
        <f>'Peers Stock History'!K288/'Peers Stock History'!K$1833*100</f>
        <v>230.29466752814707</v>
      </c>
    </row>
    <row r="286" spans="2:10">
      <c r="B286" s="870">
        <v>44325</v>
      </c>
      <c r="C286" s="871">
        <f>'Peers Stock History'!D289/'Peers Stock History'!D$1833*100</f>
        <v>159.9722607489598</v>
      </c>
      <c r="D286" s="871">
        <f>'Peers Stock History'!E289/'Peers Stock History'!E$1833*100</f>
        <v>543.56880733944956</v>
      </c>
      <c r="E286" s="871">
        <f>'Peers Stock History'!F289/'Peers Stock History'!F$1833*100</f>
        <v>592.55639097744358</v>
      </c>
      <c r="F286" s="871">
        <f>'Peers Stock History'!G289/'Peers Stock History'!G$1833*100</f>
        <v>350.46758495666825</v>
      </c>
      <c r="G286" s="871">
        <f>'Peers Stock History'!H289/'Peers Stock History'!H$1833*100</f>
        <v>219.70969464537112</v>
      </c>
      <c r="H286" s="871">
        <f>'Peers Stock History'!I289/'Peers Stock History'!I$1833*100</f>
        <v>373.50130321459602</v>
      </c>
      <c r="I286" s="871">
        <f>'Peers Stock History'!J289/'Peers Stock History'!J$1833*100</f>
        <v>180.16813876769183</v>
      </c>
      <c r="J286" s="871">
        <f>'Peers Stock History'!K289/'Peers Stock History'!K$1833*100</f>
        <v>236.3155217684176</v>
      </c>
    </row>
    <row r="287" spans="2:10">
      <c r="B287" s="870">
        <v>44324</v>
      </c>
      <c r="C287" s="871">
        <f>'Peers Stock History'!D290/'Peers Stock History'!D$1833*100</f>
        <v>159.9722607489598</v>
      </c>
      <c r="D287" s="871">
        <f>'Peers Stock History'!E290/'Peers Stock History'!E$1833*100</f>
        <v>543.56880733944956</v>
      </c>
      <c r="E287" s="871">
        <f>'Peers Stock History'!F290/'Peers Stock History'!F$1833*100</f>
        <v>592.55639097744358</v>
      </c>
      <c r="F287" s="871">
        <f>'Peers Stock History'!G290/'Peers Stock History'!G$1833*100</f>
        <v>350.46758495666825</v>
      </c>
      <c r="G287" s="871">
        <f>'Peers Stock History'!H290/'Peers Stock History'!H$1833*100</f>
        <v>219.70969464537112</v>
      </c>
      <c r="H287" s="871">
        <f>'Peers Stock History'!I290/'Peers Stock History'!I$1833*100</f>
        <v>373.50130321459602</v>
      </c>
      <c r="I287" s="871">
        <f>'Peers Stock History'!J290/'Peers Stock History'!J$1833*100</f>
        <v>180.16813876769183</v>
      </c>
      <c r="J287" s="871">
        <f>'Peers Stock History'!K290/'Peers Stock History'!K$1833*100</f>
        <v>236.3155217684176</v>
      </c>
    </row>
    <row r="288" spans="2:10">
      <c r="B288" s="870">
        <v>44323</v>
      </c>
      <c r="C288" s="871">
        <f>'Peers Stock History'!D291/'Peers Stock History'!D$1833*100</f>
        <v>159.9722607489598</v>
      </c>
      <c r="D288" s="871">
        <f>'Peers Stock History'!E291/'Peers Stock History'!E$1833*100</f>
        <v>543.56880733944956</v>
      </c>
      <c r="E288" s="871">
        <f>'Peers Stock History'!F291/'Peers Stock History'!F$1833*100</f>
        <v>592.55639097744358</v>
      </c>
      <c r="F288" s="871">
        <f>'Peers Stock History'!G291/'Peers Stock History'!G$1833*100</f>
        <v>350.46758495666825</v>
      </c>
      <c r="G288" s="871">
        <f>'Peers Stock History'!H291/'Peers Stock History'!H$1833*100</f>
        <v>219.70969464537112</v>
      </c>
      <c r="H288" s="871">
        <f>'Peers Stock History'!I291/'Peers Stock History'!I$1833*100</f>
        <v>373.50130321459602</v>
      </c>
      <c r="I288" s="871">
        <f>'Peers Stock History'!J291/'Peers Stock History'!J$1833*100</f>
        <v>180.16813876769183</v>
      </c>
      <c r="J288" s="871">
        <f>'Peers Stock History'!K291/'Peers Stock History'!K$1833*100</f>
        <v>236.3155217684176</v>
      </c>
    </row>
    <row r="289" spans="2:10">
      <c r="B289" s="870">
        <v>44322</v>
      </c>
      <c r="C289" s="871">
        <f>'Peers Stock History'!D292/'Peers Stock History'!D$1833*100</f>
        <v>158.64077669902915</v>
      </c>
      <c r="D289" s="871">
        <f>'Peers Stock History'!E292/'Peers Stock History'!E$1833*100</f>
        <v>532.95412844036696</v>
      </c>
      <c r="E289" s="871">
        <f>'Peers Stock History'!F292/'Peers Stock History'!F$1833*100</f>
        <v>585.63909774436092</v>
      </c>
      <c r="F289" s="871">
        <f>'Peers Stock History'!G292/'Peers Stock History'!G$1833*100</f>
        <v>341.61576686261827</v>
      </c>
      <c r="G289" s="871">
        <f>'Peers Stock History'!H292/'Peers Stock History'!H$1833*100</f>
        <v>217.76785280838874</v>
      </c>
      <c r="H289" s="871">
        <f>'Peers Stock History'!I292/'Peers Stock History'!I$1833*100</f>
        <v>368.37532580364899</v>
      </c>
      <c r="I289" s="871">
        <f>'Peers Stock History'!J292/'Peers Stock History'!J$1833*100</f>
        <v>178.8494200276684</v>
      </c>
      <c r="J289" s="871">
        <f>'Peers Stock History'!K292/'Peers Stock History'!K$1833*100</f>
        <v>234.26377795801662</v>
      </c>
    </row>
    <row r="290" spans="2:10">
      <c r="B290" s="870">
        <v>44321</v>
      </c>
      <c r="C290" s="871">
        <f>'Peers Stock History'!D293/'Peers Stock History'!D$1833*100</f>
        <v>157.69764216366161</v>
      </c>
      <c r="D290" s="871">
        <f>'Peers Stock History'!E293/'Peers Stock History'!E$1833*100</f>
        <v>530.58715596330273</v>
      </c>
      <c r="E290" s="871">
        <f>'Peers Stock History'!F293/'Peers Stock History'!F$1833*100</f>
        <v>585.18796992481202</v>
      </c>
      <c r="F290" s="871">
        <f>'Peers Stock History'!G293/'Peers Stock History'!G$1833*100</f>
        <v>340.47619047618997</v>
      </c>
      <c r="G290" s="871">
        <f>'Peers Stock History'!H293/'Peers Stock History'!H$1833*100</f>
        <v>215.46191562697214</v>
      </c>
      <c r="H290" s="871">
        <f>'Peers Stock History'!I293/'Peers Stock History'!I$1833*100</f>
        <v>369.89574283231974</v>
      </c>
      <c r="I290" s="871">
        <f>'Peers Stock History'!J293/'Peers Stock History'!J$1833*100</f>
        <v>177.40087261892094</v>
      </c>
      <c r="J290" s="871">
        <f>'Peers Stock History'!K293/'Peers Stock History'!K$1833*100</f>
        <v>233.39737156839834</v>
      </c>
    </row>
    <row r="291" spans="2:10">
      <c r="B291" s="870">
        <v>44320</v>
      </c>
      <c r="C291" s="871">
        <f>'Peers Stock History'!D294/'Peers Stock History'!D$1833*100</f>
        <v>157.83633841886271</v>
      </c>
      <c r="D291" s="871">
        <f>'Peers Stock History'!E294/'Peers Stock History'!E$1833*100</f>
        <v>526.65137614678895</v>
      </c>
      <c r="E291" s="871">
        <f>'Peers Stock History'!F294/'Peers Stock History'!F$1833*100</f>
        <v>591.0526315789474</v>
      </c>
      <c r="F291" s="871">
        <f>'Peers Stock History'!G294/'Peers Stock History'!G$1833*100</f>
        <v>343.88212964240432</v>
      </c>
      <c r="G291" s="871">
        <f>'Peers Stock History'!H294/'Peers Stock History'!H$1833*100</f>
        <v>215.80659255303652</v>
      </c>
      <c r="H291" s="871">
        <f>'Peers Stock History'!I294/'Peers Stock History'!I$1833*100</f>
        <v>366.68114682884448</v>
      </c>
      <c r="I291" s="871">
        <f>'Peers Stock History'!J294/'Peers Stock History'!J$1833*100</f>
        <v>177.27615196339258</v>
      </c>
      <c r="J291" s="871">
        <f>'Peers Stock History'!K294/'Peers Stock History'!K$1833*100</f>
        <v>234.27511925546102</v>
      </c>
    </row>
    <row r="292" spans="2:10">
      <c r="B292" s="870">
        <v>44319</v>
      </c>
      <c r="C292" s="871">
        <f>'Peers Stock History'!D295/'Peers Stock History'!D$1833*100</f>
        <v>158.83495145631068</v>
      </c>
      <c r="D292" s="871">
        <f>'Peers Stock History'!E295/'Peers Stock History'!E$1833*100</f>
        <v>544.46788990825689</v>
      </c>
      <c r="E292" s="871">
        <f>'Peers Stock History'!F295/'Peers Stock History'!F$1833*100</f>
        <v>590.6015037593985</v>
      </c>
      <c r="F292" s="871">
        <f>'Peers Stock History'!G295/'Peers Stock History'!G$1833*100</f>
        <v>342.73724778239557</v>
      </c>
      <c r="G292" s="871">
        <f>'Peers Stock History'!H295/'Peers Stock History'!H$1833*100</f>
        <v>218.52517112481186</v>
      </c>
      <c r="H292" s="871">
        <f>'Peers Stock History'!I295/'Peers Stock History'!I$1833*100</f>
        <v>369.33101650738485</v>
      </c>
      <c r="I292" s="871">
        <f>'Peers Stock History'!J295/'Peers Stock History'!J$1833*100</f>
        <v>178.46802170905607</v>
      </c>
      <c r="J292" s="871">
        <f>'Peers Stock History'!K295/'Peers Stock History'!K$1833*100</f>
        <v>238.77074082729615</v>
      </c>
    </row>
    <row r="293" spans="2:10">
      <c r="B293" s="870">
        <v>44318</v>
      </c>
      <c r="C293" s="871">
        <f>'Peers Stock History'!D296/'Peers Stock History'!D$1833*100</f>
        <v>159.58391123439668</v>
      </c>
      <c r="D293" s="871">
        <f>'Peers Stock History'!E296/'Peers Stock History'!E$1833*100</f>
        <v>550.80733944954125</v>
      </c>
      <c r="E293" s="871">
        <f>'Peers Stock History'!F296/'Peers Stock History'!F$1833*100</f>
        <v>613.68421052631584</v>
      </c>
      <c r="F293" s="871">
        <f>'Peers Stock History'!G296/'Peers Stock History'!G$1833*100</f>
        <v>350.38474512914496</v>
      </c>
      <c r="G293" s="871">
        <f>'Peers Stock History'!H296/'Peers Stock History'!H$1833*100</f>
        <v>221.46706150784019</v>
      </c>
      <c r="H293" s="871">
        <f>'Peers Stock History'!I296/'Peers Stock History'!I$1833*100</f>
        <v>373.89226759339704</v>
      </c>
      <c r="I293" s="871">
        <f>'Peers Stock History'!J296/'Peers Stock History'!J$1833*100</f>
        <v>177.97892944556776</v>
      </c>
      <c r="J293" s="871">
        <f>'Peers Stock History'!K296/'Peers Stock History'!K$1833*100</f>
        <v>239.93167727478934</v>
      </c>
    </row>
    <row r="294" spans="2:10">
      <c r="B294" s="870">
        <v>44317</v>
      </c>
      <c r="C294" s="871">
        <f>'Peers Stock History'!D297/'Peers Stock History'!D$1833*100</f>
        <v>159.58391123439668</v>
      </c>
      <c r="D294" s="871">
        <f>'Peers Stock History'!E297/'Peers Stock History'!E$1833*100</f>
        <v>550.80733944954125</v>
      </c>
      <c r="E294" s="871">
        <f>'Peers Stock History'!F297/'Peers Stock History'!F$1833*100</f>
        <v>613.68421052631584</v>
      </c>
      <c r="F294" s="871">
        <f>'Peers Stock History'!G297/'Peers Stock History'!G$1833*100</f>
        <v>350.38474512914496</v>
      </c>
      <c r="G294" s="871">
        <f>'Peers Stock History'!H297/'Peers Stock History'!H$1833*100</f>
        <v>221.46706150784019</v>
      </c>
      <c r="H294" s="871">
        <f>'Peers Stock History'!I297/'Peers Stock History'!I$1833*100</f>
        <v>373.89226759339704</v>
      </c>
      <c r="I294" s="871">
        <f>'Peers Stock History'!J297/'Peers Stock History'!J$1833*100</f>
        <v>177.97892944556776</v>
      </c>
      <c r="J294" s="871">
        <f>'Peers Stock History'!K297/'Peers Stock History'!K$1833*100</f>
        <v>239.93167727478934</v>
      </c>
    </row>
    <row r="295" spans="2:10">
      <c r="B295" s="870">
        <v>44316</v>
      </c>
      <c r="C295" s="871">
        <f>'Peers Stock History'!D298/'Peers Stock History'!D$1833*100</f>
        <v>159.58391123439668</v>
      </c>
      <c r="D295" s="871">
        <f>'Peers Stock History'!E298/'Peers Stock History'!E$1833*100</f>
        <v>550.80733944954125</v>
      </c>
      <c r="E295" s="871">
        <f>'Peers Stock History'!F298/'Peers Stock History'!F$1833*100</f>
        <v>613.68421052631584</v>
      </c>
      <c r="F295" s="871">
        <f>'Peers Stock History'!G298/'Peers Stock History'!G$1833*100</f>
        <v>350.38474512914496</v>
      </c>
      <c r="G295" s="871">
        <f>'Peers Stock History'!H298/'Peers Stock History'!H$1833*100</f>
        <v>221.46706150784019</v>
      </c>
      <c r="H295" s="871">
        <f>'Peers Stock History'!I298/'Peers Stock History'!I$1833*100</f>
        <v>373.89226759339704</v>
      </c>
      <c r="I295" s="871">
        <f>'Peers Stock History'!J298/'Peers Stock History'!J$1833*100</f>
        <v>177.97892944556776</v>
      </c>
      <c r="J295" s="871">
        <f>'Peers Stock History'!K298/'Peers Stock History'!K$1833*100</f>
        <v>239.93167727478934</v>
      </c>
    </row>
    <row r="296" spans="2:10">
      <c r="B296" s="870">
        <v>44315</v>
      </c>
      <c r="C296" s="871">
        <f>'Peers Stock History'!D299/'Peers Stock History'!D$1833*100</f>
        <v>161.66435506241334</v>
      </c>
      <c r="D296" s="871">
        <f>'Peers Stock History'!E299/'Peers Stock History'!E$1833*100</f>
        <v>562.37614678899081</v>
      </c>
      <c r="E296" s="871">
        <f>'Peers Stock History'!F299/'Peers Stock History'!F$1833*100</f>
        <v>630.90225563909769</v>
      </c>
      <c r="F296" s="871">
        <f>'Peers Stock History'!G299/'Peers Stock History'!G$1833*100</f>
        <v>350.38474512914496</v>
      </c>
      <c r="G296" s="871">
        <f>'Peers Stock History'!H299/'Peers Stock History'!H$1833*100</f>
        <v>226.36535754162824</v>
      </c>
      <c r="H296" s="871">
        <f>'Peers Stock History'!I299/'Peers Stock History'!I$1833*100</f>
        <v>382.53692441355349</v>
      </c>
      <c r="I296" s="871">
        <f>'Peers Stock History'!J299/'Peers Stock History'!J$1833*100</f>
        <v>179.26870277748219</v>
      </c>
      <c r="J296" s="871">
        <f>'Peers Stock History'!K299/'Peers Stock History'!K$1833*100</f>
        <v>241.99149746367348</v>
      </c>
    </row>
    <row r="297" spans="2:10">
      <c r="B297" s="870">
        <v>44314</v>
      </c>
      <c r="C297" s="871">
        <f>'Peers Stock History'!D300/'Peers Stock History'!D$1833*100</f>
        <v>159.83356449375867</v>
      </c>
      <c r="D297" s="871">
        <f>'Peers Stock History'!E300/'Peers Stock History'!E$1833*100</f>
        <v>560.61467889908261</v>
      </c>
      <c r="E297" s="871">
        <f>'Peers Stock History'!F300/'Peers Stock History'!F$1833*100</f>
        <v>631.72932330827064</v>
      </c>
      <c r="F297" s="871">
        <f>'Peers Stock History'!G300/'Peers Stock History'!G$1833*100</f>
        <v>351.5526942795762</v>
      </c>
      <c r="G297" s="871">
        <f>'Peers Stock History'!H300/'Peers Stock History'!H$1833*100</f>
        <v>222.92344288557695</v>
      </c>
      <c r="H297" s="871">
        <f>'Peers Stock History'!I300/'Peers Stock History'!I$1833*100</f>
        <v>373.71850564726327</v>
      </c>
      <c r="I297" s="871">
        <f>'Peers Stock History'!J300/'Peers Stock History'!J$1833*100</f>
        <v>178.06448866659574</v>
      </c>
      <c r="J297" s="871">
        <f>'Peers Stock History'!K300/'Peers Stock History'!K$1833*100</f>
        <v>241.44986459178205</v>
      </c>
    </row>
    <row r="298" spans="2:10">
      <c r="B298" s="870">
        <v>44313</v>
      </c>
      <c r="C298" s="871">
        <f>'Peers Stock History'!D301/'Peers Stock History'!D$1833*100</f>
        <v>160.80443828016644</v>
      </c>
      <c r="D298" s="871">
        <f>'Peers Stock History'!E301/'Peers Stock History'!E$1833*100</f>
        <v>564.46788990825678</v>
      </c>
      <c r="E298" s="871">
        <f>'Peers Stock History'!F301/'Peers Stock History'!F$1833*100</f>
        <v>640.67669172932324</v>
      </c>
      <c r="F298" s="871">
        <f>'Peers Stock History'!G301/'Peers Stock History'!G$1833*100</f>
        <v>355.40793044374681</v>
      </c>
      <c r="G298" s="871">
        <f>'Peers Stock History'!H301/'Peers Stock History'!H$1833*100</f>
        <v>226.39448516918299</v>
      </c>
      <c r="H298" s="871">
        <f>'Peers Stock History'!I301/'Peers Stock History'!I$1833*100</f>
        <v>388.61859252823632</v>
      </c>
      <c r="I298" s="871">
        <f>'Peers Stock History'!J301/'Peers Stock History'!J$1833*100</f>
        <v>178.21517505586891</v>
      </c>
      <c r="J298" s="871">
        <f>'Peers Stock History'!K301/'Peers Stock History'!K$1833*100</f>
        <v>242.12329708700494</v>
      </c>
    </row>
    <row r="299" spans="2:10">
      <c r="B299" s="870">
        <v>44312</v>
      </c>
      <c r="C299" s="871">
        <f>'Peers Stock History'!D302/'Peers Stock History'!D$1833*100</f>
        <v>162.99583911234396</v>
      </c>
      <c r="D299" s="871">
        <f>'Peers Stock History'!E302/'Peers Stock History'!E$1833*100</f>
        <v>568</v>
      </c>
      <c r="E299" s="871">
        <f>'Peers Stock History'!F302/'Peers Stock History'!F$1833*100</f>
        <v>642.18045112781942</v>
      </c>
      <c r="F299" s="871">
        <f>'Peers Stock History'!G302/'Peers Stock History'!G$1833*100</f>
        <v>356.50605080079879</v>
      </c>
      <c r="G299" s="871">
        <f>'Peers Stock History'!H302/'Peers Stock History'!H$1833*100</f>
        <v>229.06451769503374</v>
      </c>
      <c r="H299" s="871">
        <f>'Peers Stock History'!I302/'Peers Stock History'!I$1833*100</f>
        <v>381.58123370981758</v>
      </c>
      <c r="I299" s="871">
        <f>'Peers Stock History'!J302/'Peers Stock History'!J$1833*100</f>
        <v>178.25348515483665</v>
      </c>
      <c r="J299" s="871">
        <f>'Peers Stock History'!K302/'Peers Stock History'!K$1833*100</f>
        <v>242.95774163837072</v>
      </c>
    </row>
    <row r="300" spans="2:10">
      <c r="B300" s="870">
        <v>44311</v>
      </c>
      <c r="C300" s="871">
        <f>'Peers Stock History'!D303/'Peers Stock History'!D$1833*100</f>
        <v>164.32732316227464</v>
      </c>
      <c r="D300" s="871">
        <f>'Peers Stock History'!E303/'Peers Stock History'!E$1833*100</f>
        <v>560.19266055045875</v>
      </c>
      <c r="E300" s="871">
        <f>'Peers Stock History'!F303/'Peers Stock History'!F$1833*100</f>
        <v>622.25563909774428</v>
      </c>
      <c r="F300" s="871">
        <f>'Peers Stock History'!G303/'Peers Stock History'!G$1833*100</f>
        <v>349.34545704380241</v>
      </c>
      <c r="G300" s="871">
        <f>'Peers Stock History'!H303/'Peers Stock History'!H$1833*100</f>
        <v>226.28768386814895</v>
      </c>
      <c r="H300" s="871">
        <f>'Peers Stock History'!I303/'Peers Stock History'!I$1833*100</f>
        <v>373.71850564726327</v>
      </c>
      <c r="I300" s="871">
        <f>'Peers Stock History'!J303/'Peers Stock History'!J$1833*100</f>
        <v>177.93636266893688</v>
      </c>
      <c r="J300" s="871">
        <f>'Peers Stock History'!K303/'Peers Stock History'!K$1833*100</f>
        <v>240.86183550307246</v>
      </c>
    </row>
    <row r="301" spans="2:10">
      <c r="B301" s="870">
        <v>44310</v>
      </c>
      <c r="C301" s="871">
        <f>'Peers Stock History'!D304/'Peers Stock History'!D$1833*100</f>
        <v>164.32732316227464</v>
      </c>
      <c r="D301" s="871">
        <f>'Peers Stock History'!E304/'Peers Stock History'!E$1833*100</f>
        <v>560.19266055045875</v>
      </c>
      <c r="E301" s="871">
        <f>'Peers Stock History'!F304/'Peers Stock History'!F$1833*100</f>
        <v>622.25563909774428</v>
      </c>
      <c r="F301" s="871">
        <f>'Peers Stock History'!G304/'Peers Stock History'!G$1833*100</f>
        <v>349.34545704380241</v>
      </c>
      <c r="G301" s="871">
        <f>'Peers Stock History'!H304/'Peers Stock History'!H$1833*100</f>
        <v>226.28768386814895</v>
      </c>
      <c r="H301" s="871">
        <f>'Peers Stock History'!I304/'Peers Stock History'!I$1833*100</f>
        <v>373.71850564726327</v>
      </c>
      <c r="I301" s="871">
        <f>'Peers Stock History'!J304/'Peers Stock History'!J$1833*100</f>
        <v>177.93636266893688</v>
      </c>
      <c r="J301" s="871">
        <f>'Peers Stock History'!K304/'Peers Stock History'!K$1833*100</f>
        <v>240.86183550307246</v>
      </c>
    </row>
    <row r="302" spans="2:10">
      <c r="B302" s="870">
        <v>44309</v>
      </c>
      <c r="C302" s="871">
        <f>'Peers Stock History'!D305/'Peers Stock History'!D$1833*100</f>
        <v>164.32732316227464</v>
      </c>
      <c r="D302" s="871">
        <f>'Peers Stock History'!E305/'Peers Stock History'!E$1833*100</f>
        <v>560.19266055045875</v>
      </c>
      <c r="E302" s="871">
        <f>'Peers Stock History'!F305/'Peers Stock History'!F$1833*100</f>
        <v>622.25563909774428</v>
      </c>
      <c r="F302" s="871">
        <f>'Peers Stock History'!G305/'Peers Stock History'!G$1833*100</f>
        <v>349.34545704380241</v>
      </c>
      <c r="G302" s="871">
        <f>'Peers Stock History'!H305/'Peers Stock History'!H$1833*100</f>
        <v>226.28768386814895</v>
      </c>
      <c r="H302" s="871">
        <f>'Peers Stock History'!I305/'Peers Stock History'!I$1833*100</f>
        <v>373.71850564726327</v>
      </c>
      <c r="I302" s="871">
        <f>'Peers Stock History'!J305/'Peers Stock History'!J$1833*100</f>
        <v>177.93636266893688</v>
      </c>
      <c r="J302" s="871">
        <f>'Peers Stock History'!K305/'Peers Stock History'!K$1833*100</f>
        <v>240.86183550307246</v>
      </c>
    </row>
    <row r="303" spans="2:10">
      <c r="B303" s="870">
        <v>44308</v>
      </c>
      <c r="C303" s="871">
        <f>'Peers Stock History'!D306/'Peers Stock History'!D$1833*100</f>
        <v>173.56449375866853</v>
      </c>
      <c r="D303" s="871">
        <f>'Peers Stock History'!E306/'Peers Stock History'!E$1833*100</f>
        <v>544.96330275229354</v>
      </c>
      <c r="E303" s="871">
        <f>'Peers Stock History'!F306/'Peers Stock History'!F$1833*100</f>
        <v>594.43609022556393</v>
      </c>
      <c r="F303" s="871">
        <f>'Peers Stock History'!G306/'Peers Stock History'!G$1833*100</f>
        <v>342.30266675257127</v>
      </c>
      <c r="G303" s="871">
        <f>'Peers Stock History'!H306/'Peers Stock History'!H$1833*100</f>
        <v>220.93790960726247</v>
      </c>
      <c r="H303" s="871">
        <f>'Peers Stock History'!I306/'Peers Stock History'!I$1833*100</f>
        <v>367.98436142484792</v>
      </c>
      <c r="I303" s="871">
        <f>'Peers Stock History'!J306/'Peers Stock History'!J$1833*100</f>
        <v>176.01277003298924</v>
      </c>
      <c r="J303" s="871">
        <f>'Peers Stock History'!K306/'Peers Stock History'!K$1833*100</f>
        <v>237.45257275614148</v>
      </c>
    </row>
    <row r="304" spans="2:10">
      <c r="B304" s="870">
        <v>44307</v>
      </c>
      <c r="C304" s="871">
        <f>'Peers Stock History'!D307/'Peers Stock History'!D$1833*100</f>
        <v>176.69902912621362</v>
      </c>
      <c r="D304" s="871">
        <f>'Peers Stock History'!E307/'Peers Stock History'!E$1833*100</f>
        <v>563.68807339449529</v>
      </c>
      <c r="E304" s="871">
        <f>'Peers Stock History'!F307/'Peers Stock History'!F$1833*100</f>
        <v>613.60902255639087</v>
      </c>
      <c r="F304" s="871">
        <f>'Peers Stock History'!G307/'Peers Stock History'!G$1833*100</f>
        <v>342.82082852799493</v>
      </c>
      <c r="G304" s="871">
        <f>'Peers Stock History'!H307/'Peers Stock History'!H$1833*100</f>
        <v>223.20986455653187</v>
      </c>
      <c r="H304" s="871">
        <f>'Peers Stock History'!I307/'Peers Stock History'!I$1833*100</f>
        <v>388.74891398783666</v>
      </c>
      <c r="I304" s="871">
        <f>'Peers Stock History'!J307/'Peers Stock History'!J$1833*100</f>
        <v>177.64903692667872</v>
      </c>
      <c r="J304" s="871">
        <f>'Peers Stock History'!K307/'Peers Stock History'!K$1833*100</f>
        <v>239.71756732606573</v>
      </c>
    </row>
    <row r="305" spans="2:10">
      <c r="B305" s="870">
        <v>44306</v>
      </c>
      <c r="C305" s="871">
        <f>'Peers Stock History'!D308/'Peers Stock History'!D$1833*100</f>
        <v>173.92510402219142</v>
      </c>
      <c r="D305" s="871">
        <f>'Peers Stock History'!E308/'Peers Stock History'!E$1833*100</f>
        <v>556.74311926605503</v>
      </c>
      <c r="E305" s="871">
        <f>'Peers Stock History'!F308/'Peers Stock History'!F$1833*100</f>
        <v>596.01503759398486</v>
      </c>
      <c r="F305" s="871">
        <f>'Peers Stock History'!G308/'Peers Stock History'!G$1833*100</f>
        <v>348.36369577218358</v>
      </c>
      <c r="G305" s="871">
        <f>'Peers Stock History'!H308/'Peers Stock History'!H$1833*100</f>
        <v>221.98164959464052</v>
      </c>
      <c r="H305" s="871">
        <f>'Peers Stock History'!I308/'Peers Stock History'!I$1833*100</f>
        <v>380.01737619461341</v>
      </c>
      <c r="I305" s="871">
        <f>'Peers Stock History'!J308/'Peers Stock History'!J$1833*100</f>
        <v>176.01106736192401</v>
      </c>
      <c r="J305" s="871">
        <f>'Peers Stock History'!K308/'Peers Stock History'!K$1833*100</f>
        <v>236.90028593816587</v>
      </c>
    </row>
    <row r="306" spans="2:10">
      <c r="B306" s="870">
        <v>44305</v>
      </c>
      <c r="C306" s="871">
        <f>'Peers Stock History'!D309/'Peers Stock History'!D$1833*100</f>
        <v>176.50485436893206</v>
      </c>
      <c r="D306" s="871">
        <f>'Peers Stock History'!E309/'Peers Stock History'!E$1833*100</f>
        <v>563.73394495412845</v>
      </c>
      <c r="E306" s="871">
        <f>'Peers Stock History'!F309/'Peers Stock History'!F$1833*100</f>
        <v>609.84962406015029</v>
      </c>
      <c r="F306" s="871">
        <f>'Peers Stock History'!G309/'Peers Stock History'!G$1833*100</f>
        <v>348.64471468345613</v>
      </c>
      <c r="G306" s="871">
        <f>'Peers Stock History'!H309/'Peers Stock History'!H$1833*100</f>
        <v>224.2827321714646</v>
      </c>
      <c r="H306" s="871">
        <f>'Peers Stock History'!I309/'Peers Stock History'!I$1833*100</f>
        <v>384.05734144222413</v>
      </c>
      <c r="I306" s="871">
        <f>'Peers Stock History'!J309/'Peers Stock History'!J$1833*100</f>
        <v>177.21655847610941</v>
      </c>
      <c r="J306" s="871">
        <f>'Peers Stock History'!K309/'Peers Stock History'!K$1833*100</f>
        <v>239.10840218302795</v>
      </c>
    </row>
    <row r="307" spans="2:10">
      <c r="B307" s="870">
        <v>44304</v>
      </c>
      <c r="C307" s="871">
        <f>'Peers Stock History'!D310/'Peers Stock History'!D$1833*100</f>
        <v>179.61165048543691</v>
      </c>
      <c r="D307" s="871">
        <f>'Peers Stock History'!E310/'Peers Stock History'!E$1833*100</f>
        <v>583.94495412844037</v>
      </c>
      <c r="E307" s="871">
        <f>'Peers Stock History'!F310/'Peers Stock History'!F$1833*100</f>
        <v>617.66917293233087</v>
      </c>
      <c r="F307" s="871">
        <f>'Peers Stock History'!G310/'Peers Stock History'!G$1833*100</f>
        <v>350.26436350121497</v>
      </c>
      <c r="G307" s="871">
        <f>'Peers Stock History'!H310/'Peers Stock History'!H$1833*100</f>
        <v>232.43361328219817</v>
      </c>
      <c r="H307" s="871">
        <f>'Peers Stock History'!I310/'Peers Stock History'!I$1833*100</f>
        <v>393.8314509122502</v>
      </c>
      <c r="I307" s="871">
        <f>'Peers Stock History'!J310/'Peers Stock History'!J$1833*100</f>
        <v>178.16196658508034</v>
      </c>
      <c r="J307" s="871">
        <f>'Peers Stock History'!K310/'Peers Stock History'!K$1833*100</f>
        <v>241.47237534883081</v>
      </c>
    </row>
    <row r="308" spans="2:10">
      <c r="B308" s="870">
        <v>44303</v>
      </c>
      <c r="C308" s="871">
        <f>'Peers Stock History'!D311/'Peers Stock History'!D$1833*100</f>
        <v>179.61165048543691</v>
      </c>
      <c r="D308" s="871">
        <f>'Peers Stock History'!E311/'Peers Stock History'!E$1833*100</f>
        <v>583.94495412844037</v>
      </c>
      <c r="E308" s="871">
        <f>'Peers Stock History'!F311/'Peers Stock History'!F$1833*100</f>
        <v>617.66917293233087</v>
      </c>
      <c r="F308" s="871">
        <f>'Peers Stock History'!G311/'Peers Stock History'!G$1833*100</f>
        <v>350.26436350121497</v>
      </c>
      <c r="G308" s="871">
        <f>'Peers Stock History'!H311/'Peers Stock History'!H$1833*100</f>
        <v>232.43361328219817</v>
      </c>
      <c r="H308" s="871">
        <f>'Peers Stock History'!I311/'Peers Stock History'!I$1833*100</f>
        <v>393.8314509122502</v>
      </c>
      <c r="I308" s="871">
        <f>'Peers Stock History'!J311/'Peers Stock History'!J$1833*100</f>
        <v>178.16196658508034</v>
      </c>
      <c r="J308" s="871">
        <f>'Peers Stock History'!K311/'Peers Stock History'!K$1833*100</f>
        <v>241.47237534883081</v>
      </c>
    </row>
    <row r="309" spans="2:10">
      <c r="B309" s="870">
        <v>44302</v>
      </c>
      <c r="C309" s="871">
        <f>'Peers Stock History'!D312/'Peers Stock History'!D$1833*100</f>
        <v>179.61165048543691</v>
      </c>
      <c r="D309" s="871">
        <f>'Peers Stock History'!E312/'Peers Stock History'!E$1833*100</f>
        <v>583.94495412844037</v>
      </c>
      <c r="E309" s="871">
        <f>'Peers Stock History'!F312/'Peers Stock History'!F$1833*100</f>
        <v>617.66917293233087</v>
      </c>
      <c r="F309" s="871">
        <f>'Peers Stock History'!G312/'Peers Stock History'!G$1833*100</f>
        <v>350.26436350121497</v>
      </c>
      <c r="G309" s="871">
        <f>'Peers Stock History'!H312/'Peers Stock History'!H$1833*100</f>
        <v>232.43361328219817</v>
      </c>
      <c r="H309" s="871">
        <f>'Peers Stock History'!I312/'Peers Stock History'!I$1833*100</f>
        <v>393.8314509122502</v>
      </c>
      <c r="I309" s="871">
        <f>'Peers Stock History'!J312/'Peers Stock History'!J$1833*100</f>
        <v>178.16196658508034</v>
      </c>
      <c r="J309" s="871">
        <f>'Peers Stock History'!K312/'Peers Stock History'!K$1833*100</f>
        <v>241.47237534883081</v>
      </c>
    </row>
    <row r="310" spans="2:10">
      <c r="B310" s="870">
        <v>44301</v>
      </c>
      <c r="C310" s="871">
        <f>'Peers Stock History'!D313/'Peers Stock History'!D$1833*100</f>
        <v>180.36061026352289</v>
      </c>
      <c r="D310" s="871">
        <f>'Peers Stock History'!E313/'Peers Stock History'!E$1833*100</f>
        <v>592.19266055045864</v>
      </c>
      <c r="E310" s="871">
        <f>'Peers Stock History'!F313/'Peers Stock History'!F$1833*100</f>
        <v>624.13533834586462</v>
      </c>
      <c r="F310" s="871">
        <f>'Peers Stock History'!G313/'Peers Stock History'!G$1833*100</f>
        <v>355.58281587309062</v>
      </c>
      <c r="G310" s="871">
        <f>'Peers Stock History'!H313/'Peers Stock History'!H$1833*100</f>
        <v>233.02102043788531</v>
      </c>
      <c r="H310" s="871">
        <f>'Peers Stock History'!I313/'Peers Stock History'!I$1833*100</f>
        <v>392.13727193744569</v>
      </c>
      <c r="I310" s="871">
        <f>'Peers Stock History'!J313/'Peers Stock History'!J$1833*100</f>
        <v>177.52133659678623</v>
      </c>
      <c r="J310" s="871">
        <f>'Peers Stock History'!K313/'Peers Stock History'!K$1833*100</f>
        <v>241.23901956201971</v>
      </c>
    </row>
    <row r="311" spans="2:10">
      <c r="B311" s="870">
        <v>44300</v>
      </c>
      <c r="C311" s="871">
        <f>'Peers Stock History'!D314/'Peers Stock History'!D$1833*100</f>
        <v>178.05825242718447</v>
      </c>
      <c r="D311" s="871">
        <f>'Peers Stock History'!E314/'Peers Stock History'!E$1833*100</f>
        <v>560.62385321100919</v>
      </c>
      <c r="E311" s="871">
        <f>'Peers Stock History'!F314/'Peers Stock History'!F$1833*100</f>
        <v>590.6015037593985</v>
      </c>
      <c r="F311" s="871">
        <f>'Peers Stock History'!G314/'Peers Stock History'!G$1833*100</f>
        <v>350.0412717388204</v>
      </c>
      <c r="G311" s="871">
        <f>'Peers Stock History'!H314/'Peers Stock History'!H$1833*100</f>
        <v>231.71027719792221</v>
      </c>
      <c r="H311" s="871">
        <f>'Peers Stock History'!I314/'Peers Stock History'!I$1833*100</f>
        <v>393.87489139878369</v>
      </c>
      <c r="I311" s="871">
        <f>'Peers Stock History'!J314/'Peers Stock History'!J$1833*100</f>
        <v>175.57348089815898</v>
      </c>
      <c r="J311" s="871">
        <f>'Peers Stock History'!K314/'Peers Stock History'!K$1833*100</f>
        <v>238.13012935952602</v>
      </c>
    </row>
    <row r="312" spans="2:10">
      <c r="B312" s="870">
        <v>44299</v>
      </c>
      <c r="C312" s="871">
        <f>'Peers Stock History'!D315/'Peers Stock History'!D$1833*100</f>
        <v>180.91539528432733</v>
      </c>
      <c r="D312" s="871">
        <f>'Peers Stock History'!E315/'Peers Stock History'!E$1833*100</f>
        <v>575.39449541284398</v>
      </c>
      <c r="E312" s="871">
        <f>'Peers Stock History'!F315/'Peers Stock History'!F$1833*100</f>
        <v>602.93233082706763</v>
      </c>
      <c r="F312" s="871">
        <f>'Peers Stock History'!G315/'Peers Stock History'!G$1833*100</f>
        <v>346.42730962559239</v>
      </c>
      <c r="G312" s="871">
        <f>'Peers Stock History'!H315/'Peers Stock History'!H$1833*100</f>
        <v>235.42890431574347</v>
      </c>
      <c r="H312" s="871">
        <f>'Peers Stock History'!I315/'Peers Stock History'!I$1833*100</f>
        <v>400.30408340573416</v>
      </c>
      <c r="I312" s="871">
        <f>'Peers Stock History'!J315/'Peers Stock History'!J$1833*100</f>
        <v>176.29413642651909</v>
      </c>
      <c r="J312" s="871">
        <f>'Peers Stock History'!K315/'Peers Stock History'!K$1833*100</f>
        <v>240.50595933629353</v>
      </c>
    </row>
    <row r="313" spans="2:10">
      <c r="B313" s="870">
        <v>44298</v>
      </c>
      <c r="C313" s="871">
        <f>'Peers Stock History'!D316/'Peers Stock History'!D$1833*100</f>
        <v>181.42857142857144</v>
      </c>
      <c r="D313" s="871">
        <f>'Peers Stock History'!E316/'Peers Stock History'!E$1833*100</f>
        <v>558.12844036697254</v>
      </c>
      <c r="E313" s="871">
        <f>'Peers Stock History'!F316/'Peers Stock History'!F$1833*100</f>
        <v>590.82706766917295</v>
      </c>
      <c r="F313" s="871">
        <f>'Peers Stock History'!G316/'Peers Stock History'!G$1833*100</f>
        <v>346.08620596945639</v>
      </c>
      <c r="G313" s="871">
        <f>'Peers Stock History'!H316/'Peers Stock History'!H$1833*100</f>
        <v>234.80266032331664</v>
      </c>
      <c r="H313" s="871">
        <f>'Peers Stock History'!I316/'Peers Stock History'!I$1833*100</f>
        <v>415.24761077324069</v>
      </c>
      <c r="I313" s="871">
        <f>'Peers Stock History'!J316/'Peers Stock History'!J$1833*100</f>
        <v>175.71522826433969</v>
      </c>
      <c r="J313" s="871">
        <f>'Peers Stock History'!K316/'Peers Stock History'!K$1833*100</f>
        <v>237.99540849291341</v>
      </c>
    </row>
    <row r="314" spans="2:10">
      <c r="B314" s="870">
        <v>44297</v>
      </c>
      <c r="C314" s="871">
        <f>'Peers Stock History'!D317/'Peers Stock History'!D$1833*100</f>
        <v>189.34812760055482</v>
      </c>
      <c r="D314" s="871">
        <f>'Peers Stock History'!E317/'Peers Stock History'!E$1833*100</f>
        <v>528.44036697247714</v>
      </c>
      <c r="E314" s="871">
        <f>'Peers Stock History'!F317/'Peers Stock History'!F$1833*100</f>
        <v>622.25563909774428</v>
      </c>
      <c r="F314" s="871">
        <f>'Peers Stock History'!G317/'Peers Stock History'!G$1833*100</f>
        <v>348.88507903767101</v>
      </c>
      <c r="G314" s="871">
        <f>'Peers Stock History'!H317/'Peers Stock History'!H$1833*100</f>
        <v>235.49201417544538</v>
      </c>
      <c r="H314" s="871">
        <f>'Peers Stock History'!I317/'Peers Stock History'!I$1833*100</f>
        <v>413.98783666377062</v>
      </c>
      <c r="I314" s="871">
        <f>'Peers Stock History'!J317/'Peers Stock History'!J$1833*100</f>
        <v>175.74970735341066</v>
      </c>
      <c r="J314" s="871">
        <f>'Peers Stock History'!K317/'Peers Stock History'!K$1833*100</f>
        <v>238.85786261221011</v>
      </c>
    </row>
    <row r="315" spans="2:10">
      <c r="B315" s="870">
        <v>44296</v>
      </c>
      <c r="C315" s="871">
        <f>'Peers Stock History'!D318/'Peers Stock History'!D$1833*100</f>
        <v>189.34812760055482</v>
      </c>
      <c r="D315" s="871">
        <f>'Peers Stock History'!E318/'Peers Stock History'!E$1833*100</f>
        <v>528.44036697247714</v>
      </c>
      <c r="E315" s="871">
        <f>'Peers Stock History'!F318/'Peers Stock History'!F$1833*100</f>
        <v>622.25563909774428</v>
      </c>
      <c r="F315" s="871">
        <f>'Peers Stock History'!G318/'Peers Stock History'!G$1833*100</f>
        <v>348.88507903767101</v>
      </c>
      <c r="G315" s="871">
        <f>'Peers Stock History'!H318/'Peers Stock History'!H$1833*100</f>
        <v>235.49201417544538</v>
      </c>
      <c r="H315" s="871">
        <f>'Peers Stock History'!I318/'Peers Stock History'!I$1833*100</f>
        <v>413.98783666377062</v>
      </c>
      <c r="I315" s="871">
        <f>'Peers Stock History'!J318/'Peers Stock History'!J$1833*100</f>
        <v>175.74970735341066</v>
      </c>
      <c r="J315" s="871">
        <f>'Peers Stock History'!K318/'Peers Stock History'!K$1833*100</f>
        <v>238.85786261221011</v>
      </c>
    </row>
    <row r="316" spans="2:10">
      <c r="B316" s="870">
        <v>44295</v>
      </c>
      <c r="C316" s="871">
        <f>'Peers Stock History'!D319/'Peers Stock History'!D$1833*100</f>
        <v>189.34812760055482</v>
      </c>
      <c r="D316" s="871">
        <f>'Peers Stock History'!E319/'Peers Stock History'!E$1833*100</f>
        <v>528.44036697247714</v>
      </c>
      <c r="E316" s="871">
        <f>'Peers Stock History'!F319/'Peers Stock History'!F$1833*100</f>
        <v>622.25563909774428</v>
      </c>
      <c r="F316" s="871">
        <f>'Peers Stock History'!G319/'Peers Stock History'!G$1833*100</f>
        <v>348.88507903767101</v>
      </c>
      <c r="G316" s="871">
        <f>'Peers Stock History'!H319/'Peers Stock History'!H$1833*100</f>
        <v>235.49201417544538</v>
      </c>
      <c r="H316" s="871">
        <f>'Peers Stock History'!I319/'Peers Stock History'!I$1833*100</f>
        <v>413.98783666377062</v>
      </c>
      <c r="I316" s="871">
        <f>'Peers Stock History'!J319/'Peers Stock History'!J$1833*100</f>
        <v>175.74970735341066</v>
      </c>
      <c r="J316" s="871">
        <f>'Peers Stock History'!K319/'Peers Stock History'!K$1833*100</f>
        <v>238.85786261221011</v>
      </c>
    </row>
    <row r="317" spans="2:10">
      <c r="B317" s="870">
        <v>44294</v>
      </c>
      <c r="C317" s="871">
        <f>'Peers Stock History'!D320/'Peers Stock History'!D$1833*100</f>
        <v>185.99167822468794</v>
      </c>
      <c r="D317" s="871">
        <f>'Peers Stock History'!E320/'Peers Stock History'!E$1833*100</f>
        <v>525.39449541284398</v>
      </c>
      <c r="E317" s="871">
        <f>'Peers Stock History'!F320/'Peers Stock History'!F$1833*100</f>
        <v>626.69172932330821</v>
      </c>
      <c r="F317" s="871">
        <f>'Peers Stock History'!G320/'Peers Stock History'!G$1833*100</f>
        <v>350.76122991631809</v>
      </c>
      <c r="G317" s="871">
        <f>'Peers Stock History'!H320/'Peers Stock History'!H$1833*100</f>
        <v>235.68134375455122</v>
      </c>
      <c r="H317" s="871">
        <f>'Peers Stock History'!I320/'Peers Stock History'!I$1833*100</f>
        <v>413.94439617723719</v>
      </c>
      <c r="I317" s="871">
        <f>'Peers Stock History'!J320/'Peers Stock History'!J$1833*100</f>
        <v>174.40332020857721</v>
      </c>
      <c r="J317" s="871">
        <f>'Peers Stock History'!K320/'Peers Stock History'!K$1833*100</f>
        <v>237.63987600181463</v>
      </c>
    </row>
    <row r="318" spans="2:10">
      <c r="B318" s="870">
        <v>44293</v>
      </c>
      <c r="C318" s="871">
        <f>'Peers Stock History'!D321/'Peers Stock History'!D$1833*100</f>
        <v>183.77253814147019</v>
      </c>
      <c r="D318" s="871">
        <f>'Peers Stock History'!E321/'Peers Stock History'!E$1833*100</f>
        <v>519.02752293577987</v>
      </c>
      <c r="E318" s="871">
        <f>'Peers Stock History'!F321/'Peers Stock History'!F$1833*100</f>
        <v>618.0451127819548</v>
      </c>
      <c r="F318" s="871">
        <f>'Peers Stock History'!G321/'Peers Stock History'!G$1833*100</f>
        <v>348.71343189448368</v>
      </c>
      <c r="G318" s="871">
        <f>'Peers Stock History'!H321/'Peers Stock History'!H$1833*100</f>
        <v>234.21525316762944</v>
      </c>
      <c r="H318" s="871">
        <f>'Peers Stock History'!I321/'Peers Stock History'!I$1833*100</f>
        <v>408.16681146828842</v>
      </c>
      <c r="I318" s="871">
        <f>'Peers Stock History'!J321/'Peers Stock History'!J$1833*100</f>
        <v>173.67032031499414</v>
      </c>
      <c r="J318" s="871">
        <f>'Peers Stock History'!K321/'Peers Stock History'!K$1833*100</f>
        <v>235.22606986239231</v>
      </c>
    </row>
    <row r="319" spans="2:10">
      <c r="B319" s="870">
        <v>44292</v>
      </c>
      <c r="C319" s="871">
        <f>'Peers Stock History'!D322/'Peers Stock History'!D$1833*100</f>
        <v>181.85852981969489</v>
      </c>
      <c r="D319" s="871">
        <f>'Peers Stock History'!E322/'Peers Stock History'!E$1833*100</f>
        <v>508.67889908256882</v>
      </c>
      <c r="E319" s="871">
        <f>'Peers Stock History'!F322/'Peers Stock History'!F$1833*100</f>
        <v>612.33082706766913</v>
      </c>
      <c r="F319" s="871">
        <f>'Peers Stock History'!G322/'Peers Stock History'!G$1833*100</f>
        <v>348.98323900926374</v>
      </c>
      <c r="G319" s="871">
        <f>'Peers Stock History'!H322/'Peers Stock History'!H$1833*100</f>
        <v>234.89975241516578</v>
      </c>
      <c r="H319" s="871">
        <f>'Peers Stock History'!I322/'Peers Stock History'!I$1833*100</f>
        <v>406.12510860121631</v>
      </c>
      <c r="I319" s="871">
        <f>'Peers Stock History'!J322/'Peers Stock History'!J$1833*100</f>
        <v>173.4144939874428</v>
      </c>
      <c r="J319" s="871">
        <f>'Peers Stock History'!K322/'Peers Stock History'!K$1833*100</f>
        <v>235.39000316181625</v>
      </c>
    </row>
    <row r="320" spans="2:10">
      <c r="B320" s="870">
        <v>44291</v>
      </c>
      <c r="C320" s="871">
        <f>'Peers Stock History'!D323/'Peers Stock History'!D$1833*100</f>
        <v>184.57697642163663</v>
      </c>
      <c r="D320" s="871">
        <f>'Peers Stock History'!E323/'Peers Stock History'!E$1833*100</f>
        <v>513.30275229357801</v>
      </c>
      <c r="E320" s="871">
        <f>'Peers Stock History'!F323/'Peers Stock History'!F$1833*100</f>
        <v>612.25563909774439</v>
      </c>
      <c r="F320" s="871">
        <f>'Peers Stock History'!G323/'Peers Stock History'!G$1833*100</f>
        <v>343.88635923207704</v>
      </c>
      <c r="G320" s="871">
        <f>'Peers Stock History'!H323/'Peers Stock History'!H$1833*100</f>
        <v>237.13772513228798</v>
      </c>
      <c r="H320" s="871">
        <f>'Peers Stock History'!I323/'Peers Stock History'!I$1833*100</f>
        <v>407.25456125108605</v>
      </c>
      <c r="I320" s="871">
        <f>'Peers Stock History'!J323/'Peers Stock History'!J$1833*100</f>
        <v>173.58348409066721</v>
      </c>
      <c r="J320" s="871">
        <f>'Peers Stock History'!K323/'Peers Stock History'!K$1833*100</f>
        <v>235.51389824450465</v>
      </c>
    </row>
    <row r="321" spans="2:10">
      <c r="B321" s="870">
        <v>44290</v>
      </c>
      <c r="C321" s="871">
        <f>'Peers Stock History'!D324/'Peers Stock History'!D$1833*100</f>
        <v>179.05686546463247</v>
      </c>
      <c r="D321" s="871">
        <f>'Peers Stock History'!E324/'Peers Stock History'!E$1833*100</f>
        <v>506.85321100917429</v>
      </c>
      <c r="E321" s="871">
        <f>'Peers Stock History'!F324/'Peers Stock History'!F$1833*100</f>
        <v>609.69924812030069</v>
      </c>
      <c r="F321" s="871">
        <f>'Peers Stock History'!G324/'Peers Stock History'!G$1833*100</f>
        <v>343.88635923207704</v>
      </c>
      <c r="G321" s="871">
        <f>'Peers Stock History'!H324/'Peers Stock History'!H$1833*100</f>
        <v>231.05490557794064</v>
      </c>
      <c r="H321" s="871">
        <f>'Peers Stock History'!I324/'Peers Stock History'!I$1833*100</f>
        <v>401.43353605560384</v>
      </c>
      <c r="I321" s="871">
        <f>'Peers Stock History'!J324/'Peers Stock History'!J$1833*100</f>
        <v>171.11290837501329</v>
      </c>
      <c r="J321" s="871">
        <f>'Peers Stock History'!K324/'Peers Stock History'!K$1833*100</f>
        <v>231.63929862667203</v>
      </c>
    </row>
    <row r="322" spans="2:10">
      <c r="B322" s="870">
        <v>44289</v>
      </c>
      <c r="C322" s="871">
        <f>'Peers Stock History'!D325/'Peers Stock History'!D$1833*100</f>
        <v>179.05686546463247</v>
      </c>
      <c r="D322" s="871">
        <f>'Peers Stock History'!E325/'Peers Stock History'!E$1833*100</f>
        <v>506.85321100917429</v>
      </c>
      <c r="E322" s="871">
        <f>'Peers Stock History'!F325/'Peers Stock History'!F$1833*100</f>
        <v>609.69924812030069</v>
      </c>
      <c r="F322" s="871">
        <f>'Peers Stock History'!G325/'Peers Stock History'!G$1833*100</f>
        <v>343.88635923207704</v>
      </c>
      <c r="G322" s="871">
        <f>'Peers Stock History'!H325/'Peers Stock History'!H$1833*100</f>
        <v>231.05490557794064</v>
      </c>
      <c r="H322" s="871">
        <f>'Peers Stock History'!I325/'Peers Stock History'!I$1833*100</f>
        <v>401.43353605560384</v>
      </c>
      <c r="I322" s="871">
        <f>'Peers Stock History'!J325/'Peers Stock History'!J$1833*100</f>
        <v>171.11290837501329</v>
      </c>
      <c r="J322" s="871">
        <f>'Peers Stock History'!K325/'Peers Stock History'!K$1833*100</f>
        <v>231.63929862667203</v>
      </c>
    </row>
    <row r="323" spans="2:10">
      <c r="B323" s="870">
        <v>44288</v>
      </c>
      <c r="C323" s="871">
        <f>'Peers Stock History'!D326/'Peers Stock History'!D$1833*100</f>
        <v>179.05686546463247</v>
      </c>
      <c r="D323" s="871">
        <f>'Peers Stock History'!E326/'Peers Stock History'!E$1833*100</f>
        <v>506.85321100917429</v>
      </c>
      <c r="E323" s="871">
        <f>'Peers Stock History'!F326/'Peers Stock History'!F$1833*100</f>
        <v>609.69924812030069</v>
      </c>
      <c r="F323" s="871">
        <f>'Peers Stock History'!G326/'Peers Stock History'!G$1833*100</f>
        <v>343.88635923207704</v>
      </c>
      <c r="G323" s="871">
        <f>'Peers Stock History'!H326/'Peers Stock History'!H$1833*100</f>
        <v>231.05490557794064</v>
      </c>
      <c r="H323" s="871">
        <f>'Peers Stock History'!I326/'Peers Stock History'!I$1833*100</f>
        <v>401.43353605560384</v>
      </c>
      <c r="I323" s="871">
        <f>'Peers Stock History'!J326/'Peers Stock History'!J$1833*100</f>
        <v>171.11290837501329</v>
      </c>
      <c r="J323" s="871">
        <f>'Peers Stock History'!K326/'Peers Stock History'!K$1833*100</f>
        <v>231.63929862667203</v>
      </c>
    </row>
    <row r="324" spans="2:10">
      <c r="B324" s="870">
        <v>44287</v>
      </c>
      <c r="C324" s="871">
        <f>'Peers Stock History'!D327/'Peers Stock History'!D$1833*100</f>
        <v>179.05686546463247</v>
      </c>
      <c r="D324" s="871">
        <f>'Peers Stock History'!E327/'Peers Stock History'!E$1833*100</f>
        <v>506.85321100917429</v>
      </c>
      <c r="E324" s="871">
        <f>'Peers Stock History'!F327/'Peers Stock History'!F$1833*100</f>
        <v>609.69924812030069</v>
      </c>
      <c r="F324" s="871">
        <f>'Peers Stock History'!G327/'Peers Stock History'!G$1833*100</f>
        <v>343.88635923207704</v>
      </c>
      <c r="G324" s="871">
        <f>'Peers Stock History'!H327/'Peers Stock History'!H$1833*100</f>
        <v>231.05490557794064</v>
      </c>
      <c r="H324" s="871">
        <f>'Peers Stock History'!I327/'Peers Stock History'!I$1833*100</f>
        <v>401.43353605560384</v>
      </c>
      <c r="I324" s="871">
        <f>'Peers Stock History'!J327/'Peers Stock History'!J$1833*100</f>
        <v>171.11290837501329</v>
      </c>
      <c r="J324" s="871">
        <f>'Peers Stock History'!K327/'Peers Stock History'!K$1833*100</f>
        <v>231.63929862667203</v>
      </c>
    </row>
    <row r="325" spans="2:10">
      <c r="B325" s="870">
        <v>44286</v>
      </c>
      <c r="C325" s="871">
        <f>'Peers Stock History'!D328/'Peers Stock History'!D$1833*100</f>
        <v>177.53120665742026</v>
      </c>
      <c r="D325" s="871">
        <f>'Peers Stock History'!E328/'Peers Stock History'!E$1833*100</f>
        <v>489.84403669724765</v>
      </c>
      <c r="E325" s="871">
        <f>'Peers Stock History'!F328/'Peers Stock History'!F$1833*100</f>
        <v>590.22556390977434</v>
      </c>
      <c r="F325" s="871">
        <f>'Peers Stock History'!G328/'Peers Stock History'!G$1833*100</f>
        <v>335.70678931739252</v>
      </c>
      <c r="G325" s="871">
        <f>'Peers Stock History'!H328/'Peers Stock History'!H$1833*100</f>
        <v>225.08859653381231</v>
      </c>
      <c r="H325" s="871">
        <f>'Peers Stock History'!I328/'Peers Stock History'!I$1833*100</f>
        <v>383.18853171155513</v>
      </c>
      <c r="I325" s="871">
        <f>'Peers Stock History'!J328/'Peers Stock History'!J$1833*100</f>
        <v>169.11312120889644</v>
      </c>
      <c r="J325" s="871">
        <f>'Peers Stock History'!K328/'Peers Stock History'!K$1833*100</f>
        <v>227.63135284494732</v>
      </c>
    </row>
    <row r="326" spans="2:10">
      <c r="B326" s="870">
        <v>44285</v>
      </c>
      <c r="C326" s="871">
        <f>'Peers Stock History'!D329/'Peers Stock History'!D$1833*100</f>
        <v>176.89320388349518</v>
      </c>
      <c r="D326" s="871">
        <f>'Peers Stock History'!E329/'Peers Stock History'!E$1833*100</f>
        <v>472.35779816513758</v>
      </c>
      <c r="E326" s="871">
        <f>'Peers Stock History'!F329/'Peers Stock History'!F$1833*100</f>
        <v>571.42857142857144</v>
      </c>
      <c r="F326" s="871">
        <f>'Peers Stock History'!G329/'Peers Stock History'!G$1833*100</f>
        <v>340.75494291283724</v>
      </c>
      <c r="G326" s="871">
        <f>'Peers Stock History'!H329/'Peers Stock History'!H$1833*100</f>
        <v>221.44764308947038</v>
      </c>
      <c r="H326" s="871">
        <f>'Peers Stock History'!I329/'Peers Stock History'!I$1833*100</f>
        <v>375.9339704604692</v>
      </c>
      <c r="I326" s="871">
        <f>'Peers Stock History'!J329/'Peers Stock History'!J$1833*100</f>
        <v>168.50271363201023</v>
      </c>
      <c r="J326" s="871">
        <f>'Peers Stock History'!K329/'Peers Stock History'!K$1833*100</f>
        <v>224.16916404327566</v>
      </c>
    </row>
    <row r="327" spans="2:10">
      <c r="B327" s="870">
        <v>44284</v>
      </c>
      <c r="C327" s="871">
        <f>'Peers Stock History'!D330/'Peers Stock History'!D$1833*100</f>
        <v>178.91816920943137</v>
      </c>
      <c r="D327" s="871">
        <f>'Peers Stock History'!E330/'Peers Stock History'!E$1833*100</f>
        <v>475.16513761467883</v>
      </c>
      <c r="E327" s="871">
        <f>'Peers Stock History'!F330/'Peers Stock History'!F$1833*100</f>
        <v>580</v>
      </c>
      <c r="F327" s="871">
        <f>'Peers Stock History'!G330/'Peers Stock History'!G$1833*100</f>
        <v>341.752604676987</v>
      </c>
      <c r="G327" s="871">
        <f>'Peers Stock History'!H330/'Peers Stock History'!H$1833*100</f>
        <v>229.43832224865287</v>
      </c>
      <c r="H327" s="871">
        <f>'Peers Stock History'!I330/'Peers Stock History'!I$1833*100</f>
        <v>376.15117289313645</v>
      </c>
      <c r="I327" s="871">
        <f>'Peers Stock History'!J330/'Peers Stock History'!J$1833*100</f>
        <v>169.03650101096096</v>
      </c>
      <c r="J327" s="871">
        <f>'Peers Stock History'!K330/'Peers Stock History'!K$1833*100</f>
        <v>224.41420480321131</v>
      </c>
    </row>
    <row r="328" spans="2:10">
      <c r="B328" s="870">
        <v>44283</v>
      </c>
      <c r="C328" s="871">
        <f>'Peers Stock History'!D331/'Peers Stock History'!D$1833*100</f>
        <v>179.94452149791957</v>
      </c>
      <c r="D328" s="871">
        <f>'Peers Stock History'!E331/'Peers Stock History'!E$1833*100</f>
        <v>471.16513761467888</v>
      </c>
      <c r="E328" s="871">
        <f>'Peers Stock History'!F331/'Peers Stock History'!F$1833*100</f>
        <v>582.03007518796983</v>
      </c>
      <c r="F328" s="871">
        <f>'Peers Stock History'!G331/'Peers Stock History'!G$1833*100</f>
        <v>335.55854494949671</v>
      </c>
      <c r="G328" s="871">
        <f>'Peers Stock History'!H331/'Peers Stock History'!H$1833*100</f>
        <v>234.01135977474635</v>
      </c>
      <c r="H328" s="871">
        <f>'Peers Stock History'!I331/'Peers Stock History'!I$1833*100</f>
        <v>382.23284100781927</v>
      </c>
      <c r="I328" s="871">
        <f>'Peers Stock History'!J331/'Peers Stock History'!J$1833*100</f>
        <v>169.18335639033734</v>
      </c>
      <c r="J328" s="871">
        <f>'Peers Stock History'!K331/'Peers Stock History'!K$1833*100</f>
        <v>225.77292660462174</v>
      </c>
    </row>
    <row r="329" spans="2:10">
      <c r="B329" s="870">
        <v>44282</v>
      </c>
      <c r="C329" s="871">
        <f>'Peers Stock History'!D332/'Peers Stock History'!D$1833*100</f>
        <v>179.94452149791957</v>
      </c>
      <c r="D329" s="871">
        <f>'Peers Stock History'!E332/'Peers Stock History'!E$1833*100</f>
        <v>471.16513761467888</v>
      </c>
      <c r="E329" s="871">
        <f>'Peers Stock History'!F332/'Peers Stock History'!F$1833*100</f>
        <v>582.03007518796983</v>
      </c>
      <c r="F329" s="871">
        <f>'Peers Stock History'!G332/'Peers Stock History'!G$1833*100</f>
        <v>335.55854494949671</v>
      </c>
      <c r="G329" s="871">
        <f>'Peers Stock History'!H332/'Peers Stock History'!H$1833*100</f>
        <v>234.01135977474635</v>
      </c>
      <c r="H329" s="871">
        <f>'Peers Stock History'!I332/'Peers Stock History'!I$1833*100</f>
        <v>382.23284100781927</v>
      </c>
      <c r="I329" s="871">
        <f>'Peers Stock History'!J332/'Peers Stock History'!J$1833*100</f>
        <v>169.18335639033734</v>
      </c>
      <c r="J329" s="871">
        <f>'Peers Stock History'!K332/'Peers Stock History'!K$1833*100</f>
        <v>225.77292660462174</v>
      </c>
    </row>
    <row r="330" spans="2:10">
      <c r="B330" s="870">
        <v>44281</v>
      </c>
      <c r="C330" s="871">
        <f>'Peers Stock History'!D333/'Peers Stock History'!D$1833*100</f>
        <v>179.94452149791957</v>
      </c>
      <c r="D330" s="871">
        <f>'Peers Stock History'!E333/'Peers Stock History'!E$1833*100</f>
        <v>471.16513761467888</v>
      </c>
      <c r="E330" s="871">
        <f>'Peers Stock History'!F333/'Peers Stock History'!F$1833*100</f>
        <v>582.03007518796983</v>
      </c>
      <c r="F330" s="871">
        <f>'Peers Stock History'!G333/'Peers Stock History'!G$1833*100</f>
        <v>335.55854494949671</v>
      </c>
      <c r="G330" s="871">
        <f>'Peers Stock History'!H333/'Peers Stock History'!H$1833*100</f>
        <v>234.01135977474635</v>
      </c>
      <c r="H330" s="871">
        <f>'Peers Stock History'!I333/'Peers Stock History'!I$1833*100</f>
        <v>382.23284100781927</v>
      </c>
      <c r="I330" s="871">
        <f>'Peers Stock History'!J333/'Peers Stock History'!J$1833*100</f>
        <v>169.18335639033734</v>
      </c>
      <c r="J330" s="871">
        <f>'Peers Stock History'!K333/'Peers Stock History'!K$1833*100</f>
        <v>225.77292660462174</v>
      </c>
    </row>
    <row r="331" spans="2:10">
      <c r="B331" s="870">
        <v>44280</v>
      </c>
      <c r="C331" s="871">
        <f>'Peers Stock History'!D334/'Peers Stock History'!D$1833*100</f>
        <v>172.03883495145632</v>
      </c>
      <c r="D331" s="871">
        <f>'Peers Stock History'!E334/'Peers Stock History'!E$1833*100</f>
        <v>460.00917431192664</v>
      </c>
      <c r="E331" s="871">
        <f>'Peers Stock History'!F334/'Peers Stock History'!F$1833*100</f>
        <v>573.08270676691723</v>
      </c>
      <c r="F331" s="871">
        <f>'Peers Stock History'!G334/'Peers Stock History'!G$1833*100</f>
        <v>326.92452434859291</v>
      </c>
      <c r="G331" s="871">
        <f>'Peers Stock History'!H334/'Peers Stock History'!H$1833*100</f>
        <v>224.13709403369094</v>
      </c>
      <c r="H331" s="871">
        <f>'Peers Stock History'!I334/'Peers Stock History'!I$1833*100</f>
        <v>365.29105125977412</v>
      </c>
      <c r="I331" s="871">
        <f>'Peers Stock History'!J334/'Peers Stock History'!J$1833*100</f>
        <v>166.41566457380014</v>
      </c>
      <c r="J331" s="871">
        <f>'Peers Stock History'!K334/'Peers Stock History'!K$1833*100</f>
        <v>223.00565002818144</v>
      </c>
    </row>
    <row r="332" spans="2:10">
      <c r="B332" s="870">
        <v>44279</v>
      </c>
      <c r="C332" s="871">
        <f>'Peers Stock History'!D335/'Peers Stock History'!D$1833*100</f>
        <v>172.09431345353676</v>
      </c>
      <c r="D332" s="871">
        <f>'Peers Stock History'!E335/'Peers Stock History'!E$1833*100</f>
        <v>463.9633027522936</v>
      </c>
      <c r="E332" s="871">
        <f>'Peers Stock History'!F335/'Peers Stock History'!F$1833*100</f>
        <v>575.03759398496243</v>
      </c>
      <c r="F332" s="871">
        <f>'Peers Stock History'!G335/'Peers Stock History'!G$1833*100</f>
        <v>328.89553027149952</v>
      </c>
      <c r="G332" s="871">
        <f>'Peers Stock History'!H335/'Peers Stock History'!H$1833*100</f>
        <v>221.98650419923297</v>
      </c>
      <c r="H332" s="871">
        <f>'Peers Stock History'!I335/'Peers Stock History'!I$1833*100</f>
        <v>360.55603822762816</v>
      </c>
      <c r="I332" s="871">
        <f>'Peers Stock History'!J335/'Peers Stock History'!J$1833*100</f>
        <v>165.54815366606363</v>
      </c>
      <c r="J332" s="871">
        <f>'Peers Stock History'!K335/'Peers Stock History'!K$1833*100</f>
        <v>222.73431807871549</v>
      </c>
    </row>
    <row r="333" spans="2:10">
      <c r="B333" s="870">
        <v>44278</v>
      </c>
      <c r="C333" s="871">
        <f>'Peers Stock History'!D336/'Peers Stock History'!D$1833*100</f>
        <v>176.08876560332871</v>
      </c>
      <c r="D333" s="871">
        <f>'Peers Stock History'!E336/'Peers Stock History'!E$1833*100</f>
        <v>479.66055045871565</v>
      </c>
      <c r="E333" s="871">
        <f>'Peers Stock History'!F336/'Peers Stock History'!F$1833*100</f>
        <v>589.32330827067665</v>
      </c>
      <c r="F333" s="871">
        <f>'Peers Stock History'!G336/'Peers Stock History'!G$1833*100</f>
        <v>339.29261159852143</v>
      </c>
      <c r="G333" s="871">
        <f>'Peers Stock History'!H336/'Peers Stock History'!H$1833*100</f>
        <v>225.28278071751055</v>
      </c>
      <c r="H333" s="871">
        <f>'Peers Stock History'!I336/'Peers Stock History'!I$1833*100</f>
        <v>370.98175499565599</v>
      </c>
      <c r="I333" s="871">
        <f>'Peers Stock History'!J336/'Peers Stock History'!J$1833*100</f>
        <v>166.45823135043099</v>
      </c>
      <c r="J333" s="871">
        <f>'Peers Stock History'!K336/'Peers Stock History'!K$1833*100</f>
        <v>227.3019397055387</v>
      </c>
    </row>
    <row r="334" spans="2:10">
      <c r="B334" s="870">
        <v>44277</v>
      </c>
      <c r="C334" s="871">
        <f>'Peers Stock History'!D337/'Peers Stock History'!D$1833*100</f>
        <v>182.05270457697642</v>
      </c>
      <c r="D334" s="871">
        <f>'Peers Stock History'!E337/'Peers Stock History'!E$1833*100</f>
        <v>483.89908256880733</v>
      </c>
      <c r="E334" s="871">
        <f>'Peers Stock History'!F337/'Peers Stock History'!F$1833*100</f>
        <v>603.75939849624046</v>
      </c>
      <c r="F334" s="871">
        <f>'Peers Stock History'!G337/'Peers Stock History'!G$1833*100</f>
        <v>339.91497550819525</v>
      </c>
      <c r="G334" s="871">
        <f>'Peers Stock History'!H337/'Peers Stock History'!H$1833*100</f>
        <v>230.7296470702461</v>
      </c>
      <c r="H334" s="871">
        <f>'Peers Stock History'!I337/'Peers Stock History'!I$1833*100</f>
        <v>396.52476107732406</v>
      </c>
      <c r="I334" s="871">
        <f>'Peers Stock History'!J337/'Peers Stock History'!J$1833*100</f>
        <v>167.73821432372034</v>
      </c>
      <c r="J334" s="871">
        <f>'Peers Stock History'!K337/'Peers Stock History'!K$1833*100</f>
        <v>229.87675790110393</v>
      </c>
    </row>
    <row r="335" spans="2:10">
      <c r="B335" s="870">
        <v>44276</v>
      </c>
      <c r="C335" s="871">
        <f>'Peers Stock History'!D338/'Peers Stock History'!D$1833*100</f>
        <v>176.86546463245494</v>
      </c>
      <c r="D335" s="871">
        <f>'Peers Stock History'!E338/'Peers Stock History'!E$1833*100</f>
        <v>471.40366972477068</v>
      </c>
      <c r="E335" s="871">
        <f>'Peers Stock History'!F338/'Peers Stock History'!F$1833*100</f>
        <v>594.43609022556393</v>
      </c>
      <c r="F335" s="871">
        <f>'Peers Stock History'!G338/'Peers Stock History'!G$1833*100</f>
        <v>338.68501016038476</v>
      </c>
      <c r="G335" s="871">
        <f>'Peers Stock History'!H338/'Peers Stock History'!H$1833*100</f>
        <v>230.33156949366474</v>
      </c>
      <c r="H335" s="871">
        <f>'Peers Stock History'!I338/'Peers Stock History'!I$1833*100</f>
        <v>393.17984361424851</v>
      </c>
      <c r="I335" s="871">
        <f>'Peers Stock History'!J338/'Peers Stock History'!J$1833*100</f>
        <v>166.56805363413855</v>
      </c>
      <c r="J335" s="871">
        <f>'Peers Stock History'!K338/'Peers Stock History'!K$1833*100</f>
        <v>227.08782975681513</v>
      </c>
    </row>
    <row r="336" spans="2:10">
      <c r="B336" s="870">
        <v>44275</v>
      </c>
      <c r="C336" s="871">
        <f>'Peers Stock History'!D339/'Peers Stock History'!D$1833*100</f>
        <v>176.86546463245494</v>
      </c>
      <c r="D336" s="871">
        <f>'Peers Stock History'!E339/'Peers Stock History'!E$1833*100</f>
        <v>471.40366972477068</v>
      </c>
      <c r="E336" s="871">
        <f>'Peers Stock History'!F339/'Peers Stock History'!F$1833*100</f>
        <v>594.43609022556393</v>
      </c>
      <c r="F336" s="871">
        <f>'Peers Stock History'!G339/'Peers Stock History'!G$1833*100</f>
        <v>338.68501016038476</v>
      </c>
      <c r="G336" s="871">
        <f>'Peers Stock History'!H339/'Peers Stock History'!H$1833*100</f>
        <v>230.33156949366474</v>
      </c>
      <c r="H336" s="871">
        <f>'Peers Stock History'!I339/'Peers Stock History'!I$1833*100</f>
        <v>393.17984361424851</v>
      </c>
      <c r="I336" s="871">
        <f>'Peers Stock History'!J339/'Peers Stock History'!J$1833*100</f>
        <v>166.56805363413855</v>
      </c>
      <c r="J336" s="871">
        <f>'Peers Stock History'!K339/'Peers Stock History'!K$1833*100</f>
        <v>227.08782975681513</v>
      </c>
    </row>
    <row r="337" spans="2:10">
      <c r="B337" s="870">
        <v>44274</v>
      </c>
      <c r="C337" s="871">
        <f>'Peers Stock History'!D340/'Peers Stock History'!D$1833*100</f>
        <v>176.86546463245494</v>
      </c>
      <c r="D337" s="871">
        <f>'Peers Stock History'!E340/'Peers Stock History'!E$1833*100</f>
        <v>471.40366972477068</v>
      </c>
      <c r="E337" s="871">
        <f>'Peers Stock History'!F340/'Peers Stock History'!F$1833*100</f>
        <v>594.43609022556393</v>
      </c>
      <c r="F337" s="871">
        <f>'Peers Stock History'!G340/'Peers Stock History'!G$1833*100</f>
        <v>338.68501016038476</v>
      </c>
      <c r="G337" s="871">
        <f>'Peers Stock History'!H340/'Peers Stock History'!H$1833*100</f>
        <v>230.33156949366474</v>
      </c>
      <c r="H337" s="871">
        <f>'Peers Stock History'!I340/'Peers Stock History'!I$1833*100</f>
        <v>393.17984361424851</v>
      </c>
      <c r="I337" s="871">
        <f>'Peers Stock History'!J340/'Peers Stock History'!J$1833*100</f>
        <v>166.56805363413855</v>
      </c>
      <c r="J337" s="871">
        <f>'Peers Stock History'!K340/'Peers Stock History'!K$1833*100</f>
        <v>227.08782975681513</v>
      </c>
    </row>
    <row r="338" spans="2:10">
      <c r="B338" s="870">
        <v>44273</v>
      </c>
      <c r="C338" s="871">
        <f>'Peers Stock History'!D341/'Peers Stock History'!D$1833*100</f>
        <v>176.76837725381415</v>
      </c>
      <c r="D338" s="871">
        <f>'Peers Stock History'!E341/'Peers Stock History'!E$1833*100</f>
        <v>466.88073394495416</v>
      </c>
      <c r="E338" s="871">
        <f>'Peers Stock History'!F341/'Peers Stock History'!F$1833*100</f>
        <v>587.36842105263156</v>
      </c>
      <c r="F338" s="871">
        <f>'Peers Stock History'!G341/'Peers Stock History'!G$1833*100</f>
        <v>344.52757711271727</v>
      </c>
      <c r="G338" s="871">
        <f>'Peers Stock History'!H341/'Peers Stock History'!H$1833*100</f>
        <v>225.32647215884265</v>
      </c>
      <c r="H338" s="871">
        <f>'Peers Stock History'!I341/'Peers Stock History'!I$1833*100</f>
        <v>390.18245004344044</v>
      </c>
      <c r="I338" s="871">
        <f>'Peers Stock History'!J341/'Peers Stock History'!J$1833*100</f>
        <v>166.66851122698733</v>
      </c>
      <c r="J338" s="871">
        <f>'Peers Stock History'!K341/'Peers Stock History'!K$1833*100</f>
        <v>225.38543227527049</v>
      </c>
    </row>
    <row r="339" spans="2:10">
      <c r="B339" s="870">
        <v>44272</v>
      </c>
      <c r="C339" s="871">
        <f>'Peers Stock History'!D342/'Peers Stock History'!D$1833*100</f>
        <v>182.46879334257977</v>
      </c>
      <c r="D339" s="871">
        <f>'Peers Stock History'!E342/'Peers Stock History'!E$1833*100</f>
        <v>489.58715596330273</v>
      </c>
      <c r="E339" s="871">
        <f>'Peers Stock History'!F342/'Peers Stock History'!F$1833*100</f>
        <v>621.27819548872174</v>
      </c>
      <c r="F339" s="871">
        <f>'Peers Stock History'!G342/'Peers Stock History'!G$1833*100</f>
        <v>347.76435222405547</v>
      </c>
      <c r="G339" s="871">
        <f>'Peers Stock History'!H342/'Peers Stock History'!H$1833*100</f>
        <v>234.763823486577</v>
      </c>
      <c r="H339" s="871">
        <f>'Peers Stock History'!I342/'Peers Stock History'!I$1833*100</f>
        <v>411.64205039096441</v>
      </c>
      <c r="I339" s="871">
        <f>'Peers Stock History'!J342/'Peers Stock History'!J$1833*100</f>
        <v>169.16547834415238</v>
      </c>
      <c r="J339" s="871">
        <f>'Peers Stock History'!K342/'Peers Stock History'!K$1833*100</f>
        <v>232.4141154475345</v>
      </c>
    </row>
    <row r="340" spans="2:10">
      <c r="B340" s="870">
        <v>44271</v>
      </c>
      <c r="C340" s="871">
        <f>'Peers Stock History'!D343/'Peers Stock History'!D$1833*100</f>
        <v>179.69486823855758</v>
      </c>
      <c r="D340" s="871">
        <f>'Peers Stock History'!E343/'Peers Stock History'!E$1833*100</f>
        <v>487.75229357798162</v>
      </c>
      <c r="E340" s="871">
        <f>'Peers Stock History'!F343/'Peers Stock History'!F$1833*100</f>
        <v>622.18045112781954</v>
      </c>
      <c r="F340" s="871">
        <f>'Peers Stock History'!G343/'Peers Stock History'!G$1833*100</f>
        <v>353.29640408471261</v>
      </c>
      <c r="G340" s="871">
        <f>'Peers Stock History'!H343/'Peers Stock History'!H$1833*100</f>
        <v>232.13748240205834</v>
      </c>
      <c r="H340" s="871">
        <f>'Peers Stock History'!I343/'Peers Stock History'!I$1833*100</f>
        <v>397.17636837532586</v>
      </c>
      <c r="I340" s="871">
        <f>'Peers Stock History'!J343/'Peers Stock History'!J$1833*100</f>
        <v>168.67979142279449</v>
      </c>
      <c r="J340" s="871">
        <f>'Peers Stock History'!K343/'Peers Stock History'!K$1833*100</f>
        <v>231.49254911125473</v>
      </c>
    </row>
    <row r="341" spans="2:10">
      <c r="B341" s="870">
        <v>44270</v>
      </c>
      <c r="C341" s="871">
        <f>'Peers Stock History'!D344/'Peers Stock History'!D$1833*100</f>
        <v>176.94868238557561</v>
      </c>
      <c r="D341" s="871">
        <f>'Peers Stock History'!E344/'Peers Stock History'!E$1833*100</f>
        <v>484.08256880733944</v>
      </c>
      <c r="E341" s="871">
        <f>'Peers Stock History'!F344/'Peers Stock History'!F$1833*100</f>
        <v>620.30075187969919</v>
      </c>
      <c r="F341" s="871">
        <f>'Peers Stock History'!G344/'Peers Stock History'!G$1833*100</f>
        <v>352.15620088423407</v>
      </c>
      <c r="G341" s="871">
        <f>'Peers Stock History'!H344/'Peers Stock History'!H$1833*100</f>
        <v>228.54022039904848</v>
      </c>
      <c r="H341" s="871">
        <f>'Peers Stock History'!I344/'Peers Stock History'!I$1833*100</f>
        <v>385.96872284969589</v>
      </c>
      <c r="I341" s="871">
        <f>'Peers Stock History'!J344/'Peers Stock History'!J$1833*100</f>
        <v>168.94498244120464</v>
      </c>
      <c r="J341" s="871">
        <f>'Peers Stock History'!K344/'Peers Stock History'!K$1833*100</f>
        <v>231.28874943293511</v>
      </c>
    </row>
    <row r="342" spans="2:10">
      <c r="B342" s="870">
        <v>44269</v>
      </c>
      <c r="C342" s="871">
        <f>'Peers Stock History'!D345/'Peers Stock History'!D$1833*100</f>
        <v>174.47988904299586</v>
      </c>
      <c r="D342" s="871">
        <f>'Peers Stock History'!E345/'Peers Stock History'!E$1833*100</f>
        <v>471.77981651376149</v>
      </c>
      <c r="E342" s="871">
        <f>'Peers Stock History'!F345/'Peers Stock History'!F$1833*100</f>
        <v>609.39849624060139</v>
      </c>
      <c r="F342" s="871">
        <f>'Peers Stock History'!G345/'Peers Stock History'!G$1833*100</f>
        <v>354.70216275642684</v>
      </c>
      <c r="G342" s="871">
        <f>'Peers Stock History'!H345/'Peers Stock History'!H$1833*100</f>
        <v>219.02519539783484</v>
      </c>
      <c r="H342" s="871">
        <f>'Peers Stock History'!I345/'Peers Stock History'!I$1833*100</f>
        <v>381.27715030408342</v>
      </c>
      <c r="I342" s="871">
        <f>'Peers Stock History'!J345/'Peers Stock History'!J$1833*100</f>
        <v>167.85527295945514</v>
      </c>
      <c r="J342" s="871">
        <f>'Peers Stock History'!K345/'Peers Stock History'!K$1833*100</f>
        <v>228.88559723959699</v>
      </c>
    </row>
    <row r="343" spans="2:10">
      <c r="B343" s="870">
        <v>44268</v>
      </c>
      <c r="C343" s="871">
        <f>'Peers Stock History'!D346/'Peers Stock History'!D$1833*100</f>
        <v>174.47988904299586</v>
      </c>
      <c r="D343" s="871">
        <f>'Peers Stock History'!E346/'Peers Stock History'!E$1833*100</f>
        <v>471.77981651376149</v>
      </c>
      <c r="E343" s="871">
        <f>'Peers Stock History'!F346/'Peers Stock History'!F$1833*100</f>
        <v>609.39849624060139</v>
      </c>
      <c r="F343" s="871">
        <f>'Peers Stock History'!G346/'Peers Stock History'!G$1833*100</f>
        <v>354.70216275642684</v>
      </c>
      <c r="G343" s="871">
        <f>'Peers Stock History'!H346/'Peers Stock History'!H$1833*100</f>
        <v>219.02519539783484</v>
      </c>
      <c r="H343" s="871">
        <f>'Peers Stock History'!I346/'Peers Stock History'!I$1833*100</f>
        <v>381.27715030408342</v>
      </c>
      <c r="I343" s="871">
        <f>'Peers Stock History'!J346/'Peers Stock History'!J$1833*100</f>
        <v>167.85527295945514</v>
      </c>
      <c r="J343" s="871">
        <f>'Peers Stock History'!K346/'Peers Stock History'!K$1833*100</f>
        <v>228.88559723959699</v>
      </c>
    </row>
    <row r="344" spans="2:10">
      <c r="B344" s="870">
        <v>44267</v>
      </c>
      <c r="C344" s="871">
        <f>'Peers Stock History'!D347/'Peers Stock History'!D$1833*100</f>
        <v>174.47988904299586</v>
      </c>
      <c r="D344" s="871">
        <f>'Peers Stock History'!E347/'Peers Stock History'!E$1833*100</f>
        <v>471.77981651376149</v>
      </c>
      <c r="E344" s="871">
        <f>'Peers Stock History'!F347/'Peers Stock History'!F$1833*100</f>
        <v>609.39849624060139</v>
      </c>
      <c r="F344" s="871">
        <f>'Peers Stock History'!G347/'Peers Stock History'!G$1833*100</f>
        <v>354.70216275642684</v>
      </c>
      <c r="G344" s="871">
        <f>'Peers Stock History'!H347/'Peers Stock History'!H$1833*100</f>
        <v>219.02519539783484</v>
      </c>
      <c r="H344" s="871">
        <f>'Peers Stock History'!I347/'Peers Stock History'!I$1833*100</f>
        <v>381.27715030408342</v>
      </c>
      <c r="I344" s="871">
        <f>'Peers Stock History'!J347/'Peers Stock History'!J$1833*100</f>
        <v>167.85527295945514</v>
      </c>
      <c r="J344" s="871">
        <f>'Peers Stock History'!K347/'Peers Stock History'!K$1833*100</f>
        <v>228.88559723959699</v>
      </c>
    </row>
    <row r="345" spans="2:10">
      <c r="B345" s="870">
        <v>44266</v>
      </c>
      <c r="C345" s="871">
        <f>'Peers Stock History'!D348/'Peers Stock History'!D$1833*100</f>
        <v>175.61719833564496</v>
      </c>
      <c r="D345" s="871">
        <f>'Peers Stock History'!E348/'Peers Stock History'!E$1833*100</f>
        <v>476.82568807339453</v>
      </c>
      <c r="E345" s="871">
        <f>'Peers Stock History'!F348/'Peers Stock History'!F$1833*100</f>
        <v>610.75187969924821</v>
      </c>
      <c r="F345" s="871">
        <f>'Peers Stock History'!G348/'Peers Stock History'!G$1833*100</f>
        <v>352.62768641781918</v>
      </c>
      <c r="G345" s="871">
        <f>'Peers Stock History'!H348/'Peers Stock History'!H$1833*100</f>
        <v>220.24855575513374</v>
      </c>
      <c r="H345" s="871">
        <f>'Peers Stock History'!I348/'Peers Stock History'!I$1833*100</f>
        <v>387.96698523023457</v>
      </c>
      <c r="I345" s="871">
        <f>'Peers Stock History'!J348/'Peers Stock History'!J$1833*100</f>
        <v>167.68500585293179</v>
      </c>
      <c r="J345" s="871">
        <f>'Peers Stock History'!K348/'Peers Stock History'!K$1833*100</f>
        <v>230.23985125716564</v>
      </c>
    </row>
    <row r="346" spans="2:10">
      <c r="B346" s="870">
        <v>44265</v>
      </c>
      <c r="C346" s="871">
        <f>'Peers Stock History'!D349/'Peers Stock History'!D$1833*100</f>
        <v>172.67683772538143</v>
      </c>
      <c r="D346" s="871">
        <f>'Peers Stock History'!E349/'Peers Stock History'!E$1833*100</f>
        <v>457.55045871559633</v>
      </c>
      <c r="E346" s="871">
        <f>'Peers Stock History'!F349/'Peers Stock History'!F$1833*100</f>
        <v>582.85714285714278</v>
      </c>
      <c r="F346" s="871">
        <f>'Peers Stock History'!G349/'Peers Stock History'!G$1833*100</f>
        <v>343.77047338109355</v>
      </c>
      <c r="G346" s="871">
        <f>'Peers Stock History'!H349/'Peers Stock History'!H$1833*100</f>
        <v>212.43264236127965</v>
      </c>
      <c r="H346" s="871">
        <f>'Peers Stock History'!I349/'Peers Stock History'!I$1833*100</f>
        <v>371.02519548218942</v>
      </c>
      <c r="I346" s="871">
        <f>'Peers Stock History'!J349/'Peers Stock History'!J$1833*100</f>
        <v>165.95977439608384</v>
      </c>
      <c r="J346" s="871">
        <f>'Peers Stock History'!K349/'Peers Stock History'!K$1833*100</f>
        <v>224.57195194039289</v>
      </c>
    </row>
    <row r="347" spans="2:10">
      <c r="B347" s="870">
        <v>44264</v>
      </c>
      <c r="C347" s="871">
        <f>'Peers Stock History'!D350/'Peers Stock History'!D$1833*100</f>
        <v>173.84188626907076</v>
      </c>
      <c r="D347" s="871">
        <f>'Peers Stock History'!E350/'Peers Stock History'!E$1833*100</f>
        <v>459.45871559633025</v>
      </c>
      <c r="E347" s="871">
        <f>'Peers Stock History'!F350/'Peers Stock History'!F$1833*100</f>
        <v>590.45112781954879</v>
      </c>
      <c r="F347" s="871">
        <f>'Peers Stock History'!G350/'Peers Stock History'!G$1833*100</f>
        <v>342.74013744622749</v>
      </c>
      <c r="G347" s="871">
        <f>'Peers Stock History'!H350/'Peers Stock History'!H$1833*100</f>
        <v>215.35025972134571</v>
      </c>
      <c r="H347" s="871">
        <f>'Peers Stock History'!I350/'Peers Stock History'!I$1833*100</f>
        <v>387.92354474370114</v>
      </c>
      <c r="I347" s="871">
        <f>'Peers Stock History'!J350/'Peers Stock History'!J$1833*100</f>
        <v>164.96498882622112</v>
      </c>
      <c r="J347" s="871">
        <f>'Peers Stock History'!K350/'Peers Stock History'!K$1833*100</f>
        <v>224.65769902258637</v>
      </c>
    </row>
    <row r="348" spans="2:10">
      <c r="B348" s="870">
        <v>44263</v>
      </c>
      <c r="C348" s="871">
        <f>'Peers Stock History'!D351/'Peers Stock History'!D$1833*100</f>
        <v>166.01941747572818</v>
      </c>
      <c r="D348" s="871">
        <f>'Peers Stock History'!E351/'Peers Stock History'!E$1833*100</f>
        <v>425.44036697247708</v>
      </c>
      <c r="E348" s="871">
        <f>'Peers Stock History'!F351/'Peers Stock History'!F$1833*100</f>
        <v>556.09022556390971</v>
      </c>
      <c r="F348" s="871">
        <f>'Peers Stock History'!G351/'Peers Stock History'!G$1833*100</f>
        <v>344.06617864333703</v>
      </c>
      <c r="G348" s="871">
        <f>'Peers Stock History'!H351/'Peers Stock History'!H$1833*100</f>
        <v>204.50021845720667</v>
      </c>
      <c r="H348" s="871">
        <f>'Peers Stock History'!I351/'Peers Stock History'!I$1833*100</f>
        <v>369.46133796698524</v>
      </c>
      <c r="I348" s="871">
        <f>'Peers Stock History'!J351/'Peers Stock History'!J$1833*100</f>
        <v>162.66255187825902</v>
      </c>
      <c r="J348" s="871">
        <f>'Peers Stock History'!K351/'Peers Stock History'!K$1833*100</f>
        <v>216.67308194602919</v>
      </c>
    </row>
    <row r="349" spans="2:10">
      <c r="B349" s="870">
        <v>44262</v>
      </c>
      <c r="C349" s="871">
        <f>'Peers Stock History'!D352/'Peers Stock History'!D$1833*100</f>
        <v>168.48821081830792</v>
      </c>
      <c r="D349" s="871">
        <f>'Peers Stock History'!E352/'Peers Stock History'!E$1833*100</f>
        <v>457.30275229357795</v>
      </c>
      <c r="E349" s="871">
        <f>'Peers Stock History'!F352/'Peers Stock History'!F$1833*100</f>
        <v>590.37593984962405</v>
      </c>
      <c r="F349" s="871">
        <f>'Peers Stock History'!G352/'Peers Stock History'!G$1833*100</f>
        <v>349.87598525872829</v>
      </c>
      <c r="G349" s="871">
        <f>'Peers Stock History'!H352/'Peers Stock History'!H$1833*100</f>
        <v>218.52517112481186</v>
      </c>
      <c r="H349" s="871">
        <f>'Peers Stock History'!I352/'Peers Stock History'!I$1833*100</f>
        <v>386.31624674196354</v>
      </c>
      <c r="I349" s="871">
        <f>'Peers Stock History'!J352/'Peers Stock History'!J$1833*100</f>
        <v>163.53900180908801</v>
      </c>
      <c r="J349" s="871">
        <f>'Peers Stock History'!K352/'Peers Stock History'!K$1833*100</f>
        <v>222.01706693427545</v>
      </c>
    </row>
    <row r="350" spans="2:10">
      <c r="B350" s="870">
        <v>44261</v>
      </c>
      <c r="C350" s="871">
        <f>'Peers Stock History'!D353/'Peers Stock History'!D$1833*100</f>
        <v>168.48821081830792</v>
      </c>
      <c r="D350" s="871">
        <f>'Peers Stock History'!E353/'Peers Stock History'!E$1833*100</f>
        <v>457.30275229357795</v>
      </c>
      <c r="E350" s="871">
        <f>'Peers Stock History'!F353/'Peers Stock History'!F$1833*100</f>
        <v>590.37593984962405</v>
      </c>
      <c r="F350" s="871">
        <f>'Peers Stock History'!G353/'Peers Stock History'!G$1833*100</f>
        <v>349.87598525872829</v>
      </c>
      <c r="G350" s="871">
        <f>'Peers Stock History'!H353/'Peers Stock History'!H$1833*100</f>
        <v>218.52517112481186</v>
      </c>
      <c r="H350" s="871">
        <f>'Peers Stock History'!I353/'Peers Stock History'!I$1833*100</f>
        <v>386.31624674196354</v>
      </c>
      <c r="I350" s="871">
        <f>'Peers Stock History'!J353/'Peers Stock History'!J$1833*100</f>
        <v>163.53900180908801</v>
      </c>
      <c r="J350" s="871">
        <f>'Peers Stock History'!K353/'Peers Stock History'!K$1833*100</f>
        <v>222.01706693427545</v>
      </c>
    </row>
    <row r="351" spans="2:10">
      <c r="B351" s="870">
        <v>44260</v>
      </c>
      <c r="C351" s="871">
        <f>'Peers Stock History'!D354/'Peers Stock History'!D$1833*100</f>
        <v>168.48821081830792</v>
      </c>
      <c r="D351" s="871">
        <f>'Peers Stock History'!E354/'Peers Stock History'!E$1833*100</f>
        <v>457.30275229357795</v>
      </c>
      <c r="E351" s="871">
        <f>'Peers Stock History'!F354/'Peers Stock History'!F$1833*100</f>
        <v>590.37593984962405</v>
      </c>
      <c r="F351" s="871">
        <f>'Peers Stock History'!G354/'Peers Stock History'!G$1833*100</f>
        <v>349.87598525872829</v>
      </c>
      <c r="G351" s="871">
        <f>'Peers Stock History'!H354/'Peers Stock History'!H$1833*100</f>
        <v>218.52517112481186</v>
      </c>
      <c r="H351" s="871">
        <f>'Peers Stock History'!I354/'Peers Stock History'!I$1833*100</f>
        <v>386.31624674196354</v>
      </c>
      <c r="I351" s="871">
        <f>'Peers Stock History'!J354/'Peers Stock History'!J$1833*100</f>
        <v>163.53900180908801</v>
      </c>
      <c r="J351" s="871">
        <f>'Peers Stock History'!K354/'Peers Stock History'!K$1833*100</f>
        <v>222.01706693427545</v>
      </c>
    </row>
    <row r="352" spans="2:10">
      <c r="B352" s="870">
        <v>44259</v>
      </c>
      <c r="C352" s="871">
        <f>'Peers Stock History'!D355/'Peers Stock History'!D$1833*100</f>
        <v>161.80305131761443</v>
      </c>
      <c r="D352" s="871">
        <f>'Peers Stock History'!E355/'Peers Stock History'!E$1833*100</f>
        <v>453.95412844036696</v>
      </c>
      <c r="E352" s="871">
        <f>'Peers Stock History'!F355/'Peers Stock History'!F$1833*100</f>
        <v>584.58646616541353</v>
      </c>
      <c r="F352" s="871">
        <f>'Peers Stock History'!G355/'Peers Stock History'!G$1833*100</f>
        <v>350.69175177863031</v>
      </c>
      <c r="G352" s="871">
        <f>'Peers Stock History'!H355/'Peers Stock History'!H$1833*100</f>
        <v>215.3454051167532</v>
      </c>
      <c r="H352" s="871">
        <f>'Peers Stock History'!I355/'Peers Stock History'!I$1833*100</f>
        <v>366.33362293657689</v>
      </c>
      <c r="I352" s="871">
        <f>'Peers Stock History'!J355/'Peers Stock History'!J$1833*100</f>
        <v>160.41162073002022</v>
      </c>
      <c r="J352" s="871">
        <f>'Peers Stock History'!K355/'Peers Stock History'!K$1833*100</f>
        <v>218.63736029583603</v>
      </c>
    </row>
    <row r="353" spans="2:10">
      <c r="B353" s="870">
        <v>44258</v>
      </c>
      <c r="C353" s="871">
        <f>'Peers Stock History'!D356/'Peers Stock History'!D$1833*100</f>
        <v>166.15811373092927</v>
      </c>
      <c r="D353" s="871">
        <f>'Peers Stock History'!E356/'Peers Stock History'!E$1833*100</f>
        <v>469.89908256880739</v>
      </c>
      <c r="E353" s="871">
        <f>'Peers Stock History'!F356/'Peers Stock History'!F$1833*100</f>
        <v>607.96992481203006</v>
      </c>
      <c r="F353" s="871">
        <f>'Peers Stock History'!G356/'Peers Stock History'!G$1833*100</f>
        <v>364.19968926627854</v>
      </c>
      <c r="G353" s="871">
        <f>'Peers Stock History'!H356/'Peers Stock History'!H$1833*100</f>
        <v>224.79732025826499</v>
      </c>
      <c r="H353" s="871">
        <f>'Peers Stock History'!I356/'Peers Stock History'!I$1833*100</f>
        <v>387.09817549956557</v>
      </c>
      <c r="I353" s="871">
        <f>'Peers Stock History'!J356/'Peers Stock History'!J$1833*100</f>
        <v>162.59316803235072</v>
      </c>
      <c r="J353" s="871">
        <f>'Peers Stock History'!K356/'Peers Stock History'!K$1833*100</f>
        <v>223.35052857319607</v>
      </c>
    </row>
    <row r="354" spans="2:10">
      <c r="B354" s="870">
        <v>44257</v>
      </c>
      <c r="C354" s="871">
        <f>'Peers Stock History'!D357/'Peers Stock History'!D$1833*100</f>
        <v>169.875173370319</v>
      </c>
      <c r="D354" s="871">
        <f>'Peers Stock History'!E357/'Peers Stock History'!E$1833*100</f>
        <v>491.97247706422019</v>
      </c>
      <c r="E354" s="871">
        <f>'Peers Stock History'!F357/'Peers Stock History'!F$1833*100</f>
        <v>632.55639097744347</v>
      </c>
      <c r="F354" s="871">
        <f>'Peers Stock History'!G357/'Peers Stock History'!G$1833*100</f>
        <v>355.94719108300524</v>
      </c>
      <c r="G354" s="871">
        <f>'Peers Stock History'!H357/'Peers Stock History'!H$1833*100</f>
        <v>233.26860527210056</v>
      </c>
      <c r="H354" s="871">
        <f>'Peers Stock History'!I357/'Peers Stock History'!I$1833*100</f>
        <v>395.69939183318854</v>
      </c>
      <c r="I354" s="871">
        <f>'Peers Stock History'!J357/'Peers Stock History'!J$1833*100</f>
        <v>164.74576992657231</v>
      </c>
      <c r="J354" s="871">
        <f>'Peers Stock History'!K357/'Peers Stock History'!K$1833*100</f>
        <v>229.55456195097815</v>
      </c>
    </row>
    <row r="355" spans="2:10">
      <c r="B355" s="870">
        <v>44256</v>
      </c>
      <c r="C355" s="871">
        <f>'Peers Stock History'!D358/'Peers Stock History'!D$1833*100</f>
        <v>174.42441054091543</v>
      </c>
      <c r="D355" s="871">
        <f>'Peers Stock History'!E358/'Peers Stock History'!E$1833*100</f>
        <v>507.95412844036696</v>
      </c>
      <c r="E355" s="871">
        <f>'Peers Stock History'!F358/'Peers Stock History'!F$1833*100</f>
        <v>649.5488721804511</v>
      </c>
      <c r="F355" s="871">
        <f>'Peers Stock History'!G358/'Peers Stock History'!G$1833*100</f>
        <v>353.77429158157605</v>
      </c>
      <c r="G355" s="871">
        <f>'Peers Stock History'!H358/'Peers Stock History'!H$1833*100</f>
        <v>237.67173163745809</v>
      </c>
      <c r="H355" s="871">
        <f>'Peers Stock History'!I358/'Peers Stock History'!I$1833*100</f>
        <v>411.64205039096441</v>
      </c>
      <c r="I355" s="871">
        <f>'Peers Stock History'!J358/'Peers Stock History'!J$1833*100</f>
        <v>166.08790039374267</v>
      </c>
      <c r="J355" s="871">
        <f>'Peers Stock History'!K358/'Peers Stock History'!K$1833*100</f>
        <v>233.50751962388134</v>
      </c>
    </row>
    <row r="356" spans="2:10">
      <c r="B356" s="870">
        <v>44255</v>
      </c>
      <c r="C356" s="871">
        <f>'Peers Stock History'!D359/'Peers Stock History'!D$1833*100</f>
        <v>168.59916782246881</v>
      </c>
      <c r="D356" s="871">
        <f>'Peers Stock History'!E359/'Peers Stock History'!E$1833*100</f>
        <v>503.28440366972478</v>
      </c>
      <c r="E356" s="871">
        <f>'Peers Stock History'!F359/'Peers Stock History'!F$1833*100</f>
        <v>635.41353383458647</v>
      </c>
      <c r="F356" s="871">
        <f>'Peers Stock History'!G359/'Peers Stock History'!G$1833*100</f>
        <v>353.77429158157605</v>
      </c>
      <c r="G356" s="871">
        <f>'Peers Stock History'!H359/'Peers Stock History'!H$1833*100</f>
        <v>228.10330598572745</v>
      </c>
      <c r="H356" s="871">
        <f>'Peers Stock History'!I359/'Peers Stock History'!I$1833*100</f>
        <v>397.61077324066031</v>
      </c>
      <c r="I356" s="871">
        <f>'Peers Stock History'!J359/'Peers Stock History'!J$1833*100</f>
        <v>162.22837075662446</v>
      </c>
      <c r="J356" s="871">
        <f>'Peers Stock History'!K359/'Peers Stock History'!K$1833*100</f>
        <v>226.69449294090157</v>
      </c>
    </row>
    <row r="357" spans="2:10">
      <c r="B357" s="870">
        <v>44254</v>
      </c>
      <c r="C357" s="871">
        <f>'Peers Stock History'!D360/'Peers Stock History'!D$1833*100</f>
        <v>168.59916782246881</v>
      </c>
      <c r="D357" s="871">
        <f>'Peers Stock History'!E360/'Peers Stock History'!E$1833*100</f>
        <v>503.28440366972478</v>
      </c>
      <c r="E357" s="871">
        <f>'Peers Stock History'!F360/'Peers Stock History'!F$1833*100</f>
        <v>635.41353383458647</v>
      </c>
      <c r="F357" s="871">
        <f>'Peers Stock History'!G360/'Peers Stock History'!G$1833*100</f>
        <v>353.77429158157605</v>
      </c>
      <c r="G357" s="871">
        <f>'Peers Stock History'!H360/'Peers Stock History'!H$1833*100</f>
        <v>228.10330598572745</v>
      </c>
      <c r="H357" s="871">
        <f>'Peers Stock History'!I360/'Peers Stock History'!I$1833*100</f>
        <v>397.61077324066031</v>
      </c>
      <c r="I357" s="871">
        <f>'Peers Stock History'!J360/'Peers Stock History'!J$1833*100</f>
        <v>162.22837075662446</v>
      </c>
      <c r="J357" s="871">
        <f>'Peers Stock History'!K360/'Peers Stock History'!K$1833*100</f>
        <v>226.69449294090157</v>
      </c>
    </row>
    <row r="358" spans="2:10">
      <c r="B358" s="870">
        <v>44253</v>
      </c>
      <c r="C358" s="871">
        <f>'Peers Stock History'!D361/'Peers Stock History'!D$1833*100</f>
        <v>168.59916782246881</v>
      </c>
      <c r="D358" s="871">
        <f>'Peers Stock History'!E361/'Peers Stock History'!E$1833*100</f>
        <v>503.28440366972478</v>
      </c>
      <c r="E358" s="871">
        <f>'Peers Stock History'!F361/'Peers Stock History'!F$1833*100</f>
        <v>635.41353383458647</v>
      </c>
      <c r="F358" s="871">
        <f>'Peers Stock History'!G361/'Peers Stock History'!G$1833*100</f>
        <v>353.77429158157605</v>
      </c>
      <c r="G358" s="871">
        <f>'Peers Stock History'!H361/'Peers Stock History'!H$1833*100</f>
        <v>228.10330598572745</v>
      </c>
      <c r="H358" s="871">
        <f>'Peers Stock History'!I361/'Peers Stock History'!I$1833*100</f>
        <v>397.61077324066031</v>
      </c>
      <c r="I358" s="871">
        <f>'Peers Stock History'!J361/'Peers Stock History'!J$1833*100</f>
        <v>162.22837075662446</v>
      </c>
      <c r="J358" s="871">
        <f>'Peers Stock History'!K361/'Peers Stock History'!K$1833*100</f>
        <v>226.69449294090157</v>
      </c>
    </row>
    <row r="359" spans="2:10">
      <c r="B359" s="870">
        <v>44252</v>
      </c>
      <c r="C359" s="871">
        <f>'Peers Stock History'!D362/'Peers Stock History'!D$1833*100</f>
        <v>167.54507628294039</v>
      </c>
      <c r="D359" s="871">
        <f>'Peers Stock History'!E362/'Peers Stock History'!E$1833*100</f>
        <v>488.348623853211</v>
      </c>
      <c r="E359" s="871">
        <f>'Peers Stock History'!F362/'Peers Stock History'!F$1833*100</f>
        <v>619.69924812030069</v>
      </c>
      <c r="F359" s="871">
        <f>'Peers Stock History'!G362/'Peers Stock History'!G$1833*100</f>
        <v>370.71738846430208</v>
      </c>
      <c r="G359" s="871">
        <f>'Peers Stock History'!H362/'Peers Stock History'!H$1833*100</f>
        <v>221.93310354871593</v>
      </c>
      <c r="H359" s="871">
        <f>'Peers Stock History'!I362/'Peers Stock History'!I$1833*100</f>
        <v>382.79756733275417</v>
      </c>
      <c r="I359" s="871">
        <f>'Peers Stock History'!J362/'Peers Stock History'!J$1833*100</f>
        <v>163.00266042353942</v>
      </c>
      <c r="J359" s="871">
        <f>'Peers Stock History'!K362/'Peers Stock History'!K$1833*100</f>
        <v>225.44145141113233</v>
      </c>
    </row>
    <row r="360" spans="2:10">
      <c r="B360" s="870">
        <v>44251</v>
      </c>
      <c r="C360" s="871">
        <f>'Peers Stock History'!D363/'Peers Stock History'!D$1833*100</f>
        <v>175.28432732316227</v>
      </c>
      <c r="D360" s="871">
        <f>'Peers Stock History'!E363/'Peers Stock History'!E$1833*100</f>
        <v>532.07339449541291</v>
      </c>
      <c r="E360" s="871">
        <f>'Peers Stock History'!F363/'Peers Stock History'!F$1833*100</f>
        <v>653.68421052631572</v>
      </c>
      <c r="F360" s="871">
        <f>'Peers Stock History'!G363/'Peers Stock History'!G$1833*100</f>
        <v>365.48268583281964</v>
      </c>
      <c r="G360" s="871">
        <f>'Peers Stock History'!H363/'Peers Stock History'!H$1833*100</f>
        <v>233.44822564202144</v>
      </c>
      <c r="H360" s="871">
        <f>'Peers Stock History'!I363/'Peers Stock History'!I$1833*100</f>
        <v>401.91138140747177</v>
      </c>
      <c r="I360" s="871">
        <f>'Peers Stock History'!J363/'Peers Stock History'!J$1833*100</f>
        <v>167.09290198999679</v>
      </c>
      <c r="J360" s="871">
        <f>'Peers Stock History'!K363/'Peers Stock History'!K$1833*100</f>
        <v>233.66457940970267</v>
      </c>
    </row>
    <row r="361" spans="2:10">
      <c r="B361" s="870">
        <v>44250</v>
      </c>
      <c r="C361" s="871">
        <f>'Peers Stock History'!D364/'Peers Stock History'!D$1833*100</f>
        <v>169.54230235783635</v>
      </c>
      <c r="D361" s="871">
        <f>'Peers Stock History'!E364/'Peers Stock History'!E$1833*100</f>
        <v>518.97247706422013</v>
      </c>
      <c r="E361" s="871">
        <f>'Peers Stock History'!F364/'Peers Stock History'!F$1833*100</f>
        <v>637.14285714285711</v>
      </c>
      <c r="F361" s="871">
        <f>'Peers Stock History'!G364/'Peers Stock History'!G$1833*100</f>
        <v>374.46213053122517</v>
      </c>
      <c r="G361" s="871">
        <f>'Peers Stock History'!H364/'Peers Stock History'!H$1833*100</f>
        <v>229.08879071799601</v>
      </c>
      <c r="H361" s="871">
        <f>'Peers Stock History'!I364/'Peers Stock History'!I$1833*100</f>
        <v>383.2754126846221</v>
      </c>
      <c r="I361" s="871">
        <f>'Peers Stock History'!J364/'Peers Stock History'!J$1833*100</f>
        <v>165.217409811642</v>
      </c>
      <c r="J361" s="871">
        <f>'Peers Stock History'!K364/'Peers Stock History'!K$1833*100</f>
        <v>231.38308840713199</v>
      </c>
    </row>
    <row r="362" spans="2:10">
      <c r="B362" s="870">
        <v>44249</v>
      </c>
      <c r="C362" s="871">
        <f>'Peers Stock History'!D365/'Peers Stock History'!D$1833*100</f>
        <v>168.40499306518726</v>
      </c>
      <c r="D362" s="871">
        <f>'Peers Stock History'!E365/'Peers Stock History'!E$1833*100</f>
        <v>526.81651376146795</v>
      </c>
      <c r="E362" s="871">
        <f>'Peers Stock History'!F365/'Peers Stock History'!F$1833*100</f>
        <v>641.87969924812035</v>
      </c>
      <c r="F362" s="871">
        <f>'Peers Stock History'!G365/'Peers Stock History'!G$1833*100</f>
        <v>379.14792199789343</v>
      </c>
      <c r="G362" s="871">
        <f>'Peers Stock History'!H365/'Peers Stock History'!H$1833*100</f>
        <v>231.25394436623137</v>
      </c>
      <c r="H362" s="871">
        <f>'Peers Stock History'!I365/'Peers Stock History'!I$1833*100</f>
        <v>374.80451781059946</v>
      </c>
      <c r="I362" s="871">
        <f>'Peers Stock History'!J365/'Peers Stock History'!J$1833*100</f>
        <v>165.01010960944981</v>
      </c>
      <c r="J362" s="871">
        <f>'Peers Stock History'!K365/'Peers Stock History'!K$1833*100</f>
        <v>232.54900815198715</v>
      </c>
    </row>
    <row r="363" spans="2:10">
      <c r="B363" s="870">
        <v>44248</v>
      </c>
      <c r="C363" s="871">
        <f>'Peers Stock History'!D366/'Peers Stock History'!D$1833*100</f>
        <v>174.78502080443829</v>
      </c>
      <c r="D363" s="871">
        <f>'Peers Stock History'!E366/'Peers Stock History'!E$1833*100</f>
        <v>547.7614678899082</v>
      </c>
      <c r="E363" s="871">
        <f>'Peers Stock History'!F366/'Peers Stock History'!F$1833*100</f>
        <v>673.53383458646613</v>
      </c>
      <c r="F363" s="871">
        <f>'Peers Stock History'!G366/'Peers Stock History'!G$1833*100</f>
        <v>379.87864040872716</v>
      </c>
      <c r="G363" s="871">
        <f>'Peers Stock History'!H366/'Peers Stock History'!H$1833*100</f>
        <v>237.85620661197143</v>
      </c>
      <c r="H363" s="871">
        <f>'Peers Stock History'!I366/'Peers Stock History'!I$1833*100</f>
        <v>395.13466550825365</v>
      </c>
      <c r="I363" s="871">
        <f>'Peers Stock History'!J366/'Peers Stock History'!J$1833*100</f>
        <v>166.29605193146747</v>
      </c>
      <c r="J363" s="871">
        <f>'Peers Stock History'!K366/'Peers Stock History'!K$1833*100</f>
        <v>238.41589568755759</v>
      </c>
    </row>
    <row r="364" spans="2:10">
      <c r="B364" s="870">
        <v>44247</v>
      </c>
      <c r="C364" s="871">
        <f>'Peers Stock History'!D367/'Peers Stock History'!D$1833*100</f>
        <v>174.78502080443829</v>
      </c>
      <c r="D364" s="871">
        <f>'Peers Stock History'!E367/'Peers Stock History'!E$1833*100</f>
        <v>547.7614678899082</v>
      </c>
      <c r="E364" s="871">
        <f>'Peers Stock History'!F367/'Peers Stock History'!F$1833*100</f>
        <v>673.53383458646613</v>
      </c>
      <c r="F364" s="871">
        <f>'Peers Stock History'!G367/'Peers Stock History'!G$1833*100</f>
        <v>379.87864040872716</v>
      </c>
      <c r="G364" s="871">
        <f>'Peers Stock History'!H367/'Peers Stock History'!H$1833*100</f>
        <v>237.85620661197143</v>
      </c>
      <c r="H364" s="871">
        <f>'Peers Stock History'!I367/'Peers Stock History'!I$1833*100</f>
        <v>395.13466550825365</v>
      </c>
      <c r="I364" s="871">
        <f>'Peers Stock History'!J367/'Peers Stock History'!J$1833*100</f>
        <v>166.29605193146747</v>
      </c>
      <c r="J364" s="871">
        <f>'Peers Stock History'!K367/'Peers Stock History'!K$1833*100</f>
        <v>238.41589568755759</v>
      </c>
    </row>
    <row r="365" spans="2:10">
      <c r="B365" s="870">
        <v>44246</v>
      </c>
      <c r="C365" s="871">
        <f>'Peers Stock History'!D368/'Peers Stock History'!D$1833*100</f>
        <v>174.78502080443829</v>
      </c>
      <c r="D365" s="871">
        <f>'Peers Stock History'!E368/'Peers Stock History'!E$1833*100</f>
        <v>547.7614678899082</v>
      </c>
      <c r="E365" s="871">
        <f>'Peers Stock History'!F368/'Peers Stock History'!F$1833*100</f>
        <v>673.53383458646613</v>
      </c>
      <c r="F365" s="871">
        <f>'Peers Stock History'!G368/'Peers Stock History'!G$1833*100</f>
        <v>379.87864040872716</v>
      </c>
      <c r="G365" s="871">
        <f>'Peers Stock History'!H368/'Peers Stock History'!H$1833*100</f>
        <v>237.85620661197143</v>
      </c>
      <c r="H365" s="871">
        <f>'Peers Stock History'!I368/'Peers Stock History'!I$1833*100</f>
        <v>395.13466550825365</v>
      </c>
      <c r="I365" s="871">
        <f>'Peers Stock History'!J368/'Peers Stock History'!J$1833*100</f>
        <v>166.29605193146747</v>
      </c>
      <c r="J365" s="871">
        <f>'Peers Stock History'!K368/'Peers Stock History'!K$1833*100</f>
        <v>238.41589568755759</v>
      </c>
    </row>
    <row r="366" spans="2:10">
      <c r="B366" s="870">
        <v>44245</v>
      </c>
      <c r="C366" s="871">
        <f>'Peers Stock History'!D369/'Peers Stock History'!D$1833*100</f>
        <v>170.90152565880723</v>
      </c>
      <c r="D366" s="871">
        <f>'Peers Stock History'!E369/'Peers Stock History'!E$1833*100</f>
        <v>544.18348623853205</v>
      </c>
      <c r="E366" s="871">
        <f>'Peers Stock History'!F369/'Peers Stock History'!F$1833*100</f>
        <v>666.46616541353376</v>
      </c>
      <c r="F366" s="871">
        <f>'Peers Stock History'!G369/'Peers Stock History'!G$1833*100</f>
        <v>384.87056231535814</v>
      </c>
      <c r="G366" s="871">
        <f>'Peers Stock History'!H369/'Peers Stock History'!H$1833*100</f>
        <v>234.60362153502595</v>
      </c>
      <c r="H366" s="871">
        <f>'Peers Stock History'!I369/'Peers Stock History'!I$1833*100</f>
        <v>384.60034752389225</v>
      </c>
      <c r="I366" s="871">
        <f>'Peers Stock History'!J369/'Peers Stock History'!J$1833*100</f>
        <v>166.6050867298074</v>
      </c>
      <c r="J366" s="871">
        <f>'Peers Stock History'!K369/'Peers Stock History'!K$1833*100</f>
        <v>238.25928268012041</v>
      </c>
    </row>
    <row r="367" spans="2:10">
      <c r="B367" s="870">
        <v>44244</v>
      </c>
      <c r="C367" s="871">
        <f>'Peers Stock History'!D370/'Peers Stock History'!D$1833*100</f>
        <v>171.56726768377254</v>
      </c>
      <c r="D367" s="871">
        <f>'Peers Stock History'!E370/'Peers Stock History'!E$1833*100</f>
        <v>547.00917431192659</v>
      </c>
      <c r="E367" s="871">
        <f>'Peers Stock History'!F370/'Peers Stock History'!F$1833*100</f>
        <v>676.24060150375942</v>
      </c>
      <c r="F367" s="871">
        <f>'Peers Stock History'!G370/'Peers Stock History'!G$1833*100</f>
        <v>385.43173445968182</v>
      </c>
      <c r="G367" s="871">
        <f>'Peers Stock History'!H370/'Peers Stock History'!H$1833*100</f>
        <v>234.2249623768144</v>
      </c>
      <c r="H367" s="871">
        <f>'Peers Stock History'!I370/'Peers Stock History'!I$1833*100</f>
        <v>373.80538662033013</v>
      </c>
      <c r="I367" s="871">
        <f>'Peers Stock History'!J370/'Peers Stock History'!J$1833*100</f>
        <v>167.34404597211875</v>
      </c>
      <c r="J367" s="871">
        <f>'Peers Stock History'!K370/'Peers Stock History'!K$1833*100</f>
        <v>239.98013554568826</v>
      </c>
    </row>
    <row r="368" spans="2:10">
      <c r="B368" s="870">
        <v>44243</v>
      </c>
      <c r="C368" s="871">
        <f>'Peers Stock History'!D371/'Peers Stock History'!D$1833*100</f>
        <v>173.28710124826631</v>
      </c>
      <c r="D368" s="871">
        <f>'Peers Stock History'!E371/'Peers Stock History'!E$1833*100</f>
        <v>562.57798165137615</v>
      </c>
      <c r="E368" s="871">
        <f>'Peers Stock History'!F371/'Peers Stock History'!F$1833*100</f>
        <v>687.66917293233075</v>
      </c>
      <c r="F368" s="871">
        <f>'Peers Stock History'!G371/'Peers Stock History'!G$1833*100</f>
        <v>367.51511134867098</v>
      </c>
      <c r="G368" s="871">
        <f>'Peers Stock History'!H371/'Peers Stock History'!H$1833*100</f>
        <v>237.45327443079759</v>
      </c>
      <c r="H368" s="871">
        <f>'Peers Stock History'!I371/'Peers Stock History'!I$1833*100</f>
        <v>381.14682884448303</v>
      </c>
      <c r="I368" s="871">
        <f>'Peers Stock History'!J371/'Peers Stock History'!J$1833*100</f>
        <v>167.3976801106736</v>
      </c>
      <c r="J368" s="871">
        <f>'Peers Stock History'!K371/'Peers Stock History'!K$1833*100</f>
        <v>241.38920583423834</v>
      </c>
    </row>
    <row r="369" spans="2:10">
      <c r="B369" s="870">
        <v>44242</v>
      </c>
      <c r="C369" s="871">
        <f>'Peers Stock History'!D372/'Peers Stock History'!D$1833*100</f>
        <v>171.45631067961168</v>
      </c>
      <c r="D369" s="871">
        <f>'Peers Stock History'!E372/'Peers Stock History'!E$1833*100</f>
        <v>549.03669724770646</v>
      </c>
      <c r="E369" s="871">
        <f>'Peers Stock History'!F372/'Peers Stock History'!F$1833*100</f>
        <v>705.03759398496243</v>
      </c>
      <c r="F369" s="871">
        <f>'Peers Stock History'!G372/'Peers Stock History'!G$1833*100</f>
        <v>367.51511134867098</v>
      </c>
      <c r="G369" s="871">
        <f>'Peers Stock History'!H372/'Peers Stock History'!H$1833*100</f>
        <v>236.08913054031748</v>
      </c>
      <c r="H369" s="871">
        <f>'Peers Stock History'!I372/'Peers Stock History'!I$1833*100</f>
        <v>382.31972198088624</v>
      </c>
      <c r="I369" s="871">
        <f>'Peers Stock History'!J372/'Peers Stock History'!J$1833*100</f>
        <v>167.49302969032669</v>
      </c>
      <c r="J369" s="871">
        <f>'Peers Stock History'!K372/'Peers Stock History'!K$1833*100</f>
        <v>242.21351195304015</v>
      </c>
    </row>
    <row r="370" spans="2:10">
      <c r="B370" s="870">
        <v>44241</v>
      </c>
      <c r="C370" s="871">
        <f>'Peers Stock History'!D373/'Peers Stock History'!D$1833*100</f>
        <v>171.45631067961168</v>
      </c>
      <c r="D370" s="871">
        <f>'Peers Stock History'!E373/'Peers Stock History'!E$1833*100</f>
        <v>549.03669724770646</v>
      </c>
      <c r="E370" s="871">
        <f>'Peers Stock History'!F373/'Peers Stock History'!F$1833*100</f>
        <v>705.03759398496243</v>
      </c>
      <c r="F370" s="871">
        <f>'Peers Stock History'!G373/'Peers Stock History'!G$1833*100</f>
        <v>367.51511134867098</v>
      </c>
      <c r="G370" s="871">
        <f>'Peers Stock History'!H373/'Peers Stock History'!H$1833*100</f>
        <v>236.08913054031748</v>
      </c>
      <c r="H370" s="871">
        <f>'Peers Stock History'!I373/'Peers Stock History'!I$1833*100</f>
        <v>382.31972198088624</v>
      </c>
      <c r="I370" s="871">
        <f>'Peers Stock History'!J373/'Peers Stock History'!J$1833*100</f>
        <v>167.49302969032669</v>
      </c>
      <c r="J370" s="871">
        <f>'Peers Stock History'!K373/'Peers Stock History'!K$1833*100</f>
        <v>242.21351195304015</v>
      </c>
    </row>
    <row r="371" spans="2:10">
      <c r="B371" s="870">
        <v>44240</v>
      </c>
      <c r="C371" s="871">
        <f>'Peers Stock History'!D374/'Peers Stock History'!D$1833*100</f>
        <v>171.45631067961168</v>
      </c>
      <c r="D371" s="871">
        <f>'Peers Stock History'!E374/'Peers Stock History'!E$1833*100</f>
        <v>549.03669724770646</v>
      </c>
      <c r="E371" s="871">
        <f>'Peers Stock History'!F374/'Peers Stock History'!F$1833*100</f>
        <v>705.03759398496243</v>
      </c>
      <c r="F371" s="871">
        <f>'Peers Stock History'!G374/'Peers Stock History'!G$1833*100</f>
        <v>367.51511134867098</v>
      </c>
      <c r="G371" s="871">
        <f>'Peers Stock History'!H374/'Peers Stock History'!H$1833*100</f>
        <v>236.08913054031748</v>
      </c>
      <c r="H371" s="871">
        <f>'Peers Stock History'!I374/'Peers Stock History'!I$1833*100</f>
        <v>382.31972198088624</v>
      </c>
      <c r="I371" s="871">
        <f>'Peers Stock History'!J374/'Peers Stock History'!J$1833*100</f>
        <v>167.49302969032669</v>
      </c>
      <c r="J371" s="871">
        <f>'Peers Stock History'!K374/'Peers Stock History'!K$1833*100</f>
        <v>242.21351195304015</v>
      </c>
    </row>
    <row r="372" spans="2:10">
      <c r="B372" s="870">
        <v>44239</v>
      </c>
      <c r="C372" s="871">
        <f>'Peers Stock History'!D375/'Peers Stock History'!D$1833*100</f>
        <v>171.45631067961168</v>
      </c>
      <c r="D372" s="871">
        <f>'Peers Stock History'!E375/'Peers Stock History'!E$1833*100</f>
        <v>549.03669724770646</v>
      </c>
      <c r="E372" s="871">
        <f>'Peers Stock History'!F375/'Peers Stock History'!F$1833*100</f>
        <v>705.03759398496243</v>
      </c>
      <c r="F372" s="871">
        <f>'Peers Stock History'!G375/'Peers Stock History'!G$1833*100</f>
        <v>367.51511134867098</v>
      </c>
      <c r="G372" s="871">
        <f>'Peers Stock History'!H375/'Peers Stock History'!H$1833*100</f>
        <v>236.08913054031748</v>
      </c>
      <c r="H372" s="871">
        <f>'Peers Stock History'!I375/'Peers Stock History'!I$1833*100</f>
        <v>382.31972198088624</v>
      </c>
      <c r="I372" s="871">
        <f>'Peers Stock History'!J375/'Peers Stock History'!J$1833*100</f>
        <v>167.49302969032669</v>
      </c>
      <c r="J372" s="871">
        <f>'Peers Stock History'!K375/'Peers Stock History'!K$1833*100</f>
        <v>242.21351195304015</v>
      </c>
    </row>
    <row r="373" spans="2:10">
      <c r="B373" s="870">
        <v>44238</v>
      </c>
      <c r="C373" s="871">
        <f>'Peers Stock History'!D376/'Peers Stock History'!D$1833*100</f>
        <v>168.26629680998613</v>
      </c>
      <c r="D373" s="871">
        <f>'Peers Stock History'!E376/'Peers Stock History'!E$1833*100</f>
        <v>559.66055045871553</v>
      </c>
      <c r="E373" s="871">
        <f>'Peers Stock History'!F376/'Peers Stock History'!F$1833*100</f>
        <v>696.69172932330821</v>
      </c>
      <c r="F373" s="871">
        <f>'Peers Stock History'!G376/'Peers Stock History'!G$1833*100</f>
        <v>367.51511134867098</v>
      </c>
      <c r="G373" s="871">
        <f>'Peers Stock History'!H376/'Peers Stock History'!H$1833*100</f>
        <v>232.23942909849993</v>
      </c>
      <c r="H373" s="871">
        <f>'Peers Stock History'!I376/'Peers Stock History'!I$1833*100</f>
        <v>375.67332754126846</v>
      </c>
      <c r="I373" s="871">
        <f>'Peers Stock History'!J376/'Peers Stock History'!J$1833*100</f>
        <v>166.70767266148772</v>
      </c>
      <c r="J373" s="871">
        <f>'Peers Stock History'!K376/'Peers Stock History'!K$1833*100</f>
        <v>241.01580220777259</v>
      </c>
    </row>
    <row r="374" spans="2:10">
      <c r="B374" s="870">
        <v>44237</v>
      </c>
      <c r="C374" s="871">
        <f>'Peers Stock History'!D377/'Peers Stock History'!D$1833*100</f>
        <v>163.27323162274621</v>
      </c>
      <c r="D374" s="871">
        <f>'Peers Stock History'!E377/'Peers Stock History'!E$1833*100</f>
        <v>541.80733944954125</v>
      </c>
      <c r="E374" s="871">
        <f>'Peers Stock History'!F377/'Peers Stock History'!F$1833*100</f>
        <v>694.36090225563896</v>
      </c>
      <c r="F374" s="871">
        <f>'Peers Stock History'!G377/'Peers Stock History'!G$1833*100</f>
        <v>367.51511134867098</v>
      </c>
      <c r="G374" s="871">
        <f>'Peers Stock History'!H377/'Peers Stock History'!H$1833*100</f>
        <v>228.19068886839165</v>
      </c>
      <c r="H374" s="871">
        <f>'Peers Stock History'!I377/'Peers Stock History'!I$1833*100</f>
        <v>357.73240660295397</v>
      </c>
      <c r="I374" s="871">
        <f>'Peers Stock History'!J377/'Peers Stock History'!J$1833*100</f>
        <v>166.43098861338726</v>
      </c>
      <c r="J374" s="871">
        <f>'Peers Stock History'!K377/'Peers Stock History'!K$1833*100</f>
        <v>240.10093754725546</v>
      </c>
    </row>
    <row r="375" spans="2:10">
      <c r="B375" s="870">
        <v>44236</v>
      </c>
      <c r="C375" s="871">
        <f>'Peers Stock History'!D378/'Peers Stock History'!D$1833*100</f>
        <v>163.05131761442442</v>
      </c>
      <c r="D375" s="871">
        <f>'Peers Stock History'!E378/'Peers Stock History'!E$1833*100</f>
        <v>523.42201834862385</v>
      </c>
      <c r="E375" s="871">
        <f>'Peers Stock History'!F378/'Peers Stock History'!F$1833*100</f>
        <v>683.53383458646601</v>
      </c>
      <c r="F375" s="871">
        <f>'Peers Stock History'!G378/'Peers Stock History'!G$1833*100</f>
        <v>367.51511134867098</v>
      </c>
      <c r="G375" s="871">
        <f>'Peers Stock History'!H378/'Peers Stock History'!H$1833*100</f>
        <v>230.41409777173646</v>
      </c>
      <c r="H375" s="871">
        <f>'Peers Stock History'!I378/'Peers Stock History'!I$1833*100</f>
        <v>361.94613379669846</v>
      </c>
      <c r="I375" s="871">
        <f>'Peers Stock History'!J378/'Peers Stock History'!J$1833*100</f>
        <v>166.48845376183888</v>
      </c>
      <c r="J375" s="871">
        <f>'Peers Stock History'!K378/'Peers Stock History'!K$1833*100</f>
        <v>240.70523967941932</v>
      </c>
    </row>
    <row r="376" spans="2:10">
      <c r="B376" s="870">
        <v>44235</v>
      </c>
      <c r="C376" s="871">
        <f>'Peers Stock History'!D379/'Peers Stock History'!D$1833*100</f>
        <v>164.10540915395285</v>
      </c>
      <c r="D376" s="871">
        <f>'Peers Stock History'!E379/'Peers Stock History'!E$1833*100</f>
        <v>529.86238532110087</v>
      </c>
      <c r="E376" s="871">
        <f>'Peers Stock History'!F379/'Peers Stock History'!F$1833*100</f>
        <v>687.74436090225561</v>
      </c>
      <c r="F376" s="871">
        <f>'Peers Stock History'!G379/'Peers Stock History'!G$1833*100</f>
        <v>367.51511134867098</v>
      </c>
      <c r="G376" s="871">
        <f>'Peers Stock History'!H379/'Peers Stock History'!H$1833*100</f>
        <v>229.47715908539249</v>
      </c>
      <c r="H376" s="871">
        <f>'Peers Stock History'!I379/'Peers Stock History'!I$1833*100</f>
        <v>364.94352736750653</v>
      </c>
      <c r="I376" s="871">
        <f>'Peers Stock History'!J379/'Peers Stock History'!J$1833*100</f>
        <v>166.67404490794934</v>
      </c>
      <c r="J376" s="871">
        <f>'Peers Stock History'!K379/'Peers Stock History'!K$1833*100</f>
        <v>240.36061889116479</v>
      </c>
    </row>
    <row r="377" spans="2:10">
      <c r="B377" s="870">
        <v>44234</v>
      </c>
      <c r="C377" s="871">
        <f>'Peers Stock History'!D380/'Peers Stock History'!D$1833*100</f>
        <v>161.38696255201111</v>
      </c>
      <c r="D377" s="871">
        <f>'Peers Stock History'!E380/'Peers Stock History'!E$1833*100</f>
        <v>498.75229357798167</v>
      </c>
      <c r="E377" s="871">
        <f>'Peers Stock History'!F380/'Peers Stock History'!F$1833*100</f>
        <v>660.90225563909769</v>
      </c>
      <c r="F377" s="871">
        <f>'Peers Stock History'!G380/'Peers Stock History'!G$1833*100</f>
        <v>367.51511134867098</v>
      </c>
      <c r="G377" s="871">
        <f>'Peers Stock History'!H380/'Peers Stock History'!H$1833*100</f>
        <v>226.22942861303949</v>
      </c>
      <c r="H377" s="871">
        <f>'Peers Stock History'!I380/'Peers Stock History'!I$1833*100</f>
        <v>352.30234578627278</v>
      </c>
      <c r="I377" s="871">
        <f>'Peers Stock History'!J380/'Peers Stock History'!J$1833*100</f>
        <v>165.44982441204638</v>
      </c>
      <c r="J377" s="871">
        <f>'Peers Stock History'!K380/'Peers Stock History'!K$1833*100</f>
        <v>238.10359759701964</v>
      </c>
    </row>
    <row r="378" spans="2:10">
      <c r="B378" s="870">
        <v>44233</v>
      </c>
      <c r="C378" s="871">
        <f>'Peers Stock History'!D381/'Peers Stock History'!D$1833*100</f>
        <v>161.38696255201111</v>
      </c>
      <c r="D378" s="871">
        <f>'Peers Stock History'!E381/'Peers Stock History'!E$1833*100</f>
        <v>498.75229357798167</v>
      </c>
      <c r="E378" s="871">
        <f>'Peers Stock History'!F381/'Peers Stock History'!F$1833*100</f>
        <v>660.90225563909769</v>
      </c>
      <c r="F378" s="871">
        <f>'Peers Stock History'!G381/'Peers Stock History'!G$1833*100</f>
        <v>367.51511134867098</v>
      </c>
      <c r="G378" s="871">
        <f>'Peers Stock History'!H381/'Peers Stock History'!H$1833*100</f>
        <v>226.22942861303949</v>
      </c>
      <c r="H378" s="871">
        <f>'Peers Stock History'!I381/'Peers Stock History'!I$1833*100</f>
        <v>352.30234578627278</v>
      </c>
      <c r="I378" s="871">
        <f>'Peers Stock History'!J381/'Peers Stock History'!J$1833*100</f>
        <v>165.44982441204638</v>
      </c>
      <c r="J378" s="871">
        <f>'Peers Stock History'!K381/'Peers Stock History'!K$1833*100</f>
        <v>238.10359759701964</v>
      </c>
    </row>
    <row r="379" spans="2:10">
      <c r="B379" s="870">
        <v>44232</v>
      </c>
      <c r="C379" s="871">
        <f>'Peers Stock History'!D382/'Peers Stock History'!D$1833*100</f>
        <v>161.38696255201111</v>
      </c>
      <c r="D379" s="871">
        <f>'Peers Stock History'!E382/'Peers Stock History'!E$1833*100</f>
        <v>498.75229357798167</v>
      </c>
      <c r="E379" s="871">
        <f>'Peers Stock History'!F382/'Peers Stock History'!F$1833*100</f>
        <v>660.90225563909769</v>
      </c>
      <c r="F379" s="871">
        <f>'Peers Stock History'!G382/'Peers Stock History'!G$1833*100</f>
        <v>367.51511134867098</v>
      </c>
      <c r="G379" s="871">
        <f>'Peers Stock History'!H382/'Peers Stock History'!H$1833*100</f>
        <v>226.22942861303949</v>
      </c>
      <c r="H379" s="871">
        <f>'Peers Stock History'!I382/'Peers Stock History'!I$1833*100</f>
        <v>352.30234578627278</v>
      </c>
      <c r="I379" s="871">
        <f>'Peers Stock History'!J382/'Peers Stock History'!J$1833*100</f>
        <v>165.44982441204638</v>
      </c>
      <c r="J379" s="871">
        <f>'Peers Stock History'!K382/'Peers Stock History'!K$1833*100</f>
        <v>238.10359759701964</v>
      </c>
    </row>
    <row r="380" spans="2:10">
      <c r="B380" s="870">
        <v>44231</v>
      </c>
      <c r="C380" s="871">
        <f>'Peers Stock History'!D383/'Peers Stock History'!D$1833*100</f>
        <v>163.07905686546465</v>
      </c>
      <c r="D380" s="871">
        <f>'Peers Stock History'!E383/'Peers Stock History'!E$1833*100</f>
        <v>501.44036697247714</v>
      </c>
      <c r="E380" s="871">
        <f>'Peers Stock History'!F383/'Peers Stock History'!F$1833*100</f>
        <v>660.4511278195489</v>
      </c>
      <c r="F380" s="871">
        <f>'Peers Stock History'!G383/'Peers Stock History'!G$1833*100</f>
        <v>364.62058935515535</v>
      </c>
      <c r="G380" s="871">
        <f>'Peers Stock History'!H383/'Peers Stock History'!H$1833*100</f>
        <v>228.47225593475412</v>
      </c>
      <c r="H380" s="871">
        <f>'Peers Stock History'!I383/'Peers Stock History'!I$1833*100</f>
        <v>352.95395308427453</v>
      </c>
      <c r="I380" s="871">
        <f>'Peers Stock History'!J383/'Peers Stock History'!J$1833*100</f>
        <v>164.80749175268701</v>
      </c>
      <c r="J380" s="871">
        <f>'Peers Stock History'!K383/'Peers Stock History'!K$1833*100</f>
        <v>236.75375981194068</v>
      </c>
    </row>
    <row r="381" spans="2:10">
      <c r="B381" s="870">
        <v>44230</v>
      </c>
      <c r="C381" s="871">
        <f>'Peers Stock History'!D384/'Peers Stock History'!D$1833*100</f>
        <v>160</v>
      </c>
      <c r="D381" s="871">
        <f>'Peers Stock History'!E384/'Peers Stock History'!E$1833*100</f>
        <v>496.53211009174311</v>
      </c>
      <c r="E381" s="871">
        <f>'Peers Stock History'!F384/'Peers Stock History'!F$1833*100</f>
        <v>660.82706766917295</v>
      </c>
      <c r="F381" s="871">
        <f>'Peers Stock History'!G384/'Peers Stock History'!G$1833*100</f>
        <v>366.87668552063258</v>
      </c>
      <c r="G381" s="871">
        <f>'Peers Stock History'!H384/'Peers Stock History'!H$1833*100</f>
        <v>225.83135103645807</v>
      </c>
      <c r="H381" s="871">
        <f>'Peers Stock History'!I384/'Peers Stock History'!I$1833*100</f>
        <v>343.65768896611644</v>
      </c>
      <c r="I381" s="871">
        <f>'Peers Stock History'!J384/'Peers Stock History'!J$1833*100</f>
        <v>163.03799084814304</v>
      </c>
      <c r="J381" s="871">
        <f>'Peers Stock History'!K384/'Peers Stock History'!K$1833*100</f>
        <v>233.88063112601901</v>
      </c>
    </row>
    <row r="382" spans="2:10">
      <c r="B382" s="870">
        <v>44229</v>
      </c>
      <c r="C382" s="871">
        <f>'Peers Stock History'!D385/'Peers Stock History'!D$1833*100</f>
        <v>160.88765603328713</v>
      </c>
      <c r="D382" s="871">
        <f>'Peers Stock History'!E385/'Peers Stock History'!E$1833*100</f>
        <v>497.49541284403671</v>
      </c>
      <c r="E382" s="871">
        <f>'Peers Stock History'!F385/'Peers Stock History'!F$1833*100</f>
        <v>668.12030075187965</v>
      </c>
      <c r="F382" s="871">
        <f>'Peers Stock History'!G385/'Peers Stock History'!G$1833*100</f>
        <v>368.02819849177439</v>
      </c>
      <c r="G382" s="871">
        <f>'Peers Stock History'!H385/'Peers Stock History'!H$1833*100</f>
        <v>231.50638380503906</v>
      </c>
      <c r="H382" s="871">
        <f>'Peers Stock History'!I385/'Peers Stock History'!I$1833*100</f>
        <v>354.56125108601219</v>
      </c>
      <c r="I382" s="871">
        <f>'Peers Stock History'!J385/'Peers Stock History'!J$1833*100</f>
        <v>162.87368309034798</v>
      </c>
      <c r="J382" s="871">
        <f>'Peers Stock History'!K385/'Peers Stock History'!K$1833*100</f>
        <v>233.91901969948998</v>
      </c>
    </row>
    <row r="383" spans="2:10">
      <c r="B383" s="870">
        <v>44228</v>
      </c>
      <c r="C383" s="871">
        <f>'Peers Stock History'!D386/'Peers Stock History'!D$1833*100</f>
        <v>157.25381414701803</v>
      </c>
      <c r="D383" s="871">
        <f>'Peers Stock History'!E386/'Peers Stock History'!E$1833*100</f>
        <v>485.76146788990826</v>
      </c>
      <c r="E383" s="871">
        <f>'Peers Stock History'!F386/'Peers Stock History'!F$1833*100</f>
        <v>659.0977443609022</v>
      </c>
      <c r="F383" s="871">
        <f>'Peers Stock History'!G386/'Peers Stock History'!G$1833*100</f>
        <v>354.87205847460035</v>
      </c>
      <c r="G383" s="871">
        <f>'Peers Stock History'!H386/'Peers Stock History'!H$1833*100</f>
        <v>226.58381474828872</v>
      </c>
      <c r="H383" s="871">
        <f>'Peers Stock History'!I386/'Peers Stock History'!I$1833*100</f>
        <v>349.39183318853173</v>
      </c>
      <c r="I383" s="871">
        <f>'Peers Stock History'!J386/'Peers Stock History'!J$1833*100</f>
        <v>160.64105565606047</v>
      </c>
      <c r="J383" s="871">
        <f>'Peers Stock History'!K386/'Peers Stock History'!K$1833*100</f>
        <v>230.32102745281335</v>
      </c>
    </row>
    <row r="384" spans="2:10">
      <c r="B384" s="870">
        <v>44227</v>
      </c>
      <c r="C384" s="871">
        <f>'Peers Stock History'!D387/'Peers Stock History'!D$1833*100</f>
        <v>153.98058252427185</v>
      </c>
      <c r="D384" s="871">
        <f>'Peers Stock History'!E387/'Peers Stock History'!E$1833*100</f>
        <v>476.6880733944954</v>
      </c>
      <c r="E384" s="871">
        <f>'Peers Stock History'!F387/'Peers Stock History'!F$1833*100</f>
        <v>643.90977443609017</v>
      </c>
      <c r="F384" s="871">
        <f>'Peers Stock History'!G387/'Peers Stock History'!G$1833*100</f>
        <v>343.34176273749932</v>
      </c>
      <c r="G384" s="871">
        <f>'Peers Stock History'!H387/'Peers Stock History'!H$1833*100</f>
        <v>218.69993689014029</v>
      </c>
      <c r="H384" s="871">
        <f>'Peers Stock History'!I387/'Peers Stock History'!I$1833*100</f>
        <v>340.00868809730667</v>
      </c>
      <c r="I384" s="871">
        <f>'Peers Stock History'!J387/'Peers Stock History'!J$1833*100</f>
        <v>158.10322443332979</v>
      </c>
      <c r="J384" s="871">
        <f>'Peers Stock History'!K387/'Peers Stock History'!K$1833*100</f>
        <v>224.60399969756543</v>
      </c>
    </row>
    <row r="385" spans="2:10">
      <c r="B385" s="870">
        <v>44226</v>
      </c>
      <c r="C385" s="871">
        <f>'Peers Stock History'!D388/'Peers Stock History'!D$1833*100</f>
        <v>153.98058252427185</v>
      </c>
      <c r="D385" s="871">
        <f>'Peers Stock History'!E388/'Peers Stock History'!E$1833*100</f>
        <v>476.6880733944954</v>
      </c>
      <c r="E385" s="871">
        <f>'Peers Stock History'!F388/'Peers Stock History'!F$1833*100</f>
        <v>643.90977443609017</v>
      </c>
      <c r="F385" s="871">
        <f>'Peers Stock History'!G388/'Peers Stock History'!G$1833*100</f>
        <v>343.34176273749932</v>
      </c>
      <c r="G385" s="871">
        <f>'Peers Stock History'!H388/'Peers Stock History'!H$1833*100</f>
        <v>218.69993689014029</v>
      </c>
      <c r="H385" s="871">
        <f>'Peers Stock History'!I388/'Peers Stock History'!I$1833*100</f>
        <v>340.00868809730667</v>
      </c>
      <c r="I385" s="871">
        <f>'Peers Stock History'!J388/'Peers Stock History'!J$1833*100</f>
        <v>158.10322443332979</v>
      </c>
      <c r="J385" s="871">
        <f>'Peers Stock History'!K388/'Peers Stock History'!K$1833*100</f>
        <v>224.60399969756543</v>
      </c>
    </row>
    <row r="386" spans="2:10">
      <c r="B386" s="870">
        <v>44225</v>
      </c>
      <c r="C386" s="871">
        <f>'Peers Stock History'!D389/'Peers Stock History'!D$1833*100</f>
        <v>153.98058252427185</v>
      </c>
      <c r="D386" s="871">
        <f>'Peers Stock History'!E389/'Peers Stock History'!E$1833*100</f>
        <v>476.6880733944954</v>
      </c>
      <c r="E386" s="871">
        <f>'Peers Stock History'!F389/'Peers Stock History'!F$1833*100</f>
        <v>643.90977443609017</v>
      </c>
      <c r="F386" s="871">
        <f>'Peers Stock History'!G389/'Peers Stock History'!G$1833*100</f>
        <v>343.34176273749932</v>
      </c>
      <c r="G386" s="871">
        <f>'Peers Stock History'!H389/'Peers Stock History'!H$1833*100</f>
        <v>218.69993689014029</v>
      </c>
      <c r="H386" s="871">
        <f>'Peers Stock History'!I389/'Peers Stock History'!I$1833*100</f>
        <v>340.00868809730667</v>
      </c>
      <c r="I386" s="871">
        <f>'Peers Stock History'!J389/'Peers Stock History'!J$1833*100</f>
        <v>158.10322443332979</v>
      </c>
      <c r="J386" s="871">
        <f>'Peers Stock History'!K389/'Peers Stock History'!K$1833*100</f>
        <v>224.60399969756543</v>
      </c>
    </row>
    <row r="387" spans="2:10">
      <c r="B387" s="870">
        <v>44224</v>
      </c>
      <c r="C387" s="871">
        <f>'Peers Stock History'!D390/'Peers Stock History'!D$1833*100</f>
        <v>155.52011095700416</v>
      </c>
      <c r="D387" s="871">
        <f>'Peers Stock History'!E390/'Peers Stock History'!E$1833*100</f>
        <v>478.93577981651373</v>
      </c>
      <c r="E387" s="871">
        <f>'Peers Stock History'!F390/'Peers Stock History'!F$1833*100</f>
        <v>658.0451127819548</v>
      </c>
      <c r="F387" s="871">
        <f>'Peers Stock History'!G390/'Peers Stock History'!G$1833*100</f>
        <v>349.28848360431044</v>
      </c>
      <c r="G387" s="871">
        <f>'Peers Stock History'!H390/'Peers Stock History'!H$1833*100</f>
        <v>219.30190785960485</v>
      </c>
      <c r="H387" s="871">
        <f>'Peers Stock History'!I390/'Peers Stock History'!I$1833*100</f>
        <v>340.52997393570809</v>
      </c>
      <c r="I387" s="871">
        <f>'Peers Stock History'!J390/'Peers Stock History'!J$1833*100</f>
        <v>161.21655847610941</v>
      </c>
      <c r="J387" s="871">
        <f>'Peers Stock History'!K390/'Peers Stock History'!K$1833*100</f>
        <v>229.18284233534499</v>
      </c>
    </row>
    <row r="388" spans="2:10">
      <c r="B388" s="870">
        <v>44223</v>
      </c>
      <c r="C388" s="871">
        <f>'Peers Stock History'!D391/'Peers Stock History'!D$1833*100</f>
        <v>148.65464632454925</v>
      </c>
      <c r="D388" s="871">
        <f>'Peers Stock History'!E391/'Peers Stock History'!E$1833*100</f>
        <v>474.0458715596331</v>
      </c>
      <c r="E388" s="871">
        <f>'Peers Stock History'!F391/'Peers Stock History'!F$1833*100</f>
        <v>667.96992481203006</v>
      </c>
      <c r="F388" s="871">
        <f>'Peers Stock History'!G391/'Peers Stock History'!G$1833*100</f>
        <v>357.64220486988967</v>
      </c>
      <c r="G388" s="871">
        <f>'Peers Stock History'!H391/'Peers Stock History'!H$1833*100</f>
        <v>215.88426622651582</v>
      </c>
      <c r="H388" s="871">
        <f>'Peers Stock History'!I391/'Peers Stock History'!I$1833*100</f>
        <v>326.19461337966987</v>
      </c>
      <c r="I388" s="871">
        <f>'Peers Stock History'!J391/'Peers Stock History'!J$1833*100</f>
        <v>159.65818878365437</v>
      </c>
      <c r="J388" s="871">
        <f>'Peers Stock History'!K391/'Peers Stock History'!K$1833*100</f>
        <v>228.03908967185848</v>
      </c>
    </row>
    <row r="389" spans="2:10">
      <c r="B389" s="870">
        <v>44222</v>
      </c>
      <c r="C389" s="871">
        <f>'Peers Stock History'!D392/'Peers Stock History'!D$1833*100</f>
        <v>153.14840499306521</v>
      </c>
      <c r="D389" s="871">
        <f>'Peers Stock History'!E392/'Peers Stock History'!E$1833*100</f>
        <v>493.03669724770634</v>
      </c>
      <c r="E389" s="871">
        <f>'Peers Stock History'!F392/'Peers Stock History'!F$1833*100</f>
        <v>712.10526315789457</v>
      </c>
      <c r="F389" s="871">
        <f>'Peers Stock History'!G392/'Peers Stock History'!G$1833*100</f>
        <v>358.49768862234407</v>
      </c>
      <c r="G389" s="871">
        <f>'Peers Stock History'!H392/'Peers Stock History'!H$1833*100</f>
        <v>225.19054323025389</v>
      </c>
      <c r="H389" s="871">
        <f>'Peers Stock History'!I392/'Peers Stock History'!I$1833*100</f>
        <v>345.39530842745438</v>
      </c>
      <c r="I389" s="871">
        <f>'Peers Stock History'!J392/'Peers Stock History'!J$1833*100</f>
        <v>163.86591465361283</v>
      </c>
      <c r="J389" s="871">
        <f>'Peers Stock History'!K392/'Peers Stock History'!K$1833*100</f>
        <v>234.14735782137117</v>
      </c>
    </row>
    <row r="390" spans="2:10">
      <c r="B390" s="870">
        <v>44221</v>
      </c>
      <c r="C390" s="871">
        <f>'Peers Stock History'!D393/'Peers Stock History'!D$1833*100</f>
        <v>153.78640776699029</v>
      </c>
      <c r="D390" s="871">
        <f>'Peers Stock History'!E393/'Peers Stock History'!E$1833*100</f>
        <v>501.03669724770646</v>
      </c>
      <c r="E390" s="871">
        <f>'Peers Stock History'!F393/'Peers Stock History'!F$1833*100</f>
        <v>707.74436090225561</v>
      </c>
      <c r="F390" s="871">
        <f>'Peers Stock History'!G393/'Peers Stock History'!G$1833*100</f>
        <v>367.97823395043076</v>
      </c>
      <c r="G390" s="871">
        <f>'Peers Stock History'!H393/'Peers Stock History'!H$1833*100</f>
        <v>225.63716685275983</v>
      </c>
      <c r="H390" s="871">
        <f>'Peers Stock History'!I393/'Peers Stock History'!I$1833*100</f>
        <v>353.08427454387493</v>
      </c>
      <c r="I390" s="871">
        <f>'Peers Stock History'!J393/'Peers Stock History'!J$1833*100</f>
        <v>164.11024795147389</v>
      </c>
      <c r="J390" s="871">
        <f>'Peers Stock History'!K393/'Peers Stock History'!K$1833*100</f>
        <v>234.31794124520576</v>
      </c>
    </row>
    <row r="391" spans="2:10">
      <c r="B391" s="870">
        <v>44220</v>
      </c>
      <c r="C391" s="871">
        <f>'Peers Stock History'!D394/'Peers Stock History'!D$1833*100</f>
        <v>157.17059639389737</v>
      </c>
      <c r="D391" s="871">
        <f>'Peers Stock History'!E394/'Peers Stock History'!E$1833*100</f>
        <v>503.21100917431193</v>
      </c>
      <c r="E391" s="871">
        <f>'Peers Stock History'!F394/'Peers Stock History'!F$1833*100</f>
        <v>697.66917293233087</v>
      </c>
      <c r="F391" s="871">
        <f>'Peers Stock History'!G394/'Peers Stock History'!G$1833*100</f>
        <v>377.69784104572284</v>
      </c>
      <c r="G391" s="871">
        <f>'Peers Stock History'!H394/'Peers Stock History'!H$1833*100</f>
        <v>225.74882275838632</v>
      </c>
      <c r="H391" s="871">
        <f>'Peers Stock History'!I394/'Peers Stock History'!I$1833*100</f>
        <v>357.42832319721981</v>
      </c>
      <c r="I391" s="871">
        <f>'Peers Stock History'!J394/'Peers Stock History'!J$1833*100</f>
        <v>163.51899542407151</v>
      </c>
      <c r="J391" s="871">
        <f>'Peers Stock History'!K394/'Peers Stock History'!K$1833*100</f>
        <v>232.72105219746231</v>
      </c>
    </row>
    <row r="392" spans="2:10">
      <c r="B392" s="870">
        <v>44219</v>
      </c>
      <c r="C392" s="871">
        <f>'Peers Stock History'!D395/'Peers Stock History'!D$1833*100</f>
        <v>157.17059639389737</v>
      </c>
      <c r="D392" s="871">
        <f>'Peers Stock History'!E395/'Peers Stock History'!E$1833*100</f>
        <v>503.21100917431193</v>
      </c>
      <c r="E392" s="871">
        <f>'Peers Stock History'!F395/'Peers Stock History'!F$1833*100</f>
        <v>697.66917293233087</v>
      </c>
      <c r="F392" s="871">
        <f>'Peers Stock History'!G395/'Peers Stock History'!G$1833*100</f>
        <v>377.69784104572284</v>
      </c>
      <c r="G392" s="871">
        <f>'Peers Stock History'!H395/'Peers Stock History'!H$1833*100</f>
        <v>225.74882275838632</v>
      </c>
      <c r="H392" s="871">
        <f>'Peers Stock History'!I395/'Peers Stock History'!I$1833*100</f>
        <v>357.42832319721981</v>
      </c>
      <c r="I392" s="871">
        <f>'Peers Stock History'!J395/'Peers Stock History'!J$1833*100</f>
        <v>163.51899542407151</v>
      </c>
      <c r="J392" s="871">
        <f>'Peers Stock History'!K395/'Peers Stock History'!K$1833*100</f>
        <v>232.72105219746231</v>
      </c>
    </row>
    <row r="393" spans="2:10">
      <c r="B393" s="870">
        <v>44218</v>
      </c>
      <c r="C393" s="871">
        <f>'Peers Stock History'!D396/'Peers Stock History'!D$1833*100</f>
        <v>157.17059639389737</v>
      </c>
      <c r="D393" s="871">
        <f>'Peers Stock History'!E396/'Peers Stock History'!E$1833*100</f>
        <v>503.21100917431193</v>
      </c>
      <c r="E393" s="871">
        <f>'Peers Stock History'!F396/'Peers Stock History'!F$1833*100</f>
        <v>697.66917293233087</v>
      </c>
      <c r="F393" s="871">
        <f>'Peers Stock History'!G396/'Peers Stock History'!G$1833*100</f>
        <v>377.69784104572284</v>
      </c>
      <c r="G393" s="871">
        <f>'Peers Stock History'!H396/'Peers Stock History'!H$1833*100</f>
        <v>225.74882275838632</v>
      </c>
      <c r="H393" s="871">
        <f>'Peers Stock History'!I396/'Peers Stock History'!I$1833*100</f>
        <v>357.42832319721981</v>
      </c>
      <c r="I393" s="871">
        <f>'Peers Stock History'!J396/'Peers Stock History'!J$1833*100</f>
        <v>163.51899542407151</v>
      </c>
      <c r="J393" s="871">
        <f>'Peers Stock History'!K396/'Peers Stock History'!K$1833*100</f>
        <v>232.72105219746231</v>
      </c>
    </row>
    <row r="394" spans="2:10">
      <c r="B394" s="870">
        <v>44217</v>
      </c>
      <c r="C394" s="871">
        <f>'Peers Stock History'!D397/'Peers Stock History'!D$1833*100</f>
        <v>173.25936199722608</v>
      </c>
      <c r="D394" s="871">
        <f>'Peers Stock History'!E397/'Peers Stock History'!E$1833*100</f>
        <v>508.89908256880733</v>
      </c>
      <c r="E394" s="871">
        <f>'Peers Stock History'!F397/'Peers Stock History'!F$1833*100</f>
        <v>688.19548872180451</v>
      </c>
      <c r="F394" s="871">
        <f>'Peers Stock History'!G397/'Peers Stock History'!G$1833*100</f>
        <v>391.70713625971433</v>
      </c>
      <c r="G394" s="871">
        <f>'Peers Stock History'!H397/'Peers Stock History'!H$1833*100</f>
        <v>226.62265158502839</v>
      </c>
      <c r="H394" s="871">
        <f>'Peers Stock History'!I397/'Peers Stock History'!I$1833*100</f>
        <v>369.28757602085147</v>
      </c>
      <c r="I394" s="871">
        <f>'Peers Stock History'!J397/'Peers Stock History'!J$1833*100</f>
        <v>164.01277003298927</v>
      </c>
      <c r="J394" s="871">
        <f>'Peers Stock History'!K397/'Peers Stock History'!K$1833*100</f>
        <v>232.51232077313281</v>
      </c>
    </row>
    <row r="395" spans="2:10">
      <c r="B395" s="870">
        <v>44216</v>
      </c>
      <c r="C395" s="871">
        <f>'Peers Stock History'!D398/'Peers Stock History'!D$1833*100</f>
        <v>162.74618585298199</v>
      </c>
      <c r="D395" s="871">
        <f>'Peers Stock History'!E398/'Peers Stock History'!E$1833*100</f>
        <v>490.48623853211006</v>
      </c>
      <c r="E395" s="871">
        <f>'Peers Stock History'!F398/'Peers Stock History'!F$1833*100</f>
        <v>667.29323308270671</v>
      </c>
      <c r="F395" s="871">
        <f>'Peers Stock History'!G398/'Peers Stock History'!G$1833*100</f>
        <v>376.35886505902567</v>
      </c>
      <c r="G395" s="871">
        <f>'Peers Stock History'!H398/'Peers Stock History'!H$1833*100</f>
        <v>224.22447691635514</v>
      </c>
      <c r="H395" s="871">
        <f>'Peers Stock History'!I398/'Peers Stock History'!I$1833*100</f>
        <v>362.72806255430061</v>
      </c>
      <c r="I395" s="871">
        <f>'Peers Stock History'!J398/'Peers Stock History'!J$1833*100</f>
        <v>163.96083856549964</v>
      </c>
      <c r="J395" s="871">
        <f>'Peers Stock History'!K398/'Peers Stock History'!K$1833*100</f>
        <v>231.24644295671061</v>
      </c>
    </row>
    <row r="396" spans="2:10">
      <c r="B396" s="870">
        <v>44215</v>
      </c>
      <c r="C396" s="871">
        <f>'Peers Stock History'!D399/'Peers Stock History'!D$1833*100</f>
        <v>160.8599167822469</v>
      </c>
      <c r="D396" s="871">
        <f>'Peers Stock History'!E399/'Peers Stock History'!E$1833*100</f>
        <v>477.99082568807341</v>
      </c>
      <c r="E396" s="871">
        <f>'Peers Stock History'!F399/'Peers Stock History'!F$1833*100</f>
        <v>672.55639097744358</v>
      </c>
      <c r="F396" s="871">
        <f>'Peers Stock History'!G399/'Peers Stock History'!G$1833*100</f>
        <v>364.29501200199127</v>
      </c>
      <c r="G396" s="871">
        <f>'Peers Stock History'!H399/'Peers Stock History'!H$1833*100</f>
        <v>222.95742511772417</v>
      </c>
      <c r="H396" s="871">
        <f>'Peers Stock History'!I399/'Peers Stock History'!I$1833*100</f>
        <v>371.41615986099043</v>
      </c>
      <c r="I396" s="871">
        <f>'Peers Stock History'!J399/'Peers Stock History'!J$1833*100</f>
        <v>161.70735341066299</v>
      </c>
      <c r="J396" s="871">
        <f>'Peers Stock History'!K399/'Peers Stock History'!K$1833*100</f>
        <v>226.77747343386994</v>
      </c>
    </row>
    <row r="397" spans="2:10">
      <c r="B397" s="870">
        <v>44214</v>
      </c>
      <c r="C397" s="871">
        <f>'Peers Stock History'!D400/'Peers Stock History'!D$1833*100</f>
        <v>159.72260748959778</v>
      </c>
      <c r="D397" s="871">
        <f>'Peers Stock History'!E400/'Peers Stock History'!E$1833*100</f>
        <v>471.90825688073392</v>
      </c>
      <c r="E397" s="871">
        <f>'Peers Stock History'!F400/'Peers Stock History'!F$1833*100</f>
        <v>663.23308270676682</v>
      </c>
      <c r="F397" s="871">
        <f>'Peers Stock History'!G400/'Peers Stock History'!G$1833*100</f>
        <v>352.939479954528</v>
      </c>
      <c r="G397" s="871">
        <f>'Peers Stock History'!H400/'Peers Stock History'!H$1833*100</f>
        <v>216.44254575464831</v>
      </c>
      <c r="H397" s="871">
        <f>'Peers Stock History'!I400/'Peers Stock History'!I$1833*100</f>
        <v>350.65160729800175</v>
      </c>
      <c r="I397" s="871">
        <f>'Peers Stock History'!J400/'Peers Stock History'!J$1833*100</f>
        <v>160.40225603916141</v>
      </c>
      <c r="J397" s="871">
        <f>'Peers Stock History'!K400/'Peers Stock History'!K$1833*100</f>
        <v>223.36345077876913</v>
      </c>
    </row>
    <row r="398" spans="2:10">
      <c r="B398" s="870">
        <v>44213</v>
      </c>
      <c r="C398" s="871">
        <f>'Peers Stock History'!D401/'Peers Stock History'!D$1833*100</f>
        <v>159.72260748959778</v>
      </c>
      <c r="D398" s="871">
        <f>'Peers Stock History'!E401/'Peers Stock History'!E$1833*100</f>
        <v>471.90825688073392</v>
      </c>
      <c r="E398" s="871">
        <f>'Peers Stock History'!F401/'Peers Stock History'!F$1833*100</f>
        <v>663.23308270676682</v>
      </c>
      <c r="F398" s="871">
        <f>'Peers Stock History'!G401/'Peers Stock History'!G$1833*100</f>
        <v>349.41331865920853</v>
      </c>
      <c r="G398" s="871">
        <f>'Peers Stock History'!H401/'Peers Stock History'!H$1833*100</f>
        <v>216.44254575464831</v>
      </c>
      <c r="H398" s="871">
        <f>'Peers Stock History'!I401/'Peers Stock History'!I$1833*100</f>
        <v>350.65160729800175</v>
      </c>
      <c r="I398" s="871">
        <f>'Peers Stock History'!J401/'Peers Stock History'!J$1833*100</f>
        <v>160.40225603916141</v>
      </c>
      <c r="J398" s="871">
        <f>'Peers Stock History'!K401/'Peers Stock History'!K$1833*100</f>
        <v>223.36345077876913</v>
      </c>
    </row>
    <row r="399" spans="2:10">
      <c r="B399" s="870">
        <v>44212</v>
      </c>
      <c r="C399" s="871">
        <f>'Peers Stock History'!D402/'Peers Stock History'!D$1833*100</f>
        <v>159.72260748959778</v>
      </c>
      <c r="D399" s="871">
        <f>'Peers Stock History'!E402/'Peers Stock History'!E$1833*100</f>
        <v>471.90825688073392</v>
      </c>
      <c r="E399" s="871">
        <f>'Peers Stock History'!F402/'Peers Stock History'!F$1833*100</f>
        <v>663.23308270676682</v>
      </c>
      <c r="F399" s="871">
        <f>'Peers Stock History'!G402/'Peers Stock History'!G$1833*100</f>
        <v>349.41331865920853</v>
      </c>
      <c r="G399" s="871">
        <f>'Peers Stock History'!H402/'Peers Stock History'!H$1833*100</f>
        <v>216.44254575464831</v>
      </c>
      <c r="H399" s="871">
        <f>'Peers Stock History'!I402/'Peers Stock History'!I$1833*100</f>
        <v>350.65160729800175</v>
      </c>
      <c r="I399" s="871">
        <f>'Peers Stock History'!J402/'Peers Stock History'!J$1833*100</f>
        <v>160.40225603916141</v>
      </c>
      <c r="J399" s="871">
        <f>'Peers Stock History'!K402/'Peers Stock History'!K$1833*100</f>
        <v>223.36345077876913</v>
      </c>
    </row>
    <row r="400" spans="2:10">
      <c r="B400" s="870">
        <v>44211</v>
      </c>
      <c r="C400" s="871">
        <f>'Peers Stock History'!D403/'Peers Stock History'!D$1833*100</f>
        <v>159.72260748959778</v>
      </c>
      <c r="D400" s="871">
        <f>'Peers Stock History'!E403/'Peers Stock History'!E$1833*100</f>
        <v>471.90825688073392</v>
      </c>
      <c r="E400" s="871">
        <f>'Peers Stock History'!F403/'Peers Stock History'!F$1833*100</f>
        <v>663.23308270676682</v>
      </c>
      <c r="F400" s="871">
        <f>'Peers Stock History'!G403/'Peers Stock History'!G$1833*100</f>
        <v>349.41331865920853</v>
      </c>
      <c r="G400" s="871">
        <f>'Peers Stock History'!H403/'Peers Stock History'!H$1833*100</f>
        <v>216.44254575464831</v>
      </c>
      <c r="H400" s="871">
        <f>'Peers Stock History'!I403/'Peers Stock History'!I$1833*100</f>
        <v>350.65160729800175</v>
      </c>
      <c r="I400" s="871">
        <f>'Peers Stock History'!J403/'Peers Stock History'!J$1833*100</f>
        <v>160.40225603916141</v>
      </c>
      <c r="J400" s="871">
        <f>'Peers Stock History'!K403/'Peers Stock History'!K$1833*100</f>
        <v>223.36345077876913</v>
      </c>
    </row>
    <row r="401" spans="2:10">
      <c r="B401" s="870">
        <v>44210</v>
      </c>
      <c r="C401" s="871">
        <f>'Peers Stock History'!D404/'Peers Stock History'!D$1833*100</f>
        <v>164.35506241331487</v>
      </c>
      <c r="D401" s="871">
        <f>'Peers Stock History'!E404/'Peers Stock History'!E$1833*100</f>
        <v>484.41284403669727</v>
      </c>
      <c r="E401" s="871">
        <f>'Peers Stock History'!F404/'Peers Stock History'!F$1833*100</f>
        <v>682.63157894736844</v>
      </c>
      <c r="F401" s="871">
        <f>'Peers Stock History'!G404/'Peers Stock History'!G$1833*100</f>
        <v>344.1316428737818</v>
      </c>
      <c r="G401" s="871">
        <f>'Peers Stock History'!H404/'Peers Stock History'!H$1833*100</f>
        <v>219.46210981115587</v>
      </c>
      <c r="H401" s="871">
        <f>'Peers Stock History'!I404/'Peers Stock History'!I$1833*100</f>
        <v>353.17115551694178</v>
      </c>
      <c r="I401" s="871">
        <f>'Peers Stock History'!J404/'Peers Stock History'!J$1833*100</f>
        <v>161.56390337341705</v>
      </c>
      <c r="J401" s="871">
        <f>'Peers Stock History'!K404/'Peers Stock History'!K$1833*100</f>
        <v>225.3247219663748</v>
      </c>
    </row>
    <row r="402" spans="2:10">
      <c r="B402" s="870">
        <v>44209</v>
      </c>
      <c r="C402" s="871">
        <f>'Peers Stock History'!D405/'Peers Stock History'!D$1833*100</f>
        <v>157.97503467406381</v>
      </c>
      <c r="D402" s="871">
        <f>'Peers Stock History'!E405/'Peers Stock History'!E$1833*100</f>
        <v>496.57798165137609</v>
      </c>
      <c r="E402" s="871">
        <f>'Peers Stock History'!F405/'Peers Stock History'!F$1833*100</f>
        <v>690.07518796992485</v>
      </c>
      <c r="F402" s="871">
        <f>'Peers Stock History'!G405/'Peers Stock History'!G$1833*100</f>
        <v>351.6760206951385</v>
      </c>
      <c r="G402" s="871">
        <f>'Peers Stock History'!H405/'Peers Stock History'!H$1833*100</f>
        <v>219.04461381620465</v>
      </c>
      <c r="H402" s="871">
        <f>'Peers Stock History'!I405/'Peers Stock History'!I$1833*100</f>
        <v>347.13292788879232</v>
      </c>
      <c r="I402" s="871">
        <f>'Peers Stock History'!J405/'Peers Stock History'!J$1833*100</f>
        <v>162.17260827923806</v>
      </c>
      <c r="J402" s="871">
        <f>'Peers Stock History'!K405/'Peers Stock History'!K$1833*100</f>
        <v>225.60505821866022</v>
      </c>
    </row>
    <row r="403" spans="2:10">
      <c r="B403" s="870">
        <v>44208</v>
      </c>
      <c r="C403" s="871">
        <f>'Peers Stock History'!D406/'Peers Stock History'!D$1833*100</f>
        <v>147.68377253814148</v>
      </c>
      <c r="D403" s="871">
        <f>'Peers Stock History'!E406/'Peers Stock History'!E$1833*100</f>
        <v>494.85321100917429</v>
      </c>
      <c r="E403" s="871">
        <f>'Peers Stock History'!F406/'Peers Stock History'!F$1833*100</f>
        <v>716.95488721804509</v>
      </c>
      <c r="F403" s="871">
        <f>'Peers Stock History'!G406/'Peers Stock History'!G$1833*100</f>
        <v>343.59945312411293</v>
      </c>
      <c r="G403" s="871">
        <f>'Peers Stock History'!H406/'Peers Stock History'!H$1833*100</f>
        <v>218.16107578037767</v>
      </c>
      <c r="H403" s="871">
        <f>'Peers Stock History'!I406/'Peers Stock History'!I$1833*100</f>
        <v>345.17810599478713</v>
      </c>
      <c r="I403" s="871">
        <f>'Peers Stock History'!J406/'Peers Stock History'!J$1833*100</f>
        <v>161.80440566138131</v>
      </c>
      <c r="J403" s="871">
        <f>'Peers Stock History'!K406/'Peers Stock History'!K$1833*100</f>
        <v>224.63388229795308</v>
      </c>
    </row>
    <row r="404" spans="2:10">
      <c r="B404" s="870">
        <v>44207</v>
      </c>
      <c r="C404" s="871">
        <f>'Peers Stock History'!D407/'Peers Stock History'!D$1833*100</f>
        <v>142.96809986130376</v>
      </c>
      <c r="D404" s="871">
        <f>'Peers Stock History'!E407/'Peers Stock History'!E$1833*100</f>
        <v>499.87155963302757</v>
      </c>
      <c r="E404" s="871">
        <f>'Peers Stock History'!F407/'Peers Stock History'!F$1833*100</f>
        <v>731.20300751879699</v>
      </c>
      <c r="F404" s="871">
        <f>'Peers Stock History'!G407/'Peers Stock History'!G$1833*100</f>
        <v>339.06925291035492</v>
      </c>
      <c r="G404" s="871">
        <f>'Peers Stock History'!H407/'Peers Stock History'!H$1833*100</f>
        <v>216.39885431331618</v>
      </c>
      <c r="H404" s="871">
        <f>'Peers Stock History'!I407/'Peers Stock History'!I$1833*100</f>
        <v>341.74630755864467</v>
      </c>
      <c r="I404" s="871">
        <f>'Peers Stock History'!J407/'Peers Stock History'!J$1833*100</f>
        <v>161.73715015430457</v>
      </c>
      <c r="J404" s="871">
        <f>'Peers Stock History'!K407/'Peers Stock History'!K$1833*100</f>
        <v>224.01521452235954</v>
      </c>
    </row>
    <row r="405" spans="2:10">
      <c r="B405" s="870">
        <v>44206</v>
      </c>
      <c r="C405" s="871">
        <f>'Peers Stock History'!D408/'Peers Stock History'!D$1833*100</f>
        <v>143.27323162274618</v>
      </c>
      <c r="D405" s="871">
        <f>'Peers Stock History'!E408/'Peers Stock History'!E$1833*100</f>
        <v>487.22018348623857</v>
      </c>
      <c r="E405" s="871">
        <f>'Peers Stock History'!F408/'Peers Stock History'!F$1833*100</f>
        <v>711.12781954887214</v>
      </c>
      <c r="F405" s="871">
        <f>'Peers Stock History'!G408/'Peers Stock History'!G$1833*100</f>
        <v>336.9392738009272</v>
      </c>
      <c r="G405" s="871">
        <f>'Peers Stock History'!H408/'Peers Stock History'!H$1833*100</f>
        <v>216.34059905820669</v>
      </c>
      <c r="H405" s="871">
        <f>'Peers Stock History'!I408/'Peers Stock History'!I$1833*100</f>
        <v>336.31624674196354</v>
      </c>
      <c r="I405" s="871">
        <f>'Peers Stock History'!J408/'Peers Stock History'!J$1833*100</f>
        <v>162.8042992444397</v>
      </c>
      <c r="J405" s="871">
        <f>'Peers Stock History'!K408/'Peers Stock History'!K$1833*100</f>
        <v>226.85988686196615</v>
      </c>
    </row>
    <row r="406" spans="2:10">
      <c r="B406" s="870">
        <v>44205</v>
      </c>
      <c r="C406" s="871">
        <f>'Peers Stock History'!D409/'Peers Stock History'!D$1833*100</f>
        <v>143.27323162274618</v>
      </c>
      <c r="D406" s="871">
        <f>'Peers Stock History'!E409/'Peers Stock History'!E$1833*100</f>
        <v>487.22018348623857</v>
      </c>
      <c r="E406" s="871">
        <f>'Peers Stock History'!F409/'Peers Stock History'!F$1833*100</f>
        <v>711.12781954887214</v>
      </c>
      <c r="F406" s="871">
        <f>'Peers Stock History'!G409/'Peers Stock History'!G$1833*100</f>
        <v>336.9392738009272</v>
      </c>
      <c r="G406" s="871">
        <f>'Peers Stock History'!H409/'Peers Stock History'!H$1833*100</f>
        <v>216.34059905820669</v>
      </c>
      <c r="H406" s="871">
        <f>'Peers Stock History'!I409/'Peers Stock History'!I$1833*100</f>
        <v>336.31624674196354</v>
      </c>
      <c r="I406" s="871">
        <f>'Peers Stock History'!J409/'Peers Stock History'!J$1833*100</f>
        <v>162.8042992444397</v>
      </c>
      <c r="J406" s="871">
        <f>'Peers Stock History'!K409/'Peers Stock History'!K$1833*100</f>
        <v>226.85988686196615</v>
      </c>
    </row>
    <row r="407" spans="2:10">
      <c r="B407" s="870">
        <v>44204</v>
      </c>
      <c r="C407" s="871">
        <f>'Peers Stock History'!D410/'Peers Stock History'!D$1833*100</f>
        <v>143.27323162274618</v>
      </c>
      <c r="D407" s="871">
        <f>'Peers Stock History'!E410/'Peers Stock History'!E$1833*100</f>
        <v>487.22018348623857</v>
      </c>
      <c r="E407" s="871">
        <f>'Peers Stock History'!F410/'Peers Stock History'!F$1833*100</f>
        <v>711.12781954887214</v>
      </c>
      <c r="F407" s="871">
        <f>'Peers Stock History'!G410/'Peers Stock History'!G$1833*100</f>
        <v>336.9392738009272</v>
      </c>
      <c r="G407" s="871">
        <f>'Peers Stock History'!H410/'Peers Stock History'!H$1833*100</f>
        <v>216.34059905820669</v>
      </c>
      <c r="H407" s="871">
        <f>'Peers Stock History'!I410/'Peers Stock History'!I$1833*100</f>
        <v>336.31624674196354</v>
      </c>
      <c r="I407" s="871">
        <f>'Peers Stock History'!J410/'Peers Stock History'!J$1833*100</f>
        <v>162.8042992444397</v>
      </c>
      <c r="J407" s="871">
        <f>'Peers Stock History'!K410/'Peers Stock History'!K$1833*100</f>
        <v>226.85988686196615</v>
      </c>
    </row>
    <row r="408" spans="2:10">
      <c r="B408" s="870">
        <v>44203</v>
      </c>
      <c r="C408" s="871">
        <f>'Peers Stock History'!D411/'Peers Stock History'!D$1833*100</f>
        <v>144.77115117891816</v>
      </c>
      <c r="D408" s="871">
        <f>'Peers Stock History'!E411/'Peers Stock History'!E$1833*100</f>
        <v>489.6880733944954</v>
      </c>
      <c r="E408" s="871">
        <f>'Peers Stock History'!F411/'Peers Stock History'!F$1833*100</f>
        <v>715.48872180451121</v>
      </c>
      <c r="F408" s="871">
        <f>'Peers Stock History'!G411/'Peers Stock History'!G$1833*100</f>
        <v>327.88575535890976</v>
      </c>
      <c r="G408" s="871">
        <f>'Peers Stock History'!H411/'Peers Stock History'!H$1833*100</f>
        <v>215.24831302490409</v>
      </c>
      <c r="H408" s="871">
        <f>'Peers Stock History'!I411/'Peers Stock History'!I$1833*100</f>
        <v>343.65768896611644</v>
      </c>
      <c r="I408" s="871">
        <f>'Peers Stock History'!J411/'Peers Stock History'!J$1833*100</f>
        <v>161.91507928062148</v>
      </c>
      <c r="J408" s="871">
        <f>'Peers Stock History'!K411/'Peers Stock History'!K$1833*100</f>
        <v>224.54875383198382</v>
      </c>
    </row>
    <row r="409" spans="2:10">
      <c r="B409" s="870">
        <v>44202</v>
      </c>
      <c r="C409" s="871">
        <f>'Peers Stock History'!D412/'Peers Stock History'!D$1833*100</f>
        <v>141.747572815534</v>
      </c>
      <c r="D409" s="871">
        <f>'Peers Stock History'!E412/'Peers Stock History'!E$1833*100</f>
        <v>462.91743119266056</v>
      </c>
      <c r="E409" s="871">
        <f>'Peers Stock History'!F412/'Peers Stock History'!F$1833*100</f>
        <v>679.17293233082705</v>
      </c>
      <c r="F409" s="871">
        <f>'Peers Stock History'!G412/'Peers Stock History'!G$1833*100</f>
        <v>318.98740851485803</v>
      </c>
      <c r="G409" s="871">
        <f>'Peers Stock History'!H412/'Peers Stock History'!H$1833*100</f>
        <v>206.54400699063058</v>
      </c>
      <c r="H409" s="871">
        <f>'Peers Stock History'!I412/'Peers Stock History'!I$1833*100</f>
        <v>334.96959165942661</v>
      </c>
      <c r="I409" s="871">
        <f>'Peers Stock History'!J412/'Peers Stock History'!J$1833*100</f>
        <v>159.54623816111524</v>
      </c>
      <c r="J409" s="871">
        <f>'Peers Stock History'!K412/'Peers Stock History'!K$1833*100</f>
        <v>218.93505216996826</v>
      </c>
    </row>
    <row r="410" spans="2:10">
      <c r="B410" s="870">
        <v>44201</v>
      </c>
      <c r="C410" s="871">
        <f>'Peers Stock History'!D413/'Peers Stock History'!D$1833*100</f>
        <v>140.38834951456312</v>
      </c>
      <c r="D410" s="871">
        <f>'Peers Stock History'!E413/'Peers Stock History'!E$1833*100</f>
        <v>491.91743119266062</v>
      </c>
      <c r="E410" s="871">
        <f>'Peers Stock History'!F413/'Peers Stock History'!F$1833*100</f>
        <v>697.51879699248116</v>
      </c>
      <c r="F410" s="871">
        <f>'Peers Stock History'!G413/'Peers Stock History'!G$1833*100</f>
        <v>315.32563591502856</v>
      </c>
      <c r="G410" s="871">
        <f>'Peers Stock History'!H413/'Peers Stock History'!H$1833*100</f>
        <v>207.82562260303899</v>
      </c>
      <c r="H410" s="871">
        <f>'Peers Stock History'!I413/'Peers Stock History'!I$1833*100</f>
        <v>335.62119895742836</v>
      </c>
      <c r="I410" s="871">
        <f>'Peers Stock History'!J413/'Peers Stock History'!J$1833*100</f>
        <v>158.64041715441098</v>
      </c>
      <c r="J410" s="871">
        <f>'Peers Stock History'!K413/'Peers Stock History'!K$1833*100</f>
        <v>220.27823983063661</v>
      </c>
    </row>
    <row r="411" spans="2:10">
      <c r="B411" s="870">
        <v>44200</v>
      </c>
      <c r="C411" s="871">
        <f>'Peers Stock History'!D414/'Peers Stock History'!D$1833*100</f>
        <v>137.78085991678225</v>
      </c>
      <c r="D411" s="871">
        <f>'Peers Stock History'!E414/'Peers Stock History'!E$1833*100</f>
        <v>481.22935779816515</v>
      </c>
      <c r="E411" s="871">
        <f>'Peers Stock History'!F414/'Peers Stock History'!F$1833*100</f>
        <v>693.98496240601503</v>
      </c>
      <c r="F411" s="871">
        <f>'Peers Stock History'!G414/'Peers Stock History'!G$1833*100</f>
        <v>310.51342347638672</v>
      </c>
      <c r="G411" s="871">
        <f>'Peers Stock History'!H414/'Peers Stock History'!H$1833*100</f>
        <v>206.42749648041166</v>
      </c>
      <c r="H411" s="871">
        <f>'Peers Stock History'!I414/'Peers Stock History'!I$1833*100</f>
        <v>321.67680278019117</v>
      </c>
      <c r="I411" s="871">
        <f>'Peers Stock History'!J414/'Peers Stock History'!J$1833*100</f>
        <v>157.52474193891669</v>
      </c>
      <c r="J411" s="871">
        <f>'Peers Stock History'!K414/'Peers Stock History'!K$1833*100</f>
        <v>218.20737046863616</v>
      </c>
    </row>
    <row r="412" spans="2:10">
      <c r="B412" s="870">
        <v>44199</v>
      </c>
      <c r="C412" s="871">
        <f>'Peers Stock History'!D415/'Peers Stock History'!D$1833*100</f>
        <v>138.1969486823856</v>
      </c>
      <c r="D412" s="871">
        <f>'Peers Stock History'!E415/'Peers Stock History'!E$1833*100</f>
        <v>479.08256880733944</v>
      </c>
      <c r="E412" s="871">
        <f>'Peers Stock History'!F415/'Peers Stock History'!F$1833*100</f>
        <v>689.5488721804511</v>
      </c>
      <c r="F412" s="871">
        <f>'Peers Stock History'!G415/'Peers Stock History'!G$1833*100</f>
        <v>307.09220860601096</v>
      </c>
      <c r="G412" s="871">
        <f>'Peers Stock History'!H415/'Peers Stock History'!H$1833*100</f>
        <v>212.55886208068353</v>
      </c>
      <c r="H412" s="871">
        <f>'Peers Stock History'!I415/'Peers Stock History'!I$1833*100</f>
        <v>326.58557775847095</v>
      </c>
      <c r="I412" s="871">
        <f>'Peers Stock History'!J415/'Peers Stock History'!J$1833*100</f>
        <v>159.88379269979782</v>
      </c>
      <c r="J412" s="871">
        <f>'Peers Stock History'!K415/'Peers Stock History'!K$1833*100</f>
        <v>221.46945410554966</v>
      </c>
    </row>
    <row r="413" spans="2:10">
      <c r="B413" s="870">
        <v>44198</v>
      </c>
      <c r="C413" s="871">
        <f>'Peers Stock History'!D416/'Peers Stock History'!D$1833*100</f>
        <v>138.1969486823856</v>
      </c>
      <c r="D413" s="871">
        <f>'Peers Stock History'!E416/'Peers Stock History'!E$1833*100</f>
        <v>479.08256880733944</v>
      </c>
      <c r="E413" s="871">
        <f>'Peers Stock History'!F416/'Peers Stock History'!F$1833*100</f>
        <v>689.5488721804511</v>
      </c>
      <c r="F413" s="871">
        <f>'Peers Stock History'!G416/'Peers Stock History'!G$1833*100</f>
        <v>307.09220860601096</v>
      </c>
      <c r="G413" s="871">
        <f>'Peers Stock History'!H416/'Peers Stock History'!H$1833*100</f>
        <v>212.55886208068353</v>
      </c>
      <c r="H413" s="871">
        <f>'Peers Stock History'!I416/'Peers Stock History'!I$1833*100</f>
        <v>326.58557775847095</v>
      </c>
      <c r="I413" s="871">
        <f>'Peers Stock History'!J416/'Peers Stock History'!J$1833*100</f>
        <v>159.88379269979782</v>
      </c>
      <c r="J413" s="871">
        <f>'Peers Stock History'!K416/'Peers Stock History'!K$1833*100</f>
        <v>221.46945410554966</v>
      </c>
    </row>
    <row r="414" spans="2:10">
      <c r="B414" s="870">
        <v>44197</v>
      </c>
      <c r="C414" s="871">
        <f>'Peers Stock History'!D417/'Peers Stock History'!D$1833*100</f>
        <v>138.1969486823856</v>
      </c>
      <c r="D414" s="871">
        <f>'Peers Stock History'!E417/'Peers Stock History'!E$1833*100</f>
        <v>479.08256880733944</v>
      </c>
      <c r="E414" s="871">
        <f>'Peers Stock History'!F417/'Peers Stock History'!F$1833*100</f>
        <v>689.5488721804511</v>
      </c>
      <c r="F414" s="871">
        <f>'Peers Stock History'!G417/'Peers Stock History'!G$1833*100</f>
        <v>307.09220860601096</v>
      </c>
      <c r="G414" s="871">
        <f>'Peers Stock History'!H417/'Peers Stock History'!H$1833*100</f>
        <v>212.55886208068353</v>
      </c>
      <c r="H414" s="871">
        <f>'Peers Stock History'!I417/'Peers Stock History'!I$1833*100</f>
        <v>326.58557775847095</v>
      </c>
      <c r="I414" s="871">
        <f>'Peers Stock History'!J417/'Peers Stock History'!J$1833*100</f>
        <v>159.88379269979782</v>
      </c>
      <c r="J414" s="871">
        <f>'Peers Stock History'!K417/'Peers Stock History'!K$1833*100</f>
        <v>221.46945410554966</v>
      </c>
    </row>
    <row r="415" spans="2:10">
      <c r="B415" s="870">
        <v>44196</v>
      </c>
      <c r="C415" s="871">
        <f>'Peers Stock History'!D418/'Peers Stock History'!D$1833*100</f>
        <v>138.1969486823856</v>
      </c>
      <c r="D415" s="871">
        <f>'Peers Stock History'!E418/'Peers Stock History'!E$1833*100</f>
        <v>479.08256880733944</v>
      </c>
      <c r="E415" s="871">
        <f>'Peers Stock History'!F418/'Peers Stock History'!F$1833*100</f>
        <v>689.5488721804511</v>
      </c>
      <c r="F415" s="871">
        <f>'Peers Stock History'!G418/'Peers Stock History'!G$1833*100</f>
        <v>307.09220860601096</v>
      </c>
      <c r="G415" s="871">
        <f>'Peers Stock History'!H418/'Peers Stock History'!H$1833*100</f>
        <v>212.55886208068353</v>
      </c>
      <c r="H415" s="871">
        <f>'Peers Stock History'!I418/'Peers Stock History'!I$1833*100</f>
        <v>326.58557775847095</v>
      </c>
      <c r="I415" s="871">
        <f>'Peers Stock History'!J418/'Peers Stock History'!J$1833*100</f>
        <v>159.88379269979782</v>
      </c>
      <c r="J415" s="871">
        <f>'Peers Stock History'!K418/'Peers Stock History'!K$1833*100</f>
        <v>221.46945410554966</v>
      </c>
    </row>
    <row r="416" spans="2:10">
      <c r="B416" s="870">
        <v>44195</v>
      </c>
      <c r="C416" s="871">
        <f>'Peers Stock History'!D419/'Peers Stock History'!D$1833*100</f>
        <v>135.22884882108184</v>
      </c>
      <c r="D416" s="871">
        <f>'Peers Stock History'!E419/'Peers Stock History'!E$1833*100</f>
        <v>482.41284403669732</v>
      </c>
      <c r="E416" s="871">
        <f>'Peers Stock History'!F419/'Peers Stock History'!F$1833*100</f>
        <v>693.90977443609017</v>
      </c>
      <c r="F416" s="871">
        <f>'Peers Stock History'!G419/'Peers Stock History'!G$1833*100</f>
        <v>303.82716488589995</v>
      </c>
      <c r="G416" s="871">
        <f>'Peers Stock History'!H419/'Peers Stock History'!H$1833*100</f>
        <v>211.09277149376183</v>
      </c>
      <c r="H416" s="871">
        <f>'Peers Stock History'!I419/'Peers Stock History'!I$1833*100</f>
        <v>312.4239791485665</v>
      </c>
      <c r="I416" s="871">
        <f>'Peers Stock History'!J419/'Peers Stock History'!J$1833*100</f>
        <v>158.86091305735872</v>
      </c>
      <c r="J416" s="871">
        <f>'Peers Stock History'!K419/'Peers Stock History'!K$1833*100</f>
        <v>221.15533453390705</v>
      </c>
    </row>
    <row r="417" spans="2:10">
      <c r="B417" s="870">
        <v>44194</v>
      </c>
      <c r="C417" s="871">
        <f>'Peers Stock History'!D420/'Peers Stock History'!D$1833*100</f>
        <v>137.00416088765604</v>
      </c>
      <c r="D417" s="871">
        <f>'Peers Stock History'!E420/'Peers Stock History'!E$1833*100</f>
        <v>474.98165137614683</v>
      </c>
      <c r="E417" s="871">
        <f>'Peers Stock History'!F420/'Peers Stock History'!F$1833*100</f>
        <v>681.35338345864659</v>
      </c>
      <c r="F417" s="871">
        <f>'Peers Stock History'!G420/'Peers Stock History'!G$1833*100</f>
        <v>298.19911084593991</v>
      </c>
      <c r="G417" s="871">
        <f>'Peers Stock History'!H420/'Peers Stock History'!H$1833*100</f>
        <v>208.28195543472984</v>
      </c>
      <c r="H417" s="871">
        <f>'Peers Stock History'!I420/'Peers Stock History'!I$1833*100</f>
        <v>304.99565595134663</v>
      </c>
      <c r="I417" s="871">
        <f>'Peers Stock History'!J420/'Peers Stock History'!J$1833*100</f>
        <v>158.64807917420453</v>
      </c>
      <c r="J417" s="871">
        <f>'Peers Stock History'!K420/'Peers Stock History'!K$1833*100</f>
        <v>220.81542210247034</v>
      </c>
    </row>
    <row r="418" spans="2:10">
      <c r="B418" s="870">
        <v>44193</v>
      </c>
      <c r="C418" s="871">
        <f>'Peers Stock History'!D421/'Peers Stock History'!D$1833*100</f>
        <v>130.56865464632457</v>
      </c>
      <c r="D418" s="871">
        <f>'Peers Stock History'!E421/'Peers Stock History'!E$1833*100</f>
        <v>473.39449541284404</v>
      </c>
      <c r="E418" s="871">
        <f>'Peers Stock History'!F421/'Peers Stock History'!F$1833*100</f>
        <v>688.72180451127804</v>
      </c>
      <c r="F418" s="871">
        <f>'Peers Stock History'!G421/'Peers Stock History'!G$1833*100</f>
        <v>297.94458425584446</v>
      </c>
      <c r="G418" s="871">
        <f>'Peers Stock History'!H421/'Peers Stock History'!H$1833*100</f>
        <v>209.66066313898733</v>
      </c>
      <c r="H418" s="871">
        <f>'Peers Stock History'!I421/'Peers Stock History'!I$1833*100</f>
        <v>306.95047784535188</v>
      </c>
      <c r="I418" s="871">
        <f>'Peers Stock History'!J421/'Peers Stock History'!J$1833*100</f>
        <v>159.00223475577315</v>
      </c>
      <c r="J418" s="871">
        <f>'Peers Stock History'!K421/'Peers Stock History'!K$1833*100</f>
        <v>221.66089864316842</v>
      </c>
    </row>
    <row r="419" spans="2:10">
      <c r="B419" s="870">
        <v>44192</v>
      </c>
      <c r="C419" s="871">
        <f>'Peers Stock History'!D422/'Peers Stock History'!D$1833*100</f>
        <v>130.56865464632457</v>
      </c>
      <c r="D419" s="871">
        <f>'Peers Stock History'!E422/'Peers Stock History'!E$1833*100</f>
        <v>476.83486238532112</v>
      </c>
      <c r="E419" s="871">
        <f>'Peers Stock History'!F422/'Peers Stock History'!F$1833*100</f>
        <v>690.30075187969931</v>
      </c>
      <c r="F419" s="871">
        <f>'Peers Stock History'!G422/'Peers Stock History'!G$1833*100</f>
        <v>295.57789130025338</v>
      </c>
      <c r="G419" s="871">
        <f>'Peers Stock History'!H422/'Peers Stock History'!H$1833*100</f>
        <v>209.45676974610416</v>
      </c>
      <c r="H419" s="871">
        <f>'Peers Stock History'!I422/'Peers Stock History'!I$1833*100</f>
        <v>306.60295395308424</v>
      </c>
      <c r="I419" s="871">
        <f>'Peers Stock History'!J422/'Peers Stock History'!J$1833*100</f>
        <v>157.62732787059699</v>
      </c>
      <c r="J419" s="871">
        <f>'Peers Stock History'!K422/'Peers Stock History'!K$1833*100</f>
        <v>220.03378331935721</v>
      </c>
    </row>
    <row r="420" spans="2:10">
      <c r="B420" s="870">
        <v>44191</v>
      </c>
      <c r="C420" s="871">
        <f>'Peers Stock History'!D423/'Peers Stock History'!D$1833*100</f>
        <v>130.56865464632457</v>
      </c>
      <c r="D420" s="871">
        <f>'Peers Stock History'!E423/'Peers Stock History'!E$1833*100</f>
        <v>476.83486238532112</v>
      </c>
      <c r="E420" s="871">
        <f>'Peers Stock History'!F423/'Peers Stock History'!F$1833*100</f>
        <v>690.30075187969931</v>
      </c>
      <c r="F420" s="871">
        <f>'Peers Stock History'!G423/'Peers Stock History'!G$1833*100</f>
        <v>295.57789130025338</v>
      </c>
      <c r="G420" s="871">
        <f>'Peers Stock History'!H423/'Peers Stock History'!H$1833*100</f>
        <v>209.45676974610416</v>
      </c>
      <c r="H420" s="871">
        <f>'Peers Stock History'!I423/'Peers Stock History'!I$1833*100</f>
        <v>306.60295395308424</v>
      </c>
      <c r="I420" s="871">
        <f>'Peers Stock History'!J423/'Peers Stock History'!J$1833*100</f>
        <v>157.62732787059699</v>
      </c>
      <c r="J420" s="871">
        <f>'Peers Stock History'!K423/'Peers Stock History'!K$1833*100</f>
        <v>220.03378331935721</v>
      </c>
    </row>
    <row r="421" spans="2:10">
      <c r="B421" s="870">
        <v>44190</v>
      </c>
      <c r="C421" s="871">
        <f>'Peers Stock History'!D424/'Peers Stock History'!D$1833*100</f>
        <v>130.56865464632457</v>
      </c>
      <c r="D421" s="871">
        <f>'Peers Stock History'!E424/'Peers Stock History'!E$1833*100</f>
        <v>476.83486238532112</v>
      </c>
      <c r="E421" s="871">
        <f>'Peers Stock History'!F424/'Peers Stock History'!F$1833*100</f>
        <v>690.30075187969931</v>
      </c>
      <c r="F421" s="871">
        <f>'Peers Stock History'!G424/'Peers Stock History'!G$1833*100</f>
        <v>295.57789130025338</v>
      </c>
      <c r="G421" s="871">
        <f>'Peers Stock History'!H424/'Peers Stock History'!H$1833*100</f>
        <v>209.45676974610416</v>
      </c>
      <c r="H421" s="871">
        <f>'Peers Stock History'!I424/'Peers Stock History'!I$1833*100</f>
        <v>306.60295395308424</v>
      </c>
      <c r="I421" s="871">
        <f>'Peers Stock History'!J424/'Peers Stock History'!J$1833*100</f>
        <v>157.62732787059699</v>
      </c>
      <c r="J421" s="871">
        <f>'Peers Stock History'!K424/'Peers Stock History'!K$1833*100</f>
        <v>220.03378331935721</v>
      </c>
    </row>
    <row r="422" spans="2:10">
      <c r="B422" s="870">
        <v>44189</v>
      </c>
      <c r="C422" s="871">
        <f>'Peers Stock History'!D425/'Peers Stock History'!D$1833*100</f>
        <v>130.56865464632457</v>
      </c>
      <c r="D422" s="871">
        <f>'Peers Stock History'!E425/'Peers Stock History'!E$1833*100</f>
        <v>476.83486238532112</v>
      </c>
      <c r="E422" s="871">
        <f>'Peers Stock History'!F425/'Peers Stock History'!F$1833*100</f>
        <v>690.30075187969931</v>
      </c>
      <c r="F422" s="871">
        <f>'Peers Stock History'!G425/'Peers Stock History'!G$1833*100</f>
        <v>295.17789231017707</v>
      </c>
      <c r="G422" s="871">
        <f>'Peers Stock History'!H425/'Peers Stock History'!H$1833*100</f>
        <v>209.45676974610416</v>
      </c>
      <c r="H422" s="871">
        <f>'Peers Stock History'!I425/'Peers Stock History'!I$1833*100</f>
        <v>306.60295395308424</v>
      </c>
      <c r="I422" s="871">
        <f>'Peers Stock History'!J425/'Peers Stock History'!J$1833*100</f>
        <v>157.62732787059699</v>
      </c>
      <c r="J422" s="871">
        <f>'Peers Stock History'!K425/'Peers Stock History'!K$1833*100</f>
        <v>220.03378331935721</v>
      </c>
    </row>
    <row r="423" spans="2:10">
      <c r="B423" s="870">
        <v>44188</v>
      </c>
      <c r="C423" s="871">
        <f>'Peers Stock History'!D426/'Peers Stock History'!D$1833*100</f>
        <v>129.18169209431346</v>
      </c>
      <c r="D423" s="871">
        <f>'Peers Stock History'!E426/'Peers Stock History'!E$1833*100</f>
        <v>477.40366972477062</v>
      </c>
      <c r="E423" s="871">
        <f>'Peers Stock History'!F426/'Peers Stock History'!F$1833*100</f>
        <v>688.3458646616541</v>
      </c>
      <c r="F423" s="871">
        <f>'Peers Stock History'!G426/'Peers Stock History'!G$1833*100</f>
        <v>294.30591616914234</v>
      </c>
      <c r="G423" s="871">
        <f>'Peers Stock History'!H426/'Peers Stock History'!H$1833*100</f>
        <v>206.54400699063058</v>
      </c>
      <c r="H423" s="871">
        <f>'Peers Stock History'!I426/'Peers Stock History'!I$1833*100</f>
        <v>303.86620330147701</v>
      </c>
      <c r="I423" s="871">
        <f>'Peers Stock History'!J426/'Peers Stock History'!J$1833*100</f>
        <v>157.07183143556455</v>
      </c>
      <c r="J423" s="871">
        <f>'Peers Stock History'!K426/'Peers Stock History'!K$1833*100</f>
        <v>219.45606450105166</v>
      </c>
    </row>
    <row r="424" spans="2:10">
      <c r="B424" s="870">
        <v>44187</v>
      </c>
      <c r="C424" s="871">
        <f>'Peers Stock History'!D427/'Peers Stock History'!D$1833*100</f>
        <v>128.0721220527046</v>
      </c>
      <c r="D424" s="871">
        <f>'Peers Stock History'!E427/'Peers Stock History'!E$1833*100</f>
        <v>487.27522935779814</v>
      </c>
      <c r="E424" s="871">
        <f>'Peers Stock History'!F427/'Peers Stock History'!F$1833*100</f>
        <v>700.45112781954879</v>
      </c>
      <c r="F424" s="871">
        <f>'Peers Stock History'!G427/'Peers Stock History'!G$1833*100</f>
        <v>294.27453692656161</v>
      </c>
      <c r="G424" s="871">
        <f>'Peers Stock History'!H427/'Peers Stock History'!H$1833*100</f>
        <v>210.25292489926696</v>
      </c>
      <c r="H424" s="871">
        <f>'Peers Stock History'!I427/'Peers Stock History'!I$1833*100</f>
        <v>305.99478714161597</v>
      </c>
      <c r="I424" s="871">
        <f>'Peers Stock History'!J427/'Peers Stock History'!J$1833*100</f>
        <v>156.95477279982975</v>
      </c>
      <c r="J424" s="871">
        <f>'Peers Stock History'!K427/'Peers Stock History'!K$1833*100</f>
        <v>220.08849648763459</v>
      </c>
    </row>
    <row r="425" spans="2:10">
      <c r="B425" s="870">
        <v>44186</v>
      </c>
      <c r="C425" s="871">
        <f>'Peers Stock History'!D428/'Peers Stock History'!D$1833*100</f>
        <v>128.59916782246881</v>
      </c>
      <c r="D425" s="871">
        <f>'Peers Stock History'!E428/'Peers Stock History'!E$1833*100</f>
        <v>489.25688073394491</v>
      </c>
      <c r="E425" s="871">
        <f>'Peers Stock History'!F428/'Peers Stock History'!F$1833*100</f>
        <v>700.97744360902254</v>
      </c>
      <c r="F425" s="871">
        <f>'Peers Stock History'!G428/'Peers Stock History'!G$1833*100</f>
        <v>298.32153448743748</v>
      </c>
      <c r="G425" s="871">
        <f>'Peers Stock History'!H428/'Peers Stock History'!H$1833*100</f>
        <v>208.20428176125051</v>
      </c>
      <c r="H425" s="871">
        <f>'Peers Stock History'!I428/'Peers Stock History'!I$1833*100</f>
        <v>310.46915725456125</v>
      </c>
      <c r="I425" s="871">
        <f>'Peers Stock History'!J428/'Peers Stock History'!J$1833*100</f>
        <v>157.28083430882197</v>
      </c>
      <c r="J425" s="871">
        <f>'Peers Stock History'!K428/'Peers Stock History'!K$1833*100</f>
        <v>218.96464264602778</v>
      </c>
    </row>
    <row r="426" spans="2:10">
      <c r="B426" s="870">
        <v>44185</v>
      </c>
      <c r="C426" s="871">
        <f>'Peers Stock History'!D429/'Peers Stock History'!D$1833*100</f>
        <v>131.65048543689321</v>
      </c>
      <c r="D426" s="871">
        <f>'Peers Stock History'!E429/'Peers Stock History'!E$1833*100</f>
        <v>487.04587155963299</v>
      </c>
      <c r="E426" s="871">
        <f>'Peers Stock History'!F429/'Peers Stock History'!F$1833*100</f>
        <v>721.20300751879699</v>
      </c>
      <c r="F426" s="871">
        <f>'Peers Stock History'!G429/'Peers Stock History'!G$1833*100</f>
        <v>294.67464094870581</v>
      </c>
      <c r="G426" s="871">
        <f>'Peers Stock History'!H429/'Peers Stock History'!H$1833*100</f>
        <v>210.96169716976553</v>
      </c>
      <c r="H426" s="871">
        <f>'Peers Stock History'!I429/'Peers Stock History'!I$1833*100</f>
        <v>310.42571676802777</v>
      </c>
      <c r="I426" s="871">
        <f>'Peers Stock History'!J429/'Peers Stock History'!J$1833*100</f>
        <v>157.8976269022028</v>
      </c>
      <c r="J426" s="871">
        <f>'Peers Stock History'!K429/'Peers Stock History'!K$1833*100</f>
        <v>219.19012825976387</v>
      </c>
    </row>
    <row r="427" spans="2:10">
      <c r="B427" s="870">
        <v>44184</v>
      </c>
      <c r="C427" s="871">
        <f>'Peers Stock History'!D430/'Peers Stock History'!D$1833*100</f>
        <v>131.65048543689321</v>
      </c>
      <c r="D427" s="871">
        <f>'Peers Stock History'!E430/'Peers Stock History'!E$1833*100</f>
        <v>487.04587155963299</v>
      </c>
      <c r="E427" s="871">
        <f>'Peers Stock History'!F430/'Peers Stock History'!F$1833*100</f>
        <v>721.20300751879699</v>
      </c>
      <c r="F427" s="871">
        <f>'Peers Stock History'!G430/'Peers Stock History'!G$1833*100</f>
        <v>294.67464094870581</v>
      </c>
      <c r="G427" s="871">
        <f>'Peers Stock History'!H430/'Peers Stock History'!H$1833*100</f>
        <v>210.96169716976553</v>
      </c>
      <c r="H427" s="871">
        <f>'Peers Stock History'!I430/'Peers Stock History'!I$1833*100</f>
        <v>310.42571676802777</v>
      </c>
      <c r="I427" s="871">
        <f>'Peers Stock History'!J430/'Peers Stock History'!J$1833*100</f>
        <v>157.8976269022028</v>
      </c>
      <c r="J427" s="871">
        <f>'Peers Stock History'!K430/'Peers Stock History'!K$1833*100</f>
        <v>219.19012825976387</v>
      </c>
    </row>
    <row r="428" spans="2:10">
      <c r="B428" s="870">
        <v>44183</v>
      </c>
      <c r="C428" s="871">
        <f>'Peers Stock History'!D431/'Peers Stock History'!D$1833*100</f>
        <v>131.65048543689321</v>
      </c>
      <c r="D428" s="871">
        <f>'Peers Stock History'!E431/'Peers Stock History'!E$1833*100</f>
        <v>487.04587155963299</v>
      </c>
      <c r="E428" s="871">
        <f>'Peers Stock History'!F431/'Peers Stock History'!F$1833*100</f>
        <v>721.20300751879699</v>
      </c>
      <c r="F428" s="871">
        <f>'Peers Stock History'!G431/'Peers Stock History'!G$1833*100</f>
        <v>294.67464094870581</v>
      </c>
      <c r="G428" s="871">
        <f>'Peers Stock History'!H431/'Peers Stock History'!H$1833*100</f>
        <v>210.96169716976553</v>
      </c>
      <c r="H428" s="871">
        <f>'Peers Stock History'!I431/'Peers Stock History'!I$1833*100</f>
        <v>310.42571676802777</v>
      </c>
      <c r="I428" s="871">
        <f>'Peers Stock History'!J431/'Peers Stock History'!J$1833*100</f>
        <v>157.8976269022028</v>
      </c>
      <c r="J428" s="871">
        <f>'Peers Stock History'!K431/'Peers Stock History'!K$1833*100</f>
        <v>219.19012825976387</v>
      </c>
    </row>
    <row r="429" spans="2:10">
      <c r="B429" s="870">
        <v>44182</v>
      </c>
      <c r="C429" s="871">
        <f>'Peers Stock History'!D432/'Peers Stock History'!D$1833*100</f>
        <v>140.49930651872401</v>
      </c>
      <c r="D429" s="871">
        <f>'Peers Stock History'!E432/'Peers Stock History'!E$1833*100</f>
        <v>489.58715596330273</v>
      </c>
      <c r="E429" s="871">
        <f>'Peers Stock History'!F432/'Peers Stock History'!F$1833*100</f>
        <v>728.12030075187965</v>
      </c>
      <c r="F429" s="871">
        <f>'Peers Stock History'!G432/'Peers Stock History'!G$1833*100</f>
        <v>293.60248169315179</v>
      </c>
      <c r="G429" s="871">
        <f>'Peers Stock History'!H432/'Peers Stock History'!H$1833*100</f>
        <v>206.85470168454779</v>
      </c>
      <c r="H429" s="871">
        <f>'Peers Stock History'!I432/'Peers Stock History'!I$1833*100</f>
        <v>313.90095569070377</v>
      </c>
      <c r="I429" s="871">
        <f>'Peers Stock History'!J432/'Peers Stock History'!J$1833*100</f>
        <v>158.45397467276788</v>
      </c>
      <c r="J429" s="871">
        <f>'Peers Stock History'!K432/'Peers Stock History'!K$1833*100</f>
        <v>219.34662098071294</v>
      </c>
    </row>
    <row r="430" spans="2:10">
      <c r="B430" s="870">
        <v>44181</v>
      </c>
      <c r="C430" s="871">
        <f>'Peers Stock History'!D433/'Peers Stock History'!D$1833*100</f>
        <v>141.80305131761443</v>
      </c>
      <c r="D430" s="871">
        <f>'Peers Stock History'!E433/'Peers Stock History'!E$1833*100</f>
        <v>485.96330275229366</v>
      </c>
      <c r="E430" s="871">
        <f>'Peers Stock History'!F433/'Peers Stock History'!F$1833*100</f>
        <v>728.19548872180451</v>
      </c>
      <c r="F430" s="871">
        <f>'Peers Stock History'!G433/'Peers Stock History'!G$1833*100</f>
        <v>296.05105153393703</v>
      </c>
      <c r="G430" s="871">
        <f>'Peers Stock History'!H433/'Peers Stock History'!H$1833*100</f>
        <v>206.27214913345307</v>
      </c>
      <c r="H430" s="871">
        <f>'Peers Stock History'!I433/'Peers Stock History'!I$1833*100</f>
        <v>317.07211120764549</v>
      </c>
      <c r="I430" s="871">
        <f>'Peers Stock History'!J433/'Peers Stock History'!J$1833*100</f>
        <v>157.54687666276473</v>
      </c>
      <c r="J430" s="871">
        <f>'Peers Stock History'!K433/'Peers Stock History'!K$1833*100</f>
        <v>217.51556850831011</v>
      </c>
    </row>
    <row r="431" spans="2:10">
      <c r="B431" s="870">
        <v>44180</v>
      </c>
      <c r="C431" s="871">
        <f>'Peers Stock History'!D434/'Peers Stock History'!D$1833*100</f>
        <v>140.54091539528432</v>
      </c>
      <c r="D431" s="871">
        <f>'Peers Stock History'!E434/'Peers Stock History'!E$1833*100</f>
        <v>490.29357798165131</v>
      </c>
      <c r="E431" s="871">
        <f>'Peers Stock History'!F434/'Peers Stock History'!F$1833*100</f>
        <v>730.22556390977445</v>
      </c>
      <c r="F431" s="871">
        <f>'Peers Stock History'!G434/'Peers Stock History'!G$1833*100</f>
        <v>291.50814814814822</v>
      </c>
      <c r="G431" s="871">
        <f>'Peers Stock History'!H434/'Peers Stock History'!H$1833*100</f>
        <v>202.95159959221323</v>
      </c>
      <c r="H431" s="871">
        <f>'Peers Stock History'!I434/'Peers Stock History'!I$1833*100</f>
        <v>317.76715899218073</v>
      </c>
      <c r="I431" s="871">
        <f>'Peers Stock History'!J434/'Peers Stock History'!J$1833*100</f>
        <v>157.2680642758327</v>
      </c>
      <c r="J431" s="871">
        <f>'Peers Stock History'!K434/'Peers Stock History'!K$1833*100</f>
        <v>216.43079059153459</v>
      </c>
    </row>
    <row r="432" spans="2:10">
      <c r="B432" s="870">
        <v>44179</v>
      </c>
      <c r="C432" s="871">
        <f>'Peers Stock History'!D435/'Peers Stock History'!D$1833*100</f>
        <v>140</v>
      </c>
      <c r="D432" s="871">
        <f>'Peers Stock History'!E435/'Peers Stock History'!E$1833*100</f>
        <v>488.39449541284409</v>
      </c>
      <c r="E432" s="871">
        <f>'Peers Stock History'!F435/'Peers Stock History'!F$1833*100</f>
        <v>712.63157894736833</v>
      </c>
      <c r="F432" s="871">
        <f>'Peers Stock History'!G435/'Peers Stock History'!G$1833*100</f>
        <v>293.93666677582246</v>
      </c>
      <c r="G432" s="871">
        <f>'Peers Stock History'!H435/'Peers Stock History'!H$1833*100</f>
        <v>199.9126171173358</v>
      </c>
      <c r="H432" s="871">
        <f>'Peers Stock History'!I435/'Peers Stock History'!I$1833*100</f>
        <v>310.77324066029541</v>
      </c>
      <c r="I432" s="871">
        <f>'Peers Stock History'!J435/'Peers Stock History'!J$1833*100</f>
        <v>155.26189209322123</v>
      </c>
      <c r="J432" s="871">
        <f>'Peers Stock History'!K435/'Peers Stock History'!K$1833*100</f>
        <v>213.76696039481465</v>
      </c>
    </row>
    <row r="433" spans="2:10">
      <c r="B433" s="870">
        <v>44178</v>
      </c>
      <c r="C433" s="871">
        <f>'Peers Stock History'!D436/'Peers Stock History'!D$1833*100</f>
        <v>137.94729542302358</v>
      </c>
      <c r="D433" s="871">
        <f>'Peers Stock History'!E436/'Peers Stock History'!E$1833*100</f>
        <v>477.55045871559628</v>
      </c>
      <c r="E433" s="871">
        <f>'Peers Stock History'!F436/'Peers Stock History'!F$1833*100</f>
        <v>689.09774436090231</v>
      </c>
      <c r="F433" s="871">
        <f>'Peers Stock History'!G436/'Peers Stock History'!G$1833*100</f>
        <v>297.89803796972757</v>
      </c>
      <c r="G433" s="871">
        <f>'Peers Stock History'!H436/'Peers Stock History'!H$1833*100</f>
        <v>197.00956357104712</v>
      </c>
      <c r="H433" s="871">
        <f>'Peers Stock History'!I436/'Peers Stock History'!I$1833*100</f>
        <v>306.38575152041705</v>
      </c>
      <c r="I433" s="871">
        <f>'Peers Stock History'!J436/'Peers Stock History'!J$1833*100</f>
        <v>155.94168351601576</v>
      </c>
      <c r="J433" s="871">
        <f>'Peers Stock History'!K436/'Peers Stock History'!K$1833*100</f>
        <v>212.6986789106856</v>
      </c>
    </row>
    <row r="434" spans="2:10">
      <c r="B434" s="870">
        <v>44177</v>
      </c>
      <c r="C434" s="871">
        <f>'Peers Stock History'!D437/'Peers Stock History'!D$1833*100</f>
        <v>137.94729542302358</v>
      </c>
      <c r="D434" s="871">
        <f>'Peers Stock History'!E437/'Peers Stock History'!E$1833*100</f>
        <v>477.55045871559628</v>
      </c>
      <c r="E434" s="871">
        <f>'Peers Stock History'!F437/'Peers Stock History'!F$1833*100</f>
        <v>689.09774436090231</v>
      </c>
      <c r="F434" s="871">
        <f>'Peers Stock History'!G437/'Peers Stock History'!G$1833*100</f>
        <v>297.89803796972757</v>
      </c>
      <c r="G434" s="871">
        <f>'Peers Stock History'!H437/'Peers Stock History'!H$1833*100</f>
        <v>197.00956357104712</v>
      </c>
      <c r="H434" s="871">
        <f>'Peers Stock History'!I437/'Peers Stock History'!I$1833*100</f>
        <v>306.38575152041705</v>
      </c>
      <c r="I434" s="871">
        <f>'Peers Stock History'!J437/'Peers Stock History'!J$1833*100</f>
        <v>155.94168351601576</v>
      </c>
      <c r="J434" s="871">
        <f>'Peers Stock History'!K437/'Peers Stock History'!K$1833*100</f>
        <v>212.6986789106856</v>
      </c>
    </row>
    <row r="435" spans="2:10">
      <c r="B435" s="870">
        <v>44176</v>
      </c>
      <c r="C435" s="871">
        <f>'Peers Stock History'!D438/'Peers Stock History'!D$1833*100</f>
        <v>137.94729542302358</v>
      </c>
      <c r="D435" s="871">
        <f>'Peers Stock History'!E438/'Peers Stock History'!E$1833*100</f>
        <v>477.55045871559628</v>
      </c>
      <c r="E435" s="871">
        <f>'Peers Stock History'!F438/'Peers Stock History'!F$1833*100</f>
        <v>689.09774436090231</v>
      </c>
      <c r="F435" s="871">
        <f>'Peers Stock History'!G438/'Peers Stock History'!G$1833*100</f>
        <v>297.89803796972757</v>
      </c>
      <c r="G435" s="871">
        <f>'Peers Stock History'!H438/'Peers Stock History'!H$1833*100</f>
        <v>197.00956357104712</v>
      </c>
      <c r="H435" s="871">
        <f>'Peers Stock History'!I438/'Peers Stock History'!I$1833*100</f>
        <v>306.38575152041705</v>
      </c>
      <c r="I435" s="871">
        <f>'Peers Stock History'!J438/'Peers Stock History'!J$1833*100</f>
        <v>155.94168351601576</v>
      </c>
      <c r="J435" s="871">
        <f>'Peers Stock History'!K438/'Peers Stock History'!K$1833*100</f>
        <v>212.6986789106856</v>
      </c>
    </row>
    <row r="436" spans="2:10">
      <c r="B436" s="870">
        <v>44175</v>
      </c>
      <c r="C436" s="871">
        <f>'Peers Stock History'!D439/'Peers Stock History'!D$1833*100</f>
        <v>139.41747572815535</v>
      </c>
      <c r="D436" s="871">
        <f>'Peers Stock History'!E439/'Peers Stock History'!E$1833*100</f>
        <v>476.04587155963304</v>
      </c>
      <c r="E436" s="871">
        <f>'Peers Stock History'!F439/'Peers Stock History'!F$1833*100</f>
        <v>689.17293233082694</v>
      </c>
      <c r="F436" s="871">
        <f>'Peers Stock History'!G439/'Peers Stock History'!G$1833*100</f>
        <v>295.60973319624571</v>
      </c>
      <c r="G436" s="871">
        <f>'Peers Stock History'!H439/'Peers Stock History'!H$1833*100</f>
        <v>199.05820670906357</v>
      </c>
      <c r="H436" s="871">
        <f>'Peers Stock History'!I439/'Peers Stock History'!I$1833*100</f>
        <v>309.64378801042574</v>
      </c>
      <c r="I436" s="871">
        <f>'Peers Stock History'!J439/'Peers Stock History'!J$1833*100</f>
        <v>156.13919335958283</v>
      </c>
      <c r="J436" s="871">
        <f>'Peers Stock History'!K439/'Peers Stock History'!K$1833*100</f>
        <v>213.17872510069699</v>
      </c>
    </row>
    <row r="437" spans="2:10">
      <c r="B437" s="870">
        <v>44174</v>
      </c>
      <c r="C437" s="871">
        <f>'Peers Stock History'!D440/'Peers Stock History'!D$1833*100</f>
        <v>138.89042995839114</v>
      </c>
      <c r="D437" s="871">
        <f>'Peers Stock History'!E440/'Peers Stock History'!E$1833*100</f>
        <v>474.52293577981652</v>
      </c>
      <c r="E437" s="871">
        <f>'Peers Stock History'!F440/'Peers Stock History'!F$1833*100</f>
        <v>675.41353383458636</v>
      </c>
      <c r="F437" s="871">
        <f>'Peers Stock History'!G440/'Peers Stock History'!G$1833*100</f>
        <v>299.43156810413456</v>
      </c>
      <c r="G437" s="871">
        <f>'Peers Stock History'!H440/'Peers Stock History'!H$1833*100</f>
        <v>202.05835234720132</v>
      </c>
      <c r="H437" s="871">
        <f>'Peers Stock History'!I440/'Peers Stock History'!I$1833*100</f>
        <v>310.20851433536058</v>
      </c>
      <c r="I437" s="871">
        <f>'Peers Stock History'!J440/'Peers Stock History'!J$1833*100</f>
        <v>156.34010854528043</v>
      </c>
      <c r="J437" s="871">
        <f>'Peers Stock History'!K440/'Peers Stock History'!K$1833*100</f>
        <v>212.02990322092847</v>
      </c>
    </row>
    <row r="438" spans="2:10">
      <c r="B438" s="870">
        <v>44173</v>
      </c>
      <c r="C438" s="871">
        <f>'Peers Stock History'!D441/'Peers Stock History'!D$1833*100</f>
        <v>140.61026352288488</v>
      </c>
      <c r="D438" s="871">
        <f>'Peers Stock History'!E441/'Peers Stock History'!E$1833*100</f>
        <v>489.90825688073397</v>
      </c>
      <c r="E438" s="871">
        <f>'Peers Stock History'!F441/'Peers Stock History'!F$1833*100</f>
        <v>698.64661654135341</v>
      </c>
      <c r="F438" s="871">
        <f>'Peers Stock History'!G441/'Peers Stock History'!G$1833*100</f>
        <v>301.83104642224441</v>
      </c>
      <c r="G438" s="871">
        <f>'Peers Stock History'!H441/'Peers Stock History'!H$1833*100</f>
        <v>205.54881304917717</v>
      </c>
      <c r="H438" s="871">
        <f>'Peers Stock History'!I441/'Peers Stock History'!I$1833*100</f>
        <v>317.94092093831455</v>
      </c>
      <c r="I438" s="871">
        <f>'Peers Stock History'!J441/'Peers Stock History'!J$1833*100</f>
        <v>157.59284878152602</v>
      </c>
      <c r="J438" s="871">
        <f>'Peers Stock History'!K441/'Peers Stock History'!K$1833*100</f>
        <v>216.21967062122818</v>
      </c>
    </row>
    <row r="439" spans="2:10">
      <c r="B439" s="870">
        <v>44172</v>
      </c>
      <c r="C439" s="871">
        <f>'Peers Stock History'!D442/'Peers Stock History'!D$1833*100</f>
        <v>139.25104022191402</v>
      </c>
      <c r="D439" s="871">
        <f>'Peers Stock History'!E442/'Peers Stock History'!E$1833*100</f>
        <v>499.33027522935777</v>
      </c>
      <c r="E439" s="871">
        <f>'Peers Stock History'!F442/'Peers Stock History'!F$1833*100</f>
        <v>707.29323308270671</v>
      </c>
      <c r="F439" s="871">
        <f>'Peers Stock History'!G442/'Peers Stock History'!G$1833*100</f>
        <v>296.24924264238274</v>
      </c>
      <c r="G439" s="871">
        <f>'Peers Stock History'!H442/'Peers Stock History'!H$1833*100</f>
        <v>204.32545269187824</v>
      </c>
      <c r="H439" s="871">
        <f>'Peers Stock History'!I442/'Peers Stock History'!I$1833*100</f>
        <v>315.42137271937446</v>
      </c>
      <c r="I439" s="871">
        <f>'Peers Stock History'!J442/'Peers Stock History'!J$1833*100</f>
        <v>157.15483664999468</v>
      </c>
      <c r="J439" s="871">
        <f>'Peers Stock History'!K442/'Peers Stock History'!K$1833*100</f>
        <v>215.1400478396547</v>
      </c>
    </row>
    <row r="440" spans="2:10">
      <c r="B440" s="870">
        <v>44171</v>
      </c>
      <c r="C440" s="871">
        <f>'Peers Stock History'!D443/'Peers Stock History'!D$1833*100</f>
        <v>144.20249653259361</v>
      </c>
      <c r="D440" s="871">
        <f>'Peers Stock History'!E443/'Peers Stock History'!E$1833*100</f>
        <v>497.55045871559639</v>
      </c>
      <c r="E440" s="871">
        <f>'Peers Stock History'!F443/'Peers Stock History'!F$1833*100</f>
        <v>707.06766917293237</v>
      </c>
      <c r="F440" s="871">
        <f>'Peers Stock History'!G443/'Peers Stock History'!G$1833*100</f>
        <v>290.14572075101825</v>
      </c>
      <c r="G440" s="871">
        <f>'Peers Stock History'!H443/'Peers Stock History'!H$1833*100</f>
        <v>199.85436186222631</v>
      </c>
      <c r="H440" s="871">
        <f>'Peers Stock History'!I443/'Peers Stock History'!I$1833*100</f>
        <v>318.5925282363163</v>
      </c>
      <c r="I440" s="871">
        <f>'Peers Stock History'!J443/'Peers Stock History'!J$1833*100</f>
        <v>157.45961477067149</v>
      </c>
      <c r="J440" s="871">
        <f>'Peers Stock History'!K443/'Peers Stock History'!K$1833*100</f>
        <v>214.18267049750494</v>
      </c>
    </row>
    <row r="441" spans="2:10">
      <c r="B441" s="870">
        <v>44170</v>
      </c>
      <c r="C441" s="871">
        <f>'Peers Stock History'!D444/'Peers Stock History'!D$1833*100</f>
        <v>144.20249653259361</v>
      </c>
      <c r="D441" s="871">
        <f>'Peers Stock History'!E444/'Peers Stock History'!E$1833*100</f>
        <v>497.55045871559639</v>
      </c>
      <c r="E441" s="871">
        <f>'Peers Stock History'!F444/'Peers Stock History'!F$1833*100</f>
        <v>707.06766917293237</v>
      </c>
      <c r="F441" s="871">
        <f>'Peers Stock History'!G444/'Peers Stock History'!G$1833*100</f>
        <v>290.14572075101825</v>
      </c>
      <c r="G441" s="871">
        <f>'Peers Stock History'!H444/'Peers Stock History'!H$1833*100</f>
        <v>199.85436186222631</v>
      </c>
      <c r="H441" s="871">
        <f>'Peers Stock History'!I444/'Peers Stock History'!I$1833*100</f>
        <v>318.5925282363163</v>
      </c>
      <c r="I441" s="871">
        <f>'Peers Stock History'!J444/'Peers Stock History'!J$1833*100</f>
        <v>157.45961477067149</v>
      </c>
      <c r="J441" s="871">
        <f>'Peers Stock History'!K444/'Peers Stock History'!K$1833*100</f>
        <v>214.18267049750494</v>
      </c>
    </row>
    <row r="442" spans="2:10">
      <c r="B442" s="870">
        <v>44169</v>
      </c>
      <c r="C442" s="871">
        <f>'Peers Stock History'!D445/'Peers Stock History'!D$1833*100</f>
        <v>144.20249653259361</v>
      </c>
      <c r="D442" s="871">
        <f>'Peers Stock History'!E445/'Peers Stock History'!E$1833*100</f>
        <v>497.55045871559639</v>
      </c>
      <c r="E442" s="871">
        <f>'Peers Stock History'!F445/'Peers Stock History'!F$1833*100</f>
        <v>707.06766917293237</v>
      </c>
      <c r="F442" s="871">
        <f>'Peers Stock History'!G445/'Peers Stock History'!G$1833*100</f>
        <v>290.14572075101825</v>
      </c>
      <c r="G442" s="871">
        <f>'Peers Stock History'!H445/'Peers Stock History'!H$1833*100</f>
        <v>199.85436186222631</v>
      </c>
      <c r="H442" s="871">
        <f>'Peers Stock History'!I445/'Peers Stock History'!I$1833*100</f>
        <v>318.5925282363163</v>
      </c>
      <c r="I442" s="871">
        <f>'Peers Stock History'!J445/'Peers Stock History'!J$1833*100</f>
        <v>157.45961477067149</v>
      </c>
      <c r="J442" s="871">
        <f>'Peers Stock History'!K445/'Peers Stock History'!K$1833*100</f>
        <v>214.18267049750494</v>
      </c>
    </row>
    <row r="443" spans="2:10">
      <c r="B443" s="870">
        <v>44168</v>
      </c>
      <c r="C443" s="871">
        <f>'Peers Stock History'!D446/'Peers Stock History'!D$1833*100</f>
        <v>141.44244105409157</v>
      </c>
      <c r="D443" s="871">
        <f>'Peers Stock History'!E446/'Peers Stock History'!E$1833*100</f>
        <v>491.59633027522938</v>
      </c>
      <c r="E443" s="871">
        <f>'Peers Stock History'!F446/'Peers Stock History'!F$1833*100</f>
        <v>694.06015037593988</v>
      </c>
      <c r="F443" s="871">
        <f>'Peers Stock History'!G446/'Peers Stock History'!G$1833*100</f>
        <v>284.55569112685833</v>
      </c>
      <c r="G443" s="871">
        <f>'Peers Stock History'!H446/'Peers Stock History'!H$1833*100</f>
        <v>194.08709160638867</v>
      </c>
      <c r="H443" s="871">
        <f>'Peers Stock History'!I446/'Peers Stock History'!I$1833*100</f>
        <v>303.64900086880976</v>
      </c>
      <c r="I443" s="871">
        <f>'Peers Stock History'!J446/'Peers Stock History'!J$1833*100</f>
        <v>156.08045120783228</v>
      </c>
      <c r="J443" s="871">
        <f>'Peers Stock History'!K446/'Peers Stock History'!K$1833*100</f>
        <v>212.68682209972093</v>
      </c>
    </row>
    <row r="444" spans="2:10">
      <c r="B444" s="870">
        <v>44167</v>
      </c>
      <c r="C444" s="871">
        <f>'Peers Stock History'!D447/'Peers Stock History'!D$1833*100</f>
        <v>138.41886269070736</v>
      </c>
      <c r="D444" s="871">
        <f>'Peers Stock History'!E447/'Peers Stock History'!E$1833*100</f>
        <v>497.04587155963304</v>
      </c>
      <c r="E444" s="871">
        <f>'Peers Stock History'!F447/'Peers Stock History'!F$1833*100</f>
        <v>704.81203007518798</v>
      </c>
      <c r="F444" s="871">
        <f>'Peers Stock History'!G447/'Peers Stock History'!G$1833*100</f>
        <v>285.00862637655587</v>
      </c>
      <c r="G444" s="871">
        <f>'Peers Stock History'!H447/'Peers Stock History'!H$1833*100</f>
        <v>195.99495121122385</v>
      </c>
      <c r="H444" s="871">
        <f>'Peers Stock History'!I447/'Peers Stock History'!I$1833*100</f>
        <v>300.21720243266725</v>
      </c>
      <c r="I444" s="871">
        <f>'Peers Stock History'!J447/'Peers Stock History'!J$1833*100</f>
        <v>156.17792912631691</v>
      </c>
      <c r="J444" s="871">
        <f>'Peers Stock History'!K447/'Peers Stock History'!K$1833*100</f>
        <v>212.20883796379036</v>
      </c>
    </row>
    <row r="445" spans="2:10">
      <c r="B445" s="870">
        <v>44166</v>
      </c>
      <c r="C445" s="871">
        <f>'Peers Stock History'!D448/'Peers Stock History'!D$1833*100</f>
        <v>137.47572815533982</v>
      </c>
      <c r="D445" s="871">
        <f>'Peers Stock History'!E448/'Peers Stock History'!E$1833*100</f>
        <v>491.37614678899081</v>
      </c>
      <c r="E445" s="871">
        <f>'Peers Stock History'!F448/'Peers Stock History'!F$1833*100</f>
        <v>696.46616541353376</v>
      </c>
      <c r="F445" s="871">
        <f>'Peers Stock History'!G448/'Peers Stock History'!G$1833*100</f>
        <v>279.55409553277127</v>
      </c>
      <c r="G445" s="871">
        <f>'Peers Stock History'!H448/'Peers Stock History'!H$1833*100</f>
        <v>196.40273799699014</v>
      </c>
      <c r="H445" s="871">
        <f>'Peers Stock History'!I448/'Peers Stock History'!I$1833*100</f>
        <v>291.39878366637708</v>
      </c>
      <c r="I445" s="871">
        <f>'Peers Stock History'!J448/'Peers Stock History'!J$1833*100</f>
        <v>155.8986910716186</v>
      </c>
      <c r="J445" s="871">
        <f>'Peers Stock History'!K448/'Peers Stock History'!K$1833*100</f>
        <v>212.30747288398882</v>
      </c>
    </row>
    <row r="446" spans="2:10">
      <c r="B446" s="870">
        <v>44165</v>
      </c>
      <c r="C446" s="871">
        <f>'Peers Stock History'!D449/'Peers Stock History'!D$1833*100</f>
        <v>134.11927877947295</v>
      </c>
      <c r="D446" s="871">
        <f>'Peers Stock History'!E449/'Peers Stock History'!E$1833*100</f>
        <v>491.7981651376146</v>
      </c>
      <c r="E446" s="871">
        <f>'Peers Stock History'!F449/'Peers Stock History'!F$1833*100</f>
        <v>696.69172932330821</v>
      </c>
      <c r="F446" s="871">
        <f>'Peers Stock History'!G449/'Peers Stock History'!G$1833*100</f>
        <v>273.52980004680694</v>
      </c>
      <c r="G446" s="871">
        <f>'Peers Stock History'!H449/'Peers Stock History'!H$1833*100</f>
        <v>194.9512112238458</v>
      </c>
      <c r="H446" s="871">
        <f>'Peers Stock History'!I449/'Peers Stock History'!I$1833*100</f>
        <v>278.4100781928758</v>
      </c>
      <c r="I446" s="871">
        <f>'Peers Stock History'!J449/'Peers Stock History'!J$1833*100</f>
        <v>154.16111524954775</v>
      </c>
      <c r="J446" s="871">
        <f>'Peers Stock History'!K449/'Peers Stock History'!K$1833*100</f>
        <v>209.62046176264383</v>
      </c>
    </row>
    <row r="447" spans="2:10">
      <c r="B447" s="870">
        <v>44164</v>
      </c>
      <c r="C447" s="871">
        <f>'Peers Stock History'!D450/'Peers Stock History'!D$1833*100</f>
        <v>131.622746185853</v>
      </c>
      <c r="D447" s="871">
        <f>'Peers Stock History'!E450/'Peers Stock History'!E$1833*100</f>
        <v>486.651376146789</v>
      </c>
      <c r="E447" s="871">
        <f>'Peers Stock History'!F450/'Peers Stock History'!F$1833*100</f>
        <v>655.56390977443607</v>
      </c>
      <c r="F447" s="871">
        <f>'Peers Stock History'!G450/'Peers Stock History'!G$1833*100</f>
        <v>279.07166468421013</v>
      </c>
      <c r="G447" s="871">
        <f>'Peers Stock History'!H450/'Peers Stock History'!H$1833*100</f>
        <v>191.73260837904752</v>
      </c>
      <c r="H447" s="871">
        <f>'Peers Stock History'!I450/'Peers Stock History'!I$1833*100</f>
        <v>279.01824500434407</v>
      </c>
      <c r="I447" s="871">
        <f>'Peers Stock History'!J450/'Peers Stock History'!J$1833*100</f>
        <v>154.87283175481537</v>
      </c>
      <c r="J447" s="871">
        <f>'Peers Stock History'!K450/'Peers Stock History'!K$1833*100</f>
        <v>209.74262128314751</v>
      </c>
    </row>
    <row r="448" spans="2:10">
      <c r="B448" s="870">
        <v>44163</v>
      </c>
      <c r="C448" s="871">
        <f>'Peers Stock History'!D451/'Peers Stock History'!D$1833*100</f>
        <v>131.622746185853</v>
      </c>
      <c r="D448" s="871">
        <f>'Peers Stock History'!E451/'Peers Stock History'!E$1833*100</f>
        <v>486.651376146789</v>
      </c>
      <c r="E448" s="871">
        <f>'Peers Stock History'!F451/'Peers Stock History'!F$1833*100</f>
        <v>655.56390977443607</v>
      </c>
      <c r="F448" s="871">
        <f>'Peers Stock History'!G451/'Peers Stock History'!G$1833*100</f>
        <v>279.07166468421013</v>
      </c>
      <c r="G448" s="871">
        <f>'Peers Stock History'!H451/'Peers Stock History'!H$1833*100</f>
        <v>191.73260837904752</v>
      </c>
      <c r="H448" s="871">
        <f>'Peers Stock History'!I451/'Peers Stock History'!I$1833*100</f>
        <v>279.01824500434407</v>
      </c>
      <c r="I448" s="871">
        <f>'Peers Stock History'!J451/'Peers Stock History'!J$1833*100</f>
        <v>154.87283175481537</v>
      </c>
      <c r="J448" s="871">
        <f>'Peers Stock History'!K451/'Peers Stock History'!K$1833*100</f>
        <v>209.74262128314751</v>
      </c>
    </row>
    <row r="449" spans="2:10">
      <c r="B449" s="870">
        <v>44162</v>
      </c>
      <c r="C449" s="871">
        <f>'Peers Stock History'!D452/'Peers Stock History'!D$1833*100</f>
        <v>131.622746185853</v>
      </c>
      <c r="D449" s="871">
        <f>'Peers Stock History'!E452/'Peers Stock History'!E$1833*100</f>
        <v>486.651376146789</v>
      </c>
      <c r="E449" s="871">
        <f>'Peers Stock History'!F452/'Peers Stock History'!F$1833*100</f>
        <v>655.56390977443607</v>
      </c>
      <c r="F449" s="871">
        <f>'Peers Stock History'!G452/'Peers Stock History'!G$1833*100</f>
        <v>279.07166468421013</v>
      </c>
      <c r="G449" s="871">
        <f>'Peers Stock History'!H452/'Peers Stock History'!H$1833*100</f>
        <v>191.73260837904752</v>
      </c>
      <c r="H449" s="871">
        <f>'Peers Stock History'!I452/'Peers Stock History'!I$1833*100</f>
        <v>279.01824500434407</v>
      </c>
      <c r="I449" s="871">
        <f>'Peers Stock History'!J452/'Peers Stock History'!J$1833*100</f>
        <v>154.87283175481537</v>
      </c>
      <c r="J449" s="871">
        <f>'Peers Stock History'!K452/'Peers Stock History'!K$1833*100</f>
        <v>209.74262128314751</v>
      </c>
    </row>
    <row r="450" spans="2:10">
      <c r="B450" s="870">
        <v>44161</v>
      </c>
      <c r="C450" s="871">
        <f>'Peers Stock History'!D453/'Peers Stock History'!D$1833*100</f>
        <v>130.51317614424411</v>
      </c>
      <c r="D450" s="871">
        <f>'Peers Stock History'!E453/'Peers Stock History'!E$1833*100</f>
        <v>485.67889908256882</v>
      </c>
      <c r="E450" s="871">
        <f>'Peers Stock History'!F453/'Peers Stock History'!F$1833*100</f>
        <v>651.95488721804497</v>
      </c>
      <c r="F450" s="871">
        <f>'Peers Stock History'!G453/'Peers Stock History'!G$1833*100</f>
        <v>279.12062634333546</v>
      </c>
      <c r="G450" s="871">
        <f>'Peers Stock History'!H453/'Peers Stock History'!H$1833*100</f>
        <v>189.73251128695566</v>
      </c>
      <c r="H450" s="871">
        <f>'Peers Stock History'!I453/'Peers Stock History'!I$1833*100</f>
        <v>275.54300608166812</v>
      </c>
      <c r="I450" s="871">
        <f>'Peers Stock History'!J453/'Peers Stock History'!J$1833*100</f>
        <v>154.50250079812707</v>
      </c>
      <c r="J450" s="871">
        <f>'Peers Stock History'!K453/'Peers Stock History'!K$1833*100</f>
        <v>207.8275916583039</v>
      </c>
    </row>
    <row r="451" spans="2:10">
      <c r="B451" s="870">
        <v>44160</v>
      </c>
      <c r="C451" s="871">
        <f>'Peers Stock History'!D454/'Peers Stock History'!D$1833*100</f>
        <v>130.51317614424411</v>
      </c>
      <c r="D451" s="871">
        <f>'Peers Stock History'!E454/'Peers Stock History'!E$1833*100</f>
        <v>485.67889908256882</v>
      </c>
      <c r="E451" s="871">
        <f>'Peers Stock History'!F454/'Peers Stock History'!F$1833*100</f>
        <v>651.95488721804497</v>
      </c>
      <c r="F451" s="871">
        <f>'Peers Stock History'!G454/'Peers Stock History'!G$1833*100</f>
        <v>278.16447818203449</v>
      </c>
      <c r="G451" s="871">
        <f>'Peers Stock History'!H454/'Peers Stock History'!H$1833*100</f>
        <v>189.73251128695566</v>
      </c>
      <c r="H451" s="871">
        <f>'Peers Stock History'!I454/'Peers Stock History'!I$1833*100</f>
        <v>275.54300608166812</v>
      </c>
      <c r="I451" s="871">
        <f>'Peers Stock History'!J454/'Peers Stock History'!J$1833*100</f>
        <v>154.50250079812707</v>
      </c>
      <c r="J451" s="871">
        <f>'Peers Stock History'!K454/'Peers Stock History'!K$1833*100</f>
        <v>207.8275916583039</v>
      </c>
    </row>
    <row r="452" spans="2:10">
      <c r="B452" s="870">
        <v>44159</v>
      </c>
      <c r="C452" s="871">
        <f>'Peers Stock History'!D455/'Peers Stock History'!D$1833*100</f>
        <v>130.40221914008322</v>
      </c>
      <c r="D452" s="871">
        <f>'Peers Stock History'!E455/'Peers Stock History'!E$1833*100</f>
        <v>475.51376146788982</v>
      </c>
      <c r="E452" s="871">
        <f>'Peers Stock History'!F455/'Peers Stock History'!F$1833*100</f>
        <v>639.62406015037584</v>
      </c>
      <c r="F452" s="871">
        <f>'Peers Stock History'!G455/'Peers Stock History'!G$1833*100</f>
        <v>280.96118505442354</v>
      </c>
      <c r="G452" s="871">
        <f>'Peers Stock History'!H455/'Peers Stock History'!H$1833*100</f>
        <v>190.41215592989951</v>
      </c>
      <c r="H452" s="871">
        <f>'Peers Stock History'!I455/'Peers Stock History'!I$1833*100</f>
        <v>277.80191138140754</v>
      </c>
      <c r="I452" s="871">
        <f>'Peers Stock History'!J455/'Peers Stock History'!J$1833*100</f>
        <v>154.74768543152069</v>
      </c>
      <c r="J452" s="871">
        <f>'Peers Stock History'!K455/'Peers Stock History'!K$1833*100</f>
        <v>206.84681000233698</v>
      </c>
    </row>
    <row r="453" spans="2:10">
      <c r="B453" s="870">
        <v>44158</v>
      </c>
      <c r="C453" s="871">
        <f>'Peers Stock History'!D456/'Peers Stock History'!D$1833*100</f>
        <v>127.76699029126215</v>
      </c>
      <c r="D453" s="871">
        <f>'Peers Stock History'!E456/'Peers Stock History'!E$1833*100</f>
        <v>482.20183486238534</v>
      </c>
      <c r="E453" s="871">
        <f>'Peers Stock History'!F456/'Peers Stock History'!F$1833*100</f>
        <v>641.42857142857133</v>
      </c>
      <c r="F453" s="871">
        <f>'Peers Stock History'!G456/'Peers Stock History'!G$1833*100</f>
        <v>283.14330231069891</v>
      </c>
      <c r="G453" s="871">
        <f>'Peers Stock History'!H456/'Peers Stock History'!H$1833*100</f>
        <v>187.87319772804506</v>
      </c>
      <c r="H453" s="871">
        <f>'Peers Stock History'!I456/'Peers Stock History'!I$1833*100</f>
        <v>278.80104257167682</v>
      </c>
      <c r="I453" s="871">
        <f>'Peers Stock History'!J456/'Peers Stock History'!J$1833*100</f>
        <v>152.28647440672555</v>
      </c>
      <c r="J453" s="871">
        <f>'Peers Stock History'!K456/'Peers Stock History'!K$1833*100</f>
        <v>204.15424851875784</v>
      </c>
    </row>
    <row r="454" spans="2:10">
      <c r="B454" s="870">
        <v>44157</v>
      </c>
      <c r="C454" s="871">
        <f>'Peers Stock History'!D457/'Peers Stock History'!D$1833*100</f>
        <v>125.90846047156728</v>
      </c>
      <c r="D454" s="871">
        <f>'Peers Stock History'!E457/'Peers Stock History'!E$1833*100</f>
        <v>480.28440366972472</v>
      </c>
      <c r="E454" s="871">
        <f>'Peers Stock History'!F457/'Peers Stock History'!F$1833*100</f>
        <v>636.39097744360902</v>
      </c>
      <c r="F454" s="871">
        <f>'Peers Stock History'!G457/'Peers Stock History'!G$1833*100</f>
        <v>278.29593459742398</v>
      </c>
      <c r="G454" s="871">
        <f>'Peers Stock History'!H457/'Peers Stock History'!H$1833*100</f>
        <v>186.0915578426137</v>
      </c>
      <c r="H454" s="871">
        <f>'Peers Stock History'!I457/'Peers Stock History'!I$1833*100</f>
        <v>266.72458731537796</v>
      </c>
      <c r="I454" s="871">
        <f>'Peers Stock History'!J457/'Peers Stock History'!J$1833*100</f>
        <v>151.43301053527722</v>
      </c>
      <c r="J454" s="871">
        <f>'Peers Stock History'!K457/'Peers Stock History'!K$1833*100</f>
        <v>203.71324388600965</v>
      </c>
    </row>
    <row r="455" spans="2:10">
      <c r="B455" s="870">
        <v>44156</v>
      </c>
      <c r="C455" s="871">
        <f>'Peers Stock History'!D458/'Peers Stock History'!D$1833*100</f>
        <v>125.90846047156728</v>
      </c>
      <c r="D455" s="871">
        <f>'Peers Stock History'!E458/'Peers Stock History'!E$1833*100</f>
        <v>480.28440366972472</v>
      </c>
      <c r="E455" s="871">
        <f>'Peers Stock History'!F458/'Peers Stock History'!F$1833*100</f>
        <v>636.39097744360902</v>
      </c>
      <c r="F455" s="871">
        <f>'Peers Stock History'!G458/'Peers Stock History'!G$1833*100</f>
        <v>278.29593459742398</v>
      </c>
      <c r="G455" s="871">
        <f>'Peers Stock History'!H458/'Peers Stock History'!H$1833*100</f>
        <v>186.0915578426137</v>
      </c>
      <c r="H455" s="871">
        <f>'Peers Stock History'!I458/'Peers Stock History'!I$1833*100</f>
        <v>266.72458731537796</v>
      </c>
      <c r="I455" s="871">
        <f>'Peers Stock History'!J458/'Peers Stock History'!J$1833*100</f>
        <v>151.43301053527722</v>
      </c>
      <c r="J455" s="871">
        <f>'Peers Stock History'!K458/'Peers Stock History'!K$1833*100</f>
        <v>203.71324388600965</v>
      </c>
    </row>
    <row r="456" spans="2:10">
      <c r="B456" s="870">
        <v>44155</v>
      </c>
      <c r="C456" s="871">
        <f>'Peers Stock History'!D459/'Peers Stock History'!D$1833*100</f>
        <v>125.90846047156728</v>
      </c>
      <c r="D456" s="871">
        <f>'Peers Stock History'!E459/'Peers Stock History'!E$1833*100</f>
        <v>480.28440366972472</v>
      </c>
      <c r="E456" s="871">
        <f>'Peers Stock History'!F459/'Peers Stock History'!F$1833*100</f>
        <v>636.39097744360902</v>
      </c>
      <c r="F456" s="871">
        <f>'Peers Stock History'!G459/'Peers Stock History'!G$1833*100</f>
        <v>278.29593459742398</v>
      </c>
      <c r="G456" s="871">
        <f>'Peers Stock History'!H459/'Peers Stock History'!H$1833*100</f>
        <v>186.0915578426137</v>
      </c>
      <c r="H456" s="871">
        <f>'Peers Stock History'!I459/'Peers Stock History'!I$1833*100</f>
        <v>266.72458731537796</v>
      </c>
      <c r="I456" s="871">
        <f>'Peers Stock History'!J459/'Peers Stock History'!J$1833*100</f>
        <v>151.43301053527722</v>
      </c>
      <c r="J456" s="871">
        <f>'Peers Stock History'!K459/'Peers Stock History'!K$1833*100</f>
        <v>203.71324388600965</v>
      </c>
    </row>
    <row r="457" spans="2:10">
      <c r="B457" s="870">
        <v>44154</v>
      </c>
      <c r="C457" s="871">
        <f>'Peers Stock History'!D460/'Peers Stock History'!D$1833*100</f>
        <v>126.54646324549236</v>
      </c>
      <c r="D457" s="871">
        <f>'Peers Stock History'!E460/'Peers Stock History'!E$1833*100</f>
        <v>493.22018348623857</v>
      </c>
      <c r="E457" s="871">
        <f>'Peers Stock History'!F460/'Peers Stock History'!F$1833*100</f>
        <v>643.15789473684208</v>
      </c>
      <c r="F457" s="871">
        <f>'Peers Stock History'!G460/'Peers Stock History'!G$1833*100</f>
        <v>279.57370579516459</v>
      </c>
      <c r="G457" s="871">
        <f>'Peers Stock History'!H460/'Peers Stock History'!H$1833*100</f>
        <v>186.57701830185928</v>
      </c>
      <c r="H457" s="871">
        <f>'Peers Stock History'!I460/'Peers Stock History'!I$1833*100</f>
        <v>268.59252823631624</v>
      </c>
      <c r="I457" s="871">
        <f>'Peers Stock History'!J460/'Peers Stock History'!J$1833*100</f>
        <v>152.46866021070554</v>
      </c>
      <c r="J457" s="871">
        <f>'Peers Stock History'!K460/'Peers Stock History'!K$1833*100</f>
        <v>204.56803403763936</v>
      </c>
    </row>
    <row r="458" spans="2:10">
      <c r="B458" s="870">
        <v>44153</v>
      </c>
      <c r="C458" s="871">
        <f>'Peers Stock History'!D461/'Peers Stock History'!D$1833*100</f>
        <v>124.99306518723996</v>
      </c>
      <c r="D458" s="871">
        <f>'Peers Stock History'!E461/'Peers Stock History'!E$1833*100</f>
        <v>492.79816513761466</v>
      </c>
      <c r="E458" s="871">
        <f>'Peers Stock History'!F461/'Peers Stock History'!F$1833*100</f>
        <v>620.60150375939861</v>
      </c>
      <c r="F458" s="871">
        <f>'Peers Stock History'!G461/'Peers Stock History'!G$1833*100</f>
        <v>283.71688294133634</v>
      </c>
      <c r="G458" s="871">
        <f>'Peers Stock History'!H461/'Peers Stock History'!H$1833*100</f>
        <v>184.77595999805817</v>
      </c>
      <c r="H458" s="871">
        <f>'Peers Stock History'!I461/'Peers Stock History'!I$1833*100</f>
        <v>263.85751520417034</v>
      </c>
      <c r="I458" s="871">
        <f>'Peers Stock History'!J461/'Peers Stock History'!J$1833*100</f>
        <v>151.86931999574333</v>
      </c>
      <c r="J458" s="871">
        <f>'Peers Stock History'!K461/'Peers Stock History'!K$1833*100</f>
        <v>202.79619688492363</v>
      </c>
    </row>
    <row r="459" spans="2:10">
      <c r="B459" s="870">
        <v>44152</v>
      </c>
      <c r="C459" s="871">
        <f>'Peers Stock History'!D462/'Peers Stock History'!D$1833*100</f>
        <v>126.2968099861304</v>
      </c>
      <c r="D459" s="871">
        <f>'Peers Stock History'!E462/'Peers Stock History'!E$1833*100</f>
        <v>492.55963302752292</v>
      </c>
      <c r="E459" s="871">
        <f>'Peers Stock History'!F462/'Peers Stock History'!F$1833*100</f>
        <v>626.76691729323306</v>
      </c>
      <c r="F459" s="871">
        <f>'Peers Stock History'!G462/'Peers Stock History'!G$1833*100</f>
        <v>277.00619217051485</v>
      </c>
      <c r="G459" s="871">
        <f>'Peers Stock History'!H462/'Peers Stock History'!H$1833*100</f>
        <v>184.76625078887326</v>
      </c>
      <c r="H459" s="871">
        <f>'Peers Stock History'!I462/'Peers Stock History'!I$1833*100</f>
        <v>269.28757602085142</v>
      </c>
      <c r="I459" s="871">
        <f>'Peers Stock History'!J462/'Peers Stock History'!J$1833*100</f>
        <v>153.64605725231456</v>
      </c>
      <c r="J459" s="871">
        <f>'Peers Stock History'!K462/'Peers Stock History'!K$1833*100</f>
        <v>204.47573993373936</v>
      </c>
    </row>
    <row r="460" spans="2:10">
      <c r="B460" s="870">
        <v>44151</v>
      </c>
      <c r="C460" s="871">
        <f>'Peers Stock History'!D463/'Peers Stock History'!D$1833*100</f>
        <v>128.12760055478503</v>
      </c>
      <c r="D460" s="871">
        <f>'Peers Stock History'!E463/'Peers Stock History'!E$1833*100</f>
        <v>495.97247706422019</v>
      </c>
      <c r="E460" s="871">
        <f>'Peers Stock History'!F463/'Peers Stock History'!F$1833*100</f>
        <v>629.5488721804511</v>
      </c>
      <c r="F460" s="871">
        <f>'Peers Stock History'!G463/'Peers Stock History'!G$1833*100</f>
        <v>276.46064648768476</v>
      </c>
      <c r="G460" s="871">
        <f>'Peers Stock History'!H463/'Peers Stock History'!H$1833*100</f>
        <v>184.86819748531482</v>
      </c>
      <c r="H460" s="871">
        <f>'Peers Stock History'!I463/'Peers Stock History'!I$1833*100</f>
        <v>268.72284969591658</v>
      </c>
      <c r="I460" s="871">
        <f>'Peers Stock History'!J463/'Peers Stock History'!J$1833*100</f>
        <v>154.38586783015856</v>
      </c>
      <c r="J460" s="871">
        <f>'Peers Stock History'!K463/'Peers Stock History'!K$1833*100</f>
        <v>204.90165720412966</v>
      </c>
    </row>
    <row r="461" spans="2:10">
      <c r="B461" s="870">
        <v>44150</v>
      </c>
      <c r="C461" s="871">
        <f>'Peers Stock History'!D464/'Peers Stock History'!D$1833*100</f>
        <v>126.10263522884884</v>
      </c>
      <c r="D461" s="871">
        <f>'Peers Stock History'!E464/'Peers Stock History'!E$1833*100</f>
        <v>487.9633027522936</v>
      </c>
      <c r="E461" s="871">
        <f>'Peers Stock History'!F464/'Peers Stock History'!F$1833*100</f>
        <v>612.25563909774439</v>
      </c>
      <c r="F461" s="871">
        <f>'Peers Stock History'!G464/'Peers Stock History'!G$1833*100</f>
        <v>264.07970921130237</v>
      </c>
      <c r="G461" s="871">
        <f>'Peers Stock History'!H464/'Peers Stock History'!H$1833*100</f>
        <v>181.31948152822952</v>
      </c>
      <c r="H461" s="871">
        <f>'Peers Stock History'!I464/'Peers Stock History'!I$1833*100</f>
        <v>251.65073848827109</v>
      </c>
      <c r="I461" s="871">
        <f>'Peers Stock History'!J464/'Peers Stock History'!J$1833*100</f>
        <v>152.60827923805471</v>
      </c>
      <c r="J461" s="871">
        <f>'Peers Stock History'!K464/'Peers Stock History'!K$1833*100</f>
        <v>203.27189557758138</v>
      </c>
    </row>
    <row r="462" spans="2:10">
      <c r="B462" s="870">
        <v>44149</v>
      </c>
      <c r="C462" s="871">
        <f>'Peers Stock History'!D465/'Peers Stock History'!D$1833*100</f>
        <v>126.10263522884884</v>
      </c>
      <c r="D462" s="871">
        <f>'Peers Stock History'!E465/'Peers Stock History'!E$1833*100</f>
        <v>487.9633027522936</v>
      </c>
      <c r="E462" s="871">
        <f>'Peers Stock History'!F465/'Peers Stock History'!F$1833*100</f>
        <v>612.25563909774439</v>
      </c>
      <c r="F462" s="871">
        <f>'Peers Stock History'!G465/'Peers Stock History'!G$1833*100</f>
        <v>264.07970921130237</v>
      </c>
      <c r="G462" s="871">
        <f>'Peers Stock History'!H465/'Peers Stock History'!H$1833*100</f>
        <v>181.31948152822952</v>
      </c>
      <c r="H462" s="871">
        <f>'Peers Stock History'!I465/'Peers Stock History'!I$1833*100</f>
        <v>251.65073848827109</v>
      </c>
      <c r="I462" s="871">
        <f>'Peers Stock History'!J465/'Peers Stock History'!J$1833*100</f>
        <v>152.60827923805471</v>
      </c>
      <c r="J462" s="871">
        <f>'Peers Stock History'!K465/'Peers Stock History'!K$1833*100</f>
        <v>203.27189557758138</v>
      </c>
    </row>
    <row r="463" spans="2:10">
      <c r="B463" s="870">
        <v>44148</v>
      </c>
      <c r="C463" s="871">
        <f>'Peers Stock History'!D466/'Peers Stock History'!D$1833*100</f>
        <v>126.10263522884884</v>
      </c>
      <c r="D463" s="871">
        <f>'Peers Stock History'!E466/'Peers Stock History'!E$1833*100</f>
        <v>487.9633027522936</v>
      </c>
      <c r="E463" s="871">
        <f>'Peers Stock History'!F466/'Peers Stock History'!F$1833*100</f>
        <v>612.25563909774439</v>
      </c>
      <c r="F463" s="871">
        <f>'Peers Stock History'!G466/'Peers Stock History'!G$1833*100</f>
        <v>264.07970921130237</v>
      </c>
      <c r="G463" s="871">
        <f>'Peers Stock History'!H466/'Peers Stock History'!H$1833*100</f>
        <v>181.31948152822952</v>
      </c>
      <c r="H463" s="871">
        <f>'Peers Stock History'!I466/'Peers Stock History'!I$1833*100</f>
        <v>251.65073848827109</v>
      </c>
      <c r="I463" s="871">
        <f>'Peers Stock History'!J466/'Peers Stock History'!J$1833*100</f>
        <v>152.60827923805471</v>
      </c>
      <c r="J463" s="871">
        <f>'Peers Stock History'!K466/'Peers Stock History'!K$1833*100</f>
        <v>203.27189557758138</v>
      </c>
    </row>
    <row r="464" spans="2:10">
      <c r="B464" s="870">
        <v>44147</v>
      </c>
      <c r="C464" s="871">
        <f>'Peers Stock History'!D467/'Peers Stock History'!D$1833*100</f>
        <v>124.68793342579751</v>
      </c>
      <c r="D464" s="871">
        <f>'Peers Stock History'!E467/'Peers Stock History'!E$1833*100</f>
        <v>493.82568807339442</v>
      </c>
      <c r="E464" s="871">
        <f>'Peers Stock History'!F467/'Peers Stock History'!F$1833*100</f>
        <v>615.33834586466162</v>
      </c>
      <c r="F464" s="871">
        <f>'Peers Stock History'!G467/'Peers Stock History'!G$1833*100</f>
        <v>261.32499689146471</v>
      </c>
      <c r="G464" s="871">
        <f>'Peers Stock History'!H467/'Peers Stock History'!H$1833*100</f>
        <v>179.71746201271907</v>
      </c>
      <c r="H464" s="871">
        <f>'Peers Stock History'!I467/'Peers Stock History'!I$1833*100</f>
        <v>244.35273675065164</v>
      </c>
      <c r="I464" s="871">
        <f>'Peers Stock History'!J467/'Peers Stock History'!J$1833*100</f>
        <v>150.55911461104608</v>
      </c>
      <c r="J464" s="871">
        <f>'Peers Stock History'!K467/'Peers Stock History'!K$1833*100</f>
        <v>201.21504818333037</v>
      </c>
    </row>
    <row r="465" spans="2:10">
      <c r="B465" s="870">
        <v>44146</v>
      </c>
      <c r="C465" s="871">
        <f>'Peers Stock History'!D468/'Peers Stock History'!D$1833*100</f>
        <v>128.57142857142858</v>
      </c>
      <c r="D465" s="871">
        <f>'Peers Stock History'!E468/'Peers Stock History'!E$1833*100</f>
        <v>492.40366972477068</v>
      </c>
      <c r="E465" s="871">
        <f>'Peers Stock History'!F468/'Peers Stock History'!F$1833*100</f>
        <v>611.12781954887214</v>
      </c>
      <c r="F465" s="871">
        <f>'Peers Stock History'!G468/'Peers Stock History'!G$1833*100</f>
        <v>260.73612744137426</v>
      </c>
      <c r="G465" s="871">
        <f>'Peers Stock History'!H468/'Peers Stock History'!H$1833*100</f>
        <v>182.49429583960386</v>
      </c>
      <c r="H465" s="871">
        <f>'Peers Stock History'!I468/'Peers Stock History'!I$1833*100</f>
        <v>244.83058210251954</v>
      </c>
      <c r="I465" s="871">
        <f>'Peers Stock History'!J468/'Peers Stock History'!J$1833*100</f>
        <v>152.07662019793551</v>
      </c>
      <c r="J465" s="871">
        <f>'Peers Stock History'!K468/'Peers Stock History'!K$1833*100</f>
        <v>202.53548451397387</v>
      </c>
    </row>
    <row r="466" spans="2:10">
      <c r="B466" s="870">
        <v>44145</v>
      </c>
      <c r="C466" s="871">
        <f>'Peers Stock History'!D469/'Peers Stock History'!D$1833*100</f>
        <v>126.04715672676838</v>
      </c>
      <c r="D466" s="871">
        <f>'Peers Stock History'!E469/'Peers Stock History'!E$1833*100</f>
        <v>468.62385321100913</v>
      </c>
      <c r="E466" s="871">
        <f>'Peers Stock History'!F469/'Peers Stock History'!F$1833*100</f>
        <v>586.39097744360902</v>
      </c>
      <c r="F466" s="871">
        <f>'Peers Stock History'!G469/'Peers Stock History'!G$1833*100</f>
        <v>256.63781757460765</v>
      </c>
      <c r="G466" s="871">
        <f>'Peers Stock History'!H469/'Peers Stock History'!H$1833*100</f>
        <v>176.28525656585271</v>
      </c>
      <c r="H466" s="871">
        <f>'Peers Stock History'!I469/'Peers Stock History'!I$1833*100</f>
        <v>240.70373588184188</v>
      </c>
      <c r="I466" s="871">
        <f>'Peers Stock History'!J469/'Peers Stock History'!J$1833*100</f>
        <v>150.92178354794083</v>
      </c>
      <c r="J466" s="871">
        <f>'Peers Stock History'!K469/'Peers Stock History'!K$1833*100</f>
        <v>198.53896594861362</v>
      </c>
    </row>
    <row r="467" spans="2:10">
      <c r="B467" s="870">
        <v>44144</v>
      </c>
      <c r="C467" s="871">
        <f>'Peers Stock History'!D470/'Peers Stock History'!D$1833*100</f>
        <v>126.49098474341194</v>
      </c>
      <c r="D467" s="871">
        <f>'Peers Stock History'!E470/'Peers Stock History'!E$1833*100</f>
        <v>500.21100917431198</v>
      </c>
      <c r="E467" s="871">
        <f>'Peers Stock History'!F470/'Peers Stock History'!F$1833*100</f>
        <v>624.96240601503757</v>
      </c>
      <c r="F467" s="871">
        <f>'Peers Stock History'!G470/'Peers Stock History'!G$1833*100</f>
        <v>260.54107168963844</v>
      </c>
      <c r="G467" s="871">
        <f>'Peers Stock History'!H470/'Peers Stock History'!H$1833*100</f>
        <v>182.30982086509053</v>
      </c>
      <c r="H467" s="871">
        <f>'Peers Stock History'!I470/'Peers Stock History'!I$1833*100</f>
        <v>243.0929626411816</v>
      </c>
      <c r="I467" s="871">
        <f>'Peers Stock History'!J470/'Peers Stock History'!J$1833*100</f>
        <v>151.13334042779613</v>
      </c>
      <c r="J467" s="871">
        <f>'Peers Stock History'!K470/'Peers Stock History'!K$1833*100</f>
        <v>201.28711697345452</v>
      </c>
    </row>
    <row r="468" spans="2:10">
      <c r="B468" s="870">
        <v>44143</v>
      </c>
      <c r="C468" s="871">
        <f>'Peers Stock History'!D471/'Peers Stock History'!D$1833*100</f>
        <v>125.90846047156728</v>
      </c>
      <c r="D468" s="871">
        <f>'Peers Stock History'!E471/'Peers Stock History'!E$1833*100</f>
        <v>534.38532110091751</v>
      </c>
      <c r="E468" s="871">
        <f>'Peers Stock History'!F471/'Peers Stock History'!F$1833*100</f>
        <v>645.71428571428567</v>
      </c>
      <c r="F468" s="871">
        <f>'Peers Stock History'!G471/'Peers Stock History'!G$1833*100</f>
        <v>257.67165206903331</v>
      </c>
      <c r="G468" s="871">
        <f>'Peers Stock History'!H471/'Peers Stock History'!H$1833*100</f>
        <v>184.77595999805817</v>
      </c>
      <c r="H468" s="871">
        <f>'Peers Stock History'!I471/'Peers Stock History'!I$1833*100</f>
        <v>239.61772371850563</v>
      </c>
      <c r="I468" s="871">
        <f>'Peers Stock History'!J471/'Peers Stock History'!J$1833*100</f>
        <v>149.38554857933383</v>
      </c>
      <c r="J468" s="871">
        <f>'Peers Stock History'!K471/'Peers Stock History'!K$1833*100</f>
        <v>204.40506303011975</v>
      </c>
    </row>
    <row r="469" spans="2:10">
      <c r="B469" s="870">
        <v>44142</v>
      </c>
      <c r="C469" s="871">
        <f>'Peers Stock History'!D472/'Peers Stock History'!D$1833*100</f>
        <v>125.90846047156728</v>
      </c>
      <c r="D469" s="871">
        <f>'Peers Stock History'!E472/'Peers Stock History'!E$1833*100</f>
        <v>534.38532110091751</v>
      </c>
      <c r="E469" s="871">
        <f>'Peers Stock History'!F472/'Peers Stock History'!F$1833*100</f>
        <v>645.71428571428567</v>
      </c>
      <c r="F469" s="871">
        <f>'Peers Stock History'!G472/'Peers Stock History'!G$1833*100</f>
        <v>257.67165206903331</v>
      </c>
      <c r="G469" s="871">
        <f>'Peers Stock History'!H472/'Peers Stock History'!H$1833*100</f>
        <v>184.77595999805817</v>
      </c>
      <c r="H469" s="871">
        <f>'Peers Stock History'!I472/'Peers Stock History'!I$1833*100</f>
        <v>239.61772371850563</v>
      </c>
      <c r="I469" s="871">
        <f>'Peers Stock History'!J472/'Peers Stock History'!J$1833*100</f>
        <v>149.38554857933383</v>
      </c>
      <c r="J469" s="871">
        <f>'Peers Stock History'!K472/'Peers Stock History'!K$1833*100</f>
        <v>204.40506303011975</v>
      </c>
    </row>
    <row r="470" spans="2:10">
      <c r="B470" s="870">
        <v>44141</v>
      </c>
      <c r="C470" s="871">
        <f>'Peers Stock History'!D473/'Peers Stock History'!D$1833*100</f>
        <v>125.90846047156728</v>
      </c>
      <c r="D470" s="871">
        <f>'Peers Stock History'!E473/'Peers Stock History'!E$1833*100</f>
        <v>534.38532110091751</v>
      </c>
      <c r="E470" s="871">
        <f>'Peers Stock History'!F473/'Peers Stock History'!F$1833*100</f>
        <v>645.71428571428567</v>
      </c>
      <c r="F470" s="871">
        <f>'Peers Stock History'!G473/'Peers Stock History'!G$1833*100</f>
        <v>257.67165206903331</v>
      </c>
      <c r="G470" s="871">
        <f>'Peers Stock History'!H473/'Peers Stock History'!H$1833*100</f>
        <v>184.77595999805817</v>
      </c>
      <c r="H470" s="871">
        <f>'Peers Stock History'!I473/'Peers Stock History'!I$1833*100</f>
        <v>239.61772371850563</v>
      </c>
      <c r="I470" s="871">
        <f>'Peers Stock History'!J473/'Peers Stock History'!J$1833*100</f>
        <v>149.38554857933383</v>
      </c>
      <c r="J470" s="871">
        <f>'Peers Stock History'!K473/'Peers Stock History'!K$1833*100</f>
        <v>204.40506303011975</v>
      </c>
    </row>
    <row r="471" spans="2:10">
      <c r="B471" s="870">
        <v>44140</v>
      </c>
      <c r="C471" s="871">
        <f>'Peers Stock History'!D474/'Peers Stock History'!D$1833*100</f>
        <v>126.7128987517337</v>
      </c>
      <c r="D471" s="871">
        <f>'Peers Stock History'!E474/'Peers Stock History'!E$1833*100</f>
        <v>519.63302752293566</v>
      </c>
      <c r="E471" s="871">
        <f>'Peers Stock History'!F474/'Peers Stock History'!F$1833*100</f>
        <v>624.06015037593988</v>
      </c>
      <c r="F471" s="871">
        <f>'Peers Stock History'!G474/'Peers Stock History'!G$1833*100</f>
        <v>257.33094672063521</v>
      </c>
      <c r="G471" s="871">
        <f>'Peers Stock History'!H474/'Peers Stock History'!H$1833*100</f>
        <v>184.89732511286957</v>
      </c>
      <c r="H471" s="871">
        <f>'Peers Stock History'!I474/'Peers Stock History'!I$1833*100</f>
        <v>237.09817549956557</v>
      </c>
      <c r="I471" s="871">
        <f>'Peers Stock History'!J474/'Peers Stock History'!J$1833*100</f>
        <v>149.42854102373099</v>
      </c>
      <c r="J471" s="871">
        <f>'Peers Stock History'!K474/'Peers Stock History'!K$1833*100</f>
        <v>204.3311212075389</v>
      </c>
    </row>
    <row r="472" spans="2:10">
      <c r="B472" s="870">
        <v>44139</v>
      </c>
      <c r="C472" s="871">
        <f>'Peers Stock History'!D475/'Peers Stock History'!D$1833*100</f>
        <v>126.76837725381415</v>
      </c>
      <c r="D472" s="871">
        <f>'Peers Stock History'!E475/'Peers Stock History'!E$1833*100</f>
        <v>506.21100917431193</v>
      </c>
      <c r="E472" s="871">
        <f>'Peers Stock History'!F475/'Peers Stock History'!F$1833*100</f>
        <v>611.65413533834578</v>
      </c>
      <c r="F472" s="871">
        <f>'Peers Stock History'!G475/'Peers Stock History'!G$1833*100</f>
        <v>256.38267355134872</v>
      </c>
      <c r="G472" s="871">
        <f>'Peers Stock History'!H475/'Peers Stock History'!H$1833*100</f>
        <v>177.01344725472111</v>
      </c>
      <c r="H472" s="871">
        <f>'Peers Stock History'!I475/'Peers Stock History'!I$1833*100</f>
        <v>225.71676802780192</v>
      </c>
      <c r="I472" s="871">
        <f>'Peers Stock History'!J475/'Peers Stock History'!J$1833*100</f>
        <v>146.57614132169843</v>
      </c>
      <c r="J472" s="871">
        <f>'Peers Stock History'!K475/'Peers Stock History'!K$1833*100</f>
        <v>199.17347717306134</v>
      </c>
    </row>
    <row r="473" spans="2:10">
      <c r="B473" s="870">
        <v>44138</v>
      </c>
      <c r="C473" s="871">
        <f>'Peers Stock History'!D476/'Peers Stock History'!D$1833*100</f>
        <v>124.4105409153953</v>
      </c>
      <c r="D473" s="871">
        <f>'Peers Stock History'!E476/'Peers Stock History'!E$1833*100</f>
        <v>477.77981651376143</v>
      </c>
      <c r="E473" s="871">
        <f>'Peers Stock History'!F476/'Peers Stock History'!F$1833*100</f>
        <v>575.78947368421052</v>
      </c>
      <c r="F473" s="871">
        <f>'Peers Stock History'!G476/'Peers Stock History'!G$1833*100</f>
        <v>250.78072199305507</v>
      </c>
      <c r="G473" s="871">
        <f>'Peers Stock History'!H476/'Peers Stock History'!H$1833*100</f>
        <v>171.73649206272148</v>
      </c>
      <c r="H473" s="871">
        <f>'Peers Stock History'!I476/'Peers Stock History'!I$1833*100</f>
        <v>221.89400521285842</v>
      </c>
      <c r="I473" s="871">
        <f>'Peers Stock History'!J476/'Peers Stock History'!J$1833*100</f>
        <v>143.41428115355964</v>
      </c>
      <c r="J473" s="871">
        <f>'Peers Stock History'!K476/'Peers Stock History'!K$1833*100</f>
        <v>191.78085863931926</v>
      </c>
    </row>
    <row r="474" spans="2:10">
      <c r="B474" s="870">
        <v>44137</v>
      </c>
      <c r="C474" s="871">
        <f>'Peers Stock History'!D477/'Peers Stock History'!D$1833*100</f>
        <v>123.32871012482664</v>
      </c>
      <c r="D474" s="871">
        <f>'Peers Stock History'!E477/'Peers Stock History'!E$1833*100</f>
        <v>461.67889908256876</v>
      </c>
      <c r="E474" s="871">
        <f>'Peers Stock History'!F477/'Peers Stock History'!F$1833*100</f>
        <v>561.65413533834578</v>
      </c>
      <c r="F474" s="871">
        <f>'Peers Stock History'!G477/'Peers Stock History'!G$1833*100</f>
        <v>248.04326727403603</v>
      </c>
      <c r="G474" s="871">
        <f>'Peers Stock History'!H477/'Peers Stock History'!H$1833*100</f>
        <v>170.51798631001503</v>
      </c>
      <c r="H474" s="871">
        <f>'Peers Stock History'!I477/'Peers Stock History'!I$1833*100</f>
        <v>215.94265855777587</v>
      </c>
      <c r="I474" s="871">
        <f>'Peers Stock History'!J477/'Peers Stock History'!J$1833*100</f>
        <v>140.90624667447057</v>
      </c>
      <c r="J474" s="871">
        <f>'Peers Stock History'!K477/'Peers Stock History'!K$1833*100</f>
        <v>188.29322065353372</v>
      </c>
    </row>
    <row r="475" spans="2:10">
      <c r="B475" s="870">
        <v>44136</v>
      </c>
      <c r="C475" s="871">
        <f>'Peers Stock History'!D478/'Peers Stock History'!D$1833*100</f>
        <v>122.82940360610264</v>
      </c>
      <c r="D475" s="871">
        <f>'Peers Stock History'!E478/'Peers Stock History'!E$1833*100</f>
        <v>459.9633027522936</v>
      </c>
      <c r="E475" s="871">
        <f>'Peers Stock History'!F478/'Peers Stock History'!F$1833*100</f>
        <v>566.09022556390971</v>
      </c>
      <c r="F475" s="871">
        <f>'Peers Stock History'!G478/'Peers Stock History'!G$1833*100</f>
        <v>245.85182519691364</v>
      </c>
      <c r="G475" s="871">
        <f>'Peers Stock History'!H478/'Peers Stock History'!H$1833*100</f>
        <v>169.73154036603717</v>
      </c>
      <c r="H475" s="871">
        <f>'Peers Stock History'!I478/'Peers Stock History'!I$1833*100</f>
        <v>218.67940920938315</v>
      </c>
      <c r="I475" s="871">
        <f>'Peers Stock History'!J478/'Peers Stock History'!J$1833*100</f>
        <v>139.19165691178034</v>
      </c>
      <c r="J475" s="871">
        <f>'Peers Stock History'!K478/'Peers Stock History'!K$1833*100</f>
        <v>187.50242291354496</v>
      </c>
    </row>
    <row r="476" spans="2:10">
      <c r="B476" s="870">
        <v>44135</v>
      </c>
      <c r="C476" s="871">
        <f>'Peers Stock History'!D479/'Peers Stock History'!D$1833*100</f>
        <v>122.82940360610264</v>
      </c>
      <c r="D476" s="871">
        <f>'Peers Stock History'!E479/'Peers Stock History'!E$1833*100</f>
        <v>459.9633027522936</v>
      </c>
      <c r="E476" s="871">
        <f>'Peers Stock History'!F479/'Peers Stock History'!F$1833*100</f>
        <v>566.09022556390971</v>
      </c>
      <c r="F476" s="871">
        <f>'Peers Stock History'!G479/'Peers Stock History'!G$1833*100</f>
        <v>245.85182519691364</v>
      </c>
      <c r="G476" s="871">
        <f>'Peers Stock History'!H479/'Peers Stock History'!H$1833*100</f>
        <v>169.73154036603717</v>
      </c>
      <c r="H476" s="871">
        <f>'Peers Stock History'!I479/'Peers Stock History'!I$1833*100</f>
        <v>218.67940920938315</v>
      </c>
      <c r="I476" s="871">
        <f>'Peers Stock History'!J479/'Peers Stock History'!J$1833*100</f>
        <v>139.19165691178034</v>
      </c>
      <c r="J476" s="871">
        <f>'Peers Stock History'!K479/'Peers Stock History'!K$1833*100</f>
        <v>187.50242291354496</v>
      </c>
    </row>
    <row r="477" spans="2:10">
      <c r="B477" s="870">
        <v>44134</v>
      </c>
      <c r="C477" s="871">
        <f>'Peers Stock History'!D480/'Peers Stock History'!D$1833*100</f>
        <v>122.82940360610264</v>
      </c>
      <c r="D477" s="871">
        <f>'Peers Stock History'!E480/'Peers Stock History'!E$1833*100</f>
        <v>459.9633027522936</v>
      </c>
      <c r="E477" s="871">
        <f>'Peers Stock History'!F480/'Peers Stock History'!F$1833*100</f>
        <v>566.09022556390971</v>
      </c>
      <c r="F477" s="871">
        <f>'Peers Stock History'!G480/'Peers Stock History'!G$1833*100</f>
        <v>245.85182519691364</v>
      </c>
      <c r="G477" s="871">
        <f>'Peers Stock History'!H480/'Peers Stock History'!H$1833*100</f>
        <v>169.73154036603717</v>
      </c>
      <c r="H477" s="871">
        <f>'Peers Stock History'!I480/'Peers Stock History'!I$1833*100</f>
        <v>218.67940920938315</v>
      </c>
      <c r="I477" s="871">
        <f>'Peers Stock History'!J480/'Peers Stock History'!J$1833*100</f>
        <v>139.19165691178034</v>
      </c>
      <c r="J477" s="871">
        <f>'Peers Stock History'!K480/'Peers Stock History'!K$1833*100</f>
        <v>187.50242291354496</v>
      </c>
    </row>
    <row r="478" spans="2:10">
      <c r="B478" s="870">
        <v>44133</v>
      </c>
      <c r="C478" s="871">
        <f>'Peers Stock History'!D481/'Peers Stock History'!D$1833*100</f>
        <v>122.35783633841888</v>
      </c>
      <c r="D478" s="871">
        <f>'Peers Stock History'!E481/'Peers Stock History'!E$1833*100</f>
        <v>477.94495412844037</v>
      </c>
      <c r="E478" s="871">
        <f>'Peers Stock History'!F481/'Peers Stock History'!F$1833*100</f>
        <v>586.61654135338347</v>
      </c>
      <c r="F478" s="871">
        <f>'Peers Stock History'!G481/'Peers Stock History'!G$1833*100</f>
        <v>248.58427633194174</v>
      </c>
      <c r="G478" s="871">
        <f>'Peers Stock History'!H481/'Peers Stock History'!H$1833*100</f>
        <v>172.34331763677849</v>
      </c>
      <c r="H478" s="871">
        <f>'Peers Stock History'!I481/'Peers Stock History'!I$1833*100</f>
        <v>219.28757602085142</v>
      </c>
      <c r="I478" s="871">
        <f>'Peers Stock History'!J481/'Peers Stock History'!J$1833*100</f>
        <v>140.90071299350856</v>
      </c>
      <c r="J478" s="871">
        <f>'Peers Stock History'!K481/'Peers Stock History'!K$1833*100</f>
        <v>192.21081409895112</v>
      </c>
    </row>
    <row r="479" spans="2:10">
      <c r="B479" s="870">
        <v>44132</v>
      </c>
      <c r="C479" s="871">
        <f>'Peers Stock History'!D482/'Peers Stock History'!D$1833*100</f>
        <v>122.74618585298198</v>
      </c>
      <c r="D479" s="871">
        <f>'Peers Stock History'!E482/'Peers Stock History'!E$1833*100</f>
        <v>463.37614678899081</v>
      </c>
      <c r="E479" s="871">
        <f>'Peers Stock History'!F482/'Peers Stock History'!F$1833*100</f>
        <v>574.43609022556393</v>
      </c>
      <c r="F479" s="871">
        <f>'Peers Stock History'!G482/'Peers Stock History'!G$1833*100</f>
        <v>252.56617549515465</v>
      </c>
      <c r="G479" s="871">
        <f>'Peers Stock History'!H482/'Peers Stock History'!H$1833*100</f>
        <v>168.55672605466282</v>
      </c>
      <c r="H479" s="871">
        <f>'Peers Stock History'!I482/'Peers Stock History'!I$1833*100</f>
        <v>217.20243266724589</v>
      </c>
      <c r="I479" s="871">
        <f>'Peers Stock History'!J482/'Peers Stock History'!J$1833*100</f>
        <v>139.23720336277538</v>
      </c>
      <c r="J479" s="871">
        <f>'Peers Stock History'!K482/'Peers Stock History'!K$1833*100</f>
        <v>189.10527473433871</v>
      </c>
    </row>
    <row r="480" spans="2:10">
      <c r="B480" s="870">
        <v>44131</v>
      </c>
      <c r="C480" s="871">
        <f>'Peers Stock History'!D483/'Peers Stock History'!D$1833*100</f>
        <v>126.60194174757282</v>
      </c>
      <c r="D480" s="871">
        <f>'Peers Stock History'!E483/'Peers Stock History'!E$1833*100</f>
        <v>491.62385321100919</v>
      </c>
      <c r="E480" s="871">
        <f>'Peers Stock History'!F483/'Peers Stock History'!F$1833*100</f>
        <v>593.08270676691723</v>
      </c>
      <c r="F480" s="871">
        <f>'Peers Stock History'!G483/'Peers Stock History'!G$1833*100</f>
        <v>254.34385630614949</v>
      </c>
      <c r="G480" s="871">
        <f>'Peers Stock History'!H483/'Peers Stock History'!H$1833*100</f>
        <v>174.57158114471576</v>
      </c>
      <c r="H480" s="871">
        <f>'Peers Stock History'!I483/'Peers Stock History'!I$1833*100</f>
        <v>225.71676802780192</v>
      </c>
      <c r="I480" s="871">
        <f>'Peers Stock History'!J483/'Peers Stock History'!J$1833*100</f>
        <v>144.33031818665532</v>
      </c>
      <c r="J480" s="871">
        <f>'Peers Stock History'!K483/'Peers Stock History'!K$1833*100</f>
        <v>196.43386648887179</v>
      </c>
    </row>
    <row r="481" spans="2:10">
      <c r="B481" s="870">
        <v>44130</v>
      </c>
      <c r="C481" s="871">
        <f>'Peers Stock History'!D484/'Peers Stock History'!D$1833*100</f>
        <v>129.59778085991681</v>
      </c>
      <c r="D481" s="871">
        <f>'Peers Stock History'!E484/'Peers Stock History'!E$1833*100</f>
        <v>482.24770642201833</v>
      </c>
      <c r="E481" s="871">
        <f>'Peers Stock History'!F484/'Peers Stock History'!F$1833*100</f>
        <v>618.27067669172925</v>
      </c>
      <c r="F481" s="871">
        <f>'Peers Stock History'!G484/'Peers Stock History'!G$1833*100</f>
        <v>255.96133064925621</v>
      </c>
      <c r="G481" s="871">
        <f>'Peers Stock History'!H484/'Peers Stock History'!H$1833*100</f>
        <v>176.2415651245206</v>
      </c>
      <c r="H481" s="871">
        <f>'Peers Stock History'!I484/'Peers Stock History'!I$1833*100</f>
        <v>226.49869678540401</v>
      </c>
      <c r="I481" s="871">
        <f>'Peers Stock History'!J484/'Peers Stock History'!J$1833*100</f>
        <v>144.76833031818666</v>
      </c>
      <c r="J481" s="871">
        <f>'Peers Stock History'!K484/'Peers Stock History'!K$1833*100</f>
        <v>195.18951995380999</v>
      </c>
    </row>
    <row r="482" spans="2:10">
      <c r="B482" s="870">
        <v>44129</v>
      </c>
      <c r="C482" s="871">
        <f>'Peers Stock History'!D485/'Peers Stock History'!D$1833*100</f>
        <v>133.70319001386966</v>
      </c>
      <c r="D482" s="871">
        <f>'Peers Stock History'!E485/'Peers Stock History'!E$1833*100</f>
        <v>498.72477064220186</v>
      </c>
      <c r="E482" s="871">
        <f>'Peers Stock History'!F485/'Peers Stock History'!F$1833*100</f>
        <v>616.24060150375931</v>
      </c>
      <c r="F482" s="871">
        <f>'Peers Stock History'!G485/'Peers Stock History'!G$1833*100</f>
        <v>256.92824399931862</v>
      </c>
      <c r="G482" s="871">
        <f>'Peers Stock History'!H485/'Peers Stock History'!H$1833*100</f>
        <v>180.94082237001797</v>
      </c>
      <c r="H482" s="871">
        <f>'Peers Stock History'!I485/'Peers Stock History'!I$1833*100</f>
        <v>229.58297132927891</v>
      </c>
      <c r="I482" s="871">
        <f>'Peers Stock History'!J485/'Peers Stock History'!J$1833*100</f>
        <v>147.51048206874532</v>
      </c>
      <c r="J482" s="871">
        <f>'Peers Stock History'!K485/'Peers Stock History'!K$1833*100</f>
        <v>198.44318353656024</v>
      </c>
    </row>
    <row r="483" spans="2:10">
      <c r="B483" s="870">
        <v>44128</v>
      </c>
      <c r="C483" s="871">
        <f>'Peers Stock History'!D486/'Peers Stock History'!D$1833*100</f>
        <v>133.70319001386966</v>
      </c>
      <c r="D483" s="871">
        <f>'Peers Stock History'!E486/'Peers Stock History'!E$1833*100</f>
        <v>498.72477064220186</v>
      </c>
      <c r="E483" s="871">
        <f>'Peers Stock History'!F486/'Peers Stock History'!F$1833*100</f>
        <v>616.24060150375931</v>
      </c>
      <c r="F483" s="871">
        <f>'Peers Stock History'!G486/'Peers Stock History'!G$1833*100</f>
        <v>256.92824399931862</v>
      </c>
      <c r="G483" s="871">
        <f>'Peers Stock History'!H486/'Peers Stock History'!H$1833*100</f>
        <v>180.94082237001797</v>
      </c>
      <c r="H483" s="871">
        <f>'Peers Stock History'!I486/'Peers Stock History'!I$1833*100</f>
        <v>229.58297132927891</v>
      </c>
      <c r="I483" s="871">
        <f>'Peers Stock History'!J486/'Peers Stock History'!J$1833*100</f>
        <v>147.51048206874532</v>
      </c>
      <c r="J483" s="871">
        <f>'Peers Stock History'!K486/'Peers Stock History'!K$1833*100</f>
        <v>198.44318353656024</v>
      </c>
    </row>
    <row r="484" spans="2:10">
      <c r="B484" s="870">
        <v>44127</v>
      </c>
      <c r="C484" s="871">
        <f>'Peers Stock History'!D487/'Peers Stock History'!D$1833*100</f>
        <v>133.70319001386966</v>
      </c>
      <c r="D484" s="871">
        <f>'Peers Stock History'!E487/'Peers Stock History'!E$1833*100</f>
        <v>498.72477064220186</v>
      </c>
      <c r="E484" s="871">
        <f>'Peers Stock History'!F487/'Peers Stock History'!F$1833*100</f>
        <v>616.24060150375931</v>
      </c>
      <c r="F484" s="871">
        <f>'Peers Stock History'!G487/'Peers Stock History'!G$1833*100</f>
        <v>256.92824399931862</v>
      </c>
      <c r="G484" s="871">
        <f>'Peers Stock History'!H487/'Peers Stock History'!H$1833*100</f>
        <v>180.94082237001797</v>
      </c>
      <c r="H484" s="871">
        <f>'Peers Stock History'!I487/'Peers Stock History'!I$1833*100</f>
        <v>229.58297132927891</v>
      </c>
      <c r="I484" s="871">
        <f>'Peers Stock History'!J487/'Peers Stock History'!J$1833*100</f>
        <v>147.51048206874532</v>
      </c>
      <c r="J484" s="871">
        <f>'Peers Stock History'!K487/'Peers Stock History'!K$1833*100</f>
        <v>198.44318353656024</v>
      </c>
    </row>
    <row r="485" spans="2:10">
      <c r="B485" s="870">
        <v>44126</v>
      </c>
      <c r="C485" s="871">
        <f>'Peers Stock History'!D488/'Peers Stock History'!D$1833*100</f>
        <v>149.51456310679612</v>
      </c>
      <c r="D485" s="871">
        <f>'Peers Stock History'!E488/'Peers Stock History'!E$1833*100</f>
        <v>490.31192660550465</v>
      </c>
      <c r="E485" s="871">
        <f>'Peers Stock History'!F488/'Peers Stock History'!F$1833*100</f>
        <v>597.14285714285711</v>
      </c>
      <c r="F485" s="871">
        <f>'Peers Stock History'!G488/'Peers Stock History'!G$1833*100</f>
        <v>257.77780357587392</v>
      </c>
      <c r="G485" s="871">
        <f>'Peers Stock History'!H488/'Peers Stock History'!H$1833*100</f>
        <v>181.25637166852761</v>
      </c>
      <c r="H485" s="871">
        <f>'Peers Stock History'!I488/'Peers Stock History'!I$1833*100</f>
        <v>236.22936576889663</v>
      </c>
      <c r="I485" s="871">
        <f>'Peers Stock History'!J488/'Peers Stock History'!J$1833*100</f>
        <v>147.00393742683835</v>
      </c>
      <c r="J485" s="871">
        <f>'Peers Stock History'!K488/'Peers Stock History'!K$1833*100</f>
        <v>197.71672188389263</v>
      </c>
    </row>
    <row r="486" spans="2:10">
      <c r="B486" s="870">
        <v>44125</v>
      </c>
      <c r="C486" s="871">
        <f>'Peers Stock History'!D489/'Peers Stock History'!D$1833*100</f>
        <v>148.40499306518723</v>
      </c>
      <c r="D486" s="871">
        <f>'Peers Stock History'!E489/'Peers Stock History'!E$1833*100</f>
        <v>496.32110091743124</v>
      </c>
      <c r="E486" s="871">
        <f>'Peers Stock History'!F489/'Peers Stock History'!F$1833*100</f>
        <v>595.48872180451133</v>
      </c>
      <c r="F486" s="871">
        <f>'Peers Stock History'!G489/'Peers Stock History'!G$1833*100</f>
        <v>256.95793578839744</v>
      </c>
      <c r="G486" s="871">
        <f>'Peers Stock History'!H489/'Peers Stock History'!H$1833*100</f>
        <v>180.6155638623234</v>
      </c>
      <c r="H486" s="871">
        <f>'Peers Stock History'!I489/'Peers Stock History'!I$1833*100</f>
        <v>231.58123370981758</v>
      </c>
      <c r="I486" s="871">
        <f>'Peers Stock History'!J489/'Peers Stock History'!J$1833*100</f>
        <v>146.24071512184739</v>
      </c>
      <c r="J486" s="871">
        <f>'Peers Stock History'!K489/'Peers Stock History'!K$1833*100</f>
        <v>197.35050107914165</v>
      </c>
    </row>
    <row r="487" spans="2:10">
      <c r="B487" s="870">
        <v>44124</v>
      </c>
      <c r="C487" s="871">
        <f>'Peers Stock History'!D490/'Peers Stock History'!D$1833*100</f>
        <v>148.2108183079057</v>
      </c>
      <c r="D487" s="871">
        <f>'Peers Stock History'!E490/'Peers Stock History'!E$1833*100</f>
        <v>500.75229357798167</v>
      </c>
      <c r="E487" s="871">
        <f>'Peers Stock History'!F490/'Peers Stock History'!F$1833*100</f>
        <v>613.23308270676694</v>
      </c>
      <c r="F487" s="871">
        <f>'Peers Stock History'!G490/'Peers Stock History'!G$1833*100</f>
        <v>255.62736205593328</v>
      </c>
      <c r="G487" s="871">
        <f>'Peers Stock History'!H490/'Peers Stock History'!H$1833*100</f>
        <v>183.01373853099665</v>
      </c>
      <c r="H487" s="871">
        <f>'Peers Stock History'!I490/'Peers Stock History'!I$1833*100</f>
        <v>232.53692441355344</v>
      </c>
      <c r="I487" s="871">
        <f>'Peers Stock History'!J490/'Peers Stock History'!J$1833*100</f>
        <v>146.56251995317655</v>
      </c>
      <c r="J487" s="871">
        <f>'Peers Stock History'!K490/'Peers Stock History'!K$1833*100</f>
        <v>197.89694541055499</v>
      </c>
    </row>
    <row r="488" spans="2:10">
      <c r="B488" s="870">
        <v>44123</v>
      </c>
      <c r="C488" s="871">
        <f>'Peers Stock History'!D491/'Peers Stock History'!D$1833*100</f>
        <v>151.40083217753121</v>
      </c>
      <c r="D488" s="871">
        <f>'Peers Stock History'!E491/'Peers Stock History'!E$1833*100</f>
        <v>495.33027522935777</v>
      </c>
      <c r="E488" s="871">
        <f>'Peers Stock History'!F491/'Peers Stock History'!F$1833*100</f>
        <v>616.54135338345861</v>
      </c>
      <c r="F488" s="871">
        <f>'Peers Stock History'!G491/'Peers Stock History'!G$1833*100</f>
        <v>259.0498125062503</v>
      </c>
      <c r="G488" s="871">
        <f>'Peers Stock History'!H491/'Peers Stock History'!H$1833*100</f>
        <v>182.42147677071699</v>
      </c>
      <c r="H488" s="871">
        <f>'Peers Stock History'!I491/'Peers Stock History'!I$1833*100</f>
        <v>228.62728062554302</v>
      </c>
      <c r="I488" s="871">
        <f>'Peers Stock History'!J491/'Peers Stock History'!J$1833*100</f>
        <v>145.87293817175694</v>
      </c>
      <c r="J488" s="871">
        <f>'Peers Stock History'!K491/'Peers Stock History'!K$1833*100</f>
        <v>197.25236448867932</v>
      </c>
    </row>
    <row r="489" spans="2:10">
      <c r="B489" s="870">
        <v>44122</v>
      </c>
      <c r="C489" s="871">
        <f>'Peers Stock History'!D492/'Peers Stock History'!D$1833*100</f>
        <v>150.23578363384189</v>
      </c>
      <c r="D489" s="871">
        <f>'Peers Stock History'!E492/'Peers Stock History'!E$1833*100</f>
        <v>506.8440366972477</v>
      </c>
      <c r="E489" s="871">
        <f>'Peers Stock History'!F492/'Peers Stock History'!F$1833*100</f>
        <v>625.33834586466162</v>
      </c>
      <c r="F489" s="871">
        <f>'Peers Stock History'!G492/'Peers Stock History'!G$1833*100</f>
        <v>253.76870611739557</v>
      </c>
      <c r="G489" s="871">
        <f>'Peers Stock History'!H492/'Peers Stock History'!H$1833*100</f>
        <v>183.81960289334432</v>
      </c>
      <c r="H489" s="871">
        <f>'Peers Stock History'!I492/'Peers Stock History'!I$1833*100</f>
        <v>224.1963509991312</v>
      </c>
      <c r="I489" s="871">
        <f>'Peers Stock History'!J492/'Peers Stock History'!J$1833*100</f>
        <v>148.2945620942854</v>
      </c>
      <c r="J489" s="871">
        <f>'Peers Stock History'!K492/'Peers Stock History'!K$1833*100</f>
        <v>200.56325007217191</v>
      </c>
    </row>
    <row r="490" spans="2:10">
      <c r="B490" s="870">
        <v>44121</v>
      </c>
      <c r="C490" s="871">
        <f>'Peers Stock History'!D493/'Peers Stock History'!D$1833*100</f>
        <v>150.23578363384189</v>
      </c>
      <c r="D490" s="871">
        <f>'Peers Stock History'!E493/'Peers Stock History'!E$1833*100</f>
        <v>506.8440366972477</v>
      </c>
      <c r="E490" s="871">
        <f>'Peers Stock History'!F493/'Peers Stock History'!F$1833*100</f>
        <v>625.33834586466162</v>
      </c>
      <c r="F490" s="871">
        <f>'Peers Stock History'!G493/'Peers Stock History'!G$1833*100</f>
        <v>253.76870611739557</v>
      </c>
      <c r="G490" s="871">
        <f>'Peers Stock History'!H493/'Peers Stock History'!H$1833*100</f>
        <v>183.81960289334432</v>
      </c>
      <c r="H490" s="871">
        <f>'Peers Stock History'!I493/'Peers Stock History'!I$1833*100</f>
        <v>224.1963509991312</v>
      </c>
      <c r="I490" s="871">
        <f>'Peers Stock History'!J493/'Peers Stock History'!J$1833*100</f>
        <v>148.2945620942854</v>
      </c>
      <c r="J490" s="871">
        <f>'Peers Stock History'!K493/'Peers Stock History'!K$1833*100</f>
        <v>200.56325007217191</v>
      </c>
    </row>
    <row r="491" spans="2:10">
      <c r="B491" s="870">
        <v>44120</v>
      </c>
      <c r="C491" s="871">
        <f>'Peers Stock History'!D494/'Peers Stock History'!D$1833*100</f>
        <v>150.23578363384189</v>
      </c>
      <c r="D491" s="871">
        <f>'Peers Stock History'!E494/'Peers Stock History'!E$1833*100</f>
        <v>506.8440366972477</v>
      </c>
      <c r="E491" s="871">
        <f>'Peers Stock History'!F494/'Peers Stock History'!F$1833*100</f>
        <v>625.33834586466162</v>
      </c>
      <c r="F491" s="871">
        <f>'Peers Stock History'!G494/'Peers Stock History'!G$1833*100</f>
        <v>253.76870611739557</v>
      </c>
      <c r="G491" s="871">
        <f>'Peers Stock History'!H494/'Peers Stock History'!H$1833*100</f>
        <v>183.81960289334432</v>
      </c>
      <c r="H491" s="871">
        <f>'Peers Stock History'!I494/'Peers Stock History'!I$1833*100</f>
        <v>224.1963509991312</v>
      </c>
      <c r="I491" s="871">
        <f>'Peers Stock History'!J494/'Peers Stock History'!J$1833*100</f>
        <v>148.2945620942854</v>
      </c>
      <c r="J491" s="871">
        <f>'Peers Stock History'!K494/'Peers Stock History'!K$1833*100</f>
        <v>200.56325007217191</v>
      </c>
    </row>
    <row r="492" spans="2:10">
      <c r="B492" s="870">
        <v>44119</v>
      </c>
      <c r="C492" s="871">
        <f>'Peers Stock History'!D495/'Peers Stock History'!D$1833*100</f>
        <v>149.37586685159502</v>
      </c>
      <c r="D492" s="871">
        <f>'Peers Stock History'!E495/'Peers Stock History'!E$1833*100</f>
        <v>512.66055045871553</v>
      </c>
      <c r="E492" s="871">
        <f>'Peers Stock History'!F495/'Peers Stock History'!F$1833*100</f>
        <v>625.03759398496231</v>
      </c>
      <c r="F492" s="871">
        <f>'Peers Stock History'!G495/'Peers Stock History'!G$1833*100</f>
        <v>256.35008983996721</v>
      </c>
      <c r="G492" s="871">
        <f>'Peers Stock History'!H495/'Peers Stock History'!H$1833*100</f>
        <v>184.44099228117869</v>
      </c>
      <c r="H492" s="871">
        <f>'Peers Stock History'!I495/'Peers Stock History'!I$1833*100</f>
        <v>225.62988705473498</v>
      </c>
      <c r="I492" s="871">
        <f>'Peers Stock History'!J495/'Peers Stock History'!J$1833*100</f>
        <v>148.27455570926892</v>
      </c>
      <c r="J492" s="871">
        <f>'Peers Stock History'!K495/'Peers Stock History'!K$1833*100</f>
        <v>201.29038189241578</v>
      </c>
    </row>
    <row r="493" spans="2:10">
      <c r="B493" s="870">
        <v>44118</v>
      </c>
      <c r="C493" s="871">
        <f>'Peers Stock History'!D496/'Peers Stock History'!D$1833*100</f>
        <v>148.54368932038835</v>
      </c>
      <c r="D493" s="871">
        <f>'Peers Stock History'!E496/'Peers Stock History'!E$1833*100</f>
        <v>517.25688073394485</v>
      </c>
      <c r="E493" s="871">
        <f>'Peers Stock History'!F496/'Peers Stock History'!F$1833*100</f>
        <v>633.15789473684208</v>
      </c>
      <c r="F493" s="871">
        <f>'Peers Stock History'!G496/'Peers Stock History'!G$1833*100</f>
        <v>259.68221949510871</v>
      </c>
      <c r="G493" s="871">
        <f>'Peers Stock History'!H496/'Peers Stock History'!H$1833*100</f>
        <v>184.62061265109958</v>
      </c>
      <c r="H493" s="871">
        <f>'Peers Stock History'!I496/'Peers Stock History'!I$1833*100</f>
        <v>224.28323197219808</v>
      </c>
      <c r="I493" s="871">
        <f>'Peers Stock History'!J496/'Peers Stock History'!J$1833*100</f>
        <v>148.5014366287113</v>
      </c>
      <c r="J493" s="871">
        <f>'Peers Stock History'!K496/'Peers Stock History'!K$1833*100</f>
        <v>202.23306709923983</v>
      </c>
    </row>
    <row r="494" spans="2:10">
      <c r="B494" s="870">
        <v>44117</v>
      </c>
      <c r="C494" s="871">
        <f>'Peers Stock History'!D497/'Peers Stock History'!D$1833*100</f>
        <v>149.32038834951459</v>
      </c>
      <c r="D494" s="871">
        <f>'Peers Stock History'!E497/'Peers Stock History'!E$1833*100</f>
        <v>522.87155963302757</v>
      </c>
      <c r="E494" s="871">
        <f>'Peers Stock History'!F497/'Peers Stock History'!F$1833*100</f>
        <v>641.20300751879688</v>
      </c>
      <c r="F494" s="871">
        <f>'Peers Stock History'!G497/'Peers Stock History'!G$1833*100</f>
        <v>261.47952280441308</v>
      </c>
      <c r="G494" s="871">
        <f>'Peers Stock History'!H497/'Peers Stock History'!H$1833*100</f>
        <v>185.19831059760182</v>
      </c>
      <c r="H494" s="871">
        <f>'Peers Stock History'!I497/'Peers Stock History'!I$1833*100</f>
        <v>225.23892267593396</v>
      </c>
      <c r="I494" s="871">
        <f>'Peers Stock History'!J497/'Peers Stock History'!J$1833*100</f>
        <v>149.49153985314462</v>
      </c>
      <c r="J494" s="871">
        <f>'Peers Stock History'!K497/'Peers Stock History'!K$1833*100</f>
        <v>203.86839627180623</v>
      </c>
    </row>
    <row r="495" spans="2:10">
      <c r="B495" s="870">
        <v>44116</v>
      </c>
      <c r="C495" s="871">
        <f>'Peers Stock History'!D498/'Peers Stock History'!D$1833*100</f>
        <v>149.45908460471568</v>
      </c>
      <c r="D495" s="871">
        <f>'Peers Stock History'!E498/'Peers Stock History'!E$1833*100</f>
        <v>522.05504587155963</v>
      </c>
      <c r="E495" s="871">
        <f>'Peers Stock History'!F498/'Peers Stock History'!F$1833*100</f>
        <v>633.75939849624058</v>
      </c>
      <c r="F495" s="871">
        <f>'Peers Stock History'!G498/'Peers Stock History'!G$1833*100</f>
        <v>261.6493602192408</v>
      </c>
      <c r="G495" s="871">
        <f>'Peers Stock History'!H498/'Peers Stock History'!H$1833*100</f>
        <v>185.65464342929266</v>
      </c>
      <c r="H495" s="871">
        <f>'Peers Stock History'!I498/'Peers Stock History'!I$1833*100</f>
        <v>220.15638575152045</v>
      </c>
      <c r="I495" s="871">
        <f>'Peers Stock History'!J498/'Peers Stock History'!J$1833*100</f>
        <v>150.44035330424603</v>
      </c>
      <c r="J495" s="871">
        <f>'Peers Stock History'!K498/'Peers Stock History'!K$1833*100</f>
        <v>204.08085657726517</v>
      </c>
    </row>
    <row r="496" spans="2:10">
      <c r="B496" s="870">
        <v>44115</v>
      </c>
      <c r="C496" s="871">
        <f>'Peers Stock History'!D499/'Peers Stock History'!D$1833*100</f>
        <v>146.51872399445216</v>
      </c>
      <c r="D496" s="871">
        <f>'Peers Stock History'!E499/'Peers Stock History'!E$1833*100</f>
        <v>505.05504587155963</v>
      </c>
      <c r="E496" s="871">
        <f>'Peers Stock History'!F499/'Peers Stock History'!F$1833*100</f>
        <v>624.81203007518786</v>
      </c>
      <c r="F496" s="871">
        <f>'Peers Stock History'!G499/'Peers Stock History'!G$1833*100</f>
        <v>257.31684065017453</v>
      </c>
      <c r="G496" s="871">
        <f>'Peers Stock History'!H499/'Peers Stock History'!H$1833*100</f>
        <v>182.87295499781541</v>
      </c>
      <c r="H496" s="871">
        <f>'Peers Stock History'!I499/'Peers Stock History'!I$1833*100</f>
        <v>216.72458731537793</v>
      </c>
      <c r="I496" s="871">
        <f>'Peers Stock History'!J499/'Peers Stock History'!J$1833*100</f>
        <v>148.01021602639142</v>
      </c>
      <c r="J496" s="871">
        <f>'Peers Stock History'!K499/'Peers Stock History'!K$1833*100</f>
        <v>198.98899206796531</v>
      </c>
    </row>
    <row r="497" spans="2:10">
      <c r="B497" s="870">
        <v>44114</v>
      </c>
      <c r="C497" s="871">
        <f>'Peers Stock History'!D500/'Peers Stock History'!D$1833*100</f>
        <v>146.51872399445216</v>
      </c>
      <c r="D497" s="871">
        <f>'Peers Stock History'!E500/'Peers Stock History'!E$1833*100</f>
        <v>505.05504587155963</v>
      </c>
      <c r="E497" s="871">
        <f>'Peers Stock History'!F500/'Peers Stock History'!F$1833*100</f>
        <v>624.81203007518786</v>
      </c>
      <c r="F497" s="871">
        <f>'Peers Stock History'!G500/'Peers Stock History'!G$1833*100</f>
        <v>257.31684065017453</v>
      </c>
      <c r="G497" s="871">
        <f>'Peers Stock History'!H500/'Peers Stock History'!H$1833*100</f>
        <v>182.87295499781541</v>
      </c>
      <c r="H497" s="871">
        <f>'Peers Stock History'!I500/'Peers Stock History'!I$1833*100</f>
        <v>216.72458731537793</v>
      </c>
      <c r="I497" s="871">
        <f>'Peers Stock History'!J500/'Peers Stock History'!J$1833*100</f>
        <v>148.01021602639142</v>
      </c>
      <c r="J497" s="871">
        <f>'Peers Stock History'!K500/'Peers Stock History'!K$1833*100</f>
        <v>198.98899206796531</v>
      </c>
    </row>
    <row r="498" spans="2:10">
      <c r="B498" s="870">
        <v>44113</v>
      </c>
      <c r="C498" s="871">
        <f>'Peers Stock History'!D501/'Peers Stock History'!D$1833*100</f>
        <v>146.51872399445216</v>
      </c>
      <c r="D498" s="871">
        <f>'Peers Stock History'!E501/'Peers Stock History'!E$1833*100</f>
        <v>505.05504587155963</v>
      </c>
      <c r="E498" s="871">
        <f>'Peers Stock History'!F501/'Peers Stock History'!F$1833*100</f>
        <v>624.81203007518786</v>
      </c>
      <c r="F498" s="871">
        <f>'Peers Stock History'!G501/'Peers Stock History'!G$1833*100</f>
        <v>257.31684065017453</v>
      </c>
      <c r="G498" s="871">
        <f>'Peers Stock History'!H501/'Peers Stock History'!H$1833*100</f>
        <v>182.87295499781541</v>
      </c>
      <c r="H498" s="871">
        <f>'Peers Stock History'!I501/'Peers Stock History'!I$1833*100</f>
        <v>216.72458731537793</v>
      </c>
      <c r="I498" s="871">
        <f>'Peers Stock History'!J501/'Peers Stock History'!J$1833*100</f>
        <v>148.01021602639142</v>
      </c>
      <c r="J498" s="871">
        <f>'Peers Stock History'!K501/'Peers Stock History'!K$1833*100</f>
        <v>198.98899206796531</v>
      </c>
    </row>
    <row r="499" spans="2:10">
      <c r="B499" s="870">
        <v>44112</v>
      </c>
      <c r="C499" s="871">
        <f>'Peers Stock History'!D502/'Peers Stock History'!D$1833*100</f>
        <v>148.04438280166437</v>
      </c>
      <c r="D499" s="871">
        <f>'Peers Stock History'!E502/'Peers Stock History'!E$1833*100</f>
        <v>507.8440366972477</v>
      </c>
      <c r="E499" s="871">
        <f>'Peers Stock History'!F502/'Peers Stock History'!F$1833*100</f>
        <v>650.4511278195489</v>
      </c>
      <c r="F499" s="871">
        <f>'Peers Stock History'!G502/'Peers Stock History'!G$1833*100</f>
        <v>257.31684065017453</v>
      </c>
      <c r="G499" s="871">
        <f>'Peers Stock History'!H502/'Peers Stock History'!H$1833*100</f>
        <v>181.23695325015777</v>
      </c>
      <c r="H499" s="871">
        <f>'Peers Stock History'!I502/'Peers Stock History'!I$1833*100</f>
        <v>216.76802780191139</v>
      </c>
      <c r="I499" s="871">
        <f>'Peers Stock History'!J502/'Peers Stock History'!J$1833*100</f>
        <v>146.72044269447696</v>
      </c>
      <c r="J499" s="871">
        <f>'Peers Stock History'!K502/'Peers Stock History'!K$1833*100</f>
        <v>196.25737184333889</v>
      </c>
    </row>
    <row r="500" spans="2:10">
      <c r="B500" s="870">
        <v>44111</v>
      </c>
      <c r="C500" s="871">
        <f>'Peers Stock History'!D503/'Peers Stock History'!D$1833*100</f>
        <v>146.10263522884884</v>
      </c>
      <c r="D500" s="871">
        <f>'Peers Stock History'!E503/'Peers Stock History'!E$1833*100</f>
        <v>512.44036697247702</v>
      </c>
      <c r="E500" s="871">
        <f>'Peers Stock History'!F503/'Peers Stock History'!F$1833*100</f>
        <v>651.80451127819538</v>
      </c>
      <c r="F500" s="871">
        <f>'Peers Stock History'!G503/'Peers Stock History'!G$1833*100</f>
        <v>251.41707863335103</v>
      </c>
      <c r="G500" s="871">
        <f>'Peers Stock History'!H503/'Peers Stock History'!H$1833*100</f>
        <v>178.03776882372929</v>
      </c>
      <c r="H500" s="871">
        <f>'Peers Stock History'!I503/'Peers Stock History'!I$1833*100</f>
        <v>210.29539530842746</v>
      </c>
      <c r="I500" s="871">
        <f>'Peers Stock History'!J503/'Peers Stock History'!J$1833*100</f>
        <v>145.55496435032455</v>
      </c>
      <c r="J500" s="871">
        <f>'Peers Stock History'!K503/'Peers Stock History'!K$1833*100</f>
        <v>195.28853291725667</v>
      </c>
    </row>
    <row r="501" spans="2:10">
      <c r="B501" s="870">
        <v>44110</v>
      </c>
      <c r="C501" s="871">
        <f>'Peers Stock History'!D504/'Peers Stock History'!D$1833*100</f>
        <v>142.49653259361997</v>
      </c>
      <c r="D501" s="871">
        <f>'Peers Stock History'!E504/'Peers Stock History'!E$1833*100</f>
        <v>504.09174311926608</v>
      </c>
      <c r="E501" s="871">
        <f>'Peers Stock History'!F504/'Peers Stock History'!F$1833*100</f>
        <v>635.18796992481202</v>
      </c>
      <c r="F501" s="871">
        <f>'Peers Stock History'!G504/'Peers Stock History'!G$1833*100</f>
        <v>248.09773882369922</v>
      </c>
      <c r="G501" s="871">
        <f>'Peers Stock History'!H504/'Peers Stock History'!H$1833*100</f>
        <v>176.69789795621148</v>
      </c>
      <c r="H501" s="871">
        <f>'Peers Stock History'!I504/'Peers Stock History'!I$1833*100</f>
        <v>205.56038227628147</v>
      </c>
      <c r="I501" s="871">
        <f>'Peers Stock History'!J504/'Peers Stock History'!J$1833*100</f>
        <v>143.06480791742044</v>
      </c>
      <c r="J501" s="871">
        <f>'Peers Stock History'!K504/'Peers Stock History'!K$1833*100</f>
        <v>191.67997264341585</v>
      </c>
    </row>
    <row r="502" spans="2:10">
      <c r="B502" s="870">
        <v>44109</v>
      </c>
      <c r="C502" s="871">
        <f>'Peers Stock History'!D505/'Peers Stock History'!D$1833*100</f>
        <v>143.38418862690708</v>
      </c>
      <c r="D502" s="871">
        <f>'Peers Stock History'!E505/'Peers Stock History'!E$1833*100</f>
        <v>500.64220183486248</v>
      </c>
      <c r="E502" s="871">
        <f>'Peers Stock History'!F505/'Peers Stock History'!F$1833*100</f>
        <v>647.74436090225572</v>
      </c>
      <c r="F502" s="871">
        <f>'Peers Stock History'!G505/'Peers Stock History'!G$1833*100</f>
        <v>244.86851487234301</v>
      </c>
      <c r="G502" s="871">
        <f>'Peers Stock History'!H505/'Peers Stock History'!H$1833*100</f>
        <v>177.72707412981214</v>
      </c>
      <c r="H502" s="871">
        <f>'Peers Stock History'!I505/'Peers Stock History'!I$1833*100</f>
        <v>206.77671589921806</v>
      </c>
      <c r="I502" s="871">
        <f>'Peers Stock History'!J505/'Peers Stock History'!J$1833*100</f>
        <v>145.0943918271789</v>
      </c>
      <c r="J502" s="871">
        <f>'Peers Stock History'!K505/'Peers Stock History'!K$1833*100</f>
        <v>194.73667569388121</v>
      </c>
    </row>
    <row r="503" spans="2:10">
      <c r="B503" s="870">
        <v>44108</v>
      </c>
      <c r="C503" s="871">
        <f>'Peers Stock History'!D506/'Peers Stock History'!D$1833*100</f>
        <v>141.49791955617198</v>
      </c>
      <c r="D503" s="871">
        <f>'Peers Stock History'!E506/'Peers Stock History'!E$1833*100</f>
        <v>479.348623853211</v>
      </c>
      <c r="E503" s="871">
        <f>'Peers Stock History'!F506/'Peers Stock History'!F$1833*100</f>
        <v>615.03759398496231</v>
      </c>
      <c r="F503" s="871">
        <f>'Peers Stock History'!G506/'Peers Stock History'!G$1833*100</f>
        <v>243.5326821974131</v>
      </c>
      <c r="G503" s="871">
        <f>'Peers Stock History'!H506/'Peers Stock History'!H$1833*100</f>
        <v>173.22685567260544</v>
      </c>
      <c r="H503" s="871">
        <f>'Peers Stock History'!I506/'Peers Stock History'!I$1833*100</f>
        <v>202.21546481320593</v>
      </c>
      <c r="I503" s="871">
        <f>'Peers Stock History'!J506/'Peers Stock History'!J$1833*100</f>
        <v>142.53229754176866</v>
      </c>
      <c r="J503" s="871">
        <f>'Peers Stock History'!K506/'Peers Stock History'!K$1833*100</f>
        <v>190.31234964188994</v>
      </c>
    </row>
    <row r="504" spans="2:10">
      <c r="B504" s="870">
        <v>44107</v>
      </c>
      <c r="C504" s="871">
        <f>'Peers Stock History'!D507/'Peers Stock History'!D$1833*100</f>
        <v>141.49791955617198</v>
      </c>
      <c r="D504" s="871">
        <f>'Peers Stock History'!E507/'Peers Stock History'!E$1833*100</f>
        <v>479.348623853211</v>
      </c>
      <c r="E504" s="871">
        <f>'Peers Stock History'!F507/'Peers Stock History'!F$1833*100</f>
        <v>615.03759398496231</v>
      </c>
      <c r="F504" s="871">
        <f>'Peers Stock History'!G507/'Peers Stock History'!G$1833*100</f>
        <v>243.5326821974131</v>
      </c>
      <c r="G504" s="871">
        <f>'Peers Stock History'!H507/'Peers Stock History'!H$1833*100</f>
        <v>173.22685567260544</v>
      </c>
      <c r="H504" s="871">
        <f>'Peers Stock History'!I507/'Peers Stock History'!I$1833*100</f>
        <v>202.21546481320593</v>
      </c>
      <c r="I504" s="871">
        <f>'Peers Stock History'!J507/'Peers Stock History'!J$1833*100</f>
        <v>142.53229754176866</v>
      </c>
      <c r="J504" s="871">
        <f>'Peers Stock History'!K507/'Peers Stock History'!K$1833*100</f>
        <v>190.31234964188994</v>
      </c>
    </row>
    <row r="505" spans="2:10">
      <c r="B505" s="870">
        <v>44106</v>
      </c>
      <c r="C505" s="871">
        <f>'Peers Stock History'!D508/'Peers Stock History'!D$1833*100</f>
        <v>141.49791955617198</v>
      </c>
      <c r="D505" s="871">
        <f>'Peers Stock History'!E508/'Peers Stock History'!E$1833*100</f>
        <v>479.348623853211</v>
      </c>
      <c r="E505" s="871">
        <f>'Peers Stock History'!F508/'Peers Stock History'!F$1833*100</f>
        <v>615.03759398496231</v>
      </c>
      <c r="F505" s="871">
        <f>'Peers Stock History'!G508/'Peers Stock History'!G$1833*100</f>
        <v>243.5326821974131</v>
      </c>
      <c r="G505" s="871">
        <f>'Peers Stock History'!H508/'Peers Stock History'!H$1833*100</f>
        <v>173.22685567260544</v>
      </c>
      <c r="H505" s="871">
        <f>'Peers Stock History'!I508/'Peers Stock History'!I$1833*100</f>
        <v>202.21546481320593</v>
      </c>
      <c r="I505" s="871">
        <f>'Peers Stock History'!J508/'Peers Stock History'!J$1833*100</f>
        <v>142.53229754176866</v>
      </c>
      <c r="J505" s="871">
        <f>'Peers Stock History'!K508/'Peers Stock History'!K$1833*100</f>
        <v>190.31234964188994</v>
      </c>
    </row>
    <row r="506" spans="2:10">
      <c r="B506" s="870">
        <v>44105</v>
      </c>
      <c r="C506" s="871">
        <f>'Peers Stock History'!D509/'Peers Stock History'!D$1833*100</f>
        <v>144.90984743411929</v>
      </c>
      <c r="D506" s="871">
        <f>'Peers Stock History'!E509/'Peers Stock History'!E$1833*100</f>
        <v>499.61467889908261</v>
      </c>
      <c r="E506" s="871">
        <f>'Peers Stock History'!F509/'Peers Stock History'!F$1833*100</f>
        <v>638.04511278195491</v>
      </c>
      <c r="F506" s="871">
        <f>'Peers Stock History'!G509/'Peers Stock History'!G$1833*100</f>
        <v>243.5326821974131</v>
      </c>
      <c r="G506" s="871">
        <f>'Peers Stock History'!H509/'Peers Stock History'!H$1833*100</f>
        <v>178.94072527792613</v>
      </c>
      <c r="H506" s="871">
        <f>'Peers Stock History'!I509/'Peers Stock History'!I$1833*100</f>
        <v>208.16681146828847</v>
      </c>
      <c r="I506" s="871">
        <f>'Peers Stock History'!J509/'Peers Stock History'!J$1833*100</f>
        <v>143.90975843354263</v>
      </c>
      <c r="J506" s="871">
        <f>'Peers Stock History'!K509/'Peers Stock History'!K$1833*100</f>
        <v>194.63395103308912</v>
      </c>
    </row>
    <row r="507" spans="2:10">
      <c r="B507" s="870">
        <v>44104</v>
      </c>
      <c r="C507" s="871">
        <f>'Peers Stock History'!D510/'Peers Stock History'!D$1833*100</f>
        <v>143.6338418862691</v>
      </c>
      <c r="D507" s="871">
        <f>'Peers Stock History'!E510/'Peers Stock History'!E$1833*100</f>
        <v>496.53211009174311</v>
      </c>
      <c r="E507" s="871">
        <f>'Peers Stock History'!F510/'Peers Stock History'!F$1833*100</f>
        <v>616.46616541353376</v>
      </c>
      <c r="F507" s="871">
        <f>'Peers Stock History'!G510/'Peers Stock History'!G$1833*100</f>
        <v>243.5326821974131</v>
      </c>
      <c r="G507" s="871">
        <f>'Peers Stock History'!H510/'Peers Stock History'!H$1833*100</f>
        <v>176.86295451235497</v>
      </c>
      <c r="H507" s="871">
        <f>'Peers Stock History'!I510/'Peers Stock History'!I$1833*100</f>
        <v>203.99652476107732</v>
      </c>
      <c r="I507" s="871">
        <f>'Peers Stock History'!J510/'Peers Stock History'!J$1833*100</f>
        <v>143.15206980951368</v>
      </c>
      <c r="J507" s="871">
        <f>'Peers Stock History'!K510/'Peers Stock History'!K$1833*100</f>
        <v>191.90300097603895</v>
      </c>
    </row>
    <row r="508" spans="2:10">
      <c r="B508" s="870">
        <v>44103</v>
      </c>
      <c r="C508" s="871">
        <f>'Peers Stock History'!D511/'Peers Stock History'!D$1833*100</f>
        <v>141.99722607489599</v>
      </c>
      <c r="D508" s="871">
        <f>'Peers Stock History'!E511/'Peers Stock History'!E$1833*100</f>
        <v>485.348623853211</v>
      </c>
      <c r="E508" s="871">
        <f>'Peers Stock History'!F511/'Peers Stock History'!F$1833*100</f>
        <v>614.81203007518786</v>
      </c>
      <c r="F508" s="871">
        <f>'Peers Stock History'!G511/'Peers Stock History'!G$1833*100</f>
        <v>241.77252235116313</v>
      </c>
      <c r="G508" s="871">
        <f>'Peers Stock History'!H511/'Peers Stock History'!H$1833*100</f>
        <v>176.83382688480023</v>
      </c>
      <c r="H508" s="871">
        <f>'Peers Stock History'!I511/'Peers Stock History'!I$1833*100</f>
        <v>220.28670721112076</v>
      </c>
      <c r="I508" s="871">
        <f>'Peers Stock History'!J511/'Peers Stock History'!J$1833*100</f>
        <v>141.98020644886665</v>
      </c>
      <c r="J508" s="871">
        <f>'Peers Stock History'!K511/'Peers Stock History'!K$1833*100</f>
        <v>190.48946290364711</v>
      </c>
    </row>
    <row r="509" spans="2:10">
      <c r="B509" s="870">
        <v>44102</v>
      </c>
      <c r="C509" s="871">
        <f>'Peers Stock History'!D512/'Peers Stock History'!D$1833*100</f>
        <v>142.66296809986133</v>
      </c>
      <c r="D509" s="871">
        <f>'Peers Stock History'!E512/'Peers Stock History'!E$1833*100</f>
        <v>478.34862385321094</v>
      </c>
      <c r="E509" s="871">
        <f>'Peers Stock History'!F512/'Peers Stock History'!F$1833*100</f>
        <v>597.59398496240601</v>
      </c>
      <c r="F509" s="871">
        <f>'Peers Stock History'!G512/'Peers Stock History'!G$1833*100</f>
        <v>241.26263056111088</v>
      </c>
      <c r="G509" s="871">
        <f>'Peers Stock History'!H512/'Peers Stock History'!H$1833*100</f>
        <v>178.30962668090683</v>
      </c>
      <c r="H509" s="871">
        <f>'Peers Stock History'!I512/'Peers Stock History'!I$1833*100</f>
        <v>215.9860990443093</v>
      </c>
      <c r="I509" s="871">
        <f>'Peers Stock History'!J512/'Peers Stock History'!J$1833*100</f>
        <v>142.6668085559221</v>
      </c>
      <c r="J509" s="871">
        <f>'Peers Stock History'!K512/'Peers Stock History'!K$1833*100</f>
        <v>191.04410390003164</v>
      </c>
    </row>
    <row r="510" spans="2:10">
      <c r="B510" s="870">
        <v>44101</v>
      </c>
      <c r="C510" s="871">
        <f>'Peers Stock History'!D513/'Peers Stock History'!D$1833*100</f>
        <v>138.52981969486825</v>
      </c>
      <c r="D510" s="871">
        <f>'Peers Stock History'!E513/'Peers Stock History'!E$1833*100</f>
        <v>472.43119266055055</v>
      </c>
      <c r="E510" s="871">
        <f>'Peers Stock History'!F513/'Peers Stock History'!F$1833*100</f>
        <v>586.87969924812035</v>
      </c>
      <c r="F510" s="871">
        <f>'Peers Stock History'!G513/'Peers Stock History'!G$1833*100</f>
        <v>235.78063806416486</v>
      </c>
      <c r="G510" s="871">
        <f>'Peers Stock History'!H513/'Peers Stock History'!H$1833*100</f>
        <v>173.21229185882808</v>
      </c>
      <c r="H510" s="871">
        <f>'Peers Stock History'!I513/'Peers Stock History'!I$1833*100</f>
        <v>213.46655082536924</v>
      </c>
      <c r="I510" s="871">
        <f>'Peers Stock History'!J513/'Peers Stock History'!J$1833*100</f>
        <v>140.40481004575929</v>
      </c>
      <c r="J510" s="871">
        <f>'Peers Stock History'!K513/'Peers Stock History'!K$1833*100</f>
        <v>187.53919621131931</v>
      </c>
    </row>
    <row r="511" spans="2:10">
      <c r="B511" s="870">
        <v>44100</v>
      </c>
      <c r="C511" s="871">
        <f>'Peers Stock History'!D514/'Peers Stock History'!D$1833*100</f>
        <v>138.52981969486825</v>
      </c>
      <c r="D511" s="871">
        <f>'Peers Stock History'!E514/'Peers Stock History'!E$1833*100</f>
        <v>472.43119266055055</v>
      </c>
      <c r="E511" s="871">
        <f>'Peers Stock History'!F514/'Peers Stock History'!F$1833*100</f>
        <v>586.87969924812035</v>
      </c>
      <c r="F511" s="871">
        <f>'Peers Stock History'!G514/'Peers Stock History'!G$1833*100</f>
        <v>235.78063806416486</v>
      </c>
      <c r="G511" s="871">
        <f>'Peers Stock History'!H514/'Peers Stock History'!H$1833*100</f>
        <v>173.21229185882808</v>
      </c>
      <c r="H511" s="871">
        <f>'Peers Stock History'!I514/'Peers Stock History'!I$1833*100</f>
        <v>213.46655082536924</v>
      </c>
      <c r="I511" s="871">
        <f>'Peers Stock History'!J514/'Peers Stock History'!J$1833*100</f>
        <v>140.40481004575929</v>
      </c>
      <c r="J511" s="871">
        <f>'Peers Stock History'!K514/'Peers Stock History'!K$1833*100</f>
        <v>187.53919621131931</v>
      </c>
    </row>
    <row r="512" spans="2:10">
      <c r="B512" s="870">
        <v>44099</v>
      </c>
      <c r="C512" s="871">
        <f>'Peers Stock History'!D515/'Peers Stock History'!D$1833*100</f>
        <v>138.52981969486825</v>
      </c>
      <c r="D512" s="871">
        <f>'Peers Stock History'!E515/'Peers Stock History'!E$1833*100</f>
        <v>472.43119266055055</v>
      </c>
      <c r="E512" s="871">
        <f>'Peers Stock History'!F515/'Peers Stock History'!F$1833*100</f>
        <v>586.87969924812035</v>
      </c>
      <c r="F512" s="871">
        <f>'Peers Stock History'!G515/'Peers Stock History'!G$1833*100</f>
        <v>235.78063806416486</v>
      </c>
      <c r="G512" s="871">
        <f>'Peers Stock History'!H515/'Peers Stock History'!H$1833*100</f>
        <v>173.21229185882808</v>
      </c>
      <c r="H512" s="871">
        <f>'Peers Stock History'!I515/'Peers Stock History'!I$1833*100</f>
        <v>213.46655082536924</v>
      </c>
      <c r="I512" s="871">
        <f>'Peers Stock History'!J515/'Peers Stock History'!J$1833*100</f>
        <v>140.40481004575929</v>
      </c>
      <c r="J512" s="871">
        <f>'Peers Stock History'!K515/'Peers Stock History'!K$1833*100</f>
        <v>187.53919621131931</v>
      </c>
    </row>
    <row r="513" spans="2:10">
      <c r="B513" s="870">
        <v>44098</v>
      </c>
      <c r="C513" s="871">
        <f>'Peers Stock History'!D516/'Peers Stock History'!D$1833*100</f>
        <v>136.36615811373093</v>
      </c>
      <c r="D513" s="871">
        <f>'Peers Stock History'!E516/'Peers Stock History'!E$1833*100</f>
        <v>453.13761467889907</v>
      </c>
      <c r="E513" s="871">
        <f>'Peers Stock History'!F516/'Peers Stock History'!F$1833*100</f>
        <v>570.07518796992474</v>
      </c>
      <c r="F513" s="871">
        <f>'Peers Stock History'!G516/'Peers Stock History'!G$1833*100</f>
        <v>235.15220454937534</v>
      </c>
      <c r="G513" s="871">
        <f>'Peers Stock History'!H516/'Peers Stock History'!H$1833*100</f>
        <v>171.13452109325692</v>
      </c>
      <c r="H513" s="871">
        <f>'Peers Stock History'!I516/'Peers Stock History'!I$1833*100</f>
        <v>214.90008688097308</v>
      </c>
      <c r="I513" s="871">
        <f>'Peers Stock History'!J516/'Peers Stock History'!J$1833*100</f>
        <v>138.19687134191764</v>
      </c>
      <c r="J513" s="871">
        <f>'Peers Stock History'!K516/'Peers Stock History'!K$1833*100</f>
        <v>183.39274913050053</v>
      </c>
    </row>
    <row r="514" spans="2:10">
      <c r="B514" s="870">
        <v>44097</v>
      </c>
      <c r="C514" s="871">
        <f>'Peers Stock History'!D517/'Peers Stock History'!D$1833*100</f>
        <v>135.4230235783634</v>
      </c>
      <c r="D514" s="871">
        <f>'Peers Stock History'!E517/'Peers Stock History'!E$1833*100</f>
        <v>444.90825688073397</v>
      </c>
      <c r="E514" s="871">
        <f>'Peers Stock History'!F517/'Peers Stock History'!F$1833*100</f>
        <v>561.87969924812023</v>
      </c>
      <c r="F514" s="871">
        <f>'Peers Stock History'!G517/'Peers Stock History'!G$1833*100</f>
        <v>241.90694539053163</v>
      </c>
      <c r="G514" s="871">
        <f>'Peers Stock History'!H517/'Peers Stock History'!H$1833*100</f>
        <v>170.68304286615853</v>
      </c>
      <c r="H514" s="871">
        <f>'Peers Stock History'!I517/'Peers Stock History'!I$1833*100</f>
        <v>216.55082536924414</v>
      </c>
      <c r="I514" s="871">
        <f>'Peers Stock History'!J517/'Peers Stock History'!J$1833*100</f>
        <v>137.78525061189742</v>
      </c>
      <c r="J514" s="871">
        <f>'Peers Stock History'!K517/'Peers Stock History'!K$1833*100</f>
        <v>182.71775291093303</v>
      </c>
    </row>
    <row r="515" spans="2:10">
      <c r="B515" s="870">
        <v>44096</v>
      </c>
      <c r="C515" s="871">
        <f>'Peers Stock History'!D518/'Peers Stock History'!D$1833*100</f>
        <v>138.55755894590848</v>
      </c>
      <c r="D515" s="871">
        <f>'Peers Stock History'!E518/'Peers Stock History'!E$1833*100</f>
        <v>463.7706422018349</v>
      </c>
      <c r="E515" s="871">
        <f>'Peers Stock History'!F518/'Peers Stock History'!F$1833*100</f>
        <v>584.21052631578948</v>
      </c>
      <c r="F515" s="871">
        <f>'Peers Stock History'!G518/'Peers Stock History'!G$1833*100</f>
        <v>244.85962215019796</v>
      </c>
      <c r="G515" s="871">
        <f>'Peers Stock History'!H518/'Peers Stock History'!H$1833*100</f>
        <v>175.53764745861446</v>
      </c>
      <c r="H515" s="871">
        <f>'Peers Stock History'!I518/'Peers Stock History'!I$1833*100</f>
        <v>215.89921807124242</v>
      </c>
      <c r="I515" s="871">
        <f>'Peers Stock History'!J518/'Peers Stock History'!J$1833*100</f>
        <v>141.13312759391297</v>
      </c>
      <c r="J515" s="871">
        <f>'Peers Stock History'!K518/'Peers Stock History'!K$1833*100</f>
        <v>188.39908994679902</v>
      </c>
    </row>
    <row r="516" spans="2:10">
      <c r="B516" s="870">
        <v>44095</v>
      </c>
      <c r="C516" s="871">
        <f>'Peers Stock History'!D519/'Peers Stock History'!D$1833*100</f>
        <v>137.91955617198337</v>
      </c>
      <c r="D516" s="871">
        <f>'Peers Stock History'!E519/'Peers Stock History'!E$1833*100</f>
        <v>459.348623853211</v>
      </c>
      <c r="E516" s="871">
        <f>'Peers Stock History'!F519/'Peers Stock History'!F$1833*100</f>
        <v>586.01503759398486</v>
      </c>
      <c r="F516" s="871">
        <f>'Peers Stock History'!G519/'Peers Stock History'!G$1833*100</f>
        <v>247.12792658102134</v>
      </c>
      <c r="G516" s="871">
        <f>'Peers Stock History'!H519/'Peers Stock History'!H$1833*100</f>
        <v>170.78013495800769</v>
      </c>
      <c r="H516" s="871">
        <f>'Peers Stock History'!I519/'Peers Stock History'!I$1833*100</f>
        <v>213.5099913119027</v>
      </c>
      <c r="I516" s="871">
        <f>'Peers Stock History'!J519/'Peers Stock History'!J$1833*100</f>
        <v>139.66414813238268</v>
      </c>
      <c r="J516" s="871">
        <f>'Peers Stock History'!K519/'Peers Stock History'!K$1833*100</f>
        <v>185.22292522991904</v>
      </c>
    </row>
    <row r="517" spans="2:10">
      <c r="B517" s="870">
        <v>44094</v>
      </c>
      <c r="C517" s="871">
        <f>'Peers Stock History'!D520/'Peers Stock History'!D$1833*100</f>
        <v>138.39112343966715</v>
      </c>
      <c r="D517" s="871">
        <f>'Peers Stock History'!E520/'Peers Stock History'!E$1833*100</f>
        <v>447.3119266055046</v>
      </c>
      <c r="E517" s="871">
        <f>'Peers Stock History'!F520/'Peers Stock History'!F$1833*100</f>
        <v>563.38345864661653</v>
      </c>
      <c r="F517" s="871">
        <f>'Peers Stock History'!G520/'Peers Stock History'!G$1833*100</f>
        <v>249.18526550405082</v>
      </c>
      <c r="G517" s="871">
        <f>'Peers Stock History'!H520/'Peers Stock History'!H$1833*100</f>
        <v>174.63469100441768</v>
      </c>
      <c r="H517" s="871">
        <f>'Peers Stock History'!I520/'Peers Stock History'!I$1833*100</f>
        <v>220.41702867072112</v>
      </c>
      <c r="I517" s="871">
        <f>'Peers Stock History'!J520/'Peers Stock History'!J$1833*100</f>
        <v>141.29913802277321</v>
      </c>
      <c r="J517" s="871">
        <f>'Peers Stock History'!K520/'Peers Stock History'!K$1833*100</f>
        <v>185.46942661149527</v>
      </c>
    </row>
    <row r="518" spans="2:10">
      <c r="B518" s="870">
        <v>44093</v>
      </c>
      <c r="C518" s="871">
        <f>'Peers Stock History'!D521/'Peers Stock History'!D$1833*100</f>
        <v>138.39112343966715</v>
      </c>
      <c r="D518" s="871">
        <f>'Peers Stock History'!E521/'Peers Stock History'!E$1833*100</f>
        <v>447.3119266055046</v>
      </c>
      <c r="E518" s="871">
        <f>'Peers Stock History'!F521/'Peers Stock History'!F$1833*100</f>
        <v>563.38345864661653</v>
      </c>
      <c r="F518" s="871">
        <f>'Peers Stock History'!G521/'Peers Stock History'!G$1833*100</f>
        <v>249.18526550405082</v>
      </c>
      <c r="G518" s="871">
        <f>'Peers Stock History'!H521/'Peers Stock History'!H$1833*100</f>
        <v>174.63469100441768</v>
      </c>
      <c r="H518" s="871">
        <f>'Peers Stock History'!I521/'Peers Stock History'!I$1833*100</f>
        <v>220.41702867072112</v>
      </c>
      <c r="I518" s="871">
        <f>'Peers Stock History'!J521/'Peers Stock History'!J$1833*100</f>
        <v>141.29913802277321</v>
      </c>
      <c r="J518" s="871">
        <f>'Peers Stock History'!K521/'Peers Stock History'!K$1833*100</f>
        <v>185.46942661149527</v>
      </c>
    </row>
    <row r="519" spans="2:10">
      <c r="B519" s="870">
        <v>44092</v>
      </c>
      <c r="C519" s="871">
        <f>'Peers Stock History'!D522/'Peers Stock History'!D$1833*100</f>
        <v>138.39112343966715</v>
      </c>
      <c r="D519" s="871">
        <f>'Peers Stock History'!E522/'Peers Stock History'!E$1833*100</f>
        <v>447.3119266055046</v>
      </c>
      <c r="E519" s="871">
        <f>'Peers Stock History'!F522/'Peers Stock History'!F$1833*100</f>
        <v>563.38345864661653</v>
      </c>
      <c r="F519" s="871">
        <f>'Peers Stock History'!G522/'Peers Stock History'!G$1833*100</f>
        <v>249.18526550405082</v>
      </c>
      <c r="G519" s="871">
        <f>'Peers Stock History'!H522/'Peers Stock History'!H$1833*100</f>
        <v>174.63469100441768</v>
      </c>
      <c r="H519" s="871">
        <f>'Peers Stock History'!I522/'Peers Stock History'!I$1833*100</f>
        <v>220.41702867072112</v>
      </c>
      <c r="I519" s="871">
        <f>'Peers Stock History'!J522/'Peers Stock History'!J$1833*100</f>
        <v>141.29913802277321</v>
      </c>
      <c r="J519" s="871">
        <f>'Peers Stock History'!K522/'Peers Stock History'!K$1833*100</f>
        <v>185.46942661149527</v>
      </c>
    </row>
    <row r="520" spans="2:10">
      <c r="B520" s="870">
        <v>44091</v>
      </c>
      <c r="C520" s="871">
        <f>'Peers Stock History'!D523/'Peers Stock History'!D$1833*100</f>
        <v>139.58391123439668</v>
      </c>
      <c r="D520" s="871">
        <f>'Peers Stock History'!E523/'Peers Stock History'!E$1833*100</f>
        <v>457.37614678899081</v>
      </c>
      <c r="E520" s="871">
        <f>'Peers Stock History'!F523/'Peers Stock History'!F$1833*100</f>
        <v>575.56390977443607</v>
      </c>
      <c r="F520" s="871">
        <f>'Peers Stock History'!G523/'Peers Stock History'!G$1833*100</f>
        <v>250.49225096433722</v>
      </c>
      <c r="G520" s="871">
        <f>'Peers Stock History'!H523/'Peers Stock History'!H$1833*100</f>
        <v>177.63969124714791</v>
      </c>
      <c r="H520" s="871">
        <f>'Peers Stock History'!I523/'Peers Stock History'!I$1833*100</f>
        <v>221.45960034752389</v>
      </c>
      <c r="I520" s="871">
        <f>'Peers Stock History'!J523/'Peers Stock History'!J$1833*100</f>
        <v>142.89709481749495</v>
      </c>
      <c r="J520" s="871">
        <f>'Peers Stock History'!K523/'Peers Stock History'!K$1833*100</f>
        <v>187.47984342136016</v>
      </c>
    </row>
    <row r="521" spans="2:10">
      <c r="B521" s="870">
        <v>44090</v>
      </c>
      <c r="C521" s="871">
        <f>'Peers Stock History'!D524/'Peers Stock History'!D$1833*100</f>
        <v>139.72260748959781</v>
      </c>
      <c r="D521" s="871">
        <f>'Peers Stock History'!E524/'Peers Stock History'!E$1833*100</f>
        <v>459.24770642201838</v>
      </c>
      <c r="E521" s="871">
        <f>'Peers Stock History'!F524/'Peers Stock History'!F$1833*100</f>
        <v>576.3909774436089</v>
      </c>
      <c r="F521" s="871">
        <f>'Peers Stock History'!G524/'Peers Stock History'!G$1833*100</f>
        <v>254.8531046512847</v>
      </c>
      <c r="G521" s="871">
        <f>'Peers Stock History'!H524/'Peers Stock History'!H$1833*100</f>
        <v>178.18340696150298</v>
      </c>
      <c r="H521" s="871">
        <f>'Peers Stock History'!I524/'Peers Stock History'!I$1833*100</f>
        <v>218.11468288444834</v>
      </c>
      <c r="I521" s="871">
        <f>'Peers Stock History'!J524/'Peers Stock History'!J$1833*100</f>
        <v>144.10939661594125</v>
      </c>
      <c r="J521" s="871">
        <f>'Peers Stock History'!K524/'Peers Stock History'!K$1833*100</f>
        <v>189.88887246882862</v>
      </c>
    </row>
    <row r="522" spans="2:10">
      <c r="B522" s="870">
        <v>44089</v>
      </c>
      <c r="C522" s="871">
        <f>'Peers Stock History'!D525/'Peers Stock History'!D$1833*100</f>
        <v>138.69625520110958</v>
      </c>
      <c r="D522" s="871">
        <f>'Peers Stock History'!E525/'Peers Stock History'!E$1833*100</f>
        <v>476.73394495412839</v>
      </c>
      <c r="E522" s="871">
        <f>'Peers Stock History'!F525/'Peers Stock History'!F$1833*100</f>
        <v>593.45864661654127</v>
      </c>
      <c r="F522" s="871">
        <f>'Peers Stock History'!G525/'Peers Stock History'!G$1833*100</f>
        <v>247.76336093377517</v>
      </c>
      <c r="G522" s="871">
        <f>'Peers Stock History'!H525/'Peers Stock History'!H$1833*100</f>
        <v>178.12029710180107</v>
      </c>
      <c r="H522" s="871">
        <f>'Peers Stock History'!I525/'Peers Stock History'!I$1833*100</f>
        <v>213.0755864465682</v>
      </c>
      <c r="I522" s="871">
        <f>'Peers Stock History'!J525/'Peers Stock History'!J$1833*100</f>
        <v>144.77812067681174</v>
      </c>
      <c r="J522" s="871">
        <f>'Peers Stock History'!K525/'Peers Stock History'!K$1833*100</f>
        <v>192.29211058108686</v>
      </c>
    </row>
    <row r="523" spans="2:10">
      <c r="B523" s="870">
        <v>44088</v>
      </c>
      <c r="C523" s="871">
        <f>'Peers Stock History'!D526/'Peers Stock History'!D$1833*100</f>
        <v>137.05963938973647</v>
      </c>
      <c r="D523" s="871">
        <f>'Peers Stock History'!E526/'Peers Stock History'!E$1833*100</f>
        <v>472.37614678899081</v>
      </c>
      <c r="E523" s="871">
        <f>'Peers Stock History'!F526/'Peers Stock History'!F$1833*100</f>
        <v>585.71428571428578</v>
      </c>
      <c r="F523" s="871">
        <f>'Peers Stock History'!G526/'Peers Stock History'!G$1833*100</f>
        <v>245.30119108679577</v>
      </c>
      <c r="G523" s="871">
        <f>'Peers Stock History'!H526/'Peers Stock History'!H$1833*100</f>
        <v>175.83377833875429</v>
      </c>
      <c r="H523" s="871">
        <f>'Peers Stock History'!I526/'Peers Stock History'!I$1833*100</f>
        <v>212.98870547350131</v>
      </c>
      <c r="I523" s="871">
        <f>'Peers Stock History'!J526/'Peers Stock History'!J$1833*100</f>
        <v>144.02639140151112</v>
      </c>
      <c r="J523" s="871">
        <f>'Peers Stock History'!K526/'Peers Stock History'!K$1833*100</f>
        <v>189.99510262155809</v>
      </c>
    </row>
    <row r="524" spans="2:10">
      <c r="B524" s="870">
        <v>44087</v>
      </c>
      <c r="C524" s="871">
        <f>'Peers Stock History'!D527/'Peers Stock History'!D$1833*100</f>
        <v>136.69902912621362</v>
      </c>
      <c r="D524" s="871">
        <f>'Peers Stock History'!E527/'Peers Stock History'!E$1833*100</f>
        <v>446.40366972477057</v>
      </c>
      <c r="E524" s="871">
        <f>'Peers Stock History'!F527/'Peers Stock History'!F$1833*100</f>
        <v>573.98496240601503</v>
      </c>
      <c r="F524" s="871">
        <f>'Peers Stock History'!G527/'Peers Stock History'!G$1833*100</f>
        <v>242.41681582673689</v>
      </c>
      <c r="G524" s="871">
        <f>'Peers Stock History'!H527/'Peers Stock History'!H$1833*100</f>
        <v>174.62012719064032</v>
      </c>
      <c r="H524" s="871">
        <f>'Peers Stock History'!I527/'Peers Stock History'!I$1833*100</f>
        <v>200.21720243266725</v>
      </c>
      <c r="I524" s="871">
        <f>'Peers Stock History'!J527/'Peers Stock History'!J$1833*100</f>
        <v>142.21432372033627</v>
      </c>
      <c r="J524" s="871">
        <f>'Peers Stock History'!K527/'Peers Stock History'!K$1833*100</f>
        <v>186.50497298709158</v>
      </c>
    </row>
    <row r="525" spans="2:10">
      <c r="B525" s="870">
        <v>44086</v>
      </c>
      <c r="C525" s="871">
        <f>'Peers Stock History'!D528/'Peers Stock History'!D$1833*100</f>
        <v>136.69902912621362</v>
      </c>
      <c r="D525" s="871">
        <f>'Peers Stock History'!E528/'Peers Stock History'!E$1833*100</f>
        <v>446.40366972477057</v>
      </c>
      <c r="E525" s="871">
        <f>'Peers Stock History'!F528/'Peers Stock History'!F$1833*100</f>
        <v>573.98496240601503</v>
      </c>
      <c r="F525" s="871">
        <f>'Peers Stock History'!G528/'Peers Stock History'!G$1833*100</f>
        <v>242.41681582673689</v>
      </c>
      <c r="G525" s="871">
        <f>'Peers Stock History'!H528/'Peers Stock History'!H$1833*100</f>
        <v>174.62012719064032</v>
      </c>
      <c r="H525" s="871">
        <f>'Peers Stock History'!I528/'Peers Stock History'!I$1833*100</f>
        <v>200.21720243266725</v>
      </c>
      <c r="I525" s="871">
        <f>'Peers Stock History'!J528/'Peers Stock History'!J$1833*100</f>
        <v>142.21432372033627</v>
      </c>
      <c r="J525" s="871">
        <f>'Peers Stock History'!K528/'Peers Stock History'!K$1833*100</f>
        <v>186.50497298709158</v>
      </c>
    </row>
    <row r="526" spans="2:10">
      <c r="B526" s="870">
        <v>44085</v>
      </c>
      <c r="C526" s="871">
        <f>'Peers Stock History'!D529/'Peers Stock History'!D$1833*100</f>
        <v>136.69902912621362</v>
      </c>
      <c r="D526" s="871">
        <f>'Peers Stock History'!E529/'Peers Stock History'!E$1833*100</f>
        <v>446.40366972477057</v>
      </c>
      <c r="E526" s="871">
        <f>'Peers Stock History'!F529/'Peers Stock History'!F$1833*100</f>
        <v>573.98496240601503</v>
      </c>
      <c r="F526" s="871">
        <f>'Peers Stock History'!G529/'Peers Stock History'!G$1833*100</f>
        <v>242.41681582673689</v>
      </c>
      <c r="G526" s="871">
        <f>'Peers Stock History'!H529/'Peers Stock History'!H$1833*100</f>
        <v>174.62012719064032</v>
      </c>
      <c r="H526" s="871">
        <f>'Peers Stock History'!I529/'Peers Stock History'!I$1833*100</f>
        <v>200.21720243266725</v>
      </c>
      <c r="I526" s="871">
        <f>'Peers Stock History'!J529/'Peers Stock History'!J$1833*100</f>
        <v>142.21432372033627</v>
      </c>
      <c r="J526" s="871">
        <f>'Peers Stock History'!K529/'Peers Stock History'!K$1833*100</f>
        <v>186.50497298709158</v>
      </c>
    </row>
    <row r="527" spans="2:10">
      <c r="B527" s="870">
        <v>44084</v>
      </c>
      <c r="C527" s="871">
        <f>'Peers Stock History'!D530/'Peers Stock History'!D$1833*100</f>
        <v>135.81137309292649</v>
      </c>
      <c r="D527" s="871">
        <f>'Peers Stock History'!E530/'Peers Stock History'!E$1833*100</f>
        <v>451.80733944954136</v>
      </c>
      <c r="E527" s="871">
        <f>'Peers Stock History'!F530/'Peers Stock History'!F$1833*100</f>
        <v>593.83458646616543</v>
      </c>
      <c r="F527" s="871">
        <f>'Peers Stock History'!G530/'Peers Stock History'!G$1833*100</f>
        <v>241.68278147239258</v>
      </c>
      <c r="G527" s="871">
        <f>'Peers Stock History'!H530/'Peers Stock History'!H$1833*100</f>
        <v>173.34822078741686</v>
      </c>
      <c r="H527" s="871">
        <f>'Peers Stock History'!I530/'Peers Stock History'!I$1833*100</f>
        <v>194.91746307558643</v>
      </c>
      <c r="I527" s="871">
        <f>'Peers Stock History'!J530/'Peers Stock History'!J$1833*100</f>
        <v>142.1385548579334</v>
      </c>
      <c r="J527" s="871">
        <f>'Peers Stock History'!K530/'Peers Stock History'!K$1833*100</f>
        <v>187.63992755316664</v>
      </c>
    </row>
    <row r="528" spans="2:10">
      <c r="B528" s="870">
        <v>44083</v>
      </c>
      <c r="C528" s="871">
        <f>'Peers Stock History'!D531/'Peers Stock History'!D$1833*100</f>
        <v>137.64216366158115</v>
      </c>
      <c r="D528" s="871">
        <f>'Peers Stock History'!E531/'Peers Stock History'!E$1833*100</f>
        <v>466.60550458715602</v>
      </c>
      <c r="E528" s="871">
        <f>'Peers Stock History'!F531/'Peers Stock History'!F$1833*100</f>
        <v>615.86466165413526</v>
      </c>
      <c r="F528" s="871">
        <f>'Peers Stock History'!G531/'Peers Stock History'!G$1833*100</f>
        <v>237.25424710839826</v>
      </c>
      <c r="G528" s="871">
        <f>'Peers Stock History'!H531/'Peers Stock History'!H$1833*100</f>
        <v>174.78032914219136</v>
      </c>
      <c r="H528" s="871">
        <f>'Peers Stock History'!I531/'Peers Stock History'!I$1833*100</f>
        <v>196.13379669852301</v>
      </c>
      <c r="I528" s="871">
        <f>'Peers Stock History'!J531/'Peers Stock History'!J$1833*100</f>
        <v>144.68277109715868</v>
      </c>
      <c r="J528" s="871">
        <f>'Peers Stock History'!K531/'Peers Stock History'!K$1833*100</f>
        <v>191.45422927291975</v>
      </c>
    </row>
    <row r="529" spans="2:10">
      <c r="B529" s="870">
        <v>44082</v>
      </c>
      <c r="C529" s="871">
        <f>'Peers Stock History'!D532/'Peers Stock History'!D$1833*100</f>
        <v>135.67267683772539</v>
      </c>
      <c r="D529" s="871">
        <f>'Peers Stock History'!E532/'Peers Stock History'!E$1833*100</f>
        <v>437.17431192660553</v>
      </c>
      <c r="E529" s="871">
        <f>'Peers Stock History'!F532/'Peers Stock History'!F$1833*100</f>
        <v>591.65413533834578</v>
      </c>
      <c r="F529" s="871">
        <f>'Peers Stock History'!G532/'Peers Stock History'!G$1833*100</f>
        <v>239.63228435509461</v>
      </c>
      <c r="G529" s="871">
        <f>'Peers Stock History'!H532/'Peers Stock History'!H$1833*100</f>
        <v>170.17330938395068</v>
      </c>
      <c r="H529" s="871">
        <f>'Peers Stock History'!I532/'Peers Stock History'!I$1833*100</f>
        <v>195.61251086012163</v>
      </c>
      <c r="I529" s="871">
        <f>'Peers Stock History'!J532/'Peers Stock History'!J$1833*100</f>
        <v>141.82568904969673</v>
      </c>
      <c r="J529" s="871">
        <f>'Peers Stock History'!K532/'Peers Stock History'!K$1833*100</f>
        <v>186.4043619317323</v>
      </c>
    </row>
    <row r="530" spans="2:10">
      <c r="B530" s="870">
        <v>44081</v>
      </c>
      <c r="C530" s="871">
        <f>'Peers Stock History'!D533/'Peers Stock History'!D$1833*100</f>
        <v>138.91816920943134</v>
      </c>
      <c r="D530" s="871">
        <f>'Peers Stock History'!E533/'Peers Stock History'!E$1833*100</f>
        <v>463.21100917431187</v>
      </c>
      <c r="E530" s="871">
        <f>'Peers Stock History'!F533/'Peers Stock History'!F$1833*100</f>
        <v>616.61654135338347</v>
      </c>
      <c r="F530" s="871">
        <f>'Peers Stock History'!G533/'Peers Stock History'!G$1833*100</f>
        <v>236.44825292839519</v>
      </c>
      <c r="G530" s="871">
        <f>'Peers Stock History'!H533/'Peers Stock History'!H$1833*100</f>
        <v>176.19787368318848</v>
      </c>
      <c r="H530" s="871">
        <f>'Peers Stock History'!I533/'Peers Stock History'!I$1833*100</f>
        <v>201.91138140747174</v>
      </c>
      <c r="I530" s="871">
        <f>'Peers Stock History'!J533/'Peers Stock History'!J$1833*100</f>
        <v>145.87464084282217</v>
      </c>
      <c r="J530" s="871">
        <f>'Peers Stock History'!K533/'Peers Stock History'!K$1833*100</f>
        <v>194.40245109495072</v>
      </c>
    </row>
    <row r="531" spans="2:10">
      <c r="B531" s="870">
        <v>44080</v>
      </c>
      <c r="C531" s="871">
        <f>'Peers Stock History'!D534/'Peers Stock History'!D$1833*100</f>
        <v>138.91816920943134</v>
      </c>
      <c r="D531" s="871">
        <f>'Peers Stock History'!E534/'Peers Stock History'!E$1833*100</f>
        <v>463.21100917431187</v>
      </c>
      <c r="E531" s="871">
        <f>'Peers Stock History'!F534/'Peers Stock History'!F$1833*100</f>
        <v>616.61654135338347</v>
      </c>
      <c r="F531" s="871">
        <f>'Peers Stock History'!G534/'Peers Stock History'!G$1833*100</f>
        <v>237.98346010527109</v>
      </c>
      <c r="G531" s="871">
        <f>'Peers Stock History'!H534/'Peers Stock History'!H$1833*100</f>
        <v>176.19787368318848</v>
      </c>
      <c r="H531" s="871">
        <f>'Peers Stock History'!I534/'Peers Stock History'!I$1833*100</f>
        <v>201.91138140747174</v>
      </c>
      <c r="I531" s="871">
        <f>'Peers Stock History'!J534/'Peers Stock History'!J$1833*100</f>
        <v>145.87464084282217</v>
      </c>
      <c r="J531" s="871">
        <f>'Peers Stock History'!K534/'Peers Stock History'!K$1833*100</f>
        <v>194.40245109495072</v>
      </c>
    </row>
    <row r="532" spans="2:10">
      <c r="B532" s="870">
        <v>44079</v>
      </c>
      <c r="C532" s="871">
        <f>'Peers Stock History'!D535/'Peers Stock History'!D$1833*100</f>
        <v>138.91816920943134</v>
      </c>
      <c r="D532" s="871">
        <f>'Peers Stock History'!E535/'Peers Stock History'!E$1833*100</f>
        <v>463.21100917431187</v>
      </c>
      <c r="E532" s="871">
        <f>'Peers Stock History'!F535/'Peers Stock History'!F$1833*100</f>
        <v>616.61654135338347</v>
      </c>
      <c r="F532" s="871">
        <f>'Peers Stock History'!G535/'Peers Stock History'!G$1833*100</f>
        <v>237.98346010527109</v>
      </c>
      <c r="G532" s="871">
        <f>'Peers Stock History'!H535/'Peers Stock History'!H$1833*100</f>
        <v>176.19787368318848</v>
      </c>
      <c r="H532" s="871">
        <f>'Peers Stock History'!I535/'Peers Stock History'!I$1833*100</f>
        <v>201.91138140747174</v>
      </c>
      <c r="I532" s="871">
        <f>'Peers Stock History'!J535/'Peers Stock History'!J$1833*100</f>
        <v>145.87464084282217</v>
      </c>
      <c r="J532" s="871">
        <f>'Peers Stock History'!K535/'Peers Stock History'!K$1833*100</f>
        <v>194.40245109495072</v>
      </c>
    </row>
    <row r="533" spans="2:10">
      <c r="B533" s="870">
        <v>44078</v>
      </c>
      <c r="C533" s="871">
        <f>'Peers Stock History'!D536/'Peers Stock History'!D$1833*100</f>
        <v>138.91816920943134</v>
      </c>
      <c r="D533" s="871">
        <f>'Peers Stock History'!E536/'Peers Stock History'!E$1833*100</f>
        <v>463.21100917431187</v>
      </c>
      <c r="E533" s="871">
        <f>'Peers Stock History'!F536/'Peers Stock History'!F$1833*100</f>
        <v>616.61654135338347</v>
      </c>
      <c r="F533" s="871">
        <f>'Peers Stock History'!G536/'Peers Stock History'!G$1833*100</f>
        <v>237.98346010527109</v>
      </c>
      <c r="G533" s="871">
        <f>'Peers Stock History'!H536/'Peers Stock History'!H$1833*100</f>
        <v>176.19787368318848</v>
      </c>
      <c r="H533" s="871">
        <f>'Peers Stock History'!I536/'Peers Stock History'!I$1833*100</f>
        <v>201.91138140747174</v>
      </c>
      <c r="I533" s="871">
        <f>'Peers Stock History'!J536/'Peers Stock History'!J$1833*100</f>
        <v>145.87464084282217</v>
      </c>
      <c r="J533" s="871">
        <f>'Peers Stock History'!K536/'Peers Stock History'!K$1833*100</f>
        <v>194.40245109495072</v>
      </c>
    </row>
    <row r="534" spans="2:10">
      <c r="B534" s="870">
        <v>44077</v>
      </c>
      <c r="C534" s="871">
        <f>'Peers Stock History'!D537/'Peers Stock History'!D$1833*100</f>
        <v>139.77808599167824</v>
      </c>
      <c r="D534" s="871">
        <f>'Peers Stock History'!E537/'Peers Stock History'!E$1833*100</f>
        <v>477.63302752293583</v>
      </c>
      <c r="E534" s="871">
        <f>'Peers Stock History'!F537/'Peers Stock History'!F$1833*100</f>
        <v>620.60150375939861</v>
      </c>
      <c r="F534" s="871">
        <f>'Peers Stock History'!G537/'Peers Stock History'!G$1833*100</f>
        <v>241.71826577933885</v>
      </c>
      <c r="G534" s="871">
        <f>'Peers Stock History'!H537/'Peers Stock History'!H$1833*100</f>
        <v>170.92577309578132</v>
      </c>
      <c r="H534" s="871">
        <f>'Peers Stock History'!I537/'Peers Stock History'!I$1833*100</f>
        <v>201.25977410947002</v>
      </c>
      <c r="I534" s="871">
        <f>'Peers Stock History'!J537/'Peers Stock History'!J$1833*100</f>
        <v>147.07076726614875</v>
      </c>
      <c r="J534" s="871">
        <f>'Peers Stock History'!K537/'Peers Stock History'!K$1833*100</f>
        <v>196.89353271105125</v>
      </c>
    </row>
    <row r="535" spans="2:10">
      <c r="B535" s="870">
        <v>44076</v>
      </c>
      <c r="C535" s="871">
        <f>'Peers Stock History'!D538/'Peers Stock History'!D$1833*100</f>
        <v>144.93758668515952</v>
      </c>
      <c r="D535" s="871">
        <f>'Peers Stock History'!E538/'Peers Stock History'!E$1833*100</f>
        <v>526.47706422018348</v>
      </c>
      <c r="E535" s="871">
        <f>'Peers Stock History'!F538/'Peers Stock History'!F$1833*100</f>
        <v>678.3458646616541</v>
      </c>
      <c r="F535" s="871">
        <f>'Peers Stock History'!G538/'Peers Stock History'!G$1833*100</f>
        <v>239.93241023250849</v>
      </c>
      <c r="G535" s="871">
        <f>'Peers Stock History'!H538/'Peers Stock History'!H$1833*100</f>
        <v>182.05252682169035</v>
      </c>
      <c r="H535" s="871">
        <f>'Peers Stock History'!I538/'Peers Stock History'!I$1833*100</f>
        <v>207.7758470894874</v>
      </c>
      <c r="I535" s="871">
        <f>'Peers Stock History'!J538/'Peers Stock History'!J$1833*100</f>
        <v>152.42481643077579</v>
      </c>
      <c r="J535" s="871">
        <f>'Peers Stock History'!K538/'Peers Stock History'!K$1833*100</f>
        <v>207.17531240119325</v>
      </c>
    </row>
    <row r="536" spans="2:10">
      <c r="B536" s="870">
        <v>44075</v>
      </c>
      <c r="C536" s="871">
        <f>'Peers Stock History'!D539/'Peers Stock History'!D$1833*100</f>
        <v>140.8876560332871</v>
      </c>
      <c r="D536" s="871">
        <f>'Peers Stock History'!E539/'Peers Stock History'!E$1833*100</f>
        <v>507.19266055045875</v>
      </c>
      <c r="E536" s="871">
        <f>'Peers Stock History'!F539/'Peers Stock History'!F$1833*100</f>
        <v>693.08270676691734</v>
      </c>
      <c r="F536" s="871">
        <f>'Peers Stock History'!G539/'Peers Stock History'!G$1833*100</f>
        <v>241.07349023030525</v>
      </c>
      <c r="G536" s="871">
        <f>'Peers Stock History'!H539/'Peers Stock History'!H$1833*100</f>
        <v>174.54245351716102</v>
      </c>
      <c r="H536" s="871">
        <f>'Peers Stock History'!I539/'Peers Stock History'!I$1833*100</f>
        <v>198.78366637706341</v>
      </c>
      <c r="I536" s="871">
        <f>'Peers Stock History'!J539/'Peers Stock History'!J$1833*100</f>
        <v>150.11812280515059</v>
      </c>
      <c r="J536" s="871">
        <f>'Peers Stock History'!K539/'Peers Stock History'!K$1833*100</f>
        <v>205.16865884002584</v>
      </c>
    </row>
    <row r="537" spans="2:10">
      <c r="B537" s="870">
        <v>44074</v>
      </c>
      <c r="C537" s="871">
        <f>'Peers Stock History'!D540/'Peers Stock History'!D$1833*100</f>
        <v>141.33148404993068</v>
      </c>
      <c r="D537" s="871">
        <f>'Peers Stock History'!E540/'Peers Stock History'!E$1833*100</f>
        <v>490.8073394495413</v>
      </c>
      <c r="E537" s="871">
        <f>'Peers Stock History'!F540/'Peers Stock History'!F$1833*100</f>
        <v>682.85714285714278</v>
      </c>
      <c r="F537" s="871">
        <f>'Peers Stock History'!G540/'Peers Stock History'!G$1833*100</f>
        <v>236.26626918811507</v>
      </c>
      <c r="G537" s="871">
        <f>'Peers Stock History'!H540/'Peers Stock History'!H$1833*100</f>
        <v>168.5275984271081</v>
      </c>
      <c r="H537" s="871">
        <f>'Peers Stock History'!I540/'Peers Stock History'!I$1833*100</f>
        <v>197.69765421372719</v>
      </c>
      <c r="I537" s="871">
        <f>'Peers Stock History'!J540/'Peers Stock History'!J$1833*100</f>
        <v>148.99691390869427</v>
      </c>
      <c r="J537" s="871">
        <f>'Peers Stock History'!K540/'Peers Stock History'!K$1833*100</f>
        <v>202.34689248450027</v>
      </c>
    </row>
    <row r="538" spans="2:10">
      <c r="B538" s="870">
        <v>44073</v>
      </c>
      <c r="C538" s="871">
        <f>'Peers Stock History'!D541/'Peers Stock History'!D$1833*100</f>
        <v>139.88904299583913</v>
      </c>
      <c r="D538" s="871">
        <f>'Peers Stock History'!E541/'Peers Stock History'!E$1833*100</f>
        <v>482.48623853211006</v>
      </c>
      <c r="E538" s="871">
        <f>'Peers Stock History'!F541/'Peers Stock History'!F$1833*100</f>
        <v>643.23308270676694</v>
      </c>
      <c r="F538" s="871">
        <f>'Peers Stock History'!G541/'Peers Stock History'!G$1833*100</f>
        <v>241.19674683789563</v>
      </c>
      <c r="G538" s="871">
        <f>'Peers Stock History'!H541/'Peers Stock History'!H$1833*100</f>
        <v>167.39647555706588</v>
      </c>
      <c r="H538" s="871">
        <f>'Peers Stock History'!I541/'Peers Stock History'!I$1833*100</f>
        <v>198.47958297132928</v>
      </c>
      <c r="I538" s="871">
        <f>'Peers Stock History'!J541/'Peers Stock History'!J$1833*100</f>
        <v>149.32467808875174</v>
      </c>
      <c r="J538" s="871">
        <f>'Peers Stock History'!K541/'Peers Stock History'!K$1833*100</f>
        <v>200.97523129373275</v>
      </c>
    </row>
    <row r="539" spans="2:10">
      <c r="B539" s="870">
        <v>44072</v>
      </c>
      <c r="C539" s="871">
        <f>'Peers Stock History'!D542/'Peers Stock History'!D$1833*100</f>
        <v>139.88904299583913</v>
      </c>
      <c r="D539" s="871">
        <f>'Peers Stock History'!E542/'Peers Stock History'!E$1833*100</f>
        <v>482.48623853211006</v>
      </c>
      <c r="E539" s="871">
        <f>'Peers Stock History'!F542/'Peers Stock History'!F$1833*100</f>
        <v>643.23308270676694</v>
      </c>
      <c r="F539" s="871">
        <f>'Peers Stock History'!G542/'Peers Stock History'!G$1833*100</f>
        <v>241.19674683789563</v>
      </c>
      <c r="G539" s="871">
        <f>'Peers Stock History'!H542/'Peers Stock History'!H$1833*100</f>
        <v>167.39647555706588</v>
      </c>
      <c r="H539" s="871">
        <f>'Peers Stock History'!I542/'Peers Stock History'!I$1833*100</f>
        <v>198.47958297132928</v>
      </c>
      <c r="I539" s="871">
        <f>'Peers Stock History'!J542/'Peers Stock History'!J$1833*100</f>
        <v>149.32467808875174</v>
      </c>
      <c r="J539" s="871">
        <f>'Peers Stock History'!K542/'Peers Stock History'!K$1833*100</f>
        <v>200.97523129373275</v>
      </c>
    </row>
    <row r="540" spans="2:10">
      <c r="B540" s="870">
        <v>44071</v>
      </c>
      <c r="C540" s="871">
        <f>'Peers Stock History'!D543/'Peers Stock History'!D$1833*100</f>
        <v>139.88904299583913</v>
      </c>
      <c r="D540" s="871">
        <f>'Peers Stock History'!E543/'Peers Stock History'!E$1833*100</f>
        <v>482.48623853211006</v>
      </c>
      <c r="E540" s="871">
        <f>'Peers Stock History'!F543/'Peers Stock History'!F$1833*100</f>
        <v>643.23308270676694</v>
      </c>
      <c r="F540" s="871">
        <f>'Peers Stock History'!G543/'Peers Stock History'!G$1833*100</f>
        <v>241.19674683789563</v>
      </c>
      <c r="G540" s="871">
        <f>'Peers Stock History'!H543/'Peers Stock History'!H$1833*100</f>
        <v>167.39647555706588</v>
      </c>
      <c r="H540" s="871">
        <f>'Peers Stock History'!I543/'Peers Stock History'!I$1833*100</f>
        <v>198.47958297132928</v>
      </c>
      <c r="I540" s="871">
        <f>'Peers Stock History'!J543/'Peers Stock History'!J$1833*100</f>
        <v>149.32467808875174</v>
      </c>
      <c r="J540" s="871">
        <f>'Peers Stock History'!K543/'Peers Stock History'!K$1833*100</f>
        <v>200.97523129373275</v>
      </c>
    </row>
    <row r="541" spans="2:10">
      <c r="B541" s="870">
        <v>44070</v>
      </c>
      <c r="C541" s="871">
        <f>'Peers Stock History'!D544/'Peers Stock History'!D$1833*100</f>
        <v>137.03190013869627</v>
      </c>
      <c r="D541" s="871">
        <f>'Peers Stock History'!E544/'Peers Stock History'!E$1833*100</f>
        <v>463.42201834862385</v>
      </c>
      <c r="E541" s="871">
        <f>'Peers Stock History'!F544/'Peers Stock History'!F$1833*100</f>
        <v>630.07518796992474</v>
      </c>
      <c r="F541" s="871">
        <f>'Peers Stock History'!G544/'Peers Stock History'!G$1833*100</f>
        <v>245.85182519691364</v>
      </c>
      <c r="G541" s="871">
        <f>'Peers Stock History'!H544/'Peers Stock History'!H$1833*100</f>
        <v>164.6390601485509</v>
      </c>
      <c r="H541" s="871">
        <f>'Peers Stock History'!I544/'Peers Stock History'!I$1833*100</f>
        <v>193.8314509122502</v>
      </c>
      <c r="I541" s="871">
        <f>'Peers Stock History'!J544/'Peers Stock History'!J$1833*100</f>
        <v>148.32606150899224</v>
      </c>
      <c r="J541" s="871">
        <f>'Peers Stock History'!K544/'Peers Stock History'!K$1833*100</f>
        <v>199.76728001319714</v>
      </c>
    </row>
    <row r="542" spans="2:10">
      <c r="B542" s="870">
        <v>44069</v>
      </c>
      <c r="C542" s="871">
        <f>'Peers Stock History'!D545/'Peers Stock History'!D$1833*100</f>
        <v>137.44798890429959</v>
      </c>
      <c r="D542" s="871">
        <f>'Peers Stock History'!E545/'Peers Stock History'!E$1833*100</f>
        <v>468.7339449541285</v>
      </c>
      <c r="E542" s="871">
        <f>'Peers Stock History'!F545/'Peers Stock History'!F$1833*100</f>
        <v>646.76691729323306</v>
      </c>
      <c r="F542" s="871">
        <f>'Peers Stock History'!G545/'Peers Stock History'!G$1833*100</f>
        <v>244.99456620895907</v>
      </c>
      <c r="G542" s="871">
        <f>'Peers Stock History'!H545/'Peers Stock History'!H$1833*100</f>
        <v>164.89635419195105</v>
      </c>
      <c r="H542" s="871">
        <f>'Peers Stock History'!I545/'Peers Stock History'!I$1833*100</f>
        <v>195.3084274543875</v>
      </c>
      <c r="I542" s="871">
        <f>'Peers Stock History'!J545/'Peers Stock History'!J$1833*100</f>
        <v>148.07832286900074</v>
      </c>
      <c r="J542" s="871">
        <f>'Peers Stock History'!K545/'Peers Stock History'!K$1833*100</f>
        <v>200.44987146529562</v>
      </c>
    </row>
    <row r="543" spans="2:10">
      <c r="B543" s="870">
        <v>44068</v>
      </c>
      <c r="C543" s="871">
        <f>'Peers Stock History'!D546/'Peers Stock History'!D$1833*100</f>
        <v>137.11511789181694</v>
      </c>
      <c r="D543" s="871">
        <f>'Peers Stock History'!E546/'Peers Stock History'!E$1833*100</f>
        <v>467.88990825688074</v>
      </c>
      <c r="E543" s="871">
        <f>'Peers Stock History'!F546/'Peers Stock History'!F$1833*100</f>
        <v>649.24812030075179</v>
      </c>
      <c r="F543" s="871">
        <f>'Peers Stock History'!G546/'Peers Stock History'!G$1833*100</f>
        <v>240.7553839105714</v>
      </c>
      <c r="G543" s="871">
        <f>'Peers Stock History'!H546/'Peers Stock History'!H$1833*100</f>
        <v>163.18267877081411</v>
      </c>
      <c r="H543" s="871">
        <f>'Peers Stock History'!I546/'Peers Stock History'!I$1833*100</f>
        <v>195.91659426585579</v>
      </c>
      <c r="I543" s="871">
        <f>'Peers Stock History'!J546/'Peers Stock History'!J$1833*100</f>
        <v>146.58380334149197</v>
      </c>
      <c r="J543" s="871">
        <f>'Peers Stock History'!K546/'Peers Stock History'!K$1833*100</f>
        <v>197.03737816697139</v>
      </c>
    </row>
    <row r="544" spans="2:10">
      <c r="B544" s="870">
        <v>44067</v>
      </c>
      <c r="C544" s="871">
        <f>'Peers Stock History'!D547/'Peers Stock History'!D$1833*100</f>
        <v>136.3106796116505</v>
      </c>
      <c r="D544" s="871">
        <f>'Peers Stock History'!E547/'Peers Stock History'!E$1833*100</f>
        <v>466.79816513761472</v>
      </c>
      <c r="E544" s="871">
        <f>'Peers Stock History'!F547/'Peers Stock History'!F$1833*100</f>
        <v>624.66165413533827</v>
      </c>
      <c r="F544" s="871">
        <f>'Peers Stock History'!G547/'Peers Stock History'!G$1833*100</f>
        <v>237.09721737986644</v>
      </c>
      <c r="G544" s="871">
        <f>'Peers Stock History'!H547/'Peers Stock History'!H$1833*100</f>
        <v>162.14379338802854</v>
      </c>
      <c r="H544" s="871">
        <f>'Peers Stock History'!I547/'Peers Stock History'!I$1833*100</f>
        <v>190.09556907037359</v>
      </c>
      <c r="I544" s="871">
        <f>'Peers Stock History'!J547/'Peers Stock History'!J$1833*100</f>
        <v>146.0585293178674</v>
      </c>
      <c r="J544" s="871">
        <f>'Peers Stock History'!K547/'Peers Stock History'!K$1833*100</f>
        <v>195.54661616925341</v>
      </c>
    </row>
    <row r="545" spans="2:10">
      <c r="B545" s="870">
        <v>44066</v>
      </c>
      <c r="C545" s="871">
        <f>'Peers Stock History'!D548/'Peers Stock History'!D$1833*100</f>
        <v>136.69902912621362</v>
      </c>
      <c r="D545" s="871">
        <f>'Peers Stock History'!E548/'Peers Stock History'!E$1833*100</f>
        <v>465.44954128440361</v>
      </c>
      <c r="E545" s="871">
        <f>'Peers Stock History'!F548/'Peers Stock History'!F$1833*100</f>
        <v>630.1503759398496</v>
      </c>
      <c r="F545" s="871">
        <f>'Peers Stock History'!G548/'Peers Stock History'!G$1833*100</f>
        <v>234.94231774546117</v>
      </c>
      <c r="G545" s="871">
        <f>'Peers Stock History'!H548/'Peers Stock History'!H$1833*100</f>
        <v>160.21166076023107</v>
      </c>
      <c r="H545" s="871">
        <f>'Peers Stock History'!I548/'Peers Stock History'!I$1833*100</f>
        <v>185.31711555169417</v>
      </c>
      <c r="I545" s="871">
        <f>'Peers Stock History'!J548/'Peers Stock History'!J$1833*100</f>
        <v>144.60615089922314</v>
      </c>
      <c r="J545" s="871">
        <f>'Peers Stock History'!K548/'Peers Stock History'!K$1833*100</f>
        <v>194.3795451108698</v>
      </c>
    </row>
    <row r="546" spans="2:10">
      <c r="B546" s="870">
        <v>44065</v>
      </c>
      <c r="C546" s="871">
        <f>'Peers Stock History'!D549/'Peers Stock History'!D$1833*100</f>
        <v>136.69902912621362</v>
      </c>
      <c r="D546" s="871">
        <f>'Peers Stock History'!E549/'Peers Stock History'!E$1833*100</f>
        <v>465.44954128440361</v>
      </c>
      <c r="E546" s="871">
        <f>'Peers Stock History'!F549/'Peers Stock History'!F$1833*100</f>
        <v>630.1503759398496</v>
      </c>
      <c r="F546" s="871">
        <f>'Peers Stock History'!G549/'Peers Stock History'!G$1833*100</f>
        <v>234.94231774546117</v>
      </c>
      <c r="G546" s="871">
        <f>'Peers Stock History'!H549/'Peers Stock History'!H$1833*100</f>
        <v>160.21166076023107</v>
      </c>
      <c r="H546" s="871">
        <f>'Peers Stock History'!I549/'Peers Stock History'!I$1833*100</f>
        <v>185.31711555169417</v>
      </c>
      <c r="I546" s="871">
        <f>'Peers Stock History'!J549/'Peers Stock History'!J$1833*100</f>
        <v>144.60615089922314</v>
      </c>
      <c r="J546" s="871">
        <f>'Peers Stock History'!K549/'Peers Stock History'!K$1833*100</f>
        <v>194.3795451108698</v>
      </c>
    </row>
    <row r="547" spans="2:10">
      <c r="B547" s="870">
        <v>44064</v>
      </c>
      <c r="C547" s="871">
        <f>'Peers Stock History'!D550/'Peers Stock History'!D$1833*100</f>
        <v>136.69902912621362</v>
      </c>
      <c r="D547" s="871">
        <f>'Peers Stock History'!E550/'Peers Stock History'!E$1833*100</f>
        <v>465.44954128440361</v>
      </c>
      <c r="E547" s="871">
        <f>'Peers Stock History'!F550/'Peers Stock History'!F$1833*100</f>
        <v>630.1503759398496</v>
      </c>
      <c r="F547" s="871">
        <f>'Peers Stock History'!G550/'Peers Stock History'!G$1833*100</f>
        <v>234.94231774546117</v>
      </c>
      <c r="G547" s="871">
        <f>'Peers Stock History'!H550/'Peers Stock History'!H$1833*100</f>
        <v>160.21166076023107</v>
      </c>
      <c r="H547" s="871">
        <f>'Peers Stock History'!I550/'Peers Stock History'!I$1833*100</f>
        <v>185.31711555169417</v>
      </c>
      <c r="I547" s="871">
        <f>'Peers Stock History'!J550/'Peers Stock History'!J$1833*100</f>
        <v>144.60615089922314</v>
      </c>
      <c r="J547" s="871">
        <f>'Peers Stock History'!K550/'Peers Stock History'!K$1833*100</f>
        <v>194.3795451108698</v>
      </c>
    </row>
    <row r="548" spans="2:10">
      <c r="B548" s="870">
        <v>44063</v>
      </c>
      <c r="C548" s="871">
        <f>'Peers Stock History'!D551/'Peers Stock History'!D$1833*100</f>
        <v>136.39389736477116</v>
      </c>
      <c r="D548" s="871">
        <f>'Peers Stock History'!E551/'Peers Stock History'!E$1833*100</f>
        <v>445.54128440366975</v>
      </c>
      <c r="E548" s="871">
        <f>'Peers Stock History'!F551/'Peers Stock History'!F$1833*100</f>
        <v>622.33082706766913</v>
      </c>
      <c r="F548" s="871">
        <f>'Peers Stock History'!G551/'Peers Stock History'!G$1833*100</f>
        <v>229.67666598803328</v>
      </c>
      <c r="G548" s="871">
        <f>'Peers Stock History'!H551/'Peers Stock History'!H$1833*100</f>
        <v>159.6339628137288</v>
      </c>
      <c r="H548" s="871">
        <f>'Peers Stock History'!I551/'Peers Stock History'!I$1833*100</f>
        <v>186.72893136403127</v>
      </c>
      <c r="I548" s="871">
        <f>'Peers Stock History'!J551/'Peers Stock History'!J$1833*100</f>
        <v>144.11024795147389</v>
      </c>
      <c r="J548" s="871">
        <f>'Peers Stock History'!K551/'Peers Stock History'!K$1833*100</f>
        <v>193.5745363815075</v>
      </c>
    </row>
    <row r="549" spans="2:10">
      <c r="B549" s="870">
        <v>44062</v>
      </c>
      <c r="C549" s="871">
        <f>'Peers Stock History'!D552/'Peers Stock History'!D$1833*100</f>
        <v>134.06380027739252</v>
      </c>
      <c r="D549" s="871">
        <f>'Peers Stock History'!E552/'Peers Stock History'!E$1833*100</f>
        <v>445.44954128440367</v>
      </c>
      <c r="E549" s="871">
        <f>'Peers Stock History'!F552/'Peers Stock History'!F$1833*100</f>
        <v>609.69924812030069</v>
      </c>
      <c r="F549" s="871">
        <f>'Peers Stock History'!G552/'Peers Stock History'!G$1833*100</f>
        <v>236.69126954413383</v>
      </c>
      <c r="G549" s="871">
        <f>'Peers Stock History'!H552/'Peers Stock History'!H$1833*100</f>
        <v>159.81843778824214</v>
      </c>
      <c r="H549" s="871">
        <f>'Peers Stock History'!I552/'Peers Stock History'!I$1833*100</f>
        <v>191.3553431798436</v>
      </c>
      <c r="I549" s="871">
        <f>'Peers Stock History'!J552/'Peers Stock History'!J$1833*100</f>
        <v>143.65648611258911</v>
      </c>
      <c r="J549" s="871">
        <f>'Peers Stock History'!K552/'Peers Stock History'!K$1833*100</f>
        <v>191.5383782632006</v>
      </c>
    </row>
    <row r="550" spans="2:10">
      <c r="B550" s="870">
        <v>44061</v>
      </c>
      <c r="C550" s="871">
        <f>'Peers Stock History'!D553/'Peers Stock History'!D$1833*100</f>
        <v>134.95145631067962</v>
      </c>
      <c r="D550" s="871">
        <f>'Peers Stock History'!E553/'Peers Stock History'!E$1833*100</f>
        <v>449.93577981651373</v>
      </c>
      <c r="E550" s="871">
        <f>'Peers Stock History'!F553/'Peers Stock History'!F$1833*100</f>
        <v>613.98496240601503</v>
      </c>
      <c r="F550" s="871">
        <f>'Peers Stock History'!G553/'Peers Stock History'!G$1833*100</f>
        <v>239.73642038037372</v>
      </c>
      <c r="G550" s="871">
        <f>'Peers Stock History'!H553/'Peers Stock History'!H$1833*100</f>
        <v>159.54172532647215</v>
      </c>
      <c r="H550" s="871">
        <f>'Peers Stock History'!I553/'Peers Stock History'!I$1833*100</f>
        <v>192.87576020851432</v>
      </c>
      <c r="I550" s="871">
        <f>'Peers Stock History'!J553/'Peers Stock History'!J$1833*100</f>
        <v>144.29200808768755</v>
      </c>
      <c r="J550" s="871">
        <f>'Peers Stock History'!K553/'Peers Stock History'!K$1833*100</f>
        <v>192.6447046451205</v>
      </c>
    </row>
    <row r="551" spans="2:10">
      <c r="B551" s="870">
        <v>44060</v>
      </c>
      <c r="C551" s="871">
        <f>'Peers Stock History'!D554/'Peers Stock History'!D$1833*100</f>
        <v>135.72815533980585</v>
      </c>
      <c r="D551" s="871">
        <f>'Peers Stock History'!E554/'Peers Stock History'!E$1833*100</f>
        <v>452.73394495412845</v>
      </c>
      <c r="E551" s="871">
        <f>'Peers Stock History'!F554/'Peers Stock History'!F$1833*100</f>
        <v>619.69924812030069</v>
      </c>
      <c r="F551" s="871">
        <f>'Peers Stock History'!G554/'Peers Stock History'!G$1833*100</f>
        <v>240.80276862213825</v>
      </c>
      <c r="G551" s="871">
        <f>'Peers Stock History'!H554/'Peers Stock History'!H$1833*100</f>
        <v>160.35729889800473</v>
      </c>
      <c r="H551" s="871">
        <f>'Peers Stock History'!I554/'Peers Stock History'!I$1833*100</f>
        <v>196.43788010425715</v>
      </c>
      <c r="I551" s="871">
        <f>'Peers Stock History'!J554/'Peers Stock History'!J$1833*100</f>
        <v>143.96041289773331</v>
      </c>
      <c r="J551" s="871">
        <f>'Peers Stock History'!K554/'Peers Stock History'!K$1833*100</f>
        <v>191.25079045406432</v>
      </c>
    </row>
    <row r="552" spans="2:10">
      <c r="B552" s="870">
        <v>44059</v>
      </c>
      <c r="C552" s="871">
        <f>'Peers Stock History'!D555/'Peers Stock History'!D$1833*100</f>
        <v>135.61719833564493</v>
      </c>
      <c r="D552" s="871">
        <f>'Peers Stock History'!E555/'Peers Stock History'!E$1833*100</f>
        <v>424.36697247706422</v>
      </c>
      <c r="E552" s="871">
        <f>'Peers Stock History'!F555/'Peers Stock History'!F$1833*100</f>
        <v>611.27819548872174</v>
      </c>
      <c r="F552" s="871">
        <f>'Peers Stock History'!G555/'Peers Stock History'!G$1833*100</f>
        <v>236.32595919272617</v>
      </c>
      <c r="G552" s="871">
        <f>'Peers Stock History'!H555/'Peers Stock History'!H$1833*100</f>
        <v>159.14364774989076</v>
      </c>
      <c r="H552" s="871">
        <f>'Peers Stock History'!I555/'Peers Stock History'!I$1833*100</f>
        <v>198.08861859252823</v>
      </c>
      <c r="I552" s="871">
        <f>'Peers Stock History'!J555/'Peers Stock History'!J$1833*100</f>
        <v>143.57135255932744</v>
      </c>
      <c r="J552" s="871">
        <f>'Peers Stock History'!K555/'Peers Stock History'!K$1833*100</f>
        <v>189.35328828890752</v>
      </c>
    </row>
    <row r="553" spans="2:10">
      <c r="B553" s="870">
        <v>44058</v>
      </c>
      <c r="C553" s="871">
        <f>'Peers Stock History'!D556/'Peers Stock History'!D$1833*100</f>
        <v>135.61719833564493</v>
      </c>
      <c r="D553" s="871">
        <f>'Peers Stock History'!E556/'Peers Stock History'!E$1833*100</f>
        <v>424.36697247706422</v>
      </c>
      <c r="E553" s="871">
        <f>'Peers Stock History'!F556/'Peers Stock History'!F$1833*100</f>
        <v>611.27819548872174</v>
      </c>
      <c r="F553" s="871">
        <f>'Peers Stock History'!G556/'Peers Stock History'!G$1833*100</f>
        <v>236.32595919272617</v>
      </c>
      <c r="G553" s="871">
        <f>'Peers Stock History'!H556/'Peers Stock History'!H$1833*100</f>
        <v>159.14364774989076</v>
      </c>
      <c r="H553" s="871">
        <f>'Peers Stock History'!I556/'Peers Stock History'!I$1833*100</f>
        <v>198.08861859252823</v>
      </c>
      <c r="I553" s="871">
        <f>'Peers Stock History'!J556/'Peers Stock History'!J$1833*100</f>
        <v>143.57135255932744</v>
      </c>
      <c r="J553" s="871">
        <f>'Peers Stock History'!K556/'Peers Stock History'!K$1833*100</f>
        <v>189.35328828890752</v>
      </c>
    </row>
    <row r="554" spans="2:10">
      <c r="B554" s="870">
        <v>44057</v>
      </c>
      <c r="C554" s="871">
        <f>'Peers Stock History'!D557/'Peers Stock History'!D$1833*100</f>
        <v>135.61719833564493</v>
      </c>
      <c r="D554" s="871">
        <f>'Peers Stock History'!E557/'Peers Stock History'!E$1833*100</f>
        <v>424.36697247706422</v>
      </c>
      <c r="E554" s="871">
        <f>'Peers Stock History'!F557/'Peers Stock History'!F$1833*100</f>
        <v>611.27819548872174</v>
      </c>
      <c r="F554" s="871">
        <f>'Peers Stock History'!G557/'Peers Stock History'!G$1833*100</f>
        <v>236.32595919272617</v>
      </c>
      <c r="G554" s="871">
        <f>'Peers Stock History'!H557/'Peers Stock History'!H$1833*100</f>
        <v>159.14364774989076</v>
      </c>
      <c r="H554" s="871">
        <f>'Peers Stock History'!I557/'Peers Stock History'!I$1833*100</f>
        <v>198.08861859252823</v>
      </c>
      <c r="I554" s="871">
        <f>'Peers Stock History'!J557/'Peers Stock History'!J$1833*100</f>
        <v>143.57135255932744</v>
      </c>
      <c r="J554" s="871">
        <f>'Peers Stock History'!K557/'Peers Stock History'!K$1833*100</f>
        <v>189.35328828890752</v>
      </c>
    </row>
    <row r="555" spans="2:10">
      <c r="B555" s="870">
        <v>44056</v>
      </c>
      <c r="C555" s="871">
        <f>'Peers Stock History'!D558/'Peers Stock History'!D$1833*100</f>
        <v>134.70180305131763</v>
      </c>
      <c r="D555" s="871">
        <f>'Peers Stock History'!E558/'Peers Stock History'!E$1833*100</f>
        <v>419.92660550458714</v>
      </c>
      <c r="E555" s="871">
        <f>'Peers Stock History'!F558/'Peers Stock History'!F$1833*100</f>
        <v>615.33834586466162</v>
      </c>
      <c r="F555" s="871">
        <f>'Peers Stock History'!G558/'Peers Stock History'!G$1833*100</f>
        <v>237.12629915484146</v>
      </c>
      <c r="G555" s="871">
        <f>'Peers Stock History'!H558/'Peers Stock History'!H$1833*100</f>
        <v>159.92038448468372</v>
      </c>
      <c r="H555" s="871">
        <f>'Peers Stock History'!I558/'Peers Stock History'!I$1833*100</f>
        <v>200.4344048653345</v>
      </c>
      <c r="I555" s="871">
        <f>'Peers Stock History'!J558/'Peers Stock History'!J$1833*100</f>
        <v>143.59604128977332</v>
      </c>
      <c r="J555" s="871">
        <f>'Peers Stock History'!K558/'Peers Stock History'!K$1833*100</f>
        <v>189.75200362921521</v>
      </c>
    </row>
    <row r="556" spans="2:10">
      <c r="B556" s="870">
        <v>44055</v>
      </c>
      <c r="C556" s="871">
        <f>'Peers Stock History'!D559/'Peers Stock History'!D$1833*100</f>
        <v>136.4493758668516</v>
      </c>
      <c r="D556" s="871">
        <f>'Peers Stock History'!E559/'Peers Stock History'!E$1833*100</f>
        <v>419.82568807339453</v>
      </c>
      <c r="E556" s="871">
        <f>'Peers Stock History'!F559/'Peers Stock History'!F$1833*100</f>
        <v>621.12781954887214</v>
      </c>
      <c r="F556" s="871">
        <f>'Peers Stock History'!G559/'Peers Stock History'!G$1833*100</f>
        <v>232.19850877069601</v>
      </c>
      <c r="G556" s="871">
        <f>'Peers Stock History'!H559/'Peers Stock History'!H$1833*100</f>
        <v>161.96902762270011</v>
      </c>
      <c r="H556" s="871">
        <f>'Peers Stock History'!I559/'Peers Stock History'!I$1833*100</f>
        <v>210.59947871416159</v>
      </c>
      <c r="I556" s="871">
        <f>'Peers Stock History'!J559/'Peers Stock History'!J$1833*100</f>
        <v>143.89060338405875</v>
      </c>
      <c r="J556" s="871">
        <f>'Peers Stock History'!K559/'Peers Stock History'!K$1833*100</f>
        <v>189.23193640625215</v>
      </c>
    </row>
    <row r="557" spans="2:10">
      <c r="B557" s="870">
        <v>44054</v>
      </c>
      <c r="C557" s="871">
        <f>'Peers Stock History'!D560/'Peers Stock History'!D$1833*100</f>
        <v>133.6754507628294</v>
      </c>
      <c r="D557" s="871">
        <f>'Peers Stock History'!E560/'Peers Stock History'!E$1833*100</f>
        <v>398.16513761467888</v>
      </c>
      <c r="E557" s="871">
        <f>'Peers Stock History'!F560/'Peers Stock History'!F$1833*100</f>
        <v>578.0451127819548</v>
      </c>
      <c r="F557" s="871">
        <f>'Peers Stock History'!G560/'Peers Stock History'!G$1833*100</f>
        <v>237.43287235053651</v>
      </c>
      <c r="G557" s="871">
        <f>'Peers Stock History'!H560/'Peers Stock History'!H$1833*100</f>
        <v>157.30375260934994</v>
      </c>
      <c r="H557" s="871">
        <f>'Peers Stock History'!I560/'Peers Stock History'!I$1833*100</f>
        <v>207.47176368375327</v>
      </c>
      <c r="I557" s="871">
        <f>'Peers Stock History'!J560/'Peers Stock History'!J$1833*100</f>
        <v>141.90443758646376</v>
      </c>
      <c r="J557" s="871">
        <f>'Peers Stock History'!K560/'Peers Stock History'!K$1833*100</f>
        <v>185.28970141456909</v>
      </c>
    </row>
    <row r="558" spans="2:10">
      <c r="B558" s="870">
        <v>44053</v>
      </c>
      <c r="C558" s="871">
        <f>'Peers Stock History'!D561/'Peers Stock History'!D$1833*100</f>
        <v>136.53259361997229</v>
      </c>
      <c r="D558" s="871">
        <f>'Peers Stock History'!E561/'Peers Stock History'!E$1833*100</f>
        <v>409.72477064220192</v>
      </c>
      <c r="E558" s="871">
        <f>'Peers Stock History'!F561/'Peers Stock History'!F$1833*100</f>
        <v>618.3458646616541</v>
      </c>
      <c r="F558" s="871">
        <f>'Peers Stock History'!G561/'Peers Stock History'!G$1833*100</f>
        <v>241.07955341365746</v>
      </c>
      <c r="G558" s="871">
        <f>'Peers Stock History'!H561/'Peers Stock History'!H$1833*100</f>
        <v>158.92033593863778</v>
      </c>
      <c r="H558" s="871">
        <f>'Peers Stock History'!I561/'Peers Stock History'!I$1833*100</f>
        <v>213.5099913119027</v>
      </c>
      <c r="I558" s="871">
        <f>'Peers Stock History'!J561/'Peers Stock History'!J$1833*100</f>
        <v>143.04437586463766</v>
      </c>
      <c r="J558" s="871">
        <f>'Peers Stock History'!K561/'Peers Stock History'!K$1833*100</f>
        <v>188.47787759646977</v>
      </c>
    </row>
    <row r="559" spans="2:10">
      <c r="B559" s="870">
        <v>44052</v>
      </c>
      <c r="C559" s="871">
        <f>'Peers Stock History'!D562/'Peers Stock History'!D$1833*100</f>
        <v>133.23162274618588</v>
      </c>
      <c r="D559" s="871">
        <f>'Peers Stock History'!E562/'Peers Stock History'!E$1833*100</f>
        <v>410.99082568807341</v>
      </c>
      <c r="E559" s="871">
        <f>'Peers Stock History'!F562/'Peers Stock History'!F$1833*100</f>
        <v>637.96992481202994</v>
      </c>
      <c r="F559" s="871">
        <f>'Peers Stock History'!G562/'Peers Stock History'!G$1833*100</f>
        <v>239.41048119356179</v>
      </c>
      <c r="G559" s="871">
        <f>'Peers Stock History'!H562/'Peers Stock History'!H$1833*100</f>
        <v>158.22612748191659</v>
      </c>
      <c r="H559" s="871">
        <f>'Peers Stock History'!I562/'Peers Stock History'!I$1833*100</f>
        <v>211.77237185056472</v>
      </c>
      <c r="I559" s="871">
        <f>'Peers Stock History'!J562/'Peers Stock History'!J$1833*100</f>
        <v>142.65318718740022</v>
      </c>
      <c r="J559" s="871">
        <f>'Peers Stock History'!K562/'Peers Stock History'!K$1833*100</f>
        <v>189.21035357353975</v>
      </c>
    </row>
    <row r="560" spans="2:10">
      <c r="B560" s="870">
        <v>44051</v>
      </c>
      <c r="C560" s="871">
        <f>'Peers Stock History'!D563/'Peers Stock History'!D$1833*100</f>
        <v>133.23162274618588</v>
      </c>
      <c r="D560" s="871">
        <f>'Peers Stock History'!E563/'Peers Stock History'!E$1833*100</f>
        <v>410.99082568807341</v>
      </c>
      <c r="E560" s="871">
        <f>'Peers Stock History'!F563/'Peers Stock History'!F$1833*100</f>
        <v>637.96992481202994</v>
      </c>
      <c r="F560" s="871">
        <f>'Peers Stock History'!G563/'Peers Stock History'!G$1833*100</f>
        <v>239.41048119356179</v>
      </c>
      <c r="G560" s="871">
        <f>'Peers Stock History'!H563/'Peers Stock History'!H$1833*100</f>
        <v>158.22612748191659</v>
      </c>
      <c r="H560" s="871">
        <f>'Peers Stock History'!I563/'Peers Stock History'!I$1833*100</f>
        <v>211.77237185056472</v>
      </c>
      <c r="I560" s="871">
        <f>'Peers Stock History'!J563/'Peers Stock History'!J$1833*100</f>
        <v>142.65318718740022</v>
      </c>
      <c r="J560" s="871">
        <f>'Peers Stock History'!K563/'Peers Stock History'!K$1833*100</f>
        <v>189.21035357353975</v>
      </c>
    </row>
    <row r="561" spans="2:10">
      <c r="B561" s="870">
        <v>44050</v>
      </c>
      <c r="C561" s="871">
        <f>'Peers Stock History'!D564/'Peers Stock History'!D$1833*100</f>
        <v>133.23162274618588</v>
      </c>
      <c r="D561" s="871">
        <f>'Peers Stock History'!E564/'Peers Stock History'!E$1833*100</f>
        <v>410.99082568807341</v>
      </c>
      <c r="E561" s="871">
        <f>'Peers Stock History'!F564/'Peers Stock History'!F$1833*100</f>
        <v>637.96992481202994</v>
      </c>
      <c r="F561" s="871">
        <f>'Peers Stock History'!G564/'Peers Stock History'!G$1833*100</f>
        <v>239.41048119356179</v>
      </c>
      <c r="G561" s="871">
        <f>'Peers Stock History'!H564/'Peers Stock History'!H$1833*100</f>
        <v>158.22612748191659</v>
      </c>
      <c r="H561" s="871">
        <f>'Peers Stock History'!I564/'Peers Stock History'!I$1833*100</f>
        <v>211.77237185056472</v>
      </c>
      <c r="I561" s="871">
        <f>'Peers Stock History'!J564/'Peers Stock History'!J$1833*100</f>
        <v>142.65318718740022</v>
      </c>
      <c r="J561" s="871">
        <f>'Peers Stock History'!K564/'Peers Stock History'!K$1833*100</f>
        <v>189.21035357353975</v>
      </c>
    </row>
    <row r="562" spans="2:10">
      <c r="B562" s="870">
        <v>44049</v>
      </c>
      <c r="C562" s="871">
        <f>'Peers Stock History'!D565/'Peers Stock History'!D$1833*100</f>
        <v>134.72954230235786</v>
      </c>
      <c r="D562" s="871">
        <f>'Peers Stock History'!E565/'Peers Stock History'!E$1833*100</f>
        <v>415.98165137614683</v>
      </c>
      <c r="E562" s="871">
        <f>'Peers Stock History'!F565/'Peers Stock History'!F$1833*100</f>
        <v>651.95488721804497</v>
      </c>
      <c r="F562" s="871">
        <f>'Peers Stock History'!G565/'Peers Stock History'!G$1833*100</f>
        <v>240.8601435967928</v>
      </c>
      <c r="G562" s="871">
        <f>'Peers Stock History'!H565/'Peers Stock History'!H$1833*100</f>
        <v>159.79416476527987</v>
      </c>
      <c r="H562" s="871">
        <f>'Peers Stock History'!I565/'Peers Stock History'!I$1833*100</f>
        <v>211.5551694178975</v>
      </c>
      <c r="I562" s="871">
        <f>'Peers Stock History'!J565/'Peers Stock History'!J$1833*100</f>
        <v>142.56294562094286</v>
      </c>
      <c r="J562" s="871">
        <f>'Peers Stock History'!K565/'Peers Stock History'!K$1833*100</f>
        <v>190.87869279518307</v>
      </c>
    </row>
    <row r="563" spans="2:10">
      <c r="B563" s="870">
        <v>44048</v>
      </c>
      <c r="C563" s="871">
        <f>'Peers Stock History'!D566/'Peers Stock History'!D$1833*100</f>
        <v>135.70041608876562</v>
      </c>
      <c r="D563" s="871">
        <f>'Peers Stock History'!E566/'Peers Stock History'!E$1833*100</f>
        <v>414.19266055045875</v>
      </c>
      <c r="E563" s="871">
        <f>'Peers Stock History'!F566/'Peers Stock History'!F$1833*100</f>
        <v>641.42857142857133</v>
      </c>
      <c r="F563" s="871">
        <f>'Peers Stock History'!G566/'Peers Stock History'!G$1833*100</f>
        <v>237.71594454906713</v>
      </c>
      <c r="G563" s="871">
        <f>'Peers Stock History'!H566/'Peers Stock History'!H$1833*100</f>
        <v>159.97863973979321</v>
      </c>
      <c r="H563" s="871">
        <f>'Peers Stock History'!I566/'Peers Stock History'!I$1833*100</f>
        <v>221.76368375325802</v>
      </c>
      <c r="I563" s="871">
        <f>'Peers Stock History'!J566/'Peers Stock History'!J$1833*100</f>
        <v>141.65244226880921</v>
      </c>
      <c r="J563" s="871">
        <f>'Peers Stock History'!K566/'Peers Stock History'!K$1833*100</f>
        <v>188.99409565181529</v>
      </c>
    </row>
    <row r="564" spans="2:10">
      <c r="B564" s="870">
        <v>44047</v>
      </c>
      <c r="C564" s="871">
        <f>'Peers Stock History'!D567/'Peers Stock History'!D$1833*100</f>
        <v>136.28294036061027</v>
      </c>
      <c r="D564" s="871">
        <f>'Peers Stock History'!E567/'Peers Stock History'!E$1833*100</f>
        <v>412.02752293577981</v>
      </c>
      <c r="E564" s="871">
        <f>'Peers Stock History'!F567/'Peers Stock History'!F$1833*100</f>
        <v>639.3984962406015</v>
      </c>
      <c r="F564" s="871">
        <f>'Peers Stock History'!G567/'Peers Stock History'!G$1833*100</f>
        <v>235.63206124057152</v>
      </c>
      <c r="G564" s="871">
        <f>'Peers Stock History'!H567/'Peers Stock History'!H$1833*100</f>
        <v>159.42036021166075</v>
      </c>
      <c r="H564" s="871">
        <f>'Peers Stock History'!I567/'Peers Stock History'!I$1833*100</f>
        <v>222.84969591659424</v>
      </c>
      <c r="I564" s="871">
        <f>'Peers Stock History'!J567/'Peers Stock History'!J$1833*100</f>
        <v>140.74747259763757</v>
      </c>
      <c r="J564" s="871">
        <f>'Peers Stock History'!K567/'Peers Stock History'!K$1833*100</f>
        <v>188.01063332554335</v>
      </c>
    </row>
    <row r="565" spans="2:10">
      <c r="B565" s="870">
        <v>44046</v>
      </c>
      <c r="C565" s="871">
        <f>'Peers Stock History'!D568/'Peers Stock History'!D$1833*100</f>
        <v>133.98058252427185</v>
      </c>
      <c r="D565" s="871">
        <f>'Peers Stock History'!E568/'Peers Stock History'!E$1833*100</f>
        <v>404.0458715596331</v>
      </c>
      <c r="E565" s="871">
        <f>'Peers Stock History'!F568/'Peers Stock History'!F$1833*100</f>
        <v>583.98496240601503</v>
      </c>
      <c r="F565" s="871">
        <f>'Peers Stock History'!G568/'Peers Stock History'!G$1833*100</f>
        <v>230.63813227747696</v>
      </c>
      <c r="G565" s="871">
        <f>'Peers Stock History'!H568/'Peers Stock History'!H$1833*100</f>
        <v>155.94446332346229</v>
      </c>
      <c r="H565" s="871">
        <f>'Peers Stock History'!I568/'Peers Stock History'!I$1833*100</f>
        <v>218.8966116420504</v>
      </c>
      <c r="I565" s="871">
        <f>'Peers Stock History'!J568/'Peers Stock History'!J$1833*100</f>
        <v>140.24092795573054</v>
      </c>
      <c r="J565" s="871">
        <f>'Peers Stock History'!K568/'Peers Stock History'!K$1833*100</f>
        <v>187.35130871698996</v>
      </c>
    </row>
    <row r="566" spans="2:10">
      <c r="B566" s="870">
        <v>44045</v>
      </c>
      <c r="C566" s="871">
        <f>'Peers Stock History'!D569/'Peers Stock History'!D$1833*100</f>
        <v>132.39944521497918</v>
      </c>
      <c r="D566" s="871">
        <f>'Peers Stock History'!E569/'Peers Stock History'!E$1833*100</f>
        <v>389.53211009174311</v>
      </c>
      <c r="E566" s="871">
        <f>'Peers Stock History'!F569/'Peers Stock History'!F$1833*100</f>
        <v>582.18045112781965</v>
      </c>
      <c r="F566" s="871">
        <f>'Peers Stock History'!G569/'Peers Stock History'!G$1833*100</f>
        <v>235.93727371380174</v>
      </c>
      <c r="G566" s="871">
        <f>'Peers Stock History'!H569/'Peers Stock History'!H$1833*100</f>
        <v>153.76960046604205</v>
      </c>
      <c r="H566" s="871">
        <f>'Peers Stock History'!I569/'Peers Stock History'!I$1833*100</f>
        <v>217.44135534317985</v>
      </c>
      <c r="I566" s="871">
        <f>'Peers Stock History'!J569/'Peers Stock History'!J$1833*100</f>
        <v>139.24103437267212</v>
      </c>
      <c r="J566" s="871">
        <f>'Peers Stock History'!K569/'Peers Stock History'!K$1833*100</f>
        <v>184.64448469268521</v>
      </c>
    </row>
    <row r="567" spans="2:10">
      <c r="B567" s="870">
        <v>44044</v>
      </c>
      <c r="C567" s="871">
        <f>'Peers Stock History'!D570/'Peers Stock History'!D$1833*100</f>
        <v>132.39944521497918</v>
      </c>
      <c r="D567" s="871">
        <f>'Peers Stock History'!E570/'Peers Stock History'!E$1833*100</f>
        <v>389.53211009174311</v>
      </c>
      <c r="E567" s="871">
        <f>'Peers Stock History'!F570/'Peers Stock History'!F$1833*100</f>
        <v>582.18045112781965</v>
      </c>
      <c r="F567" s="871">
        <f>'Peers Stock History'!G570/'Peers Stock History'!G$1833*100</f>
        <v>235.93727371380174</v>
      </c>
      <c r="G567" s="871">
        <f>'Peers Stock History'!H570/'Peers Stock History'!H$1833*100</f>
        <v>153.76960046604205</v>
      </c>
      <c r="H567" s="871">
        <f>'Peers Stock History'!I570/'Peers Stock History'!I$1833*100</f>
        <v>217.44135534317985</v>
      </c>
      <c r="I567" s="871">
        <f>'Peers Stock History'!J570/'Peers Stock History'!J$1833*100</f>
        <v>139.24103437267212</v>
      </c>
      <c r="J567" s="871">
        <f>'Peers Stock History'!K570/'Peers Stock History'!K$1833*100</f>
        <v>184.64448469268521</v>
      </c>
    </row>
    <row r="568" spans="2:10">
      <c r="B568" s="870">
        <v>44043</v>
      </c>
      <c r="C568" s="871">
        <f>'Peers Stock History'!D571/'Peers Stock History'!D$1833*100</f>
        <v>132.39944521497918</v>
      </c>
      <c r="D568" s="871">
        <f>'Peers Stock History'!E571/'Peers Stock History'!E$1833*100</f>
        <v>389.53211009174311</v>
      </c>
      <c r="E568" s="871">
        <f>'Peers Stock History'!F571/'Peers Stock History'!F$1833*100</f>
        <v>582.18045112781965</v>
      </c>
      <c r="F568" s="871">
        <f>'Peers Stock History'!G571/'Peers Stock History'!G$1833*100</f>
        <v>235.93727371380174</v>
      </c>
      <c r="G568" s="871">
        <f>'Peers Stock History'!H571/'Peers Stock History'!H$1833*100</f>
        <v>153.76960046604205</v>
      </c>
      <c r="H568" s="871">
        <f>'Peers Stock History'!I571/'Peers Stock History'!I$1833*100</f>
        <v>217.44135534317985</v>
      </c>
      <c r="I568" s="871">
        <f>'Peers Stock History'!J571/'Peers Stock History'!J$1833*100</f>
        <v>139.24103437267212</v>
      </c>
      <c r="J568" s="871">
        <f>'Peers Stock History'!K571/'Peers Stock History'!K$1833*100</f>
        <v>184.64448469268521</v>
      </c>
    </row>
    <row r="569" spans="2:10">
      <c r="B569" s="870">
        <v>44042</v>
      </c>
      <c r="C569" s="871">
        <f>'Peers Stock History'!D572/'Peers Stock History'!D$1833*100</f>
        <v>133.12066574202498</v>
      </c>
      <c r="D569" s="871">
        <f>'Peers Stock History'!E572/'Peers Stock History'!E$1833*100</f>
        <v>389.50458715596329</v>
      </c>
      <c r="E569" s="871">
        <f>'Peers Stock History'!F572/'Peers Stock History'!F$1833*100</f>
        <v>587.96992481203006</v>
      </c>
      <c r="F569" s="871">
        <f>'Peers Stock History'!G572/'Peers Stock History'!G$1833*100</f>
        <v>241.06132287236593</v>
      </c>
      <c r="G569" s="871">
        <f>'Peers Stock History'!H572/'Peers Stock History'!H$1833*100</f>
        <v>151.51220933055004</v>
      </c>
      <c r="H569" s="871">
        <f>'Peers Stock History'!I572/'Peers Stock History'!I$1833*100</f>
        <v>220.41702867072112</v>
      </c>
      <c r="I569" s="871">
        <f>'Peers Stock History'!J572/'Peers Stock History'!J$1833*100</f>
        <v>138.18112163456422</v>
      </c>
      <c r="J569" s="871">
        <f>'Peers Stock History'!K572/'Peers Stock History'!K$1833*100</f>
        <v>181.93869169542089</v>
      </c>
    </row>
    <row r="570" spans="2:10">
      <c r="B570" s="870">
        <v>44041</v>
      </c>
      <c r="C570" s="871">
        <f>'Peers Stock History'!D573/'Peers Stock History'!D$1833*100</f>
        <v>133.34257975034674</v>
      </c>
      <c r="D570" s="871">
        <f>'Peers Stock History'!E573/'Peers Stock History'!E$1833*100</f>
        <v>384.05504587155963</v>
      </c>
      <c r="E570" s="871">
        <f>'Peers Stock History'!F573/'Peers Stock History'!F$1833*100</f>
        <v>572.1052631578948</v>
      </c>
      <c r="F570" s="871">
        <f>'Peers Stock History'!G573/'Peers Stock History'!G$1833*100</f>
        <v>234.6444016186974</v>
      </c>
      <c r="G570" s="871">
        <f>'Peers Stock History'!H573/'Peers Stock History'!H$1833*100</f>
        <v>149.93446283800185</v>
      </c>
      <c r="H570" s="871">
        <f>'Peers Stock History'!I573/'Peers Stock History'!I$1833*100</f>
        <v>218.8966116420504</v>
      </c>
      <c r="I570" s="871">
        <f>'Peers Stock History'!J573/'Peers Stock History'!J$1833*100</f>
        <v>138.70128764499307</v>
      </c>
      <c r="J570" s="871">
        <f>'Peers Stock History'!K573/'Peers Stock History'!K$1833*100</f>
        <v>181.16765530703984</v>
      </c>
    </row>
    <row r="571" spans="2:10">
      <c r="B571" s="870">
        <v>44040</v>
      </c>
      <c r="C571" s="871">
        <f>'Peers Stock History'!D574/'Peers Stock History'!D$1833*100</f>
        <v>136.58807212205272</v>
      </c>
      <c r="D571" s="871">
        <f>'Peers Stock History'!E574/'Peers Stock History'!E$1833*100</f>
        <v>374.8807339449541</v>
      </c>
      <c r="E571" s="871">
        <f>'Peers Stock History'!F574/'Peers Stock History'!F$1833*100</f>
        <v>508.3458646616541</v>
      </c>
      <c r="F571" s="871">
        <f>'Peers Stock History'!G574/'Peers Stock History'!G$1833*100</f>
        <v>241.31190010674359</v>
      </c>
      <c r="G571" s="871">
        <f>'Peers Stock History'!H574/'Peers Stock History'!H$1833*100</f>
        <v>149.20627214913347</v>
      </c>
      <c r="H571" s="871">
        <f>'Peers Stock History'!I574/'Peers Stock History'!I$1833*100</f>
        <v>217.59339704604693</v>
      </c>
      <c r="I571" s="871">
        <f>'Peers Stock History'!J574/'Peers Stock History'!J$1833*100</f>
        <v>136.9986165797595</v>
      </c>
      <c r="J571" s="871">
        <f>'Peers Stock History'!K574/'Peers Stock History'!K$1833*100</f>
        <v>178.74730214591096</v>
      </c>
    </row>
    <row r="572" spans="2:10">
      <c r="B572" s="870">
        <v>44039</v>
      </c>
      <c r="C572" s="871">
        <f>'Peers Stock History'!D575/'Peers Stock History'!D$1833*100</f>
        <v>137.50346740638005</v>
      </c>
      <c r="D572" s="871">
        <f>'Peers Stock History'!E575/'Peers Stock History'!E$1833*100</f>
        <v>382.44036697247708</v>
      </c>
      <c r="E572" s="871">
        <f>'Peers Stock History'!F575/'Peers Stock History'!F$1833*100</f>
        <v>518.57142857142856</v>
      </c>
      <c r="F572" s="871">
        <f>'Peers Stock History'!G575/'Peers Stock History'!G$1833*100</f>
        <v>235.67197717397431</v>
      </c>
      <c r="G572" s="871">
        <f>'Peers Stock History'!H575/'Peers Stock History'!H$1833*100</f>
        <v>151.79377639691248</v>
      </c>
      <c r="H572" s="871">
        <f>'Peers Stock History'!I575/'Peers Stock History'!I$1833*100</f>
        <v>224.10947002606432</v>
      </c>
      <c r="I572" s="871">
        <f>'Peers Stock History'!J575/'Peers Stock History'!J$1833*100</f>
        <v>137.89124188570821</v>
      </c>
      <c r="J572" s="871">
        <f>'Peers Stock History'!K575/'Peers Stock History'!K$1833*100</f>
        <v>181.05293636501108</v>
      </c>
    </row>
    <row r="573" spans="2:10">
      <c r="B573" s="870">
        <v>44038</v>
      </c>
      <c r="C573" s="871">
        <f>'Peers Stock History'!D576/'Peers Stock History'!D$1833*100</f>
        <v>140.33287101248268</v>
      </c>
      <c r="D573" s="871">
        <f>'Peers Stock History'!E576/'Peers Stock History'!E$1833*100</f>
        <v>374.1100917431192</v>
      </c>
      <c r="E573" s="871">
        <f>'Peers Stock History'!F576/'Peers Stock History'!F$1833*100</f>
        <v>521.80451127819549</v>
      </c>
      <c r="F573" s="871">
        <f>'Peers Stock History'!G576/'Peers Stock History'!G$1833*100</f>
        <v>213.20626009770658</v>
      </c>
      <c r="G573" s="871">
        <f>'Peers Stock History'!H576/'Peers Stock History'!H$1833*100</f>
        <v>148.44895383271032</v>
      </c>
      <c r="H573" s="871">
        <f>'Peers Stock History'!I576/'Peers Stock History'!I$1833*100</f>
        <v>217.2893136403128</v>
      </c>
      <c r="I573" s="871">
        <f>'Peers Stock History'!J576/'Peers Stock History'!J$1833*100</f>
        <v>136.87900393742686</v>
      </c>
      <c r="J573" s="871">
        <f>'Peers Stock History'!K576/'Peers Stock History'!K$1833*100</f>
        <v>178.07859519128991</v>
      </c>
    </row>
    <row r="574" spans="2:10">
      <c r="B574" s="870">
        <v>44037</v>
      </c>
      <c r="C574" s="871">
        <f>'Peers Stock History'!D577/'Peers Stock History'!D$1833*100</f>
        <v>140.33287101248268</v>
      </c>
      <c r="D574" s="871">
        <f>'Peers Stock History'!E577/'Peers Stock History'!E$1833*100</f>
        <v>374.1100917431192</v>
      </c>
      <c r="E574" s="871">
        <f>'Peers Stock History'!F577/'Peers Stock History'!F$1833*100</f>
        <v>521.80451127819549</v>
      </c>
      <c r="F574" s="871">
        <f>'Peers Stock History'!G577/'Peers Stock History'!G$1833*100</f>
        <v>213.20626009770658</v>
      </c>
      <c r="G574" s="871">
        <f>'Peers Stock History'!H577/'Peers Stock History'!H$1833*100</f>
        <v>148.44895383271032</v>
      </c>
      <c r="H574" s="871">
        <f>'Peers Stock History'!I577/'Peers Stock History'!I$1833*100</f>
        <v>217.2893136403128</v>
      </c>
      <c r="I574" s="871">
        <f>'Peers Stock History'!J577/'Peers Stock History'!J$1833*100</f>
        <v>136.87900393742686</v>
      </c>
      <c r="J574" s="871">
        <f>'Peers Stock History'!K577/'Peers Stock History'!K$1833*100</f>
        <v>178.07859519128991</v>
      </c>
    </row>
    <row r="575" spans="2:10">
      <c r="B575" s="870">
        <v>44036</v>
      </c>
      <c r="C575" s="871">
        <f>'Peers Stock History'!D578/'Peers Stock History'!D$1833*100</f>
        <v>140.33287101248268</v>
      </c>
      <c r="D575" s="871">
        <f>'Peers Stock History'!E578/'Peers Stock History'!E$1833*100</f>
        <v>374.1100917431192</v>
      </c>
      <c r="E575" s="871">
        <f>'Peers Stock History'!F578/'Peers Stock History'!F$1833*100</f>
        <v>521.80451127819549</v>
      </c>
      <c r="F575" s="871">
        <f>'Peers Stock History'!G578/'Peers Stock History'!G$1833*100</f>
        <v>213.20626009770658</v>
      </c>
      <c r="G575" s="871">
        <f>'Peers Stock History'!H578/'Peers Stock History'!H$1833*100</f>
        <v>148.44895383271032</v>
      </c>
      <c r="H575" s="871">
        <f>'Peers Stock History'!I578/'Peers Stock History'!I$1833*100</f>
        <v>217.2893136403128</v>
      </c>
      <c r="I575" s="871">
        <f>'Peers Stock History'!J578/'Peers Stock History'!J$1833*100</f>
        <v>136.87900393742686</v>
      </c>
      <c r="J575" s="871">
        <f>'Peers Stock History'!K578/'Peers Stock History'!K$1833*100</f>
        <v>178.07859519128991</v>
      </c>
    </row>
    <row r="576" spans="2:10">
      <c r="B576" s="870">
        <v>44035</v>
      </c>
      <c r="C576" s="871">
        <f>'Peers Stock History'!D579/'Peers Stock History'!D$1833*100</f>
        <v>167.54507628294039</v>
      </c>
      <c r="D576" s="871">
        <f>'Peers Stock History'!E579/'Peers Stock History'!E$1833*100</f>
        <v>371.73394495412845</v>
      </c>
      <c r="E576" s="871">
        <f>'Peers Stock History'!F579/'Peers Stock History'!F$1833*100</f>
        <v>447.89473684210526</v>
      </c>
      <c r="F576" s="871">
        <f>'Peers Stock History'!G579/'Peers Stock History'!G$1833*100</f>
        <v>210.88538756236179</v>
      </c>
      <c r="G576" s="871">
        <f>'Peers Stock History'!H579/'Peers Stock History'!H$1833*100</f>
        <v>150.33254041458324</v>
      </c>
      <c r="H576" s="871">
        <f>'Peers Stock History'!I579/'Peers Stock History'!I$1833*100</f>
        <v>228.67072111207648</v>
      </c>
      <c r="I576" s="871">
        <f>'Peers Stock History'!J579/'Peers Stock History'!J$1833*100</f>
        <v>137.73161647334257</v>
      </c>
      <c r="J576" s="871">
        <f>'Peers Stock History'!K579/'Peers Stock History'!K$1833*100</f>
        <v>179.76673013210893</v>
      </c>
    </row>
    <row r="577" spans="2:10">
      <c r="B577" s="870">
        <v>44034</v>
      </c>
      <c r="C577" s="871">
        <f>'Peers Stock History'!D580/'Peers Stock History'!D$1833*100</f>
        <v>169.34812760055479</v>
      </c>
      <c r="D577" s="871">
        <f>'Peers Stock History'!E580/'Peers Stock History'!E$1833*100</f>
        <v>383.07339449541286</v>
      </c>
      <c r="E577" s="871">
        <f>'Peers Stock History'!F580/'Peers Stock History'!F$1833*100</f>
        <v>464.58646616541347</v>
      </c>
      <c r="F577" s="871">
        <f>'Peers Stock History'!G580/'Peers Stock History'!G$1833*100</f>
        <v>212.23848785686309</v>
      </c>
      <c r="G577" s="871">
        <f>'Peers Stock History'!H580/'Peers Stock History'!H$1833*100</f>
        <v>152.33749211126752</v>
      </c>
      <c r="H577" s="871">
        <f>'Peers Stock History'!I580/'Peers Stock History'!I$1833*100</f>
        <v>224.37011294526496</v>
      </c>
      <c r="I577" s="871">
        <f>'Peers Stock History'!J580/'Peers Stock History'!J$1833*100</f>
        <v>139.44961157816326</v>
      </c>
      <c r="J577" s="871">
        <f>'Peers Stock History'!K580/'Peers Stock History'!K$1833*100</f>
        <v>183.97177391639059</v>
      </c>
    </row>
    <row r="578" spans="2:10">
      <c r="B578" s="870">
        <v>44033</v>
      </c>
      <c r="C578" s="871">
        <f>'Peers Stock History'!D581/'Peers Stock History'!D$1833*100</f>
        <v>168.37725381414702</v>
      </c>
      <c r="D578" s="871">
        <f>'Peers Stock History'!E581/'Peers Stock History'!E$1833*100</f>
        <v>379.02752293577981</v>
      </c>
      <c r="E578" s="871">
        <f>'Peers Stock History'!F581/'Peers Stock History'!F$1833*100</f>
        <v>428.57142857142856</v>
      </c>
      <c r="F578" s="871">
        <f>'Peers Stock History'!G581/'Peers Stock History'!G$1833*100</f>
        <v>211.81532531570008</v>
      </c>
      <c r="G578" s="871">
        <f>'Peers Stock History'!H581/'Peers Stock History'!H$1833*100</f>
        <v>152.59964075926013</v>
      </c>
      <c r="H578" s="871">
        <f>'Peers Stock History'!I581/'Peers Stock History'!I$1833*100</f>
        <v>223.80538662033018</v>
      </c>
      <c r="I578" s="871">
        <f>'Peers Stock History'!J581/'Peers Stock History'!J$1833*100</f>
        <v>138.65276151963394</v>
      </c>
      <c r="J578" s="871">
        <f>'Peers Stock History'!K581/'Peers Stock History'!K$1833*100</f>
        <v>183.52906808902577</v>
      </c>
    </row>
    <row r="579" spans="2:10">
      <c r="B579" s="870">
        <v>44032</v>
      </c>
      <c r="C579" s="871">
        <f>'Peers Stock History'!D582/'Peers Stock History'!D$1833*100</f>
        <v>169.62552011095701</v>
      </c>
      <c r="D579" s="871">
        <f>'Peers Stock History'!E582/'Peers Stock History'!E$1833*100</f>
        <v>385.71559633027522</v>
      </c>
      <c r="E579" s="871">
        <f>'Peers Stock History'!F582/'Peers Stock History'!F$1833*100</f>
        <v>432.03007518796994</v>
      </c>
      <c r="F579" s="871">
        <f>'Peers Stock History'!G582/'Peers Stock History'!G$1833*100</f>
        <v>202.19363074080152</v>
      </c>
      <c r="G579" s="871">
        <f>'Peers Stock History'!H582/'Peers Stock History'!H$1833*100</f>
        <v>153.95407544055536</v>
      </c>
      <c r="H579" s="871">
        <f>'Peers Stock History'!I582/'Peers Stock History'!I$1833*100</f>
        <v>222.45873153779323</v>
      </c>
      <c r="I579" s="871">
        <f>'Peers Stock History'!J582/'Peers Stock History'!J$1833*100</f>
        <v>138.42034691922956</v>
      </c>
      <c r="J579" s="871">
        <f>'Peers Stock History'!K582/'Peers Stock History'!K$1833*100</f>
        <v>185.01938330835958</v>
      </c>
    </row>
    <row r="580" spans="2:10">
      <c r="B580" s="870">
        <v>44031</v>
      </c>
      <c r="C580" s="871">
        <f>'Peers Stock History'!D583/'Peers Stock History'!D$1833*100</f>
        <v>166.4355062413315</v>
      </c>
      <c r="D580" s="871">
        <f>'Peers Stock History'!E583/'Peers Stock History'!E$1833*100</f>
        <v>374.36697247706422</v>
      </c>
      <c r="E580" s="871">
        <f>'Peers Stock History'!F583/'Peers Stock History'!F$1833*100</f>
        <v>413.83458646616538</v>
      </c>
      <c r="F580" s="871">
        <f>'Peers Stock History'!G583/'Peers Stock History'!G$1833*100</f>
        <v>202.69788634641165</v>
      </c>
      <c r="G580" s="871">
        <f>'Peers Stock History'!H583/'Peers Stock History'!H$1833*100</f>
        <v>151.80834021068983</v>
      </c>
      <c r="H580" s="871">
        <f>'Peers Stock History'!I583/'Peers Stock History'!I$1833*100</f>
        <v>214.90008688097308</v>
      </c>
      <c r="I580" s="871">
        <f>'Peers Stock History'!J583/'Peers Stock History'!J$1833*100</f>
        <v>137.2663616047675</v>
      </c>
      <c r="J580" s="871">
        <f>'Peers Stock History'!K583/'Peers Stock History'!K$1833*100</f>
        <v>180.48454834142117</v>
      </c>
    </row>
    <row r="581" spans="2:10">
      <c r="B581" s="870">
        <v>44030</v>
      </c>
      <c r="C581" s="871">
        <f>'Peers Stock History'!D584/'Peers Stock History'!D$1833*100</f>
        <v>166.4355062413315</v>
      </c>
      <c r="D581" s="871">
        <f>'Peers Stock History'!E584/'Peers Stock History'!E$1833*100</f>
        <v>374.36697247706422</v>
      </c>
      <c r="E581" s="871">
        <f>'Peers Stock History'!F584/'Peers Stock History'!F$1833*100</f>
        <v>413.83458646616538</v>
      </c>
      <c r="F581" s="871">
        <f>'Peers Stock History'!G584/'Peers Stock History'!G$1833*100</f>
        <v>202.69788634641165</v>
      </c>
      <c r="G581" s="871">
        <f>'Peers Stock History'!H584/'Peers Stock History'!H$1833*100</f>
        <v>151.80834021068983</v>
      </c>
      <c r="H581" s="871">
        <f>'Peers Stock History'!I584/'Peers Stock History'!I$1833*100</f>
        <v>214.90008688097308</v>
      </c>
      <c r="I581" s="871">
        <f>'Peers Stock History'!J584/'Peers Stock History'!J$1833*100</f>
        <v>137.2663616047675</v>
      </c>
      <c r="J581" s="871">
        <f>'Peers Stock History'!K584/'Peers Stock History'!K$1833*100</f>
        <v>180.48454834142117</v>
      </c>
    </row>
    <row r="582" spans="2:10">
      <c r="B582" s="870">
        <v>44029</v>
      </c>
      <c r="C582" s="871">
        <f>'Peers Stock History'!D585/'Peers Stock History'!D$1833*100</f>
        <v>166.4355062413315</v>
      </c>
      <c r="D582" s="871">
        <f>'Peers Stock History'!E585/'Peers Stock History'!E$1833*100</f>
        <v>374.36697247706422</v>
      </c>
      <c r="E582" s="871">
        <f>'Peers Stock History'!F585/'Peers Stock History'!F$1833*100</f>
        <v>413.83458646616538</v>
      </c>
      <c r="F582" s="871">
        <f>'Peers Stock History'!G585/'Peers Stock History'!G$1833*100</f>
        <v>202.69788634641165</v>
      </c>
      <c r="G582" s="871">
        <f>'Peers Stock History'!H585/'Peers Stock History'!H$1833*100</f>
        <v>151.80834021068983</v>
      </c>
      <c r="H582" s="871">
        <f>'Peers Stock History'!I585/'Peers Stock History'!I$1833*100</f>
        <v>214.90008688097308</v>
      </c>
      <c r="I582" s="871">
        <f>'Peers Stock History'!J585/'Peers Stock History'!J$1833*100</f>
        <v>137.2663616047675</v>
      </c>
      <c r="J582" s="871">
        <f>'Peers Stock History'!K585/'Peers Stock History'!K$1833*100</f>
        <v>180.48454834142117</v>
      </c>
    </row>
    <row r="583" spans="2:10">
      <c r="B583" s="870">
        <v>44028</v>
      </c>
      <c r="C583" s="871">
        <f>'Peers Stock History'!D586/'Peers Stock History'!D$1833*100</f>
        <v>164.04993065187242</v>
      </c>
      <c r="D583" s="871">
        <f>'Peers Stock History'!E586/'Peers Stock History'!E$1833*100</f>
        <v>371.9174311926605</v>
      </c>
      <c r="E583" s="871">
        <f>'Peers Stock History'!F586/'Peers Stock History'!F$1833*100</f>
        <v>412.93233082706769</v>
      </c>
      <c r="F583" s="871">
        <f>'Peers Stock History'!G586/'Peers Stock History'!G$1833*100</f>
        <v>197.45764249533067</v>
      </c>
      <c r="G583" s="871">
        <f>'Peers Stock History'!H586/'Peers Stock History'!H$1833*100</f>
        <v>151.14325938152336</v>
      </c>
      <c r="H583" s="871">
        <f>'Peers Stock History'!I586/'Peers Stock History'!I$1833*100</f>
        <v>217.63683753258039</v>
      </c>
      <c r="I583" s="871">
        <f>'Peers Stock History'!J586/'Peers Stock History'!J$1833*100</f>
        <v>136.87644993082898</v>
      </c>
      <c r="J583" s="871">
        <f>'Peers Stock History'!K586/'Peers Stock History'!K$1833*100</f>
        <v>179.9800152592002</v>
      </c>
    </row>
    <row r="584" spans="2:10">
      <c r="B584" s="870">
        <v>44027</v>
      </c>
      <c r="C584" s="871">
        <f>'Peers Stock History'!D587/'Peers Stock History'!D$1833*100</f>
        <v>163.74479889042996</v>
      </c>
      <c r="D584" s="871">
        <f>'Peers Stock History'!E587/'Peers Stock History'!E$1833*100</f>
        <v>375.31192660550454</v>
      </c>
      <c r="E584" s="871">
        <f>'Peers Stock History'!F587/'Peers Stock History'!F$1833*100</f>
        <v>416.09022556390977</v>
      </c>
      <c r="F584" s="871">
        <f>'Peers Stock History'!G587/'Peers Stock History'!G$1833*100</f>
        <v>200.17600811865012</v>
      </c>
      <c r="G584" s="871">
        <f>'Peers Stock History'!H587/'Peers Stock History'!H$1833*100</f>
        <v>152.32778290208259</v>
      </c>
      <c r="H584" s="871">
        <f>'Peers Stock History'!I587/'Peers Stock History'!I$1833*100</f>
        <v>219.41789748045178</v>
      </c>
      <c r="I584" s="871">
        <f>'Peers Stock History'!J587/'Peers Stock History'!J$1833*100</f>
        <v>137.3442588060019</v>
      </c>
      <c r="J584" s="871">
        <f>'Peers Stock History'!K587/'Peers Stock History'!K$1833*100</f>
        <v>181.29737569250651</v>
      </c>
    </row>
    <row r="585" spans="2:10">
      <c r="B585" s="870">
        <v>44026</v>
      </c>
      <c r="C585" s="871">
        <f>'Peers Stock History'!D588/'Peers Stock History'!D$1833*100</f>
        <v>163.60610263522886</v>
      </c>
      <c r="D585" s="871">
        <f>'Peers Stock History'!E588/'Peers Stock History'!E$1833*100</f>
        <v>380.80733944954125</v>
      </c>
      <c r="E585" s="871">
        <f>'Peers Stock History'!F588/'Peers Stock History'!F$1833*100</f>
        <v>411.42857142857139</v>
      </c>
      <c r="F585" s="871">
        <f>'Peers Stock History'!G588/'Peers Stock History'!G$1833*100</f>
        <v>200.73072378897643</v>
      </c>
      <c r="G585" s="871">
        <f>'Peers Stock History'!H588/'Peers Stock History'!H$1833*100</f>
        <v>152.95888149910189</v>
      </c>
      <c r="H585" s="871">
        <f>'Peers Stock History'!I588/'Peers Stock History'!I$1833*100</f>
        <v>215.94265855777587</v>
      </c>
      <c r="I585" s="871">
        <f>'Peers Stock History'!J588/'Peers Stock History'!J$1833*100</f>
        <v>136.10811961264233</v>
      </c>
      <c r="J585" s="871">
        <f>'Peers Stock History'!K588/'Peers Stock History'!K$1833*100</f>
        <v>180.23344170573114</v>
      </c>
    </row>
    <row r="586" spans="2:10">
      <c r="B586" s="870">
        <v>44025</v>
      </c>
      <c r="C586" s="871">
        <f>'Peers Stock History'!D589/'Peers Stock History'!D$1833*100</f>
        <v>162.49653259361997</v>
      </c>
      <c r="D586" s="871">
        <f>'Peers Stock History'!E589/'Peers Stock History'!E$1833*100</f>
        <v>368.88990825688069</v>
      </c>
      <c r="E586" s="871">
        <f>'Peers Stock History'!F589/'Peers Stock History'!F$1833*100</f>
        <v>402.93233082706763</v>
      </c>
      <c r="F586" s="871">
        <f>'Peers Stock History'!G589/'Peers Stock History'!G$1833*100</f>
        <v>195.92705125100784</v>
      </c>
      <c r="G586" s="871">
        <f>'Peers Stock History'!H589/'Peers Stock History'!H$1833*100</f>
        <v>151.12869556774601</v>
      </c>
      <c r="H586" s="871">
        <f>'Peers Stock History'!I589/'Peers Stock History'!I$1833*100</f>
        <v>214.85664639443965</v>
      </c>
      <c r="I586" s="871">
        <f>'Peers Stock History'!J589/'Peers Stock History'!J$1833*100</f>
        <v>134.30754496115779</v>
      </c>
      <c r="J586" s="871">
        <f>'Peers Stock History'!K589/'Peers Stock History'!K$1833*100</f>
        <v>178.5540017596195</v>
      </c>
    </row>
    <row r="587" spans="2:10">
      <c r="B587" s="870">
        <v>44024</v>
      </c>
      <c r="C587" s="871">
        <f>'Peers Stock History'!D590/'Peers Stock History'!D$1833*100</f>
        <v>165.13176144244107</v>
      </c>
      <c r="D587" s="871">
        <f>'Peers Stock History'!E590/'Peers Stock History'!E$1833*100</f>
        <v>384.55963302752292</v>
      </c>
      <c r="E587" s="871">
        <f>'Peers Stock History'!F590/'Peers Stock History'!F$1833*100</f>
        <v>420.1503759398496</v>
      </c>
      <c r="F587" s="871">
        <f>'Peers Stock History'!G590/'Peers Stock History'!G$1833*100</f>
        <v>192.41481603596881</v>
      </c>
      <c r="G587" s="871">
        <f>'Peers Stock History'!H590/'Peers Stock History'!H$1833*100</f>
        <v>155.0754891014127</v>
      </c>
      <c r="H587" s="871">
        <f>'Peers Stock History'!I590/'Peers Stock History'!I$1833*100</f>
        <v>220.24326672458733</v>
      </c>
      <c r="I587" s="871">
        <f>'Peers Stock History'!J590/'Peers Stock History'!J$1833*100</f>
        <v>135.57688624028944</v>
      </c>
      <c r="J587" s="871">
        <f>'Peers Stock History'!K590/'Peers Stock History'!K$1833*100</f>
        <v>182.44784721553964</v>
      </c>
    </row>
    <row r="588" spans="2:10">
      <c r="B588" s="870">
        <v>44023</v>
      </c>
      <c r="C588" s="871">
        <f>'Peers Stock History'!D591/'Peers Stock History'!D$1833*100</f>
        <v>165.13176144244107</v>
      </c>
      <c r="D588" s="871">
        <f>'Peers Stock History'!E591/'Peers Stock History'!E$1833*100</f>
        <v>384.55963302752292</v>
      </c>
      <c r="E588" s="871">
        <f>'Peers Stock History'!F591/'Peers Stock History'!F$1833*100</f>
        <v>420.1503759398496</v>
      </c>
      <c r="F588" s="871">
        <f>'Peers Stock History'!G591/'Peers Stock History'!G$1833*100</f>
        <v>192.41481603596881</v>
      </c>
      <c r="G588" s="871">
        <f>'Peers Stock History'!H591/'Peers Stock History'!H$1833*100</f>
        <v>155.0754891014127</v>
      </c>
      <c r="H588" s="871">
        <f>'Peers Stock History'!I591/'Peers Stock History'!I$1833*100</f>
        <v>220.24326672458733</v>
      </c>
      <c r="I588" s="871">
        <f>'Peers Stock History'!J591/'Peers Stock History'!J$1833*100</f>
        <v>135.57688624028944</v>
      </c>
      <c r="J588" s="871">
        <f>'Peers Stock History'!K591/'Peers Stock History'!K$1833*100</f>
        <v>182.44784721553964</v>
      </c>
    </row>
    <row r="589" spans="2:10">
      <c r="B589" s="870">
        <v>44022</v>
      </c>
      <c r="C589" s="871">
        <f>'Peers Stock History'!D592/'Peers Stock History'!D$1833*100</f>
        <v>165.13176144244107</v>
      </c>
      <c r="D589" s="871">
        <f>'Peers Stock History'!E592/'Peers Stock History'!E$1833*100</f>
        <v>384.55963302752292</v>
      </c>
      <c r="E589" s="871">
        <f>'Peers Stock History'!F592/'Peers Stock History'!F$1833*100</f>
        <v>420.1503759398496</v>
      </c>
      <c r="F589" s="871">
        <f>'Peers Stock History'!G592/'Peers Stock History'!G$1833*100</f>
        <v>192.41481603596881</v>
      </c>
      <c r="G589" s="871">
        <f>'Peers Stock History'!H592/'Peers Stock History'!H$1833*100</f>
        <v>155.0754891014127</v>
      </c>
      <c r="H589" s="871">
        <f>'Peers Stock History'!I592/'Peers Stock History'!I$1833*100</f>
        <v>220.24326672458733</v>
      </c>
      <c r="I589" s="871">
        <f>'Peers Stock History'!J592/'Peers Stock History'!J$1833*100</f>
        <v>135.57688624028944</v>
      </c>
      <c r="J589" s="871">
        <f>'Peers Stock History'!K592/'Peers Stock History'!K$1833*100</f>
        <v>182.44784721553964</v>
      </c>
    </row>
    <row r="590" spans="2:10">
      <c r="B590" s="870">
        <v>44021</v>
      </c>
      <c r="C590" s="871">
        <f>'Peers Stock History'!D593/'Peers Stock History'!D$1833*100</f>
        <v>162.05270457697645</v>
      </c>
      <c r="D590" s="871">
        <f>'Peers Stock History'!E593/'Peers Stock History'!E$1833*100</f>
        <v>385.651376146789</v>
      </c>
      <c r="E590" s="871">
        <f>'Peers Stock History'!F593/'Peers Stock History'!F$1833*100</f>
        <v>430.48872180451127</v>
      </c>
      <c r="F590" s="871">
        <f>'Peers Stock History'!G593/'Peers Stock History'!G$1833*100</f>
        <v>190.81916764756542</v>
      </c>
      <c r="G590" s="871">
        <f>'Peers Stock History'!H593/'Peers Stock History'!H$1833*100</f>
        <v>156.07553764745862</v>
      </c>
      <c r="H590" s="871">
        <f>'Peers Stock History'!I593/'Peers Stock History'!I$1833*100</f>
        <v>217.11555169417895</v>
      </c>
      <c r="I590" s="871">
        <f>'Peers Stock History'!J593/'Peers Stock History'!J$1833*100</f>
        <v>134.17260827923806</v>
      </c>
      <c r="J590" s="871">
        <f>'Peers Stock History'!K593/'Peers Stock History'!K$1833*100</f>
        <v>181.25025775676011</v>
      </c>
    </row>
    <row r="591" spans="2:10">
      <c r="B591" s="870">
        <v>44020</v>
      </c>
      <c r="C591" s="871">
        <f>'Peers Stock History'!D594/'Peers Stock History'!D$1833*100</f>
        <v>162.57975034674067</v>
      </c>
      <c r="D591" s="871">
        <f>'Peers Stock History'!E594/'Peers Stock History'!E$1833*100</f>
        <v>374.89908256880733</v>
      </c>
      <c r="E591" s="871">
        <f>'Peers Stock History'!F594/'Peers Stock History'!F$1833*100</f>
        <v>401.72932330827064</v>
      </c>
      <c r="F591" s="871">
        <f>'Peers Stock History'!G594/'Peers Stock History'!G$1833*100</f>
        <v>188.4786027186901</v>
      </c>
      <c r="G591" s="871">
        <f>'Peers Stock History'!H594/'Peers Stock History'!H$1833*100</f>
        <v>155.13859896111461</v>
      </c>
      <c r="H591" s="871">
        <f>'Peers Stock History'!I594/'Peers Stock History'!I$1833*100</f>
        <v>215.94265855777587</v>
      </c>
      <c r="I591" s="871">
        <f>'Peers Stock History'!J594/'Peers Stock History'!J$1833*100</f>
        <v>134.93412791316376</v>
      </c>
      <c r="J591" s="871">
        <f>'Peers Stock History'!K594/'Peers Stock History'!K$1833*100</f>
        <v>180.30085369038946</v>
      </c>
    </row>
    <row r="592" spans="2:10">
      <c r="B592" s="870">
        <v>44019</v>
      </c>
      <c r="C592" s="871">
        <f>'Peers Stock History'!D595/'Peers Stock History'!D$1833*100</f>
        <v>161.747572815534</v>
      </c>
      <c r="D592" s="871">
        <f>'Peers Stock History'!E595/'Peers Stock History'!E$1833*100</f>
        <v>362.26605504587155</v>
      </c>
      <c r="E592" s="871">
        <f>'Peers Stock History'!F595/'Peers Stock History'!F$1833*100</f>
        <v>397.96992481203006</v>
      </c>
      <c r="F592" s="871">
        <f>'Peers Stock History'!G595/'Peers Stock History'!G$1833*100</f>
        <v>186.86187617740481</v>
      </c>
      <c r="G592" s="871">
        <f>'Peers Stock History'!H595/'Peers Stock History'!H$1833*100</f>
        <v>152.00737899898053</v>
      </c>
      <c r="H592" s="871">
        <f>'Peers Stock History'!I595/'Peers Stock History'!I$1833*100</f>
        <v>213.24934839270199</v>
      </c>
      <c r="I592" s="871">
        <f>'Peers Stock History'!J595/'Peers Stock History'!J$1833*100</f>
        <v>133.88613387251252</v>
      </c>
      <c r="J592" s="871">
        <f>'Peers Stock History'!K595/'Peers Stock History'!K$1833*100</f>
        <v>177.74715436536849</v>
      </c>
    </row>
    <row r="593" spans="2:10">
      <c r="B593" s="870">
        <v>44018</v>
      </c>
      <c r="C593" s="871">
        <f>'Peers Stock History'!D596/'Peers Stock History'!D$1833*100</f>
        <v>165.15950069348128</v>
      </c>
      <c r="D593" s="871">
        <f>'Peers Stock History'!E596/'Peers Stock History'!E$1833*100</f>
        <v>361.07339449541286</v>
      </c>
      <c r="E593" s="871">
        <f>'Peers Stock History'!F596/'Peers Stock History'!F$1833*100</f>
        <v>401.50375939849619</v>
      </c>
      <c r="F593" s="871">
        <f>'Peers Stock History'!G596/'Peers Stock History'!G$1833*100</f>
        <v>187.16384141716952</v>
      </c>
      <c r="G593" s="871">
        <f>'Peers Stock History'!H596/'Peers Stock History'!H$1833*100</f>
        <v>154.75993980290306</v>
      </c>
      <c r="H593" s="871">
        <f>'Peers Stock History'!I596/'Peers Stock History'!I$1833*100</f>
        <v>221.19895742832321</v>
      </c>
      <c r="I593" s="871">
        <f>'Peers Stock History'!J596/'Peers Stock History'!J$1833*100</f>
        <v>135.35043098861337</v>
      </c>
      <c r="J593" s="871">
        <f>'Peers Stock History'!K596/'Peers Stock History'!K$1833*100</f>
        <v>179.28958800159467</v>
      </c>
    </row>
    <row r="594" spans="2:10">
      <c r="B594" s="870">
        <v>44017</v>
      </c>
      <c r="C594" s="871">
        <f>'Peers Stock History'!D597/'Peers Stock History'!D$1833*100</f>
        <v>164.02219140083221</v>
      </c>
      <c r="D594" s="871">
        <f>'Peers Stock History'!E597/'Peers Stock History'!E$1833*100</f>
        <v>352.74311926605503</v>
      </c>
      <c r="E594" s="871">
        <f>'Peers Stock History'!F597/'Peers Stock History'!F$1833*100</f>
        <v>393.53383458646618</v>
      </c>
      <c r="F594" s="871">
        <f>'Peers Stock History'!G597/'Peers Stock History'!G$1833*100</f>
        <v>182.01096829403355</v>
      </c>
      <c r="G594" s="871">
        <f>'Peers Stock History'!H597/'Peers Stock History'!H$1833*100</f>
        <v>153.14821107820768</v>
      </c>
      <c r="H594" s="871">
        <f>'Peers Stock History'!I597/'Peers Stock History'!I$1833*100</f>
        <v>216.46394439617725</v>
      </c>
      <c r="I594" s="871">
        <f>'Peers Stock History'!J597/'Peers Stock History'!J$1833*100</f>
        <v>133.23443652229437</v>
      </c>
      <c r="J594" s="871">
        <f>'Peers Stock History'!K597/'Peers Stock History'!K$1833*100</f>
        <v>175.40569195661442</v>
      </c>
    </row>
    <row r="595" spans="2:10">
      <c r="B595" s="870">
        <v>44016</v>
      </c>
      <c r="C595" s="871">
        <f>'Peers Stock History'!D598/'Peers Stock History'!D$1833*100</f>
        <v>164.02219140083221</v>
      </c>
      <c r="D595" s="871">
        <f>'Peers Stock History'!E598/'Peers Stock History'!E$1833*100</f>
        <v>352.74311926605503</v>
      </c>
      <c r="E595" s="871">
        <f>'Peers Stock History'!F598/'Peers Stock History'!F$1833*100</f>
        <v>393.53383458646618</v>
      </c>
      <c r="F595" s="871">
        <f>'Peers Stock History'!G598/'Peers Stock History'!G$1833*100</f>
        <v>182.01096829403355</v>
      </c>
      <c r="G595" s="871">
        <f>'Peers Stock History'!H598/'Peers Stock History'!H$1833*100</f>
        <v>153.14821107820768</v>
      </c>
      <c r="H595" s="871">
        <f>'Peers Stock History'!I598/'Peers Stock History'!I$1833*100</f>
        <v>216.46394439617725</v>
      </c>
      <c r="I595" s="871">
        <f>'Peers Stock History'!J598/'Peers Stock History'!J$1833*100</f>
        <v>133.23443652229437</v>
      </c>
      <c r="J595" s="871">
        <f>'Peers Stock History'!K598/'Peers Stock History'!K$1833*100</f>
        <v>175.40569195661442</v>
      </c>
    </row>
    <row r="596" spans="2:10">
      <c r="B596" s="870">
        <v>44015</v>
      </c>
      <c r="C596" s="871">
        <f>'Peers Stock History'!D599/'Peers Stock History'!D$1833*100</f>
        <v>164.02219140083221</v>
      </c>
      <c r="D596" s="871">
        <f>'Peers Stock History'!E599/'Peers Stock History'!E$1833*100</f>
        <v>352.74311926605503</v>
      </c>
      <c r="E596" s="871">
        <f>'Peers Stock History'!F599/'Peers Stock History'!F$1833*100</f>
        <v>393.53383458646618</v>
      </c>
      <c r="F596" s="871">
        <f>'Peers Stock History'!G599/'Peers Stock History'!G$1833*100</f>
        <v>182.01096829403355</v>
      </c>
      <c r="G596" s="871">
        <f>'Peers Stock History'!H599/'Peers Stock History'!H$1833*100</f>
        <v>153.14821107820768</v>
      </c>
      <c r="H596" s="871">
        <f>'Peers Stock History'!I599/'Peers Stock History'!I$1833*100</f>
        <v>216.46394439617725</v>
      </c>
      <c r="I596" s="871">
        <f>'Peers Stock History'!J599/'Peers Stock History'!J$1833*100</f>
        <v>133.23443652229437</v>
      </c>
      <c r="J596" s="871">
        <f>'Peers Stock History'!K599/'Peers Stock History'!K$1833*100</f>
        <v>175.40569195661442</v>
      </c>
    </row>
    <row r="597" spans="2:10">
      <c r="B597" s="870">
        <v>44014</v>
      </c>
      <c r="C597" s="871">
        <f>'Peers Stock History'!D600/'Peers Stock History'!D$1833*100</f>
        <v>164.02219140083221</v>
      </c>
      <c r="D597" s="871">
        <f>'Peers Stock History'!E600/'Peers Stock History'!E$1833*100</f>
        <v>352.74311926605503</v>
      </c>
      <c r="E597" s="871">
        <f>'Peers Stock History'!F600/'Peers Stock History'!F$1833*100</f>
        <v>393.53383458646618</v>
      </c>
      <c r="F597" s="871">
        <f>'Peers Stock History'!G600/'Peers Stock History'!G$1833*100</f>
        <v>177.95872246507608</v>
      </c>
      <c r="G597" s="871">
        <f>'Peers Stock History'!H600/'Peers Stock History'!H$1833*100</f>
        <v>153.14821107820768</v>
      </c>
      <c r="H597" s="871">
        <f>'Peers Stock History'!I600/'Peers Stock History'!I$1833*100</f>
        <v>216.46394439617725</v>
      </c>
      <c r="I597" s="871">
        <f>'Peers Stock History'!J600/'Peers Stock History'!J$1833*100</f>
        <v>133.23443652229437</v>
      </c>
      <c r="J597" s="871">
        <f>'Peers Stock History'!K600/'Peers Stock History'!K$1833*100</f>
        <v>175.40569195661442</v>
      </c>
    </row>
    <row r="598" spans="2:10">
      <c r="B598" s="870">
        <v>44013</v>
      </c>
      <c r="C598" s="871">
        <f>'Peers Stock History'!D601/'Peers Stock History'!D$1833*100</f>
        <v>163.13453536754508</v>
      </c>
      <c r="D598" s="871">
        <f>'Peers Stock History'!E601/'Peers Stock History'!E$1833*100</f>
        <v>349.72477064220186</v>
      </c>
      <c r="E598" s="871">
        <f>'Peers Stock History'!F601/'Peers Stock History'!F$1833*100</f>
        <v>395.33834586466162</v>
      </c>
      <c r="F598" s="871">
        <f>'Peers Stock History'!G601/'Peers Stock History'!G$1833*100</f>
        <v>175.47768341944902</v>
      </c>
      <c r="G598" s="871">
        <f>'Peers Stock History'!H601/'Peers Stock History'!H$1833*100</f>
        <v>151.81804941987477</v>
      </c>
      <c r="H598" s="871">
        <f>'Peers Stock History'!I601/'Peers Stock History'!I$1833*100</f>
        <v>215.89921807124242</v>
      </c>
      <c r="I598" s="871">
        <f>'Peers Stock History'!J601/'Peers Stock History'!J$1833*100</f>
        <v>132.63211663296798</v>
      </c>
      <c r="J598" s="871">
        <f>'Peers Stock History'!K601/'Peers Stock History'!K$1833*100</f>
        <v>174.49495140425887</v>
      </c>
    </row>
    <row r="599" spans="2:10">
      <c r="B599" s="870">
        <v>44012</v>
      </c>
      <c r="C599" s="871">
        <f>'Peers Stock History'!D602/'Peers Stock History'!D$1833*100</f>
        <v>165.96393897364771</v>
      </c>
      <c r="D599" s="871">
        <f>'Peers Stock History'!E602/'Peers Stock History'!E$1833*100</f>
        <v>348.54128440366975</v>
      </c>
      <c r="E599" s="871">
        <f>'Peers Stock History'!F602/'Peers Stock History'!F$1833*100</f>
        <v>395.56390977443607</v>
      </c>
      <c r="F599" s="871">
        <f>'Peers Stock History'!G602/'Peers Stock History'!G$1833*100</f>
        <v>173.11411244159814</v>
      </c>
      <c r="G599" s="871">
        <f>'Peers Stock History'!H602/'Peers Stock History'!H$1833*100</f>
        <v>153.21617554250207</v>
      </c>
      <c r="H599" s="871">
        <f>'Peers Stock History'!I602/'Peers Stock History'!I$1833*100</f>
        <v>223.80538662033018</v>
      </c>
      <c r="I599" s="871">
        <f>'Peers Stock History'!J602/'Peers Stock History'!J$1833*100</f>
        <v>131.9693519208258</v>
      </c>
      <c r="J599" s="871">
        <f>'Peers Stock History'!K602/'Peers Stock History'!K$1833*100</f>
        <v>172.84764513423971</v>
      </c>
    </row>
    <row r="600" spans="2:10">
      <c r="B600" s="870">
        <v>44011</v>
      </c>
      <c r="C600" s="871">
        <f>'Peers Stock History'!D603/'Peers Stock History'!D$1833*100</f>
        <v>161.63661581137313</v>
      </c>
      <c r="D600" s="871">
        <f>'Peers Stock History'!E603/'Peers Stock History'!E$1833*100</f>
        <v>337.61467889908261</v>
      </c>
      <c r="E600" s="871">
        <f>'Peers Stock History'!F603/'Peers Stock History'!F$1833*100</f>
        <v>378.04511278195491</v>
      </c>
      <c r="F600" s="871">
        <f>'Peers Stock History'!G603/'Peers Stock History'!G$1833*100</f>
        <v>172.35007740305261</v>
      </c>
      <c r="G600" s="871">
        <f>'Peers Stock History'!H603/'Peers Stock History'!H$1833*100</f>
        <v>150.38594106510024</v>
      </c>
      <c r="H600" s="871">
        <f>'Peers Stock History'!I603/'Peers Stock History'!I$1833*100</f>
        <v>213.48827106863598</v>
      </c>
      <c r="I600" s="871">
        <f>'Peers Stock History'!J603/'Peers Stock History'!J$1833*100</f>
        <v>129.96658508034477</v>
      </c>
      <c r="J600" s="871">
        <f>'Peers Stock History'!K603/'Peers Stock History'!K$1833*100</f>
        <v>169.67531240119328</v>
      </c>
    </row>
    <row r="601" spans="2:10">
      <c r="B601" s="870">
        <v>44010</v>
      </c>
      <c r="C601" s="871">
        <f>'Peers Stock History'!D604/'Peers Stock History'!D$1833*100</f>
        <v>159.50069348127602</v>
      </c>
      <c r="D601" s="871">
        <f>'Peers Stock History'!E604/'Peers Stock History'!E$1833*100</f>
        <v>335.96330275229354</v>
      </c>
      <c r="E601" s="871">
        <f>'Peers Stock History'!F604/'Peers Stock History'!F$1833*100</f>
        <v>376.69172932330827</v>
      </c>
      <c r="F601" s="871">
        <f>'Peers Stock History'!G604/'Peers Stock History'!G$1833*100</f>
        <v>174.97237807726381</v>
      </c>
      <c r="G601" s="871">
        <f>'Peers Stock History'!H604/'Peers Stock History'!H$1833*100</f>
        <v>149.23539977668821</v>
      </c>
      <c r="H601" s="871">
        <f>'Peers Stock History'!I604/'Peers Stock History'!I$1833*100</f>
        <v>210.64291920069508</v>
      </c>
      <c r="I601" s="871">
        <f>'Peers Stock History'!J604/'Peers Stock History'!J$1833*100</f>
        <v>128.08555922102801</v>
      </c>
      <c r="J601" s="871">
        <f>'Peers Stock History'!K604/'Peers Stock History'!K$1833*100</f>
        <v>167.66594380215278</v>
      </c>
    </row>
    <row r="602" spans="2:10">
      <c r="B602" s="870">
        <v>44009</v>
      </c>
      <c r="C602" s="871">
        <f>'Peers Stock History'!D605/'Peers Stock History'!D$1833*100</f>
        <v>159.50069348127602</v>
      </c>
      <c r="D602" s="871">
        <f>'Peers Stock History'!E605/'Peers Stock History'!E$1833*100</f>
        <v>335.96330275229354</v>
      </c>
      <c r="E602" s="871">
        <f>'Peers Stock History'!F605/'Peers Stock History'!F$1833*100</f>
        <v>376.69172932330827</v>
      </c>
      <c r="F602" s="871">
        <f>'Peers Stock History'!G605/'Peers Stock History'!G$1833*100</f>
        <v>174.97237807726381</v>
      </c>
      <c r="G602" s="871">
        <f>'Peers Stock History'!H605/'Peers Stock History'!H$1833*100</f>
        <v>149.23539977668821</v>
      </c>
      <c r="H602" s="871">
        <f>'Peers Stock History'!I605/'Peers Stock History'!I$1833*100</f>
        <v>210.64291920069508</v>
      </c>
      <c r="I602" s="871">
        <f>'Peers Stock History'!J605/'Peers Stock History'!J$1833*100</f>
        <v>128.08555922102801</v>
      </c>
      <c r="J602" s="871">
        <f>'Peers Stock History'!K605/'Peers Stock History'!K$1833*100</f>
        <v>167.66594380215278</v>
      </c>
    </row>
    <row r="603" spans="2:10">
      <c r="B603" s="870">
        <v>44008</v>
      </c>
      <c r="C603" s="871">
        <f>'Peers Stock History'!D606/'Peers Stock History'!D$1833*100</f>
        <v>159.50069348127602</v>
      </c>
      <c r="D603" s="871">
        <f>'Peers Stock History'!E606/'Peers Stock History'!E$1833*100</f>
        <v>335.96330275229354</v>
      </c>
      <c r="E603" s="871">
        <f>'Peers Stock History'!F606/'Peers Stock History'!F$1833*100</f>
        <v>376.69172932330827</v>
      </c>
      <c r="F603" s="871">
        <f>'Peers Stock History'!G606/'Peers Stock History'!G$1833*100</f>
        <v>174.97237807726381</v>
      </c>
      <c r="G603" s="871">
        <f>'Peers Stock History'!H606/'Peers Stock History'!H$1833*100</f>
        <v>149.23539977668821</v>
      </c>
      <c r="H603" s="871">
        <f>'Peers Stock History'!I606/'Peers Stock History'!I$1833*100</f>
        <v>210.64291920069508</v>
      </c>
      <c r="I603" s="871">
        <f>'Peers Stock History'!J606/'Peers Stock History'!J$1833*100</f>
        <v>128.08555922102801</v>
      </c>
      <c r="J603" s="871">
        <f>'Peers Stock History'!K606/'Peers Stock History'!K$1833*100</f>
        <v>167.66594380215278</v>
      </c>
    </row>
    <row r="604" spans="2:10">
      <c r="B604" s="870">
        <v>44007</v>
      </c>
      <c r="C604" s="871">
        <f>'Peers Stock History'!D607/'Peers Stock History'!D$1833*100</f>
        <v>162.30235783633842</v>
      </c>
      <c r="D604" s="871">
        <f>'Peers Stock History'!E607/'Peers Stock History'!E$1833*100</f>
        <v>348.25688073394497</v>
      </c>
      <c r="E604" s="871">
        <f>'Peers Stock History'!F607/'Peers Stock History'!F$1833*100</f>
        <v>390.45112781954884</v>
      </c>
      <c r="F604" s="871">
        <f>'Peers Stock History'!G607/'Peers Stock History'!G$1833*100</f>
        <v>174.97237807726381</v>
      </c>
      <c r="G604" s="871">
        <f>'Peers Stock History'!H607/'Peers Stock History'!H$1833*100</f>
        <v>149.93446283800185</v>
      </c>
      <c r="H604" s="871">
        <f>'Peers Stock History'!I607/'Peers Stock History'!I$1833*100</f>
        <v>213.68375325803649</v>
      </c>
      <c r="I604" s="871">
        <f>'Peers Stock History'!J607/'Peers Stock History'!J$1833*100</f>
        <v>131.26572310311801</v>
      </c>
      <c r="J604" s="871">
        <f>'Peers Stock History'!K607/'Peers Stock History'!K$1833*100</f>
        <v>172.13001594655157</v>
      </c>
    </row>
    <row r="605" spans="2:10">
      <c r="B605" s="870">
        <v>44006</v>
      </c>
      <c r="C605" s="871">
        <f>'Peers Stock History'!D608/'Peers Stock History'!D$1833*100</f>
        <v>163.91123439667129</v>
      </c>
      <c r="D605" s="871">
        <f>'Peers Stock History'!E608/'Peers Stock History'!E$1833*100</f>
        <v>338.91743119266056</v>
      </c>
      <c r="E605" s="871">
        <f>'Peers Stock History'!F608/'Peers Stock History'!F$1833*100</f>
        <v>393.90977443609023</v>
      </c>
      <c r="F605" s="871">
        <f>'Peers Stock History'!G608/'Peers Stock History'!G$1833*100</f>
        <v>174.97237807726381</v>
      </c>
      <c r="G605" s="871">
        <f>'Peers Stock History'!H608/'Peers Stock History'!H$1833*100</f>
        <v>149.02179717462013</v>
      </c>
      <c r="H605" s="871">
        <f>'Peers Stock History'!I608/'Peers Stock History'!I$1833*100</f>
        <v>209.77410947002605</v>
      </c>
      <c r="I605" s="871">
        <f>'Peers Stock History'!J608/'Peers Stock History'!J$1833*100</f>
        <v>129.84271576034905</v>
      </c>
      <c r="J605" s="871">
        <f>'Peers Stock History'!K608/'Peers Stock History'!K$1833*100</f>
        <v>170.27696823062013</v>
      </c>
    </row>
    <row r="606" spans="2:10">
      <c r="B606" s="870">
        <v>44005</v>
      </c>
      <c r="C606" s="871">
        <f>'Peers Stock History'!D609/'Peers Stock History'!D$1833*100</f>
        <v>166.21359223300973</v>
      </c>
      <c r="D606" s="871">
        <f>'Peers Stock History'!E609/'Peers Stock History'!E$1833*100</f>
        <v>346.78899082568807</v>
      </c>
      <c r="E606" s="871">
        <f>'Peers Stock History'!F609/'Peers Stock History'!F$1833*100</f>
        <v>405.93984962406012</v>
      </c>
      <c r="F606" s="871">
        <f>'Peers Stock History'!G609/'Peers Stock History'!G$1833*100</f>
        <v>173.43013154628972</v>
      </c>
      <c r="G606" s="871">
        <f>'Peers Stock History'!H609/'Peers Stock History'!H$1833*100</f>
        <v>151.12384096315355</v>
      </c>
      <c r="H606" s="871">
        <f>'Peers Stock History'!I609/'Peers Stock History'!I$1833*100</f>
        <v>216.50738488271068</v>
      </c>
      <c r="I606" s="871">
        <f>'Peers Stock History'!J609/'Peers Stock History'!J$1833*100</f>
        <v>133.28892199638182</v>
      </c>
      <c r="J606" s="871">
        <f>'Peers Stock History'!K609/'Peers Stock History'!K$1833*100</f>
        <v>174.09525658826283</v>
      </c>
    </row>
    <row r="607" spans="2:10">
      <c r="B607" s="870">
        <v>44004</v>
      </c>
      <c r="C607" s="871">
        <f>'Peers Stock History'!D610/'Peers Stock History'!D$1833*100</f>
        <v>166.68515950069352</v>
      </c>
      <c r="D607" s="871">
        <f>'Peers Stock History'!E610/'Peers Stock History'!E$1833*100</f>
        <v>349.60550458715596</v>
      </c>
      <c r="E607" s="871">
        <f>'Peers Stock History'!F610/'Peers Stock History'!F$1833*100</f>
        <v>411.72932330827064</v>
      </c>
      <c r="F607" s="871">
        <f>'Peers Stock History'!G610/'Peers Stock History'!G$1833*100</f>
        <v>171.50559522066371</v>
      </c>
      <c r="G607" s="871">
        <f>'Peers Stock History'!H610/'Peers Stock History'!H$1833*100</f>
        <v>152.2112723918637</v>
      </c>
      <c r="H607" s="871">
        <f>'Peers Stock History'!I610/'Peers Stock History'!I$1833*100</f>
        <v>222.19808861859255</v>
      </c>
      <c r="I607" s="871">
        <f>'Peers Stock History'!J610/'Peers Stock History'!J$1833*100</f>
        <v>132.71725018622965</v>
      </c>
      <c r="J607" s="871">
        <f>'Peers Stock History'!K610/'Peers Stock History'!K$1833*100</f>
        <v>172.80829426886436</v>
      </c>
    </row>
    <row r="608" spans="2:10">
      <c r="B608" s="870">
        <v>44003</v>
      </c>
      <c r="C608" s="871">
        <f>'Peers Stock History'!D611/'Peers Stock History'!D$1833*100</f>
        <v>165.38141470180307</v>
      </c>
      <c r="D608" s="871">
        <f>'Peers Stock History'!E611/'Peers Stock History'!E$1833*100</f>
        <v>339.86238532110093</v>
      </c>
      <c r="E608" s="871">
        <f>'Peers Stock History'!F611/'Peers Stock History'!F$1833*100</f>
        <v>407.74436090225555</v>
      </c>
      <c r="F608" s="871">
        <f>'Peers Stock History'!G611/'Peers Stock History'!G$1833*100</f>
        <v>172.90320959758984</v>
      </c>
      <c r="G608" s="871">
        <f>'Peers Stock History'!H611/'Peers Stock History'!H$1833*100</f>
        <v>146.98286324578862</v>
      </c>
      <c r="H608" s="871">
        <f>'Peers Stock History'!I611/'Peers Stock History'!I$1833*100</f>
        <v>220.80799304952214</v>
      </c>
      <c r="I608" s="871">
        <f>'Peers Stock History'!J611/'Peers Stock History'!J$1833*100</f>
        <v>131.86080664041714</v>
      </c>
      <c r="J608" s="871">
        <f>'Peers Stock History'!K611/'Peers Stock History'!K$1833*100</f>
        <v>170.91202933615605</v>
      </c>
    </row>
    <row r="609" spans="2:10">
      <c r="B609" s="870">
        <v>44002</v>
      </c>
      <c r="C609" s="871">
        <f>'Peers Stock History'!D612/'Peers Stock History'!D$1833*100</f>
        <v>165.38141470180307</v>
      </c>
      <c r="D609" s="871">
        <f>'Peers Stock History'!E612/'Peers Stock History'!E$1833*100</f>
        <v>339.86238532110093</v>
      </c>
      <c r="E609" s="871">
        <f>'Peers Stock History'!F612/'Peers Stock History'!F$1833*100</f>
        <v>407.74436090225555</v>
      </c>
      <c r="F609" s="871">
        <f>'Peers Stock History'!G612/'Peers Stock History'!G$1833*100</f>
        <v>172.90320959758984</v>
      </c>
      <c r="G609" s="871">
        <f>'Peers Stock History'!H612/'Peers Stock History'!H$1833*100</f>
        <v>146.98286324578862</v>
      </c>
      <c r="H609" s="871">
        <f>'Peers Stock History'!I612/'Peers Stock History'!I$1833*100</f>
        <v>220.80799304952214</v>
      </c>
      <c r="I609" s="871">
        <f>'Peers Stock History'!J612/'Peers Stock History'!J$1833*100</f>
        <v>131.86080664041714</v>
      </c>
      <c r="J609" s="871">
        <f>'Peers Stock History'!K612/'Peers Stock History'!K$1833*100</f>
        <v>170.91202933615605</v>
      </c>
    </row>
    <row r="610" spans="2:10">
      <c r="B610" s="870">
        <v>44001</v>
      </c>
      <c r="C610" s="871">
        <f>'Peers Stock History'!D613/'Peers Stock History'!D$1833*100</f>
        <v>165.38141470180307</v>
      </c>
      <c r="D610" s="871">
        <f>'Peers Stock History'!E613/'Peers Stock History'!E$1833*100</f>
        <v>339.86238532110093</v>
      </c>
      <c r="E610" s="871">
        <f>'Peers Stock History'!F613/'Peers Stock History'!F$1833*100</f>
        <v>407.74436090225555</v>
      </c>
      <c r="F610" s="871">
        <f>'Peers Stock History'!G613/'Peers Stock History'!G$1833*100</f>
        <v>172.90320959758984</v>
      </c>
      <c r="G610" s="871">
        <f>'Peers Stock History'!H613/'Peers Stock History'!H$1833*100</f>
        <v>146.98286324578862</v>
      </c>
      <c r="H610" s="871">
        <f>'Peers Stock History'!I613/'Peers Stock History'!I$1833*100</f>
        <v>220.80799304952214</v>
      </c>
      <c r="I610" s="871">
        <f>'Peers Stock History'!J613/'Peers Stock History'!J$1833*100</f>
        <v>131.86080664041714</v>
      </c>
      <c r="J610" s="871">
        <f>'Peers Stock History'!K613/'Peers Stock History'!K$1833*100</f>
        <v>170.91202933615605</v>
      </c>
    </row>
    <row r="611" spans="2:10">
      <c r="B611" s="870">
        <v>44000</v>
      </c>
      <c r="C611" s="871">
        <f>'Peers Stock History'!D614/'Peers Stock History'!D$1833*100</f>
        <v>166.65742024965326</v>
      </c>
      <c r="D611" s="871">
        <f>'Peers Stock History'!E614/'Peers Stock History'!E$1833*100</f>
        <v>338.2752293577982</v>
      </c>
      <c r="E611" s="871">
        <f>'Peers Stock History'!F614/'Peers Stock History'!F$1833*100</f>
        <v>406.31578947368416</v>
      </c>
      <c r="F611" s="871">
        <f>'Peers Stock History'!G614/'Peers Stock History'!G$1833*100</f>
        <v>172.85647426371159</v>
      </c>
      <c r="G611" s="871">
        <f>'Peers Stock History'!H614/'Peers Stock History'!H$1833*100</f>
        <v>154.72110296616339</v>
      </c>
      <c r="H611" s="871">
        <f>'Peers Stock History'!I614/'Peers Stock History'!I$1833*100</f>
        <v>219.28757602085142</v>
      </c>
      <c r="I611" s="871">
        <f>'Peers Stock History'!J614/'Peers Stock History'!J$1833*100</f>
        <v>132.60998190911994</v>
      </c>
      <c r="J611" s="871">
        <f>'Peers Stock History'!K614/'Peers Stock History'!K$1833*100</f>
        <v>170.85924075168745</v>
      </c>
    </row>
    <row r="612" spans="2:10">
      <c r="B612" s="870">
        <v>43999</v>
      </c>
      <c r="C612" s="871">
        <f>'Peers Stock History'!D615/'Peers Stock History'!D$1833*100</f>
        <v>167.79472954230238</v>
      </c>
      <c r="D612" s="871">
        <f>'Peers Stock History'!E615/'Peers Stock History'!E$1833*100</f>
        <v>338.93577981651373</v>
      </c>
      <c r="E612" s="871">
        <f>'Peers Stock History'!F615/'Peers Stock History'!F$1833*100</f>
        <v>410.1503759398496</v>
      </c>
      <c r="F612" s="871">
        <f>'Peers Stock History'!G615/'Peers Stock History'!G$1833*100</f>
        <v>173.04358593363</v>
      </c>
      <c r="G612" s="871">
        <f>'Peers Stock History'!H615/'Peers Stock History'!H$1833*100</f>
        <v>152.16272634593912</v>
      </c>
      <c r="H612" s="871">
        <f>'Peers Stock History'!I615/'Peers Stock History'!I$1833*100</f>
        <v>221.37271937445701</v>
      </c>
      <c r="I612" s="871">
        <f>'Peers Stock History'!J615/'Peers Stock History'!J$1833*100</f>
        <v>132.53123337235286</v>
      </c>
      <c r="J612" s="871">
        <f>'Peers Stock History'!K615/'Peers Stock History'!K$1833*100</f>
        <v>170.30044127957328</v>
      </c>
    </row>
    <row r="613" spans="2:10">
      <c r="B613" s="870">
        <v>43998</v>
      </c>
      <c r="C613" s="871">
        <f>'Peers Stock History'!D616/'Peers Stock History'!D$1833*100</f>
        <v>167.54507628294039</v>
      </c>
      <c r="D613" s="871">
        <f>'Peers Stock History'!E616/'Peers Stock History'!E$1833*100</f>
        <v>332.78899082568807</v>
      </c>
      <c r="E613" s="871">
        <f>'Peers Stock History'!F616/'Peers Stock History'!F$1833*100</f>
        <v>409.4736842105263</v>
      </c>
      <c r="F613" s="871">
        <f>'Peers Stock History'!G616/'Peers Stock History'!G$1833*100</f>
        <v>172.79849823520121</v>
      </c>
      <c r="G613" s="871">
        <f>'Peers Stock History'!H616/'Peers Stock History'!H$1833*100</f>
        <v>150.84227389679111</v>
      </c>
      <c r="H613" s="871">
        <f>'Peers Stock History'!I616/'Peers Stock History'!I$1833*100</f>
        <v>221.63336229365771</v>
      </c>
      <c r="I613" s="871">
        <f>'Peers Stock History'!J616/'Peers Stock History'!J$1833*100</f>
        <v>133.01010960944981</v>
      </c>
      <c r="J613" s="871">
        <f>'Peers Stock History'!K616/'Peers Stock History'!K$1833*100</f>
        <v>170.04844108711492</v>
      </c>
    </row>
    <row r="614" spans="2:10">
      <c r="B614" s="870">
        <v>43997</v>
      </c>
      <c r="C614" s="871">
        <f>'Peers Stock History'!D617/'Peers Stock History'!D$1833*100</f>
        <v>166.71289875173372</v>
      </c>
      <c r="D614" s="871">
        <f>'Peers Stock History'!E617/'Peers Stock History'!E$1833*100</f>
        <v>336.651376146789</v>
      </c>
      <c r="E614" s="871">
        <f>'Peers Stock History'!F617/'Peers Stock History'!F$1833*100</f>
        <v>411.12781954887214</v>
      </c>
      <c r="F614" s="871">
        <f>'Peers Stock History'!G617/'Peers Stock History'!G$1833*100</f>
        <v>169.92463768426506</v>
      </c>
      <c r="G614" s="871">
        <f>'Peers Stock History'!H617/'Peers Stock History'!H$1833*100</f>
        <v>147.6236710519928</v>
      </c>
      <c r="H614" s="871">
        <f>'Peers Stock History'!I617/'Peers Stock History'!I$1833*100</f>
        <v>213.90095569070377</v>
      </c>
      <c r="I614" s="871">
        <f>'Peers Stock History'!J617/'Peers Stock History'!J$1833*100</f>
        <v>130.5348515483665</v>
      </c>
      <c r="J614" s="871">
        <f>'Peers Stock History'!K617/'Peers Stock History'!K$1833*100</f>
        <v>167.12987847627949</v>
      </c>
    </row>
    <row r="615" spans="2:10">
      <c r="B615" s="870">
        <v>43996</v>
      </c>
      <c r="C615" s="871">
        <f>'Peers Stock History'!D618/'Peers Stock History'!D$1833*100</f>
        <v>164.57697642163663</v>
      </c>
      <c r="D615" s="871">
        <f>'Peers Stock History'!E618/'Peers Stock History'!E$1833*100</f>
        <v>327.79816513761466</v>
      </c>
      <c r="E615" s="871">
        <f>'Peers Stock History'!F618/'Peers Stock History'!F$1833*100</f>
        <v>402.25563909774434</v>
      </c>
      <c r="F615" s="871">
        <f>'Peers Stock History'!G618/'Peers Stock History'!G$1833*100</f>
        <v>173.49332959039643</v>
      </c>
      <c r="G615" s="871">
        <f>'Peers Stock History'!H618/'Peers Stock History'!H$1833*100</f>
        <v>145.75950288848972</v>
      </c>
      <c r="H615" s="871">
        <f>'Peers Stock History'!I618/'Peers Stock History'!I$1833*100</f>
        <v>211.51172893136402</v>
      </c>
      <c r="I615" s="871">
        <f>'Peers Stock History'!J618/'Peers Stock History'!J$1833*100</f>
        <v>129.45876343513888</v>
      </c>
      <c r="J615" s="871">
        <f>'Peers Stock History'!K618/'Peers Stock History'!K$1833*100</f>
        <v>164.77200555379903</v>
      </c>
    </row>
    <row r="616" spans="2:10">
      <c r="B616" s="870">
        <v>43995</v>
      </c>
      <c r="C616" s="871">
        <f>'Peers Stock History'!D619/'Peers Stock History'!D$1833*100</f>
        <v>164.57697642163663</v>
      </c>
      <c r="D616" s="871">
        <f>'Peers Stock History'!E619/'Peers Stock History'!E$1833*100</f>
        <v>327.79816513761466</v>
      </c>
      <c r="E616" s="871">
        <f>'Peers Stock History'!F619/'Peers Stock History'!F$1833*100</f>
        <v>402.25563909774434</v>
      </c>
      <c r="F616" s="871">
        <f>'Peers Stock History'!G619/'Peers Stock History'!G$1833*100</f>
        <v>173.49332959039643</v>
      </c>
      <c r="G616" s="871">
        <f>'Peers Stock History'!H619/'Peers Stock History'!H$1833*100</f>
        <v>145.75950288848972</v>
      </c>
      <c r="H616" s="871">
        <f>'Peers Stock History'!I619/'Peers Stock History'!I$1833*100</f>
        <v>211.51172893136402</v>
      </c>
      <c r="I616" s="871">
        <f>'Peers Stock History'!J619/'Peers Stock History'!J$1833*100</f>
        <v>129.45876343513888</v>
      </c>
      <c r="J616" s="871">
        <f>'Peers Stock History'!K619/'Peers Stock History'!K$1833*100</f>
        <v>164.77200555379903</v>
      </c>
    </row>
    <row r="617" spans="2:10">
      <c r="B617" s="870">
        <v>43994</v>
      </c>
      <c r="C617" s="871">
        <f>'Peers Stock History'!D620/'Peers Stock History'!D$1833*100</f>
        <v>164.57697642163663</v>
      </c>
      <c r="D617" s="871">
        <f>'Peers Stock History'!E620/'Peers Stock History'!E$1833*100</f>
        <v>327.79816513761466</v>
      </c>
      <c r="E617" s="871">
        <f>'Peers Stock History'!F620/'Peers Stock History'!F$1833*100</f>
        <v>402.25563909774434</v>
      </c>
      <c r="F617" s="871">
        <f>'Peers Stock History'!G620/'Peers Stock History'!G$1833*100</f>
        <v>173.49332959039643</v>
      </c>
      <c r="G617" s="871">
        <f>'Peers Stock History'!H620/'Peers Stock History'!H$1833*100</f>
        <v>145.75950288848972</v>
      </c>
      <c r="H617" s="871">
        <f>'Peers Stock History'!I620/'Peers Stock History'!I$1833*100</f>
        <v>211.51172893136402</v>
      </c>
      <c r="I617" s="871">
        <f>'Peers Stock History'!J620/'Peers Stock History'!J$1833*100</f>
        <v>129.45876343513888</v>
      </c>
      <c r="J617" s="871">
        <f>'Peers Stock History'!K620/'Peers Stock History'!K$1833*100</f>
        <v>164.77200555379903</v>
      </c>
    </row>
    <row r="618" spans="2:10">
      <c r="B618" s="870">
        <v>43993</v>
      </c>
      <c r="C618" s="871">
        <f>'Peers Stock History'!D621/'Peers Stock History'!D$1833*100</f>
        <v>165.60332871012486</v>
      </c>
      <c r="D618" s="871">
        <f>'Peers Stock History'!E621/'Peers Stock History'!E$1833*100</f>
        <v>322.79816513761472</v>
      </c>
      <c r="E618" s="871">
        <f>'Peers Stock History'!F621/'Peers Stock History'!F$1833*100</f>
        <v>397.21804511278197</v>
      </c>
      <c r="F618" s="871">
        <f>'Peers Stock History'!G621/'Peers Stock History'!G$1833*100</f>
        <v>175.60834798700617</v>
      </c>
      <c r="G618" s="871">
        <f>'Peers Stock History'!H621/'Peers Stock History'!H$1833*100</f>
        <v>142.60400990339338</v>
      </c>
      <c r="H618" s="871">
        <f>'Peers Stock History'!I621/'Peers Stock History'!I$1833*100</f>
        <v>210.77324066029539</v>
      </c>
      <c r="I618" s="871">
        <f>'Peers Stock History'!J621/'Peers Stock History'!J$1833*100</f>
        <v>127.78972012344366</v>
      </c>
      <c r="J618" s="871">
        <f>'Peers Stock History'!K621/'Peers Stock History'!K$1833*100</f>
        <v>163.12097040265044</v>
      </c>
    </row>
    <row r="619" spans="2:10">
      <c r="B619" s="870">
        <v>43992</v>
      </c>
      <c r="C619" s="871">
        <f>'Peers Stock History'!D622/'Peers Stock History'!D$1833*100</f>
        <v>177.17059639389737</v>
      </c>
      <c r="D619" s="871">
        <f>'Peers Stock History'!E622/'Peers Stock History'!E$1833*100</f>
        <v>343.73394495412845</v>
      </c>
      <c r="E619" s="871">
        <f>'Peers Stock History'!F622/'Peers Stock History'!F$1833*100</f>
        <v>431.87969924812029</v>
      </c>
      <c r="F619" s="871">
        <f>'Peers Stock History'!G622/'Peers Stock History'!G$1833*100</f>
        <v>177.31336853755457</v>
      </c>
      <c r="G619" s="871">
        <f>'Peers Stock History'!H622/'Peers Stock History'!H$1833*100</f>
        <v>152.93946308073208</v>
      </c>
      <c r="H619" s="871">
        <f>'Peers Stock History'!I622/'Peers Stock History'!I$1833*100</f>
        <v>227.93223284100782</v>
      </c>
      <c r="I619" s="871">
        <f>'Peers Stock History'!J622/'Peers Stock History'!J$1833*100</f>
        <v>135.79397680110674</v>
      </c>
      <c r="J619" s="871">
        <f>'Peers Stock History'!K622/'Peers Stock History'!K$1833*100</f>
        <v>172.187461336486</v>
      </c>
    </row>
    <row r="620" spans="2:10">
      <c r="B620" s="870">
        <v>43991</v>
      </c>
      <c r="C620" s="871">
        <f>'Peers Stock History'!D623/'Peers Stock History'!D$1833*100</f>
        <v>174.86823855755895</v>
      </c>
      <c r="D620" s="871">
        <f>'Peers Stock History'!E623/'Peers Stock History'!E$1833*100</f>
        <v>331.96330275229354</v>
      </c>
      <c r="E620" s="871">
        <f>'Peers Stock History'!F623/'Peers Stock History'!F$1833*100</f>
        <v>423.98496240601497</v>
      </c>
      <c r="F620" s="871">
        <f>'Peers Stock History'!G623/'Peers Stock History'!G$1833*100</f>
        <v>174.58065703591237</v>
      </c>
      <c r="G620" s="871">
        <f>'Peers Stock History'!H623/'Peers Stock History'!H$1833*100</f>
        <v>153.07539200932084</v>
      </c>
      <c r="H620" s="871">
        <f>'Peers Stock History'!I623/'Peers Stock History'!I$1833*100</f>
        <v>230.88618592528238</v>
      </c>
      <c r="I620" s="871">
        <f>'Peers Stock History'!J623/'Peers Stock History'!J$1833*100</f>
        <v>136.51931467489624</v>
      </c>
      <c r="J620" s="871">
        <f>'Peers Stock History'!K623/'Peers Stock History'!K$1833*100</f>
        <v>171.04314160812726</v>
      </c>
    </row>
    <row r="621" spans="2:10">
      <c r="B621" s="870">
        <v>43990</v>
      </c>
      <c r="C621" s="871">
        <f>'Peers Stock History'!D624/'Peers Stock History'!D$1833*100</f>
        <v>176.61581137309295</v>
      </c>
      <c r="D621" s="871">
        <f>'Peers Stock History'!E624/'Peers Stock History'!E$1833*100</f>
        <v>323.11926605504584</v>
      </c>
      <c r="E621" s="871">
        <f>'Peers Stock History'!F624/'Peers Stock History'!F$1833*100</f>
        <v>398.27067669172931</v>
      </c>
      <c r="F621" s="871">
        <f>'Peers Stock History'!G624/'Peers Stock History'!G$1833*100</f>
        <v>174.41478991092973</v>
      </c>
      <c r="G621" s="871">
        <f>'Peers Stock History'!H624/'Peers Stock History'!H$1833*100</f>
        <v>154.14340501966112</v>
      </c>
      <c r="H621" s="871">
        <f>'Peers Stock History'!I624/'Peers Stock History'!I$1833*100</f>
        <v>233.27541268462207</v>
      </c>
      <c r="I621" s="871">
        <f>'Peers Stock History'!J624/'Peers Stock History'!J$1833*100</f>
        <v>137.59242311375971</v>
      </c>
      <c r="J621" s="871">
        <f>'Peers Stock History'!K624/'Peers Stock History'!K$1833*100</f>
        <v>170.54467440166064</v>
      </c>
    </row>
    <row r="622" spans="2:10">
      <c r="B622" s="870">
        <v>43989</v>
      </c>
      <c r="C622" s="871">
        <f>'Peers Stock History'!D625/'Peers Stock History'!D$1833*100</f>
        <v>178.47434119278782</v>
      </c>
      <c r="D622" s="871">
        <f>'Peers Stock History'!E625/'Peers Stock History'!E$1833*100</f>
        <v>327.33944954128441</v>
      </c>
      <c r="E622" s="871">
        <f>'Peers Stock History'!F625/'Peers Stock History'!F$1833*100</f>
        <v>399.24812030075185</v>
      </c>
      <c r="F622" s="871">
        <f>'Peers Stock History'!G625/'Peers Stock History'!G$1833*100</f>
        <v>170.75758994040424</v>
      </c>
      <c r="G622" s="871">
        <f>'Peers Stock History'!H625/'Peers Stock History'!H$1833*100</f>
        <v>153.92980241759307</v>
      </c>
      <c r="H622" s="871">
        <f>'Peers Stock History'!I625/'Peers Stock History'!I$1833*100</f>
        <v>233.36229365768895</v>
      </c>
      <c r="I622" s="871">
        <f>'Peers Stock History'!J625/'Peers Stock History'!J$1833*100</f>
        <v>135.95530488453761</v>
      </c>
      <c r="J622" s="871">
        <f>'Peers Stock History'!K625/'Peers Stock History'!K$1833*100</f>
        <v>168.64304812834226</v>
      </c>
    </row>
    <row r="623" spans="2:10">
      <c r="B623" s="870">
        <v>43988</v>
      </c>
      <c r="C623" s="871">
        <f>'Peers Stock History'!D626/'Peers Stock History'!D$1833*100</f>
        <v>178.47434119278782</v>
      </c>
      <c r="D623" s="871">
        <f>'Peers Stock History'!E626/'Peers Stock History'!E$1833*100</f>
        <v>327.33944954128441</v>
      </c>
      <c r="E623" s="871">
        <f>'Peers Stock History'!F626/'Peers Stock History'!F$1833*100</f>
        <v>399.24812030075185</v>
      </c>
      <c r="F623" s="871">
        <f>'Peers Stock History'!G626/'Peers Stock History'!G$1833*100</f>
        <v>170.75758994040424</v>
      </c>
      <c r="G623" s="871">
        <f>'Peers Stock History'!H626/'Peers Stock History'!H$1833*100</f>
        <v>153.92980241759307</v>
      </c>
      <c r="H623" s="871">
        <f>'Peers Stock History'!I626/'Peers Stock History'!I$1833*100</f>
        <v>233.36229365768895</v>
      </c>
      <c r="I623" s="871">
        <f>'Peers Stock History'!J626/'Peers Stock History'!J$1833*100</f>
        <v>135.95530488453761</v>
      </c>
      <c r="J623" s="871">
        <f>'Peers Stock History'!K626/'Peers Stock History'!K$1833*100</f>
        <v>168.64304812834226</v>
      </c>
    </row>
    <row r="624" spans="2:10">
      <c r="B624" s="870">
        <v>43987</v>
      </c>
      <c r="C624" s="871">
        <f>'Peers Stock History'!D627/'Peers Stock History'!D$1833*100</f>
        <v>178.47434119278782</v>
      </c>
      <c r="D624" s="871">
        <f>'Peers Stock History'!E627/'Peers Stock History'!E$1833*100</f>
        <v>327.33944954128441</v>
      </c>
      <c r="E624" s="871">
        <f>'Peers Stock History'!F627/'Peers Stock History'!F$1833*100</f>
        <v>399.24812030075185</v>
      </c>
      <c r="F624" s="871">
        <f>'Peers Stock History'!G627/'Peers Stock History'!G$1833*100</f>
        <v>170.75758994040424</v>
      </c>
      <c r="G624" s="871">
        <f>'Peers Stock History'!H627/'Peers Stock History'!H$1833*100</f>
        <v>153.92980241759307</v>
      </c>
      <c r="H624" s="871">
        <f>'Peers Stock History'!I627/'Peers Stock History'!I$1833*100</f>
        <v>233.36229365768895</v>
      </c>
      <c r="I624" s="871">
        <f>'Peers Stock History'!J627/'Peers Stock History'!J$1833*100</f>
        <v>135.95530488453761</v>
      </c>
      <c r="J624" s="871">
        <f>'Peers Stock History'!K627/'Peers Stock History'!K$1833*100</f>
        <v>168.64304812834226</v>
      </c>
    </row>
    <row r="625" spans="2:10">
      <c r="B625" s="870">
        <v>43986</v>
      </c>
      <c r="C625" s="871">
        <f>'Peers Stock History'!D628/'Peers Stock History'!D$1833*100</f>
        <v>174.67406380027742</v>
      </c>
      <c r="D625" s="871">
        <f>'Peers Stock History'!E628/'Peers Stock History'!E$1833*100</f>
        <v>321.70642201834863</v>
      </c>
      <c r="E625" s="871">
        <f>'Peers Stock History'!F628/'Peers Stock History'!F$1833*100</f>
        <v>395.71428571428572</v>
      </c>
      <c r="F625" s="871">
        <f>'Peers Stock History'!G628/'Peers Stock History'!G$1833*100</f>
        <v>166.5360289314786</v>
      </c>
      <c r="G625" s="871">
        <f>'Peers Stock History'!H628/'Peers Stock History'!H$1833*100</f>
        <v>149.95388125637166</v>
      </c>
      <c r="H625" s="871">
        <f>'Peers Stock History'!I628/'Peers Stock History'!I$1833*100</f>
        <v>222.50217202432668</v>
      </c>
      <c r="I625" s="871">
        <f>'Peers Stock History'!J628/'Peers Stock History'!J$1833*100</f>
        <v>132.48270724699373</v>
      </c>
      <c r="J625" s="871">
        <f>'Peers Stock History'!K628/'Peers Stock History'!K$1833*100</f>
        <v>165.23605364090017</v>
      </c>
    </row>
    <row r="626" spans="2:10">
      <c r="B626" s="870">
        <v>43985</v>
      </c>
      <c r="C626" s="871">
        <f>'Peers Stock History'!D629/'Peers Stock History'!D$1833*100</f>
        <v>171.7891816920943</v>
      </c>
      <c r="D626" s="871">
        <f>'Peers Stock History'!E629/'Peers Stock History'!E$1833*100</f>
        <v>321.81651376146789</v>
      </c>
      <c r="E626" s="871">
        <f>'Peers Stock History'!F629/'Peers Stock History'!F$1833*100</f>
        <v>396.46616541353382</v>
      </c>
      <c r="F626" s="871">
        <f>'Peers Stock History'!G629/'Peers Stock History'!G$1833*100</f>
        <v>163.76006441223797</v>
      </c>
      <c r="G626" s="871">
        <f>'Peers Stock History'!H629/'Peers Stock History'!H$1833*100</f>
        <v>150.26457595028884</v>
      </c>
      <c r="H626" s="871">
        <f>'Peers Stock History'!I629/'Peers Stock History'!I$1833*100</f>
        <v>212.51086012163336</v>
      </c>
      <c r="I626" s="871">
        <f>'Peers Stock History'!J629/'Peers Stock History'!J$1833*100</f>
        <v>132.93050973715015</v>
      </c>
      <c r="J626" s="871">
        <f>'Peers Stock History'!K629/'Peers Stock History'!K$1833*100</f>
        <v>166.38905118018229</v>
      </c>
    </row>
    <row r="627" spans="2:10">
      <c r="B627" s="870">
        <v>43984</v>
      </c>
      <c r="C627" s="871">
        <f>'Peers Stock History'!D630/'Peers Stock History'!D$1833*100</f>
        <v>172.31622746185852</v>
      </c>
      <c r="D627" s="871">
        <f>'Peers Stock History'!E630/'Peers Stock History'!E$1833*100</f>
        <v>323.86238532110087</v>
      </c>
      <c r="E627" s="871">
        <f>'Peers Stock History'!F630/'Peers Stock History'!F$1833*100</f>
        <v>402.55639097744364</v>
      </c>
      <c r="F627" s="871">
        <f>'Peers Stock History'!G630/'Peers Stock History'!G$1833*100</f>
        <v>161.17167496402948</v>
      </c>
      <c r="G627" s="871">
        <f>'Peers Stock History'!H630/'Peers Stock History'!H$1833*100</f>
        <v>144.69634448274186</v>
      </c>
      <c r="H627" s="871">
        <f>'Peers Stock History'!I630/'Peers Stock History'!I$1833*100</f>
        <v>203.38835794960906</v>
      </c>
      <c r="I627" s="871">
        <f>'Peers Stock History'!J630/'Peers Stock History'!J$1833*100</f>
        <v>131.14057677982336</v>
      </c>
      <c r="J627" s="871">
        <f>'Peers Stock History'!K630/'Peers Stock History'!K$1833*100</f>
        <v>165.10824065545825</v>
      </c>
    </row>
    <row r="628" spans="2:10">
      <c r="B628" s="870">
        <v>43983</v>
      </c>
      <c r="C628" s="871">
        <f>'Peers Stock History'!D631/'Peers Stock History'!D$1833*100</f>
        <v>171.59500693481277</v>
      </c>
      <c r="D628" s="871">
        <f>'Peers Stock History'!E631/'Peers Stock History'!E$1833*100</f>
        <v>323.16513761467888</v>
      </c>
      <c r="E628" s="871">
        <f>'Peers Stock History'!F631/'Peers Stock History'!F$1833*100</f>
        <v>403.23308270676694</v>
      </c>
      <c r="F628" s="871">
        <f>'Peers Stock History'!G631/'Peers Stock History'!G$1833*100</f>
        <v>160.85922930115282</v>
      </c>
      <c r="G628" s="871">
        <f>'Peers Stock History'!H631/'Peers Stock History'!H$1833*100</f>
        <v>140.77867857662994</v>
      </c>
      <c r="H628" s="871">
        <f>'Peers Stock History'!I631/'Peers Stock History'!I$1833*100</f>
        <v>201.3032145960035</v>
      </c>
      <c r="I628" s="871">
        <f>'Peers Stock History'!J631/'Peers Stock History'!J$1833*100</f>
        <v>130.07257635415559</v>
      </c>
      <c r="J628" s="871">
        <f>'Peers Stock History'!K631/'Peers Stock History'!K$1833*100</f>
        <v>164.14034683749639</v>
      </c>
    </row>
    <row r="629" spans="2:10">
      <c r="B629" s="870">
        <v>43982</v>
      </c>
      <c r="C629" s="871">
        <f>'Peers Stock History'!D632/'Peers Stock History'!D$1833*100</f>
        <v>174.5631067961165</v>
      </c>
      <c r="D629" s="871">
        <f>'Peers Stock History'!E632/'Peers Stock History'!E$1833*100</f>
        <v>325.70642201834863</v>
      </c>
      <c r="E629" s="871">
        <f>'Peers Stock History'!F632/'Peers Stock History'!F$1833*100</f>
        <v>404.51127819548873</v>
      </c>
      <c r="F629" s="871">
        <f>'Peers Stock History'!G632/'Peers Stock History'!G$1833*100</f>
        <v>158.63014841107278</v>
      </c>
      <c r="G629" s="871">
        <f>'Peers Stock History'!H632/'Peers Stock History'!H$1833*100</f>
        <v>141.40006796446428</v>
      </c>
      <c r="H629" s="871">
        <f>'Peers Stock History'!I632/'Peers Stock History'!I$1833*100</f>
        <v>208.12337098175499</v>
      </c>
      <c r="I629" s="871">
        <f>'Peers Stock History'!J632/'Peers Stock History'!J$1833*100</f>
        <v>129.5864637650314</v>
      </c>
      <c r="J629" s="871">
        <f>'Peers Stock History'!K632/'Peers Stock History'!K$1833*100</f>
        <v>163.07191069931127</v>
      </c>
    </row>
    <row r="630" spans="2:10">
      <c r="B630" s="870">
        <v>43981</v>
      </c>
      <c r="C630" s="871">
        <f>'Peers Stock History'!D633/'Peers Stock History'!D$1833*100</f>
        <v>174.5631067961165</v>
      </c>
      <c r="D630" s="871">
        <f>'Peers Stock History'!E633/'Peers Stock History'!E$1833*100</f>
        <v>325.70642201834863</v>
      </c>
      <c r="E630" s="871">
        <f>'Peers Stock History'!F633/'Peers Stock History'!F$1833*100</f>
        <v>404.51127819548873</v>
      </c>
      <c r="F630" s="871">
        <f>'Peers Stock History'!G633/'Peers Stock History'!G$1833*100</f>
        <v>158.63014841107278</v>
      </c>
      <c r="G630" s="871">
        <f>'Peers Stock History'!H633/'Peers Stock History'!H$1833*100</f>
        <v>141.40006796446428</v>
      </c>
      <c r="H630" s="871">
        <f>'Peers Stock History'!I633/'Peers Stock History'!I$1833*100</f>
        <v>208.12337098175499</v>
      </c>
      <c r="I630" s="871">
        <f>'Peers Stock History'!J633/'Peers Stock History'!J$1833*100</f>
        <v>129.5864637650314</v>
      </c>
      <c r="J630" s="871">
        <f>'Peers Stock History'!K633/'Peers Stock History'!K$1833*100</f>
        <v>163.07191069931127</v>
      </c>
    </row>
    <row r="631" spans="2:10">
      <c r="B631" s="870">
        <v>43980</v>
      </c>
      <c r="C631" s="871">
        <f>'Peers Stock History'!D634/'Peers Stock History'!D$1833*100</f>
        <v>174.5631067961165</v>
      </c>
      <c r="D631" s="871">
        <f>'Peers Stock History'!E634/'Peers Stock History'!E$1833*100</f>
        <v>325.70642201834863</v>
      </c>
      <c r="E631" s="871">
        <f>'Peers Stock History'!F634/'Peers Stock History'!F$1833*100</f>
        <v>404.51127819548873</v>
      </c>
      <c r="F631" s="871">
        <f>'Peers Stock History'!G634/'Peers Stock History'!G$1833*100</f>
        <v>158.63014841107278</v>
      </c>
      <c r="G631" s="871">
        <f>'Peers Stock History'!H634/'Peers Stock History'!H$1833*100</f>
        <v>141.40006796446428</v>
      </c>
      <c r="H631" s="871">
        <f>'Peers Stock History'!I634/'Peers Stock History'!I$1833*100</f>
        <v>208.12337098175499</v>
      </c>
      <c r="I631" s="871">
        <f>'Peers Stock History'!J634/'Peers Stock History'!J$1833*100</f>
        <v>129.5864637650314</v>
      </c>
      <c r="J631" s="871">
        <f>'Peers Stock History'!K634/'Peers Stock History'!K$1833*100</f>
        <v>163.07191069931127</v>
      </c>
    </row>
    <row r="632" spans="2:10">
      <c r="B632" s="870">
        <v>43979</v>
      </c>
      <c r="C632" s="871">
        <f>'Peers Stock History'!D635/'Peers Stock History'!D$1833*100</f>
        <v>171.15117891816922</v>
      </c>
      <c r="D632" s="871">
        <f>'Peers Stock History'!E635/'Peers Stock History'!E$1833*100</f>
        <v>311.44954128440372</v>
      </c>
      <c r="E632" s="871">
        <f>'Peers Stock History'!F635/'Peers Stock History'!F$1833*100</f>
        <v>389.02255639097746</v>
      </c>
      <c r="F632" s="871">
        <f>'Peers Stock History'!G635/'Peers Stock History'!G$1833*100</f>
        <v>159.49826765234468</v>
      </c>
      <c r="G632" s="871">
        <f>'Peers Stock History'!H635/'Peers Stock History'!H$1833*100</f>
        <v>137.45327443079759</v>
      </c>
      <c r="H632" s="871">
        <f>'Peers Stock History'!I635/'Peers Stock History'!I$1833*100</f>
        <v>201.86794092093828</v>
      </c>
      <c r="I632" s="871">
        <f>'Peers Stock History'!J635/'Peers Stock History'!J$1833*100</f>
        <v>128.96584016175373</v>
      </c>
      <c r="J632" s="871">
        <f>'Peers Stock History'!K635/'Peers Stock History'!K$1833*100</f>
        <v>160.99468333722834</v>
      </c>
    </row>
    <row r="633" spans="2:10">
      <c r="B633" s="870">
        <v>43978</v>
      </c>
      <c r="C633" s="871">
        <f>'Peers Stock History'!D636/'Peers Stock History'!D$1833*100</f>
        <v>176.3106796116505</v>
      </c>
      <c r="D633" s="871">
        <f>'Peers Stock History'!E636/'Peers Stock History'!E$1833*100</f>
        <v>312.85321100917429</v>
      </c>
      <c r="E633" s="871">
        <f>'Peers Stock History'!F636/'Peers Stock History'!F$1833*100</f>
        <v>396.54135338345867</v>
      </c>
      <c r="F633" s="871">
        <f>'Peers Stock History'!G636/'Peers Stock History'!G$1833*100</f>
        <v>160.60815640416726</v>
      </c>
      <c r="G633" s="871">
        <f>'Peers Stock History'!H636/'Peers Stock History'!H$1833*100</f>
        <v>139.61357347444047</v>
      </c>
      <c r="H633" s="871">
        <f>'Peers Stock History'!I636/'Peers Stock History'!I$1833*100</f>
        <v>214.81320590790619</v>
      </c>
      <c r="I633" s="871">
        <f>'Peers Stock History'!J636/'Peers Stock History'!J$1833*100</f>
        <v>129.23826753219112</v>
      </c>
      <c r="J633" s="871">
        <f>'Peers Stock History'!K636/'Peers Stock History'!K$1833*100</f>
        <v>161.73992686581528</v>
      </c>
    </row>
    <row r="634" spans="2:10">
      <c r="B634" s="870">
        <v>43977</v>
      </c>
      <c r="C634" s="871">
        <f>'Peers Stock History'!D637/'Peers Stock History'!D$1833*100</f>
        <v>172.92649098474345</v>
      </c>
      <c r="D634" s="871">
        <f>'Peers Stock History'!E637/'Peers Stock History'!E$1833*100</f>
        <v>319.9174311926605</v>
      </c>
      <c r="E634" s="871">
        <f>'Peers Stock History'!F637/'Peers Stock History'!F$1833*100</f>
        <v>399.92481203007515</v>
      </c>
      <c r="F634" s="871">
        <f>'Peers Stock History'!G637/'Peers Stock History'!G$1833*100</f>
        <v>160.44580604827595</v>
      </c>
      <c r="G634" s="871">
        <f>'Peers Stock History'!H637/'Peers Stock History'!H$1833*100</f>
        <v>136.90955871644252</v>
      </c>
      <c r="H634" s="871">
        <f>'Peers Stock History'!I637/'Peers Stock History'!I$1833*100</f>
        <v>198.95742832319721</v>
      </c>
      <c r="I634" s="871">
        <f>'Peers Stock History'!J637/'Peers Stock History'!J$1833*100</f>
        <v>127.35000532084709</v>
      </c>
      <c r="J634" s="871">
        <f>'Peers Stock History'!K637/'Peers Stock History'!K$1833*100</f>
        <v>160.50032305513932</v>
      </c>
    </row>
    <row r="635" spans="2:10">
      <c r="B635" s="870">
        <v>43976</v>
      </c>
      <c r="C635" s="871">
        <f>'Peers Stock History'!D638/'Peers Stock History'!D$1833*100</f>
        <v>172.69070735090156</v>
      </c>
      <c r="D635" s="871">
        <f>'Peers Stock History'!E638/'Peers Stock History'!E$1833*100</f>
        <v>331.23853211009174</v>
      </c>
      <c r="E635" s="871">
        <f>'Peers Stock History'!F638/'Peers Stock History'!F$1833*100</f>
        <v>414.81203007518798</v>
      </c>
      <c r="F635" s="871">
        <f>'Peers Stock History'!G638/'Peers Stock History'!G$1833*100</f>
        <v>158.20220363101291</v>
      </c>
      <c r="G635" s="871">
        <f>'Peers Stock History'!H638/'Peers Stock History'!H$1833*100</f>
        <v>134.3026360502937</v>
      </c>
      <c r="H635" s="871">
        <f>'Peers Stock History'!I638/'Peers Stock History'!I$1833*100</f>
        <v>195.22154648132059</v>
      </c>
      <c r="I635" s="871">
        <f>'Peers Stock History'!J638/'Peers Stock History'!J$1833*100</f>
        <v>125.80397999361497</v>
      </c>
      <c r="J635" s="871">
        <f>'Peers Stock History'!K638/'Peers Stock History'!K$1833*100</f>
        <v>160.23168895976247</v>
      </c>
    </row>
    <row r="636" spans="2:10">
      <c r="B636" s="870">
        <v>43975</v>
      </c>
      <c r="C636" s="871">
        <f>'Peers Stock History'!D639/'Peers Stock History'!D$1833*100</f>
        <v>172.69070735090156</v>
      </c>
      <c r="D636" s="871">
        <f>'Peers Stock History'!E639/'Peers Stock History'!E$1833*100</f>
        <v>331.23853211009174</v>
      </c>
      <c r="E636" s="871">
        <f>'Peers Stock History'!F639/'Peers Stock History'!F$1833*100</f>
        <v>414.81203007518798</v>
      </c>
      <c r="F636" s="871">
        <f>'Peers Stock History'!G639/'Peers Stock History'!G$1833*100</f>
        <v>157.97070617649959</v>
      </c>
      <c r="G636" s="871">
        <f>'Peers Stock History'!H639/'Peers Stock History'!H$1833*100</f>
        <v>134.3026360502937</v>
      </c>
      <c r="H636" s="871">
        <f>'Peers Stock History'!I639/'Peers Stock History'!I$1833*100</f>
        <v>195.22154648132059</v>
      </c>
      <c r="I636" s="871">
        <f>'Peers Stock History'!J639/'Peers Stock History'!J$1833*100</f>
        <v>125.80397999361497</v>
      </c>
      <c r="J636" s="871">
        <f>'Peers Stock History'!K639/'Peers Stock History'!K$1833*100</f>
        <v>160.23168895976247</v>
      </c>
    </row>
    <row r="637" spans="2:10">
      <c r="B637" s="870">
        <v>43974</v>
      </c>
      <c r="C637" s="871">
        <f>'Peers Stock History'!D640/'Peers Stock History'!D$1833*100</f>
        <v>172.69070735090156</v>
      </c>
      <c r="D637" s="871">
        <f>'Peers Stock History'!E640/'Peers Stock History'!E$1833*100</f>
        <v>331.23853211009174</v>
      </c>
      <c r="E637" s="871">
        <f>'Peers Stock History'!F640/'Peers Stock History'!F$1833*100</f>
        <v>414.81203007518798</v>
      </c>
      <c r="F637" s="871">
        <f>'Peers Stock History'!G640/'Peers Stock History'!G$1833*100</f>
        <v>157.97070617649959</v>
      </c>
      <c r="G637" s="871">
        <f>'Peers Stock History'!H640/'Peers Stock History'!H$1833*100</f>
        <v>134.3026360502937</v>
      </c>
      <c r="H637" s="871">
        <f>'Peers Stock History'!I640/'Peers Stock History'!I$1833*100</f>
        <v>195.22154648132059</v>
      </c>
      <c r="I637" s="871">
        <f>'Peers Stock History'!J640/'Peers Stock History'!J$1833*100</f>
        <v>125.80397999361497</v>
      </c>
      <c r="J637" s="871">
        <f>'Peers Stock History'!K640/'Peers Stock History'!K$1833*100</f>
        <v>160.23168895976247</v>
      </c>
    </row>
    <row r="638" spans="2:10">
      <c r="B638" s="870">
        <v>43973</v>
      </c>
      <c r="C638" s="871">
        <f>'Peers Stock History'!D641/'Peers Stock History'!D$1833*100</f>
        <v>172.69070735090156</v>
      </c>
      <c r="D638" s="871">
        <f>'Peers Stock History'!E641/'Peers Stock History'!E$1833*100</f>
        <v>331.23853211009174</v>
      </c>
      <c r="E638" s="871">
        <f>'Peers Stock History'!F641/'Peers Stock History'!F$1833*100</f>
        <v>414.81203007518798</v>
      </c>
      <c r="F638" s="871">
        <f>'Peers Stock History'!G641/'Peers Stock History'!G$1833*100</f>
        <v>157.97070617649959</v>
      </c>
      <c r="G638" s="871">
        <f>'Peers Stock History'!H641/'Peers Stock History'!H$1833*100</f>
        <v>134.3026360502937</v>
      </c>
      <c r="H638" s="871">
        <f>'Peers Stock History'!I641/'Peers Stock History'!I$1833*100</f>
        <v>195.22154648132059</v>
      </c>
      <c r="I638" s="871">
        <f>'Peers Stock History'!J641/'Peers Stock History'!J$1833*100</f>
        <v>125.80397999361497</v>
      </c>
      <c r="J638" s="871">
        <f>'Peers Stock History'!K641/'Peers Stock History'!K$1833*100</f>
        <v>160.23168895976247</v>
      </c>
    </row>
    <row r="639" spans="2:10">
      <c r="B639" s="870">
        <v>43972</v>
      </c>
      <c r="C639" s="871">
        <f>'Peers Stock History'!D642/'Peers Stock History'!D$1833*100</f>
        <v>171.92787794729543</v>
      </c>
      <c r="D639" s="871">
        <f>'Peers Stock History'!E642/'Peers Stock History'!E$1833*100</f>
        <v>322.02752293577981</v>
      </c>
      <c r="E639" s="871">
        <f>'Peers Stock History'!F642/'Peers Stock History'!F$1833*100</f>
        <v>410.90225563909775</v>
      </c>
      <c r="F639" s="871">
        <f>'Peers Stock History'!G642/'Peers Stock History'!G$1833*100</f>
        <v>161.73687389682314</v>
      </c>
      <c r="G639" s="871">
        <f>'Peers Stock History'!H642/'Peers Stock History'!H$1833*100</f>
        <v>133.40453420068937</v>
      </c>
      <c r="H639" s="871">
        <f>'Peers Stock History'!I642/'Peers Stock History'!I$1833*100</f>
        <v>196.43788010425715</v>
      </c>
      <c r="I639" s="871">
        <f>'Peers Stock History'!J642/'Peers Stock History'!J$1833*100</f>
        <v>125.50856656379696</v>
      </c>
      <c r="J639" s="871">
        <f>'Peers Stock History'!K642/'Peers Stock History'!K$1833*100</f>
        <v>159.54938963199209</v>
      </c>
    </row>
    <row r="640" spans="2:10">
      <c r="B640" s="870">
        <v>43971</v>
      </c>
      <c r="C640" s="871">
        <f>'Peers Stock History'!D643/'Peers Stock History'!D$1833*100</f>
        <v>175.03467406380028</v>
      </c>
      <c r="D640" s="871">
        <f>'Peers Stock History'!E643/'Peers Stock History'!E$1833*100</f>
        <v>329.17431192660553</v>
      </c>
      <c r="E640" s="871">
        <f>'Peers Stock History'!F643/'Peers Stock History'!F$1833*100</f>
        <v>423.98496240601497</v>
      </c>
      <c r="F640" s="871">
        <f>'Peers Stock History'!G643/'Peers Stock History'!G$1833*100</f>
        <v>159.87148773376427</v>
      </c>
      <c r="G640" s="871">
        <f>'Peers Stock History'!H643/'Peers Stock History'!H$1833*100</f>
        <v>135.28812078256226</v>
      </c>
      <c r="H640" s="871">
        <f>'Peers Stock History'!I643/'Peers Stock History'!I$1833*100</f>
        <v>202.60642919200697</v>
      </c>
      <c r="I640" s="871">
        <f>'Peers Stock History'!J643/'Peers Stock History'!J$1833*100</f>
        <v>126.49185910396936</v>
      </c>
      <c r="J640" s="871">
        <f>'Peers Stock History'!K643/'Peers Stock History'!K$1833*100</f>
        <v>161.11130967928187</v>
      </c>
    </row>
    <row r="641" spans="2:10">
      <c r="B641" s="870">
        <v>43970</v>
      </c>
      <c r="C641" s="871">
        <f>'Peers Stock History'!D644/'Peers Stock History'!D$1833*100</f>
        <v>167.23994452149793</v>
      </c>
      <c r="D641" s="871">
        <f>'Peers Stock History'!E644/'Peers Stock History'!E$1833*100</f>
        <v>323.13761467889913</v>
      </c>
      <c r="E641" s="871">
        <f>'Peers Stock History'!F644/'Peers Stock History'!F$1833*100</f>
        <v>417.06766917293231</v>
      </c>
      <c r="F641" s="871">
        <f>'Peers Stock History'!G644/'Peers Stock History'!G$1833*100</f>
        <v>158.43259492607976</v>
      </c>
      <c r="G641" s="871">
        <f>'Peers Stock History'!H644/'Peers Stock History'!H$1833*100</f>
        <v>132.02097189183939</v>
      </c>
      <c r="H641" s="871">
        <f>'Peers Stock History'!I644/'Peers Stock History'!I$1833*100</f>
        <v>196.00347523892268</v>
      </c>
      <c r="I641" s="871">
        <f>'Peers Stock History'!J644/'Peers Stock History'!J$1833*100</f>
        <v>124.42013408534638</v>
      </c>
      <c r="J641" s="871">
        <f>'Peers Stock History'!K644/'Peers Stock History'!K$1833*100</f>
        <v>157.83484321515473</v>
      </c>
    </row>
    <row r="642" spans="2:10">
      <c r="B642" s="870">
        <v>43969</v>
      </c>
      <c r="C642" s="871">
        <f>'Peers Stock History'!D645/'Peers Stock History'!D$1833*100</f>
        <v>166.21359223300973</v>
      </c>
      <c r="D642" s="871">
        <f>'Peers Stock History'!E645/'Peers Stock History'!E$1833*100</f>
        <v>321.11009174311926</v>
      </c>
      <c r="E642" s="871">
        <f>'Peers Stock History'!F645/'Peers Stock History'!F$1833*100</f>
        <v>410.45112781954884</v>
      </c>
      <c r="F642" s="871">
        <f>'Peers Stock History'!G645/'Peers Stock History'!G$1833*100</f>
        <v>157.61206683661672</v>
      </c>
      <c r="G642" s="871">
        <f>'Peers Stock History'!H645/'Peers Stock History'!H$1833*100</f>
        <v>132.78799941744742</v>
      </c>
      <c r="H642" s="871">
        <f>'Peers Stock History'!I645/'Peers Stock History'!I$1833*100</f>
        <v>199.47871416159862</v>
      </c>
      <c r="I642" s="871">
        <f>'Peers Stock History'!J645/'Peers Stock History'!J$1833*100</f>
        <v>125.73842715760348</v>
      </c>
      <c r="J642" s="871">
        <f>'Peers Stock History'!K645/'Peers Stock History'!K$1833*100</f>
        <v>158.68928969110431</v>
      </c>
    </row>
    <row r="643" spans="2:10">
      <c r="B643" s="870">
        <v>43968</v>
      </c>
      <c r="C643" s="871">
        <f>'Peers Stock History'!D646/'Peers Stock History'!D$1833*100</f>
        <v>161.66435506241334</v>
      </c>
      <c r="D643" s="871">
        <f>'Peers Stock History'!E646/'Peers Stock History'!E$1833*100</f>
        <v>311.58715596330273</v>
      </c>
      <c r="E643" s="871">
        <f>'Peers Stock History'!F646/'Peers Stock History'!F$1833*100</f>
        <v>407.51879699248121</v>
      </c>
      <c r="F643" s="871">
        <f>'Peers Stock History'!G646/'Peers Stock History'!G$1833*100</f>
        <v>161.83562591387923</v>
      </c>
      <c r="G643" s="871">
        <f>'Peers Stock History'!H646/'Peers Stock History'!H$1833*100</f>
        <v>126.41875819214525</v>
      </c>
      <c r="H643" s="871">
        <f>'Peers Stock History'!I646/'Peers Stock History'!I$1833*100</f>
        <v>192.91920069504778</v>
      </c>
      <c r="I643" s="871">
        <f>'Peers Stock History'!J646/'Peers Stock History'!J$1833*100</f>
        <v>121.89847823773543</v>
      </c>
      <c r="J643" s="871">
        <f>'Peers Stock History'!K646/'Peers Stock History'!K$1833*100</f>
        <v>154.90425195551464</v>
      </c>
    </row>
    <row r="644" spans="2:10">
      <c r="B644" s="870">
        <v>43967</v>
      </c>
      <c r="C644" s="871">
        <f>'Peers Stock History'!D647/'Peers Stock History'!D$1833*100</f>
        <v>161.66435506241334</v>
      </c>
      <c r="D644" s="871">
        <f>'Peers Stock History'!E647/'Peers Stock History'!E$1833*100</f>
        <v>311.58715596330273</v>
      </c>
      <c r="E644" s="871">
        <f>'Peers Stock History'!F647/'Peers Stock History'!F$1833*100</f>
        <v>407.51879699248121</v>
      </c>
      <c r="F644" s="871">
        <f>'Peers Stock History'!G647/'Peers Stock History'!G$1833*100</f>
        <v>161.83562591387923</v>
      </c>
      <c r="G644" s="871">
        <f>'Peers Stock History'!H647/'Peers Stock History'!H$1833*100</f>
        <v>126.41875819214525</v>
      </c>
      <c r="H644" s="871">
        <f>'Peers Stock History'!I647/'Peers Stock History'!I$1833*100</f>
        <v>192.91920069504778</v>
      </c>
      <c r="I644" s="871">
        <f>'Peers Stock History'!J647/'Peers Stock History'!J$1833*100</f>
        <v>121.89847823773543</v>
      </c>
      <c r="J644" s="871">
        <f>'Peers Stock History'!K647/'Peers Stock History'!K$1833*100</f>
        <v>154.90425195551464</v>
      </c>
    </row>
    <row r="645" spans="2:10">
      <c r="B645" s="870">
        <v>43966</v>
      </c>
      <c r="C645" s="871">
        <f>'Peers Stock History'!D648/'Peers Stock History'!D$1833*100</f>
        <v>161.66435506241334</v>
      </c>
      <c r="D645" s="871">
        <f>'Peers Stock History'!E648/'Peers Stock History'!E$1833*100</f>
        <v>311.58715596330273</v>
      </c>
      <c r="E645" s="871">
        <f>'Peers Stock History'!F648/'Peers Stock History'!F$1833*100</f>
        <v>407.51879699248121</v>
      </c>
      <c r="F645" s="871">
        <f>'Peers Stock History'!G648/'Peers Stock History'!G$1833*100</f>
        <v>161.83562591387923</v>
      </c>
      <c r="G645" s="871">
        <f>'Peers Stock History'!H648/'Peers Stock History'!H$1833*100</f>
        <v>126.41875819214525</v>
      </c>
      <c r="H645" s="871">
        <f>'Peers Stock History'!I648/'Peers Stock History'!I$1833*100</f>
        <v>192.91920069504778</v>
      </c>
      <c r="I645" s="871">
        <f>'Peers Stock History'!J648/'Peers Stock History'!J$1833*100</f>
        <v>121.89847823773543</v>
      </c>
      <c r="J645" s="871">
        <f>'Peers Stock History'!K648/'Peers Stock History'!K$1833*100</f>
        <v>154.90425195551464</v>
      </c>
    </row>
    <row r="646" spans="2:10">
      <c r="B646" s="870">
        <v>43965</v>
      </c>
      <c r="C646" s="871">
        <f>'Peers Stock History'!D649/'Peers Stock History'!D$1833*100</f>
        <v>163.88349514563109</v>
      </c>
      <c r="D646" s="871">
        <f>'Peers Stock History'!E649/'Peers Stock History'!E$1833*100</f>
        <v>294.69724770642205</v>
      </c>
      <c r="E646" s="871">
        <f>'Peers Stock History'!F649/'Peers Stock History'!F$1833*100</f>
        <v>409.84962406015029</v>
      </c>
      <c r="F646" s="871">
        <f>'Peers Stock History'!G649/'Peers Stock History'!G$1833*100</f>
        <v>159.51967468082466</v>
      </c>
      <c r="G646" s="871">
        <f>'Peers Stock History'!H649/'Peers Stock History'!H$1833*100</f>
        <v>129.42375843487548</v>
      </c>
      <c r="H646" s="871">
        <f>'Peers Stock History'!I649/'Peers Stock History'!I$1833*100</f>
        <v>198.65334491746307</v>
      </c>
      <c r="I646" s="871">
        <f>'Peers Stock History'!J649/'Peers Stock History'!J$1833*100</f>
        <v>121.42173033947003</v>
      </c>
      <c r="J646" s="871">
        <f>'Peers Stock History'!K649/'Peers Stock History'!K$1833*100</f>
        <v>153.6869698802634</v>
      </c>
    </row>
    <row r="647" spans="2:10">
      <c r="B647" s="870">
        <v>43964</v>
      </c>
      <c r="C647" s="871">
        <f>'Peers Stock History'!D650/'Peers Stock History'!D$1833*100</f>
        <v>160.16643550624136</v>
      </c>
      <c r="D647" s="871">
        <f>'Peers Stock History'!E650/'Peers Stock History'!E$1833*100</f>
        <v>285.50458715596329</v>
      </c>
      <c r="E647" s="871">
        <f>'Peers Stock History'!F650/'Peers Stock History'!F$1833*100</f>
        <v>392.33082706766913</v>
      </c>
      <c r="F647" s="871">
        <f>'Peers Stock History'!G650/'Peers Stock History'!G$1833*100</f>
        <v>161.59465993903075</v>
      </c>
      <c r="G647" s="871">
        <f>'Peers Stock History'!H650/'Peers Stock History'!H$1833*100</f>
        <v>127.74891985047816</v>
      </c>
      <c r="H647" s="871">
        <f>'Peers Stock History'!I650/'Peers Stock History'!I$1833*100</f>
        <v>189.09643788010428</v>
      </c>
      <c r="I647" s="871">
        <f>'Peers Stock History'!J650/'Peers Stock History'!J$1833*100</f>
        <v>120.03831009896774</v>
      </c>
      <c r="J647" s="871">
        <f>'Peers Stock History'!K650/'Peers Stock History'!K$1833*100</f>
        <v>152.30274734338701</v>
      </c>
    </row>
    <row r="648" spans="2:10">
      <c r="B648" s="870">
        <v>43963</v>
      </c>
      <c r="C648" s="871">
        <f>'Peers Stock History'!D651/'Peers Stock History'!D$1833*100</f>
        <v>161.96948682385576</v>
      </c>
      <c r="D648" s="871">
        <f>'Peers Stock History'!E651/'Peers Stock History'!E$1833*100</f>
        <v>286.33027522935782</v>
      </c>
      <c r="E648" s="871">
        <f>'Peers Stock History'!F651/'Peers Stock History'!F$1833*100</f>
        <v>404.21052631578942</v>
      </c>
      <c r="F648" s="871">
        <f>'Peers Stock History'!G651/'Peers Stock History'!G$1833*100</f>
        <v>160.44208463131903</v>
      </c>
      <c r="G648" s="871">
        <f>'Peers Stock History'!H651/'Peers Stock History'!H$1833*100</f>
        <v>130.32186028447981</v>
      </c>
      <c r="H648" s="871">
        <f>'Peers Stock History'!I651/'Peers Stock History'!I$1833*100</f>
        <v>198.47958297132928</v>
      </c>
      <c r="I648" s="871">
        <f>'Peers Stock History'!J651/'Peers Stock History'!J$1833*100</f>
        <v>122.17175694370543</v>
      </c>
      <c r="J648" s="871">
        <f>'Peers Stock History'!K651/'Peers Stock History'!K$1833*100</f>
        <v>154.69789189337806</v>
      </c>
    </row>
    <row r="649" spans="2:10">
      <c r="B649" s="870">
        <v>43962</v>
      </c>
      <c r="C649" s="871">
        <f>'Peers Stock History'!D652/'Peers Stock History'!D$1833*100</f>
        <v>166.79611650485441</v>
      </c>
      <c r="D649" s="871">
        <f>'Peers Stock History'!E652/'Peers Stock History'!E$1833*100</f>
        <v>295.98165137614683</v>
      </c>
      <c r="E649" s="871">
        <f>'Peers Stock History'!F652/'Peers Stock History'!F$1833*100</f>
        <v>419.09774436090225</v>
      </c>
      <c r="F649" s="871">
        <f>'Peers Stock History'!G652/'Peers Stock History'!G$1833*100</f>
        <v>163.97394346893688</v>
      </c>
      <c r="G649" s="871">
        <f>'Peers Stock History'!H652/'Peers Stock History'!H$1833*100</f>
        <v>133.69581047623669</v>
      </c>
      <c r="H649" s="871">
        <f>'Peers Stock History'!I652/'Peers Stock History'!I$1833*100</f>
        <v>209.38314509122503</v>
      </c>
      <c r="I649" s="871">
        <f>'Peers Stock History'!J652/'Peers Stock History'!J$1833*100</f>
        <v>124.73427689688199</v>
      </c>
      <c r="J649" s="871">
        <f>'Peers Stock History'!K652/'Peers Stock History'!K$1833*100</f>
        <v>157.95925381136328</v>
      </c>
    </row>
    <row r="650" spans="2:10">
      <c r="B650" s="870">
        <v>43961</v>
      </c>
      <c r="C650" s="871">
        <f>'Peers Stock History'!D653/'Peers Stock History'!D$1833*100</f>
        <v>165.52011095700419</v>
      </c>
      <c r="D650" s="871">
        <f>'Peers Stock History'!E653/'Peers Stock History'!E$1833*100</f>
        <v>286.69724770642205</v>
      </c>
      <c r="E650" s="871">
        <f>'Peers Stock History'!F653/'Peers Stock History'!F$1833*100</f>
        <v>399.92481203007515</v>
      </c>
      <c r="F650" s="871">
        <f>'Peers Stock History'!G653/'Peers Stock History'!G$1833*100</f>
        <v>162.15415448955412</v>
      </c>
      <c r="G650" s="871">
        <f>'Peers Stock History'!H653/'Peers Stock History'!H$1833*100</f>
        <v>133.5161901063158</v>
      </c>
      <c r="H650" s="871">
        <f>'Peers Stock History'!I653/'Peers Stock History'!I$1833*100</f>
        <v>209.60034752389225</v>
      </c>
      <c r="I650" s="871">
        <f>'Peers Stock History'!J653/'Peers Stock History'!J$1833*100</f>
        <v>124.71214217303395</v>
      </c>
      <c r="J650" s="871">
        <f>'Peers Stock History'!K653/'Peers Stock History'!K$1833*100</f>
        <v>156.73880991985484</v>
      </c>
    </row>
    <row r="651" spans="2:10">
      <c r="B651" s="870">
        <v>43960</v>
      </c>
      <c r="C651" s="871">
        <f>'Peers Stock History'!D654/'Peers Stock History'!D$1833*100</f>
        <v>165.52011095700419</v>
      </c>
      <c r="D651" s="871">
        <f>'Peers Stock History'!E654/'Peers Stock History'!E$1833*100</f>
        <v>286.69724770642205</v>
      </c>
      <c r="E651" s="871">
        <f>'Peers Stock History'!F654/'Peers Stock History'!F$1833*100</f>
        <v>399.92481203007515</v>
      </c>
      <c r="F651" s="871">
        <f>'Peers Stock History'!G654/'Peers Stock History'!G$1833*100</f>
        <v>162.15415448955412</v>
      </c>
      <c r="G651" s="871">
        <f>'Peers Stock History'!H654/'Peers Stock History'!H$1833*100</f>
        <v>133.5161901063158</v>
      </c>
      <c r="H651" s="871">
        <f>'Peers Stock History'!I654/'Peers Stock History'!I$1833*100</f>
        <v>209.60034752389225</v>
      </c>
      <c r="I651" s="871">
        <f>'Peers Stock History'!J654/'Peers Stock History'!J$1833*100</f>
        <v>124.71214217303395</v>
      </c>
      <c r="J651" s="871">
        <f>'Peers Stock History'!K654/'Peers Stock History'!K$1833*100</f>
        <v>156.73880991985484</v>
      </c>
    </row>
    <row r="652" spans="2:10">
      <c r="B652" s="870">
        <v>43959</v>
      </c>
      <c r="C652" s="871">
        <f>'Peers Stock History'!D655/'Peers Stock History'!D$1833*100</f>
        <v>165.52011095700419</v>
      </c>
      <c r="D652" s="871">
        <f>'Peers Stock History'!E655/'Peers Stock History'!E$1833*100</f>
        <v>286.69724770642205</v>
      </c>
      <c r="E652" s="871">
        <f>'Peers Stock History'!F655/'Peers Stock History'!F$1833*100</f>
        <v>399.92481203007515</v>
      </c>
      <c r="F652" s="871">
        <f>'Peers Stock History'!G655/'Peers Stock History'!G$1833*100</f>
        <v>162.15415448955412</v>
      </c>
      <c r="G652" s="871">
        <f>'Peers Stock History'!H655/'Peers Stock History'!H$1833*100</f>
        <v>133.5161901063158</v>
      </c>
      <c r="H652" s="871">
        <f>'Peers Stock History'!I655/'Peers Stock History'!I$1833*100</f>
        <v>209.60034752389225</v>
      </c>
      <c r="I652" s="871">
        <f>'Peers Stock History'!J655/'Peers Stock History'!J$1833*100</f>
        <v>124.71214217303395</v>
      </c>
      <c r="J652" s="871">
        <f>'Peers Stock History'!K655/'Peers Stock History'!K$1833*100</f>
        <v>156.73880991985484</v>
      </c>
    </row>
    <row r="653" spans="2:10">
      <c r="B653" s="870">
        <v>43958</v>
      </c>
      <c r="C653" s="871">
        <f>'Peers Stock History'!D656/'Peers Stock History'!D$1833*100</f>
        <v>164.13314840499308</v>
      </c>
      <c r="D653" s="871">
        <f>'Peers Stock History'!E656/'Peers Stock History'!E$1833*100</f>
        <v>279.69724770642205</v>
      </c>
      <c r="E653" s="871">
        <f>'Peers Stock History'!F656/'Peers Stock History'!F$1833*100</f>
        <v>390.6015037593985</v>
      </c>
      <c r="F653" s="871">
        <f>'Peers Stock History'!G656/'Peers Stock History'!G$1833*100</f>
        <v>161.93711697308831</v>
      </c>
      <c r="G653" s="871">
        <f>'Peers Stock History'!H656/'Peers Stock History'!H$1833*100</f>
        <v>129.98203796300791</v>
      </c>
      <c r="H653" s="871">
        <f>'Peers Stock History'!I656/'Peers Stock History'!I$1833*100</f>
        <v>202.38922675933972</v>
      </c>
      <c r="I653" s="871">
        <f>'Peers Stock History'!J656/'Peers Stock History'!J$1833*100</f>
        <v>122.64297116100884</v>
      </c>
      <c r="J653" s="871">
        <f>'Peers Stock History'!K656/'Peers Stock History'!K$1833*100</f>
        <v>154.3045550774645</v>
      </c>
    </row>
    <row r="654" spans="2:10">
      <c r="B654" s="870">
        <v>43957</v>
      </c>
      <c r="C654" s="871">
        <f>'Peers Stock History'!D657/'Peers Stock History'!D$1833*100</f>
        <v>164.16088765603328</v>
      </c>
      <c r="D654" s="871">
        <f>'Peers Stock History'!E657/'Peers Stock History'!E$1833*100</f>
        <v>273.20183486238534</v>
      </c>
      <c r="E654" s="871">
        <f>'Peers Stock History'!F657/'Peers Stock History'!F$1833*100</f>
        <v>392.18045112781954</v>
      </c>
      <c r="F654" s="871">
        <f>'Peers Stock History'!G657/'Peers Stock History'!G$1833*100</f>
        <v>160.52440148986358</v>
      </c>
      <c r="G654" s="871">
        <f>'Peers Stock History'!H657/'Peers Stock History'!H$1833*100</f>
        <v>128.24894412350113</v>
      </c>
      <c r="H654" s="871">
        <f>'Peers Stock History'!I657/'Peers Stock History'!I$1833*100</f>
        <v>200.17376194613382</v>
      </c>
      <c r="I654" s="871">
        <f>'Peers Stock History'!J657/'Peers Stock History'!J$1833*100</f>
        <v>121.24805789081623</v>
      </c>
      <c r="J654" s="871">
        <f>'Peers Stock History'!K657/'Peers Stock History'!K$1833*100</f>
        <v>152.15189090359212</v>
      </c>
    </row>
    <row r="655" spans="2:10">
      <c r="B655" s="870">
        <v>43956</v>
      </c>
      <c r="C655" s="871">
        <f>'Peers Stock History'!D658/'Peers Stock History'!D$1833*100</f>
        <v>162.96809986130376</v>
      </c>
      <c r="D655" s="871">
        <f>'Peers Stock History'!E658/'Peers Stock History'!E$1833*100</f>
        <v>269.48623853211006</v>
      </c>
      <c r="E655" s="871">
        <f>'Peers Stock History'!F658/'Peers Stock History'!F$1833*100</f>
        <v>392.40601503759393</v>
      </c>
      <c r="F655" s="871">
        <f>'Peers Stock History'!G658/'Peers Stock History'!G$1833*100</f>
        <v>160.9615707609949</v>
      </c>
      <c r="G655" s="871">
        <f>'Peers Stock History'!H658/'Peers Stock History'!H$1833*100</f>
        <v>128.58391184038061</v>
      </c>
      <c r="H655" s="871">
        <f>'Peers Stock History'!I658/'Peers Stock History'!I$1833*100</f>
        <v>197.26324934839269</v>
      </c>
      <c r="I655" s="871">
        <f>'Peers Stock History'!J658/'Peers Stock History'!J$1833*100</f>
        <v>122.10024475896563</v>
      </c>
      <c r="J655" s="871">
        <f>'Peers Stock History'!K658/'Peers Stock History'!K$1833*100</f>
        <v>151.37403255296041</v>
      </c>
    </row>
    <row r="656" spans="2:10">
      <c r="B656" s="870">
        <v>43955</v>
      </c>
      <c r="C656" s="871">
        <f>'Peers Stock History'!D659/'Peers Stock History'!D$1833*100</f>
        <v>160.8599167822469</v>
      </c>
      <c r="D656" s="871">
        <f>'Peers Stock History'!E659/'Peers Stock History'!E$1833*100</f>
        <v>267.23394495412845</v>
      </c>
      <c r="E656" s="871">
        <f>'Peers Stock History'!F659/'Peers Stock History'!F$1833*100</f>
        <v>395.18796992481202</v>
      </c>
      <c r="F656" s="871">
        <f>'Peers Stock History'!G659/'Peers Stock History'!G$1833*100</f>
        <v>160.99110142655496</v>
      </c>
      <c r="G656" s="871">
        <f>'Peers Stock History'!H659/'Peers Stock History'!H$1833*100</f>
        <v>127.31686004174958</v>
      </c>
      <c r="H656" s="871">
        <f>'Peers Stock History'!I659/'Peers Stock History'!I$1833*100</f>
        <v>193.13640312771503</v>
      </c>
      <c r="I656" s="871">
        <f>'Peers Stock History'!J659/'Peers Stock History'!J$1833*100</f>
        <v>121.00627859955304</v>
      </c>
      <c r="J656" s="871">
        <f>'Peers Stock History'!K659/'Peers Stock History'!K$1833*100</f>
        <v>149.68304510399628</v>
      </c>
    </row>
    <row r="657" spans="2:10">
      <c r="B657" s="870">
        <v>43954</v>
      </c>
      <c r="C657" s="871">
        <f>'Peers Stock History'!D660/'Peers Stock History'!D$1833*100</f>
        <v>159.41747572815535</v>
      </c>
      <c r="D657" s="871">
        <f>'Peers Stock History'!E660/'Peers Stock History'!E$1833*100</f>
        <v>259.43119266055044</v>
      </c>
      <c r="E657" s="871">
        <f>'Peers Stock History'!F660/'Peers Stock History'!F$1833*100</f>
        <v>375.03759398496237</v>
      </c>
      <c r="F657" s="871">
        <f>'Peers Stock History'!G660/'Peers Stock History'!G$1833*100</f>
        <v>166.35414800883569</v>
      </c>
      <c r="G657" s="871">
        <f>'Peers Stock History'!H660/'Peers Stock History'!H$1833*100</f>
        <v>126.07408126608087</v>
      </c>
      <c r="H657" s="871">
        <f>'Peers Stock History'!I660/'Peers Stock History'!I$1833*100</f>
        <v>195.742832319722</v>
      </c>
      <c r="I657" s="871">
        <f>'Peers Stock History'!J660/'Peers Stock History'!J$1833*100</f>
        <v>120.49420027668405</v>
      </c>
      <c r="J657" s="871">
        <f>'Peers Stock History'!K660/'Peers Stock History'!K$1833*100</f>
        <v>147.86556782095874</v>
      </c>
    </row>
    <row r="658" spans="2:10">
      <c r="B658" s="870">
        <v>43953</v>
      </c>
      <c r="C658" s="871">
        <f>'Peers Stock History'!D661/'Peers Stock History'!D$1833*100</f>
        <v>159.41747572815535</v>
      </c>
      <c r="D658" s="871">
        <f>'Peers Stock History'!E661/'Peers Stock History'!E$1833*100</f>
        <v>259.43119266055044</v>
      </c>
      <c r="E658" s="871">
        <f>'Peers Stock History'!F661/'Peers Stock History'!F$1833*100</f>
        <v>375.03759398496237</v>
      </c>
      <c r="F658" s="871">
        <f>'Peers Stock History'!G661/'Peers Stock History'!G$1833*100</f>
        <v>166.35414800883569</v>
      </c>
      <c r="G658" s="871">
        <f>'Peers Stock History'!H661/'Peers Stock History'!H$1833*100</f>
        <v>126.07408126608087</v>
      </c>
      <c r="H658" s="871">
        <f>'Peers Stock History'!I661/'Peers Stock History'!I$1833*100</f>
        <v>195.742832319722</v>
      </c>
      <c r="I658" s="871">
        <f>'Peers Stock History'!J661/'Peers Stock History'!J$1833*100</f>
        <v>120.49420027668405</v>
      </c>
      <c r="J658" s="871">
        <f>'Peers Stock History'!K661/'Peers Stock History'!K$1833*100</f>
        <v>147.86556782095874</v>
      </c>
    </row>
    <row r="659" spans="2:10">
      <c r="B659" s="870">
        <v>43952</v>
      </c>
      <c r="C659" s="871">
        <f>'Peers Stock History'!D662/'Peers Stock History'!D$1833*100</f>
        <v>159.41747572815535</v>
      </c>
      <c r="D659" s="871">
        <f>'Peers Stock History'!E662/'Peers Stock History'!E$1833*100</f>
        <v>259.43119266055044</v>
      </c>
      <c r="E659" s="871">
        <f>'Peers Stock History'!F662/'Peers Stock History'!F$1833*100</f>
        <v>375.03759398496237</v>
      </c>
      <c r="F659" s="871">
        <f>'Peers Stock History'!G662/'Peers Stock History'!G$1833*100</f>
        <v>166.35414800883569</v>
      </c>
      <c r="G659" s="871">
        <f>'Peers Stock History'!H662/'Peers Stock History'!H$1833*100</f>
        <v>126.07408126608087</v>
      </c>
      <c r="H659" s="871">
        <f>'Peers Stock History'!I662/'Peers Stock History'!I$1833*100</f>
        <v>195.742832319722</v>
      </c>
      <c r="I659" s="871">
        <f>'Peers Stock History'!J662/'Peers Stock History'!J$1833*100</f>
        <v>120.49420027668405</v>
      </c>
      <c r="J659" s="871">
        <f>'Peers Stock History'!K662/'Peers Stock History'!K$1833*100</f>
        <v>147.86556782095874</v>
      </c>
    </row>
    <row r="660" spans="2:10">
      <c r="B660" s="870">
        <v>43951</v>
      </c>
      <c r="C660" s="871">
        <f>'Peers Stock History'!D663/'Peers Stock History'!D$1833*100</f>
        <v>166.38002773925103</v>
      </c>
      <c r="D660" s="871">
        <f>'Peers Stock History'!E663/'Peers Stock History'!E$1833*100</f>
        <v>268.14678899082566</v>
      </c>
      <c r="E660" s="871">
        <f>'Peers Stock History'!F663/'Peers Stock History'!F$1833*100</f>
        <v>393.90977443609023</v>
      </c>
      <c r="F660" s="871">
        <f>'Peers Stock History'!G663/'Peers Stock History'!G$1833*100</f>
        <v>166.35414800883569</v>
      </c>
      <c r="G660" s="871">
        <f>'Peers Stock History'!H663/'Peers Stock History'!H$1833*100</f>
        <v>131.86076994028838</v>
      </c>
      <c r="H660" s="871">
        <f>'Peers Stock History'!I663/'Peers Stock History'!I$1833*100</f>
        <v>208.03649000868808</v>
      </c>
      <c r="I660" s="871">
        <f>'Peers Stock History'!J663/'Peers Stock History'!J$1833*100</f>
        <v>123.97275726295625</v>
      </c>
      <c r="J660" s="871">
        <f>'Peers Stock History'!K663/'Peers Stock History'!K$1833*100</f>
        <v>152.75612430062</v>
      </c>
    </row>
    <row r="661" spans="2:10">
      <c r="B661" s="870">
        <v>43950</v>
      </c>
      <c r="C661" s="871">
        <f>'Peers Stock History'!D664/'Peers Stock History'!D$1833*100</f>
        <v>171.42857142857144</v>
      </c>
      <c r="D661" s="871">
        <f>'Peers Stock History'!E664/'Peers Stock History'!E$1833*100</f>
        <v>273.81651376146789</v>
      </c>
      <c r="E661" s="871">
        <f>'Peers Stock History'!F664/'Peers Stock History'!F$1833*100</f>
        <v>403.45864661654127</v>
      </c>
      <c r="F661" s="871">
        <f>'Peers Stock History'!G664/'Peers Stock History'!G$1833*100</f>
        <v>163.05915499653153</v>
      </c>
      <c r="G661" s="871">
        <f>'Peers Stock History'!H664/'Peers Stock History'!H$1833*100</f>
        <v>133.99679596096897</v>
      </c>
      <c r="H661" s="871">
        <f>'Peers Stock History'!I664/'Peers Stock History'!I$1833*100</f>
        <v>216.46394439617725</v>
      </c>
      <c r="I661" s="871">
        <f>'Peers Stock History'!J664/'Peers Stock History'!J$1833*100</f>
        <v>125.1254655741194</v>
      </c>
      <c r="J661" s="871">
        <f>'Peers Stock History'!K664/'Peers Stock History'!K$1833*100</f>
        <v>153.18845112244477</v>
      </c>
    </row>
    <row r="662" spans="2:10">
      <c r="B662" s="870">
        <v>43949</v>
      </c>
      <c r="C662" s="871">
        <f>'Peers Stock History'!D665/'Peers Stock History'!D$1833*100</f>
        <v>162.96809986130376</v>
      </c>
      <c r="D662" s="871">
        <f>'Peers Stock History'!E665/'Peers Stock History'!E$1833*100</f>
        <v>267.30275229357801</v>
      </c>
      <c r="E662" s="871">
        <f>'Peers Stock History'!F665/'Peers Stock History'!F$1833*100</f>
        <v>417.3684210526315</v>
      </c>
      <c r="F662" s="871">
        <f>'Peers Stock History'!G665/'Peers Stock History'!G$1833*100</f>
        <v>160.98876985893008</v>
      </c>
      <c r="G662" s="871">
        <f>'Peers Stock History'!H665/'Peers Stock History'!H$1833*100</f>
        <v>128.51594737608622</v>
      </c>
      <c r="H662" s="871">
        <f>'Peers Stock History'!I665/'Peers Stock History'!I$1833*100</f>
        <v>196.82884448305822</v>
      </c>
      <c r="I662" s="871">
        <f>'Peers Stock History'!J665/'Peers Stock History'!J$1833*100</f>
        <v>121.88528253697987</v>
      </c>
      <c r="J662" s="871">
        <f>'Peers Stock History'!K665/'Peers Stock History'!K$1833*100</f>
        <v>147.9133902918494</v>
      </c>
    </row>
    <row r="663" spans="2:10">
      <c r="B663" s="870">
        <v>43948</v>
      </c>
      <c r="C663" s="871">
        <f>'Peers Stock History'!D666/'Peers Stock History'!D$1833*100</f>
        <v>164.96532593619972</v>
      </c>
      <c r="D663" s="871">
        <f>'Peers Stock History'!E666/'Peers Stock History'!E$1833*100</f>
        <v>272.55045871559633</v>
      </c>
      <c r="E663" s="871">
        <f>'Peers Stock History'!F666/'Peers Stock History'!F$1833*100</f>
        <v>424.73684210526318</v>
      </c>
      <c r="F663" s="871">
        <f>'Peers Stock History'!G666/'Peers Stock History'!G$1833*100</f>
        <v>161.42605190224236</v>
      </c>
      <c r="G663" s="871">
        <f>'Peers Stock History'!H666/'Peers Stock History'!H$1833*100</f>
        <v>130.32186028447981</v>
      </c>
      <c r="H663" s="871">
        <f>'Peers Stock History'!I666/'Peers Stock History'!I$1833*100</f>
        <v>196.69852302345788</v>
      </c>
      <c r="I663" s="871">
        <f>'Peers Stock History'!J666/'Peers Stock History'!J$1833*100</f>
        <v>122.52761519633926</v>
      </c>
      <c r="J663" s="871">
        <f>'Peers Stock History'!K666/'Peers Stock History'!K$1833*100</f>
        <v>150.01725251914274</v>
      </c>
    </row>
    <row r="664" spans="2:10">
      <c r="B664" s="870">
        <v>43947</v>
      </c>
      <c r="C664" s="871">
        <f>'Peers Stock History'!D667/'Peers Stock History'!D$1833*100</f>
        <v>164.38280166435507</v>
      </c>
      <c r="D664" s="871">
        <f>'Peers Stock History'!E667/'Peers Stock History'!E$1833*100</f>
        <v>265.67889908256876</v>
      </c>
      <c r="E664" s="871">
        <f>'Peers Stock History'!F667/'Peers Stock History'!F$1833*100</f>
        <v>422.40601503759399</v>
      </c>
      <c r="F664" s="871">
        <f>'Peers Stock History'!G667/'Peers Stock History'!G$1833*100</f>
        <v>158.9945330969268</v>
      </c>
      <c r="G664" s="871">
        <f>'Peers Stock History'!H667/'Peers Stock History'!H$1833*100</f>
        <v>128.55478421282587</v>
      </c>
      <c r="H664" s="871">
        <f>'Peers Stock History'!I667/'Peers Stock History'!I$1833*100</f>
        <v>191.83318853171153</v>
      </c>
      <c r="I664" s="871">
        <f>'Peers Stock History'!J667/'Peers Stock History'!J$1833*100</f>
        <v>120.750877939768</v>
      </c>
      <c r="J664" s="871">
        <f>'Peers Stock History'!K667/'Peers Stock History'!K$1833*100</f>
        <v>148.37372668160512</v>
      </c>
    </row>
    <row r="665" spans="2:10">
      <c r="B665" s="870">
        <v>43946</v>
      </c>
      <c r="C665" s="871">
        <f>'Peers Stock History'!D668/'Peers Stock History'!D$1833*100</f>
        <v>164.38280166435507</v>
      </c>
      <c r="D665" s="871">
        <f>'Peers Stock History'!E668/'Peers Stock History'!E$1833*100</f>
        <v>265.67889908256876</v>
      </c>
      <c r="E665" s="871">
        <f>'Peers Stock History'!F668/'Peers Stock History'!F$1833*100</f>
        <v>422.40601503759399</v>
      </c>
      <c r="F665" s="871">
        <f>'Peers Stock History'!G668/'Peers Stock History'!G$1833*100</f>
        <v>158.9945330969268</v>
      </c>
      <c r="G665" s="871">
        <f>'Peers Stock History'!H668/'Peers Stock History'!H$1833*100</f>
        <v>128.55478421282587</v>
      </c>
      <c r="H665" s="871">
        <f>'Peers Stock History'!I668/'Peers Stock History'!I$1833*100</f>
        <v>191.83318853171153</v>
      </c>
      <c r="I665" s="871">
        <f>'Peers Stock History'!J668/'Peers Stock History'!J$1833*100</f>
        <v>120.750877939768</v>
      </c>
      <c r="J665" s="871">
        <f>'Peers Stock History'!K668/'Peers Stock History'!K$1833*100</f>
        <v>148.37372668160512</v>
      </c>
    </row>
    <row r="666" spans="2:10">
      <c r="B666" s="870">
        <v>43945</v>
      </c>
      <c r="C666" s="871">
        <f>'Peers Stock History'!D669/'Peers Stock History'!D$1833*100</f>
        <v>164.38280166435507</v>
      </c>
      <c r="D666" s="871">
        <f>'Peers Stock History'!E669/'Peers Stock History'!E$1833*100</f>
        <v>265.67889908256876</v>
      </c>
      <c r="E666" s="871">
        <f>'Peers Stock History'!F669/'Peers Stock History'!F$1833*100</f>
        <v>422.40601503759399</v>
      </c>
      <c r="F666" s="871">
        <f>'Peers Stock History'!G669/'Peers Stock History'!G$1833*100</f>
        <v>158.9945330969268</v>
      </c>
      <c r="G666" s="871">
        <f>'Peers Stock History'!H669/'Peers Stock History'!H$1833*100</f>
        <v>128.55478421282587</v>
      </c>
      <c r="H666" s="871">
        <f>'Peers Stock History'!I669/'Peers Stock History'!I$1833*100</f>
        <v>191.83318853171153</v>
      </c>
      <c r="I666" s="871">
        <f>'Peers Stock History'!J669/'Peers Stock History'!J$1833*100</f>
        <v>120.750877939768</v>
      </c>
      <c r="J666" s="871">
        <f>'Peers Stock History'!K669/'Peers Stock History'!K$1833*100</f>
        <v>148.37372668160512</v>
      </c>
    </row>
    <row r="667" spans="2:10">
      <c r="B667" s="870">
        <v>43944</v>
      </c>
      <c r="C667" s="871">
        <f>'Peers Stock History'!D670/'Peers Stock History'!D$1833*100</f>
        <v>163.77253814147019</v>
      </c>
      <c r="D667" s="871">
        <f>'Peers Stock History'!E670/'Peers Stock History'!E$1833*100</f>
        <v>260.55963302752292</v>
      </c>
      <c r="E667" s="871">
        <f>'Peers Stock History'!F670/'Peers Stock History'!F$1833*100</f>
        <v>420.30075187969925</v>
      </c>
      <c r="F667" s="871">
        <f>'Peers Stock History'!G670/'Peers Stock History'!G$1833*100</f>
        <v>159.90673461316484</v>
      </c>
      <c r="G667" s="871">
        <f>'Peers Stock History'!H670/'Peers Stock History'!H$1833*100</f>
        <v>125.70027671246177</v>
      </c>
      <c r="H667" s="871">
        <f>'Peers Stock History'!I670/'Peers Stock History'!I$1833*100</f>
        <v>190.13900955690707</v>
      </c>
      <c r="I667" s="871">
        <f>'Peers Stock History'!J670/'Peers Stock History'!J$1833*100</f>
        <v>119.09332765776313</v>
      </c>
      <c r="J667" s="871">
        <f>'Peers Stock History'!K670/'Peers Stock History'!K$1833*100</f>
        <v>145.9720007423395</v>
      </c>
    </row>
    <row r="668" spans="2:10">
      <c r="B668" s="870">
        <v>43943</v>
      </c>
      <c r="C668" s="871">
        <f>'Peers Stock History'!D671/'Peers Stock History'!D$1833*100</f>
        <v>166.71289875173372</v>
      </c>
      <c r="D668" s="871">
        <f>'Peers Stock History'!E671/'Peers Stock History'!E$1833*100</f>
        <v>262.52293577981646</v>
      </c>
      <c r="E668" s="871">
        <f>'Peers Stock History'!F671/'Peers Stock History'!F$1833*100</f>
        <v>420.4511278195489</v>
      </c>
      <c r="F668" s="871">
        <f>'Peers Stock History'!G671/'Peers Stock History'!G$1833*100</f>
        <v>158.98396235474891</v>
      </c>
      <c r="G668" s="871">
        <f>'Peers Stock History'!H671/'Peers Stock History'!H$1833*100</f>
        <v>126.20515559007718</v>
      </c>
      <c r="H668" s="871">
        <f>'Peers Stock History'!I671/'Peers Stock History'!I$1833*100</f>
        <v>190.74717636837531</v>
      </c>
      <c r="I668" s="871">
        <f>'Peers Stock History'!J671/'Peers Stock History'!J$1833*100</f>
        <v>119.15760349047568</v>
      </c>
      <c r="J668" s="871">
        <f>'Peers Stock History'!K671/'Peers Stock History'!K$1833*100</f>
        <v>145.98275779112768</v>
      </c>
    </row>
    <row r="669" spans="2:10">
      <c r="B669" s="870">
        <v>43942</v>
      </c>
      <c r="C669" s="871">
        <f>'Peers Stock History'!D672/'Peers Stock History'!D$1833*100</f>
        <v>156.3384188626907</v>
      </c>
      <c r="D669" s="871">
        <f>'Peers Stock History'!E672/'Peers Stock History'!E$1833*100</f>
        <v>247.25688073394494</v>
      </c>
      <c r="E669" s="871">
        <f>'Peers Stock History'!F672/'Peers Stock History'!F$1833*100</f>
        <v>397.89473684210526</v>
      </c>
      <c r="F669" s="871">
        <f>'Peers Stock History'!G672/'Peers Stock History'!G$1833*100</f>
        <v>159.54593893619102</v>
      </c>
      <c r="G669" s="871">
        <f>'Peers Stock History'!H672/'Peers Stock History'!H$1833*100</f>
        <v>120.22428273217147</v>
      </c>
      <c r="H669" s="871">
        <f>'Peers Stock History'!I672/'Peers Stock History'!I$1833*100</f>
        <v>179.88705473501304</v>
      </c>
      <c r="I669" s="871">
        <f>'Peers Stock History'!J672/'Peers Stock History'!J$1833*100</f>
        <v>116.4865382568905</v>
      </c>
      <c r="J669" s="871">
        <f>'Peers Stock History'!K672/'Peers Stock History'!K$1833*100</f>
        <v>141.99354233397028</v>
      </c>
    </row>
    <row r="670" spans="2:10">
      <c r="B670" s="870">
        <v>43941</v>
      </c>
      <c r="C670" s="871">
        <f>'Peers Stock History'!D673/'Peers Stock History'!D$1833*100</f>
        <v>164.16088765603328</v>
      </c>
      <c r="D670" s="871">
        <f>'Peers Stock History'!E673/'Peers Stock History'!E$1833*100</f>
        <v>263.348623853211</v>
      </c>
      <c r="E670" s="871">
        <f>'Peers Stock History'!F673/'Peers Stock History'!F$1833*100</f>
        <v>428.3458646616541</v>
      </c>
      <c r="F670" s="871">
        <f>'Peers Stock History'!G673/'Peers Stock History'!G$1833*100</f>
        <v>164.68172477363674</v>
      </c>
      <c r="G670" s="871">
        <f>'Peers Stock History'!H673/'Peers Stock History'!H$1833*100</f>
        <v>125.38472741395212</v>
      </c>
      <c r="H670" s="871">
        <f>'Peers Stock History'!I673/'Peers Stock History'!I$1833*100</f>
        <v>188.53171155516941</v>
      </c>
      <c r="I670" s="871">
        <f>'Peers Stock History'!J673/'Peers Stock History'!J$1833*100</f>
        <v>120.1728211131212</v>
      </c>
      <c r="J670" s="871">
        <f>'Peers Stock History'!K673/'Peers Stock History'!K$1833*100</f>
        <v>147.10570089218206</v>
      </c>
    </row>
    <row r="671" spans="2:10">
      <c r="B671" s="870">
        <v>43940</v>
      </c>
      <c r="C671" s="871">
        <f>'Peers Stock History'!D674/'Peers Stock History'!D$1833*100</f>
        <v>167.43411927877949</v>
      </c>
      <c r="D671" s="871">
        <f>'Peers Stock History'!E674/'Peers Stock History'!E$1833*100</f>
        <v>268.18348623853211</v>
      </c>
      <c r="E671" s="871">
        <f>'Peers Stock History'!F674/'Peers Stock History'!F$1833*100</f>
        <v>425.56390977443607</v>
      </c>
      <c r="F671" s="871">
        <f>'Peers Stock History'!G674/'Peers Stock History'!G$1833*100</f>
        <v>166.00284676695603</v>
      </c>
      <c r="G671" s="871">
        <f>'Peers Stock History'!H674/'Peers Stock History'!H$1833*100</f>
        <v>129.07422690421865</v>
      </c>
      <c r="H671" s="871">
        <f>'Peers Stock History'!I674/'Peers Stock History'!I$1833*100</f>
        <v>198.52302345786273</v>
      </c>
      <c r="I671" s="871">
        <f>'Peers Stock History'!J674/'Peers Stock History'!J$1833*100</f>
        <v>122.36075343194636</v>
      </c>
      <c r="J671" s="871">
        <f>'Peers Stock History'!K674/'Peers Stock History'!K$1833*100</f>
        <v>148.64215457157391</v>
      </c>
    </row>
    <row r="672" spans="2:10">
      <c r="B672" s="870">
        <v>43939</v>
      </c>
      <c r="C672" s="871">
        <f>'Peers Stock History'!D675/'Peers Stock History'!D$1833*100</f>
        <v>167.43411927877949</v>
      </c>
      <c r="D672" s="871">
        <f>'Peers Stock History'!E675/'Peers Stock History'!E$1833*100</f>
        <v>268.18348623853211</v>
      </c>
      <c r="E672" s="871">
        <f>'Peers Stock History'!F675/'Peers Stock History'!F$1833*100</f>
        <v>425.56390977443607</v>
      </c>
      <c r="F672" s="871">
        <f>'Peers Stock History'!G675/'Peers Stock History'!G$1833*100</f>
        <v>166.00284676695603</v>
      </c>
      <c r="G672" s="871">
        <f>'Peers Stock History'!H675/'Peers Stock History'!H$1833*100</f>
        <v>129.07422690421865</v>
      </c>
      <c r="H672" s="871">
        <f>'Peers Stock History'!I675/'Peers Stock History'!I$1833*100</f>
        <v>198.52302345786273</v>
      </c>
      <c r="I672" s="871">
        <f>'Peers Stock History'!J675/'Peers Stock History'!J$1833*100</f>
        <v>122.36075343194636</v>
      </c>
      <c r="J672" s="871">
        <f>'Peers Stock History'!K675/'Peers Stock History'!K$1833*100</f>
        <v>148.64215457157391</v>
      </c>
    </row>
    <row r="673" spans="2:10">
      <c r="B673" s="870">
        <v>43938</v>
      </c>
      <c r="C673" s="871">
        <f>'Peers Stock History'!D676/'Peers Stock History'!D$1833*100</f>
        <v>167.43411927877949</v>
      </c>
      <c r="D673" s="871">
        <f>'Peers Stock History'!E676/'Peers Stock History'!E$1833*100</f>
        <v>268.18348623853211</v>
      </c>
      <c r="E673" s="871">
        <f>'Peers Stock History'!F676/'Peers Stock History'!F$1833*100</f>
        <v>425.56390977443607</v>
      </c>
      <c r="F673" s="871">
        <f>'Peers Stock History'!G676/'Peers Stock History'!G$1833*100</f>
        <v>166.00284676695603</v>
      </c>
      <c r="G673" s="871">
        <f>'Peers Stock History'!H676/'Peers Stock History'!H$1833*100</f>
        <v>129.07422690421865</v>
      </c>
      <c r="H673" s="871">
        <f>'Peers Stock History'!I676/'Peers Stock History'!I$1833*100</f>
        <v>198.52302345786273</v>
      </c>
      <c r="I673" s="871">
        <f>'Peers Stock History'!J676/'Peers Stock History'!J$1833*100</f>
        <v>122.36075343194636</v>
      </c>
      <c r="J673" s="871">
        <f>'Peers Stock History'!K676/'Peers Stock History'!K$1833*100</f>
        <v>148.64215457157391</v>
      </c>
    </row>
    <row r="674" spans="2:10">
      <c r="B674" s="870">
        <v>43937</v>
      </c>
      <c r="C674" s="871">
        <f>'Peers Stock History'!D677/'Peers Stock History'!D$1833*100</f>
        <v>168.62690707350902</v>
      </c>
      <c r="D674" s="871">
        <f>'Peers Stock History'!E677/'Peers Stock History'!E$1833*100</f>
        <v>270.36697247706422</v>
      </c>
      <c r="E674" s="871">
        <f>'Peers Stock History'!F677/'Peers Stock History'!F$1833*100</f>
        <v>428.19548872180457</v>
      </c>
      <c r="F674" s="871">
        <f>'Peers Stock History'!G677/'Peers Stock History'!G$1833*100</f>
        <v>154.80474281876005</v>
      </c>
      <c r="G674" s="871">
        <f>'Peers Stock History'!H677/'Peers Stock History'!H$1833*100</f>
        <v>125.3895820185446</v>
      </c>
      <c r="H674" s="871">
        <f>'Peers Stock History'!I677/'Peers Stock History'!I$1833*100</f>
        <v>197.7845351867941</v>
      </c>
      <c r="I674" s="871">
        <f>'Peers Stock History'!J677/'Peers Stock History'!J$1833*100</f>
        <v>119.1678195168671</v>
      </c>
      <c r="J674" s="871">
        <f>'Peers Stock History'!K677/'Peers Stock History'!K$1833*100</f>
        <v>146.61828285883178</v>
      </c>
    </row>
    <row r="675" spans="2:10">
      <c r="B675" s="870">
        <v>43936</v>
      </c>
      <c r="C675" s="871">
        <f>'Peers Stock History'!D678/'Peers Stock History'!D$1833*100</f>
        <v>163.30097087378641</v>
      </c>
      <c r="D675" s="871">
        <f>'Peers Stock History'!E678/'Peers Stock History'!E$1833*100</f>
        <v>257.65137614678895</v>
      </c>
      <c r="E675" s="871">
        <f>'Peers Stock History'!F678/'Peers Stock History'!F$1833*100</f>
        <v>413.45864661654133</v>
      </c>
      <c r="F675" s="871">
        <f>'Peers Stock History'!G678/'Peers Stock History'!G$1833*100</f>
        <v>155.44317423035821</v>
      </c>
      <c r="G675" s="871">
        <f>'Peers Stock History'!H678/'Peers Stock History'!H$1833*100</f>
        <v>124.97694062818583</v>
      </c>
      <c r="H675" s="871">
        <f>'Peers Stock History'!I678/'Peers Stock History'!I$1833*100</f>
        <v>201.69417897480452</v>
      </c>
      <c r="I675" s="871">
        <f>'Peers Stock History'!J678/'Peers Stock History'!J$1833*100</f>
        <v>118.4786634032138</v>
      </c>
      <c r="J675" s="871">
        <f>'Peers Stock History'!K678/'Peers Stock History'!K$1833*100</f>
        <v>144.22652351429005</v>
      </c>
    </row>
    <row r="676" spans="2:10">
      <c r="B676" s="870">
        <v>43935</v>
      </c>
      <c r="C676" s="871">
        <f>'Peers Stock History'!D679/'Peers Stock History'!D$1833*100</f>
        <v>168.26629680998613</v>
      </c>
      <c r="D676" s="871">
        <f>'Peers Stock History'!E679/'Peers Stock History'!E$1833*100</f>
        <v>260.50458715596329</v>
      </c>
      <c r="E676" s="871">
        <f>'Peers Stock History'!F679/'Peers Stock History'!F$1833*100</f>
        <v>413.00751879699249</v>
      </c>
      <c r="F676" s="871">
        <f>'Peers Stock History'!G679/'Peers Stock History'!G$1833*100</f>
        <v>154.33772075138305</v>
      </c>
      <c r="G676" s="871">
        <f>'Peers Stock History'!H679/'Peers Stock History'!H$1833*100</f>
        <v>129.92378270789843</v>
      </c>
      <c r="H676" s="871">
        <f>'Peers Stock History'!I679/'Peers Stock History'!I$1833*100</f>
        <v>206.86359687228494</v>
      </c>
      <c r="I676" s="871">
        <f>'Peers Stock History'!J679/'Peers Stock History'!J$1833*100</f>
        <v>121.14760029796743</v>
      </c>
      <c r="J676" s="871">
        <f>'Peers Stock History'!K679/'Peers Stock History'!K$1833*100</f>
        <v>146.33263681728829</v>
      </c>
    </row>
    <row r="677" spans="2:10">
      <c r="B677" s="870">
        <v>43934</v>
      </c>
      <c r="C677" s="871">
        <f>'Peers Stock History'!D680/'Peers Stock History'!D$1833*100</f>
        <v>162.82940360610266</v>
      </c>
      <c r="D677" s="871">
        <f>'Peers Stock History'!E680/'Peers Stock History'!E$1833*100</f>
        <v>247.56880733944956</v>
      </c>
      <c r="E677" s="871">
        <f>'Peers Stock History'!F680/'Peers Stock History'!F$1833*100</f>
        <v>383.00751879699243</v>
      </c>
      <c r="F677" s="871">
        <f>'Peers Stock History'!G680/'Peers Stock History'!G$1833*100</f>
        <v>150.66726599368189</v>
      </c>
      <c r="G677" s="871">
        <f>'Peers Stock History'!H680/'Peers Stock History'!H$1833*100</f>
        <v>126.18088256711491</v>
      </c>
      <c r="H677" s="871">
        <f>'Peers Stock History'!I680/'Peers Stock History'!I$1833*100</f>
        <v>200.56472632493487</v>
      </c>
      <c r="I677" s="871">
        <f>'Peers Stock History'!J680/'Peers Stock History'!J$1833*100</f>
        <v>117.55368734702564</v>
      </c>
      <c r="J677" s="871">
        <f>'Peers Stock History'!K680/'Peers Stock History'!K$1833*100</f>
        <v>140.7768616911593</v>
      </c>
    </row>
    <row r="678" spans="2:10">
      <c r="B678" s="870">
        <v>43933</v>
      </c>
      <c r="C678" s="871">
        <f>'Peers Stock History'!D681/'Peers Stock History'!D$1833*100</f>
        <v>158.50208044382802</v>
      </c>
      <c r="D678" s="871">
        <f>'Peers Stock History'!E681/'Peers Stock History'!E$1833*100</f>
        <v>241.23853211009174</v>
      </c>
      <c r="E678" s="871">
        <f>'Peers Stock History'!F681/'Peers Stock History'!F$1833*100</f>
        <v>363.75939849624064</v>
      </c>
      <c r="F678" s="871">
        <f>'Peers Stock History'!G681/'Peers Stock History'!G$1833*100</f>
        <v>151.3743912948201</v>
      </c>
      <c r="G678" s="871">
        <f>'Peers Stock History'!H681/'Peers Stock History'!H$1833*100</f>
        <v>123.45259478615466</v>
      </c>
      <c r="H678" s="871">
        <f>'Peers Stock History'!I681/'Peers Stock History'!I$1833*100</f>
        <v>200.39096437880107</v>
      </c>
      <c r="I678" s="871">
        <f>'Peers Stock History'!J681/'Peers Stock History'!J$1833*100</f>
        <v>118.75364478024902</v>
      </c>
      <c r="J678" s="871">
        <f>'Peers Stock History'!K681/'Peers Stock History'!K$1833*100</f>
        <v>140.10927168249867</v>
      </c>
    </row>
    <row r="679" spans="2:10">
      <c r="B679" s="870">
        <v>43932</v>
      </c>
      <c r="C679" s="871">
        <f>'Peers Stock History'!D682/'Peers Stock History'!D$1833*100</f>
        <v>158.50208044382802</v>
      </c>
      <c r="D679" s="871">
        <f>'Peers Stock History'!E682/'Peers Stock History'!E$1833*100</f>
        <v>241.23853211009174</v>
      </c>
      <c r="E679" s="871">
        <f>'Peers Stock History'!F682/'Peers Stock History'!F$1833*100</f>
        <v>363.75939849624064</v>
      </c>
      <c r="F679" s="871">
        <f>'Peers Stock History'!G682/'Peers Stock History'!G$1833*100</f>
        <v>151.3743912948201</v>
      </c>
      <c r="G679" s="871">
        <f>'Peers Stock History'!H682/'Peers Stock History'!H$1833*100</f>
        <v>123.45259478615466</v>
      </c>
      <c r="H679" s="871">
        <f>'Peers Stock History'!I682/'Peers Stock History'!I$1833*100</f>
        <v>200.39096437880107</v>
      </c>
      <c r="I679" s="871">
        <f>'Peers Stock History'!J682/'Peers Stock History'!J$1833*100</f>
        <v>118.75364478024902</v>
      </c>
      <c r="J679" s="871">
        <f>'Peers Stock History'!K682/'Peers Stock History'!K$1833*100</f>
        <v>140.10927168249867</v>
      </c>
    </row>
    <row r="680" spans="2:10">
      <c r="B680" s="870">
        <v>43931</v>
      </c>
      <c r="C680" s="871">
        <f>'Peers Stock History'!D683/'Peers Stock History'!D$1833*100</f>
        <v>158.50208044382802</v>
      </c>
      <c r="D680" s="871">
        <f>'Peers Stock History'!E683/'Peers Stock History'!E$1833*100</f>
        <v>241.23853211009174</v>
      </c>
      <c r="E680" s="871">
        <f>'Peers Stock History'!F683/'Peers Stock History'!F$1833*100</f>
        <v>363.75939849624064</v>
      </c>
      <c r="F680" s="871">
        <f>'Peers Stock History'!G683/'Peers Stock History'!G$1833*100</f>
        <v>151.3743912948201</v>
      </c>
      <c r="G680" s="871">
        <f>'Peers Stock History'!H683/'Peers Stock History'!H$1833*100</f>
        <v>123.45259478615466</v>
      </c>
      <c r="H680" s="871">
        <f>'Peers Stock History'!I683/'Peers Stock History'!I$1833*100</f>
        <v>200.39096437880107</v>
      </c>
      <c r="I680" s="871">
        <f>'Peers Stock History'!J683/'Peers Stock History'!J$1833*100</f>
        <v>118.75364478024902</v>
      </c>
      <c r="J680" s="871">
        <f>'Peers Stock History'!K683/'Peers Stock History'!K$1833*100</f>
        <v>140.10927168249867</v>
      </c>
    </row>
    <row r="681" spans="2:10">
      <c r="B681" s="870">
        <v>43930</v>
      </c>
      <c r="C681" s="871">
        <f>'Peers Stock History'!D684/'Peers Stock History'!D$1833*100</f>
        <v>158.50208044382802</v>
      </c>
      <c r="D681" s="871">
        <f>'Peers Stock History'!E684/'Peers Stock History'!E$1833*100</f>
        <v>241.23853211009174</v>
      </c>
      <c r="E681" s="871">
        <f>'Peers Stock History'!F684/'Peers Stock History'!F$1833*100</f>
        <v>363.75939849624064</v>
      </c>
      <c r="F681" s="871">
        <f>'Peers Stock History'!G684/'Peers Stock History'!G$1833*100</f>
        <v>153.10683790462957</v>
      </c>
      <c r="G681" s="871">
        <f>'Peers Stock History'!H684/'Peers Stock History'!H$1833*100</f>
        <v>123.45259478615466</v>
      </c>
      <c r="H681" s="871">
        <f>'Peers Stock History'!I684/'Peers Stock History'!I$1833*100</f>
        <v>200.39096437880107</v>
      </c>
      <c r="I681" s="871">
        <f>'Peers Stock History'!J684/'Peers Stock History'!J$1833*100</f>
        <v>118.75364478024902</v>
      </c>
      <c r="J681" s="871">
        <f>'Peers Stock History'!K684/'Peers Stock History'!K$1833*100</f>
        <v>140.10927168249867</v>
      </c>
    </row>
    <row r="682" spans="2:10">
      <c r="B682" s="870">
        <v>43929</v>
      </c>
      <c r="C682" s="871">
        <f>'Peers Stock History'!D685/'Peers Stock History'!D$1833*100</f>
        <v>163.60610263522886</v>
      </c>
      <c r="D682" s="871">
        <f>'Peers Stock History'!E685/'Peers Stock History'!E$1833*100</f>
        <v>244.90825688073392</v>
      </c>
      <c r="E682" s="871">
        <f>'Peers Stock History'!F685/'Peers Stock History'!F$1833*100</f>
        <v>366.84210526315786</v>
      </c>
      <c r="F682" s="871">
        <f>'Peers Stock History'!G685/'Peers Stock History'!G$1833*100</f>
        <v>153.98913188463789</v>
      </c>
      <c r="G682" s="871">
        <f>'Peers Stock History'!H685/'Peers Stock History'!H$1833*100</f>
        <v>126.75372590902472</v>
      </c>
      <c r="H682" s="871">
        <f>'Peers Stock History'!I685/'Peers Stock History'!I$1833*100</f>
        <v>209.77410947002605</v>
      </c>
      <c r="I682" s="871">
        <f>'Peers Stock History'!J685/'Peers Stock History'!J$1833*100</f>
        <v>117.05778439927637</v>
      </c>
      <c r="J682" s="871">
        <f>'Peers Stock History'!K685/'Peers Stock History'!K$1833*100</f>
        <v>139.03232957123024</v>
      </c>
    </row>
    <row r="683" spans="2:10">
      <c r="B683" s="870">
        <v>43928</v>
      </c>
      <c r="C683" s="871">
        <f>'Peers Stock History'!D686/'Peers Stock History'!D$1833*100</f>
        <v>161.99722607489599</v>
      </c>
      <c r="D683" s="871">
        <f>'Peers Stock History'!E686/'Peers Stock History'!E$1833*100</f>
        <v>237.64220183486236</v>
      </c>
      <c r="E683" s="871">
        <f>'Peers Stock History'!F686/'Peers Stock History'!F$1833*100</f>
        <v>357.59398496240601</v>
      </c>
      <c r="F683" s="871">
        <f>'Peers Stock History'!G686/'Peers Stock History'!G$1833*100</f>
        <v>152.99998012949595</v>
      </c>
      <c r="G683" s="871">
        <f>'Peers Stock History'!H686/'Peers Stock History'!H$1833*100</f>
        <v>122.9525705131317</v>
      </c>
      <c r="H683" s="871">
        <f>'Peers Stock History'!I686/'Peers Stock History'!I$1833*100</f>
        <v>202.17202432667247</v>
      </c>
      <c r="I683" s="871">
        <f>'Peers Stock History'!J686/'Peers Stock History'!J$1833*100</f>
        <v>113.20251143982121</v>
      </c>
      <c r="J683" s="871">
        <f>'Peers Stock History'!K686/'Peers Stock History'!K$1833*100</f>
        <v>135.5329722447521</v>
      </c>
    </row>
    <row r="684" spans="2:10">
      <c r="B684" s="870">
        <v>43927</v>
      </c>
      <c r="C684" s="871">
        <f>'Peers Stock History'!D687/'Peers Stock History'!D$1833*100</f>
        <v>162.08044382801666</v>
      </c>
      <c r="D684" s="871">
        <f>'Peers Stock History'!E687/'Peers Stock History'!E$1833*100</f>
        <v>246.23853211009171</v>
      </c>
      <c r="E684" s="871">
        <f>'Peers Stock History'!F687/'Peers Stock History'!F$1833*100</f>
        <v>357.29323308270676</v>
      </c>
      <c r="F684" s="871">
        <f>'Peers Stock History'!G687/'Peers Stock History'!G$1833*100</f>
        <v>148.40267670659412</v>
      </c>
      <c r="G684" s="871">
        <f>'Peers Stock History'!H687/'Peers Stock History'!H$1833*100</f>
        <v>122.54963833195787</v>
      </c>
      <c r="H684" s="871">
        <f>'Peers Stock History'!I687/'Peers Stock History'!I$1833*100</f>
        <v>201.43353605560384</v>
      </c>
      <c r="I684" s="871">
        <f>'Peers Stock History'!J687/'Peers Stock History'!J$1833*100</f>
        <v>113.38427157603491</v>
      </c>
      <c r="J684" s="871">
        <f>'Peers Stock History'!K687/'Peers Stock History'!K$1833*100</f>
        <v>135.97937258567836</v>
      </c>
    </row>
    <row r="685" spans="2:10">
      <c r="B685" s="870">
        <v>43926</v>
      </c>
      <c r="C685" s="871">
        <f>'Peers Stock History'!D688/'Peers Stock History'!D$1833*100</f>
        <v>150.15256588072123</v>
      </c>
      <c r="D685" s="871">
        <f>'Peers Stock History'!E688/'Peers Stock History'!E$1833*100</f>
        <v>223.77064220183485</v>
      </c>
      <c r="E685" s="871">
        <f>'Peers Stock History'!F688/'Peers Stock History'!F$1833*100</f>
        <v>320.22556390977445</v>
      </c>
      <c r="F685" s="871">
        <f>'Peers Stock History'!G688/'Peers Stock History'!G$1833*100</f>
        <v>145.79901131630962</v>
      </c>
      <c r="G685" s="871">
        <f>'Peers Stock History'!H688/'Peers Stock History'!H$1833*100</f>
        <v>113.72396718287294</v>
      </c>
      <c r="H685" s="871">
        <f>'Peers Stock History'!I688/'Peers Stock History'!I$1833*100</f>
        <v>179.06168549087749</v>
      </c>
      <c r="I685" s="871">
        <f>'Peers Stock History'!J688/'Peers Stock History'!J$1833*100</f>
        <v>105.93380866233906</v>
      </c>
      <c r="J685" s="871">
        <f>'Peers Stock History'!K688/'Peers Stock History'!K$1833*100</f>
        <v>126.69746573553469</v>
      </c>
    </row>
    <row r="686" spans="2:10">
      <c r="B686" s="870">
        <v>43925</v>
      </c>
      <c r="C686" s="871">
        <f>'Peers Stock History'!D689/'Peers Stock History'!D$1833*100</f>
        <v>150.15256588072123</v>
      </c>
      <c r="D686" s="871">
        <f>'Peers Stock History'!E689/'Peers Stock History'!E$1833*100</f>
        <v>223.77064220183485</v>
      </c>
      <c r="E686" s="871">
        <f>'Peers Stock History'!F689/'Peers Stock History'!F$1833*100</f>
        <v>320.22556390977445</v>
      </c>
      <c r="F686" s="871">
        <f>'Peers Stock History'!G689/'Peers Stock History'!G$1833*100</f>
        <v>145.79901131630962</v>
      </c>
      <c r="G686" s="871">
        <f>'Peers Stock History'!H689/'Peers Stock History'!H$1833*100</f>
        <v>113.72396718287294</v>
      </c>
      <c r="H686" s="871">
        <f>'Peers Stock History'!I689/'Peers Stock History'!I$1833*100</f>
        <v>179.06168549087749</v>
      </c>
      <c r="I686" s="871">
        <f>'Peers Stock History'!J689/'Peers Stock History'!J$1833*100</f>
        <v>105.93380866233906</v>
      </c>
      <c r="J686" s="871">
        <f>'Peers Stock History'!K689/'Peers Stock History'!K$1833*100</f>
        <v>126.69746573553469</v>
      </c>
    </row>
    <row r="687" spans="2:10">
      <c r="B687" s="870">
        <v>43924</v>
      </c>
      <c r="C687" s="871">
        <f>'Peers Stock History'!D690/'Peers Stock History'!D$1833*100</f>
        <v>150.15256588072123</v>
      </c>
      <c r="D687" s="871">
        <f>'Peers Stock History'!E690/'Peers Stock History'!E$1833*100</f>
        <v>223.77064220183485</v>
      </c>
      <c r="E687" s="871">
        <f>'Peers Stock History'!F690/'Peers Stock History'!F$1833*100</f>
        <v>320.22556390977445</v>
      </c>
      <c r="F687" s="871">
        <f>'Peers Stock History'!G690/'Peers Stock History'!G$1833*100</f>
        <v>145.79901131630962</v>
      </c>
      <c r="G687" s="871">
        <f>'Peers Stock History'!H690/'Peers Stock History'!H$1833*100</f>
        <v>113.72396718287294</v>
      </c>
      <c r="H687" s="871">
        <f>'Peers Stock History'!I690/'Peers Stock History'!I$1833*100</f>
        <v>179.06168549087749</v>
      </c>
      <c r="I687" s="871">
        <f>'Peers Stock History'!J690/'Peers Stock History'!J$1833*100</f>
        <v>105.93380866233906</v>
      </c>
      <c r="J687" s="871">
        <f>'Peers Stock History'!K690/'Peers Stock History'!K$1833*100</f>
        <v>126.69746573553469</v>
      </c>
    </row>
    <row r="688" spans="2:10">
      <c r="B688" s="870">
        <v>43923</v>
      </c>
      <c r="C688" s="871">
        <f>'Peers Stock History'!D691/'Peers Stock History'!D$1833*100</f>
        <v>150.76282940360613</v>
      </c>
      <c r="D688" s="871">
        <f>'Peers Stock History'!E691/'Peers Stock History'!E$1833*100</f>
        <v>234.37614678899084</v>
      </c>
      <c r="E688" s="871">
        <f>'Peers Stock History'!F691/'Peers Stock History'!F$1833*100</f>
        <v>334.51127819548873</v>
      </c>
      <c r="F688" s="871">
        <f>'Peers Stock History'!G691/'Peers Stock History'!G$1833*100</f>
        <v>145.79901131630962</v>
      </c>
      <c r="G688" s="871">
        <f>'Peers Stock History'!H691/'Peers Stock History'!H$1833*100</f>
        <v>115.08325646876061</v>
      </c>
      <c r="H688" s="871">
        <f>'Peers Stock History'!I691/'Peers Stock History'!I$1833*100</f>
        <v>178.49695916594268</v>
      </c>
      <c r="I688" s="871">
        <f>'Peers Stock History'!J691/'Peers Stock History'!J$1833*100</f>
        <v>107.56198786846866</v>
      </c>
      <c r="J688" s="871">
        <f>'Peers Stock History'!K691/'Peers Stock History'!K$1833*100</f>
        <v>128.66033501505299</v>
      </c>
    </row>
    <row r="689" spans="2:10">
      <c r="B689" s="870">
        <v>43922</v>
      </c>
      <c r="C689" s="871">
        <f>'Peers Stock History'!D692/'Peers Stock History'!D$1833*100</f>
        <v>143.91123439667132</v>
      </c>
      <c r="D689" s="871">
        <f>'Peers Stock History'!E692/'Peers Stock History'!E$1833*100</f>
        <v>223</v>
      </c>
      <c r="E689" s="871">
        <f>'Peers Stock History'!F692/'Peers Stock History'!F$1833*100</f>
        <v>328.27067669172931</v>
      </c>
      <c r="F689" s="871">
        <f>'Peers Stock History'!G692/'Peers Stock History'!G$1833*100</f>
        <v>145.79901131630962</v>
      </c>
      <c r="G689" s="871">
        <f>'Peers Stock History'!H692/'Peers Stock History'!H$1833*100</f>
        <v>108.56352250109227</v>
      </c>
      <c r="H689" s="871">
        <f>'Peers Stock History'!I692/'Peers Stock History'!I$1833*100</f>
        <v>173.28410078192877</v>
      </c>
      <c r="I689" s="871">
        <f>'Peers Stock History'!J692/'Peers Stock History'!J$1833*100</f>
        <v>105.16122166648931</v>
      </c>
      <c r="J689" s="871">
        <f>'Peers Stock History'!K692/'Peers Stock History'!K$1833*100</f>
        <v>126.48265125166685</v>
      </c>
    </row>
    <row r="690" spans="2:10">
      <c r="B690" s="870">
        <v>43921</v>
      </c>
      <c r="C690" s="871">
        <f>'Peers Stock History'!D693/'Peers Stock History'!D$1833*100</f>
        <v>150.124826629681</v>
      </c>
      <c r="D690" s="871">
        <f>'Peers Stock History'!E693/'Peers Stock History'!E$1833*100</f>
        <v>241.83486238532112</v>
      </c>
      <c r="E690" s="871">
        <f>'Peers Stock History'!F693/'Peers Stock History'!F$1833*100</f>
        <v>341.95488721804509</v>
      </c>
      <c r="F690" s="871">
        <f>'Peers Stock History'!G693/'Peers Stock History'!G$1833*100</f>
        <v>147.25821462308846</v>
      </c>
      <c r="G690" s="871">
        <f>'Peers Stock History'!H693/'Peers Stock History'!H$1833*100</f>
        <v>115.10267488713043</v>
      </c>
      <c r="H690" s="871">
        <f>'Peers Stock History'!I693/'Peers Stock History'!I$1833*100</f>
        <v>182.71068635968723</v>
      </c>
      <c r="I690" s="871">
        <f>'Peers Stock History'!J693/'Peers Stock History'!J$1833*100</f>
        <v>110.01766521230181</v>
      </c>
      <c r="J690" s="871">
        <f>'Peers Stock History'!K693/'Peers Stock History'!K$1833*100</f>
        <v>132.3168208624885</v>
      </c>
    </row>
    <row r="691" spans="2:10">
      <c r="B691" s="870">
        <v>43920</v>
      </c>
      <c r="C691" s="871">
        <f>'Peers Stock History'!D694/'Peers Stock History'!D$1833*100</f>
        <v>153.92510402219142</v>
      </c>
      <c r="D691" s="871">
        <f>'Peers Stock History'!E694/'Peers Stock History'!E$1833*100</f>
        <v>243.66055045871556</v>
      </c>
      <c r="E691" s="871">
        <f>'Peers Stock History'!F694/'Peers Stock History'!F$1833*100</f>
        <v>359.84962406015035</v>
      </c>
      <c r="F691" s="871">
        <f>'Peers Stock History'!G694/'Peers Stock History'!G$1833*100</f>
        <v>143.72687500742737</v>
      </c>
      <c r="G691" s="871">
        <f>'Peers Stock History'!H694/'Peers Stock History'!H$1833*100</f>
        <v>116.56391086945968</v>
      </c>
      <c r="H691" s="871">
        <f>'Peers Stock History'!I694/'Peers Stock History'!I$1833*100</f>
        <v>193.39704604691573</v>
      </c>
      <c r="I691" s="871">
        <f>'Peers Stock History'!J694/'Peers Stock History'!J$1833*100</f>
        <v>111.80802383739493</v>
      </c>
      <c r="J691" s="871">
        <f>'Peers Stock History'!K694/'Peers Stock History'!K$1833*100</f>
        <v>133.58933161953729</v>
      </c>
    </row>
    <row r="692" spans="2:10">
      <c r="B692" s="870">
        <v>43919</v>
      </c>
      <c r="C692" s="871">
        <f>'Peers Stock History'!D695/'Peers Stock History'!D$1833*100</f>
        <v>145.27045769764217</v>
      </c>
      <c r="D692" s="871">
        <f>'Peers Stock History'!E695/'Peers Stock History'!E$1833*100</f>
        <v>231.8623853211009</v>
      </c>
      <c r="E692" s="871">
        <f>'Peers Stock History'!F695/'Peers Stock History'!F$1833*100</f>
        <v>350.22556390977439</v>
      </c>
      <c r="F692" s="871">
        <f>'Peers Stock History'!G695/'Peers Stock History'!G$1833*100</f>
        <v>147.14371440457393</v>
      </c>
      <c r="G692" s="871">
        <f>'Peers Stock History'!H695/'Peers Stock History'!H$1833*100</f>
        <v>111.99087334336618</v>
      </c>
      <c r="H692" s="871">
        <f>'Peers Stock History'!I695/'Peers Stock History'!I$1833*100</f>
        <v>188.879235447437</v>
      </c>
      <c r="I692" s="871">
        <f>'Peers Stock History'!J695/'Peers Stock History'!J$1833*100</f>
        <v>108.18218580397998</v>
      </c>
      <c r="J692" s="871">
        <f>'Peers Stock History'!K695/'Peers Stock History'!K$1833*100</f>
        <v>128.91924308868207</v>
      </c>
    </row>
    <row r="693" spans="2:10">
      <c r="B693" s="870">
        <v>43918</v>
      </c>
      <c r="C693" s="871">
        <f>'Peers Stock History'!D696/'Peers Stock History'!D$1833*100</f>
        <v>145.27045769764217</v>
      </c>
      <c r="D693" s="871">
        <f>'Peers Stock History'!E696/'Peers Stock History'!E$1833*100</f>
        <v>231.8623853211009</v>
      </c>
      <c r="E693" s="871">
        <f>'Peers Stock History'!F696/'Peers Stock History'!F$1833*100</f>
        <v>350.22556390977439</v>
      </c>
      <c r="F693" s="871">
        <f>'Peers Stock History'!G696/'Peers Stock History'!G$1833*100</f>
        <v>147.14371440457393</v>
      </c>
      <c r="G693" s="871">
        <f>'Peers Stock History'!H696/'Peers Stock History'!H$1833*100</f>
        <v>111.99087334336618</v>
      </c>
      <c r="H693" s="871">
        <f>'Peers Stock History'!I696/'Peers Stock History'!I$1833*100</f>
        <v>188.879235447437</v>
      </c>
      <c r="I693" s="871">
        <f>'Peers Stock History'!J696/'Peers Stock History'!J$1833*100</f>
        <v>108.18218580397998</v>
      </c>
      <c r="J693" s="871">
        <f>'Peers Stock History'!K696/'Peers Stock History'!K$1833*100</f>
        <v>128.91924308868207</v>
      </c>
    </row>
    <row r="694" spans="2:10">
      <c r="B694" s="870">
        <v>43917</v>
      </c>
      <c r="C694" s="871">
        <f>'Peers Stock History'!D697/'Peers Stock History'!D$1833*100</f>
        <v>145.27045769764217</v>
      </c>
      <c r="D694" s="871">
        <f>'Peers Stock History'!E697/'Peers Stock History'!E$1833*100</f>
        <v>231.8623853211009</v>
      </c>
      <c r="E694" s="871">
        <f>'Peers Stock History'!F697/'Peers Stock History'!F$1833*100</f>
        <v>350.22556390977439</v>
      </c>
      <c r="F694" s="871">
        <f>'Peers Stock History'!G697/'Peers Stock History'!G$1833*100</f>
        <v>147.14371440457393</v>
      </c>
      <c r="G694" s="871">
        <f>'Peers Stock History'!H697/'Peers Stock History'!H$1833*100</f>
        <v>111.99087334336618</v>
      </c>
      <c r="H694" s="871">
        <f>'Peers Stock History'!I697/'Peers Stock History'!I$1833*100</f>
        <v>188.879235447437</v>
      </c>
      <c r="I694" s="871">
        <f>'Peers Stock History'!J697/'Peers Stock History'!J$1833*100</f>
        <v>108.18218580397998</v>
      </c>
      <c r="J694" s="871">
        <f>'Peers Stock History'!K697/'Peers Stock History'!K$1833*100</f>
        <v>128.91924308868207</v>
      </c>
    </row>
    <row r="695" spans="2:10">
      <c r="B695" s="870">
        <v>43916</v>
      </c>
      <c r="C695" s="871">
        <f>'Peers Stock History'!D698/'Peers Stock History'!D$1833*100</f>
        <v>154.06380027739252</v>
      </c>
      <c r="D695" s="871">
        <f>'Peers Stock History'!E698/'Peers Stock History'!E$1833*100</f>
        <v>236</v>
      </c>
      <c r="E695" s="871">
        <f>'Peers Stock History'!F698/'Peers Stock History'!F$1833*100</f>
        <v>357.14285714285711</v>
      </c>
      <c r="F695" s="871">
        <f>'Peers Stock History'!G698/'Peers Stock History'!G$1833*100</f>
        <v>150.80170887348748</v>
      </c>
      <c r="G695" s="871">
        <f>'Peers Stock History'!H698/'Peers Stock History'!H$1833*100</f>
        <v>118.04941987475119</v>
      </c>
      <c r="H695" s="871">
        <f>'Peers Stock History'!I698/'Peers Stock History'!I$1833*100</f>
        <v>194.56993918331887</v>
      </c>
      <c r="I695" s="871">
        <f>'Peers Stock History'!J698/'Peers Stock History'!J$1833*100</f>
        <v>111.95360221347239</v>
      </c>
      <c r="J695" s="871">
        <f>'Peers Stock History'!K698/'Peers Stock History'!K$1833*100</f>
        <v>133.99119159231819</v>
      </c>
    </row>
    <row r="696" spans="2:10">
      <c r="B696" s="870">
        <v>43915</v>
      </c>
      <c r="C696" s="871">
        <f>'Peers Stock History'!D699/'Peers Stock History'!D$1833*100</f>
        <v>142.19140083217755</v>
      </c>
      <c r="D696" s="871">
        <f>'Peers Stock History'!E699/'Peers Stock History'!E$1833*100</f>
        <v>225.33944954128441</v>
      </c>
      <c r="E696" s="871">
        <f>'Peers Stock History'!F699/'Peers Stock History'!F$1833*100</f>
        <v>335.56390977443613</v>
      </c>
      <c r="F696" s="871">
        <f>'Peers Stock History'!G699/'Peers Stock History'!G$1833*100</f>
        <v>148.74767198736441</v>
      </c>
      <c r="G696" s="871">
        <f>'Peers Stock History'!H699/'Peers Stock History'!H$1833*100</f>
        <v>105.61192290887907</v>
      </c>
      <c r="H696" s="871">
        <f>'Peers Stock History'!I699/'Peers Stock History'!I$1833*100</f>
        <v>184.622067767159</v>
      </c>
      <c r="I696" s="871">
        <f>'Peers Stock History'!J699/'Peers Stock History'!J$1833*100</f>
        <v>105.37660955624135</v>
      </c>
      <c r="J696" s="871">
        <f>'Peers Stock History'!K699/'Peers Stock History'!K$1833*100</f>
        <v>126.89013032181791</v>
      </c>
    </row>
    <row r="697" spans="2:10">
      <c r="B697" s="870">
        <v>43914</v>
      </c>
      <c r="C697" s="871">
        <f>'Peers Stock History'!D700/'Peers Stock History'!D$1833*100</f>
        <v>145.35367545076284</v>
      </c>
      <c r="D697" s="871">
        <f>'Peers Stock History'!E700/'Peers Stock History'!E$1833*100</f>
        <v>228.60550458715596</v>
      </c>
      <c r="E697" s="871">
        <f>'Peers Stock History'!F700/'Peers Stock History'!F$1833*100</f>
        <v>347.51879699248116</v>
      </c>
      <c r="F697" s="871">
        <f>'Peers Stock History'!G700/'Peers Stock History'!G$1833*100</f>
        <v>144.27488703043221</v>
      </c>
      <c r="G697" s="871">
        <f>'Peers Stock History'!H700/'Peers Stock History'!H$1833*100</f>
        <v>103.28656730909267</v>
      </c>
      <c r="H697" s="871">
        <f>'Peers Stock History'!I700/'Peers Stock History'!I$1833*100</f>
        <v>187.9669852302346</v>
      </c>
      <c r="I697" s="871">
        <f>'Peers Stock History'!J700/'Peers Stock History'!J$1833*100</f>
        <v>104.17494945195276</v>
      </c>
      <c r="J697" s="871">
        <f>'Peers Stock History'!K700/'Peers Stock History'!K$1833*100</f>
        <v>127.46685248065106</v>
      </c>
    </row>
    <row r="698" spans="2:10">
      <c r="B698" s="870">
        <v>43913</v>
      </c>
      <c r="C698" s="871">
        <f>'Peers Stock History'!D701/'Peers Stock History'!D$1833*100</f>
        <v>137.53120665742026</v>
      </c>
      <c r="D698" s="871">
        <f>'Peers Stock History'!E701/'Peers Stock History'!E$1833*100</f>
        <v>195.12844036697248</v>
      </c>
      <c r="E698" s="871">
        <f>'Peers Stock History'!F701/'Peers Stock History'!F$1833*100</f>
        <v>313.08270676691728</v>
      </c>
      <c r="F698" s="871">
        <f>'Peers Stock History'!G701/'Peers Stock History'!G$1833*100</f>
        <v>137.13296044943374</v>
      </c>
      <c r="G698" s="871">
        <f>'Peers Stock History'!H701/'Peers Stock History'!H$1833*100</f>
        <v>93.922035050245157</v>
      </c>
      <c r="H698" s="871">
        <f>'Peers Stock History'!I701/'Peers Stock History'!I$1833*100</f>
        <v>166.15986099044309</v>
      </c>
      <c r="I698" s="871">
        <f>'Peers Stock History'!J701/'Peers Stock History'!J$1833*100</f>
        <v>95.238906033840593</v>
      </c>
      <c r="J698" s="871">
        <f>'Peers Stock History'!K701/'Peers Stock History'!K$1833*100</f>
        <v>117.89234015644116</v>
      </c>
    </row>
    <row r="699" spans="2:10">
      <c r="B699" s="870">
        <v>43912</v>
      </c>
      <c r="C699" s="871">
        <f>'Peers Stock History'!D702/'Peers Stock History'!D$1833*100</f>
        <v>127.12898751733704</v>
      </c>
      <c r="D699" s="871">
        <f>'Peers Stock History'!E702/'Peers Stock History'!E$1833*100</f>
        <v>188.76146788990826</v>
      </c>
      <c r="E699" s="871">
        <f>'Peers Stock History'!F702/'Peers Stock History'!F$1833*100</f>
        <v>297.81954887218041</v>
      </c>
      <c r="F699" s="871">
        <f>'Peers Stock History'!G702/'Peers Stock History'!G$1833*100</f>
        <v>145.12284345424942</v>
      </c>
      <c r="G699" s="871">
        <f>'Peers Stock History'!H702/'Peers Stock History'!H$1833*100</f>
        <v>93.315209476188159</v>
      </c>
      <c r="H699" s="871">
        <f>'Peers Stock History'!I702/'Peers Stock History'!I$1833*100</f>
        <v>156.86359687228497</v>
      </c>
      <c r="I699" s="871">
        <f>'Peers Stock History'!J702/'Peers Stock History'!J$1833*100</f>
        <v>98.113014791954882</v>
      </c>
      <c r="J699" s="871">
        <f>'Peers Stock History'!K702/'Peers Stock History'!K$1833*100</f>
        <v>118.21613419847958</v>
      </c>
    </row>
    <row r="700" spans="2:10">
      <c r="B700" s="870">
        <v>43911</v>
      </c>
      <c r="C700" s="871">
        <f>'Peers Stock History'!D703/'Peers Stock History'!D$1833*100</f>
        <v>127.12898751733704</v>
      </c>
      <c r="D700" s="871">
        <f>'Peers Stock History'!E703/'Peers Stock History'!E$1833*100</f>
        <v>188.76146788990826</v>
      </c>
      <c r="E700" s="871">
        <f>'Peers Stock History'!F703/'Peers Stock History'!F$1833*100</f>
        <v>297.81954887218041</v>
      </c>
      <c r="F700" s="871">
        <f>'Peers Stock History'!G703/'Peers Stock History'!G$1833*100</f>
        <v>145.12284345424942</v>
      </c>
      <c r="G700" s="871">
        <f>'Peers Stock History'!H703/'Peers Stock History'!H$1833*100</f>
        <v>93.315209476188159</v>
      </c>
      <c r="H700" s="871">
        <f>'Peers Stock History'!I703/'Peers Stock History'!I$1833*100</f>
        <v>156.86359687228497</v>
      </c>
      <c r="I700" s="871">
        <f>'Peers Stock History'!J703/'Peers Stock History'!J$1833*100</f>
        <v>98.113014791954882</v>
      </c>
      <c r="J700" s="871">
        <f>'Peers Stock History'!K703/'Peers Stock History'!K$1833*100</f>
        <v>118.21613419847958</v>
      </c>
    </row>
    <row r="701" spans="2:10">
      <c r="B701" s="870">
        <v>43910</v>
      </c>
      <c r="C701" s="871">
        <f>'Peers Stock History'!D704/'Peers Stock History'!D$1833*100</f>
        <v>127.12898751733704</v>
      </c>
      <c r="D701" s="871">
        <f>'Peers Stock History'!E704/'Peers Stock History'!E$1833*100</f>
        <v>188.76146788990826</v>
      </c>
      <c r="E701" s="871">
        <f>'Peers Stock History'!F704/'Peers Stock History'!F$1833*100</f>
        <v>297.81954887218041</v>
      </c>
      <c r="F701" s="871">
        <f>'Peers Stock History'!G704/'Peers Stock History'!G$1833*100</f>
        <v>145.12284345424942</v>
      </c>
      <c r="G701" s="871">
        <f>'Peers Stock History'!H704/'Peers Stock History'!H$1833*100</f>
        <v>93.315209476188159</v>
      </c>
      <c r="H701" s="871">
        <f>'Peers Stock History'!I704/'Peers Stock History'!I$1833*100</f>
        <v>156.86359687228497</v>
      </c>
      <c r="I701" s="871">
        <f>'Peers Stock History'!J704/'Peers Stock History'!J$1833*100</f>
        <v>98.113014791954882</v>
      </c>
      <c r="J701" s="871">
        <f>'Peers Stock History'!K704/'Peers Stock History'!K$1833*100</f>
        <v>118.21613419847958</v>
      </c>
    </row>
    <row r="702" spans="2:10">
      <c r="B702" s="870">
        <v>43909</v>
      </c>
      <c r="C702" s="871">
        <f>'Peers Stock History'!D705/'Peers Stock History'!D$1833*100</f>
        <v>127.43411927877948</v>
      </c>
      <c r="D702" s="871">
        <f>'Peers Stock History'!E705/'Peers Stock History'!E$1833*100</f>
        <v>195.38532110091742</v>
      </c>
      <c r="E702" s="871">
        <f>'Peers Stock History'!F705/'Peers Stock History'!F$1833*100</f>
        <v>299.3984962406015</v>
      </c>
      <c r="F702" s="871">
        <f>'Peers Stock History'!G705/'Peers Stock History'!G$1833*100</f>
        <v>132.42727646614208</v>
      </c>
      <c r="G702" s="871">
        <f>'Peers Stock History'!H705/'Peers Stock History'!H$1833*100</f>
        <v>94.397786300305825</v>
      </c>
      <c r="H702" s="871">
        <f>'Peers Stock History'!I705/'Peers Stock History'!I$1833*100</f>
        <v>157.64552562988706</v>
      </c>
      <c r="I702" s="871">
        <f>'Peers Stock History'!J705/'Peers Stock History'!J$1833*100</f>
        <v>102.55996594657869</v>
      </c>
      <c r="J702" s="871">
        <f>'Peers Stock History'!K705/'Peers Stock History'!K$1833*100</f>
        <v>122.87398787512203</v>
      </c>
    </row>
    <row r="703" spans="2:10">
      <c r="B703" s="870">
        <v>43908</v>
      </c>
      <c r="C703" s="871">
        <f>'Peers Stock History'!D706/'Peers Stock History'!D$1833*100</f>
        <v>132.06657420249655</v>
      </c>
      <c r="D703" s="871">
        <f>'Peers Stock History'!E706/'Peers Stock History'!E$1833*100</f>
        <v>186.07339449541286</v>
      </c>
      <c r="E703" s="871">
        <f>'Peers Stock History'!F706/'Peers Stock History'!F$1833*100</f>
        <v>294.13533834586462</v>
      </c>
      <c r="F703" s="871">
        <f>'Peers Stock History'!G706/'Peers Stock History'!G$1833*100</f>
        <v>139.35653705011205</v>
      </c>
      <c r="G703" s="871">
        <f>'Peers Stock History'!H706/'Peers Stock History'!H$1833*100</f>
        <v>81.494247293557947</v>
      </c>
      <c r="H703" s="871">
        <f>'Peers Stock History'!I706/'Peers Stock History'!I$1833*100</f>
        <v>150.69504778453518</v>
      </c>
      <c r="I703" s="871">
        <f>'Peers Stock History'!J706/'Peers Stock History'!J$1833*100</f>
        <v>102.0793870384165</v>
      </c>
      <c r="J703" s="871">
        <f>'Peers Stock History'!K706/'Peers Stock History'!K$1833*100</f>
        <v>120.11196953658771</v>
      </c>
    </row>
    <row r="704" spans="2:10">
      <c r="B704" s="870">
        <v>43907</v>
      </c>
      <c r="C704" s="871">
        <f>'Peers Stock History'!D707/'Peers Stock History'!D$1833*100</f>
        <v>138.91816920943134</v>
      </c>
      <c r="D704" s="871">
        <f>'Peers Stock History'!E707/'Peers Stock History'!E$1833*100</f>
        <v>199.3302752293578</v>
      </c>
      <c r="E704" s="871">
        <f>'Peers Stock History'!F707/'Peers Stock History'!F$1833*100</f>
        <v>314.88721804511277</v>
      </c>
      <c r="F704" s="871">
        <f>'Peers Stock History'!G707/'Peers Stock History'!G$1833*100</f>
        <v>144.3865822881522</v>
      </c>
      <c r="G704" s="871">
        <f>'Peers Stock History'!H707/'Peers Stock History'!H$1833*100</f>
        <v>96.854216224088546</v>
      </c>
      <c r="H704" s="871">
        <f>'Peers Stock History'!I707/'Peers Stock History'!I$1833*100</f>
        <v>162.38053866203305</v>
      </c>
      <c r="I704" s="871">
        <f>'Peers Stock History'!J707/'Peers Stock History'!J$1833*100</f>
        <v>107.65946578695329</v>
      </c>
      <c r="J704" s="871">
        <f>'Peers Stock History'!K707/'Peers Stock History'!K$1833*100</f>
        <v>126.03930962429375</v>
      </c>
    </row>
    <row r="705" spans="2:10">
      <c r="B705" s="870">
        <v>43906</v>
      </c>
      <c r="C705" s="871">
        <f>'Peers Stock History'!D708/'Peers Stock History'!D$1833*100</f>
        <v>123.74479889042998</v>
      </c>
      <c r="D705" s="871">
        <f>'Peers Stock History'!E708/'Peers Stock History'!E$1833*100</f>
        <v>180.18348623853211</v>
      </c>
      <c r="E705" s="871">
        <f>'Peers Stock History'!F708/'Peers Stock History'!F$1833*100</f>
        <v>291.05263157894734</v>
      </c>
      <c r="F705" s="871">
        <f>'Peers Stock History'!G708/'Peers Stock History'!G$1833*100</f>
        <v>148.75908286908427</v>
      </c>
      <c r="G705" s="871">
        <f>'Peers Stock History'!H708/'Peers Stock History'!H$1833*100</f>
        <v>91.062672945288597</v>
      </c>
      <c r="H705" s="871">
        <f>'Peers Stock History'!I708/'Peers Stock History'!I$1833*100</f>
        <v>149.73935708079929</v>
      </c>
      <c r="I705" s="871">
        <f>'Peers Stock History'!J708/'Peers Stock History'!J$1833*100</f>
        <v>101.56986272214536</v>
      </c>
      <c r="J705" s="871">
        <f>'Peers Stock History'!K708/'Peers Stock History'!K$1833*100</f>
        <v>118.6470175824478</v>
      </c>
    </row>
    <row r="706" spans="2:10">
      <c r="B706" s="870">
        <v>43905</v>
      </c>
      <c r="C706" s="871">
        <f>'Peers Stock History'!D709/'Peers Stock History'!D$1833*100</f>
        <v>150.98474341192789</v>
      </c>
      <c r="D706" s="871">
        <f>'Peers Stock History'!E709/'Peers Stock History'!E$1833*100</f>
        <v>220.95412844036696</v>
      </c>
      <c r="E706" s="871">
        <f>'Peers Stock History'!F709/'Peers Stock History'!F$1833*100</f>
        <v>330.07518796992474</v>
      </c>
      <c r="F706" s="871">
        <f>'Peers Stock History'!G709/'Peers Stock History'!G$1833*100</f>
        <v>156.54510610541811</v>
      </c>
      <c r="G706" s="871">
        <f>'Peers Stock History'!H709/'Peers Stock History'!H$1833*100</f>
        <v>113.70454876450313</v>
      </c>
      <c r="H706" s="871">
        <f>'Peers Stock History'!I709/'Peers Stock History'!I$1833*100</f>
        <v>186.75065160729801</v>
      </c>
      <c r="I706" s="871">
        <f>'Peers Stock History'!J709/'Peers Stock History'!J$1833*100</f>
        <v>115.39938278173885</v>
      </c>
      <c r="J706" s="871">
        <f>'Peers Stock History'!K709/'Peers Stock History'!K$1833*100</f>
        <v>135.320151079829</v>
      </c>
    </row>
    <row r="707" spans="2:10">
      <c r="B707" s="870">
        <v>43904</v>
      </c>
      <c r="C707" s="871">
        <f>'Peers Stock History'!D710/'Peers Stock History'!D$1833*100</f>
        <v>150.98474341192789</v>
      </c>
      <c r="D707" s="871">
        <f>'Peers Stock History'!E710/'Peers Stock History'!E$1833*100</f>
        <v>220.95412844036696</v>
      </c>
      <c r="E707" s="871">
        <f>'Peers Stock History'!F710/'Peers Stock History'!F$1833*100</f>
        <v>330.07518796992474</v>
      </c>
      <c r="F707" s="871">
        <f>'Peers Stock History'!G710/'Peers Stock History'!G$1833*100</f>
        <v>156.54510610541811</v>
      </c>
      <c r="G707" s="871">
        <f>'Peers Stock History'!H710/'Peers Stock History'!H$1833*100</f>
        <v>113.70454876450313</v>
      </c>
      <c r="H707" s="871">
        <f>'Peers Stock History'!I710/'Peers Stock History'!I$1833*100</f>
        <v>186.75065160729801</v>
      </c>
      <c r="I707" s="871">
        <f>'Peers Stock History'!J710/'Peers Stock History'!J$1833*100</f>
        <v>115.39938278173885</v>
      </c>
      <c r="J707" s="871">
        <f>'Peers Stock History'!K710/'Peers Stock History'!K$1833*100</f>
        <v>135.320151079829</v>
      </c>
    </row>
    <row r="708" spans="2:10">
      <c r="B708" s="870">
        <v>43903</v>
      </c>
      <c r="C708" s="871">
        <f>'Peers Stock History'!D711/'Peers Stock History'!D$1833*100</f>
        <v>150.98474341192789</v>
      </c>
      <c r="D708" s="871">
        <f>'Peers Stock History'!E711/'Peers Stock History'!E$1833*100</f>
        <v>220.95412844036696</v>
      </c>
      <c r="E708" s="871">
        <f>'Peers Stock History'!F711/'Peers Stock History'!F$1833*100</f>
        <v>330.07518796992474</v>
      </c>
      <c r="F708" s="871">
        <f>'Peers Stock History'!G711/'Peers Stock History'!G$1833*100</f>
        <v>156.54510610541811</v>
      </c>
      <c r="G708" s="871">
        <f>'Peers Stock History'!H711/'Peers Stock History'!H$1833*100</f>
        <v>113.70454876450313</v>
      </c>
      <c r="H708" s="871">
        <f>'Peers Stock History'!I711/'Peers Stock History'!I$1833*100</f>
        <v>186.75065160729801</v>
      </c>
      <c r="I708" s="871">
        <f>'Peers Stock History'!J711/'Peers Stock History'!J$1833*100</f>
        <v>115.39938278173885</v>
      </c>
      <c r="J708" s="871">
        <f>'Peers Stock History'!K711/'Peers Stock History'!K$1833*100</f>
        <v>135.320151079829</v>
      </c>
    </row>
    <row r="709" spans="2:10">
      <c r="B709" s="870">
        <v>43902</v>
      </c>
      <c r="C709" s="871">
        <f>'Peers Stock History'!D712/'Peers Stock History'!D$1833*100</f>
        <v>126.3245492371706</v>
      </c>
      <c r="D709" s="871">
        <f>'Peers Stock History'!E712/'Peers Stock History'!E$1833*100</f>
        <v>198.44954128440367</v>
      </c>
      <c r="E709" s="871">
        <f>'Peers Stock History'!F712/'Peers Stock History'!F$1833*100</f>
        <v>293.30827067669173</v>
      </c>
      <c r="F709" s="871">
        <f>'Peers Stock History'!G712/'Peers Stock History'!G$1833*100</f>
        <v>158.53600144381465</v>
      </c>
      <c r="G709" s="871">
        <f>'Peers Stock History'!H712/'Peers Stock History'!H$1833*100</f>
        <v>106.20903927375113</v>
      </c>
      <c r="H709" s="871">
        <f>'Peers Stock History'!I712/'Peers Stock History'!I$1833*100</f>
        <v>168.59252823631624</v>
      </c>
      <c r="I709" s="871">
        <f>'Peers Stock History'!J712/'Peers Stock History'!J$1833*100</f>
        <v>105.59284878152602</v>
      </c>
      <c r="J709" s="871">
        <f>'Peers Stock History'!K712/'Peers Stock History'!K$1833*100</f>
        <v>123.75421002708164</v>
      </c>
    </row>
    <row r="710" spans="2:10">
      <c r="B710" s="870">
        <v>43901</v>
      </c>
      <c r="C710" s="871">
        <f>'Peers Stock History'!D713/'Peers Stock History'!D$1833*100</f>
        <v>143.30097087378641</v>
      </c>
      <c r="D710" s="871">
        <f>'Peers Stock History'!E713/'Peers Stock History'!E$1833*100</f>
        <v>226.11926605504587</v>
      </c>
      <c r="E710" s="871">
        <f>'Peers Stock History'!F713/'Peers Stock History'!F$1833*100</f>
        <v>343.60902255639098</v>
      </c>
      <c r="F710" s="871">
        <f>'Peers Stock History'!G713/'Peers Stock History'!G$1833*100</f>
        <v>162.97956811508831</v>
      </c>
      <c r="G710" s="871">
        <f>'Peers Stock History'!H713/'Peers Stock History'!H$1833*100</f>
        <v>119.40870916063886</v>
      </c>
      <c r="H710" s="871">
        <f>'Peers Stock History'!I713/'Peers Stock History'!I$1833*100</f>
        <v>189.92180712423979</v>
      </c>
      <c r="I710" s="871">
        <f>'Peers Stock History'!J713/'Peers Stock History'!J$1833*100</f>
        <v>116.69171012025114</v>
      </c>
      <c r="J710" s="871">
        <f>'Peers Stock History'!K713/'Peers Stock History'!K$1833*100</f>
        <v>136.64632679433075</v>
      </c>
    </row>
    <row r="711" spans="2:10">
      <c r="B711" s="870">
        <v>43900</v>
      </c>
      <c r="C711" s="871">
        <f>'Peers Stock History'!D714/'Peers Stock History'!D$1833*100</f>
        <v>149.73647711511791</v>
      </c>
      <c r="D711" s="871">
        <f>'Peers Stock History'!E714/'Peers Stock History'!E$1833*100</f>
        <v>239.52293577981649</v>
      </c>
      <c r="E711" s="871">
        <f>'Peers Stock History'!F714/'Peers Stock History'!F$1833*100</f>
        <v>341.20300751879699</v>
      </c>
      <c r="F711" s="871">
        <f>'Peers Stock History'!G714/'Peers Stock History'!G$1833*100</f>
        <v>166.9238953315436</v>
      </c>
      <c r="G711" s="871">
        <f>'Peers Stock History'!H714/'Peers Stock History'!H$1833*100</f>
        <v>127.62755473566676</v>
      </c>
      <c r="H711" s="871">
        <f>'Peers Stock History'!I714/'Peers Stock History'!I$1833*100</f>
        <v>207.90616854908777</v>
      </c>
      <c r="I711" s="871">
        <f>'Peers Stock History'!J714/'Peers Stock History'!J$1833*100</f>
        <v>122.68724060870491</v>
      </c>
      <c r="J711" s="871">
        <f>'Peers Stock History'!K714/'Peers Stock History'!K$1833*100</f>
        <v>143.38584124932984</v>
      </c>
    </row>
    <row r="712" spans="2:10">
      <c r="B712" s="870">
        <v>43899</v>
      </c>
      <c r="C712" s="871">
        <f>'Peers Stock History'!D715/'Peers Stock History'!D$1833*100</f>
        <v>141.05409153952843</v>
      </c>
      <c r="D712" s="871">
        <f>'Peers Stock History'!E715/'Peers Stock History'!E$1833*100</f>
        <v>225.1743119266055</v>
      </c>
      <c r="E712" s="871">
        <f>'Peers Stock History'!F715/'Peers Stock History'!F$1833*100</f>
        <v>325.33834586466168</v>
      </c>
      <c r="F712" s="871">
        <f>'Peers Stock History'!G715/'Peers Stock History'!G$1833*100</f>
        <v>165.73714546867814</v>
      </c>
      <c r="G712" s="871">
        <f>'Peers Stock History'!H715/'Peers Stock History'!H$1833*100</f>
        <v>120.25826496431864</v>
      </c>
      <c r="H712" s="871">
        <f>'Peers Stock History'!I715/'Peers Stock History'!I$1833*100</f>
        <v>199.69591659426587</v>
      </c>
      <c r="I712" s="871">
        <f>'Peers Stock History'!J715/'Peers Stock History'!J$1833*100</f>
        <v>116.91220602319889</v>
      </c>
      <c r="J712" s="871">
        <f>'Peers Stock History'!K715/'Peers Stock History'!K$1833*100</f>
        <v>136.62269909132152</v>
      </c>
    </row>
    <row r="713" spans="2:10">
      <c r="B713" s="870">
        <v>43898</v>
      </c>
      <c r="C713" s="871">
        <f>'Peers Stock History'!D716/'Peers Stock History'!D$1833*100</f>
        <v>154.70180305131765</v>
      </c>
      <c r="D713" s="871">
        <f>'Peers Stock History'!E716/'Peers Stock History'!E$1833*100</f>
        <v>244.07339449541286</v>
      </c>
      <c r="E713" s="871">
        <f>'Peers Stock History'!F716/'Peers Stock History'!F$1833*100</f>
        <v>365.33834586466168</v>
      </c>
      <c r="F713" s="871">
        <f>'Peers Stock History'!G716/'Peers Stock History'!G$1833*100</f>
        <v>171.37681159420313</v>
      </c>
      <c r="G713" s="871">
        <f>'Peers Stock History'!H716/'Peers Stock History'!H$1833*100</f>
        <v>130.8073207437254</v>
      </c>
      <c r="H713" s="871">
        <f>'Peers Stock History'!I716/'Peers Stock History'!I$1833*100</f>
        <v>223.58818418766288</v>
      </c>
      <c r="I713" s="871">
        <f>'Peers Stock History'!J716/'Peers Stock History'!J$1833*100</f>
        <v>126.52420985420878</v>
      </c>
      <c r="J713" s="871">
        <f>'Peers Stock History'!K716/'Peers Stock History'!K$1833*100</f>
        <v>147.36156743604195</v>
      </c>
    </row>
    <row r="714" spans="2:10">
      <c r="B714" s="870">
        <v>43897</v>
      </c>
      <c r="C714" s="871">
        <f>'Peers Stock History'!D717/'Peers Stock History'!D$1833*100</f>
        <v>154.70180305131765</v>
      </c>
      <c r="D714" s="871">
        <f>'Peers Stock History'!E717/'Peers Stock History'!E$1833*100</f>
        <v>244.07339449541286</v>
      </c>
      <c r="E714" s="871">
        <f>'Peers Stock History'!F717/'Peers Stock History'!F$1833*100</f>
        <v>365.33834586466168</v>
      </c>
      <c r="F714" s="871">
        <f>'Peers Stock History'!G717/'Peers Stock History'!G$1833*100</f>
        <v>171.37681159420313</v>
      </c>
      <c r="G714" s="871">
        <f>'Peers Stock History'!H717/'Peers Stock History'!H$1833*100</f>
        <v>130.8073207437254</v>
      </c>
      <c r="H714" s="871">
        <f>'Peers Stock History'!I717/'Peers Stock History'!I$1833*100</f>
        <v>223.58818418766288</v>
      </c>
      <c r="I714" s="871">
        <f>'Peers Stock History'!J717/'Peers Stock History'!J$1833*100</f>
        <v>126.52420985420878</v>
      </c>
      <c r="J714" s="871">
        <f>'Peers Stock History'!K717/'Peers Stock History'!K$1833*100</f>
        <v>147.36156743604195</v>
      </c>
    </row>
    <row r="715" spans="2:10">
      <c r="B715" s="870">
        <v>43896</v>
      </c>
      <c r="C715" s="871">
        <f>'Peers Stock History'!D718/'Peers Stock History'!D$1833*100</f>
        <v>154.70180305131765</v>
      </c>
      <c r="D715" s="871">
        <f>'Peers Stock History'!E718/'Peers Stock History'!E$1833*100</f>
        <v>244.07339449541286</v>
      </c>
      <c r="E715" s="871">
        <f>'Peers Stock History'!F718/'Peers Stock History'!F$1833*100</f>
        <v>365.33834586466168</v>
      </c>
      <c r="F715" s="871">
        <f>'Peers Stock History'!G718/'Peers Stock History'!G$1833*100</f>
        <v>171.37681159420313</v>
      </c>
      <c r="G715" s="871">
        <f>'Peers Stock History'!H718/'Peers Stock History'!H$1833*100</f>
        <v>130.8073207437254</v>
      </c>
      <c r="H715" s="871">
        <f>'Peers Stock History'!I718/'Peers Stock History'!I$1833*100</f>
        <v>223.58818418766288</v>
      </c>
      <c r="I715" s="871">
        <f>'Peers Stock History'!J718/'Peers Stock History'!J$1833*100</f>
        <v>126.52420985420878</v>
      </c>
      <c r="J715" s="871">
        <f>'Peers Stock History'!K718/'Peers Stock History'!K$1833*100</f>
        <v>147.36156743604195</v>
      </c>
    </row>
    <row r="716" spans="2:10">
      <c r="B716" s="870">
        <v>43895</v>
      </c>
      <c r="C716" s="871">
        <f>'Peers Stock History'!D719/'Peers Stock History'!D$1833*100</f>
        <v>158.00277392510404</v>
      </c>
      <c r="D716" s="871">
        <f>'Peers Stock History'!E719/'Peers Stock History'!E$1833*100</f>
        <v>250.72477064220186</v>
      </c>
      <c r="E716" s="871">
        <f>'Peers Stock History'!F719/'Peers Stock History'!F$1833*100</f>
        <v>361.72932330827064</v>
      </c>
      <c r="F716" s="871">
        <f>'Peers Stock History'!G719/'Peers Stock History'!G$1833*100</f>
        <v>175.45930116891194</v>
      </c>
      <c r="G716" s="871">
        <f>'Peers Stock History'!H719/'Peers Stock History'!H$1833*100</f>
        <v>133.0355842516627</v>
      </c>
      <c r="H716" s="871">
        <f>'Peers Stock History'!I719/'Peers Stock History'!I$1833*100</f>
        <v>233.36229365768895</v>
      </c>
      <c r="I716" s="871">
        <f>'Peers Stock History'!J719/'Peers Stock History'!J$1833*100</f>
        <v>128.71937852506119</v>
      </c>
      <c r="J716" s="871">
        <f>'Peers Stock History'!K719/'Peers Stock History'!K$1833*100</f>
        <v>150.16212900210328</v>
      </c>
    </row>
    <row r="717" spans="2:10">
      <c r="B717" s="870">
        <v>43894</v>
      </c>
      <c r="C717" s="871">
        <f>'Peers Stock History'!D720/'Peers Stock History'!D$1833*100</f>
        <v>162.7739251040222</v>
      </c>
      <c r="D717" s="871">
        <f>'Peers Stock History'!E720/'Peers Stock History'!E$1833*100</f>
        <v>261.01834862385323</v>
      </c>
      <c r="E717" s="871">
        <f>'Peers Stock History'!F720/'Peers Stock History'!F$1833*100</f>
        <v>376.76691729323306</v>
      </c>
      <c r="F717" s="871">
        <f>'Peers Stock History'!G720/'Peers Stock History'!G$1833*100</f>
        <v>174.29915229293391</v>
      </c>
      <c r="G717" s="871">
        <f>'Peers Stock History'!H720/'Peers Stock History'!H$1833*100</f>
        <v>138.57468809165491</v>
      </c>
      <c r="H717" s="871">
        <f>'Peers Stock History'!I720/'Peers Stock History'!I$1833*100</f>
        <v>240.1824500434405</v>
      </c>
      <c r="I717" s="871">
        <f>'Peers Stock History'!J720/'Peers Stock History'!J$1833*100</f>
        <v>133.23911886772373</v>
      </c>
      <c r="J717" s="871">
        <f>'Peers Stock History'!K720/'Peers Stock History'!K$1833*100</f>
        <v>154.9648763454903</v>
      </c>
    </row>
    <row r="718" spans="2:10">
      <c r="B718" s="870">
        <v>43893</v>
      </c>
      <c r="C718" s="871">
        <f>'Peers Stock History'!D721/'Peers Stock History'!D$1833*100</f>
        <v>155.25658807212207</v>
      </c>
      <c r="D718" s="871">
        <f>'Peers Stock History'!E721/'Peers Stock History'!E$1833*100</f>
        <v>243.93577981651373</v>
      </c>
      <c r="E718" s="871">
        <f>'Peers Stock History'!F721/'Peers Stock History'!F$1833*100</f>
        <v>351.50375939849619</v>
      </c>
      <c r="F718" s="871">
        <f>'Peers Stock History'!G721/'Peers Stock History'!G$1833*100</f>
        <v>172.78895507291955</v>
      </c>
      <c r="G718" s="871">
        <f>'Peers Stock History'!H721/'Peers Stock History'!H$1833*100</f>
        <v>133.13753094810428</v>
      </c>
      <c r="H718" s="871">
        <f>'Peers Stock History'!I721/'Peers Stock History'!I$1833*100</f>
        <v>225.02172024326671</v>
      </c>
      <c r="I718" s="871">
        <f>'Peers Stock History'!J721/'Peers Stock History'!J$1833*100</f>
        <v>127.84377992976481</v>
      </c>
      <c r="J718" s="871">
        <f>'Peers Stock History'!K721/'Peers Stock History'!K$1833*100</f>
        <v>149.22552685481767</v>
      </c>
    </row>
    <row r="719" spans="2:10">
      <c r="B719" s="870">
        <v>43892</v>
      </c>
      <c r="C719" s="871">
        <f>'Peers Stock History'!D722/'Peers Stock History'!D$1833*100</f>
        <v>161.38696255201111</v>
      </c>
      <c r="D719" s="871">
        <f>'Peers Stock History'!E722/'Peers Stock History'!E$1833*100</f>
        <v>253.60550458715596</v>
      </c>
      <c r="E719" s="871">
        <f>'Peers Stock History'!F722/'Peers Stock History'!F$1833*100</f>
        <v>356.84210526315792</v>
      </c>
      <c r="F719" s="871">
        <f>'Peers Stock History'!G722/'Peers Stock History'!G$1833*100</f>
        <v>169.48401620093375</v>
      </c>
      <c r="G719" s="871">
        <f>'Peers Stock History'!H722/'Peers Stock History'!H$1833*100</f>
        <v>138.34166707121707</v>
      </c>
      <c r="H719" s="871">
        <f>'Peers Stock History'!I722/'Peers Stock History'!I$1833*100</f>
        <v>237.14161598609905</v>
      </c>
      <c r="I719" s="871">
        <f>'Peers Stock History'!J722/'Peers Stock History'!J$1833*100</f>
        <v>131.54113014791955</v>
      </c>
      <c r="J719" s="871">
        <f>'Peers Stock History'!K722/'Peers Stock History'!K$1833*100</f>
        <v>153.83206975241606</v>
      </c>
    </row>
    <row r="720" spans="2:10">
      <c r="B720" s="870">
        <v>43891</v>
      </c>
      <c r="C720" s="871">
        <f>'Peers Stock History'!D723/'Peers Stock History'!D$1833*100</f>
        <v>154.00832177531208</v>
      </c>
      <c r="D720" s="871">
        <f>'Peers Stock History'!E723/'Peers Stock History'!E$1833*100</f>
        <v>247.77064220183487</v>
      </c>
      <c r="E720" s="871">
        <f>'Peers Stock History'!F723/'Peers Stock History'!F$1833*100</f>
        <v>341.95488721804509</v>
      </c>
      <c r="F720" s="871">
        <f>'Peers Stock History'!G723/'Peers Stock History'!G$1833*100</f>
        <v>169.86992704913507</v>
      </c>
      <c r="G720" s="871">
        <f>'Peers Stock History'!H723/'Peers Stock History'!H$1833*100</f>
        <v>132.34623039953394</v>
      </c>
      <c r="H720" s="871">
        <f>'Peers Stock History'!I723/'Peers Stock History'!I$1833*100</f>
        <v>228.32319721980889</v>
      </c>
      <c r="I720" s="871">
        <f>'Peers Stock History'!J723/'Peers Stock History'!J$1833*100</f>
        <v>125.75162285835904</v>
      </c>
      <c r="J720" s="871">
        <f>'Peers Stock History'!K723/'Peers Stock History'!K$1833*100</f>
        <v>147.21980121798663</v>
      </c>
    </row>
    <row r="721" spans="2:10">
      <c r="B721" s="870">
        <v>43890</v>
      </c>
      <c r="C721" s="871">
        <f>'Peers Stock History'!D724/'Peers Stock History'!D$1833*100</f>
        <v>154.00832177531208</v>
      </c>
      <c r="D721" s="871">
        <f>'Peers Stock History'!E724/'Peers Stock History'!E$1833*100</f>
        <v>247.77064220183487</v>
      </c>
      <c r="E721" s="871">
        <f>'Peers Stock History'!F724/'Peers Stock History'!F$1833*100</f>
        <v>341.95488721804509</v>
      </c>
      <c r="F721" s="871">
        <f>'Peers Stock History'!G724/'Peers Stock History'!G$1833*100</f>
        <v>169.86992704913507</v>
      </c>
      <c r="G721" s="871">
        <f>'Peers Stock History'!H724/'Peers Stock History'!H$1833*100</f>
        <v>132.34623039953394</v>
      </c>
      <c r="H721" s="871">
        <f>'Peers Stock History'!I724/'Peers Stock History'!I$1833*100</f>
        <v>228.32319721980889</v>
      </c>
      <c r="I721" s="871">
        <f>'Peers Stock History'!J724/'Peers Stock History'!J$1833*100</f>
        <v>125.75162285835904</v>
      </c>
      <c r="J721" s="871">
        <f>'Peers Stock History'!K724/'Peers Stock History'!K$1833*100</f>
        <v>147.21980121798663</v>
      </c>
    </row>
    <row r="722" spans="2:10">
      <c r="B722" s="870">
        <v>43889</v>
      </c>
      <c r="C722" s="871">
        <f>'Peers Stock History'!D725/'Peers Stock History'!D$1833*100</f>
        <v>154.00832177531208</v>
      </c>
      <c r="D722" s="871">
        <f>'Peers Stock History'!E725/'Peers Stock History'!E$1833*100</f>
        <v>247.77064220183487</v>
      </c>
      <c r="E722" s="871">
        <f>'Peers Stock History'!F725/'Peers Stock History'!F$1833*100</f>
        <v>341.95488721804509</v>
      </c>
      <c r="F722" s="871">
        <f>'Peers Stock History'!G725/'Peers Stock History'!G$1833*100</f>
        <v>169.86992704913507</v>
      </c>
      <c r="G722" s="871">
        <f>'Peers Stock History'!H725/'Peers Stock History'!H$1833*100</f>
        <v>132.34623039953394</v>
      </c>
      <c r="H722" s="871">
        <f>'Peers Stock History'!I725/'Peers Stock History'!I$1833*100</f>
        <v>228.32319721980889</v>
      </c>
      <c r="I722" s="871">
        <f>'Peers Stock History'!J725/'Peers Stock History'!J$1833*100</f>
        <v>125.75162285835904</v>
      </c>
      <c r="J722" s="871">
        <f>'Peers Stock History'!K725/'Peers Stock History'!K$1833*100</f>
        <v>147.21980121798663</v>
      </c>
    </row>
    <row r="723" spans="2:10">
      <c r="B723" s="870">
        <v>43888</v>
      </c>
      <c r="C723" s="871">
        <f>'Peers Stock History'!D726/'Peers Stock History'!D$1833*100</f>
        <v>154.86823855755895</v>
      </c>
      <c r="D723" s="871">
        <f>'Peers Stock History'!E726/'Peers Stock History'!E$1833*100</f>
        <v>231.74311926605503</v>
      </c>
      <c r="E723" s="871">
        <f>'Peers Stock History'!F726/'Peers Stock History'!F$1833*100</f>
        <v>330.90225563909769</v>
      </c>
      <c r="F723" s="871">
        <f>'Peers Stock History'!G726/'Peers Stock History'!G$1833*100</f>
        <v>169.86992704913507</v>
      </c>
      <c r="G723" s="871">
        <f>'Peers Stock History'!H726/'Peers Stock History'!H$1833*100</f>
        <v>132.9918928103306</v>
      </c>
      <c r="H723" s="871">
        <f>'Peers Stock History'!I726/'Peers Stock History'!I$1833*100</f>
        <v>219.72198088618592</v>
      </c>
      <c r="I723" s="871">
        <f>'Peers Stock History'!J726/'Peers Stock History'!J$1833*100</f>
        <v>126.79621155687985</v>
      </c>
      <c r="J723" s="871">
        <f>'Peers Stock History'!K726/'Peers Stock History'!K$1833*100</f>
        <v>147.20454201778864</v>
      </c>
    </row>
    <row r="724" spans="2:10">
      <c r="B724" s="870">
        <v>43887</v>
      </c>
      <c r="C724" s="871">
        <f>'Peers Stock History'!D727/'Peers Stock History'!D$1833*100</f>
        <v>165.46463245492373</v>
      </c>
      <c r="D724" s="871">
        <f>'Peers Stock History'!E727/'Peers Stock History'!E$1833*100</f>
        <v>245.55045871559633</v>
      </c>
      <c r="E724" s="871">
        <f>'Peers Stock History'!F727/'Peers Stock History'!F$1833*100</f>
        <v>357.06766917293231</v>
      </c>
      <c r="F724" s="871">
        <f>'Peers Stock History'!G727/'Peers Stock History'!G$1833*100</f>
        <v>171.17989400508398</v>
      </c>
      <c r="G724" s="871">
        <f>'Peers Stock History'!H727/'Peers Stock History'!H$1833*100</f>
        <v>138.78343608913053</v>
      </c>
      <c r="H724" s="871">
        <f>'Peers Stock History'!I727/'Peers Stock History'!I$1833*100</f>
        <v>227.49782797567332</v>
      </c>
      <c r="I724" s="871">
        <f>'Peers Stock History'!J727/'Peers Stock History'!J$1833*100</f>
        <v>132.65467702458233</v>
      </c>
      <c r="J724" s="871">
        <f>'Peers Stock History'!K727/'Peers Stock History'!K$1833*100</f>
        <v>154.32369781284797</v>
      </c>
    </row>
    <row r="725" spans="2:10">
      <c r="B725" s="870">
        <v>43886</v>
      </c>
      <c r="C725" s="871">
        <f>'Peers Stock History'!D728/'Peers Stock History'!D$1833*100</f>
        <v>165.68654646324549</v>
      </c>
      <c r="D725" s="871">
        <f>'Peers Stock History'!E728/'Peers Stock History'!E$1833*100</f>
        <v>240.41284403669727</v>
      </c>
      <c r="E725" s="871">
        <f>'Peers Stock History'!F728/'Peers Stock History'!F$1833*100</f>
        <v>357.66917293233081</v>
      </c>
      <c r="F725" s="871">
        <f>'Peers Stock History'!G728/'Peers Stock History'!G$1833*100</f>
        <v>172.32652444522444</v>
      </c>
      <c r="G725" s="871">
        <f>'Peers Stock History'!H728/'Peers Stock History'!H$1833*100</f>
        <v>137.22996261954464</v>
      </c>
      <c r="H725" s="871">
        <f>'Peers Stock History'!I728/'Peers Stock History'!I$1833*100</f>
        <v>226.32493483927024</v>
      </c>
      <c r="I725" s="871">
        <f>'Peers Stock History'!J728/'Peers Stock History'!J$1833*100</f>
        <v>133.15781632435883</v>
      </c>
      <c r="J725" s="871">
        <f>'Peers Stock History'!K728/'Peers Stock History'!K$1833*100</f>
        <v>154.06315727973825</v>
      </c>
    </row>
    <row r="726" spans="2:10">
      <c r="B726" s="870">
        <v>43885</v>
      </c>
      <c r="C726" s="871">
        <f>'Peers Stock History'!D729/'Peers Stock History'!D$1833*100</f>
        <v>171.31761442441055</v>
      </c>
      <c r="D726" s="871">
        <f>'Peers Stock History'!E729/'Peers Stock History'!E$1833*100</f>
        <v>250.71559633027522</v>
      </c>
      <c r="E726" s="871">
        <f>'Peers Stock History'!F729/'Peers Stock History'!F$1833*100</f>
        <v>369.32330827067665</v>
      </c>
      <c r="F726" s="871">
        <f>'Peers Stock History'!G729/'Peers Stock History'!G$1833*100</f>
        <v>171.06482568198044</v>
      </c>
      <c r="G726" s="871">
        <f>'Peers Stock History'!H729/'Peers Stock History'!H$1833*100</f>
        <v>141.56026991601533</v>
      </c>
      <c r="H726" s="871">
        <f>'Peers Stock History'!I729/'Peers Stock History'!I$1833*100</f>
        <v>238.96611642050391</v>
      </c>
      <c r="I726" s="871">
        <f>'Peers Stock History'!J729/'Peers Stock History'!J$1833*100</f>
        <v>137.31573906565924</v>
      </c>
      <c r="J726" s="871">
        <f>'Peers Stock History'!K729/'Peers Stock History'!K$1833*100</f>
        <v>158.45648378538144</v>
      </c>
    </row>
    <row r="727" spans="2:10">
      <c r="B727" s="870">
        <v>43884</v>
      </c>
      <c r="C727" s="871">
        <f>'Peers Stock History'!D730/'Peers Stock History'!D$1833*100</f>
        <v>178.47434119278782</v>
      </c>
      <c r="D727" s="871">
        <f>'Peers Stock History'!E730/'Peers Stock History'!E$1833*100</f>
        <v>269.78899082568807</v>
      </c>
      <c r="E727" s="871">
        <f>'Peers Stock History'!F730/'Peers Stock History'!F$1833*100</f>
        <v>400.60150375939844</v>
      </c>
      <c r="F727" s="871">
        <f>'Peers Stock History'!G730/'Peers Stock History'!G$1833*100</f>
        <v>173.99501807927095</v>
      </c>
      <c r="G727" s="871">
        <f>'Peers Stock History'!H730/'Peers Stock History'!H$1833*100</f>
        <v>147.82270984028349</v>
      </c>
      <c r="H727" s="871">
        <f>'Peers Stock History'!I730/'Peers Stock History'!I$1833*100</f>
        <v>247.56733275412688</v>
      </c>
      <c r="I727" s="871">
        <f>'Peers Stock History'!J730/'Peers Stock History'!J$1833*100</f>
        <v>142.07725869958497</v>
      </c>
      <c r="J727" s="871">
        <f>'Peers Stock History'!K730/'Peers Stock History'!K$1833*100</f>
        <v>164.56205408080504</v>
      </c>
    </row>
    <row r="728" spans="2:10">
      <c r="B728" s="870">
        <v>43883</v>
      </c>
      <c r="C728" s="871">
        <f>'Peers Stock History'!D731/'Peers Stock History'!D$1833*100</f>
        <v>178.47434119278782</v>
      </c>
      <c r="D728" s="871">
        <f>'Peers Stock History'!E731/'Peers Stock History'!E$1833*100</f>
        <v>269.78899082568807</v>
      </c>
      <c r="E728" s="871">
        <f>'Peers Stock History'!F731/'Peers Stock History'!F$1833*100</f>
        <v>400.60150375939844</v>
      </c>
      <c r="F728" s="871">
        <f>'Peers Stock History'!G731/'Peers Stock History'!G$1833*100</f>
        <v>173.99501807927095</v>
      </c>
      <c r="G728" s="871">
        <f>'Peers Stock History'!H731/'Peers Stock History'!H$1833*100</f>
        <v>147.82270984028349</v>
      </c>
      <c r="H728" s="871">
        <f>'Peers Stock History'!I731/'Peers Stock History'!I$1833*100</f>
        <v>247.56733275412688</v>
      </c>
      <c r="I728" s="871">
        <f>'Peers Stock History'!J731/'Peers Stock History'!J$1833*100</f>
        <v>142.07725869958497</v>
      </c>
      <c r="J728" s="871">
        <f>'Peers Stock History'!K731/'Peers Stock History'!K$1833*100</f>
        <v>164.56205408080504</v>
      </c>
    </row>
    <row r="729" spans="2:10">
      <c r="B729" s="870">
        <v>43882</v>
      </c>
      <c r="C729" s="871">
        <f>'Peers Stock History'!D732/'Peers Stock History'!D$1833*100</f>
        <v>178.47434119278782</v>
      </c>
      <c r="D729" s="871">
        <f>'Peers Stock History'!E732/'Peers Stock History'!E$1833*100</f>
        <v>269.78899082568807</v>
      </c>
      <c r="E729" s="871">
        <f>'Peers Stock History'!F732/'Peers Stock History'!F$1833*100</f>
        <v>400.60150375939844</v>
      </c>
      <c r="F729" s="871">
        <f>'Peers Stock History'!G732/'Peers Stock History'!G$1833*100</f>
        <v>173.99501807927095</v>
      </c>
      <c r="G729" s="871">
        <f>'Peers Stock History'!H732/'Peers Stock History'!H$1833*100</f>
        <v>147.82270984028349</v>
      </c>
      <c r="H729" s="871">
        <f>'Peers Stock History'!I732/'Peers Stock History'!I$1833*100</f>
        <v>247.56733275412688</v>
      </c>
      <c r="I729" s="871">
        <f>'Peers Stock History'!J732/'Peers Stock History'!J$1833*100</f>
        <v>142.07725869958497</v>
      </c>
      <c r="J729" s="871">
        <f>'Peers Stock History'!K732/'Peers Stock History'!K$1833*100</f>
        <v>164.56205408080504</v>
      </c>
    </row>
    <row r="730" spans="2:10">
      <c r="B730" s="870">
        <v>43881</v>
      </c>
      <c r="C730" s="871">
        <f>'Peers Stock History'!D733/'Peers Stock History'!D$1833*100</f>
        <v>181.55339805825247</v>
      </c>
      <c r="D730" s="871">
        <f>'Peers Stock History'!E733/'Peers Stock History'!E$1833*100</f>
        <v>283.21100917431193</v>
      </c>
      <c r="E730" s="871">
        <f>'Peers Stock History'!F733/'Peers Stock History'!F$1833*100</f>
        <v>430.6015037593985</v>
      </c>
      <c r="F730" s="871">
        <f>'Peers Stock History'!G733/'Peers Stock History'!G$1833*100</f>
        <v>174.38896756651971</v>
      </c>
      <c r="G730" s="871">
        <f>'Peers Stock History'!H733/'Peers Stock History'!H$1833*100</f>
        <v>150.12379241710764</v>
      </c>
      <c r="H730" s="871">
        <f>'Peers Stock History'!I733/'Peers Stock History'!I$1833*100</f>
        <v>256.29887054735013</v>
      </c>
      <c r="I730" s="871">
        <f>'Peers Stock History'!J733/'Peers Stock History'!J$1833*100</f>
        <v>143.58752793444717</v>
      </c>
      <c r="J730" s="871">
        <f>'Peers Stock History'!K733/'Peers Stock History'!K$1833*100</f>
        <v>167.55847641697483</v>
      </c>
    </row>
    <row r="731" spans="2:10">
      <c r="B731" s="870">
        <v>43880</v>
      </c>
      <c r="C731" s="871">
        <f>'Peers Stock History'!D734/'Peers Stock History'!D$1833*100</f>
        <v>186.15811373092927</v>
      </c>
      <c r="D731" s="871">
        <f>'Peers Stock History'!E734/'Peers Stock History'!E$1833*100</f>
        <v>288.71559633027522</v>
      </c>
      <c r="E731" s="871">
        <f>'Peers Stock History'!F734/'Peers Stock History'!F$1833*100</f>
        <v>442.85714285714278</v>
      </c>
      <c r="F731" s="871">
        <f>'Peers Stock History'!G734/'Peers Stock History'!G$1833*100</f>
        <v>176.1254615330088</v>
      </c>
      <c r="G731" s="871">
        <f>'Peers Stock History'!H734/'Peers Stock History'!H$1833*100</f>
        <v>153.25501237924172</v>
      </c>
      <c r="H731" s="871">
        <f>'Peers Stock History'!I734/'Peers Stock History'!I$1833*100</f>
        <v>260.59947871416165</v>
      </c>
      <c r="I731" s="871">
        <f>'Peers Stock History'!J734/'Peers Stock History'!J$1833*100</f>
        <v>144.13749068851763</v>
      </c>
      <c r="J731" s="871">
        <f>'Peers Stock History'!K734/'Peers Stock History'!K$1833*100</f>
        <v>168.69630067497906</v>
      </c>
    </row>
    <row r="732" spans="2:10">
      <c r="B732" s="870">
        <v>43879</v>
      </c>
      <c r="C732" s="871">
        <f>'Peers Stock History'!D735/'Peers Stock History'!D$1833*100</f>
        <v>183.46740638002777</v>
      </c>
      <c r="D732" s="871">
        <f>'Peers Stock History'!E735/'Peers Stock History'!E$1833*100</f>
        <v>272.08256880733944</v>
      </c>
      <c r="E732" s="871">
        <f>'Peers Stock History'!F735/'Peers Stock History'!F$1833*100</f>
        <v>427.74436090225561</v>
      </c>
      <c r="F732" s="871">
        <f>'Peers Stock History'!G735/'Peers Stock History'!G$1833*100</f>
        <v>174.03272765755347</v>
      </c>
      <c r="G732" s="871">
        <f>'Peers Stock History'!H735/'Peers Stock History'!H$1833*100</f>
        <v>150.85683771056847</v>
      </c>
      <c r="H732" s="871">
        <f>'Peers Stock History'!I735/'Peers Stock History'!I$1833*100</f>
        <v>250.868809730669</v>
      </c>
      <c r="I732" s="871">
        <f>'Peers Stock History'!J735/'Peers Stock History'!J$1833*100</f>
        <v>143.46238161115249</v>
      </c>
      <c r="J732" s="871">
        <f>'Peers Stock History'!K735/'Peers Stock History'!K$1833*100</f>
        <v>167.2453535048046</v>
      </c>
    </row>
    <row r="733" spans="2:10">
      <c r="B733" s="870">
        <v>43878</v>
      </c>
      <c r="C733" s="871">
        <f>'Peers Stock History'!D736/'Peers Stock History'!D$1833*100</f>
        <v>186.60194174757279</v>
      </c>
      <c r="D733" s="871">
        <f>'Peers Stock History'!E736/'Peers Stock History'!E$1833*100</f>
        <v>265.86238532110093</v>
      </c>
      <c r="E733" s="871">
        <f>'Peers Stock History'!F736/'Peers Stock History'!F$1833*100</f>
        <v>415.86466165413532</v>
      </c>
      <c r="F733" s="871">
        <f>'Peers Stock History'!G736/'Peers Stock History'!G$1833*100</f>
        <v>179.69860364641869</v>
      </c>
      <c r="G733" s="871">
        <f>'Peers Stock History'!H736/'Peers Stock History'!H$1833*100</f>
        <v>154.26477013447254</v>
      </c>
      <c r="H733" s="871">
        <f>'Peers Stock History'!I736/'Peers Stock History'!I$1833*100</f>
        <v>254.12684622067769</v>
      </c>
      <c r="I733" s="871">
        <f>'Peers Stock History'!J736/'Peers Stock History'!J$1833*100</f>
        <v>143.88251569649887</v>
      </c>
      <c r="J733" s="871">
        <f>'Peers Stock History'!K736/'Peers Stock History'!K$1833*100</f>
        <v>167.21842651526609</v>
      </c>
    </row>
    <row r="734" spans="2:10">
      <c r="B734" s="870">
        <v>43877</v>
      </c>
      <c r="C734" s="871">
        <f>'Peers Stock History'!D737/'Peers Stock History'!D$1833*100</f>
        <v>186.60194174757279</v>
      </c>
      <c r="D734" s="871">
        <f>'Peers Stock History'!E737/'Peers Stock History'!E$1833*100</f>
        <v>265.86238532110093</v>
      </c>
      <c r="E734" s="871">
        <f>'Peers Stock History'!F737/'Peers Stock History'!F$1833*100</f>
        <v>415.86466165413532</v>
      </c>
      <c r="F734" s="871">
        <f>'Peers Stock History'!G737/'Peers Stock History'!G$1833*100</f>
        <v>181.50514861479368</v>
      </c>
      <c r="G734" s="871">
        <f>'Peers Stock History'!H737/'Peers Stock History'!H$1833*100</f>
        <v>154.26477013447254</v>
      </c>
      <c r="H734" s="871">
        <f>'Peers Stock History'!I737/'Peers Stock History'!I$1833*100</f>
        <v>254.12684622067769</v>
      </c>
      <c r="I734" s="871">
        <f>'Peers Stock History'!J737/'Peers Stock History'!J$1833*100</f>
        <v>143.88251569649887</v>
      </c>
      <c r="J734" s="871">
        <f>'Peers Stock History'!K737/'Peers Stock History'!K$1833*100</f>
        <v>167.21842651526609</v>
      </c>
    </row>
    <row r="735" spans="2:10">
      <c r="B735" s="870">
        <v>43876</v>
      </c>
      <c r="C735" s="871">
        <f>'Peers Stock History'!D738/'Peers Stock History'!D$1833*100</f>
        <v>186.60194174757279</v>
      </c>
      <c r="D735" s="871">
        <f>'Peers Stock History'!E738/'Peers Stock History'!E$1833*100</f>
        <v>265.86238532110093</v>
      </c>
      <c r="E735" s="871">
        <f>'Peers Stock History'!F738/'Peers Stock History'!F$1833*100</f>
        <v>415.86466165413532</v>
      </c>
      <c r="F735" s="871">
        <f>'Peers Stock History'!G738/'Peers Stock History'!G$1833*100</f>
        <v>181.50514861479368</v>
      </c>
      <c r="G735" s="871">
        <f>'Peers Stock History'!H738/'Peers Stock History'!H$1833*100</f>
        <v>154.26477013447254</v>
      </c>
      <c r="H735" s="871">
        <f>'Peers Stock History'!I738/'Peers Stock History'!I$1833*100</f>
        <v>254.12684622067769</v>
      </c>
      <c r="I735" s="871">
        <f>'Peers Stock History'!J738/'Peers Stock History'!J$1833*100</f>
        <v>143.88251569649887</v>
      </c>
      <c r="J735" s="871">
        <f>'Peers Stock History'!K738/'Peers Stock History'!K$1833*100</f>
        <v>167.21842651526609</v>
      </c>
    </row>
    <row r="736" spans="2:10">
      <c r="B736" s="870">
        <v>43875</v>
      </c>
      <c r="C736" s="871">
        <f>'Peers Stock History'!D739/'Peers Stock History'!D$1833*100</f>
        <v>186.60194174757279</v>
      </c>
      <c r="D736" s="871">
        <f>'Peers Stock History'!E739/'Peers Stock History'!E$1833*100</f>
        <v>265.86238532110093</v>
      </c>
      <c r="E736" s="871">
        <f>'Peers Stock History'!F739/'Peers Stock History'!F$1833*100</f>
        <v>415.86466165413532</v>
      </c>
      <c r="F736" s="871">
        <f>'Peers Stock History'!G739/'Peers Stock History'!G$1833*100</f>
        <v>181.50514861479368</v>
      </c>
      <c r="G736" s="871">
        <f>'Peers Stock History'!H739/'Peers Stock History'!H$1833*100</f>
        <v>154.26477013447254</v>
      </c>
      <c r="H736" s="871">
        <f>'Peers Stock History'!I739/'Peers Stock History'!I$1833*100</f>
        <v>254.12684622067769</v>
      </c>
      <c r="I736" s="871">
        <f>'Peers Stock History'!J739/'Peers Stock History'!J$1833*100</f>
        <v>143.88251569649887</v>
      </c>
      <c r="J736" s="871">
        <f>'Peers Stock History'!K739/'Peers Stock History'!K$1833*100</f>
        <v>167.21842651526609</v>
      </c>
    </row>
    <row r="737" spans="2:10">
      <c r="B737" s="870">
        <v>43874</v>
      </c>
      <c r="C737" s="871">
        <f>'Peers Stock History'!D740/'Peers Stock History'!D$1833*100</f>
        <v>187.07350901525658</v>
      </c>
      <c r="D737" s="871">
        <f>'Peers Stock History'!E740/'Peers Stock History'!E$1833*100</f>
        <v>248.42201834862382</v>
      </c>
      <c r="E737" s="871">
        <f>'Peers Stock History'!F740/'Peers Stock History'!F$1833*100</f>
        <v>409.99999999999994</v>
      </c>
      <c r="F737" s="871">
        <f>'Peers Stock History'!G740/'Peers Stock History'!G$1833*100</f>
        <v>181.66246356459123</v>
      </c>
      <c r="G737" s="871">
        <f>'Peers Stock History'!H740/'Peers Stock History'!H$1833*100</f>
        <v>157.27462498179523</v>
      </c>
      <c r="H737" s="871">
        <f>'Peers Stock History'!I740/'Peers Stock History'!I$1833*100</f>
        <v>257.73240660295397</v>
      </c>
      <c r="I737" s="871">
        <f>'Peers Stock History'!J740/'Peers Stock History'!J$1833*100</f>
        <v>143.61775034585506</v>
      </c>
      <c r="J737" s="871">
        <f>'Peers Stock History'!K740/'Peers Stock History'!K$1833*100</f>
        <v>166.88836039206524</v>
      </c>
    </row>
    <row r="738" spans="2:10">
      <c r="B738" s="870">
        <v>43873</v>
      </c>
      <c r="C738" s="871">
        <f>'Peers Stock History'!D741/'Peers Stock History'!D$1833*100</f>
        <v>187.12898751733701</v>
      </c>
      <c r="D738" s="871">
        <f>'Peers Stock History'!E741/'Peers Stock History'!E$1833*100</f>
        <v>250.03669724770643</v>
      </c>
      <c r="E738" s="871">
        <f>'Peers Stock History'!F741/'Peers Stock History'!F$1833*100</f>
        <v>405.18796992481202</v>
      </c>
      <c r="F738" s="871">
        <f>'Peers Stock History'!G741/'Peers Stock History'!G$1833*100</f>
        <v>181.76547086523397</v>
      </c>
      <c r="G738" s="871">
        <f>'Peers Stock History'!H741/'Peers Stock History'!H$1833*100</f>
        <v>157.62901111704451</v>
      </c>
      <c r="H738" s="871">
        <f>'Peers Stock History'!I741/'Peers Stock History'!I$1833*100</f>
        <v>257.47176368375324</v>
      </c>
      <c r="I738" s="871">
        <f>'Peers Stock History'!J741/'Peers Stock History'!J$1833*100</f>
        <v>143.85229328509098</v>
      </c>
      <c r="J738" s="871">
        <f>'Peers Stock History'!K741/'Peers Stock History'!K$1833*100</f>
        <v>167.12883026545512</v>
      </c>
    </row>
    <row r="739" spans="2:10">
      <c r="B739" s="870">
        <v>43872</v>
      </c>
      <c r="C739" s="871">
        <f>'Peers Stock History'!D742/'Peers Stock History'!D$1833*100</f>
        <v>186.99029126213594</v>
      </c>
      <c r="D739" s="871">
        <f>'Peers Stock History'!E742/'Peers Stock History'!E$1833*100</f>
        <v>245.77064220183487</v>
      </c>
      <c r="E739" s="871">
        <f>'Peers Stock History'!F742/'Peers Stock History'!F$1833*100</f>
        <v>404.51127819548873</v>
      </c>
      <c r="F739" s="871">
        <f>'Peers Stock History'!G742/'Peers Stock History'!G$1833*100</f>
        <v>179.62079131388288</v>
      </c>
      <c r="G739" s="871">
        <f>'Peers Stock History'!H742/'Peers Stock History'!H$1833*100</f>
        <v>155.42502063206953</v>
      </c>
      <c r="H739" s="871">
        <f>'Peers Stock History'!I742/'Peers Stock History'!I$1833*100</f>
        <v>248.69678540399653</v>
      </c>
      <c r="I739" s="871">
        <f>'Peers Stock History'!J742/'Peers Stock History'!J$1833*100</f>
        <v>142.92859423220176</v>
      </c>
      <c r="J739" s="871">
        <f>'Peers Stock History'!K742/'Peers Stock History'!K$1833*100</f>
        <v>165.63349738119132</v>
      </c>
    </row>
    <row r="740" spans="2:10">
      <c r="B740" s="870">
        <v>43871</v>
      </c>
      <c r="C740" s="871">
        <f>'Peers Stock History'!D743/'Peers Stock History'!D$1833*100</f>
        <v>184.16088765603331</v>
      </c>
      <c r="D740" s="871">
        <f>'Peers Stock History'!E743/'Peers Stock History'!E$1833*100</f>
        <v>241.25688073394497</v>
      </c>
      <c r="E740" s="871">
        <f>'Peers Stock History'!F743/'Peers Stock History'!F$1833*100</f>
        <v>392.93233082706763</v>
      </c>
      <c r="F740" s="871">
        <f>'Peers Stock History'!G743/'Peers Stock History'!G$1833*100</f>
        <v>177.08182196299208</v>
      </c>
      <c r="G740" s="871">
        <f>'Peers Stock History'!H743/'Peers Stock History'!H$1833*100</f>
        <v>152.53167629496576</v>
      </c>
      <c r="H740" s="871">
        <f>'Peers Stock History'!I743/'Peers Stock History'!I$1833*100</f>
        <v>249.04430929626412</v>
      </c>
      <c r="I740" s="871">
        <f>'Peers Stock History'!J743/'Peers Stock History'!J$1833*100</f>
        <v>142.68766627647122</v>
      </c>
      <c r="J740" s="871">
        <f>'Peers Stock History'!K743/'Peers Stock History'!K$1833*100</f>
        <v>165.45215690856853</v>
      </c>
    </row>
    <row r="741" spans="2:10">
      <c r="B741" s="870">
        <v>43870</v>
      </c>
      <c r="C741" s="871">
        <f>'Peers Stock History'!D744/'Peers Stock History'!D$1833*100</f>
        <v>183.13453536754508</v>
      </c>
      <c r="D741" s="871">
        <f>'Peers Stock History'!E744/'Peers Stock History'!E$1833*100</f>
        <v>230.81651376146789</v>
      </c>
      <c r="E741" s="871">
        <f>'Peers Stock History'!F744/'Peers Stock History'!F$1833*100</f>
        <v>373.90977443609017</v>
      </c>
      <c r="F741" s="871">
        <f>'Peers Stock History'!G744/'Peers Stock History'!G$1833*100</f>
        <v>176.85837156154381</v>
      </c>
      <c r="G741" s="871">
        <f>'Peers Stock History'!H744/'Peers Stock History'!H$1833*100</f>
        <v>153.03170056798874</v>
      </c>
      <c r="H741" s="871">
        <f>'Peers Stock History'!I744/'Peers Stock History'!I$1833*100</f>
        <v>247.08948740225892</v>
      </c>
      <c r="I741" s="871">
        <f>'Peers Stock History'!J744/'Peers Stock History'!J$1833*100</f>
        <v>141.64988826221133</v>
      </c>
      <c r="J741" s="871">
        <f>'Peers Stock History'!K744/'Peers Stock History'!K$1833*100</f>
        <v>163.59842184127683</v>
      </c>
    </row>
    <row r="742" spans="2:10">
      <c r="B742" s="870">
        <v>43869</v>
      </c>
      <c r="C742" s="871">
        <f>'Peers Stock History'!D745/'Peers Stock History'!D$1833*100</f>
        <v>183.13453536754508</v>
      </c>
      <c r="D742" s="871">
        <f>'Peers Stock History'!E745/'Peers Stock History'!E$1833*100</f>
        <v>230.81651376146789</v>
      </c>
      <c r="E742" s="871">
        <f>'Peers Stock History'!F745/'Peers Stock History'!F$1833*100</f>
        <v>373.90977443609017</v>
      </c>
      <c r="F742" s="871">
        <f>'Peers Stock History'!G745/'Peers Stock History'!G$1833*100</f>
        <v>176.85837156154381</v>
      </c>
      <c r="G742" s="871">
        <f>'Peers Stock History'!H745/'Peers Stock History'!H$1833*100</f>
        <v>153.03170056798874</v>
      </c>
      <c r="H742" s="871">
        <f>'Peers Stock History'!I745/'Peers Stock History'!I$1833*100</f>
        <v>247.08948740225892</v>
      </c>
      <c r="I742" s="871">
        <f>'Peers Stock History'!J745/'Peers Stock History'!J$1833*100</f>
        <v>141.64988826221133</v>
      </c>
      <c r="J742" s="871">
        <f>'Peers Stock History'!K745/'Peers Stock History'!K$1833*100</f>
        <v>163.59842184127683</v>
      </c>
    </row>
    <row r="743" spans="2:10">
      <c r="B743" s="870">
        <v>43868</v>
      </c>
      <c r="C743" s="871">
        <f>'Peers Stock History'!D746/'Peers Stock History'!D$1833*100</f>
        <v>183.13453536754508</v>
      </c>
      <c r="D743" s="871">
        <f>'Peers Stock History'!E746/'Peers Stock History'!E$1833*100</f>
        <v>230.81651376146789</v>
      </c>
      <c r="E743" s="871">
        <f>'Peers Stock History'!F746/'Peers Stock History'!F$1833*100</f>
        <v>373.90977443609017</v>
      </c>
      <c r="F743" s="871">
        <f>'Peers Stock History'!G746/'Peers Stock History'!G$1833*100</f>
        <v>176.85837156154381</v>
      </c>
      <c r="G743" s="871">
        <f>'Peers Stock History'!H746/'Peers Stock History'!H$1833*100</f>
        <v>153.03170056798874</v>
      </c>
      <c r="H743" s="871">
        <f>'Peers Stock History'!I746/'Peers Stock History'!I$1833*100</f>
        <v>247.08948740225892</v>
      </c>
      <c r="I743" s="871">
        <f>'Peers Stock History'!J746/'Peers Stock History'!J$1833*100</f>
        <v>141.64988826221133</v>
      </c>
      <c r="J743" s="871">
        <f>'Peers Stock History'!K746/'Peers Stock History'!K$1833*100</f>
        <v>163.59842184127683</v>
      </c>
    </row>
    <row r="744" spans="2:10">
      <c r="B744" s="870">
        <v>43867</v>
      </c>
      <c r="C744" s="871">
        <f>'Peers Stock History'!D747/'Peers Stock History'!D$1833*100</f>
        <v>186.10263522884884</v>
      </c>
      <c r="D744" s="871">
        <f>'Peers Stock History'!E747/'Peers Stock History'!E$1833*100</f>
        <v>233.25229357798167</v>
      </c>
      <c r="E744" s="871">
        <f>'Peers Stock History'!F747/'Peers Stock History'!F$1833*100</f>
        <v>370.82706766917289</v>
      </c>
      <c r="F744" s="871">
        <f>'Peers Stock History'!G747/'Peers Stock History'!G$1833*100</f>
        <v>179.87504464890569</v>
      </c>
      <c r="G744" s="871">
        <f>'Peers Stock History'!H747/'Peers Stock History'!H$1833*100</f>
        <v>155.1968542162241</v>
      </c>
      <c r="H744" s="871">
        <f>'Peers Stock History'!I747/'Peers Stock History'!I$1833*100</f>
        <v>254.90877497827978</v>
      </c>
      <c r="I744" s="871">
        <f>'Peers Stock History'!J747/'Peers Stock History'!J$1833*100</f>
        <v>142.41906991593063</v>
      </c>
      <c r="J744" s="871">
        <f>'Peers Stock History'!K747/'Peers Stock History'!K$1833*100</f>
        <v>164.48582681495128</v>
      </c>
    </row>
    <row r="745" spans="2:10">
      <c r="B745" s="870">
        <v>43866</v>
      </c>
      <c r="C745" s="871">
        <f>'Peers Stock History'!D748/'Peers Stock History'!D$1833*100</f>
        <v>186.79611650485438</v>
      </c>
      <c r="D745" s="871">
        <f>'Peers Stock History'!E748/'Peers Stock History'!E$1833*100</f>
        <v>230.0550458715596</v>
      </c>
      <c r="E745" s="871">
        <f>'Peers Stock History'!F748/'Peers Stock History'!F$1833*100</f>
        <v>374.73684210526318</v>
      </c>
      <c r="F745" s="871">
        <f>'Peers Stock History'!G748/'Peers Stock History'!G$1833*100</f>
        <v>177.48889304892751</v>
      </c>
      <c r="G745" s="871">
        <f>'Peers Stock History'!H748/'Peers Stock History'!H$1833*100</f>
        <v>154.07544055536675</v>
      </c>
      <c r="H745" s="871">
        <f>'Peers Stock History'!I748/'Peers Stock History'!I$1833*100</f>
        <v>246.611642050391</v>
      </c>
      <c r="I745" s="871">
        <f>'Peers Stock History'!J748/'Peers Stock History'!J$1833*100</f>
        <v>141.94700436309461</v>
      </c>
      <c r="J745" s="871">
        <f>'Peers Stock History'!K748/'Peers Stock History'!K$1833*100</f>
        <v>163.3951548602615</v>
      </c>
    </row>
    <row r="746" spans="2:10">
      <c r="B746" s="870">
        <v>43865</v>
      </c>
      <c r="C746" s="871">
        <f>'Peers Stock History'!D749/'Peers Stock History'!D$1833*100</f>
        <v>181.58113730929264</v>
      </c>
      <c r="D746" s="871">
        <f>'Peers Stock History'!E749/'Peers Stock History'!E$1833*100</f>
        <v>226.72477064220183</v>
      </c>
      <c r="E746" s="871">
        <f>'Peers Stock History'!F749/'Peers Stock History'!F$1833*100</f>
        <v>371.80451127819549</v>
      </c>
      <c r="F746" s="871">
        <f>'Peers Stock History'!G749/'Peers Stock History'!G$1833*100</f>
        <v>175.73005232968694</v>
      </c>
      <c r="G746" s="871">
        <f>'Peers Stock History'!H749/'Peers Stock History'!H$1833*100</f>
        <v>151.26947910092724</v>
      </c>
      <c r="H746" s="871">
        <f>'Peers Stock History'!I749/'Peers Stock History'!I$1833*100</f>
        <v>241.0947002606429</v>
      </c>
      <c r="I746" s="871">
        <f>'Peers Stock History'!J749/'Peers Stock History'!J$1833*100</f>
        <v>140.36777695009047</v>
      </c>
      <c r="J746" s="871">
        <f>'Peers Stock History'!K749/'Peers Stock History'!K$1833*100</f>
        <v>162.69562019713237</v>
      </c>
    </row>
    <row r="747" spans="2:10">
      <c r="B747" s="870">
        <v>43864</v>
      </c>
      <c r="C747" s="871">
        <f>'Peers Stock History'!D750/'Peers Stock History'!D$1833*100</f>
        <v>178.69625520110958</v>
      </c>
      <c r="D747" s="871">
        <f>'Peers Stock History'!E750/'Peers Stock History'!E$1833*100</f>
        <v>220.48623853211012</v>
      </c>
      <c r="E747" s="871">
        <f>'Peers Stock History'!F750/'Peers Stock History'!F$1833*100</f>
        <v>361.0526315789474</v>
      </c>
      <c r="F747" s="871">
        <f>'Peers Stock History'!G750/'Peers Stock History'!G$1833*100</f>
        <v>169.46676808766262</v>
      </c>
      <c r="G747" s="871">
        <f>'Peers Stock History'!H750/'Peers Stock History'!H$1833*100</f>
        <v>148.17709597553278</v>
      </c>
      <c r="H747" s="871">
        <f>'Peers Stock History'!I750/'Peers Stock History'!I$1833*100</f>
        <v>233.62293657688969</v>
      </c>
      <c r="I747" s="871">
        <f>'Peers Stock History'!J750/'Peers Stock History'!J$1833*100</f>
        <v>138.2960519314675</v>
      </c>
      <c r="J747" s="871">
        <f>'Peers Stock History'!K750/'Peers Stock History'!K$1833*100</f>
        <v>159.3521369753791</v>
      </c>
    </row>
    <row r="748" spans="2:10">
      <c r="B748" s="870">
        <v>43863</v>
      </c>
      <c r="C748" s="871">
        <f>'Peers Stock History'!D751/'Peers Stock History'!D$1833*100</f>
        <v>177.33703190013873</v>
      </c>
      <c r="D748" s="871">
        <f>'Peers Stock History'!E751/'Peers Stock History'!E$1833*100</f>
        <v>216.90825688073394</v>
      </c>
      <c r="E748" s="871">
        <f>'Peers Stock History'!F751/'Peers Stock History'!F$1833*100</f>
        <v>353.38345864661653</v>
      </c>
      <c r="F748" s="871">
        <f>'Peers Stock History'!G751/'Peers Stock History'!G$1833*100</f>
        <v>171.53834592706227</v>
      </c>
      <c r="G748" s="871">
        <f>'Peers Stock History'!H751/'Peers Stock History'!H$1833*100</f>
        <v>148.14311374338561</v>
      </c>
      <c r="H748" s="871">
        <f>'Peers Stock History'!I751/'Peers Stock History'!I$1833*100</f>
        <v>230.6255430060817</v>
      </c>
      <c r="I748" s="871">
        <f>'Peers Stock History'!J751/'Peers Stock History'!J$1833*100</f>
        <v>137.29998935830585</v>
      </c>
      <c r="J748" s="871">
        <f>'Peers Stock History'!K751/'Peers Stock History'!K$1833*100</f>
        <v>157.24770768321349</v>
      </c>
    </row>
    <row r="749" spans="2:10">
      <c r="B749" s="870">
        <v>43862</v>
      </c>
      <c r="C749" s="871">
        <f>'Peers Stock History'!D752/'Peers Stock History'!D$1833*100</f>
        <v>177.33703190013873</v>
      </c>
      <c r="D749" s="871">
        <f>'Peers Stock History'!E752/'Peers Stock History'!E$1833*100</f>
        <v>216.90825688073394</v>
      </c>
      <c r="E749" s="871">
        <f>'Peers Stock History'!F752/'Peers Stock History'!F$1833*100</f>
        <v>353.38345864661653</v>
      </c>
      <c r="F749" s="871">
        <f>'Peers Stock History'!G752/'Peers Stock History'!G$1833*100</f>
        <v>171.53834592706227</v>
      </c>
      <c r="G749" s="871">
        <f>'Peers Stock History'!H752/'Peers Stock History'!H$1833*100</f>
        <v>148.14311374338561</v>
      </c>
      <c r="H749" s="871">
        <f>'Peers Stock History'!I752/'Peers Stock History'!I$1833*100</f>
        <v>230.6255430060817</v>
      </c>
      <c r="I749" s="871">
        <f>'Peers Stock History'!J752/'Peers Stock History'!J$1833*100</f>
        <v>137.29998935830585</v>
      </c>
      <c r="J749" s="871">
        <f>'Peers Stock History'!K752/'Peers Stock History'!K$1833*100</f>
        <v>157.24770768321349</v>
      </c>
    </row>
    <row r="750" spans="2:10">
      <c r="B750" s="870">
        <v>43861</v>
      </c>
      <c r="C750" s="871">
        <f>'Peers Stock History'!D753/'Peers Stock History'!D$1833*100</f>
        <v>177.33703190013873</v>
      </c>
      <c r="D750" s="871">
        <f>'Peers Stock History'!E753/'Peers Stock History'!E$1833*100</f>
        <v>216.90825688073394</v>
      </c>
      <c r="E750" s="871">
        <f>'Peers Stock History'!F753/'Peers Stock History'!F$1833*100</f>
        <v>353.38345864661653</v>
      </c>
      <c r="F750" s="871">
        <f>'Peers Stock History'!G753/'Peers Stock History'!G$1833*100</f>
        <v>171.53834592706227</v>
      </c>
      <c r="G750" s="871">
        <f>'Peers Stock History'!H753/'Peers Stock History'!H$1833*100</f>
        <v>148.14311374338561</v>
      </c>
      <c r="H750" s="871">
        <f>'Peers Stock History'!I753/'Peers Stock History'!I$1833*100</f>
        <v>230.6255430060817</v>
      </c>
      <c r="I750" s="871">
        <f>'Peers Stock History'!J753/'Peers Stock History'!J$1833*100</f>
        <v>137.29998935830585</v>
      </c>
      <c r="J750" s="871">
        <f>'Peers Stock History'!K753/'Peers Stock History'!K$1833*100</f>
        <v>157.24770768321349</v>
      </c>
    </row>
    <row r="751" spans="2:10">
      <c r="B751" s="870">
        <v>43860</v>
      </c>
      <c r="C751" s="871">
        <f>'Peers Stock History'!D754/'Peers Stock History'!D$1833*100</f>
        <v>184.38280166435507</v>
      </c>
      <c r="D751" s="871">
        <f>'Peers Stock History'!E754/'Peers Stock History'!E$1833*100</f>
        <v>225.51376146788994</v>
      </c>
      <c r="E751" s="871">
        <f>'Peers Stock History'!F754/'Peers Stock History'!F$1833*100</f>
        <v>366.76691729323306</v>
      </c>
      <c r="F751" s="871">
        <f>'Peers Stock History'!G754/'Peers Stock History'!G$1833*100</f>
        <v>170.2005772005777</v>
      </c>
      <c r="G751" s="871">
        <f>'Peers Stock History'!H754/'Peers Stock History'!H$1833*100</f>
        <v>153.01713675421135</v>
      </c>
      <c r="H751" s="871">
        <f>'Peers Stock History'!I754/'Peers Stock History'!I$1833*100</f>
        <v>239.05299739357079</v>
      </c>
      <c r="I751" s="871">
        <f>'Peers Stock History'!J754/'Peers Stock History'!J$1833*100</f>
        <v>139.77482175162285</v>
      </c>
      <c r="J751" s="871">
        <f>'Peers Stock History'!K754/'Peers Stock History'!K$1833*100</f>
        <v>159.79087334863834</v>
      </c>
    </row>
    <row r="752" spans="2:10">
      <c r="B752" s="870">
        <v>43859</v>
      </c>
      <c r="C752" s="871">
        <f>'Peers Stock History'!D755/'Peers Stock History'!D$1833*100</f>
        <v>183.99445214979198</v>
      </c>
      <c r="D752" s="871">
        <f>'Peers Stock History'!E755/'Peers Stock History'!E$1833*100</f>
        <v>225.26605504587155</v>
      </c>
      <c r="E752" s="871">
        <f>'Peers Stock History'!F755/'Peers Stock History'!F$1833*100</f>
        <v>357.21804511278191</v>
      </c>
      <c r="F752" s="871">
        <f>'Peers Stock History'!G755/'Peers Stock History'!G$1833*100</f>
        <v>180.84316587020743</v>
      </c>
      <c r="G752" s="871">
        <f>'Peers Stock History'!H755/'Peers Stock History'!H$1833*100</f>
        <v>154.13855041506866</v>
      </c>
      <c r="H752" s="871">
        <f>'Peers Stock History'!I755/'Peers Stock History'!I$1833*100</f>
        <v>240.22589052997395</v>
      </c>
      <c r="I752" s="871">
        <f>'Peers Stock History'!J755/'Peers Stock History'!J$1833*100</f>
        <v>139.33808662339044</v>
      </c>
      <c r="J752" s="871">
        <f>'Peers Stock History'!K755/'Peers Stock History'!K$1833*100</f>
        <v>159.38241480279891</v>
      </c>
    </row>
    <row r="753" spans="2:10">
      <c r="B753" s="870">
        <v>43858</v>
      </c>
      <c r="C753" s="871">
        <f>'Peers Stock History'!D756/'Peers Stock History'!D$1833*100</f>
        <v>186.71289875173372</v>
      </c>
      <c r="D753" s="871">
        <f>'Peers Stock History'!E756/'Peers Stock History'!E$1833*100</f>
        <v>227.49541284403671</v>
      </c>
      <c r="E753" s="871">
        <f>'Peers Stock History'!F756/'Peers Stock History'!F$1833*100</f>
        <v>379.92481203007515</v>
      </c>
      <c r="F753" s="871">
        <f>'Peers Stock History'!G756/'Peers Stock History'!G$1833*100</f>
        <v>180.84316587020743</v>
      </c>
      <c r="G753" s="871">
        <f>'Peers Stock History'!H756/'Peers Stock History'!H$1833*100</f>
        <v>154.52691878246517</v>
      </c>
      <c r="H753" s="871">
        <f>'Peers Stock History'!I756/'Peers Stock History'!I$1833*100</f>
        <v>245.30842745438747</v>
      </c>
      <c r="I753" s="871">
        <f>'Peers Stock History'!J756/'Peers Stock History'!J$1833*100</f>
        <v>139.458976269022</v>
      </c>
      <c r="J753" s="871">
        <f>'Peers Stock History'!K756/'Peers Stock History'!K$1833*100</f>
        <v>159.28819611509013</v>
      </c>
    </row>
    <row r="754" spans="2:10">
      <c r="B754" s="870">
        <v>43857</v>
      </c>
      <c r="C754" s="871">
        <f>'Peers Stock History'!D757/'Peers Stock History'!D$1833*100</f>
        <v>182.21914008321775</v>
      </c>
      <c r="D754" s="871">
        <f>'Peers Stock History'!E757/'Peers Stock History'!E$1833*100</f>
        <v>220.36697247706422</v>
      </c>
      <c r="E754" s="871">
        <f>'Peers Stock History'!F757/'Peers Stock History'!F$1833*100</f>
        <v>370.37593984962405</v>
      </c>
      <c r="F754" s="871">
        <f>'Peers Stock History'!G757/'Peers Stock History'!G$1833*100</f>
        <v>180.84316587020743</v>
      </c>
      <c r="G754" s="871">
        <f>'Peers Stock History'!H757/'Peers Stock History'!H$1833*100</f>
        <v>150.02184572066602</v>
      </c>
      <c r="H754" s="871">
        <f>'Peers Stock History'!I757/'Peers Stock History'!I$1833*100</f>
        <v>240.70373588184188</v>
      </c>
      <c r="I754" s="871">
        <f>'Peers Stock History'!J757/'Peers Stock History'!J$1833*100</f>
        <v>138.07087368309035</v>
      </c>
      <c r="J754" s="871">
        <f>'Peers Stock History'!K757/'Peers Stock History'!K$1833*100</f>
        <v>157.04792901035151</v>
      </c>
    </row>
    <row r="755" spans="2:10">
      <c r="B755" s="870">
        <v>43856</v>
      </c>
      <c r="C755" s="871">
        <f>'Peers Stock History'!D758/'Peers Stock History'!D$1833*100</f>
        <v>189.93065187239947</v>
      </c>
      <c r="D755" s="871">
        <f>'Peers Stock History'!E758/'Peers Stock History'!E$1833*100</f>
        <v>229.79816513761469</v>
      </c>
      <c r="E755" s="871">
        <f>'Peers Stock History'!F758/'Peers Stock History'!F$1833*100</f>
        <v>378.57142857142856</v>
      </c>
      <c r="F755" s="871">
        <f>'Peers Stock History'!G758/'Peers Stock History'!G$1833*100</f>
        <v>180.84316587020743</v>
      </c>
      <c r="G755" s="871">
        <f>'Peers Stock History'!H758/'Peers Stock History'!H$1833*100</f>
        <v>157.28918879557258</v>
      </c>
      <c r="H755" s="871">
        <f>'Peers Stock History'!I758/'Peers Stock History'!I$1833*100</f>
        <v>250.91225021720246</v>
      </c>
      <c r="I755" s="871">
        <f>'Peers Stock History'!J758/'Peers Stock History'!J$1833*100</f>
        <v>140.27753538363305</v>
      </c>
      <c r="J755" s="871">
        <f>'Peers Stock History'!K758/'Peers Stock History'!K$1833*100</f>
        <v>160.06541866571357</v>
      </c>
    </row>
    <row r="756" spans="2:10">
      <c r="B756" s="870">
        <v>43855</v>
      </c>
      <c r="C756" s="871">
        <f>'Peers Stock History'!D759/'Peers Stock History'!D$1833*100</f>
        <v>189.93065187239947</v>
      </c>
      <c r="D756" s="871">
        <f>'Peers Stock History'!E759/'Peers Stock History'!E$1833*100</f>
        <v>229.79816513761469</v>
      </c>
      <c r="E756" s="871">
        <f>'Peers Stock History'!F759/'Peers Stock History'!F$1833*100</f>
        <v>378.57142857142856</v>
      </c>
      <c r="F756" s="871">
        <f>'Peers Stock History'!G759/'Peers Stock History'!G$1833*100</f>
        <v>180.84316587020743</v>
      </c>
      <c r="G756" s="871">
        <f>'Peers Stock History'!H759/'Peers Stock History'!H$1833*100</f>
        <v>157.28918879557258</v>
      </c>
      <c r="H756" s="871">
        <f>'Peers Stock History'!I759/'Peers Stock History'!I$1833*100</f>
        <v>250.91225021720246</v>
      </c>
      <c r="I756" s="871">
        <f>'Peers Stock History'!J759/'Peers Stock History'!J$1833*100</f>
        <v>140.27753538363305</v>
      </c>
      <c r="J756" s="871">
        <f>'Peers Stock History'!K759/'Peers Stock History'!K$1833*100</f>
        <v>160.06541866571357</v>
      </c>
    </row>
    <row r="757" spans="2:10">
      <c r="B757" s="870">
        <v>43854</v>
      </c>
      <c r="C757" s="871">
        <f>'Peers Stock History'!D760/'Peers Stock History'!D$1833*100</f>
        <v>189.93065187239947</v>
      </c>
      <c r="D757" s="871">
        <f>'Peers Stock History'!E760/'Peers Stock History'!E$1833*100</f>
        <v>229.79816513761469</v>
      </c>
      <c r="E757" s="871">
        <f>'Peers Stock History'!F760/'Peers Stock History'!F$1833*100</f>
        <v>378.57142857142856</v>
      </c>
      <c r="F757" s="871">
        <f>'Peers Stock History'!G760/'Peers Stock History'!G$1833*100</f>
        <v>180.84316587020743</v>
      </c>
      <c r="G757" s="871">
        <f>'Peers Stock History'!H760/'Peers Stock History'!H$1833*100</f>
        <v>157.28918879557258</v>
      </c>
      <c r="H757" s="871">
        <f>'Peers Stock History'!I760/'Peers Stock History'!I$1833*100</f>
        <v>250.91225021720246</v>
      </c>
      <c r="I757" s="871">
        <f>'Peers Stock History'!J760/'Peers Stock History'!J$1833*100</f>
        <v>140.27753538363305</v>
      </c>
      <c r="J757" s="871">
        <f>'Peers Stock History'!K760/'Peers Stock History'!K$1833*100</f>
        <v>160.06541866571357</v>
      </c>
    </row>
    <row r="758" spans="2:10">
      <c r="B758" s="870">
        <v>43853</v>
      </c>
      <c r="C758" s="871">
        <f>'Peers Stock History'!D761/'Peers Stock History'!D$1833*100</f>
        <v>175.64493758668519</v>
      </c>
      <c r="D758" s="871">
        <f>'Peers Stock History'!E761/'Peers Stock History'!E$1833*100</f>
        <v>231.9816513761468</v>
      </c>
      <c r="E758" s="871">
        <f>'Peers Stock History'!F761/'Peers Stock History'!F$1833*100</f>
        <v>388.79699248120301</v>
      </c>
      <c r="F758" s="871">
        <f>'Peers Stock History'!G761/'Peers Stock History'!G$1833*100</f>
        <v>180.84316587020743</v>
      </c>
      <c r="G758" s="871">
        <f>'Peers Stock History'!H761/'Peers Stock History'!H$1833*100</f>
        <v>155.17743579785426</v>
      </c>
      <c r="H758" s="871">
        <f>'Peers Stock History'!I761/'Peers Stock History'!I$1833*100</f>
        <v>257.16768027801913</v>
      </c>
      <c r="I758" s="871">
        <f>'Peers Stock History'!J761/'Peers Stock History'!J$1833*100</f>
        <v>141.55751835692243</v>
      </c>
      <c r="J758" s="871">
        <f>'Peers Stock History'!K761/'Peers Stock History'!K$1833*100</f>
        <v>161.570151079829</v>
      </c>
    </row>
    <row r="759" spans="2:10">
      <c r="B759" s="870">
        <v>43852</v>
      </c>
      <c r="C759" s="871">
        <f>'Peers Stock History'!D762/'Peers Stock History'!D$1833*100</f>
        <v>174.00832177531208</v>
      </c>
      <c r="D759" s="871">
        <f>'Peers Stock History'!E762/'Peers Stock History'!E$1833*100</f>
        <v>229.40366972477065</v>
      </c>
      <c r="E759" s="871">
        <f>'Peers Stock History'!F762/'Peers Stock History'!F$1833*100</f>
        <v>386.69172932330827</v>
      </c>
      <c r="F759" s="871">
        <f>'Peers Stock History'!G762/'Peers Stock History'!G$1833*100</f>
        <v>180.84316587020743</v>
      </c>
      <c r="G759" s="871">
        <f>'Peers Stock History'!H762/'Peers Stock History'!H$1833*100</f>
        <v>151.89086848876158</v>
      </c>
      <c r="H759" s="871">
        <f>'Peers Stock History'!I762/'Peers Stock History'!I$1833*100</f>
        <v>257.03735881841874</v>
      </c>
      <c r="I759" s="871">
        <f>'Peers Stock History'!J762/'Peers Stock History'!J$1833*100</f>
        <v>141.39619027349153</v>
      </c>
      <c r="J759" s="871">
        <f>'Peers Stock History'!K762/'Peers Stock History'!K$1833*100</f>
        <v>161.24864248106348</v>
      </c>
    </row>
    <row r="760" spans="2:10">
      <c r="B760" s="870">
        <v>43851</v>
      </c>
      <c r="C760" s="871">
        <f>'Peers Stock History'!D763/'Peers Stock History'!D$1833*100</f>
        <v>167.96116504854371</v>
      </c>
      <c r="D760" s="871">
        <f>'Peers Stock History'!E763/'Peers Stock History'!E$1833*100</f>
        <v>227.46788990825686</v>
      </c>
      <c r="E760" s="871">
        <f>'Peers Stock History'!F763/'Peers Stock History'!F$1833*100</f>
        <v>383.83458646616538</v>
      </c>
      <c r="F760" s="871">
        <f>'Peers Stock History'!G763/'Peers Stock History'!G$1833*100</f>
        <v>180.84316587020743</v>
      </c>
      <c r="G760" s="871">
        <f>'Peers Stock History'!H763/'Peers Stock History'!H$1833*100</f>
        <v>149.55580367979027</v>
      </c>
      <c r="H760" s="871">
        <f>'Peers Stock History'!I763/'Peers Stock History'!I$1833*100</f>
        <v>256.1685490877498</v>
      </c>
      <c r="I760" s="871">
        <f>'Peers Stock History'!J763/'Peers Stock History'!J$1833*100</f>
        <v>141.35532616792594</v>
      </c>
      <c r="J760" s="871">
        <f>'Peers Stock History'!K763/'Peers Stock History'!K$1833*100</f>
        <v>161.02592345655253</v>
      </c>
    </row>
    <row r="761" spans="2:10">
      <c r="B761" s="870">
        <v>43850</v>
      </c>
      <c r="C761" s="871">
        <f>'Peers Stock History'!D764/'Peers Stock History'!D$1833*100</f>
        <v>165.32593619972263</v>
      </c>
      <c r="D761" s="871">
        <f>'Peers Stock History'!E764/'Peers Stock History'!E$1833*100</f>
        <v>228.69724770642202</v>
      </c>
      <c r="E761" s="871">
        <f>'Peers Stock History'!F764/'Peers Stock History'!F$1833*100</f>
        <v>382.93233082706763</v>
      </c>
      <c r="F761" s="871">
        <f>'Peers Stock History'!G764/'Peers Stock History'!G$1833*100</f>
        <v>180.84316587020743</v>
      </c>
      <c r="G761" s="871">
        <f>'Peers Stock History'!H764/'Peers Stock History'!H$1833*100</f>
        <v>149.90533521044711</v>
      </c>
      <c r="H761" s="871">
        <f>'Peers Stock History'!I764/'Peers Stock History'!I$1833*100</f>
        <v>250.47784535186796</v>
      </c>
      <c r="I761" s="871">
        <f>'Peers Stock History'!J764/'Peers Stock History'!J$1833*100</f>
        <v>141.73119080557623</v>
      </c>
      <c r="J761" s="871">
        <f>'Peers Stock History'!K764/'Peers Stock History'!K$1833*100</f>
        <v>161.33758574708219</v>
      </c>
    </row>
    <row r="762" spans="2:10">
      <c r="B762" s="870">
        <v>43849</v>
      </c>
      <c r="C762" s="871">
        <f>'Peers Stock History'!D765/'Peers Stock History'!D$1833*100</f>
        <v>165.32593619972263</v>
      </c>
      <c r="D762" s="871">
        <f>'Peers Stock History'!E765/'Peers Stock History'!E$1833*100</f>
        <v>228.69724770642202</v>
      </c>
      <c r="E762" s="871">
        <f>'Peers Stock History'!F765/'Peers Stock History'!F$1833*100</f>
        <v>382.93233082706763</v>
      </c>
      <c r="F762" s="871">
        <f>'Peers Stock History'!G765/'Peers Stock History'!G$1833*100</f>
        <v>180.87939730453402</v>
      </c>
      <c r="G762" s="871">
        <f>'Peers Stock History'!H765/'Peers Stock History'!H$1833*100</f>
        <v>149.90533521044711</v>
      </c>
      <c r="H762" s="871">
        <f>'Peers Stock History'!I765/'Peers Stock History'!I$1833*100</f>
        <v>250.47784535186796</v>
      </c>
      <c r="I762" s="871">
        <f>'Peers Stock History'!J765/'Peers Stock History'!J$1833*100</f>
        <v>141.73119080557623</v>
      </c>
      <c r="J762" s="871">
        <f>'Peers Stock History'!K765/'Peers Stock History'!K$1833*100</f>
        <v>161.33758574708219</v>
      </c>
    </row>
    <row r="763" spans="2:10">
      <c r="B763" s="870">
        <v>43848</v>
      </c>
      <c r="C763" s="871">
        <f>'Peers Stock History'!D766/'Peers Stock History'!D$1833*100</f>
        <v>165.32593619972263</v>
      </c>
      <c r="D763" s="871">
        <f>'Peers Stock History'!E766/'Peers Stock History'!E$1833*100</f>
        <v>228.69724770642202</v>
      </c>
      <c r="E763" s="871">
        <f>'Peers Stock History'!F766/'Peers Stock History'!F$1833*100</f>
        <v>382.93233082706763</v>
      </c>
      <c r="F763" s="871">
        <f>'Peers Stock History'!G766/'Peers Stock History'!G$1833*100</f>
        <v>180.87939730453402</v>
      </c>
      <c r="G763" s="871">
        <f>'Peers Stock History'!H766/'Peers Stock History'!H$1833*100</f>
        <v>149.90533521044711</v>
      </c>
      <c r="H763" s="871">
        <f>'Peers Stock History'!I766/'Peers Stock History'!I$1833*100</f>
        <v>250.47784535186796</v>
      </c>
      <c r="I763" s="871">
        <f>'Peers Stock History'!J766/'Peers Stock History'!J$1833*100</f>
        <v>141.73119080557623</v>
      </c>
      <c r="J763" s="871">
        <f>'Peers Stock History'!K766/'Peers Stock History'!K$1833*100</f>
        <v>161.33758574708219</v>
      </c>
    </row>
    <row r="764" spans="2:10">
      <c r="B764" s="870">
        <v>43847</v>
      </c>
      <c r="C764" s="871">
        <f>'Peers Stock History'!D767/'Peers Stock History'!D$1833*100</f>
        <v>165.32593619972263</v>
      </c>
      <c r="D764" s="871">
        <f>'Peers Stock History'!E767/'Peers Stock History'!E$1833*100</f>
        <v>228.69724770642202</v>
      </c>
      <c r="E764" s="871">
        <f>'Peers Stock History'!F767/'Peers Stock History'!F$1833*100</f>
        <v>382.93233082706763</v>
      </c>
      <c r="F764" s="871">
        <f>'Peers Stock History'!G767/'Peers Stock History'!G$1833*100</f>
        <v>180.87939730453402</v>
      </c>
      <c r="G764" s="871">
        <f>'Peers Stock History'!H767/'Peers Stock History'!H$1833*100</f>
        <v>149.90533521044711</v>
      </c>
      <c r="H764" s="871">
        <f>'Peers Stock History'!I767/'Peers Stock History'!I$1833*100</f>
        <v>250.47784535186796</v>
      </c>
      <c r="I764" s="871">
        <f>'Peers Stock History'!J767/'Peers Stock History'!J$1833*100</f>
        <v>141.73119080557623</v>
      </c>
      <c r="J764" s="871">
        <f>'Peers Stock History'!K767/'Peers Stock History'!K$1833*100</f>
        <v>161.33758574708219</v>
      </c>
    </row>
    <row r="765" spans="2:10">
      <c r="B765" s="870">
        <v>43846</v>
      </c>
      <c r="C765" s="871">
        <f>'Peers Stock History'!D768/'Peers Stock History'!D$1833*100</f>
        <v>165.49237170596393</v>
      </c>
      <c r="D765" s="871">
        <f>'Peers Stock History'!E768/'Peers Stock History'!E$1833*100</f>
        <v>228.37614678899084</v>
      </c>
      <c r="E765" s="871">
        <f>'Peers Stock History'!F768/'Peers Stock History'!F$1833*100</f>
        <v>374.21052631578948</v>
      </c>
      <c r="F765" s="871">
        <f>'Peers Stock History'!G768/'Peers Stock History'!G$1833*100</f>
        <v>181.89460083994643</v>
      </c>
      <c r="G765" s="871">
        <f>'Peers Stock History'!H768/'Peers Stock History'!H$1833*100</f>
        <v>149.06063401135978</v>
      </c>
      <c r="H765" s="871">
        <f>'Peers Stock History'!I768/'Peers Stock History'!I$1833*100</f>
        <v>250.56472632493484</v>
      </c>
      <c r="I765" s="871">
        <f>'Peers Stock History'!J768/'Peers Stock History'!J$1833*100</f>
        <v>141.18591039693518</v>
      </c>
      <c r="J765" s="871">
        <f>'Peers Stock History'!K768/'Peers Stock History'!K$1833*100</f>
        <v>160.79091802647679</v>
      </c>
    </row>
    <row r="766" spans="2:10">
      <c r="B766" s="870">
        <v>43845</v>
      </c>
      <c r="C766" s="871">
        <f>'Peers Stock History'!D769/'Peers Stock History'!D$1833*100</f>
        <v>163.49514563106797</v>
      </c>
      <c r="D766" s="871">
        <f>'Peers Stock History'!E769/'Peers Stock History'!E$1833*100</f>
        <v>225.29357798165134</v>
      </c>
      <c r="E766" s="871">
        <f>'Peers Stock History'!F769/'Peers Stock History'!F$1833*100</f>
        <v>365</v>
      </c>
      <c r="F766" s="871">
        <f>'Peers Stock History'!G769/'Peers Stock History'!G$1833*100</f>
        <v>184.88539397782185</v>
      </c>
      <c r="G766" s="871">
        <f>'Peers Stock History'!H769/'Peers Stock History'!H$1833*100</f>
        <v>147.1624836157095</v>
      </c>
      <c r="H766" s="871">
        <f>'Peers Stock History'!I769/'Peers Stock History'!I$1833*100</f>
        <v>244.00521285838403</v>
      </c>
      <c r="I766" s="871">
        <f>'Peers Stock History'!J769/'Peers Stock History'!J$1833*100</f>
        <v>140.0144727040545</v>
      </c>
      <c r="J766" s="871">
        <f>'Peers Stock History'!K769/'Peers Stock History'!K$1833*100</f>
        <v>159.09941506399241</v>
      </c>
    </row>
    <row r="767" spans="2:10">
      <c r="B767" s="870">
        <v>43844</v>
      </c>
      <c r="C767" s="871">
        <f>'Peers Stock History'!D770/'Peers Stock History'!D$1833*100</f>
        <v>164.85436893203885</v>
      </c>
      <c r="D767" s="871">
        <f>'Peers Stock History'!E770/'Peers Stock History'!E$1833*100</f>
        <v>226.86238532110093</v>
      </c>
      <c r="E767" s="871">
        <f>'Peers Stock History'!F770/'Peers Stock History'!F$1833*100</f>
        <v>362.48120300751879</v>
      </c>
      <c r="F767" s="871">
        <f>'Peers Stock History'!G770/'Peers Stock History'!G$1833*100</f>
        <v>188.23617054445421</v>
      </c>
      <c r="G767" s="871">
        <f>'Peers Stock History'!H770/'Peers Stock History'!H$1833*100</f>
        <v>149.60920433030728</v>
      </c>
      <c r="H767" s="871">
        <f>'Peers Stock History'!I770/'Peers Stock History'!I$1833*100</f>
        <v>249.86967854039966</v>
      </c>
      <c r="I767" s="871">
        <f>'Peers Stock History'!J770/'Peers Stock History'!J$1833*100</f>
        <v>139.75311269554115</v>
      </c>
      <c r="J767" s="871">
        <f>'Peers Stock History'!K770/'Peers Stock History'!K$1833*100</f>
        <v>158.97283931099901</v>
      </c>
    </row>
    <row r="768" spans="2:10">
      <c r="B768" s="870">
        <v>43843</v>
      </c>
      <c r="C768" s="871">
        <f>'Peers Stock History'!D771/'Peers Stock History'!D$1833*100</f>
        <v>165.29819694868243</v>
      </c>
      <c r="D768" s="871">
        <f>'Peers Stock History'!E771/'Peers Stock History'!E$1833*100</f>
        <v>231.17431192660553</v>
      </c>
      <c r="E768" s="871">
        <f>'Peers Stock History'!F771/'Peers Stock History'!F$1833*100</f>
        <v>366.50375939849619</v>
      </c>
      <c r="F768" s="871">
        <f>'Peers Stock History'!G771/'Peers Stock History'!G$1833*100</f>
        <v>185.96837689131411</v>
      </c>
      <c r="G768" s="871">
        <f>'Peers Stock History'!H771/'Peers Stock History'!H$1833*100</f>
        <v>146.21098111558811</v>
      </c>
      <c r="H768" s="871">
        <f>'Peers Stock History'!I771/'Peers Stock History'!I$1833*100</f>
        <v>249.56559513466553</v>
      </c>
      <c r="I768" s="871">
        <f>'Peers Stock History'!J771/'Peers Stock History'!J$1833*100</f>
        <v>139.96509524316272</v>
      </c>
      <c r="J768" s="871">
        <f>'Peers Stock History'!K771/'Peers Stock History'!K$1833*100</f>
        <v>159.36124438090263</v>
      </c>
    </row>
    <row r="769" spans="2:10">
      <c r="B769" s="870">
        <v>43842</v>
      </c>
      <c r="C769" s="871">
        <f>'Peers Stock History'!D772/'Peers Stock History'!D$1833*100</f>
        <v>163.49514563106797</v>
      </c>
      <c r="D769" s="871">
        <f>'Peers Stock History'!E772/'Peers Stock History'!E$1833*100</f>
        <v>224.14678899082568</v>
      </c>
      <c r="E769" s="871">
        <f>'Peers Stock History'!F772/'Peers Stock History'!F$1833*100</f>
        <v>362.14285714285711</v>
      </c>
      <c r="F769" s="871">
        <f>'Peers Stock History'!G772/'Peers Stock History'!G$1833*100</f>
        <v>184.33621371705519</v>
      </c>
      <c r="G769" s="871">
        <f>'Peers Stock History'!H772/'Peers Stock History'!H$1833*100</f>
        <v>145.25947861546678</v>
      </c>
      <c r="H769" s="871">
        <f>'Peers Stock History'!I772/'Peers Stock History'!I$1833*100</f>
        <v>246.1772371850565</v>
      </c>
      <c r="I769" s="871">
        <f>'Peers Stock History'!J772/'Peers Stock History'!J$1833*100</f>
        <v>138.99542407151216</v>
      </c>
      <c r="J769" s="871">
        <f>'Peers Stock History'!K772/'Peers Stock History'!K$1833*100</f>
        <v>157.72756485160087</v>
      </c>
    </row>
    <row r="770" spans="2:10">
      <c r="B770" s="870">
        <v>43841</v>
      </c>
      <c r="C770" s="871">
        <f>'Peers Stock History'!D773/'Peers Stock History'!D$1833*100</f>
        <v>163.49514563106797</v>
      </c>
      <c r="D770" s="871">
        <f>'Peers Stock History'!E773/'Peers Stock History'!E$1833*100</f>
        <v>224.14678899082568</v>
      </c>
      <c r="E770" s="871">
        <f>'Peers Stock History'!F773/'Peers Stock History'!F$1833*100</f>
        <v>362.14285714285711</v>
      </c>
      <c r="F770" s="871">
        <f>'Peers Stock History'!G773/'Peers Stock History'!G$1833*100</f>
        <v>184.33621371705519</v>
      </c>
      <c r="G770" s="871">
        <f>'Peers Stock History'!H773/'Peers Stock History'!H$1833*100</f>
        <v>145.25947861546678</v>
      </c>
      <c r="H770" s="871">
        <f>'Peers Stock History'!I773/'Peers Stock History'!I$1833*100</f>
        <v>246.1772371850565</v>
      </c>
      <c r="I770" s="871">
        <f>'Peers Stock History'!J773/'Peers Stock History'!J$1833*100</f>
        <v>138.99542407151216</v>
      </c>
      <c r="J770" s="871">
        <f>'Peers Stock History'!K773/'Peers Stock History'!K$1833*100</f>
        <v>157.72756485160087</v>
      </c>
    </row>
    <row r="771" spans="2:10">
      <c r="B771" s="870">
        <v>43840</v>
      </c>
      <c r="C771" s="871">
        <f>'Peers Stock History'!D774/'Peers Stock History'!D$1833*100</f>
        <v>163.49514563106797</v>
      </c>
      <c r="D771" s="871">
        <f>'Peers Stock History'!E774/'Peers Stock History'!E$1833*100</f>
        <v>224.14678899082568</v>
      </c>
      <c r="E771" s="871">
        <f>'Peers Stock History'!F774/'Peers Stock History'!F$1833*100</f>
        <v>362.14285714285711</v>
      </c>
      <c r="F771" s="871">
        <f>'Peers Stock History'!G774/'Peers Stock History'!G$1833*100</f>
        <v>184.33621371705519</v>
      </c>
      <c r="G771" s="871">
        <f>'Peers Stock History'!H774/'Peers Stock History'!H$1833*100</f>
        <v>145.25947861546678</v>
      </c>
      <c r="H771" s="871">
        <f>'Peers Stock History'!I774/'Peers Stock History'!I$1833*100</f>
        <v>246.1772371850565</v>
      </c>
      <c r="I771" s="871">
        <f>'Peers Stock History'!J774/'Peers Stock History'!J$1833*100</f>
        <v>138.99542407151216</v>
      </c>
      <c r="J771" s="871">
        <f>'Peers Stock History'!K774/'Peers Stock History'!K$1833*100</f>
        <v>157.72756485160087</v>
      </c>
    </row>
    <row r="772" spans="2:10">
      <c r="B772" s="870">
        <v>43839</v>
      </c>
      <c r="C772" s="871">
        <f>'Peers Stock History'!D775/'Peers Stock History'!D$1833*100</f>
        <v>164.49375866851597</v>
      </c>
      <c r="D772" s="871">
        <f>'Peers Stock History'!E775/'Peers Stock History'!E$1833*100</f>
        <v>222.95412844036696</v>
      </c>
      <c r="E772" s="871">
        <f>'Peers Stock History'!F775/'Peers Stock History'!F$1833*100</f>
        <v>368.19548872180451</v>
      </c>
      <c r="F772" s="871">
        <f>'Peers Stock History'!G775/'Peers Stock History'!G$1833*100</f>
        <v>183.20136717260297</v>
      </c>
      <c r="G772" s="871">
        <f>'Peers Stock History'!H775/'Peers Stock History'!H$1833*100</f>
        <v>148.67712024855575</v>
      </c>
      <c r="H772" s="871">
        <f>'Peers Stock History'!I775/'Peers Stock History'!I$1833*100</f>
        <v>248.95742832319723</v>
      </c>
      <c r="I772" s="871">
        <f>'Peers Stock History'!J775/'Peers Stock History'!J$1833*100</f>
        <v>139.39342343301053</v>
      </c>
      <c r="J772" s="871">
        <f>'Peers Stock History'!K775/'Peers Stock History'!K$1833*100</f>
        <v>158.14968450572565</v>
      </c>
    </row>
    <row r="773" spans="2:10">
      <c r="B773" s="870">
        <v>43838</v>
      </c>
      <c r="C773" s="871">
        <f>'Peers Stock History'!D776/'Peers Stock History'!D$1833*100</f>
        <v>163.57836338418863</v>
      </c>
      <c r="D773" s="871">
        <f>'Peers Stock History'!E776/'Peers Stock History'!E$1833*100</f>
        <v>220.53211009174311</v>
      </c>
      <c r="E773" s="871">
        <f>'Peers Stock History'!F776/'Peers Stock History'!F$1833*100</f>
        <v>359.6240601503759</v>
      </c>
      <c r="F773" s="871">
        <f>'Peers Stock History'!G776/'Peers Stock History'!G$1833*100</f>
        <v>178.56684563050979</v>
      </c>
      <c r="G773" s="871">
        <f>'Peers Stock History'!H776/'Peers Stock History'!H$1833*100</f>
        <v>149.88106218748482</v>
      </c>
      <c r="H773" s="871">
        <f>'Peers Stock History'!I776/'Peers Stock History'!I$1833*100</f>
        <v>249.86967854039966</v>
      </c>
      <c r="I773" s="871">
        <f>'Peers Stock History'!J776/'Peers Stock History'!J$1833*100</f>
        <v>138.47185271895285</v>
      </c>
      <c r="J773" s="871">
        <f>'Peers Stock History'!K776/'Peers Stock History'!K$1833*100</f>
        <v>156.87492267297199</v>
      </c>
    </row>
    <row r="774" spans="2:10">
      <c r="B774" s="870">
        <v>43837</v>
      </c>
      <c r="C774" s="871">
        <f>'Peers Stock History'!D777/'Peers Stock History'!D$1833*100</f>
        <v>163.46740638002774</v>
      </c>
      <c r="D774" s="871">
        <f>'Peers Stock History'!E777/'Peers Stock History'!E$1833*100</f>
        <v>220.11926605504587</v>
      </c>
      <c r="E774" s="871">
        <f>'Peers Stock History'!F777/'Peers Stock History'!F$1833*100</f>
        <v>362.78195488721803</v>
      </c>
      <c r="F774" s="871">
        <f>'Peers Stock History'!G777/'Peers Stock History'!G$1833*100</f>
        <v>178.43606662309054</v>
      </c>
      <c r="G774" s="871">
        <f>'Peers Stock History'!H777/'Peers Stock History'!H$1833*100</f>
        <v>151.77435797854264</v>
      </c>
      <c r="H774" s="871">
        <f>'Peers Stock History'!I777/'Peers Stock History'!I$1833*100</f>
        <v>253.12771503040835</v>
      </c>
      <c r="I774" s="871">
        <f>'Peers Stock History'!J777/'Peers Stock History'!J$1833*100</f>
        <v>137.79631797382143</v>
      </c>
      <c r="J774" s="871">
        <f>'Peers Stock History'!K777/'Peers Stock History'!K$1833*100</f>
        <v>155.83253715134106</v>
      </c>
    </row>
    <row r="775" spans="2:10">
      <c r="B775" s="870">
        <v>43836</v>
      </c>
      <c r="C775" s="871">
        <f>'Peers Stock History'!D778/'Peers Stock History'!D$1833*100</f>
        <v>166.24133148404994</v>
      </c>
      <c r="D775" s="871">
        <f>'Peers Stock History'!E778/'Peers Stock History'!E$1833*100</f>
        <v>217.48623853211009</v>
      </c>
      <c r="E775" s="871">
        <f>'Peers Stock History'!F778/'Peers Stock History'!F$1833*100</f>
        <v>363.83458646616538</v>
      </c>
      <c r="F775" s="871">
        <f>'Peers Stock History'!G778/'Peers Stock History'!G$1833*100</f>
        <v>179.68821515534307</v>
      </c>
      <c r="G775" s="871">
        <f>'Peers Stock History'!H778/'Peers Stock History'!H$1833*100</f>
        <v>152.2986552745279</v>
      </c>
      <c r="H775" s="871">
        <f>'Peers Stock History'!I778/'Peers Stock History'!I$1833*100</f>
        <v>232.68896611642052</v>
      </c>
      <c r="I775" s="871">
        <f>'Peers Stock History'!J778/'Peers Stock History'!J$1833*100</f>
        <v>138.18367564116207</v>
      </c>
      <c r="J775" s="871">
        <f>'Peers Stock History'!K778/'Peers Stock History'!K$1833*100</f>
        <v>155.88209518441639</v>
      </c>
    </row>
    <row r="776" spans="2:10">
      <c r="B776" s="870">
        <v>43835</v>
      </c>
      <c r="C776" s="871">
        <f>'Peers Stock History'!D779/'Peers Stock History'!D$1833*100</f>
        <v>166.71289875173372</v>
      </c>
      <c r="D776" s="871">
        <f>'Peers Stock History'!E779/'Peers Stock History'!E$1833*100</f>
        <v>216.57798165137615</v>
      </c>
      <c r="E776" s="871">
        <f>'Peers Stock History'!F779/'Peers Stock History'!F$1833*100</f>
        <v>365.41353383458647</v>
      </c>
      <c r="F776" s="871">
        <f>'Peers Stock History'!G779/'Peers Stock History'!G$1833*100</f>
        <v>183.82082821737964</v>
      </c>
      <c r="G776" s="871">
        <f>'Peers Stock History'!H779/'Peers Stock History'!H$1833*100</f>
        <v>152.52682169037331</v>
      </c>
      <c r="H776" s="871">
        <f>'Peers Stock History'!I779/'Peers Stock History'!I$1833*100</f>
        <v>236.88097306689838</v>
      </c>
      <c r="I776" s="871">
        <f>'Peers Stock History'!J779/'Peers Stock History'!J$1833*100</f>
        <v>137.69713738427157</v>
      </c>
      <c r="J776" s="871">
        <f>'Peers Stock History'!K779/'Peers Stock History'!K$1833*100</f>
        <v>155.0109632541963</v>
      </c>
    </row>
    <row r="777" spans="2:10">
      <c r="B777" s="870">
        <v>43834</v>
      </c>
      <c r="C777" s="871">
        <f>'Peers Stock History'!D780/'Peers Stock History'!D$1833*100</f>
        <v>166.71289875173372</v>
      </c>
      <c r="D777" s="871">
        <f>'Peers Stock History'!E780/'Peers Stock History'!E$1833*100</f>
        <v>216.57798165137615</v>
      </c>
      <c r="E777" s="871">
        <f>'Peers Stock History'!F780/'Peers Stock History'!F$1833*100</f>
        <v>365.41353383458647</v>
      </c>
      <c r="F777" s="871">
        <f>'Peers Stock History'!G780/'Peers Stock History'!G$1833*100</f>
        <v>183.82082821737964</v>
      </c>
      <c r="G777" s="871">
        <f>'Peers Stock History'!H780/'Peers Stock History'!H$1833*100</f>
        <v>152.52682169037331</v>
      </c>
      <c r="H777" s="871">
        <f>'Peers Stock History'!I780/'Peers Stock History'!I$1833*100</f>
        <v>236.88097306689838</v>
      </c>
      <c r="I777" s="871">
        <f>'Peers Stock History'!J780/'Peers Stock History'!J$1833*100</f>
        <v>137.69713738427157</v>
      </c>
      <c r="J777" s="871">
        <f>'Peers Stock History'!K780/'Peers Stock History'!K$1833*100</f>
        <v>155.0109632541963</v>
      </c>
    </row>
    <row r="778" spans="2:10">
      <c r="B778" s="870">
        <v>43833</v>
      </c>
      <c r="C778" s="871">
        <f>'Peers Stock History'!D781/'Peers Stock History'!D$1833*100</f>
        <v>166.71289875173372</v>
      </c>
      <c r="D778" s="871">
        <f>'Peers Stock History'!E781/'Peers Stock History'!E$1833*100</f>
        <v>216.57798165137615</v>
      </c>
      <c r="E778" s="871">
        <f>'Peers Stock History'!F781/'Peers Stock History'!F$1833*100</f>
        <v>365.41353383458647</v>
      </c>
      <c r="F778" s="871">
        <f>'Peers Stock History'!G781/'Peers Stock History'!G$1833*100</f>
        <v>183.82082821737964</v>
      </c>
      <c r="G778" s="871">
        <f>'Peers Stock History'!H781/'Peers Stock History'!H$1833*100</f>
        <v>152.52682169037331</v>
      </c>
      <c r="H778" s="871">
        <f>'Peers Stock History'!I781/'Peers Stock History'!I$1833*100</f>
        <v>236.88097306689838</v>
      </c>
      <c r="I778" s="871">
        <f>'Peers Stock History'!J781/'Peers Stock History'!J$1833*100</f>
        <v>137.69713738427157</v>
      </c>
      <c r="J778" s="871">
        <f>'Peers Stock History'!K781/'Peers Stock History'!K$1833*100</f>
        <v>155.0109632541963</v>
      </c>
    </row>
    <row r="779" spans="2:10">
      <c r="B779" s="870">
        <v>43832</v>
      </c>
      <c r="C779" s="871">
        <f>'Peers Stock History'!D782/'Peers Stock History'!D$1833*100</f>
        <v>168.76560332871014</v>
      </c>
      <c r="D779" s="871">
        <f>'Peers Stock History'!E782/'Peers Stock History'!E$1833*100</f>
        <v>220.10091743119267</v>
      </c>
      <c r="E779" s="871">
        <f>'Peers Stock History'!F782/'Peers Stock History'!F$1833*100</f>
        <v>369.17293233082705</v>
      </c>
      <c r="F779" s="871">
        <f>'Peers Stock History'!G782/'Peers Stock History'!G$1833*100</f>
        <v>183.89900173673081</v>
      </c>
      <c r="G779" s="871">
        <f>'Peers Stock History'!H782/'Peers Stock History'!H$1833*100</f>
        <v>156.5075974561872</v>
      </c>
      <c r="H779" s="871">
        <f>'Peers Stock History'!I782/'Peers Stock History'!I$1833*100</f>
        <v>240.616854908775</v>
      </c>
      <c r="I779" s="871">
        <f>'Peers Stock History'!J782/'Peers Stock History'!J$1833*100</f>
        <v>138.67617324678088</v>
      </c>
      <c r="J779" s="871">
        <f>'Peers Stock History'!K782/'Peers Stock History'!K$1833*100</f>
        <v>156.23821192417142</v>
      </c>
    </row>
    <row r="780" spans="2:10">
      <c r="B780" s="870">
        <v>43831</v>
      </c>
      <c r="C780" s="871">
        <f>'Peers Stock History'!D783/'Peers Stock History'!D$1833*100</f>
        <v>166.01941747572818</v>
      </c>
      <c r="D780" s="871">
        <f>'Peers Stock History'!E783/'Peers Stock History'!E$1833*100</f>
        <v>215.87155963302754</v>
      </c>
      <c r="E780" s="871">
        <f>'Peers Stock History'!F783/'Peers Stock History'!F$1833*100</f>
        <v>344.81203007518792</v>
      </c>
      <c r="F780" s="871">
        <f>'Peers Stock History'!G783/'Peers Stock History'!G$1833*100</f>
        <v>180.02747664387962</v>
      </c>
      <c r="G780" s="871">
        <f>'Peers Stock History'!H783/'Peers Stock History'!H$1833*100</f>
        <v>153.41521433079274</v>
      </c>
      <c r="H780" s="871">
        <f>'Peers Stock History'!I783/'Peers Stock History'!I$1833*100</f>
        <v>233.62293657688969</v>
      </c>
      <c r="I780" s="871">
        <f>'Peers Stock History'!J783/'Peers Stock History'!J$1833*100</f>
        <v>137.52389060338405</v>
      </c>
      <c r="J780" s="871">
        <f>'Peers Stock History'!K783/'Peers Stock History'!K$1833*100</f>
        <v>154.18328911372916</v>
      </c>
    </row>
    <row r="781" spans="2:10">
      <c r="B781" s="870">
        <v>43830</v>
      </c>
      <c r="C781" s="871">
        <f>'Peers Stock History'!D784/'Peers Stock History'!D$1833*100</f>
        <v>166.01941747572818</v>
      </c>
      <c r="D781" s="871">
        <f>'Peers Stock History'!E784/'Peers Stock History'!E$1833*100</f>
        <v>215.87155963302754</v>
      </c>
      <c r="E781" s="871">
        <f>'Peers Stock History'!F784/'Peers Stock History'!F$1833*100</f>
        <v>344.81203007518792</v>
      </c>
      <c r="F781" s="871">
        <f>'Peers Stock History'!G784/'Peers Stock History'!G$1833*100</f>
        <v>180.02747664387962</v>
      </c>
      <c r="G781" s="871">
        <f>'Peers Stock History'!H784/'Peers Stock History'!H$1833*100</f>
        <v>153.41521433079274</v>
      </c>
      <c r="H781" s="871">
        <f>'Peers Stock History'!I784/'Peers Stock History'!I$1833*100</f>
        <v>233.62293657688969</v>
      </c>
      <c r="I781" s="871">
        <f>'Peers Stock History'!J784/'Peers Stock History'!J$1833*100</f>
        <v>137.52389060338405</v>
      </c>
      <c r="J781" s="871">
        <f>'Peers Stock History'!K784/'Peers Stock History'!K$1833*100</f>
        <v>154.18328911372916</v>
      </c>
    </row>
    <row r="782" spans="2:10">
      <c r="B782" s="870">
        <v>43829</v>
      </c>
      <c r="C782" s="871">
        <f>'Peers Stock History'!D785/'Peers Stock History'!D$1833*100</f>
        <v>165.38141470180307</v>
      </c>
      <c r="D782" s="871">
        <f>'Peers Stock History'!E785/'Peers Stock History'!E$1833*100</f>
        <v>213.13761467889907</v>
      </c>
      <c r="E782" s="871">
        <f>'Peers Stock History'!F785/'Peers Stock History'!F$1833*100</f>
        <v>342.25563909774434</v>
      </c>
      <c r="F782" s="871">
        <f>'Peers Stock History'!G785/'Peers Stock History'!G$1833*100</f>
        <v>180.84874315763736</v>
      </c>
      <c r="G782" s="871">
        <f>'Peers Stock History'!H785/'Peers Stock History'!H$1833*100</f>
        <v>152.172435555124</v>
      </c>
      <c r="H782" s="871">
        <f>'Peers Stock History'!I785/'Peers Stock History'!I$1833*100</f>
        <v>231.14682884448308</v>
      </c>
      <c r="I782" s="871">
        <f>'Peers Stock History'!J785/'Peers Stock History'!J$1833*100</f>
        <v>137.1199318931574</v>
      </c>
      <c r="J782" s="871">
        <f>'Peers Stock History'!K785/'Peers Stock History'!K$1833*100</f>
        <v>153.72602862131066</v>
      </c>
    </row>
    <row r="783" spans="2:10">
      <c r="B783" s="870">
        <v>43828</v>
      </c>
      <c r="C783" s="871">
        <f>'Peers Stock History'!D786/'Peers Stock History'!D$1833*100</f>
        <v>166.65742024965326</v>
      </c>
      <c r="D783" s="871">
        <f>'Peers Stock History'!E786/'Peers Stock History'!E$1833*100</f>
        <v>217.31192660550457</v>
      </c>
      <c r="E783" s="871">
        <f>'Peers Stock History'!F786/'Peers Stock History'!F$1833*100</f>
        <v>347.21804511278197</v>
      </c>
      <c r="F783" s="871">
        <f>'Peers Stock History'!G786/'Peers Stock History'!G$1833*100</f>
        <v>182.77140475724414</v>
      </c>
      <c r="G783" s="871">
        <f>'Peers Stock History'!H786/'Peers Stock History'!H$1833*100</f>
        <v>153.66279916500798</v>
      </c>
      <c r="H783" s="871">
        <f>'Peers Stock History'!I786/'Peers Stock History'!I$1833*100</f>
        <v>234.70894874022591</v>
      </c>
      <c r="I783" s="871">
        <f>'Peers Stock History'!J786/'Peers Stock History'!J$1833*100</f>
        <v>137.917207619453</v>
      </c>
      <c r="J783" s="871">
        <f>'Peers Stock History'!K786/'Peers Stock History'!K$1833*100</f>
        <v>154.76776115914933</v>
      </c>
    </row>
    <row r="784" spans="2:10">
      <c r="B784" s="870">
        <v>43827</v>
      </c>
      <c r="C784" s="871">
        <f>'Peers Stock History'!D787/'Peers Stock History'!D$1833*100</f>
        <v>166.65742024965326</v>
      </c>
      <c r="D784" s="871">
        <f>'Peers Stock History'!E787/'Peers Stock History'!E$1833*100</f>
        <v>217.31192660550457</v>
      </c>
      <c r="E784" s="871">
        <f>'Peers Stock History'!F787/'Peers Stock History'!F$1833*100</f>
        <v>347.21804511278197</v>
      </c>
      <c r="F784" s="871">
        <f>'Peers Stock History'!G787/'Peers Stock History'!G$1833*100</f>
        <v>182.77140475724414</v>
      </c>
      <c r="G784" s="871">
        <f>'Peers Stock History'!H787/'Peers Stock History'!H$1833*100</f>
        <v>153.66279916500798</v>
      </c>
      <c r="H784" s="871">
        <f>'Peers Stock History'!I787/'Peers Stock History'!I$1833*100</f>
        <v>234.70894874022591</v>
      </c>
      <c r="I784" s="871">
        <f>'Peers Stock History'!J787/'Peers Stock History'!J$1833*100</f>
        <v>137.917207619453</v>
      </c>
      <c r="J784" s="871">
        <f>'Peers Stock History'!K787/'Peers Stock History'!K$1833*100</f>
        <v>154.76776115914933</v>
      </c>
    </row>
    <row r="785" spans="2:10">
      <c r="B785" s="870">
        <v>43826</v>
      </c>
      <c r="C785" s="871">
        <f>'Peers Stock History'!D788/'Peers Stock History'!D$1833*100</f>
        <v>166.65742024965326</v>
      </c>
      <c r="D785" s="871">
        <f>'Peers Stock History'!E788/'Peers Stock History'!E$1833*100</f>
        <v>217.31192660550457</v>
      </c>
      <c r="E785" s="871">
        <f>'Peers Stock History'!F788/'Peers Stock History'!F$1833*100</f>
        <v>347.21804511278197</v>
      </c>
      <c r="F785" s="871">
        <f>'Peers Stock History'!G788/'Peers Stock History'!G$1833*100</f>
        <v>182.77140475724414</v>
      </c>
      <c r="G785" s="871">
        <f>'Peers Stock History'!H788/'Peers Stock History'!H$1833*100</f>
        <v>153.66279916500798</v>
      </c>
      <c r="H785" s="871">
        <f>'Peers Stock History'!I788/'Peers Stock History'!I$1833*100</f>
        <v>234.70894874022591</v>
      </c>
      <c r="I785" s="871">
        <f>'Peers Stock History'!J788/'Peers Stock History'!J$1833*100</f>
        <v>137.917207619453</v>
      </c>
      <c r="J785" s="871">
        <f>'Peers Stock History'!K788/'Peers Stock History'!K$1833*100</f>
        <v>154.76776115914933</v>
      </c>
    </row>
    <row r="786" spans="2:10">
      <c r="B786" s="870">
        <v>43825</v>
      </c>
      <c r="C786" s="871">
        <f>'Peers Stock History'!D789/'Peers Stock History'!D$1833*100</f>
        <v>165.93619972260751</v>
      </c>
      <c r="D786" s="871">
        <f>'Peers Stock History'!E789/'Peers Stock History'!E$1833*100</f>
        <v>219.44036697247705</v>
      </c>
      <c r="E786" s="871">
        <f>'Peers Stock History'!F789/'Peers Stock History'!F$1833*100</f>
        <v>350.6015037593985</v>
      </c>
      <c r="F786" s="871">
        <f>'Peers Stock History'!G789/'Peers Stock History'!G$1833*100</f>
        <v>180.03776224661593</v>
      </c>
      <c r="G786" s="871">
        <f>'Peers Stock History'!H789/'Peers Stock History'!H$1833*100</f>
        <v>154.36671683091413</v>
      </c>
      <c r="H786" s="871">
        <f>'Peers Stock History'!I789/'Peers Stock History'!I$1833*100</f>
        <v>239.37880104257167</v>
      </c>
      <c r="I786" s="871">
        <f>'Peers Stock History'!J789/'Peers Stock History'!J$1833*100</f>
        <v>137.91252527402364</v>
      </c>
      <c r="J786" s="871">
        <f>'Peers Stock History'!K789/'Peers Stock History'!K$1833*100</f>
        <v>155.03881816807117</v>
      </c>
    </row>
    <row r="787" spans="2:10">
      <c r="B787" s="870">
        <v>43824</v>
      </c>
      <c r="C787" s="871">
        <f>'Peers Stock History'!D790/'Peers Stock History'!D$1833*100</f>
        <v>164.79889042995839</v>
      </c>
      <c r="D787" s="871">
        <f>'Peers Stock History'!E790/'Peers Stock History'!E$1833*100</f>
        <v>218.91743119266053</v>
      </c>
      <c r="E787" s="871">
        <f>'Peers Stock History'!F790/'Peers Stock History'!F$1833*100</f>
        <v>349.92481203007515</v>
      </c>
      <c r="F787" s="871">
        <f>'Peers Stock History'!G790/'Peers Stock History'!G$1833*100</f>
        <v>180.17549278151253</v>
      </c>
      <c r="G787" s="871">
        <f>'Peers Stock History'!H790/'Peers Stock History'!H$1833*100</f>
        <v>155.590077188213</v>
      </c>
      <c r="H787" s="871">
        <f>'Peers Stock History'!I790/'Peers Stock History'!I$1833*100</f>
        <v>240.74717636837534</v>
      </c>
      <c r="I787" s="871">
        <f>'Peers Stock History'!J790/'Peers Stock History'!J$1833*100</f>
        <v>137.20889645631584</v>
      </c>
      <c r="J787" s="871">
        <f>'Peers Stock History'!K790/'Peers Stock History'!K$1833*100</f>
        <v>153.84442489311687</v>
      </c>
    </row>
    <row r="788" spans="2:10">
      <c r="B788" s="870">
        <v>43823</v>
      </c>
      <c r="C788" s="871">
        <f>'Peers Stock History'!D791/'Peers Stock History'!D$1833*100</f>
        <v>164.79889042995839</v>
      </c>
      <c r="D788" s="871">
        <f>'Peers Stock History'!E791/'Peers Stock History'!E$1833*100</f>
        <v>218.91743119266053</v>
      </c>
      <c r="E788" s="871">
        <f>'Peers Stock History'!F791/'Peers Stock History'!F$1833*100</f>
        <v>349.92481203007515</v>
      </c>
      <c r="F788" s="871">
        <f>'Peers Stock History'!G791/'Peers Stock History'!G$1833*100</f>
        <v>179.17553562169022</v>
      </c>
      <c r="G788" s="871">
        <f>'Peers Stock History'!H791/'Peers Stock History'!H$1833*100</f>
        <v>155.590077188213</v>
      </c>
      <c r="H788" s="871">
        <f>'Peers Stock History'!I791/'Peers Stock History'!I$1833*100</f>
        <v>240.74717636837534</v>
      </c>
      <c r="I788" s="871">
        <f>'Peers Stock History'!J791/'Peers Stock History'!J$1833*100</f>
        <v>137.20889645631584</v>
      </c>
      <c r="J788" s="871">
        <f>'Peers Stock History'!K791/'Peers Stock History'!K$1833*100</f>
        <v>153.84442489311687</v>
      </c>
    </row>
    <row r="789" spans="2:10">
      <c r="B789" s="870">
        <v>43822</v>
      </c>
      <c r="C789" s="871">
        <f>'Peers Stock History'!D792/'Peers Stock History'!D$1833*100</f>
        <v>164.29958391123441</v>
      </c>
      <c r="D789" s="871">
        <f>'Peers Stock History'!E792/'Peers Stock History'!E$1833*100</f>
        <v>219.10091743119264</v>
      </c>
      <c r="E789" s="871">
        <f>'Peers Stock History'!F792/'Peers Stock History'!F$1833*100</f>
        <v>341.80451127819549</v>
      </c>
      <c r="F789" s="871">
        <f>'Peers Stock History'!G792/'Peers Stock History'!G$1833*100</f>
        <v>180.26088670725497</v>
      </c>
      <c r="G789" s="871">
        <f>'Peers Stock History'!H792/'Peers Stock History'!H$1833*100</f>
        <v>155.11918054274477</v>
      </c>
      <c r="H789" s="871">
        <f>'Peers Stock History'!I792/'Peers Stock History'!I$1833*100</f>
        <v>240.66029539530845</v>
      </c>
      <c r="I789" s="871">
        <f>'Peers Stock History'!J792/'Peers Stock History'!J$1833*100</f>
        <v>137.2357135255933</v>
      </c>
      <c r="J789" s="871">
        <f>'Peers Stock History'!K792/'Peers Stock History'!K$1833*100</f>
        <v>153.72010021582832</v>
      </c>
    </row>
    <row r="790" spans="2:10">
      <c r="B790" s="870">
        <v>43821</v>
      </c>
      <c r="C790" s="871">
        <f>'Peers Stock History'!D793/'Peers Stock History'!D$1833*100</f>
        <v>163.5228848821082</v>
      </c>
      <c r="D790" s="871">
        <f>'Peers Stock History'!E793/'Peers Stock History'!E$1833*100</f>
        <v>219.60550458715596</v>
      </c>
      <c r="E790" s="871">
        <f>'Peers Stock History'!F793/'Peers Stock History'!F$1833*100</f>
        <v>331.95488721804509</v>
      </c>
      <c r="F790" s="871">
        <f>'Peers Stock History'!G793/'Peers Stock History'!G$1833*100</f>
        <v>177.73927825072005</v>
      </c>
      <c r="G790" s="871">
        <f>'Peers Stock History'!H793/'Peers Stock History'!H$1833*100</f>
        <v>154.86188649934462</v>
      </c>
      <c r="H790" s="871">
        <f>'Peers Stock History'!I793/'Peers Stock History'!I$1833*100</f>
        <v>239.18331885317116</v>
      </c>
      <c r="I790" s="871">
        <f>'Peers Stock History'!J793/'Peers Stock History'!J$1833*100</f>
        <v>137.11695221879324</v>
      </c>
      <c r="J790" s="871">
        <f>'Peers Stock History'!K793/'Peers Stock History'!K$1833*100</f>
        <v>153.3644989895935</v>
      </c>
    </row>
    <row r="791" spans="2:10">
      <c r="B791" s="870">
        <v>43820</v>
      </c>
      <c r="C791" s="871">
        <f>'Peers Stock History'!D794/'Peers Stock History'!D$1833*100</f>
        <v>163.5228848821082</v>
      </c>
      <c r="D791" s="871">
        <f>'Peers Stock History'!E794/'Peers Stock History'!E$1833*100</f>
        <v>219.60550458715596</v>
      </c>
      <c r="E791" s="871">
        <f>'Peers Stock History'!F794/'Peers Stock History'!F$1833*100</f>
        <v>331.95488721804509</v>
      </c>
      <c r="F791" s="871">
        <f>'Peers Stock History'!G794/'Peers Stock History'!G$1833*100</f>
        <v>177.73927825072005</v>
      </c>
      <c r="G791" s="871">
        <f>'Peers Stock History'!H794/'Peers Stock History'!H$1833*100</f>
        <v>154.86188649934462</v>
      </c>
      <c r="H791" s="871">
        <f>'Peers Stock History'!I794/'Peers Stock History'!I$1833*100</f>
        <v>239.18331885317116</v>
      </c>
      <c r="I791" s="871">
        <f>'Peers Stock History'!J794/'Peers Stock History'!J$1833*100</f>
        <v>137.11695221879324</v>
      </c>
      <c r="J791" s="871">
        <f>'Peers Stock History'!K794/'Peers Stock History'!K$1833*100</f>
        <v>153.3644989895935</v>
      </c>
    </row>
    <row r="792" spans="2:10">
      <c r="B792" s="870">
        <v>43819</v>
      </c>
      <c r="C792" s="871">
        <f>'Peers Stock History'!D795/'Peers Stock History'!D$1833*100</f>
        <v>163.5228848821082</v>
      </c>
      <c r="D792" s="871">
        <f>'Peers Stock History'!E795/'Peers Stock History'!E$1833*100</f>
        <v>219.60550458715596</v>
      </c>
      <c r="E792" s="871">
        <f>'Peers Stock History'!F795/'Peers Stock History'!F$1833*100</f>
        <v>331.95488721804509</v>
      </c>
      <c r="F792" s="871">
        <f>'Peers Stock History'!G795/'Peers Stock History'!G$1833*100</f>
        <v>177.73927825072005</v>
      </c>
      <c r="G792" s="871">
        <f>'Peers Stock History'!H795/'Peers Stock History'!H$1833*100</f>
        <v>154.86188649934462</v>
      </c>
      <c r="H792" s="871">
        <f>'Peers Stock History'!I795/'Peers Stock History'!I$1833*100</f>
        <v>239.18331885317116</v>
      </c>
      <c r="I792" s="871">
        <f>'Peers Stock History'!J795/'Peers Stock History'!J$1833*100</f>
        <v>137.11695221879324</v>
      </c>
      <c r="J792" s="871">
        <f>'Peers Stock History'!K795/'Peers Stock History'!K$1833*100</f>
        <v>153.3644989895935</v>
      </c>
    </row>
    <row r="793" spans="2:10">
      <c r="B793" s="870">
        <v>43818</v>
      </c>
      <c r="C793" s="871">
        <f>'Peers Stock History'!D796/'Peers Stock History'!D$1833*100</f>
        <v>160.77669902912623</v>
      </c>
      <c r="D793" s="871">
        <f>'Peers Stock History'!E796/'Peers Stock History'!E$1833*100</f>
        <v>216.0183486238532</v>
      </c>
      <c r="E793" s="871">
        <f>'Peers Stock History'!F796/'Peers Stock History'!F$1833*100</f>
        <v>322.03007518796989</v>
      </c>
      <c r="F793" s="871">
        <f>'Peers Stock History'!G796/'Peers Stock History'!G$1833*100</f>
        <v>180.72264316543698</v>
      </c>
      <c r="G793" s="871">
        <f>'Peers Stock History'!H796/'Peers Stock History'!H$1833*100</f>
        <v>157.33773484149717</v>
      </c>
      <c r="H793" s="871">
        <f>'Peers Stock History'!I796/'Peers Stock History'!I$1833*100</f>
        <v>236.88097306689838</v>
      </c>
      <c r="I793" s="871">
        <f>'Peers Stock History'!J796/'Peers Stock History'!J$1833*100</f>
        <v>136.44226880919442</v>
      </c>
      <c r="J793" s="871">
        <f>'Peers Stock History'!K796/'Peers Stock History'!K$1833*100</f>
        <v>152.71603453253238</v>
      </c>
    </row>
    <row r="794" spans="2:10">
      <c r="B794" s="870">
        <v>43817</v>
      </c>
      <c r="C794" s="871">
        <f>'Peers Stock History'!D797/'Peers Stock History'!D$1833*100</f>
        <v>158.58529819694871</v>
      </c>
      <c r="D794" s="871">
        <f>'Peers Stock History'!E797/'Peers Stock History'!E$1833*100</f>
        <v>210.55963302752292</v>
      </c>
      <c r="E794" s="871">
        <f>'Peers Stock History'!F797/'Peers Stock History'!F$1833*100</f>
        <v>318.04511278195486</v>
      </c>
      <c r="F794" s="871">
        <f>'Peers Stock History'!G797/'Peers Stock History'!G$1833*100</f>
        <v>185.8661053298043</v>
      </c>
      <c r="G794" s="871">
        <f>'Peers Stock History'!H797/'Peers Stock History'!H$1833*100</f>
        <v>158.95917277537743</v>
      </c>
      <c r="H794" s="871">
        <f>'Peers Stock History'!I797/'Peers Stock History'!I$1833*100</f>
        <v>230.40834057341445</v>
      </c>
      <c r="I794" s="871">
        <f>'Peers Stock History'!J797/'Peers Stock History'!J$1833*100</f>
        <v>135.83654357773759</v>
      </c>
      <c r="J794" s="871">
        <f>'Peers Stock History'!K797/'Peers Stock History'!K$1833*100</f>
        <v>151.69389150846132</v>
      </c>
    </row>
    <row r="795" spans="2:10">
      <c r="B795" s="870">
        <v>43816</v>
      </c>
      <c r="C795" s="871">
        <f>'Peers Stock History'!D798/'Peers Stock History'!D$1833*100</f>
        <v>158.94590846047157</v>
      </c>
      <c r="D795" s="871">
        <f>'Peers Stock History'!E798/'Peers Stock History'!E$1833*100</f>
        <v>209.44036697247705</v>
      </c>
      <c r="E795" s="871">
        <f>'Peers Stock History'!F798/'Peers Stock History'!F$1833*100</f>
        <v>321.57894736842104</v>
      </c>
      <c r="F795" s="871">
        <f>'Peers Stock History'!G798/'Peers Stock History'!G$1833*100</f>
        <v>186.17291556419181</v>
      </c>
      <c r="G795" s="871">
        <f>'Peers Stock History'!H798/'Peers Stock History'!H$1833*100</f>
        <v>157.19209670372348</v>
      </c>
      <c r="H795" s="871">
        <f>'Peers Stock History'!I798/'Peers Stock History'!I$1833*100</f>
        <v>230.23457862728063</v>
      </c>
      <c r="I795" s="871">
        <f>'Peers Stock History'!J798/'Peers Stock History'!J$1833*100</f>
        <v>135.89528572948814</v>
      </c>
      <c r="J795" s="871">
        <f>'Peers Stock History'!K798/'Peers Stock History'!K$1833*100</f>
        <v>151.61866090207994</v>
      </c>
    </row>
    <row r="796" spans="2:10">
      <c r="B796" s="870">
        <v>43815</v>
      </c>
      <c r="C796" s="871">
        <f>'Peers Stock History'!D799/'Peers Stock History'!D$1833*100</f>
        <v>160.05547850208046</v>
      </c>
      <c r="D796" s="871">
        <f>'Peers Stock History'!E799/'Peers Stock History'!E$1833*100</f>
        <v>206.55963302752295</v>
      </c>
      <c r="E796" s="871">
        <f>'Peers Stock History'!F799/'Peers Stock History'!F$1833*100</f>
        <v>318.42105263157896</v>
      </c>
      <c r="F796" s="871">
        <f>'Peers Stock History'!G799/'Peers Stock History'!G$1833*100</f>
        <v>181.56317359081137</v>
      </c>
      <c r="G796" s="871">
        <f>'Peers Stock History'!H799/'Peers Stock History'!H$1833*100</f>
        <v>156.86683819602894</v>
      </c>
      <c r="H796" s="871">
        <f>'Peers Stock History'!I799/'Peers Stock History'!I$1833*100</f>
        <v>229.97393570807992</v>
      </c>
      <c r="I796" s="871">
        <f>'Peers Stock History'!J799/'Peers Stock History'!J$1833*100</f>
        <v>135.84973927849313</v>
      </c>
      <c r="J796" s="871">
        <f>'Peers Stock History'!K799/'Peers Stock History'!K$1833*100</f>
        <v>151.46177295409871</v>
      </c>
    </row>
    <row r="797" spans="2:10">
      <c r="B797" s="870">
        <v>43814</v>
      </c>
      <c r="C797" s="871">
        <f>'Peers Stock History'!D800/'Peers Stock History'!D$1833*100</f>
        <v>160.30513176144245</v>
      </c>
      <c r="D797" s="871">
        <f>'Peers Stock History'!E800/'Peers Stock History'!E$1833*100</f>
        <v>205.49541284403671</v>
      </c>
      <c r="E797" s="871">
        <f>'Peers Stock History'!F800/'Peers Stock History'!F$1833*100</f>
        <v>309.39849624060145</v>
      </c>
      <c r="F797" s="871">
        <f>'Peers Stock History'!G800/'Peers Stock History'!G$1833*100</f>
        <v>182.49319495265576</v>
      </c>
      <c r="G797" s="871">
        <f>'Peers Stock History'!H800/'Peers Stock History'!H$1833*100</f>
        <v>153.12393805524539</v>
      </c>
      <c r="H797" s="871">
        <f>'Peers Stock History'!I800/'Peers Stock History'!I$1833*100</f>
        <v>222.4152910512598</v>
      </c>
      <c r="I797" s="871">
        <f>'Peers Stock History'!J800/'Peers Stock History'!J$1833*100</f>
        <v>134.88560178780463</v>
      </c>
      <c r="J797" s="871">
        <f>'Peers Stock History'!K800/'Peers Stock History'!K$1833*100</f>
        <v>150.09827406073438</v>
      </c>
    </row>
    <row r="798" spans="2:10">
      <c r="B798" s="870">
        <v>43813</v>
      </c>
      <c r="C798" s="871">
        <f>'Peers Stock History'!D801/'Peers Stock History'!D$1833*100</f>
        <v>160.30513176144245</v>
      </c>
      <c r="D798" s="871">
        <f>'Peers Stock History'!E801/'Peers Stock History'!E$1833*100</f>
        <v>205.49541284403671</v>
      </c>
      <c r="E798" s="871">
        <f>'Peers Stock History'!F801/'Peers Stock History'!F$1833*100</f>
        <v>309.39849624060145</v>
      </c>
      <c r="F798" s="871">
        <f>'Peers Stock History'!G801/'Peers Stock History'!G$1833*100</f>
        <v>182.49319495265576</v>
      </c>
      <c r="G798" s="871">
        <f>'Peers Stock History'!H801/'Peers Stock History'!H$1833*100</f>
        <v>153.12393805524539</v>
      </c>
      <c r="H798" s="871">
        <f>'Peers Stock History'!I801/'Peers Stock History'!I$1833*100</f>
        <v>222.4152910512598</v>
      </c>
      <c r="I798" s="871">
        <f>'Peers Stock History'!J801/'Peers Stock History'!J$1833*100</f>
        <v>134.88560178780463</v>
      </c>
      <c r="J798" s="871">
        <f>'Peers Stock History'!K801/'Peers Stock History'!K$1833*100</f>
        <v>150.09827406073438</v>
      </c>
    </row>
    <row r="799" spans="2:10">
      <c r="B799" s="870">
        <v>43812</v>
      </c>
      <c r="C799" s="871">
        <f>'Peers Stock History'!D802/'Peers Stock History'!D$1833*100</f>
        <v>160.30513176144245</v>
      </c>
      <c r="D799" s="871">
        <f>'Peers Stock History'!E802/'Peers Stock History'!E$1833*100</f>
        <v>205.49541284403671</v>
      </c>
      <c r="E799" s="871">
        <f>'Peers Stock History'!F802/'Peers Stock History'!F$1833*100</f>
        <v>309.39849624060145</v>
      </c>
      <c r="F799" s="871">
        <f>'Peers Stock History'!G802/'Peers Stock History'!G$1833*100</f>
        <v>182.49319495265576</v>
      </c>
      <c r="G799" s="871">
        <f>'Peers Stock History'!H802/'Peers Stock History'!H$1833*100</f>
        <v>153.12393805524539</v>
      </c>
      <c r="H799" s="871">
        <f>'Peers Stock History'!I802/'Peers Stock History'!I$1833*100</f>
        <v>222.4152910512598</v>
      </c>
      <c r="I799" s="871">
        <f>'Peers Stock History'!J802/'Peers Stock History'!J$1833*100</f>
        <v>134.88560178780463</v>
      </c>
      <c r="J799" s="871">
        <f>'Peers Stock History'!K802/'Peers Stock History'!K$1833*100</f>
        <v>150.09827406073438</v>
      </c>
    </row>
    <row r="800" spans="2:10">
      <c r="B800" s="870">
        <v>43811</v>
      </c>
      <c r="C800" s="871">
        <f>'Peers Stock History'!D803/'Peers Stock History'!D$1833*100</f>
        <v>159.63938973647711</v>
      </c>
      <c r="D800" s="871">
        <f>'Peers Stock History'!E803/'Peers Stock History'!E$1833*100</f>
        <v>205.56880733944953</v>
      </c>
      <c r="E800" s="871">
        <f>'Peers Stock History'!F803/'Peers Stock History'!F$1833*100</f>
        <v>320.22556390977445</v>
      </c>
      <c r="F800" s="871">
        <f>'Peers Stock History'!G803/'Peers Stock History'!G$1833*100</f>
        <v>178.43211557227895</v>
      </c>
      <c r="G800" s="871">
        <f>'Peers Stock History'!H803/'Peers Stock History'!H$1833*100</f>
        <v>159.13393854070586</v>
      </c>
      <c r="H800" s="871">
        <f>'Peers Stock History'!I803/'Peers Stock History'!I$1833*100</f>
        <v>221.41615986099046</v>
      </c>
      <c r="I800" s="871">
        <f>'Peers Stock History'!J803/'Peers Stock History'!J$1833*100</f>
        <v>134.87581142917952</v>
      </c>
      <c r="J800" s="871">
        <f>'Peers Stock History'!K803/'Peers Stock History'!K$1833*100</f>
        <v>149.79650962979255</v>
      </c>
    </row>
    <row r="801" spans="2:10">
      <c r="B801" s="870">
        <v>43810</v>
      </c>
      <c r="C801" s="871">
        <f>'Peers Stock History'!D804/'Peers Stock History'!D$1833*100</f>
        <v>158.30790568654646</v>
      </c>
      <c r="D801" s="871">
        <f>'Peers Stock History'!E804/'Peers Stock History'!E$1833*100</f>
        <v>199.39449541284404</v>
      </c>
      <c r="E801" s="871">
        <f>'Peers Stock History'!F804/'Peers Stock History'!F$1833*100</f>
        <v>296.76691729323306</v>
      </c>
      <c r="F801" s="871">
        <f>'Peers Stock History'!G804/'Peers Stock History'!G$1833*100</f>
        <v>170.63679095509698</v>
      </c>
      <c r="G801" s="871">
        <f>'Peers Stock History'!H804/'Peers Stock History'!H$1833*100</f>
        <v>155.21141803000148</v>
      </c>
      <c r="H801" s="871">
        <f>'Peers Stock History'!I804/'Peers Stock History'!I$1833*100</f>
        <v>213.98783666377062</v>
      </c>
      <c r="I801" s="871">
        <f>'Peers Stock History'!J804/'Peers Stock History'!J$1833*100</f>
        <v>133.72906246674472</v>
      </c>
      <c r="J801" s="871">
        <f>'Peers Stock History'!K804/'Peers Stock History'!K$1833*100</f>
        <v>148.70934316704012</v>
      </c>
    </row>
    <row r="802" spans="2:10">
      <c r="B802" s="870">
        <v>43809</v>
      </c>
      <c r="C802" s="871">
        <f>'Peers Stock History'!D805/'Peers Stock History'!D$1833*100</f>
        <v>156.97642163661584</v>
      </c>
      <c r="D802" s="871">
        <f>'Peers Stock History'!E805/'Peers Stock History'!E$1833*100</f>
        <v>196.3119266055046</v>
      </c>
      <c r="E802" s="871">
        <f>'Peers Stock History'!F805/'Peers Stock History'!F$1833*100</f>
        <v>296.54135338345861</v>
      </c>
      <c r="F802" s="871">
        <f>'Peers Stock History'!G805/'Peers Stock History'!G$1833*100</f>
        <v>167.5130033180879</v>
      </c>
      <c r="G802" s="871">
        <f>'Peers Stock History'!H805/'Peers Stock History'!H$1833*100</f>
        <v>152.94917228991699</v>
      </c>
      <c r="H802" s="871">
        <f>'Peers Stock History'!I805/'Peers Stock History'!I$1833*100</f>
        <v>206.1685490877498</v>
      </c>
      <c r="I802" s="871">
        <f>'Peers Stock History'!J805/'Peers Stock History'!J$1833*100</f>
        <v>133.34127913163775</v>
      </c>
      <c r="J802" s="871">
        <f>'Peers Stock History'!K805/'Peers Stock History'!K$1833*100</f>
        <v>148.0586276342741</v>
      </c>
    </row>
    <row r="803" spans="2:10">
      <c r="B803" s="870">
        <v>43808</v>
      </c>
      <c r="C803" s="871">
        <f>'Peers Stock History'!D806/'Peers Stock History'!D$1833*100</f>
        <v>156.80998613037448</v>
      </c>
      <c r="D803" s="871">
        <f>'Peers Stock History'!E806/'Peers Stock History'!E$1833*100</f>
        <v>194.65137614678898</v>
      </c>
      <c r="E803" s="871">
        <f>'Peers Stock History'!F806/'Peers Stock History'!F$1833*100</f>
        <v>292.70676691729324</v>
      </c>
      <c r="F803" s="871">
        <f>'Peers Stock History'!G806/'Peers Stock History'!G$1833*100</f>
        <v>168.73798130363315</v>
      </c>
      <c r="G803" s="871">
        <f>'Peers Stock History'!H806/'Peers Stock History'!H$1833*100</f>
        <v>152.61905917762996</v>
      </c>
      <c r="H803" s="871">
        <f>'Peers Stock History'!I806/'Peers Stock History'!I$1833*100</f>
        <v>201.7810599478714</v>
      </c>
      <c r="I803" s="871">
        <f>'Peers Stock History'!J806/'Peers Stock History'!J$1833*100</f>
        <v>133.48770884324784</v>
      </c>
      <c r="J803" s="871">
        <f>'Peers Stock History'!K806/'Peers Stock History'!K$1833*100</f>
        <v>148.15561291120795</v>
      </c>
    </row>
    <row r="804" spans="2:10">
      <c r="B804" s="870">
        <v>43807</v>
      </c>
      <c r="C804" s="871">
        <f>'Peers Stock History'!D807/'Peers Stock History'!D$1833*100</f>
        <v>157.58668515950072</v>
      </c>
      <c r="D804" s="871">
        <f>'Peers Stock History'!E807/'Peers Stock History'!E$1833*100</f>
        <v>194.65137614678898</v>
      </c>
      <c r="E804" s="871">
        <f>'Peers Stock History'!F807/'Peers Stock History'!F$1833*100</f>
        <v>297.96992481203006</v>
      </c>
      <c r="F804" s="871">
        <f>'Peers Stock History'!G807/'Peers Stock History'!G$1833*100</f>
        <v>167.36678308895824</v>
      </c>
      <c r="G804" s="871">
        <f>'Peers Stock History'!H807/'Peers Stock History'!H$1833*100</f>
        <v>153.42977814457012</v>
      </c>
      <c r="H804" s="871">
        <f>'Peers Stock History'!I807/'Peers Stock History'!I$1833*100</f>
        <v>208.2102519548219</v>
      </c>
      <c r="I804" s="871">
        <f>'Peers Stock History'!J807/'Peers Stock History'!J$1833*100</f>
        <v>133.91124827072468</v>
      </c>
      <c r="J804" s="871">
        <f>'Peers Stock History'!K807/'Peers Stock History'!K$1833*100</f>
        <v>148.75192458380877</v>
      </c>
    </row>
    <row r="805" spans="2:10">
      <c r="B805" s="870">
        <v>43806</v>
      </c>
      <c r="C805" s="871">
        <f>'Peers Stock History'!D808/'Peers Stock History'!D$1833*100</f>
        <v>157.58668515950072</v>
      </c>
      <c r="D805" s="871">
        <f>'Peers Stock History'!E808/'Peers Stock History'!E$1833*100</f>
        <v>194.65137614678898</v>
      </c>
      <c r="E805" s="871">
        <f>'Peers Stock History'!F808/'Peers Stock History'!F$1833*100</f>
        <v>297.96992481203006</v>
      </c>
      <c r="F805" s="871">
        <f>'Peers Stock History'!G808/'Peers Stock History'!G$1833*100</f>
        <v>167.36678308895824</v>
      </c>
      <c r="G805" s="871">
        <f>'Peers Stock History'!H808/'Peers Stock History'!H$1833*100</f>
        <v>153.42977814457012</v>
      </c>
      <c r="H805" s="871">
        <f>'Peers Stock History'!I808/'Peers Stock History'!I$1833*100</f>
        <v>208.2102519548219</v>
      </c>
      <c r="I805" s="871">
        <f>'Peers Stock History'!J808/'Peers Stock History'!J$1833*100</f>
        <v>133.91124827072468</v>
      </c>
      <c r="J805" s="871">
        <f>'Peers Stock History'!K808/'Peers Stock History'!K$1833*100</f>
        <v>148.75192458380877</v>
      </c>
    </row>
    <row r="806" spans="2:10">
      <c r="B806" s="870">
        <v>43805</v>
      </c>
      <c r="C806" s="871">
        <f>'Peers Stock History'!D809/'Peers Stock History'!D$1833*100</f>
        <v>157.58668515950072</v>
      </c>
      <c r="D806" s="871">
        <f>'Peers Stock History'!E809/'Peers Stock History'!E$1833*100</f>
        <v>194.65137614678898</v>
      </c>
      <c r="E806" s="871">
        <f>'Peers Stock History'!F809/'Peers Stock History'!F$1833*100</f>
        <v>297.96992481203006</v>
      </c>
      <c r="F806" s="871">
        <f>'Peers Stock History'!G809/'Peers Stock History'!G$1833*100</f>
        <v>167.36678308895824</v>
      </c>
      <c r="G806" s="871">
        <f>'Peers Stock History'!H809/'Peers Stock History'!H$1833*100</f>
        <v>153.42977814457012</v>
      </c>
      <c r="H806" s="871">
        <f>'Peers Stock History'!I809/'Peers Stock History'!I$1833*100</f>
        <v>208.2102519548219</v>
      </c>
      <c r="I806" s="871">
        <f>'Peers Stock History'!J809/'Peers Stock History'!J$1833*100</f>
        <v>133.91124827072468</v>
      </c>
      <c r="J806" s="871">
        <f>'Peers Stock History'!K809/'Peers Stock History'!K$1833*100</f>
        <v>148.75192458380877</v>
      </c>
    </row>
    <row r="807" spans="2:10">
      <c r="B807" s="870">
        <v>43804</v>
      </c>
      <c r="C807" s="871">
        <f>'Peers Stock History'!D810/'Peers Stock History'!D$1833*100</f>
        <v>155.5617198335645</v>
      </c>
      <c r="D807" s="871">
        <f>'Peers Stock History'!E810/'Peers Stock History'!E$1833*100</f>
        <v>191.50458715596329</v>
      </c>
      <c r="E807" s="871">
        <f>'Peers Stock History'!F810/'Peers Stock History'!F$1833*100</f>
        <v>297.8947368421052</v>
      </c>
      <c r="F807" s="871">
        <f>'Peers Stock History'!G810/'Peers Stock History'!G$1833*100</f>
        <v>166.60205748966317</v>
      </c>
      <c r="G807" s="871">
        <f>'Peers Stock History'!H810/'Peers Stock History'!H$1833*100</f>
        <v>151.07044031263652</v>
      </c>
      <c r="H807" s="871">
        <f>'Peers Stock History'!I810/'Peers Stock History'!I$1833*100</f>
        <v>202.51954821894006</v>
      </c>
      <c r="I807" s="871">
        <f>'Peers Stock History'!J810/'Peers Stock History'!J$1833*100</f>
        <v>132.69894647227838</v>
      </c>
      <c r="J807" s="871">
        <f>'Peers Stock History'!K810/'Peers Stock History'!K$1833*100</f>
        <v>147.27707477008096</v>
      </c>
    </row>
    <row r="808" spans="2:10">
      <c r="B808" s="870">
        <v>43803</v>
      </c>
      <c r="C808" s="871">
        <f>'Peers Stock History'!D811/'Peers Stock History'!D$1833*100</f>
        <v>155.3952843273232</v>
      </c>
      <c r="D808" s="871">
        <f>'Peers Stock History'!E811/'Peers Stock History'!E$1833*100</f>
        <v>192.12844036697248</v>
      </c>
      <c r="E808" s="871">
        <f>'Peers Stock History'!F811/'Peers Stock History'!F$1833*100</f>
        <v>298.4210526315789</v>
      </c>
      <c r="F808" s="871">
        <f>'Peers Stock History'!G811/'Peers Stock History'!G$1833*100</f>
        <v>163.39817176870821</v>
      </c>
      <c r="G808" s="871">
        <f>'Peers Stock History'!H811/'Peers Stock History'!H$1833*100</f>
        <v>150.35681343754553</v>
      </c>
      <c r="H808" s="871">
        <f>'Peers Stock History'!I811/'Peers Stock History'!I$1833*100</f>
        <v>201.12945264986965</v>
      </c>
      <c r="I808" s="871">
        <f>'Peers Stock History'!J811/'Peers Stock History'!J$1833*100</f>
        <v>132.50015962541238</v>
      </c>
      <c r="J808" s="871">
        <f>'Peers Stock History'!K811/'Peers Stock History'!K$1833*100</f>
        <v>147.20784130431795</v>
      </c>
    </row>
    <row r="809" spans="2:10">
      <c r="B809" s="870">
        <v>43802</v>
      </c>
      <c r="C809" s="871">
        <f>'Peers Stock History'!D812/'Peers Stock History'!D$1833*100</f>
        <v>155.53398058252426</v>
      </c>
      <c r="D809" s="871">
        <f>'Peers Stock History'!E812/'Peers Stock History'!E$1833*100</f>
        <v>190.51376146788991</v>
      </c>
      <c r="E809" s="871">
        <f>'Peers Stock History'!F812/'Peers Stock History'!F$1833*100</f>
        <v>292.48120300751879</v>
      </c>
      <c r="F809" s="871">
        <f>'Peers Stock History'!G812/'Peers Stock History'!G$1833*100</f>
        <v>163.76550583797652</v>
      </c>
      <c r="G809" s="871">
        <f>'Peers Stock History'!H812/'Peers Stock History'!H$1833*100</f>
        <v>148.8033399679596</v>
      </c>
      <c r="H809" s="871">
        <f>'Peers Stock History'!I812/'Peers Stock History'!I$1833*100</f>
        <v>196.4813205907906</v>
      </c>
      <c r="I809" s="871">
        <f>'Peers Stock History'!J812/'Peers Stock History'!J$1833*100</f>
        <v>131.66755347451314</v>
      </c>
      <c r="J809" s="871">
        <f>'Peers Stock History'!K812/'Peers Stock History'!K$1833*100</f>
        <v>146.41688891027314</v>
      </c>
    </row>
    <row r="810" spans="2:10">
      <c r="B810" s="870">
        <v>43801</v>
      </c>
      <c r="C810" s="871">
        <f>'Peers Stock History'!D813/'Peers Stock History'!D$1833*100</f>
        <v>159.94452149791957</v>
      </c>
      <c r="D810" s="871">
        <f>'Peers Stock History'!E813/'Peers Stock History'!E$1833*100</f>
        <v>191.97247706422019</v>
      </c>
      <c r="E810" s="871">
        <f>'Peers Stock History'!F813/'Peers Stock History'!F$1833*100</f>
        <v>291.20300751879699</v>
      </c>
      <c r="F810" s="871">
        <f>'Peers Stock History'!G813/'Peers Stock History'!G$1833*100</f>
        <v>164.06988646066287</v>
      </c>
      <c r="G810" s="871">
        <f>'Peers Stock History'!H813/'Peers Stock History'!H$1833*100</f>
        <v>150.84227389679111</v>
      </c>
      <c r="H810" s="871">
        <f>'Peers Stock History'!I813/'Peers Stock History'!I$1833*100</f>
        <v>201.52041702867072</v>
      </c>
      <c r="I810" s="871">
        <f>'Peers Stock History'!J813/'Peers Stock History'!J$1833*100</f>
        <v>132.54740874747259</v>
      </c>
      <c r="J810" s="871">
        <f>'Peers Stock History'!K813/'Peers Stock History'!K$1833*100</f>
        <v>147.23043798028675</v>
      </c>
    </row>
    <row r="811" spans="2:10">
      <c r="B811" s="870">
        <v>43800</v>
      </c>
      <c r="C811" s="871">
        <f>'Peers Stock History'!D814/'Peers Stock History'!D$1833*100</f>
        <v>161.0263522884882</v>
      </c>
      <c r="D811" s="871">
        <f>'Peers Stock History'!E814/'Peers Stock History'!E$1833*100</f>
        <v>198.8440366972477</v>
      </c>
      <c r="E811" s="871">
        <f>'Peers Stock History'!F814/'Peers Stock History'!F$1833*100</f>
        <v>294.36090225563908</v>
      </c>
      <c r="F811" s="871">
        <f>'Peers Stock History'!G814/'Peers Stock History'!G$1833*100</f>
        <v>162.59732283524642</v>
      </c>
      <c r="G811" s="871">
        <f>'Peers Stock History'!H814/'Peers Stock History'!H$1833*100</f>
        <v>153.50745181804942</v>
      </c>
      <c r="H811" s="871">
        <f>'Peers Stock History'!I814/'Peers Stock History'!I$1833*100</f>
        <v>206.38575152041702</v>
      </c>
      <c r="I811" s="871">
        <f>'Peers Stock History'!J814/'Peers Stock History'!J$1833*100</f>
        <v>133.70139406193465</v>
      </c>
      <c r="J811" s="871">
        <f>'Peers Stock History'!K814/'Peers Stock History'!K$1833*100</f>
        <v>148.90558198039673</v>
      </c>
    </row>
    <row r="812" spans="2:10">
      <c r="B812" s="870">
        <v>43799</v>
      </c>
      <c r="C812" s="871">
        <f>'Peers Stock History'!D815/'Peers Stock History'!D$1833*100</f>
        <v>161.0263522884882</v>
      </c>
      <c r="D812" s="871">
        <f>'Peers Stock History'!E815/'Peers Stock History'!E$1833*100</f>
        <v>198.8440366972477</v>
      </c>
      <c r="E812" s="871">
        <f>'Peers Stock History'!F815/'Peers Stock History'!F$1833*100</f>
        <v>294.36090225563908</v>
      </c>
      <c r="F812" s="871">
        <f>'Peers Stock History'!G815/'Peers Stock History'!G$1833*100</f>
        <v>162.59732283524642</v>
      </c>
      <c r="G812" s="871">
        <f>'Peers Stock History'!H815/'Peers Stock History'!H$1833*100</f>
        <v>153.50745181804942</v>
      </c>
      <c r="H812" s="871">
        <f>'Peers Stock History'!I815/'Peers Stock History'!I$1833*100</f>
        <v>206.38575152041702</v>
      </c>
      <c r="I812" s="871">
        <f>'Peers Stock History'!J815/'Peers Stock History'!J$1833*100</f>
        <v>133.70139406193465</v>
      </c>
      <c r="J812" s="871">
        <f>'Peers Stock History'!K815/'Peers Stock History'!K$1833*100</f>
        <v>148.90558198039673</v>
      </c>
    </row>
    <row r="813" spans="2:10">
      <c r="B813" s="870">
        <v>43798</v>
      </c>
      <c r="C813" s="871">
        <f>'Peers Stock History'!D816/'Peers Stock History'!D$1833*100</f>
        <v>161.0263522884882</v>
      </c>
      <c r="D813" s="871">
        <f>'Peers Stock History'!E816/'Peers Stock History'!E$1833*100</f>
        <v>198.8440366972477</v>
      </c>
      <c r="E813" s="871">
        <f>'Peers Stock History'!F816/'Peers Stock History'!F$1833*100</f>
        <v>294.36090225563908</v>
      </c>
      <c r="F813" s="871">
        <f>'Peers Stock History'!G816/'Peers Stock History'!G$1833*100</f>
        <v>162.59732283524642</v>
      </c>
      <c r="G813" s="871">
        <f>'Peers Stock History'!H816/'Peers Stock History'!H$1833*100</f>
        <v>153.50745181804942</v>
      </c>
      <c r="H813" s="871">
        <f>'Peers Stock History'!I816/'Peers Stock History'!I$1833*100</f>
        <v>206.38575152041702</v>
      </c>
      <c r="I813" s="871">
        <f>'Peers Stock History'!J816/'Peers Stock History'!J$1833*100</f>
        <v>133.70139406193465</v>
      </c>
      <c r="J813" s="871">
        <f>'Peers Stock History'!K816/'Peers Stock History'!K$1833*100</f>
        <v>148.90558198039673</v>
      </c>
    </row>
    <row r="814" spans="2:10">
      <c r="B814" s="870">
        <v>43797</v>
      </c>
      <c r="C814" s="871">
        <f>'Peers Stock History'!D817/'Peers Stock History'!D$1833*100</f>
        <v>162.30235783633842</v>
      </c>
      <c r="D814" s="871">
        <f>'Peers Stock History'!E817/'Peers Stock History'!E$1833*100</f>
        <v>200.22018348623854</v>
      </c>
      <c r="E814" s="871">
        <f>'Peers Stock History'!F817/'Peers Stock History'!F$1833*100</f>
        <v>296.31578947368416</v>
      </c>
      <c r="F814" s="871">
        <f>'Peers Stock History'!G817/'Peers Stock History'!G$1833*100</f>
        <v>165.20745167997072</v>
      </c>
      <c r="G814" s="871">
        <f>'Peers Stock History'!H817/'Peers Stock History'!H$1833*100</f>
        <v>154.59002864216708</v>
      </c>
      <c r="H814" s="871">
        <f>'Peers Stock History'!I817/'Peers Stock History'!I$1833*100</f>
        <v>209.20938314509124</v>
      </c>
      <c r="I814" s="871">
        <f>'Peers Stock History'!J817/'Peers Stock History'!J$1833*100</f>
        <v>134.23986378631477</v>
      </c>
      <c r="J814" s="871">
        <f>'Peers Stock History'!K817/'Peers Stock History'!K$1833*100</f>
        <v>149.58784694059909</v>
      </c>
    </row>
    <row r="815" spans="2:10">
      <c r="B815" s="870">
        <v>43796</v>
      </c>
      <c r="C815" s="871">
        <f>'Peers Stock History'!D818/'Peers Stock History'!D$1833*100</f>
        <v>162.30235783633842</v>
      </c>
      <c r="D815" s="871">
        <f>'Peers Stock History'!E818/'Peers Stock History'!E$1833*100</f>
        <v>200.22018348623854</v>
      </c>
      <c r="E815" s="871">
        <f>'Peers Stock History'!F818/'Peers Stock History'!F$1833*100</f>
        <v>296.31578947368416</v>
      </c>
      <c r="F815" s="871">
        <f>'Peers Stock History'!G818/'Peers Stock History'!G$1833*100</f>
        <v>165.89925835703824</v>
      </c>
      <c r="G815" s="871">
        <f>'Peers Stock History'!H818/'Peers Stock History'!H$1833*100</f>
        <v>154.59002864216708</v>
      </c>
      <c r="H815" s="871">
        <f>'Peers Stock History'!I818/'Peers Stock History'!I$1833*100</f>
        <v>209.20938314509124</v>
      </c>
      <c r="I815" s="871">
        <f>'Peers Stock History'!J818/'Peers Stock History'!J$1833*100</f>
        <v>134.23986378631477</v>
      </c>
      <c r="J815" s="871">
        <f>'Peers Stock History'!K818/'Peers Stock History'!K$1833*100</f>
        <v>149.58784694059909</v>
      </c>
    </row>
    <row r="816" spans="2:10">
      <c r="B816" s="870">
        <v>43795</v>
      </c>
      <c r="C816" s="871">
        <f>'Peers Stock History'!D819/'Peers Stock History'!D$1833*100</f>
        <v>163.38418862690708</v>
      </c>
      <c r="D816" s="871">
        <f>'Peers Stock History'!E819/'Peers Stock History'!E$1833*100</f>
        <v>199.08256880733944</v>
      </c>
      <c r="E816" s="871">
        <f>'Peers Stock History'!F819/'Peers Stock History'!F$1833*100</f>
        <v>293.15789473684208</v>
      </c>
      <c r="F816" s="871">
        <f>'Peers Stock History'!G819/'Peers Stock History'!G$1833*100</f>
        <v>163.76550583797652</v>
      </c>
      <c r="G816" s="871">
        <f>'Peers Stock History'!H819/'Peers Stock History'!H$1833*100</f>
        <v>153.53657944560416</v>
      </c>
      <c r="H816" s="871">
        <f>'Peers Stock History'!I819/'Peers Stock History'!I$1833*100</f>
        <v>202.93223284100782</v>
      </c>
      <c r="I816" s="871">
        <f>'Peers Stock History'!J819/'Peers Stock History'!J$1833*100</f>
        <v>133.68181334468449</v>
      </c>
      <c r="J816" s="871">
        <f>'Peers Stock History'!K819/'Peers Stock History'!K$1833*100</f>
        <v>148.60422996027108</v>
      </c>
    </row>
    <row r="817" spans="2:10">
      <c r="B817" s="870">
        <v>43794</v>
      </c>
      <c r="C817" s="871">
        <f>'Peers Stock History'!D820/'Peers Stock History'!D$1833*100</f>
        <v>163.13453536754508</v>
      </c>
      <c r="D817" s="871">
        <f>'Peers Stock History'!E820/'Peers Stock History'!E$1833*100</f>
        <v>202.94495412844037</v>
      </c>
      <c r="E817" s="871">
        <f>'Peers Stock History'!F820/'Peers Stock History'!F$1833*100</f>
        <v>299.17293233082705</v>
      </c>
      <c r="F817" s="871">
        <f>'Peers Stock History'!G820/'Peers Stock History'!G$1833*100</f>
        <v>163.78161814669821</v>
      </c>
      <c r="G817" s="871">
        <f>'Peers Stock History'!H820/'Peers Stock History'!H$1833*100</f>
        <v>155.1628719840769</v>
      </c>
      <c r="H817" s="871">
        <f>'Peers Stock History'!I820/'Peers Stock History'!I$1833*100</f>
        <v>206.4291920069505</v>
      </c>
      <c r="I817" s="871">
        <f>'Peers Stock History'!J820/'Peers Stock History'!J$1833*100</f>
        <v>133.38895392146429</v>
      </c>
      <c r="J817" s="871">
        <f>'Peers Stock History'!K820/'Peers Stock History'!K$1833*100</f>
        <v>148.33882641628747</v>
      </c>
    </row>
    <row r="818" spans="2:10">
      <c r="B818" s="870">
        <v>43793</v>
      </c>
      <c r="C818" s="871">
        <f>'Peers Stock History'!D821/'Peers Stock History'!D$1833*100</f>
        <v>159.80582524271844</v>
      </c>
      <c r="D818" s="871">
        <f>'Peers Stock History'!E821/'Peers Stock History'!E$1833*100</f>
        <v>193.47706422018348</v>
      </c>
      <c r="E818" s="871">
        <f>'Peers Stock History'!F821/'Peers Stock History'!F$1833*100</f>
        <v>294.36090225563908</v>
      </c>
      <c r="F818" s="871">
        <f>'Peers Stock History'!G821/'Peers Stock History'!G$1833*100</f>
        <v>164.49255488132331</v>
      </c>
      <c r="G818" s="871">
        <f>'Peers Stock History'!H821/'Peers Stock History'!H$1833*100</f>
        <v>152.8812078256226</v>
      </c>
      <c r="H818" s="871">
        <f>'Peers Stock History'!I821/'Peers Stock History'!I$1833*100</f>
        <v>199.26151172893137</v>
      </c>
      <c r="I818" s="871">
        <f>'Peers Stock History'!J821/'Peers Stock History'!J$1833*100</f>
        <v>132.39501968713418</v>
      </c>
      <c r="J818" s="871">
        <f>'Peers Stock History'!K821/'Peers Stock History'!K$1833*100</f>
        <v>146.40386360199608</v>
      </c>
    </row>
    <row r="819" spans="2:10">
      <c r="B819" s="870">
        <v>43792</v>
      </c>
      <c r="C819" s="871">
        <f>'Peers Stock History'!D822/'Peers Stock History'!D$1833*100</f>
        <v>159.80582524271844</v>
      </c>
      <c r="D819" s="871">
        <f>'Peers Stock History'!E822/'Peers Stock History'!E$1833*100</f>
        <v>193.47706422018348</v>
      </c>
      <c r="E819" s="871">
        <f>'Peers Stock History'!F822/'Peers Stock History'!F$1833*100</f>
        <v>294.36090225563908</v>
      </c>
      <c r="F819" s="871">
        <f>'Peers Stock History'!G822/'Peers Stock History'!G$1833*100</f>
        <v>164.49255488132331</v>
      </c>
      <c r="G819" s="871">
        <f>'Peers Stock History'!H822/'Peers Stock History'!H$1833*100</f>
        <v>152.8812078256226</v>
      </c>
      <c r="H819" s="871">
        <f>'Peers Stock History'!I822/'Peers Stock History'!I$1833*100</f>
        <v>199.26151172893137</v>
      </c>
      <c r="I819" s="871">
        <f>'Peers Stock History'!J822/'Peers Stock History'!J$1833*100</f>
        <v>132.39501968713418</v>
      </c>
      <c r="J819" s="871">
        <f>'Peers Stock History'!K822/'Peers Stock History'!K$1833*100</f>
        <v>146.40386360199608</v>
      </c>
    </row>
    <row r="820" spans="2:10">
      <c r="B820" s="870">
        <v>43791</v>
      </c>
      <c r="C820" s="871">
        <f>'Peers Stock History'!D823/'Peers Stock History'!D$1833*100</f>
        <v>159.80582524271844</v>
      </c>
      <c r="D820" s="871">
        <f>'Peers Stock History'!E823/'Peers Stock History'!E$1833*100</f>
        <v>193.47706422018348</v>
      </c>
      <c r="E820" s="871">
        <f>'Peers Stock History'!F823/'Peers Stock History'!F$1833*100</f>
        <v>294.36090225563908</v>
      </c>
      <c r="F820" s="871">
        <f>'Peers Stock History'!G823/'Peers Stock History'!G$1833*100</f>
        <v>164.49255488132331</v>
      </c>
      <c r="G820" s="871">
        <f>'Peers Stock History'!H823/'Peers Stock History'!H$1833*100</f>
        <v>152.8812078256226</v>
      </c>
      <c r="H820" s="871">
        <f>'Peers Stock History'!I823/'Peers Stock History'!I$1833*100</f>
        <v>199.26151172893137</v>
      </c>
      <c r="I820" s="871">
        <f>'Peers Stock History'!J823/'Peers Stock History'!J$1833*100</f>
        <v>132.39501968713418</v>
      </c>
      <c r="J820" s="871">
        <f>'Peers Stock History'!K823/'Peers Stock History'!K$1833*100</f>
        <v>146.40386360199608</v>
      </c>
    </row>
    <row r="821" spans="2:10">
      <c r="B821" s="870">
        <v>43790</v>
      </c>
      <c r="C821" s="871">
        <f>'Peers Stock History'!D824/'Peers Stock History'!D$1833*100</f>
        <v>161.49791955617198</v>
      </c>
      <c r="D821" s="871">
        <f>'Peers Stock History'!E824/'Peers Stock History'!E$1833*100</f>
        <v>192.8256880733945</v>
      </c>
      <c r="E821" s="871">
        <f>'Peers Stock History'!F824/'Peers Stock History'!F$1833*100</f>
        <v>297.14285714285717</v>
      </c>
      <c r="F821" s="871">
        <f>'Peers Stock History'!G824/'Peers Stock History'!G$1833*100</f>
        <v>165.82313034179631</v>
      </c>
      <c r="G821" s="871">
        <f>'Peers Stock History'!H824/'Peers Stock History'!H$1833*100</f>
        <v>153.04140977717364</v>
      </c>
      <c r="H821" s="871">
        <f>'Peers Stock History'!I824/'Peers Stock History'!I$1833*100</f>
        <v>197.87141615986098</v>
      </c>
      <c r="I821" s="871">
        <f>'Peers Stock History'!J824/'Peers Stock History'!J$1833*100</f>
        <v>132.10769394487602</v>
      </c>
      <c r="J821" s="871">
        <f>'Peers Stock History'!K824/'Peers Stock History'!K$1833*100</f>
        <v>146.16889253948833</v>
      </c>
    </row>
    <row r="822" spans="2:10">
      <c r="B822" s="870">
        <v>43789</v>
      </c>
      <c r="C822" s="871">
        <f>'Peers Stock History'!D825/'Peers Stock History'!D$1833*100</f>
        <v>160.61026352288491</v>
      </c>
      <c r="D822" s="871">
        <f>'Peers Stock History'!E825/'Peers Stock History'!E$1833*100</f>
        <v>193.74311926605506</v>
      </c>
      <c r="E822" s="871">
        <f>'Peers Stock History'!F825/'Peers Stock History'!F$1833*100</f>
        <v>308.12030075187965</v>
      </c>
      <c r="F822" s="871">
        <f>'Peers Stock History'!G825/'Peers Stock History'!G$1833*100</f>
        <v>167.15611370467386</v>
      </c>
      <c r="G822" s="871">
        <f>'Peers Stock History'!H825/'Peers Stock History'!H$1833*100</f>
        <v>151.30346133307441</v>
      </c>
      <c r="H822" s="871">
        <f>'Peers Stock History'!I825/'Peers Stock History'!I$1833*100</f>
        <v>197.9582971329279</v>
      </c>
      <c r="I822" s="871">
        <f>'Peers Stock History'!J825/'Peers Stock History'!J$1833*100</f>
        <v>132.31712248589974</v>
      </c>
      <c r="J822" s="871">
        <f>'Peers Stock History'!K825/'Peers Stock History'!K$1833*100</f>
        <v>146.52152097109001</v>
      </c>
    </row>
    <row r="823" spans="2:10">
      <c r="B823" s="870">
        <v>43788</v>
      </c>
      <c r="C823" s="871">
        <f>'Peers Stock History'!D826/'Peers Stock History'!D$1833*100</f>
        <v>161.85852981969489</v>
      </c>
      <c r="D823" s="871">
        <f>'Peers Stock History'!E826/'Peers Stock History'!E$1833*100</f>
        <v>190.81651376146789</v>
      </c>
      <c r="E823" s="871">
        <f>'Peers Stock History'!F826/'Peers Stock History'!F$1833*100</f>
        <v>310.45112781954884</v>
      </c>
      <c r="F823" s="871">
        <f>'Peers Stock History'!G826/'Peers Stock History'!G$1833*100</f>
        <v>167.89536915683721</v>
      </c>
      <c r="G823" s="871">
        <f>'Peers Stock History'!H826/'Peers Stock History'!H$1833*100</f>
        <v>154.23078790232535</v>
      </c>
      <c r="H823" s="871">
        <f>'Peers Stock History'!I826/'Peers Stock History'!I$1833*100</f>
        <v>202.34578627280624</v>
      </c>
      <c r="I823" s="871">
        <f>'Peers Stock History'!J826/'Peers Stock History'!J$1833*100</f>
        <v>132.8160051080132</v>
      </c>
      <c r="J823" s="871">
        <f>'Peers Stock History'!K826/'Peers Stock History'!K$1833*100</f>
        <v>147.27633586736869</v>
      </c>
    </row>
    <row r="824" spans="2:10">
      <c r="B824" s="870">
        <v>43787</v>
      </c>
      <c r="C824" s="871">
        <f>'Peers Stock History'!D827/'Peers Stock History'!D$1833*100</f>
        <v>161.58113730929267</v>
      </c>
      <c r="D824" s="871">
        <f>'Peers Stock History'!E827/'Peers Stock History'!E$1833*100</f>
        <v>194.75229357798165</v>
      </c>
      <c r="E824" s="871">
        <f>'Peers Stock History'!F827/'Peers Stock History'!F$1833*100</f>
        <v>299.8496240601504</v>
      </c>
      <c r="F824" s="871">
        <f>'Peers Stock History'!G827/'Peers Stock History'!G$1833*100</f>
        <v>165.8775003638776</v>
      </c>
      <c r="G824" s="871">
        <f>'Peers Stock History'!H827/'Peers Stock History'!H$1833*100</f>
        <v>151.01218505752706</v>
      </c>
      <c r="H824" s="871">
        <f>'Peers Stock History'!I827/'Peers Stock History'!I$1833*100</f>
        <v>207.73240660295394</v>
      </c>
      <c r="I824" s="871">
        <f>'Peers Stock History'!J827/'Peers Stock History'!J$1833*100</f>
        <v>132.89475364478025</v>
      </c>
      <c r="J824" s="871">
        <f>'Peers Stock History'!K827/'Peers Stock History'!K$1833*100</f>
        <v>146.92028786274969</v>
      </c>
    </row>
    <row r="825" spans="2:10">
      <c r="B825" s="870">
        <v>43786</v>
      </c>
      <c r="C825" s="871">
        <f>'Peers Stock History'!D828/'Peers Stock History'!D$1833*100</f>
        <v>160.77669902912623</v>
      </c>
      <c r="D825" s="871">
        <f>'Peers Stock History'!E828/'Peers Stock History'!E$1833*100</f>
        <v>187.3302752293578</v>
      </c>
      <c r="E825" s="871">
        <f>'Peers Stock History'!F828/'Peers Stock History'!F$1833*100</f>
        <v>289.9248120300752</v>
      </c>
      <c r="F825" s="871">
        <f>'Peers Stock History'!G828/'Peers Stock History'!G$1833*100</f>
        <v>163.78161814669821</v>
      </c>
      <c r="G825" s="871">
        <f>'Peers Stock History'!H828/'Peers Stock History'!H$1833*100</f>
        <v>151.90543230253897</v>
      </c>
      <c r="H825" s="871">
        <f>'Peers Stock History'!I828/'Peers Stock History'!I$1833*100</f>
        <v>207.25456125108602</v>
      </c>
      <c r="I825" s="871">
        <f>'Peers Stock History'!J828/'Peers Stock History'!J$1833*100</f>
        <v>132.82792380546985</v>
      </c>
      <c r="J825" s="871">
        <f>'Peers Stock History'!K828/'Peers Stock History'!K$1833*100</f>
        <v>146.76376077423259</v>
      </c>
    </row>
    <row r="826" spans="2:10">
      <c r="B826" s="870">
        <v>43785</v>
      </c>
      <c r="C826" s="871">
        <f>'Peers Stock History'!D829/'Peers Stock History'!D$1833*100</f>
        <v>160.77669902912623</v>
      </c>
      <c r="D826" s="871">
        <f>'Peers Stock History'!E829/'Peers Stock History'!E$1833*100</f>
        <v>187.3302752293578</v>
      </c>
      <c r="E826" s="871">
        <f>'Peers Stock History'!F829/'Peers Stock History'!F$1833*100</f>
        <v>289.9248120300752</v>
      </c>
      <c r="F826" s="871">
        <f>'Peers Stock History'!G829/'Peers Stock History'!G$1833*100</f>
        <v>163.78161814669821</v>
      </c>
      <c r="G826" s="871">
        <f>'Peers Stock History'!H829/'Peers Stock History'!H$1833*100</f>
        <v>151.90543230253897</v>
      </c>
      <c r="H826" s="871">
        <f>'Peers Stock History'!I829/'Peers Stock History'!I$1833*100</f>
        <v>207.25456125108602</v>
      </c>
      <c r="I826" s="871">
        <f>'Peers Stock History'!J829/'Peers Stock History'!J$1833*100</f>
        <v>132.82792380546985</v>
      </c>
      <c r="J826" s="871">
        <f>'Peers Stock History'!K829/'Peers Stock History'!K$1833*100</f>
        <v>146.76376077423259</v>
      </c>
    </row>
    <row r="827" spans="2:10">
      <c r="B827" s="870">
        <v>43784</v>
      </c>
      <c r="C827" s="871">
        <f>'Peers Stock History'!D830/'Peers Stock History'!D$1833*100</f>
        <v>160.77669902912623</v>
      </c>
      <c r="D827" s="871">
        <f>'Peers Stock History'!E830/'Peers Stock History'!E$1833*100</f>
        <v>187.3302752293578</v>
      </c>
      <c r="E827" s="871">
        <f>'Peers Stock History'!F830/'Peers Stock History'!F$1833*100</f>
        <v>289.9248120300752</v>
      </c>
      <c r="F827" s="871">
        <f>'Peers Stock History'!G830/'Peers Stock History'!G$1833*100</f>
        <v>163.78161814669821</v>
      </c>
      <c r="G827" s="871">
        <f>'Peers Stock History'!H830/'Peers Stock History'!H$1833*100</f>
        <v>151.90543230253897</v>
      </c>
      <c r="H827" s="871">
        <f>'Peers Stock History'!I830/'Peers Stock History'!I$1833*100</f>
        <v>207.25456125108602</v>
      </c>
      <c r="I827" s="871">
        <f>'Peers Stock History'!J830/'Peers Stock History'!J$1833*100</f>
        <v>132.82792380546985</v>
      </c>
      <c r="J827" s="871">
        <f>'Peers Stock History'!K830/'Peers Stock History'!K$1833*100</f>
        <v>146.76376077423259</v>
      </c>
    </row>
    <row r="828" spans="2:10">
      <c r="B828" s="870">
        <v>43783</v>
      </c>
      <c r="C828" s="871">
        <f>'Peers Stock History'!D831/'Peers Stock History'!D$1833*100</f>
        <v>160.36061026352291</v>
      </c>
      <c r="D828" s="871">
        <f>'Peers Stock History'!E831/'Peers Stock History'!E$1833*100</f>
        <v>192.46788990825686</v>
      </c>
      <c r="E828" s="871">
        <f>'Peers Stock History'!F831/'Peers Stock History'!F$1833*100</f>
        <v>288.3458646616541</v>
      </c>
      <c r="F828" s="871">
        <f>'Peers Stock History'!G831/'Peers Stock History'!G$1833*100</f>
        <v>161.87723910108252</v>
      </c>
      <c r="G828" s="871">
        <f>'Peers Stock History'!H831/'Peers Stock History'!H$1833*100</f>
        <v>149.99271809311131</v>
      </c>
      <c r="H828" s="871">
        <f>'Peers Stock History'!I831/'Peers Stock History'!I$1833*100</f>
        <v>203.30147697654212</v>
      </c>
      <c r="I828" s="871">
        <f>'Peers Stock History'!J831/'Peers Stock History'!J$1833*100</f>
        <v>131.81355751835693</v>
      </c>
      <c r="J828" s="871">
        <f>'Peers Stock History'!K831/'Peers Stock History'!K$1833*100</f>
        <v>145.7015967172099</v>
      </c>
    </row>
    <row r="829" spans="2:10">
      <c r="B829" s="870">
        <v>43782</v>
      </c>
      <c r="C829" s="871">
        <f>'Peers Stock History'!D832/'Peers Stock History'!D$1833*100</f>
        <v>160.58252427184468</v>
      </c>
      <c r="D829" s="871">
        <f>'Peers Stock History'!E832/'Peers Stock History'!E$1833*100</f>
        <v>191.348623853211</v>
      </c>
      <c r="E829" s="871">
        <f>'Peers Stock History'!F832/'Peers Stock History'!F$1833*100</f>
        <v>282.10526315789474</v>
      </c>
      <c r="F829" s="871">
        <f>'Peers Stock History'!G832/'Peers Stock History'!G$1833*100</f>
        <v>162.11734569982673</v>
      </c>
      <c r="G829" s="871">
        <f>'Peers Stock History'!H832/'Peers Stock History'!H$1833*100</f>
        <v>152.27438225156561</v>
      </c>
      <c r="H829" s="871">
        <f>'Peers Stock History'!I832/'Peers Stock History'!I$1833*100</f>
        <v>201.12945264986965</v>
      </c>
      <c r="I829" s="871">
        <f>'Peers Stock History'!J832/'Peers Stock History'!J$1833*100</f>
        <v>131.70330956688306</v>
      </c>
      <c r="J829" s="871">
        <f>'Peers Stock History'!K832/'Peers Stock History'!K$1833*100</f>
        <v>145.75459150708662</v>
      </c>
    </row>
    <row r="830" spans="2:10">
      <c r="B830" s="870">
        <v>43781</v>
      </c>
      <c r="C830" s="871">
        <f>'Peers Stock History'!D833/'Peers Stock History'!D$1833*100</f>
        <v>161.44244105409155</v>
      </c>
      <c r="D830" s="871">
        <f>'Peers Stock History'!E833/'Peers Stock History'!E$1833*100</f>
        <v>192.30275229357798</v>
      </c>
      <c r="E830" s="871">
        <f>'Peers Stock History'!F833/'Peers Stock History'!F$1833*100</f>
        <v>276.01503759398491</v>
      </c>
      <c r="F830" s="871">
        <f>'Peers Stock History'!G833/'Peers Stock History'!G$1833*100</f>
        <v>162.86419081521572</v>
      </c>
      <c r="G830" s="871">
        <f>'Peers Stock History'!H833/'Peers Stock History'!H$1833*100</f>
        <v>153.17733870576239</v>
      </c>
      <c r="H830" s="871">
        <f>'Peers Stock History'!I833/'Peers Stock History'!I$1833*100</f>
        <v>203.73588184187662</v>
      </c>
      <c r="I830" s="871">
        <f>'Peers Stock History'!J833/'Peers Stock History'!J$1833*100</f>
        <v>131.60966265829521</v>
      </c>
      <c r="J830" s="871">
        <f>'Peers Stock History'!K833/'Peers Stock History'!K$1833*100</f>
        <v>145.82315480527336</v>
      </c>
    </row>
    <row r="831" spans="2:10">
      <c r="B831" s="870">
        <v>43780</v>
      </c>
      <c r="C831" s="871">
        <f>'Peers Stock History'!D834/'Peers Stock History'!D$1833*100</f>
        <v>161.85852981969489</v>
      </c>
      <c r="D831" s="871">
        <f>'Peers Stock History'!E834/'Peers Stock History'!E$1833*100</f>
        <v>190.99082568807339</v>
      </c>
      <c r="E831" s="871">
        <f>'Peers Stock History'!F834/'Peers Stock History'!F$1833*100</f>
        <v>273.00751879699249</v>
      </c>
      <c r="F831" s="871">
        <f>'Peers Stock History'!G834/'Peers Stock History'!G$1833*100</f>
        <v>161.05074913416192</v>
      </c>
      <c r="G831" s="871">
        <f>'Peers Stock History'!H834/'Peers Stock History'!H$1833*100</f>
        <v>151.82775862905967</v>
      </c>
      <c r="H831" s="871">
        <f>'Peers Stock History'!I834/'Peers Stock History'!I$1833*100</f>
        <v>200.95569070373588</v>
      </c>
      <c r="I831" s="871">
        <f>'Peers Stock History'!J834/'Peers Stock History'!J$1833*100</f>
        <v>131.40406512716825</v>
      </c>
      <c r="J831" s="871">
        <f>'Peers Stock History'!K834/'Peers Stock History'!K$1833*100</f>
        <v>145.44830774095104</v>
      </c>
    </row>
    <row r="832" spans="2:10">
      <c r="B832" s="870">
        <v>43779</v>
      </c>
      <c r="C832" s="871">
        <f>'Peers Stock History'!D835/'Peers Stock History'!D$1833*100</f>
        <v>161.63661581137313</v>
      </c>
      <c r="D832" s="871">
        <f>'Peers Stock History'!E835/'Peers Stock History'!E$1833*100</f>
        <v>190.62385321100916</v>
      </c>
      <c r="E832" s="871">
        <f>'Peers Stock History'!F835/'Peers Stock History'!F$1833*100</f>
        <v>272.85714285714283</v>
      </c>
      <c r="F832" s="871">
        <f>'Peers Stock History'!G835/'Peers Stock History'!G$1833*100</f>
        <v>163.57685088964519</v>
      </c>
      <c r="G832" s="871">
        <f>'Peers Stock History'!H835/'Peers Stock History'!H$1833*100</f>
        <v>152.14816253216176</v>
      </c>
      <c r="H832" s="871">
        <f>'Peers Stock History'!I835/'Peers Stock History'!I$1833*100</f>
        <v>204.99565595134666</v>
      </c>
      <c r="I832" s="871">
        <f>'Peers Stock History'!J835/'Peers Stock History'!J$1833*100</f>
        <v>131.66244546131745</v>
      </c>
      <c r="J832" s="871">
        <f>'Peers Stock History'!K835/'Peers Stock History'!K$1833*100</f>
        <v>145.63793079746506</v>
      </c>
    </row>
    <row r="833" spans="2:10">
      <c r="B833" s="870">
        <v>43778</v>
      </c>
      <c r="C833" s="871">
        <f>'Peers Stock History'!D836/'Peers Stock History'!D$1833*100</f>
        <v>161.63661581137313</v>
      </c>
      <c r="D833" s="871">
        <f>'Peers Stock History'!E836/'Peers Stock History'!E$1833*100</f>
        <v>190.62385321100916</v>
      </c>
      <c r="E833" s="871">
        <f>'Peers Stock History'!F836/'Peers Stock History'!F$1833*100</f>
        <v>272.85714285714283</v>
      </c>
      <c r="F833" s="871">
        <f>'Peers Stock History'!G836/'Peers Stock History'!G$1833*100</f>
        <v>163.57685088964519</v>
      </c>
      <c r="G833" s="871">
        <f>'Peers Stock History'!H836/'Peers Stock History'!H$1833*100</f>
        <v>152.14816253216176</v>
      </c>
      <c r="H833" s="871">
        <f>'Peers Stock History'!I836/'Peers Stock History'!I$1833*100</f>
        <v>204.99565595134666</v>
      </c>
      <c r="I833" s="871">
        <f>'Peers Stock History'!J836/'Peers Stock History'!J$1833*100</f>
        <v>131.66244546131745</v>
      </c>
      <c r="J833" s="871">
        <f>'Peers Stock History'!K836/'Peers Stock History'!K$1833*100</f>
        <v>145.63793079746506</v>
      </c>
    </row>
    <row r="834" spans="2:10">
      <c r="B834" s="870">
        <v>43777</v>
      </c>
      <c r="C834" s="871">
        <f>'Peers Stock History'!D837/'Peers Stock History'!D$1833*100</f>
        <v>161.63661581137313</v>
      </c>
      <c r="D834" s="871">
        <f>'Peers Stock History'!E837/'Peers Stock History'!E$1833*100</f>
        <v>190.62385321100916</v>
      </c>
      <c r="E834" s="871">
        <f>'Peers Stock History'!F837/'Peers Stock History'!F$1833*100</f>
        <v>272.85714285714283</v>
      </c>
      <c r="F834" s="871">
        <f>'Peers Stock History'!G837/'Peers Stock History'!G$1833*100</f>
        <v>163.57685088964519</v>
      </c>
      <c r="G834" s="871">
        <f>'Peers Stock History'!H837/'Peers Stock History'!H$1833*100</f>
        <v>152.14816253216176</v>
      </c>
      <c r="H834" s="871">
        <f>'Peers Stock History'!I837/'Peers Stock History'!I$1833*100</f>
        <v>204.99565595134666</v>
      </c>
      <c r="I834" s="871">
        <f>'Peers Stock History'!J837/'Peers Stock History'!J$1833*100</f>
        <v>131.66244546131745</v>
      </c>
      <c r="J834" s="871">
        <f>'Peers Stock History'!K837/'Peers Stock History'!K$1833*100</f>
        <v>145.63793079746506</v>
      </c>
    </row>
    <row r="835" spans="2:10">
      <c r="B835" s="870">
        <v>43776</v>
      </c>
      <c r="C835" s="871">
        <f>'Peers Stock History'!D838/'Peers Stock History'!D$1833*100</f>
        <v>161.0263522884882</v>
      </c>
      <c r="D835" s="871">
        <f>'Peers Stock History'!E838/'Peers Stock History'!E$1833*100</f>
        <v>191.1376146788991</v>
      </c>
      <c r="E835" s="871">
        <f>'Peers Stock History'!F838/'Peers Stock History'!F$1833*100</f>
        <v>272.78195488721803</v>
      </c>
      <c r="F835" s="871">
        <f>'Peers Stock History'!G838/'Peers Stock History'!G$1833*100</f>
        <v>165.7290963423502</v>
      </c>
      <c r="G835" s="871">
        <f>'Peers Stock History'!H838/'Peers Stock History'!H$1833*100</f>
        <v>151.33744356522161</v>
      </c>
      <c r="H835" s="871">
        <f>'Peers Stock History'!I838/'Peers Stock History'!I$1833*100</f>
        <v>210.251954821894</v>
      </c>
      <c r="I835" s="871">
        <f>'Peers Stock History'!J838/'Peers Stock History'!J$1833*100</f>
        <v>131.32616792593382</v>
      </c>
      <c r="J835" s="871">
        <f>'Peers Stock History'!K838/'Peers Stock History'!K$1833*100</f>
        <v>144.93690114512736</v>
      </c>
    </row>
    <row r="836" spans="2:10">
      <c r="B836" s="870">
        <v>43775</v>
      </c>
      <c r="C836" s="871">
        <f>'Peers Stock History'!D839/'Peers Stock History'!D$1833*100</f>
        <v>159.77808599167824</v>
      </c>
      <c r="D836" s="871">
        <f>'Peers Stock History'!E839/'Peers Stock History'!E$1833*100</f>
        <v>190.48623853211009</v>
      </c>
      <c r="E836" s="871">
        <f>'Peers Stock History'!F839/'Peers Stock History'!F$1833*100</f>
        <v>270.15037593984965</v>
      </c>
      <c r="F836" s="871">
        <f>'Peers Stock History'!G839/'Peers Stock History'!G$1833*100</f>
        <v>166.4450693731826</v>
      </c>
      <c r="G836" s="871">
        <f>'Peers Stock History'!H839/'Peers Stock History'!H$1833*100</f>
        <v>152.02679741735037</v>
      </c>
      <c r="H836" s="871">
        <f>'Peers Stock History'!I839/'Peers Stock History'!I$1833*100</f>
        <v>207.12423979148568</v>
      </c>
      <c r="I836" s="871">
        <f>'Peers Stock History'!J839/'Peers Stock History'!J$1833*100</f>
        <v>130.96860700223476</v>
      </c>
      <c r="J836" s="871">
        <f>'Peers Stock History'!K839/'Peers Stock History'!K$1833*100</f>
        <v>144.52641491277512</v>
      </c>
    </row>
    <row r="837" spans="2:10">
      <c r="B837" s="870">
        <v>43774</v>
      </c>
      <c r="C837" s="871">
        <f>'Peers Stock History'!D840/'Peers Stock History'!D$1833*100</f>
        <v>159.63938973647711</v>
      </c>
      <c r="D837" s="871">
        <f>'Peers Stock History'!E840/'Peers Stock History'!E$1833*100</f>
        <v>192.30275229357798</v>
      </c>
      <c r="E837" s="871">
        <f>'Peers Stock History'!F840/'Peers Stock History'!F$1833*100</f>
        <v>271.80451127819543</v>
      </c>
      <c r="F837" s="871">
        <f>'Peers Stock History'!G840/'Peers Stock History'!G$1833*100</f>
        <v>166.17747279862823</v>
      </c>
      <c r="G837" s="871">
        <f>'Peers Stock History'!H840/'Peers Stock History'!H$1833*100</f>
        <v>152.45400262148647</v>
      </c>
      <c r="H837" s="871">
        <f>'Peers Stock History'!I840/'Peers Stock History'!I$1833*100</f>
        <v>211.46828844483059</v>
      </c>
      <c r="I837" s="871">
        <f>'Peers Stock History'!J840/'Peers Stock History'!J$1833*100</f>
        <v>130.87666276471214</v>
      </c>
      <c r="J837" s="871">
        <f>'Peers Stock History'!K840/'Peers Stock History'!K$1833*100</f>
        <v>144.93971928570448</v>
      </c>
    </row>
    <row r="838" spans="2:10">
      <c r="B838" s="870">
        <v>43773</v>
      </c>
      <c r="C838" s="871">
        <f>'Peers Stock History'!D841/'Peers Stock History'!D$1833*100</f>
        <v>159.80582524271844</v>
      </c>
      <c r="D838" s="871">
        <f>'Peers Stock History'!E841/'Peers Stock History'!E$1833*100</f>
        <v>193.11926605504587</v>
      </c>
      <c r="E838" s="871">
        <f>'Peers Stock History'!F841/'Peers Stock History'!F$1833*100</f>
        <v>272.85714285714283</v>
      </c>
      <c r="F838" s="871">
        <f>'Peers Stock History'!G841/'Peers Stock History'!G$1833*100</f>
        <v>164.35837092411123</v>
      </c>
      <c r="G838" s="871">
        <f>'Peers Stock History'!H841/'Peers Stock History'!H$1833*100</f>
        <v>148.06544006990629</v>
      </c>
      <c r="H838" s="871">
        <f>'Peers Stock History'!I841/'Peers Stock History'!I$1833*100</f>
        <v>215.42137271937446</v>
      </c>
      <c r="I838" s="871">
        <f>'Peers Stock History'!J841/'Peers Stock History'!J$1833*100</f>
        <v>131.0320314994147</v>
      </c>
      <c r="J838" s="871">
        <f>'Peers Stock History'!K841/'Peers Stock History'!K$1833*100</f>
        <v>144.91428728537457</v>
      </c>
    </row>
    <row r="839" spans="2:10">
      <c r="B839" s="870">
        <v>43772</v>
      </c>
      <c r="C839" s="871">
        <f>'Peers Stock History'!D842/'Peers Stock History'!D$1833*100</f>
        <v>156.75450762829405</v>
      </c>
      <c r="D839" s="871">
        <f>'Peers Stock History'!E842/'Peers Stock History'!E$1833*100</f>
        <v>185.86238532110093</v>
      </c>
      <c r="E839" s="871">
        <f>'Peers Stock History'!F842/'Peers Stock History'!F$1833*100</f>
        <v>262.33082706766913</v>
      </c>
      <c r="F839" s="871">
        <f>'Peers Stock History'!G842/'Peers Stock History'!G$1833*100</f>
        <v>159.80718669968243</v>
      </c>
      <c r="G839" s="871">
        <f>'Peers Stock History'!H842/'Peers Stock History'!H$1833*100</f>
        <v>143.98271760765084</v>
      </c>
      <c r="H839" s="871">
        <f>'Peers Stock History'!I842/'Peers Stock History'!I$1833*100</f>
        <v>210.16507384882712</v>
      </c>
      <c r="I839" s="871">
        <f>'Peers Stock History'!J842/'Peers Stock History'!J$1833*100</f>
        <v>130.54847291688836</v>
      </c>
      <c r="J839" s="871">
        <f>'Peers Stock History'!K842/'Peers Stock History'!K$1833*100</f>
        <v>144.11005182629256</v>
      </c>
    </row>
    <row r="840" spans="2:10">
      <c r="B840" s="870">
        <v>43771</v>
      </c>
      <c r="C840" s="871">
        <f>'Peers Stock History'!D843/'Peers Stock History'!D$1833*100</f>
        <v>156.75450762829405</v>
      </c>
      <c r="D840" s="871">
        <f>'Peers Stock History'!E843/'Peers Stock History'!E$1833*100</f>
        <v>185.86238532110093</v>
      </c>
      <c r="E840" s="871">
        <f>'Peers Stock History'!F843/'Peers Stock History'!F$1833*100</f>
        <v>262.33082706766913</v>
      </c>
      <c r="F840" s="871">
        <f>'Peers Stock History'!G843/'Peers Stock History'!G$1833*100</f>
        <v>159.80718669968243</v>
      </c>
      <c r="G840" s="871">
        <f>'Peers Stock History'!H843/'Peers Stock History'!H$1833*100</f>
        <v>143.98271760765084</v>
      </c>
      <c r="H840" s="871">
        <f>'Peers Stock History'!I843/'Peers Stock History'!I$1833*100</f>
        <v>210.16507384882712</v>
      </c>
      <c r="I840" s="871">
        <f>'Peers Stock History'!J843/'Peers Stock History'!J$1833*100</f>
        <v>130.54847291688836</v>
      </c>
      <c r="J840" s="871">
        <f>'Peers Stock History'!K843/'Peers Stock History'!K$1833*100</f>
        <v>144.11005182629256</v>
      </c>
    </row>
    <row r="841" spans="2:10">
      <c r="B841" s="870">
        <v>43770</v>
      </c>
      <c r="C841" s="871">
        <f>'Peers Stock History'!D844/'Peers Stock History'!D$1833*100</f>
        <v>156.75450762829405</v>
      </c>
      <c r="D841" s="871">
        <f>'Peers Stock History'!E844/'Peers Stock History'!E$1833*100</f>
        <v>185.86238532110093</v>
      </c>
      <c r="E841" s="871">
        <f>'Peers Stock History'!F844/'Peers Stock History'!F$1833*100</f>
        <v>262.33082706766913</v>
      </c>
      <c r="F841" s="871">
        <f>'Peers Stock History'!G844/'Peers Stock History'!G$1833*100</f>
        <v>159.80718669968243</v>
      </c>
      <c r="G841" s="871">
        <f>'Peers Stock History'!H844/'Peers Stock History'!H$1833*100</f>
        <v>143.98271760765084</v>
      </c>
      <c r="H841" s="871">
        <f>'Peers Stock History'!I844/'Peers Stock History'!I$1833*100</f>
        <v>210.16507384882712</v>
      </c>
      <c r="I841" s="871">
        <f>'Peers Stock History'!J844/'Peers Stock History'!J$1833*100</f>
        <v>130.54847291688836</v>
      </c>
      <c r="J841" s="871">
        <f>'Peers Stock History'!K844/'Peers Stock History'!K$1833*100</f>
        <v>144.11005182629256</v>
      </c>
    </row>
    <row r="842" spans="2:10">
      <c r="B842" s="870">
        <v>43769</v>
      </c>
      <c r="C842" s="871">
        <f>'Peers Stock History'!D845/'Peers Stock History'!D$1833*100</f>
        <v>156.80998613037448</v>
      </c>
      <c r="D842" s="871">
        <f>'Peers Stock History'!E845/'Peers Stock History'!E$1833*100</f>
        <v>184.42201834862385</v>
      </c>
      <c r="E842" s="871">
        <f>'Peers Stock History'!F845/'Peers Stock History'!F$1833*100</f>
        <v>255.1127819548872</v>
      </c>
      <c r="F842" s="871">
        <f>'Peers Stock History'!G845/'Peers Stock History'!G$1833*100</f>
        <v>159.3200976608681</v>
      </c>
      <c r="G842" s="871">
        <f>'Peers Stock History'!H845/'Peers Stock History'!H$1833*100</f>
        <v>142.16709549007234</v>
      </c>
      <c r="H842" s="871">
        <f>'Peers Stock History'!I845/'Peers Stock History'!I$1833*100</f>
        <v>206.55951346655081</v>
      </c>
      <c r="I842" s="871">
        <f>'Peers Stock History'!J845/'Peers Stock History'!J$1833*100</f>
        <v>129.29913802277321</v>
      </c>
      <c r="J842" s="871">
        <f>'Peers Stock History'!K845/'Peers Stock History'!K$1833*100</f>
        <v>142.49412314586974</v>
      </c>
    </row>
    <row r="843" spans="2:10">
      <c r="B843" s="870">
        <v>43768</v>
      </c>
      <c r="C843" s="871">
        <f>'Peers Stock History'!D846/'Peers Stock History'!D$1833*100</f>
        <v>157.00416088765604</v>
      </c>
      <c r="D843" s="871">
        <f>'Peers Stock History'!E846/'Peers Stock History'!E$1833*100</f>
        <v>186.23853211009174</v>
      </c>
      <c r="E843" s="871">
        <f>'Peers Stock History'!F846/'Peers Stock History'!F$1833*100</f>
        <v>249.09774436090225</v>
      </c>
      <c r="F843" s="871">
        <f>'Peers Stock History'!G846/'Peers Stock History'!G$1833*100</f>
        <v>160.39060877913917</v>
      </c>
      <c r="G843" s="871">
        <f>'Peers Stock History'!H846/'Peers Stock History'!H$1833*100</f>
        <v>140.90004369144134</v>
      </c>
      <c r="H843" s="871">
        <f>'Peers Stock History'!I846/'Peers Stock History'!I$1833*100</f>
        <v>207.99304952215465</v>
      </c>
      <c r="I843" s="871">
        <f>'Peers Stock History'!J846/'Peers Stock History'!J$1833*100</f>
        <v>129.69117803554326</v>
      </c>
      <c r="J843" s="871">
        <f>'Peers Stock History'!K846/'Peers Stock History'!K$1833*100</f>
        <v>142.69371279710765</v>
      </c>
    </row>
    <row r="844" spans="2:10">
      <c r="B844" s="870">
        <v>43767</v>
      </c>
      <c r="C844" s="871">
        <f>'Peers Stock History'!D847/'Peers Stock History'!D$1833*100</f>
        <v>156.28294036061027</v>
      </c>
      <c r="D844" s="871">
        <f>'Peers Stock History'!E847/'Peers Stock History'!E$1833*100</f>
        <v>186.16513761467888</v>
      </c>
      <c r="E844" s="871">
        <f>'Peers Stock History'!F847/'Peers Stock History'!F$1833*100</f>
        <v>248.34586466165413</v>
      </c>
      <c r="F844" s="871">
        <f>'Peers Stock History'!G847/'Peers Stock History'!G$1833*100</f>
        <v>159.24694793742412</v>
      </c>
      <c r="G844" s="871">
        <f>'Peers Stock History'!H847/'Peers Stock History'!H$1833*100</f>
        <v>139.89028593621052</v>
      </c>
      <c r="H844" s="871">
        <f>'Peers Stock History'!I847/'Peers Stock History'!I$1833*100</f>
        <v>208.99218071242399</v>
      </c>
      <c r="I844" s="871">
        <f>'Peers Stock History'!J847/'Peers Stock History'!J$1833*100</f>
        <v>129.27061828243055</v>
      </c>
      <c r="J844" s="871">
        <f>'Peers Stock History'!K847/'Peers Stock History'!K$1833*100</f>
        <v>142.22761983970969</v>
      </c>
    </row>
    <row r="845" spans="2:10">
      <c r="B845" s="870">
        <v>43766</v>
      </c>
      <c r="C845" s="871">
        <f>'Peers Stock History'!D848/'Peers Stock History'!D$1833*100</f>
        <v>157.44798890429959</v>
      </c>
      <c r="D845" s="871">
        <f>'Peers Stock History'!E848/'Peers Stock History'!E$1833*100</f>
        <v>189.71559633027522</v>
      </c>
      <c r="E845" s="871">
        <f>'Peers Stock History'!F848/'Peers Stock History'!F$1833*100</f>
        <v>253.30827067669168</v>
      </c>
      <c r="F845" s="871">
        <f>'Peers Stock History'!G848/'Peers Stock History'!G$1833*100</f>
        <v>156.81470224023428</v>
      </c>
      <c r="G845" s="871">
        <f>'Peers Stock History'!H848/'Peers Stock History'!H$1833*100</f>
        <v>141.53599689305304</v>
      </c>
      <c r="H845" s="871">
        <f>'Peers Stock History'!I848/'Peers Stock History'!I$1833*100</f>
        <v>211.51172893136402</v>
      </c>
      <c r="I845" s="871">
        <f>'Peers Stock History'!J848/'Peers Stock History'!J$1833*100</f>
        <v>129.37831222730659</v>
      </c>
      <c r="J845" s="871">
        <f>'Peers Stock History'!K848/'Peers Stock History'!K$1833*100</f>
        <v>143.07194506687929</v>
      </c>
    </row>
    <row r="846" spans="2:10">
      <c r="B846" s="870">
        <v>43765</v>
      </c>
      <c r="C846" s="871">
        <f>'Peers Stock History'!D849/'Peers Stock History'!D$1833*100</f>
        <v>156.61581137309295</v>
      </c>
      <c r="D846" s="871">
        <f>'Peers Stock History'!E849/'Peers Stock History'!E$1833*100</f>
        <v>187.65137614678898</v>
      </c>
      <c r="E846" s="871">
        <f>'Peers Stock History'!F849/'Peers Stock History'!F$1833*100</f>
        <v>245.93984962406012</v>
      </c>
      <c r="F846" s="871">
        <f>'Peers Stock History'!G849/'Peers Stock History'!G$1833*100</f>
        <v>156.21574968661324</v>
      </c>
      <c r="G846" s="871">
        <f>'Peers Stock History'!H849/'Peers Stock History'!H$1833*100</f>
        <v>140.69615029855817</v>
      </c>
      <c r="H846" s="871">
        <f>'Peers Stock History'!I849/'Peers Stock History'!I$1833*100</f>
        <v>208.6446568201564</v>
      </c>
      <c r="I846" s="871">
        <f>'Peers Stock History'!J849/'Peers Stock History'!J$1833*100</f>
        <v>128.66021070554433</v>
      </c>
      <c r="J846" s="871">
        <f>'Peers Stock History'!K849/'Peers Stock History'!K$1833*100</f>
        <v>141.64797643759539</v>
      </c>
    </row>
    <row r="847" spans="2:10">
      <c r="B847" s="870">
        <v>43764</v>
      </c>
      <c r="C847" s="871">
        <f>'Peers Stock History'!D850/'Peers Stock History'!D$1833*100</f>
        <v>156.61581137309295</v>
      </c>
      <c r="D847" s="871">
        <f>'Peers Stock History'!E850/'Peers Stock History'!E$1833*100</f>
        <v>187.65137614678898</v>
      </c>
      <c r="E847" s="871">
        <f>'Peers Stock History'!F850/'Peers Stock History'!F$1833*100</f>
        <v>245.93984962406012</v>
      </c>
      <c r="F847" s="871">
        <f>'Peers Stock History'!G850/'Peers Stock History'!G$1833*100</f>
        <v>156.21574968661324</v>
      </c>
      <c r="G847" s="871">
        <f>'Peers Stock History'!H850/'Peers Stock History'!H$1833*100</f>
        <v>140.69615029855817</v>
      </c>
      <c r="H847" s="871">
        <f>'Peers Stock History'!I850/'Peers Stock History'!I$1833*100</f>
        <v>208.6446568201564</v>
      </c>
      <c r="I847" s="871">
        <f>'Peers Stock History'!J850/'Peers Stock History'!J$1833*100</f>
        <v>128.66021070554433</v>
      </c>
      <c r="J847" s="871">
        <f>'Peers Stock History'!K850/'Peers Stock History'!K$1833*100</f>
        <v>141.64797643759539</v>
      </c>
    </row>
    <row r="848" spans="2:10">
      <c r="B848" s="870">
        <v>43763</v>
      </c>
      <c r="C848" s="871">
        <f>'Peers Stock History'!D851/'Peers Stock History'!D$1833*100</f>
        <v>156.61581137309295</v>
      </c>
      <c r="D848" s="871">
        <f>'Peers Stock History'!E851/'Peers Stock History'!E$1833*100</f>
        <v>187.65137614678898</v>
      </c>
      <c r="E848" s="871">
        <f>'Peers Stock History'!F851/'Peers Stock History'!F$1833*100</f>
        <v>245.93984962406012</v>
      </c>
      <c r="F848" s="871">
        <f>'Peers Stock History'!G851/'Peers Stock History'!G$1833*100</f>
        <v>156.21574968661324</v>
      </c>
      <c r="G848" s="871">
        <f>'Peers Stock History'!H851/'Peers Stock History'!H$1833*100</f>
        <v>140.69615029855817</v>
      </c>
      <c r="H848" s="871">
        <f>'Peers Stock History'!I851/'Peers Stock History'!I$1833*100</f>
        <v>208.6446568201564</v>
      </c>
      <c r="I848" s="871">
        <f>'Peers Stock History'!J851/'Peers Stock History'!J$1833*100</f>
        <v>128.66021070554433</v>
      </c>
      <c r="J848" s="871">
        <f>'Peers Stock History'!K851/'Peers Stock History'!K$1833*100</f>
        <v>141.64797643759539</v>
      </c>
    </row>
    <row r="849" spans="2:10">
      <c r="B849" s="870">
        <v>43762</v>
      </c>
      <c r="C849" s="871">
        <f>'Peers Stock History'!D852/'Peers Stock History'!D$1833*100</f>
        <v>144.88210818307905</v>
      </c>
      <c r="D849" s="871">
        <f>'Peers Stock History'!E852/'Peers Stock History'!E$1833*100</f>
        <v>180.60550458715599</v>
      </c>
      <c r="E849" s="871">
        <f>'Peers Stock History'!F852/'Peers Stock History'!F$1833*100</f>
        <v>238.49624060150373</v>
      </c>
      <c r="F849" s="871">
        <f>'Peers Stock History'!G852/'Peers Stock History'!G$1833*100</f>
        <v>155.8068830632657</v>
      </c>
      <c r="G849" s="871">
        <f>'Peers Stock History'!H852/'Peers Stock History'!H$1833*100</f>
        <v>137.05034224962375</v>
      </c>
      <c r="H849" s="871">
        <f>'Peers Stock History'!I852/'Peers Stock History'!I$1833*100</f>
        <v>204.60469157254565</v>
      </c>
      <c r="I849" s="871">
        <f>'Peers Stock History'!J852/'Peers Stock History'!J$1833*100</f>
        <v>128.13834202405025</v>
      </c>
      <c r="J849" s="871">
        <f>'Peers Stock History'!K852/'Peers Stock History'!K$1833*100</f>
        <v>140.66295038697882</v>
      </c>
    </row>
    <row r="850" spans="2:10">
      <c r="B850" s="870">
        <v>43761</v>
      </c>
      <c r="C850" s="871">
        <f>'Peers Stock History'!D853/'Peers Stock History'!D$1833*100</f>
        <v>143.46740638002774</v>
      </c>
      <c r="D850" s="871">
        <f>'Peers Stock History'!E853/'Peers Stock History'!E$1833*100</f>
        <v>178.9816513761468</v>
      </c>
      <c r="E850" s="871">
        <f>'Peers Stock History'!F853/'Peers Stock History'!F$1833*100</f>
        <v>235.78947368421049</v>
      </c>
      <c r="F850" s="871">
        <f>'Peers Stock History'!G853/'Peers Stock History'!G$1833*100</f>
        <v>155.89351605247469</v>
      </c>
      <c r="G850" s="871">
        <f>'Peers Stock History'!H853/'Peers Stock History'!H$1833*100</f>
        <v>136.08427593572503</v>
      </c>
      <c r="H850" s="871">
        <f>'Peers Stock History'!I853/'Peers Stock History'!I$1833*100</f>
        <v>194.00521285838403</v>
      </c>
      <c r="I850" s="871">
        <f>'Peers Stock History'!J853/'Peers Stock History'!J$1833*100</f>
        <v>127.89273172289029</v>
      </c>
      <c r="J850" s="871">
        <f>'Peers Stock History'!K853/'Peers Stock History'!K$1833*100</f>
        <v>139.52876909118405</v>
      </c>
    </row>
    <row r="851" spans="2:10">
      <c r="B851" s="870">
        <v>43760</v>
      </c>
      <c r="C851" s="871">
        <f>'Peers Stock History'!D854/'Peers Stock History'!D$1833*100</f>
        <v>144.27184466019418</v>
      </c>
      <c r="D851" s="871">
        <f>'Peers Stock History'!E854/'Peers Stock History'!E$1833*100</f>
        <v>179.45871559633028</v>
      </c>
      <c r="E851" s="871">
        <f>'Peers Stock History'!F854/'Peers Stock History'!F$1833*100</f>
        <v>236.91729323308272</v>
      </c>
      <c r="F851" s="871">
        <f>'Peers Stock History'!G854/'Peers Stock History'!G$1833*100</f>
        <v>156.40511333493222</v>
      </c>
      <c r="G851" s="871">
        <f>'Peers Stock History'!H854/'Peers Stock History'!H$1833*100</f>
        <v>139.55046361473856</v>
      </c>
      <c r="H851" s="871">
        <f>'Peers Stock History'!I854/'Peers Stock History'!I$1833*100</f>
        <v>194.00521285838403</v>
      </c>
      <c r="I851" s="871">
        <f>'Peers Stock History'!J854/'Peers Stock History'!J$1833*100</f>
        <v>127.52963711822922</v>
      </c>
      <c r="J851" s="871">
        <f>'Peers Stock History'!K854/'Peers Stock History'!K$1833*100</f>
        <v>139.26245480664807</v>
      </c>
    </row>
    <row r="852" spans="2:10">
      <c r="B852" s="870">
        <v>43759</v>
      </c>
      <c r="C852" s="871">
        <f>'Peers Stock History'!D855/'Peers Stock History'!D$1833*100</f>
        <v>144.60471567267686</v>
      </c>
      <c r="D852" s="871">
        <f>'Peers Stock History'!E855/'Peers Stock History'!E$1833*100</f>
        <v>179.8256880733945</v>
      </c>
      <c r="E852" s="871">
        <f>'Peers Stock History'!F855/'Peers Stock History'!F$1833*100</f>
        <v>240.82706766917292</v>
      </c>
      <c r="F852" s="871">
        <f>'Peers Stock History'!G855/'Peers Stock History'!G$1833*100</f>
        <v>154.58046964043422</v>
      </c>
      <c r="G852" s="871">
        <f>'Peers Stock History'!H855/'Peers Stock History'!H$1833*100</f>
        <v>140.57478518374677</v>
      </c>
      <c r="H852" s="871">
        <f>'Peers Stock History'!I855/'Peers Stock History'!I$1833*100</f>
        <v>196.43788010425715</v>
      </c>
      <c r="I852" s="871">
        <f>'Peers Stock History'!J855/'Peers Stock History'!J$1833*100</f>
        <v>127.98637863147813</v>
      </c>
      <c r="J852" s="871">
        <f>'Peers Stock History'!K855/'Peers Stock History'!K$1833*100</f>
        <v>140.2710054575698</v>
      </c>
    </row>
    <row r="853" spans="2:10">
      <c r="B853" s="870">
        <v>43758</v>
      </c>
      <c r="C853" s="871">
        <f>'Peers Stock History'!D856/'Peers Stock History'!D$1833*100</f>
        <v>142.46879334257977</v>
      </c>
      <c r="D853" s="871">
        <f>'Peers Stock History'!E856/'Peers Stock History'!E$1833*100</f>
        <v>174.76146788990826</v>
      </c>
      <c r="E853" s="871">
        <f>'Peers Stock History'!F856/'Peers Stock History'!F$1833*100</f>
        <v>232.85714285714283</v>
      </c>
      <c r="F853" s="871">
        <f>'Peers Stock History'!G856/'Peers Stock History'!G$1833*100</f>
        <v>156.09262681474902</v>
      </c>
      <c r="G853" s="871">
        <f>'Peers Stock History'!H856/'Peers Stock History'!H$1833*100</f>
        <v>139.1960774794893</v>
      </c>
      <c r="H853" s="871">
        <f>'Peers Stock History'!I856/'Peers Stock History'!I$1833*100</f>
        <v>188.83579496090357</v>
      </c>
      <c r="I853" s="871">
        <f>'Peers Stock History'!J856/'Peers Stock History'!J$1833*100</f>
        <v>127.1129083750133</v>
      </c>
      <c r="J853" s="871">
        <f>'Peers Stock History'!K856/'Peers Stock History'!K$1833*100</f>
        <v>139.00895962498109</v>
      </c>
    </row>
    <row r="854" spans="2:10">
      <c r="B854" s="870">
        <v>43757</v>
      </c>
      <c r="C854" s="871">
        <f>'Peers Stock History'!D857/'Peers Stock History'!D$1833*100</f>
        <v>142.46879334257977</v>
      </c>
      <c r="D854" s="871">
        <f>'Peers Stock History'!E857/'Peers Stock History'!E$1833*100</f>
        <v>174.76146788990826</v>
      </c>
      <c r="E854" s="871">
        <f>'Peers Stock History'!F857/'Peers Stock History'!F$1833*100</f>
        <v>232.85714285714283</v>
      </c>
      <c r="F854" s="871">
        <f>'Peers Stock History'!G857/'Peers Stock History'!G$1833*100</f>
        <v>156.09262681474902</v>
      </c>
      <c r="G854" s="871">
        <f>'Peers Stock History'!H857/'Peers Stock History'!H$1833*100</f>
        <v>139.1960774794893</v>
      </c>
      <c r="H854" s="871">
        <f>'Peers Stock History'!I857/'Peers Stock History'!I$1833*100</f>
        <v>188.83579496090357</v>
      </c>
      <c r="I854" s="871">
        <f>'Peers Stock History'!J857/'Peers Stock History'!J$1833*100</f>
        <v>127.1129083750133</v>
      </c>
      <c r="J854" s="871">
        <f>'Peers Stock History'!K857/'Peers Stock History'!K$1833*100</f>
        <v>139.00895962498109</v>
      </c>
    </row>
    <row r="855" spans="2:10">
      <c r="B855" s="870">
        <v>43756</v>
      </c>
      <c r="C855" s="871">
        <f>'Peers Stock History'!D858/'Peers Stock History'!D$1833*100</f>
        <v>142.46879334257977</v>
      </c>
      <c r="D855" s="871">
        <f>'Peers Stock History'!E858/'Peers Stock History'!E$1833*100</f>
        <v>174.76146788990826</v>
      </c>
      <c r="E855" s="871">
        <f>'Peers Stock History'!F858/'Peers Stock History'!F$1833*100</f>
        <v>232.85714285714283</v>
      </c>
      <c r="F855" s="871">
        <f>'Peers Stock History'!G858/'Peers Stock History'!G$1833*100</f>
        <v>156.09262681474902</v>
      </c>
      <c r="G855" s="871">
        <f>'Peers Stock History'!H858/'Peers Stock History'!H$1833*100</f>
        <v>139.1960774794893</v>
      </c>
      <c r="H855" s="871">
        <f>'Peers Stock History'!I858/'Peers Stock History'!I$1833*100</f>
        <v>188.83579496090357</v>
      </c>
      <c r="I855" s="871">
        <f>'Peers Stock History'!J858/'Peers Stock History'!J$1833*100</f>
        <v>127.1129083750133</v>
      </c>
      <c r="J855" s="871">
        <f>'Peers Stock History'!K858/'Peers Stock History'!K$1833*100</f>
        <v>139.00895962498109</v>
      </c>
    </row>
    <row r="856" spans="2:10">
      <c r="B856" s="870">
        <v>43755</v>
      </c>
      <c r="C856" s="871">
        <f>'Peers Stock History'!D859/'Peers Stock History'!D$1833*100</f>
        <v>143.85575589459086</v>
      </c>
      <c r="D856" s="871">
        <f>'Peers Stock History'!E859/'Peers Stock History'!E$1833*100</f>
        <v>178.24770642201835</v>
      </c>
      <c r="E856" s="871">
        <f>'Peers Stock History'!F859/'Peers Stock History'!F$1833*100</f>
        <v>234.13533834586465</v>
      </c>
      <c r="F856" s="871">
        <f>'Peers Stock History'!G859/'Peers Stock History'!G$1833*100</f>
        <v>155.96060358906215</v>
      </c>
      <c r="G856" s="871">
        <f>'Peers Stock History'!H859/'Peers Stock History'!H$1833*100</f>
        <v>140.50682071945241</v>
      </c>
      <c r="H856" s="871">
        <f>'Peers Stock History'!I859/'Peers Stock History'!I$1833*100</f>
        <v>197.65421372719373</v>
      </c>
      <c r="I856" s="871">
        <f>'Peers Stock History'!J859/'Peers Stock History'!J$1833*100</f>
        <v>127.61306800042567</v>
      </c>
      <c r="J856" s="871">
        <f>'Peers Stock History'!K859/'Peers Stock History'!K$1833*100</f>
        <v>140.16560012647267</v>
      </c>
    </row>
    <row r="857" spans="2:10">
      <c r="B857" s="870">
        <v>43754</v>
      </c>
      <c r="C857" s="871">
        <f>'Peers Stock History'!D860/'Peers Stock History'!D$1833*100</f>
        <v>145.47850208044383</v>
      </c>
      <c r="D857" s="871">
        <f>'Peers Stock History'!E860/'Peers Stock History'!E$1833*100</f>
        <v>178.1743119266055</v>
      </c>
      <c r="E857" s="871">
        <f>'Peers Stock History'!F860/'Peers Stock History'!F$1833*100</f>
        <v>231.65413533834584</v>
      </c>
      <c r="F857" s="871">
        <f>'Peers Stock History'!G860/'Peers Stock History'!G$1833*100</f>
        <v>157.21580054674357</v>
      </c>
      <c r="G857" s="871">
        <f>'Peers Stock History'!H860/'Peers Stock History'!H$1833*100</f>
        <v>140.04563328316908</v>
      </c>
      <c r="H857" s="871">
        <f>'Peers Stock History'!I860/'Peers Stock History'!I$1833*100</f>
        <v>196.17723718505647</v>
      </c>
      <c r="I857" s="871">
        <f>'Peers Stock History'!J860/'Peers Stock History'!J$1833*100</f>
        <v>127.26146642545493</v>
      </c>
      <c r="J857" s="871">
        <f>'Peers Stock History'!K860/'Peers Stock History'!K$1833*100</f>
        <v>139.60422308675751</v>
      </c>
    </row>
    <row r="858" spans="2:10">
      <c r="B858" s="870">
        <v>43753</v>
      </c>
      <c r="C858" s="871">
        <f>'Peers Stock History'!D861/'Peers Stock History'!D$1833*100</f>
        <v>146.04715672676838</v>
      </c>
      <c r="D858" s="871">
        <f>'Peers Stock History'!E861/'Peers Stock History'!E$1833*100</f>
        <v>180.1559633027523</v>
      </c>
      <c r="E858" s="871">
        <f>'Peers Stock History'!F861/'Peers Stock History'!F$1833*100</f>
        <v>230.97744360902252</v>
      </c>
      <c r="F858" s="871">
        <f>'Peers Stock History'!G861/'Peers Stock History'!G$1833*100</f>
        <v>155.97588884913301</v>
      </c>
      <c r="G858" s="871">
        <f>'Peers Stock History'!H861/'Peers Stock History'!H$1833*100</f>
        <v>140.93888052818099</v>
      </c>
      <c r="H858" s="871">
        <f>'Peers Stock History'!I861/'Peers Stock History'!I$1833*100</f>
        <v>201.80278019113814</v>
      </c>
      <c r="I858" s="871">
        <f>'Peers Stock History'!J861/'Peers Stock History'!J$1833*100</f>
        <v>127.51644141747364</v>
      </c>
      <c r="J858" s="871">
        <f>'Peers Stock History'!K861/'Peers Stock History'!K$1833*100</f>
        <v>140.02560383816999</v>
      </c>
    </row>
    <row r="859" spans="2:10">
      <c r="B859" s="870">
        <v>43752</v>
      </c>
      <c r="C859" s="871">
        <f>'Peers Stock History'!D862/'Peers Stock History'!D$1833*100</f>
        <v>143.24549237170598</v>
      </c>
      <c r="D859" s="871">
        <f>'Peers Stock History'!E862/'Peers Stock History'!E$1833*100</f>
        <v>171.12844036697248</v>
      </c>
      <c r="E859" s="871">
        <f>'Peers Stock History'!F862/'Peers Stock History'!F$1833*100</f>
        <v>229.5488721804511</v>
      </c>
      <c r="F859" s="871">
        <f>'Peers Stock History'!G862/'Peers Stock History'!G$1833*100</f>
        <v>154.1561588290561</v>
      </c>
      <c r="G859" s="871">
        <f>'Peers Stock History'!H862/'Peers Stock History'!H$1833*100</f>
        <v>136.73479295111414</v>
      </c>
      <c r="H859" s="871">
        <f>'Peers Stock History'!I862/'Peers Stock History'!I$1833*100</f>
        <v>194.874022589053</v>
      </c>
      <c r="I859" s="871">
        <f>'Peers Stock History'!J862/'Peers Stock History'!J$1833*100</f>
        <v>126.25944450356496</v>
      </c>
      <c r="J859" s="871">
        <f>'Peers Stock History'!K862/'Peers Stock History'!K$1833*100</f>
        <v>138.30624596181079</v>
      </c>
    </row>
    <row r="860" spans="2:10">
      <c r="B860" s="870">
        <v>43751</v>
      </c>
      <c r="C860" s="871">
        <f>'Peers Stock History'!D863/'Peers Stock History'!D$1833*100</f>
        <v>144.49375866851597</v>
      </c>
      <c r="D860" s="871">
        <f>'Peers Stock History'!E863/'Peers Stock History'!E$1833*100</f>
        <v>170.63302752293578</v>
      </c>
      <c r="E860" s="871">
        <f>'Peers Stock History'!F863/'Peers Stock History'!F$1833*100</f>
        <v>223.68421052631581</v>
      </c>
      <c r="F860" s="871">
        <f>'Peers Stock History'!G863/'Peers Stock History'!G$1833*100</f>
        <v>149.17238574236492</v>
      </c>
      <c r="G860" s="871">
        <f>'Peers Stock History'!H863/'Peers Stock History'!H$1833*100</f>
        <v>136.37069760667995</v>
      </c>
      <c r="H860" s="871">
        <f>'Peers Stock History'!I863/'Peers Stock History'!I$1833*100</f>
        <v>195.91659426585579</v>
      </c>
      <c r="I860" s="871">
        <f>'Peers Stock History'!J863/'Peers Stock History'!J$1833*100</f>
        <v>126.43481962328403</v>
      </c>
      <c r="J860" s="871">
        <f>'Peers Stock History'!K863/'Peers Stock History'!K$1833*100</f>
        <v>138.45041790962705</v>
      </c>
    </row>
    <row r="861" spans="2:10">
      <c r="B861" s="870">
        <v>43750</v>
      </c>
      <c r="C861" s="871">
        <f>'Peers Stock History'!D864/'Peers Stock History'!D$1833*100</f>
        <v>144.49375866851597</v>
      </c>
      <c r="D861" s="871">
        <f>'Peers Stock History'!E864/'Peers Stock History'!E$1833*100</f>
        <v>170.63302752293578</v>
      </c>
      <c r="E861" s="871">
        <f>'Peers Stock History'!F864/'Peers Stock History'!F$1833*100</f>
        <v>223.68421052631581</v>
      </c>
      <c r="F861" s="871">
        <f>'Peers Stock History'!G864/'Peers Stock History'!G$1833*100</f>
        <v>149.17238574236492</v>
      </c>
      <c r="G861" s="871">
        <f>'Peers Stock History'!H864/'Peers Stock History'!H$1833*100</f>
        <v>136.37069760667995</v>
      </c>
      <c r="H861" s="871">
        <f>'Peers Stock History'!I864/'Peers Stock History'!I$1833*100</f>
        <v>195.91659426585579</v>
      </c>
      <c r="I861" s="871">
        <f>'Peers Stock History'!J864/'Peers Stock History'!J$1833*100</f>
        <v>126.43481962328403</v>
      </c>
      <c r="J861" s="871">
        <f>'Peers Stock History'!K864/'Peers Stock History'!K$1833*100</f>
        <v>138.45041790962705</v>
      </c>
    </row>
    <row r="862" spans="2:10">
      <c r="B862" s="870">
        <v>43749</v>
      </c>
      <c r="C862" s="871">
        <f>'Peers Stock History'!D865/'Peers Stock History'!D$1833*100</f>
        <v>144.49375866851597</v>
      </c>
      <c r="D862" s="871">
        <f>'Peers Stock History'!E865/'Peers Stock History'!E$1833*100</f>
        <v>170.63302752293578</v>
      </c>
      <c r="E862" s="871">
        <f>'Peers Stock History'!F865/'Peers Stock History'!F$1833*100</f>
        <v>223.68421052631581</v>
      </c>
      <c r="F862" s="871">
        <f>'Peers Stock History'!G865/'Peers Stock History'!G$1833*100</f>
        <v>149.17238574236492</v>
      </c>
      <c r="G862" s="871">
        <f>'Peers Stock History'!H865/'Peers Stock History'!H$1833*100</f>
        <v>136.37069760667995</v>
      </c>
      <c r="H862" s="871">
        <f>'Peers Stock History'!I865/'Peers Stock History'!I$1833*100</f>
        <v>195.91659426585579</v>
      </c>
      <c r="I862" s="871">
        <f>'Peers Stock History'!J865/'Peers Stock History'!J$1833*100</f>
        <v>126.43481962328403</v>
      </c>
      <c r="J862" s="871">
        <f>'Peers Stock History'!K865/'Peers Stock History'!K$1833*100</f>
        <v>138.45041790962705</v>
      </c>
    </row>
    <row r="863" spans="2:10">
      <c r="B863" s="870">
        <v>43748</v>
      </c>
      <c r="C863" s="871">
        <f>'Peers Stock History'!D866/'Peers Stock History'!D$1833*100</f>
        <v>141.7753120665742</v>
      </c>
      <c r="D863" s="871">
        <f>'Peers Stock History'!E866/'Peers Stock History'!E$1833*100</f>
        <v>167.91743119266056</v>
      </c>
      <c r="E863" s="871">
        <f>'Peers Stock History'!F866/'Peers Stock History'!F$1833*100</f>
        <v>213.38345864661653</v>
      </c>
      <c r="F863" s="871">
        <f>'Peers Stock History'!G866/'Peers Stock History'!G$1833*100</f>
        <v>149.17238574236492</v>
      </c>
      <c r="G863" s="871">
        <f>'Peers Stock History'!H866/'Peers Stock History'!H$1833*100</f>
        <v>133.23462303995339</v>
      </c>
      <c r="H863" s="871">
        <f>'Peers Stock History'!I866/'Peers Stock History'!I$1833*100</f>
        <v>188.01042571676803</v>
      </c>
      <c r="I863" s="871">
        <f>'Peers Stock History'!J866/'Peers Stock History'!J$1833*100</f>
        <v>125.06672342236884</v>
      </c>
      <c r="J863" s="871">
        <f>'Peers Stock History'!K866/'Peers Stock History'!K$1833*100</f>
        <v>136.62427999945012</v>
      </c>
    </row>
    <row r="864" spans="2:10">
      <c r="B864" s="870">
        <v>43747</v>
      </c>
      <c r="C864" s="871">
        <f>'Peers Stock History'!D867/'Peers Stock History'!D$1833*100</f>
        <v>140.02773925104023</v>
      </c>
      <c r="D864" s="871">
        <f>'Peers Stock History'!E867/'Peers Stock History'!E$1833*100</f>
        <v>165.78899082568807</v>
      </c>
      <c r="E864" s="871">
        <f>'Peers Stock History'!F867/'Peers Stock History'!F$1833*100</f>
        <v>213.984962406015</v>
      </c>
      <c r="F864" s="871">
        <f>'Peers Stock History'!G867/'Peers Stock History'!G$1833*100</f>
        <v>149.17238574236492</v>
      </c>
      <c r="G864" s="871">
        <f>'Peers Stock History'!H867/'Peers Stock History'!H$1833*100</f>
        <v>132.60352444293412</v>
      </c>
      <c r="H864" s="871">
        <f>'Peers Stock History'!I867/'Peers Stock History'!I$1833*100</f>
        <v>186.25108601216334</v>
      </c>
      <c r="I864" s="871">
        <f>'Peers Stock History'!J867/'Peers Stock History'!J$1833*100</f>
        <v>124.26944769607321</v>
      </c>
      <c r="J864" s="871">
        <f>'Peers Stock History'!K867/'Peers Stock History'!K$1833*100</f>
        <v>135.81597198355857</v>
      </c>
    </row>
    <row r="865" spans="2:10">
      <c r="B865" s="870">
        <v>43746</v>
      </c>
      <c r="C865" s="871">
        <f>'Peers Stock History'!D868/'Peers Stock History'!D$1833*100</f>
        <v>137.93342579750347</v>
      </c>
      <c r="D865" s="871">
        <f>'Peers Stock History'!E868/'Peers Stock History'!E$1833*100</f>
        <v>162.59633027522935</v>
      </c>
      <c r="E865" s="871">
        <f>'Peers Stock History'!F868/'Peers Stock History'!F$1833*100</f>
        <v>212.25563909774436</v>
      </c>
      <c r="F865" s="871">
        <f>'Peers Stock History'!G868/'Peers Stock History'!G$1833*100</f>
        <v>151.21841620057072</v>
      </c>
      <c r="G865" s="871">
        <f>'Peers Stock History'!H868/'Peers Stock History'!H$1833*100</f>
        <v>131.23452594786153</v>
      </c>
      <c r="H865" s="871">
        <f>'Peers Stock History'!I868/'Peers Stock History'!I$1833*100</f>
        <v>185.20851433536055</v>
      </c>
      <c r="I865" s="871">
        <f>'Peers Stock History'!J868/'Peers Stock History'!J$1833*100</f>
        <v>123.14823879961689</v>
      </c>
      <c r="J865" s="871">
        <f>'Peers Stock History'!K868/'Peers Stock History'!K$1833*100</f>
        <v>134.4418191441101</v>
      </c>
    </row>
    <row r="866" spans="2:10">
      <c r="B866" s="870">
        <v>43745</v>
      </c>
      <c r="C866" s="871">
        <f>'Peers Stock History'!D869/'Peers Stock History'!D$1833*100</f>
        <v>140.41608876560335</v>
      </c>
      <c r="D866" s="871">
        <f>'Peers Stock History'!E869/'Peers Stock History'!E$1833*100</f>
        <v>169.11009174311928</v>
      </c>
      <c r="E866" s="871">
        <f>'Peers Stock History'!F869/'Peers Stock History'!F$1833*100</f>
        <v>217.51879699248119</v>
      </c>
      <c r="F866" s="871">
        <f>'Peers Stock History'!G869/'Peers Stock History'!G$1833*100</f>
        <v>146.41845571716709</v>
      </c>
      <c r="G866" s="871">
        <f>'Peers Stock History'!H869/'Peers Stock History'!H$1833*100</f>
        <v>134.02592358852371</v>
      </c>
      <c r="H866" s="871">
        <f>'Peers Stock History'!I869/'Peers Stock History'!I$1833*100</f>
        <v>191.83318853171153</v>
      </c>
      <c r="I866" s="871">
        <f>'Peers Stock History'!J869/'Peers Stock History'!J$1833*100</f>
        <v>125.0948174949452</v>
      </c>
      <c r="J866" s="871">
        <f>'Peers Stock History'!K869/'Peers Stock History'!K$1833*100</f>
        <v>136.71901420067911</v>
      </c>
    </row>
    <row r="867" spans="2:10">
      <c r="B867" s="870">
        <v>43744</v>
      </c>
      <c r="C867" s="871">
        <f>'Peers Stock History'!D870/'Peers Stock History'!D$1833*100</f>
        <v>141.24826629680999</v>
      </c>
      <c r="D867" s="871">
        <f>'Peers Stock History'!E870/'Peers Stock History'!E$1833*100</f>
        <v>166.94495412844037</v>
      </c>
      <c r="E867" s="871">
        <f>'Peers Stock History'!F870/'Peers Stock History'!F$1833*100</f>
        <v>218.12030075187971</v>
      </c>
      <c r="F867" s="871">
        <f>'Peers Stock History'!G870/'Peers Stock History'!G$1833*100</f>
        <v>145.67087572075116</v>
      </c>
      <c r="G867" s="871">
        <f>'Peers Stock History'!H870/'Peers Stock History'!H$1833*100</f>
        <v>136.62313704548765</v>
      </c>
      <c r="H867" s="871">
        <f>'Peers Stock History'!I870/'Peers Stock History'!I$1833*100</f>
        <v>193.52736750651607</v>
      </c>
      <c r="I867" s="871">
        <f>'Peers Stock History'!J870/'Peers Stock History'!J$1833*100</f>
        <v>125.65755028200492</v>
      </c>
      <c r="J867" s="871">
        <f>'Peers Stock History'!K870/'Peers Stock History'!K$1833*100</f>
        <v>137.16888566597473</v>
      </c>
    </row>
    <row r="868" spans="2:10">
      <c r="B868" s="870">
        <v>43743</v>
      </c>
      <c r="C868" s="871">
        <f>'Peers Stock History'!D871/'Peers Stock History'!D$1833*100</f>
        <v>141.24826629680999</v>
      </c>
      <c r="D868" s="871">
        <f>'Peers Stock History'!E871/'Peers Stock History'!E$1833*100</f>
        <v>166.94495412844037</v>
      </c>
      <c r="E868" s="871">
        <f>'Peers Stock History'!F871/'Peers Stock History'!F$1833*100</f>
        <v>218.12030075187971</v>
      </c>
      <c r="F868" s="871">
        <f>'Peers Stock History'!G871/'Peers Stock History'!G$1833*100</f>
        <v>145.67087572075116</v>
      </c>
      <c r="G868" s="871">
        <f>'Peers Stock History'!H871/'Peers Stock History'!H$1833*100</f>
        <v>136.62313704548765</v>
      </c>
      <c r="H868" s="871">
        <f>'Peers Stock History'!I871/'Peers Stock History'!I$1833*100</f>
        <v>193.52736750651607</v>
      </c>
      <c r="I868" s="871">
        <f>'Peers Stock History'!J871/'Peers Stock History'!J$1833*100</f>
        <v>125.65755028200492</v>
      </c>
      <c r="J868" s="871">
        <f>'Peers Stock History'!K871/'Peers Stock History'!K$1833*100</f>
        <v>137.16888566597473</v>
      </c>
    </row>
    <row r="869" spans="2:10">
      <c r="B869" s="870">
        <v>43742</v>
      </c>
      <c r="C869" s="871">
        <f>'Peers Stock History'!D872/'Peers Stock History'!D$1833*100</f>
        <v>141.24826629680999</v>
      </c>
      <c r="D869" s="871">
        <f>'Peers Stock History'!E872/'Peers Stock History'!E$1833*100</f>
        <v>166.94495412844037</v>
      </c>
      <c r="E869" s="871">
        <f>'Peers Stock History'!F872/'Peers Stock History'!F$1833*100</f>
        <v>218.12030075187971</v>
      </c>
      <c r="F869" s="871">
        <f>'Peers Stock History'!G872/'Peers Stock History'!G$1833*100</f>
        <v>145.67087572075116</v>
      </c>
      <c r="G869" s="871">
        <f>'Peers Stock History'!H872/'Peers Stock History'!H$1833*100</f>
        <v>136.62313704548765</v>
      </c>
      <c r="H869" s="871">
        <f>'Peers Stock History'!I872/'Peers Stock History'!I$1833*100</f>
        <v>193.52736750651607</v>
      </c>
      <c r="I869" s="871">
        <f>'Peers Stock History'!J872/'Peers Stock History'!J$1833*100</f>
        <v>125.65755028200492</v>
      </c>
      <c r="J869" s="871">
        <f>'Peers Stock History'!K872/'Peers Stock History'!K$1833*100</f>
        <v>137.16888566597473</v>
      </c>
    </row>
    <row r="870" spans="2:10">
      <c r="B870" s="870">
        <v>43741</v>
      </c>
      <c r="C870" s="871">
        <f>'Peers Stock History'!D873/'Peers Stock History'!D$1833*100</f>
        <v>138.77947295423024</v>
      </c>
      <c r="D870" s="871">
        <f>'Peers Stock History'!E873/'Peers Stock History'!E$1833*100</f>
        <v>166.33944954128441</v>
      </c>
      <c r="E870" s="871">
        <f>'Peers Stock History'!F873/'Peers Stock History'!F$1833*100</f>
        <v>215.63909774436087</v>
      </c>
      <c r="F870" s="871">
        <f>'Peers Stock History'!G873/'Peers Stock History'!G$1833*100</f>
        <v>145.21468423935019</v>
      </c>
      <c r="G870" s="871">
        <f>'Peers Stock History'!H873/'Peers Stock History'!H$1833*100</f>
        <v>133.22491383076849</v>
      </c>
      <c r="H870" s="871">
        <f>'Peers Stock History'!I873/'Peers Stock History'!I$1833*100</f>
        <v>188.79235447437011</v>
      </c>
      <c r="I870" s="871">
        <f>'Peers Stock History'!J873/'Peers Stock History'!J$1833*100</f>
        <v>123.89613706502077</v>
      </c>
      <c r="J870" s="871">
        <f>'Peers Stock History'!K873/'Peers Stock History'!K$1833*100</f>
        <v>135.2750951981634</v>
      </c>
    </row>
    <row r="871" spans="2:10">
      <c r="B871" s="870">
        <v>43740</v>
      </c>
      <c r="C871" s="871">
        <f>'Peers Stock History'!D874/'Peers Stock History'!D$1833*100</f>
        <v>137.00416088765604</v>
      </c>
      <c r="D871" s="871">
        <f>'Peers Stock History'!E874/'Peers Stock History'!E$1833*100</f>
        <v>158.75229357798165</v>
      </c>
      <c r="E871" s="871">
        <f>'Peers Stock History'!F874/'Peers Stock History'!F$1833*100</f>
        <v>212.85714285714286</v>
      </c>
      <c r="F871" s="871">
        <f>'Peers Stock History'!G874/'Peers Stock History'!G$1833*100</f>
        <v>146.53478203336411</v>
      </c>
      <c r="G871" s="871">
        <f>'Peers Stock History'!H874/'Peers Stock History'!H$1833*100</f>
        <v>131.10830622845768</v>
      </c>
      <c r="H871" s="871">
        <f>'Peers Stock History'!I874/'Peers Stock History'!I$1833*100</f>
        <v>182.36316246741961</v>
      </c>
      <c r="I871" s="871">
        <f>'Peers Stock History'!J874/'Peers Stock History'!J$1833*100</f>
        <v>122.91624986697882</v>
      </c>
      <c r="J871" s="871">
        <f>'Peers Stock History'!K874/'Peers Stock History'!K$1833*100</f>
        <v>133.77977949768365</v>
      </c>
    </row>
    <row r="872" spans="2:10">
      <c r="B872" s="870">
        <v>43739</v>
      </c>
      <c r="C872" s="871">
        <f>'Peers Stock History'!D875/'Peers Stock History'!D$1833*100</f>
        <v>140.80443828016644</v>
      </c>
      <c r="D872" s="871">
        <f>'Peers Stock History'!E875/'Peers Stock History'!E$1833*100</f>
        <v>159.63302752293578</v>
      </c>
      <c r="E872" s="871">
        <f>'Peers Stock History'!F875/'Peers Stock History'!F$1833*100</f>
        <v>216.24060150375942</v>
      </c>
      <c r="F872" s="871">
        <f>'Peers Stock History'!G875/'Peers Stock History'!G$1833*100</f>
        <v>146.54188323836354</v>
      </c>
      <c r="G872" s="871">
        <f>'Peers Stock History'!H875/'Peers Stock History'!H$1833*100</f>
        <v>133.42880722365166</v>
      </c>
      <c r="H872" s="871">
        <f>'Peers Stock History'!I875/'Peers Stock History'!I$1833*100</f>
        <v>183.75325803649</v>
      </c>
      <c r="I872" s="871">
        <f>'Peers Stock History'!J875/'Peers Stock History'!J$1833*100</f>
        <v>125.15696498882622</v>
      </c>
      <c r="J872" s="871">
        <f>'Peers Stock History'!K875/'Peers Stock History'!K$1833*100</f>
        <v>135.90094579547173</v>
      </c>
    </row>
    <row r="873" spans="2:10">
      <c r="B873" s="870">
        <v>43738</v>
      </c>
      <c r="C873" s="871">
        <f>'Peers Stock History'!D876/'Peers Stock History'!D$1833*100</f>
        <v>142.94036061026355</v>
      </c>
      <c r="D873" s="871">
        <f>'Peers Stock History'!E876/'Peers Stock History'!E$1833*100</f>
        <v>159.69724770642202</v>
      </c>
      <c r="E873" s="871">
        <f>'Peers Stock History'!F876/'Peers Stock History'!F$1833*100</f>
        <v>217.96992481203006</v>
      </c>
      <c r="F873" s="871">
        <f>'Peers Stock History'!G876/'Peers Stock History'!G$1833*100</f>
        <v>142.5843403157144</v>
      </c>
      <c r="G873" s="871">
        <f>'Peers Stock History'!H876/'Peers Stock History'!H$1833*100</f>
        <v>134.02106898393126</v>
      </c>
      <c r="H873" s="871">
        <f>'Peers Stock History'!I876/'Peers Stock History'!I$1833*100</f>
        <v>186.14248479582974</v>
      </c>
      <c r="I873" s="871">
        <f>'Peers Stock History'!J876/'Peers Stock History'!J$1833*100</f>
        <v>126.71022666808555</v>
      </c>
      <c r="J873" s="871">
        <f>'Peers Stock History'!K876/'Peers Stock History'!K$1833*100</f>
        <v>137.45879328595191</v>
      </c>
    </row>
    <row r="874" spans="2:10">
      <c r="B874" s="870">
        <v>43737</v>
      </c>
      <c r="C874" s="871">
        <f>'Peers Stock History'!D877/'Peers Stock History'!D$1833*100</f>
        <v>140.8599167822469</v>
      </c>
      <c r="D874" s="871">
        <f>'Peers Stock History'!E877/'Peers Stock History'!E$1833*100</f>
        <v>157.57798165137612</v>
      </c>
      <c r="E874" s="871">
        <f>'Peers Stock History'!F877/'Peers Stock History'!F$1833*100</f>
        <v>215.93984962406014</v>
      </c>
      <c r="F874" s="871">
        <f>'Peers Stock History'!G877/'Peers Stock History'!G$1833*100</f>
        <v>142.5843403157144</v>
      </c>
      <c r="G874" s="871">
        <f>'Peers Stock History'!H877/'Peers Stock History'!H$1833*100</f>
        <v>133.08413029758725</v>
      </c>
      <c r="H874" s="871">
        <f>'Peers Stock History'!I877/'Peers Stock History'!I$1833*100</f>
        <v>187.70634231103389</v>
      </c>
      <c r="I874" s="871">
        <f>'Peers Stock History'!J877/'Peers Stock History'!J$1833*100</f>
        <v>126.07385335745451</v>
      </c>
      <c r="J874" s="871">
        <f>'Peers Stock History'!K877/'Peers Stock History'!K$1833*100</f>
        <v>136.43283546183142</v>
      </c>
    </row>
    <row r="875" spans="2:10">
      <c r="B875" s="870">
        <v>43736</v>
      </c>
      <c r="C875" s="871">
        <f>'Peers Stock History'!D878/'Peers Stock History'!D$1833*100</f>
        <v>140.8599167822469</v>
      </c>
      <c r="D875" s="871">
        <f>'Peers Stock History'!E878/'Peers Stock History'!E$1833*100</f>
        <v>157.57798165137612</v>
      </c>
      <c r="E875" s="871">
        <f>'Peers Stock History'!F878/'Peers Stock History'!F$1833*100</f>
        <v>215.93984962406014</v>
      </c>
      <c r="F875" s="871">
        <f>'Peers Stock History'!G878/'Peers Stock History'!G$1833*100</f>
        <v>142.5843403157144</v>
      </c>
      <c r="G875" s="871">
        <f>'Peers Stock History'!H878/'Peers Stock History'!H$1833*100</f>
        <v>133.08413029758725</v>
      </c>
      <c r="H875" s="871">
        <f>'Peers Stock History'!I878/'Peers Stock History'!I$1833*100</f>
        <v>187.70634231103389</v>
      </c>
      <c r="I875" s="871">
        <f>'Peers Stock History'!J878/'Peers Stock History'!J$1833*100</f>
        <v>126.07385335745451</v>
      </c>
      <c r="J875" s="871">
        <f>'Peers Stock History'!K878/'Peers Stock History'!K$1833*100</f>
        <v>136.43283546183142</v>
      </c>
    </row>
    <row r="876" spans="2:10">
      <c r="B876" s="870">
        <v>43735</v>
      </c>
      <c r="C876" s="871">
        <f>'Peers Stock History'!D879/'Peers Stock History'!D$1833*100</f>
        <v>140.8599167822469</v>
      </c>
      <c r="D876" s="871">
        <f>'Peers Stock History'!E879/'Peers Stock History'!E$1833*100</f>
        <v>157.57798165137612</v>
      </c>
      <c r="E876" s="871">
        <f>'Peers Stock History'!F879/'Peers Stock History'!F$1833*100</f>
        <v>215.93984962406014</v>
      </c>
      <c r="F876" s="871">
        <f>'Peers Stock History'!G879/'Peers Stock History'!G$1833*100</f>
        <v>142.5843403157144</v>
      </c>
      <c r="G876" s="871">
        <f>'Peers Stock History'!H879/'Peers Stock History'!H$1833*100</f>
        <v>133.08413029758725</v>
      </c>
      <c r="H876" s="871">
        <f>'Peers Stock History'!I879/'Peers Stock History'!I$1833*100</f>
        <v>187.70634231103389</v>
      </c>
      <c r="I876" s="871">
        <f>'Peers Stock History'!J879/'Peers Stock History'!J$1833*100</f>
        <v>126.07385335745451</v>
      </c>
      <c r="J876" s="871">
        <f>'Peers Stock History'!K879/'Peers Stock History'!K$1833*100</f>
        <v>136.43283546183142</v>
      </c>
    </row>
    <row r="877" spans="2:10">
      <c r="B877" s="870">
        <v>43734</v>
      </c>
      <c r="C877" s="871">
        <f>'Peers Stock History'!D880/'Peers Stock History'!D$1833*100</f>
        <v>141.24826629680999</v>
      </c>
      <c r="D877" s="871">
        <f>'Peers Stock History'!E880/'Peers Stock History'!E$1833*100</f>
        <v>162.69724770642202</v>
      </c>
      <c r="E877" s="871">
        <f>'Peers Stock History'!F880/'Peers Stock History'!F$1833*100</f>
        <v>221.57894736842104</v>
      </c>
      <c r="F877" s="871">
        <f>'Peers Stock History'!G880/'Peers Stock History'!G$1833*100</f>
        <v>140.53732844229611</v>
      </c>
      <c r="G877" s="871">
        <f>'Peers Stock History'!H880/'Peers Stock History'!H$1833*100</f>
        <v>134.42885576969758</v>
      </c>
      <c r="H877" s="871">
        <f>'Peers Stock History'!I880/'Peers Stock History'!I$1833*100</f>
        <v>211.120764552563</v>
      </c>
      <c r="I877" s="871">
        <f>'Peers Stock History'!J880/'Peers Stock History'!J$1833*100</f>
        <v>126.74768543152068</v>
      </c>
      <c r="J877" s="871">
        <f>'Peers Stock History'!K880/'Peers Stock History'!K$1833*100</f>
        <v>137.99714405509809</v>
      </c>
    </row>
    <row r="878" spans="2:10">
      <c r="B878" s="870">
        <v>43733</v>
      </c>
      <c r="C878" s="871">
        <f>'Peers Stock History'!D881/'Peers Stock History'!D$1833*100</f>
        <v>141.52565880721221</v>
      </c>
      <c r="D878" s="871">
        <f>'Peers Stock History'!E881/'Peers Stock History'!E$1833*100</f>
        <v>163.51376146788991</v>
      </c>
      <c r="E878" s="871">
        <f>'Peers Stock History'!F881/'Peers Stock History'!F$1833*100</f>
        <v>222.10526315789471</v>
      </c>
      <c r="F878" s="871">
        <f>'Peers Stock History'!G881/'Peers Stock History'!G$1833*100</f>
        <v>139.49753615764769</v>
      </c>
      <c r="G878" s="871">
        <f>'Peers Stock History'!H881/'Peers Stock History'!H$1833*100</f>
        <v>133.87543084615757</v>
      </c>
      <c r="H878" s="871">
        <f>'Peers Stock History'!I881/'Peers Stock History'!I$1833*100</f>
        <v>214.90008688097308</v>
      </c>
      <c r="I878" s="871">
        <f>'Peers Stock History'!J881/'Peers Stock History'!J$1833*100</f>
        <v>127.05629456209428</v>
      </c>
      <c r="J878" s="871">
        <f>'Peers Stock History'!K881/'Peers Stock History'!K$1833*100</f>
        <v>138.80002199524353</v>
      </c>
    </row>
    <row r="879" spans="2:10">
      <c r="B879" s="870">
        <v>43732</v>
      </c>
      <c r="C879" s="871">
        <f>'Peers Stock History'!D882/'Peers Stock History'!D$1833*100</f>
        <v>138.1969486823856</v>
      </c>
      <c r="D879" s="871">
        <f>'Peers Stock History'!E882/'Peers Stock History'!E$1833*100</f>
        <v>158.28440366972478</v>
      </c>
      <c r="E879" s="871">
        <f>'Peers Stock History'!F882/'Peers Stock History'!F$1833*100</f>
        <v>221.95488721804512</v>
      </c>
      <c r="F879" s="871">
        <f>'Peers Stock History'!G882/'Peers Stock History'!G$1833*100</f>
        <v>138.89698667054006</v>
      </c>
      <c r="G879" s="871">
        <f>'Peers Stock History'!H882/'Peers Stock History'!H$1833*100</f>
        <v>137.05034224962375</v>
      </c>
      <c r="H879" s="871">
        <f>'Peers Stock History'!I882/'Peers Stock History'!I$1833*100</f>
        <v>210.72980017376196</v>
      </c>
      <c r="I879" s="871">
        <f>'Peers Stock History'!J882/'Peers Stock History'!J$1833*100</f>
        <v>126.27859955304883</v>
      </c>
      <c r="J879" s="871">
        <f>'Peers Stock History'!K882/'Peers Stock History'!K$1833*100</f>
        <v>137.36075979819367</v>
      </c>
    </row>
    <row r="880" spans="2:10">
      <c r="B880" s="870">
        <v>43731</v>
      </c>
      <c r="C880" s="871">
        <f>'Peers Stock History'!D883/'Peers Stock History'!D$1833*100</f>
        <v>141.19278779472955</v>
      </c>
      <c r="D880" s="871">
        <f>'Peers Stock History'!E883/'Peers Stock History'!E$1833*100</f>
        <v>160.40366972477065</v>
      </c>
      <c r="E880" s="871">
        <f>'Peers Stock History'!F883/'Peers Stock History'!F$1833*100</f>
        <v>230.37593984962405</v>
      </c>
      <c r="F880" s="871">
        <f>'Peers Stock History'!G883/'Peers Stock History'!G$1833*100</f>
        <v>138.66325538535028</v>
      </c>
      <c r="G880" s="871">
        <f>'Peers Stock History'!H883/'Peers Stock History'!H$1833*100</f>
        <v>138.57954269624736</v>
      </c>
      <c r="H880" s="871">
        <f>'Peers Stock History'!I883/'Peers Stock History'!I$1833*100</f>
        <v>215.46481320590792</v>
      </c>
      <c r="I880" s="871">
        <f>'Peers Stock History'!J883/'Peers Stock History'!J$1833*100</f>
        <v>127.35043098861341</v>
      </c>
      <c r="J880" s="871">
        <f>'Peers Stock History'!K883/'Peers Stock History'!K$1833*100</f>
        <v>139.40279477063086</v>
      </c>
    </row>
    <row r="881" spans="2:10">
      <c r="B881" s="870">
        <v>43730</v>
      </c>
      <c r="C881" s="871">
        <f>'Peers Stock History'!D884/'Peers Stock History'!D$1833*100</f>
        <v>140.69348127600557</v>
      </c>
      <c r="D881" s="871">
        <f>'Peers Stock History'!E884/'Peers Stock History'!E$1833*100</f>
        <v>158.43119266055047</v>
      </c>
      <c r="E881" s="871">
        <f>'Peers Stock History'!F884/'Peers Stock History'!F$1833*100</f>
        <v>225.93984962406014</v>
      </c>
      <c r="F881" s="871">
        <f>'Peers Stock History'!G884/'Peers Stock History'!G$1833*100</f>
        <v>138.61402370859477</v>
      </c>
      <c r="G881" s="871">
        <f>'Peers Stock History'!H884/'Peers Stock History'!H$1833*100</f>
        <v>137.99699014515267</v>
      </c>
      <c r="H881" s="871">
        <f>'Peers Stock History'!I884/'Peers Stock History'!I$1833*100</f>
        <v>213.55343179843612</v>
      </c>
      <c r="I881" s="871">
        <f>'Peers Stock History'!J884/'Peers Stock History'!J$1833*100</f>
        <v>127.36277535383633</v>
      </c>
      <c r="J881" s="871">
        <f>'Peers Stock History'!K884/'Peers Stock History'!K$1833*100</f>
        <v>139.49235665287384</v>
      </c>
    </row>
    <row r="882" spans="2:10">
      <c r="B882" s="870">
        <v>43729</v>
      </c>
      <c r="C882" s="871">
        <f>'Peers Stock History'!D885/'Peers Stock History'!D$1833*100</f>
        <v>140.69348127600557</v>
      </c>
      <c r="D882" s="871">
        <f>'Peers Stock History'!E885/'Peers Stock History'!E$1833*100</f>
        <v>158.43119266055047</v>
      </c>
      <c r="E882" s="871">
        <f>'Peers Stock History'!F885/'Peers Stock History'!F$1833*100</f>
        <v>225.93984962406014</v>
      </c>
      <c r="F882" s="871">
        <f>'Peers Stock History'!G885/'Peers Stock History'!G$1833*100</f>
        <v>138.61402370859477</v>
      </c>
      <c r="G882" s="871">
        <f>'Peers Stock History'!H885/'Peers Stock History'!H$1833*100</f>
        <v>137.99699014515267</v>
      </c>
      <c r="H882" s="871">
        <f>'Peers Stock History'!I885/'Peers Stock History'!I$1833*100</f>
        <v>213.55343179843612</v>
      </c>
      <c r="I882" s="871">
        <f>'Peers Stock History'!J885/'Peers Stock History'!J$1833*100</f>
        <v>127.36277535383633</v>
      </c>
      <c r="J882" s="871">
        <f>'Peers Stock History'!K885/'Peers Stock History'!K$1833*100</f>
        <v>139.49235665287384</v>
      </c>
    </row>
    <row r="883" spans="2:10">
      <c r="B883" s="870">
        <v>43728</v>
      </c>
      <c r="C883" s="871">
        <f>'Peers Stock History'!D886/'Peers Stock History'!D$1833*100</f>
        <v>140.69348127600557</v>
      </c>
      <c r="D883" s="871">
        <f>'Peers Stock History'!E886/'Peers Stock History'!E$1833*100</f>
        <v>158.43119266055047</v>
      </c>
      <c r="E883" s="871">
        <f>'Peers Stock History'!F886/'Peers Stock History'!F$1833*100</f>
        <v>225.93984962406014</v>
      </c>
      <c r="F883" s="871">
        <f>'Peers Stock History'!G886/'Peers Stock History'!G$1833*100</f>
        <v>138.61402370859477</v>
      </c>
      <c r="G883" s="871">
        <f>'Peers Stock History'!H886/'Peers Stock History'!H$1833*100</f>
        <v>137.99699014515267</v>
      </c>
      <c r="H883" s="871">
        <f>'Peers Stock History'!I886/'Peers Stock History'!I$1833*100</f>
        <v>213.55343179843612</v>
      </c>
      <c r="I883" s="871">
        <f>'Peers Stock History'!J886/'Peers Stock History'!J$1833*100</f>
        <v>127.36277535383633</v>
      </c>
      <c r="J883" s="871">
        <f>'Peers Stock History'!K886/'Peers Stock History'!K$1833*100</f>
        <v>139.49235665287384</v>
      </c>
    </row>
    <row r="884" spans="2:10">
      <c r="B884" s="870">
        <v>43727</v>
      </c>
      <c r="C884" s="871">
        <f>'Peers Stock History'!D887/'Peers Stock History'!D$1833*100</f>
        <v>143.05131761442442</v>
      </c>
      <c r="D884" s="871">
        <f>'Peers Stock History'!E887/'Peers Stock History'!E$1833*100</f>
        <v>162.3302752293578</v>
      </c>
      <c r="E884" s="871">
        <f>'Peers Stock History'!F887/'Peers Stock History'!F$1833*100</f>
        <v>227.74436090225564</v>
      </c>
      <c r="F884" s="871">
        <f>'Peers Stock History'!G887/'Peers Stock History'!G$1833*100</f>
        <v>139.09866988180056</v>
      </c>
      <c r="G884" s="871">
        <f>'Peers Stock History'!H887/'Peers Stock History'!H$1833*100</f>
        <v>141.09422787513955</v>
      </c>
      <c r="H884" s="871">
        <f>'Peers Stock History'!I887/'Peers Stock History'!I$1833*100</f>
        <v>216.4205039096438</v>
      </c>
      <c r="I884" s="871">
        <f>'Peers Stock History'!J887/'Peers Stock History'!J$1833*100</f>
        <v>127.98935830584229</v>
      </c>
      <c r="J884" s="871">
        <f>'Peers Stock History'!K887/'Peers Stock History'!K$1833*100</f>
        <v>140.61282528903126</v>
      </c>
    </row>
    <row r="885" spans="2:10">
      <c r="B885" s="870">
        <v>43726</v>
      </c>
      <c r="C885" s="871">
        <f>'Peers Stock History'!D888/'Peers Stock History'!D$1833*100</f>
        <v>143.5228848821082</v>
      </c>
      <c r="D885" s="871">
        <f>'Peers Stock History'!E888/'Peers Stock History'!E$1833*100</f>
        <v>165.11926605504584</v>
      </c>
      <c r="E885" s="871">
        <f>'Peers Stock History'!F888/'Peers Stock History'!F$1833*100</f>
        <v>228.72180451127821</v>
      </c>
      <c r="F885" s="871">
        <f>'Peers Stock History'!G888/'Peers Stock History'!G$1833*100</f>
        <v>140.3069282155727</v>
      </c>
      <c r="G885" s="871">
        <f>'Peers Stock History'!H888/'Peers Stock History'!H$1833*100</f>
        <v>139.68639254332734</v>
      </c>
      <c r="H885" s="871">
        <f>'Peers Stock History'!I888/'Peers Stock History'!I$1833*100</f>
        <v>219.28757602085142</v>
      </c>
      <c r="I885" s="871">
        <f>'Peers Stock History'!J888/'Peers Stock History'!J$1833*100</f>
        <v>127.98680429924445</v>
      </c>
      <c r="J885" s="871">
        <f>'Peers Stock History'!K888/'Peers Stock History'!K$1833*100</f>
        <v>140.51853786618645</v>
      </c>
    </row>
    <row r="886" spans="2:10">
      <c r="B886" s="870">
        <v>43725</v>
      </c>
      <c r="C886" s="871">
        <f>'Peers Stock History'!D889/'Peers Stock History'!D$1833*100</f>
        <v>144.10540915395288</v>
      </c>
      <c r="D886" s="871">
        <f>'Peers Stock History'!E889/'Peers Stock History'!E$1833*100</f>
        <v>166.11926605504584</v>
      </c>
      <c r="E886" s="871">
        <f>'Peers Stock History'!F889/'Peers Stock History'!F$1833*100</f>
        <v>233.00751879699243</v>
      </c>
      <c r="F886" s="871">
        <f>'Peers Stock History'!G889/'Peers Stock History'!G$1833*100</f>
        <v>139.39553365584086</v>
      </c>
      <c r="G886" s="871">
        <f>'Peers Stock History'!H889/'Peers Stock History'!H$1833*100</f>
        <v>140.21554444390503</v>
      </c>
      <c r="H886" s="871">
        <f>'Peers Stock History'!I889/'Peers Stock History'!I$1833*100</f>
        <v>220.85143353605562</v>
      </c>
      <c r="I886" s="871">
        <f>'Peers Stock History'!J889/'Peers Stock History'!J$1833*100</f>
        <v>127.94296051931467</v>
      </c>
      <c r="J886" s="871">
        <f>'Peers Stock History'!K889/'Peers Stock History'!K$1833*100</f>
        <v>140.66673081946027</v>
      </c>
    </row>
    <row r="887" spans="2:10">
      <c r="B887" s="870">
        <v>43724</v>
      </c>
      <c r="C887" s="871">
        <f>'Peers Stock History'!D890/'Peers Stock History'!D$1833*100</f>
        <v>144.79889042995842</v>
      </c>
      <c r="D887" s="871">
        <f>'Peers Stock History'!E890/'Peers Stock History'!E$1833*100</f>
        <v>165.33027522935782</v>
      </c>
      <c r="E887" s="871">
        <f>'Peers Stock History'!F890/'Peers Stock History'!F$1833*100</f>
        <v>231.80451127819546</v>
      </c>
      <c r="F887" s="871">
        <f>'Peers Stock History'!G890/'Peers Stock History'!G$1833*100</f>
        <v>139.79415686002511</v>
      </c>
      <c r="G887" s="871">
        <f>'Peers Stock History'!H890/'Peers Stock History'!H$1833*100</f>
        <v>140.13301616583328</v>
      </c>
      <c r="H887" s="871">
        <f>'Peers Stock History'!I890/'Peers Stock History'!I$1833*100</f>
        <v>217.85403996524758</v>
      </c>
      <c r="I887" s="871">
        <f>'Peers Stock History'!J890/'Peers Stock History'!J$1833*100</f>
        <v>127.61349366819196</v>
      </c>
      <c r="J887" s="871">
        <f>'Peers Stock History'!K890/'Peers Stock History'!K$1833*100</f>
        <v>140.10872180141044</v>
      </c>
    </row>
    <row r="888" spans="2:10">
      <c r="B888" s="870">
        <v>43723</v>
      </c>
      <c r="C888" s="871">
        <f>'Peers Stock History'!D891/'Peers Stock History'!D$1833*100</f>
        <v>145.74202496532595</v>
      </c>
      <c r="D888" s="871">
        <f>'Peers Stock History'!E891/'Peers Stock History'!E$1833*100</f>
        <v>166.91743119266056</v>
      </c>
      <c r="E888" s="871">
        <f>'Peers Stock History'!F891/'Peers Stock History'!F$1833*100</f>
        <v>230.75187969924812</v>
      </c>
      <c r="F888" s="871">
        <f>'Peers Stock History'!G891/'Peers Stock History'!G$1833*100</f>
        <v>138.16089846600747</v>
      </c>
      <c r="G888" s="871">
        <f>'Peers Stock History'!H891/'Peers Stock History'!H$1833*100</f>
        <v>140.93888052818099</v>
      </c>
      <c r="H888" s="871">
        <f>'Peers Stock History'!I891/'Peers Stock History'!I$1833*100</f>
        <v>219.37445699391836</v>
      </c>
      <c r="I888" s="871">
        <f>'Peers Stock History'!J891/'Peers Stock History'!J$1833*100</f>
        <v>128.01489837182078</v>
      </c>
      <c r="J888" s="871">
        <f>'Peers Stock History'!K891/'Peers Stock History'!K$1833*100</f>
        <v>140.50687007684587</v>
      </c>
    </row>
    <row r="889" spans="2:10">
      <c r="B889" s="870">
        <v>43722</v>
      </c>
      <c r="C889" s="871">
        <f>'Peers Stock History'!D892/'Peers Stock History'!D$1833*100</f>
        <v>145.74202496532595</v>
      </c>
      <c r="D889" s="871">
        <f>'Peers Stock History'!E892/'Peers Stock History'!E$1833*100</f>
        <v>166.91743119266056</v>
      </c>
      <c r="E889" s="871">
        <f>'Peers Stock History'!F892/'Peers Stock History'!F$1833*100</f>
        <v>230.75187969924812</v>
      </c>
      <c r="F889" s="871">
        <f>'Peers Stock History'!G892/'Peers Stock History'!G$1833*100</f>
        <v>138.16089846600747</v>
      </c>
      <c r="G889" s="871">
        <f>'Peers Stock History'!H892/'Peers Stock History'!H$1833*100</f>
        <v>140.93888052818099</v>
      </c>
      <c r="H889" s="871">
        <f>'Peers Stock History'!I892/'Peers Stock History'!I$1833*100</f>
        <v>219.37445699391836</v>
      </c>
      <c r="I889" s="871">
        <f>'Peers Stock History'!J892/'Peers Stock History'!J$1833*100</f>
        <v>128.01489837182078</v>
      </c>
      <c r="J889" s="871">
        <f>'Peers Stock History'!K892/'Peers Stock History'!K$1833*100</f>
        <v>140.50687007684587</v>
      </c>
    </row>
    <row r="890" spans="2:10">
      <c r="B890" s="870">
        <v>43721</v>
      </c>
      <c r="C890" s="871">
        <f>'Peers Stock History'!D893/'Peers Stock History'!D$1833*100</f>
        <v>145.74202496532595</v>
      </c>
      <c r="D890" s="871">
        <f>'Peers Stock History'!E893/'Peers Stock History'!E$1833*100</f>
        <v>166.91743119266056</v>
      </c>
      <c r="E890" s="871">
        <f>'Peers Stock History'!F893/'Peers Stock History'!F$1833*100</f>
        <v>230.75187969924812</v>
      </c>
      <c r="F890" s="871">
        <f>'Peers Stock History'!G893/'Peers Stock History'!G$1833*100</f>
        <v>138.16089846600747</v>
      </c>
      <c r="G890" s="871">
        <f>'Peers Stock History'!H893/'Peers Stock History'!H$1833*100</f>
        <v>140.93888052818099</v>
      </c>
      <c r="H890" s="871">
        <f>'Peers Stock History'!I893/'Peers Stock History'!I$1833*100</f>
        <v>219.37445699391836</v>
      </c>
      <c r="I890" s="871">
        <f>'Peers Stock History'!J893/'Peers Stock History'!J$1833*100</f>
        <v>128.01489837182078</v>
      </c>
      <c r="J890" s="871">
        <f>'Peers Stock History'!K893/'Peers Stock History'!K$1833*100</f>
        <v>140.50687007684587</v>
      </c>
    </row>
    <row r="891" spans="2:10">
      <c r="B891" s="870">
        <v>43720</v>
      </c>
      <c r="C891" s="871">
        <f>'Peers Stock History'!D894/'Peers Stock History'!D$1833*100</f>
        <v>147.04576976421637</v>
      </c>
      <c r="D891" s="871">
        <f>'Peers Stock History'!E894/'Peers Stock History'!E$1833*100</f>
        <v>169.05504587155963</v>
      </c>
      <c r="E891" s="871">
        <f>'Peers Stock History'!F894/'Peers Stock History'!F$1833*100</f>
        <v>227.14285714285714</v>
      </c>
      <c r="F891" s="871">
        <f>'Peers Stock History'!G894/'Peers Stock History'!G$1833*100</f>
        <v>138.16089846600747</v>
      </c>
      <c r="G891" s="871">
        <f>'Peers Stock History'!H894/'Peers Stock History'!H$1833*100</f>
        <v>145.91970484004077</v>
      </c>
      <c r="H891" s="871">
        <f>'Peers Stock History'!I894/'Peers Stock History'!I$1833*100</f>
        <v>219.11381407471762</v>
      </c>
      <c r="I891" s="871">
        <f>'Peers Stock History'!J894/'Peers Stock History'!J$1833*100</f>
        <v>128.10769394487602</v>
      </c>
      <c r="J891" s="871">
        <f>'Peers Stock History'!K894/'Peers Stock History'!K$1833*100</f>
        <v>140.81195097810101</v>
      </c>
    </row>
    <row r="892" spans="2:10">
      <c r="B892" s="870">
        <v>43719</v>
      </c>
      <c r="C892" s="871">
        <f>'Peers Stock History'!D895/'Peers Stock History'!D$1833*100</f>
        <v>146.4355062413315</v>
      </c>
      <c r="D892" s="871">
        <f>'Peers Stock History'!E895/'Peers Stock History'!E$1833*100</f>
        <v>169.11009174311928</v>
      </c>
      <c r="E892" s="871">
        <f>'Peers Stock History'!F895/'Peers Stock History'!F$1833*100</f>
        <v>223.75939849624058</v>
      </c>
      <c r="F892" s="871">
        <f>'Peers Stock History'!G895/'Peers Stock History'!G$1833*100</f>
        <v>137.45895407956846</v>
      </c>
      <c r="G892" s="871">
        <f>'Peers Stock History'!H895/'Peers Stock History'!H$1833*100</f>
        <v>144.67207145977957</v>
      </c>
      <c r="H892" s="871">
        <f>'Peers Stock History'!I895/'Peers Stock History'!I$1833*100</f>
        <v>219.28757602085142</v>
      </c>
      <c r="I892" s="871">
        <f>'Peers Stock History'!J895/'Peers Stock History'!J$1833*100</f>
        <v>127.73991699478557</v>
      </c>
      <c r="J892" s="871">
        <f>'Peers Stock History'!K895/'Peers Stock History'!K$1833*100</f>
        <v>140.38598215635869</v>
      </c>
    </row>
    <row r="893" spans="2:10">
      <c r="B893" s="870">
        <v>43718</v>
      </c>
      <c r="C893" s="871">
        <f>'Peers Stock History'!D896/'Peers Stock History'!D$1833*100</f>
        <v>143.74479889042996</v>
      </c>
      <c r="D893" s="871">
        <f>'Peers Stock History'!E896/'Peers Stock History'!E$1833*100</f>
        <v>168.05504587155963</v>
      </c>
      <c r="E893" s="871">
        <f>'Peers Stock History'!F896/'Peers Stock History'!F$1833*100</f>
        <v>227.29323308270673</v>
      </c>
      <c r="F893" s="871">
        <f>'Peers Stock History'!G896/'Peers Stock History'!G$1833*100</f>
        <v>136.40762203372432</v>
      </c>
      <c r="G893" s="871">
        <f>'Peers Stock History'!H896/'Peers Stock History'!H$1833*100</f>
        <v>142.93897762027282</v>
      </c>
      <c r="H893" s="871">
        <f>'Peers Stock History'!I896/'Peers Stock History'!I$1833*100</f>
        <v>214.55256298870546</v>
      </c>
      <c r="I893" s="871">
        <f>'Peers Stock History'!J896/'Peers Stock History'!J$1833*100</f>
        <v>126.82302862615728</v>
      </c>
      <c r="J893" s="871">
        <f>'Peers Stock History'!K896/'Peers Stock History'!K$1833*100</f>
        <v>138.91637339675296</v>
      </c>
    </row>
    <row r="894" spans="2:10">
      <c r="B894" s="870">
        <v>43717</v>
      </c>
      <c r="C894" s="871">
        <f>'Peers Stock History'!D897/'Peers Stock History'!D$1833*100</f>
        <v>143.10679611650488</v>
      </c>
      <c r="D894" s="871">
        <f>'Peers Stock History'!E897/'Peers Stock History'!E$1833*100</f>
        <v>165.59633027522935</v>
      </c>
      <c r="E894" s="871">
        <f>'Peers Stock History'!F897/'Peers Stock History'!F$1833*100</f>
        <v>229.32330827067665</v>
      </c>
      <c r="F894" s="871">
        <f>'Peers Stock History'!G897/'Peers Stock History'!G$1833*100</f>
        <v>138.18017368038196</v>
      </c>
      <c r="G894" s="871">
        <f>'Peers Stock History'!H897/'Peers Stock History'!H$1833*100</f>
        <v>142.0505849798534</v>
      </c>
      <c r="H894" s="871">
        <f>'Peers Stock History'!I897/'Peers Stock History'!I$1833*100</f>
        <v>213.42311033883581</v>
      </c>
      <c r="I894" s="871">
        <f>'Peers Stock History'!J897/'Peers Stock History'!J$1833*100</f>
        <v>126.78216452059168</v>
      </c>
      <c r="J894" s="871">
        <f>'Peers Stock History'!K897/'Peers Stock History'!K$1833*100</f>
        <v>138.97277057586297</v>
      </c>
    </row>
    <row r="895" spans="2:10">
      <c r="B895" s="870">
        <v>43716</v>
      </c>
      <c r="C895" s="871">
        <f>'Peers Stock History'!D898/'Peers Stock History'!D$1833*100</f>
        <v>141.24826629680999</v>
      </c>
      <c r="D895" s="871">
        <f>'Peers Stock History'!E898/'Peers Stock History'!E$1833*100</f>
        <v>163.89908256880733</v>
      </c>
      <c r="E895" s="871">
        <f>'Peers Stock History'!F898/'Peers Stock History'!F$1833*100</f>
        <v>229.77443609022555</v>
      </c>
      <c r="F895" s="871">
        <f>'Peers Stock History'!G898/'Peers Stock History'!G$1833*100</f>
        <v>137.46852521266436</v>
      </c>
      <c r="G895" s="871">
        <f>'Peers Stock History'!H898/'Peers Stock History'!H$1833*100</f>
        <v>141.71076265838147</v>
      </c>
      <c r="H895" s="871">
        <f>'Peers Stock History'!I898/'Peers Stock History'!I$1833*100</f>
        <v>212.72806255430061</v>
      </c>
      <c r="I895" s="871">
        <f>'Peers Stock History'!J898/'Peers Stock History'!J$1833*100</f>
        <v>126.79408321804833</v>
      </c>
      <c r="J895" s="871">
        <f>'Peers Stock History'!K898/'Peers Stock History'!K$1833*100</f>
        <v>139.24147340637586</v>
      </c>
    </row>
    <row r="896" spans="2:10">
      <c r="B896" s="870">
        <v>43715</v>
      </c>
      <c r="C896" s="871">
        <f>'Peers Stock History'!D899/'Peers Stock History'!D$1833*100</f>
        <v>141.24826629680999</v>
      </c>
      <c r="D896" s="871">
        <f>'Peers Stock History'!E899/'Peers Stock History'!E$1833*100</f>
        <v>163.89908256880733</v>
      </c>
      <c r="E896" s="871">
        <f>'Peers Stock History'!F899/'Peers Stock History'!F$1833*100</f>
        <v>229.77443609022555</v>
      </c>
      <c r="F896" s="871">
        <f>'Peers Stock History'!G899/'Peers Stock History'!G$1833*100</f>
        <v>137.46852521266436</v>
      </c>
      <c r="G896" s="871">
        <f>'Peers Stock History'!H899/'Peers Stock History'!H$1833*100</f>
        <v>141.71076265838147</v>
      </c>
      <c r="H896" s="871">
        <f>'Peers Stock History'!I899/'Peers Stock History'!I$1833*100</f>
        <v>212.72806255430061</v>
      </c>
      <c r="I896" s="871">
        <f>'Peers Stock History'!J899/'Peers Stock History'!J$1833*100</f>
        <v>126.79408321804833</v>
      </c>
      <c r="J896" s="871">
        <f>'Peers Stock History'!K899/'Peers Stock History'!K$1833*100</f>
        <v>139.24147340637586</v>
      </c>
    </row>
    <row r="897" spans="2:10">
      <c r="B897" s="870">
        <v>43714</v>
      </c>
      <c r="C897" s="871">
        <f>'Peers Stock History'!D900/'Peers Stock History'!D$1833*100</f>
        <v>141.24826629680999</v>
      </c>
      <c r="D897" s="871">
        <f>'Peers Stock History'!E900/'Peers Stock History'!E$1833*100</f>
        <v>163.89908256880733</v>
      </c>
      <c r="E897" s="871">
        <f>'Peers Stock History'!F900/'Peers Stock History'!F$1833*100</f>
        <v>229.77443609022555</v>
      </c>
      <c r="F897" s="871">
        <f>'Peers Stock History'!G900/'Peers Stock History'!G$1833*100</f>
        <v>137.46852521266436</v>
      </c>
      <c r="G897" s="871">
        <f>'Peers Stock History'!H900/'Peers Stock History'!H$1833*100</f>
        <v>141.71076265838147</v>
      </c>
      <c r="H897" s="871">
        <f>'Peers Stock History'!I900/'Peers Stock History'!I$1833*100</f>
        <v>212.72806255430061</v>
      </c>
      <c r="I897" s="871">
        <f>'Peers Stock History'!J900/'Peers Stock History'!J$1833*100</f>
        <v>126.79408321804833</v>
      </c>
      <c r="J897" s="871">
        <f>'Peers Stock History'!K900/'Peers Stock History'!K$1833*100</f>
        <v>139.24147340637586</v>
      </c>
    </row>
    <row r="898" spans="2:10">
      <c r="B898" s="870">
        <v>43713</v>
      </c>
      <c r="C898" s="871">
        <f>'Peers Stock History'!D901/'Peers Stock History'!D$1833*100</f>
        <v>138.9736477115118</v>
      </c>
      <c r="D898" s="871">
        <f>'Peers Stock History'!E901/'Peers Stock History'!E$1833*100</f>
        <v>164.89908256880733</v>
      </c>
      <c r="E898" s="871">
        <f>'Peers Stock History'!F901/'Peers Stock History'!F$1833*100</f>
        <v>236.84210526315786</v>
      </c>
      <c r="F898" s="871">
        <f>'Peers Stock History'!G901/'Peers Stock History'!G$1833*100</f>
        <v>136.86092408101362</v>
      </c>
      <c r="G898" s="871">
        <f>'Peers Stock History'!H901/'Peers Stock History'!H$1833*100</f>
        <v>141.27870284965286</v>
      </c>
      <c r="H898" s="871">
        <f>'Peers Stock History'!I901/'Peers Stock History'!I$1833*100</f>
        <v>212.98870547350131</v>
      </c>
      <c r="I898" s="871">
        <f>'Peers Stock History'!J901/'Peers Stock History'!J$1833*100</f>
        <v>126.67872725337874</v>
      </c>
      <c r="J898" s="871">
        <f>'Peers Stock History'!K901/'Peers Stock History'!K$1833*100</f>
        <v>139.47781917160415</v>
      </c>
    </row>
    <row r="899" spans="2:10">
      <c r="B899" s="870">
        <v>43712</v>
      </c>
      <c r="C899" s="871">
        <f>'Peers Stock History'!D902/'Peers Stock History'!D$1833*100</f>
        <v>135.70041608876562</v>
      </c>
      <c r="D899" s="871">
        <f>'Peers Stock History'!E902/'Peers Stock History'!E$1833*100</f>
        <v>154.8256880733945</v>
      </c>
      <c r="E899" s="871">
        <f>'Peers Stock History'!F902/'Peers Stock History'!F$1833*100</f>
        <v>232.70676691729321</v>
      </c>
      <c r="F899" s="871">
        <f>'Peers Stock History'!G902/'Peers Stock History'!G$1833*100</f>
        <v>134.02453798083155</v>
      </c>
      <c r="G899" s="871">
        <f>'Peers Stock History'!H902/'Peers Stock History'!H$1833*100</f>
        <v>137.39501917568813</v>
      </c>
      <c r="H899" s="871">
        <f>'Peers Stock History'!I902/'Peers Stock History'!I$1833*100</f>
        <v>203.3449174630756</v>
      </c>
      <c r="I899" s="871">
        <f>'Peers Stock History'!J902/'Peers Stock History'!J$1833*100</f>
        <v>125.05182505054806</v>
      </c>
      <c r="J899" s="871">
        <f>'Peers Stock History'!K902/'Peers Stock History'!K$1833*100</f>
        <v>137.07298296743332</v>
      </c>
    </row>
    <row r="900" spans="2:10">
      <c r="B900" s="870">
        <v>43711</v>
      </c>
      <c r="C900" s="871">
        <f>'Peers Stock History'!D903/'Peers Stock History'!D$1833*100</f>
        <v>130.31900138696255</v>
      </c>
      <c r="D900" s="871">
        <f>'Peers Stock History'!E903/'Peers Stock History'!E$1833*100</f>
        <v>150.61467889908255</v>
      </c>
      <c r="E900" s="871">
        <f>'Peers Stock History'!F903/'Peers Stock History'!F$1833*100</f>
        <v>232.33082706766916</v>
      </c>
      <c r="F900" s="871">
        <f>'Peers Stock History'!G903/'Peers Stock History'!G$1833*100</f>
        <v>131.76438946577355</v>
      </c>
      <c r="G900" s="871">
        <f>'Peers Stock History'!H903/'Peers Stock History'!H$1833*100</f>
        <v>133.04043885625515</v>
      </c>
      <c r="H900" s="871">
        <f>'Peers Stock History'!I903/'Peers Stock History'!I$1833*100</f>
        <v>195.43874891398784</v>
      </c>
      <c r="I900" s="871">
        <f>'Peers Stock History'!J903/'Peers Stock History'!J$1833*100</f>
        <v>123.71054591891028</v>
      </c>
      <c r="J900" s="871">
        <f>'Peers Stock History'!K903/'Peers Stock History'!K$1833*100</f>
        <v>135.30783030669619</v>
      </c>
    </row>
    <row r="901" spans="2:10">
      <c r="B901" s="870">
        <v>43710</v>
      </c>
      <c r="C901" s="871">
        <f>'Peers Stock History'!D904/'Peers Stock History'!D$1833*100</f>
        <v>131.51178918169208</v>
      </c>
      <c r="D901" s="871">
        <f>'Peers Stock History'!E904/'Peers Stock History'!E$1833*100</f>
        <v>153.67889908256879</v>
      </c>
      <c r="E901" s="871">
        <f>'Peers Stock History'!F904/'Peers Stock History'!F$1833*100</f>
        <v>236.46616541353382</v>
      </c>
      <c r="F901" s="871">
        <f>'Peers Stock History'!G904/'Peers Stock History'!G$1833*100</f>
        <v>133.50766247180599</v>
      </c>
      <c r="G901" s="871">
        <f>'Peers Stock History'!H904/'Peers Stock History'!H$1833*100</f>
        <v>137.2105442011748</v>
      </c>
      <c r="H901" s="871">
        <f>'Peers Stock History'!I904/'Peers Stock History'!I$1833*100</f>
        <v>196.65508253692443</v>
      </c>
      <c r="I901" s="871">
        <f>'Peers Stock History'!J904/'Peers Stock History'!J$1833*100</f>
        <v>124.56996913908694</v>
      </c>
      <c r="J901" s="871">
        <f>'Peers Stock History'!K904/'Peers Stock History'!K$1833*100</f>
        <v>136.83244435890737</v>
      </c>
    </row>
    <row r="902" spans="2:10">
      <c r="B902" s="870">
        <v>43709</v>
      </c>
      <c r="C902" s="871">
        <f>'Peers Stock History'!D905/'Peers Stock History'!D$1833*100</f>
        <v>131.51178918169208</v>
      </c>
      <c r="D902" s="871">
        <f>'Peers Stock History'!E905/'Peers Stock History'!E$1833*100</f>
        <v>153.67889908256879</v>
      </c>
      <c r="E902" s="871">
        <f>'Peers Stock History'!F905/'Peers Stock History'!F$1833*100</f>
        <v>236.46616541353382</v>
      </c>
      <c r="F902" s="871">
        <f>'Peers Stock History'!G905/'Peers Stock History'!G$1833*100</f>
        <v>134.52978171351</v>
      </c>
      <c r="G902" s="871">
        <f>'Peers Stock History'!H905/'Peers Stock History'!H$1833*100</f>
        <v>137.2105442011748</v>
      </c>
      <c r="H902" s="871">
        <f>'Peers Stock History'!I905/'Peers Stock History'!I$1833*100</f>
        <v>196.65508253692443</v>
      </c>
      <c r="I902" s="871">
        <f>'Peers Stock History'!J905/'Peers Stock History'!J$1833*100</f>
        <v>124.56996913908694</v>
      </c>
      <c r="J902" s="871">
        <f>'Peers Stock History'!K905/'Peers Stock History'!K$1833*100</f>
        <v>136.83244435890737</v>
      </c>
    </row>
    <row r="903" spans="2:10">
      <c r="B903" s="870">
        <v>43708</v>
      </c>
      <c r="C903" s="871">
        <f>'Peers Stock History'!D906/'Peers Stock History'!D$1833*100</f>
        <v>131.51178918169208</v>
      </c>
      <c r="D903" s="871">
        <f>'Peers Stock History'!E906/'Peers Stock History'!E$1833*100</f>
        <v>153.67889908256879</v>
      </c>
      <c r="E903" s="871">
        <f>'Peers Stock History'!F906/'Peers Stock History'!F$1833*100</f>
        <v>236.46616541353382</v>
      </c>
      <c r="F903" s="871">
        <f>'Peers Stock History'!G906/'Peers Stock History'!G$1833*100</f>
        <v>134.52978171351</v>
      </c>
      <c r="G903" s="871">
        <f>'Peers Stock History'!H906/'Peers Stock History'!H$1833*100</f>
        <v>137.2105442011748</v>
      </c>
      <c r="H903" s="871">
        <f>'Peers Stock History'!I906/'Peers Stock History'!I$1833*100</f>
        <v>196.65508253692443</v>
      </c>
      <c r="I903" s="871">
        <f>'Peers Stock History'!J906/'Peers Stock History'!J$1833*100</f>
        <v>124.56996913908694</v>
      </c>
      <c r="J903" s="871">
        <f>'Peers Stock History'!K906/'Peers Stock History'!K$1833*100</f>
        <v>136.83244435890737</v>
      </c>
    </row>
    <row r="904" spans="2:10">
      <c r="B904" s="870">
        <v>43707</v>
      </c>
      <c r="C904" s="871">
        <f>'Peers Stock History'!D907/'Peers Stock History'!D$1833*100</f>
        <v>131.51178918169208</v>
      </c>
      <c r="D904" s="871">
        <f>'Peers Stock History'!E907/'Peers Stock History'!E$1833*100</f>
        <v>153.67889908256879</v>
      </c>
      <c r="E904" s="871">
        <f>'Peers Stock History'!F907/'Peers Stock History'!F$1833*100</f>
        <v>236.46616541353382</v>
      </c>
      <c r="F904" s="871">
        <f>'Peers Stock History'!G907/'Peers Stock History'!G$1833*100</f>
        <v>134.52978171351</v>
      </c>
      <c r="G904" s="871">
        <f>'Peers Stock History'!H907/'Peers Stock History'!H$1833*100</f>
        <v>137.2105442011748</v>
      </c>
      <c r="H904" s="871">
        <f>'Peers Stock History'!I907/'Peers Stock History'!I$1833*100</f>
        <v>196.65508253692443</v>
      </c>
      <c r="I904" s="871">
        <f>'Peers Stock History'!J907/'Peers Stock History'!J$1833*100</f>
        <v>124.56996913908694</v>
      </c>
      <c r="J904" s="871">
        <f>'Peers Stock History'!K907/'Peers Stock History'!K$1833*100</f>
        <v>136.83244435890737</v>
      </c>
    </row>
    <row r="905" spans="2:10">
      <c r="B905" s="870">
        <v>43706</v>
      </c>
      <c r="C905" s="871">
        <f>'Peers Stock History'!D908/'Peers Stock History'!D$1833*100</f>
        <v>130.0138696255201</v>
      </c>
      <c r="D905" s="871">
        <f>'Peers Stock History'!E908/'Peers Stock History'!E$1833*100</f>
        <v>153.21100917431193</v>
      </c>
      <c r="E905" s="871">
        <f>'Peers Stock History'!F908/'Peers Stock History'!F$1833*100</f>
        <v>236.46616541353382</v>
      </c>
      <c r="F905" s="871">
        <f>'Peers Stock History'!G908/'Peers Stock History'!G$1833*100</f>
        <v>131.97903743149215</v>
      </c>
      <c r="G905" s="871">
        <f>'Peers Stock History'!H908/'Peers Stock History'!H$1833*100</f>
        <v>137.56493033642408</v>
      </c>
      <c r="H905" s="871">
        <f>'Peers Stock History'!I908/'Peers Stock History'!I$1833*100</f>
        <v>194.04865334491748</v>
      </c>
      <c r="I905" s="871">
        <f>'Peers Stock History'!J908/'Peers Stock History'!J$1833*100</f>
        <v>124.48994359902098</v>
      </c>
      <c r="J905" s="871">
        <f>'Peers Stock History'!K908/'Peers Stock History'!K$1833*100</f>
        <v>137.01308029638594</v>
      </c>
    </row>
    <row r="906" spans="2:10">
      <c r="B906" s="870">
        <v>43705</v>
      </c>
      <c r="C906" s="871">
        <f>'Peers Stock History'!D909/'Peers Stock History'!D$1833*100</f>
        <v>127.01803051317614</v>
      </c>
      <c r="D906" s="871">
        <f>'Peers Stock History'!E909/'Peers Stock History'!E$1833*100</f>
        <v>147.90825688073394</v>
      </c>
      <c r="E906" s="871">
        <f>'Peers Stock History'!F909/'Peers Stock History'!F$1833*100</f>
        <v>231.42857142857142</v>
      </c>
      <c r="F906" s="871">
        <f>'Peers Stock History'!G909/'Peers Stock History'!G$1833*100</f>
        <v>130.58112742755824</v>
      </c>
      <c r="G906" s="871">
        <f>'Peers Stock History'!H909/'Peers Stock History'!H$1833*100</f>
        <v>134.01621437933881</v>
      </c>
      <c r="H906" s="871">
        <f>'Peers Stock History'!I909/'Peers Stock History'!I$1833*100</f>
        <v>187.44569939183319</v>
      </c>
      <c r="I906" s="871">
        <f>'Peers Stock History'!J909/'Peers Stock History'!J$1833*100</f>
        <v>122.93029690326701</v>
      </c>
      <c r="J906" s="871">
        <f>'Peers Stock History'!K909/'Peers Stock History'!K$1833*100</f>
        <v>135.01096325419627</v>
      </c>
    </row>
    <row r="907" spans="2:10">
      <c r="B907" s="870">
        <v>43704</v>
      </c>
      <c r="C907" s="871">
        <f>'Peers Stock History'!D910/'Peers Stock History'!D$1833*100</f>
        <v>127.01803051317614</v>
      </c>
      <c r="D907" s="871">
        <f>'Peers Stock History'!E910/'Peers Stock History'!E$1833*100</f>
        <v>148.44036697247708</v>
      </c>
      <c r="E907" s="871">
        <f>'Peers Stock History'!F910/'Peers Stock History'!F$1833*100</f>
        <v>227.06766917293231</v>
      </c>
      <c r="F907" s="871">
        <f>'Peers Stock History'!G910/'Peers Stock History'!G$1833*100</f>
        <v>129.503516918732</v>
      </c>
      <c r="G907" s="871">
        <f>'Peers Stock History'!H910/'Peers Stock History'!H$1833*100</f>
        <v>133.77833875430844</v>
      </c>
      <c r="H907" s="871">
        <f>'Peers Stock History'!I910/'Peers Stock History'!I$1833*100</f>
        <v>184.36142484795829</v>
      </c>
      <c r="I907" s="871">
        <f>'Peers Stock History'!J910/'Peers Stock History'!J$1833*100</f>
        <v>122.13089283813983</v>
      </c>
      <c r="J907" s="871">
        <f>'Peers Stock History'!K910/'Peers Stock History'!K$1833*100</f>
        <v>134.49654949617147</v>
      </c>
    </row>
    <row r="908" spans="2:10">
      <c r="B908" s="870">
        <v>43703</v>
      </c>
      <c r="C908" s="871">
        <f>'Peers Stock History'!D911/'Peers Stock History'!D$1833*100</f>
        <v>126.38002773925106</v>
      </c>
      <c r="D908" s="871">
        <f>'Peers Stock History'!E911/'Peers Stock History'!E$1833*100</f>
        <v>151.78899082568807</v>
      </c>
      <c r="E908" s="871">
        <f>'Peers Stock History'!F911/'Peers Stock History'!F$1833*100</f>
        <v>227.66917293233084</v>
      </c>
      <c r="F908" s="871">
        <f>'Peers Stock History'!G911/'Peers Stock History'!G$1833*100</f>
        <v>128.83316276725475</v>
      </c>
      <c r="G908" s="871">
        <f>'Peers Stock History'!H911/'Peers Stock History'!H$1833*100</f>
        <v>134.57934851206369</v>
      </c>
      <c r="H908" s="871">
        <f>'Peers Stock History'!I911/'Peers Stock History'!I$1833*100</f>
        <v>188.66203301476975</v>
      </c>
      <c r="I908" s="871">
        <f>'Peers Stock History'!J911/'Peers Stock History'!J$1833*100</f>
        <v>122.52335851867618</v>
      </c>
      <c r="J908" s="871">
        <f>'Peers Stock History'!K911/'Peers Stock History'!K$1833*100</f>
        <v>134.95688588592719</v>
      </c>
    </row>
    <row r="909" spans="2:10">
      <c r="B909" s="870">
        <v>43702</v>
      </c>
      <c r="C909" s="871">
        <f>'Peers Stock History'!D912/'Peers Stock History'!D$1833*100</f>
        <v>124.71567267683774</v>
      </c>
      <c r="D909" s="871">
        <f>'Peers Stock History'!E912/'Peers Stock History'!E$1833*100</f>
        <v>149.02752293577981</v>
      </c>
      <c r="E909" s="871">
        <f>'Peers Stock History'!F912/'Peers Stock History'!F$1833*100</f>
        <v>222.10526315789471</v>
      </c>
      <c r="F909" s="871">
        <f>'Peers Stock History'!G912/'Peers Stock History'!G$1833*100</f>
        <v>131.50856885539716</v>
      </c>
      <c r="G909" s="871">
        <f>'Peers Stock History'!H912/'Peers Stock History'!H$1833*100</f>
        <v>132.1083547745036</v>
      </c>
      <c r="H909" s="871">
        <f>'Peers Stock History'!I912/'Peers Stock History'!I$1833*100</f>
        <v>186.62033014769764</v>
      </c>
      <c r="I909" s="871">
        <f>'Peers Stock History'!J912/'Peers Stock History'!J$1833*100</f>
        <v>121.19229541342982</v>
      </c>
      <c r="J909" s="871">
        <f>'Peers Stock History'!K912/'Peers Stock History'!K$1833*100</f>
        <v>133.20467261454712</v>
      </c>
    </row>
    <row r="910" spans="2:10">
      <c r="B910" s="870">
        <v>43701</v>
      </c>
      <c r="C910" s="871">
        <f>'Peers Stock History'!D913/'Peers Stock History'!D$1833*100</f>
        <v>124.71567267683774</v>
      </c>
      <c r="D910" s="871">
        <f>'Peers Stock History'!E913/'Peers Stock History'!E$1833*100</f>
        <v>149.02752293577981</v>
      </c>
      <c r="E910" s="871">
        <f>'Peers Stock History'!F913/'Peers Stock History'!F$1833*100</f>
        <v>222.10526315789471</v>
      </c>
      <c r="F910" s="871">
        <f>'Peers Stock History'!G913/'Peers Stock History'!G$1833*100</f>
        <v>131.50856885539716</v>
      </c>
      <c r="G910" s="871">
        <f>'Peers Stock History'!H913/'Peers Stock History'!H$1833*100</f>
        <v>132.1083547745036</v>
      </c>
      <c r="H910" s="871">
        <f>'Peers Stock History'!I913/'Peers Stock History'!I$1833*100</f>
        <v>186.62033014769764</v>
      </c>
      <c r="I910" s="871">
        <f>'Peers Stock History'!J913/'Peers Stock History'!J$1833*100</f>
        <v>121.19229541342982</v>
      </c>
      <c r="J910" s="871">
        <f>'Peers Stock History'!K913/'Peers Stock History'!K$1833*100</f>
        <v>133.20467261454712</v>
      </c>
    </row>
    <row r="911" spans="2:10">
      <c r="B911" s="870">
        <v>43700</v>
      </c>
      <c r="C911" s="871">
        <f>'Peers Stock History'!D914/'Peers Stock History'!D$1833*100</f>
        <v>124.71567267683774</v>
      </c>
      <c r="D911" s="871">
        <f>'Peers Stock History'!E914/'Peers Stock History'!E$1833*100</f>
        <v>149.02752293577981</v>
      </c>
      <c r="E911" s="871">
        <f>'Peers Stock History'!F914/'Peers Stock History'!F$1833*100</f>
        <v>222.10526315789471</v>
      </c>
      <c r="F911" s="871">
        <f>'Peers Stock History'!G914/'Peers Stock History'!G$1833*100</f>
        <v>131.50856885539716</v>
      </c>
      <c r="G911" s="871">
        <f>'Peers Stock History'!H914/'Peers Stock History'!H$1833*100</f>
        <v>132.1083547745036</v>
      </c>
      <c r="H911" s="871">
        <f>'Peers Stock History'!I914/'Peers Stock History'!I$1833*100</f>
        <v>186.62033014769764</v>
      </c>
      <c r="I911" s="871">
        <f>'Peers Stock History'!J914/'Peers Stock History'!J$1833*100</f>
        <v>121.19229541342982</v>
      </c>
      <c r="J911" s="871">
        <f>'Peers Stock History'!K914/'Peers Stock History'!K$1833*100</f>
        <v>133.20467261454712</v>
      </c>
    </row>
    <row r="912" spans="2:10">
      <c r="B912" s="870">
        <v>43699</v>
      </c>
      <c r="C912" s="871">
        <f>'Peers Stock History'!D915/'Peers Stock History'!D$1833*100</f>
        <v>129.76421636615814</v>
      </c>
      <c r="D912" s="871">
        <f>'Peers Stock History'!E915/'Peers Stock History'!E$1833*100</f>
        <v>157.32110091743118</v>
      </c>
      <c r="E912" s="871">
        <f>'Peers Stock History'!F915/'Peers Stock History'!F$1833*100</f>
        <v>239.84962406015035</v>
      </c>
      <c r="F912" s="871">
        <f>'Peers Stock History'!G915/'Peers Stock History'!G$1833*100</f>
        <v>131.74338312239669</v>
      </c>
      <c r="G912" s="871">
        <f>'Peers Stock History'!H915/'Peers Stock History'!H$1833*100</f>
        <v>139.62813728821789</v>
      </c>
      <c r="H912" s="871">
        <f>'Peers Stock History'!I915/'Peers Stock History'!I$1833*100</f>
        <v>194.52649869678541</v>
      </c>
      <c r="I912" s="871">
        <f>'Peers Stock History'!J915/'Peers Stock History'!J$1833*100</f>
        <v>124.42055975311268</v>
      </c>
      <c r="J912" s="871">
        <f>'Peers Stock History'!K915/'Peers Stock History'!K$1833*100</f>
        <v>137.32228530580264</v>
      </c>
    </row>
    <row r="913" spans="2:10">
      <c r="B913" s="870">
        <v>43698</v>
      </c>
      <c r="C913" s="871">
        <f>'Peers Stock History'!D916/'Peers Stock History'!D$1833*100</f>
        <v>130.79056865464634</v>
      </c>
      <c r="D913" s="871">
        <f>'Peers Stock History'!E916/'Peers Stock History'!E$1833*100</f>
        <v>157.09174311926603</v>
      </c>
      <c r="E913" s="871">
        <f>'Peers Stock History'!F916/'Peers Stock History'!F$1833*100</f>
        <v>238.34586466165413</v>
      </c>
      <c r="F913" s="871">
        <f>'Peers Stock History'!G916/'Peers Stock History'!G$1833*100</f>
        <v>132.14597729743446</v>
      </c>
      <c r="G913" s="871">
        <f>'Peers Stock History'!H916/'Peers Stock History'!H$1833*100</f>
        <v>139.5698820331084</v>
      </c>
      <c r="H913" s="871">
        <f>'Peers Stock History'!I916/'Peers Stock History'!I$1833*100</f>
        <v>191.87662901824501</v>
      </c>
      <c r="I913" s="871">
        <f>'Peers Stock History'!J916/'Peers Stock History'!J$1833*100</f>
        <v>124.48355858252633</v>
      </c>
      <c r="J913" s="871">
        <f>'Peers Stock History'!K916/'Peers Stock History'!K$1833*100</f>
        <v>137.81752196087595</v>
      </c>
    </row>
    <row r="914" spans="2:10">
      <c r="B914" s="870">
        <v>43697</v>
      </c>
      <c r="C914" s="871">
        <f>'Peers Stock History'!D917/'Peers Stock History'!D$1833*100</f>
        <v>129.26490984743413</v>
      </c>
      <c r="D914" s="871">
        <f>'Peers Stock History'!E917/'Peers Stock History'!E$1833*100</f>
        <v>154.00917431192659</v>
      </c>
      <c r="E914" s="871">
        <f>'Peers Stock History'!F917/'Peers Stock History'!F$1833*100</f>
        <v>230.97744360902252</v>
      </c>
      <c r="F914" s="871">
        <f>'Peers Stock History'!G917/'Peers Stock History'!G$1833*100</f>
        <v>132.15441385231028</v>
      </c>
      <c r="G914" s="871">
        <f>'Peers Stock History'!H917/'Peers Stock History'!H$1833*100</f>
        <v>136.10854895868732</v>
      </c>
      <c r="H914" s="871">
        <f>'Peers Stock History'!I917/'Peers Stock History'!I$1833*100</f>
        <v>192.13727193744569</v>
      </c>
      <c r="I914" s="871">
        <f>'Peers Stock History'!J917/'Peers Stock History'!J$1833*100</f>
        <v>123.46536128551666</v>
      </c>
      <c r="J914" s="871">
        <f>'Peers Stock History'!K917/'Peers Stock History'!K$1833*100</f>
        <v>136.58633820436333</v>
      </c>
    </row>
    <row r="915" spans="2:10">
      <c r="B915" s="870">
        <v>43696</v>
      </c>
      <c r="C915" s="871">
        <f>'Peers Stock History'!D918/'Peers Stock History'!D$1833*100</f>
        <v>131.0124826629681</v>
      </c>
      <c r="D915" s="871">
        <f>'Peers Stock History'!E918/'Peers Stock History'!E$1833*100</f>
        <v>156.67889908256879</v>
      </c>
      <c r="E915" s="871">
        <f>'Peers Stock History'!F918/'Peers Stock History'!F$1833*100</f>
        <v>236.69172932330827</v>
      </c>
      <c r="F915" s="871">
        <f>'Peers Stock History'!G918/'Peers Stock History'!G$1833*100</f>
        <v>130.7018662585555</v>
      </c>
      <c r="G915" s="871">
        <f>'Peers Stock History'!H918/'Peers Stock History'!H$1833*100</f>
        <v>135.33666682848678</v>
      </c>
      <c r="H915" s="871">
        <f>'Peers Stock History'!I918/'Peers Stock History'!I$1833*100</f>
        <v>195.52562988705472</v>
      </c>
      <c r="I915" s="871">
        <f>'Peers Stock History'!J918/'Peers Stock History'!J$1833*100</f>
        <v>124.4503564967543</v>
      </c>
      <c r="J915" s="871">
        <f>'Peers Stock History'!K918/'Peers Stock History'!K$1833*100</f>
        <v>137.51859285429526</v>
      </c>
    </row>
    <row r="916" spans="2:10">
      <c r="B916" s="870">
        <v>43695</v>
      </c>
      <c r="C916" s="871">
        <f>'Peers Stock History'!D919/'Peers Stock History'!D$1833*100</f>
        <v>128.9875173370319</v>
      </c>
      <c r="D916" s="871">
        <f>'Peers Stock History'!E919/'Peers Stock History'!E$1833*100</f>
        <v>146.38532110091745</v>
      </c>
      <c r="E916" s="871">
        <f>'Peers Stock History'!F919/'Peers Stock History'!F$1833*100</f>
        <v>234.4360902255639</v>
      </c>
      <c r="F916" s="871">
        <f>'Peers Stock History'!G919/'Peers Stock History'!G$1833*100</f>
        <v>129.92552767639819</v>
      </c>
      <c r="G916" s="871">
        <f>'Peers Stock History'!H919/'Peers Stock History'!H$1833*100</f>
        <v>132.90936453225882</v>
      </c>
      <c r="H916" s="871">
        <f>'Peers Stock History'!I919/'Peers Stock History'!I$1833*100</f>
        <v>189.18331885317116</v>
      </c>
      <c r="I916" s="871">
        <f>'Peers Stock History'!J919/'Peers Stock History'!J$1833*100</f>
        <v>122.96179631797382</v>
      </c>
      <c r="J916" s="871">
        <f>'Peers Stock History'!K919/'Peers Stock History'!K$1833*100</f>
        <v>135.68305541426668</v>
      </c>
    </row>
    <row r="917" spans="2:10">
      <c r="B917" s="870">
        <v>43694</v>
      </c>
      <c r="C917" s="871">
        <f>'Peers Stock History'!D920/'Peers Stock History'!D$1833*100</f>
        <v>128.9875173370319</v>
      </c>
      <c r="D917" s="871">
        <f>'Peers Stock History'!E920/'Peers Stock History'!E$1833*100</f>
        <v>146.38532110091745</v>
      </c>
      <c r="E917" s="871">
        <f>'Peers Stock History'!F920/'Peers Stock History'!F$1833*100</f>
        <v>234.4360902255639</v>
      </c>
      <c r="F917" s="871">
        <f>'Peers Stock History'!G920/'Peers Stock History'!G$1833*100</f>
        <v>129.92552767639819</v>
      </c>
      <c r="G917" s="871">
        <f>'Peers Stock History'!H920/'Peers Stock History'!H$1833*100</f>
        <v>132.90936453225882</v>
      </c>
      <c r="H917" s="871">
        <f>'Peers Stock History'!I920/'Peers Stock History'!I$1833*100</f>
        <v>189.18331885317116</v>
      </c>
      <c r="I917" s="871">
        <f>'Peers Stock History'!J920/'Peers Stock History'!J$1833*100</f>
        <v>122.96179631797382</v>
      </c>
      <c r="J917" s="871">
        <f>'Peers Stock History'!K920/'Peers Stock History'!K$1833*100</f>
        <v>135.68305541426668</v>
      </c>
    </row>
    <row r="918" spans="2:10">
      <c r="B918" s="870">
        <v>43693</v>
      </c>
      <c r="C918" s="871">
        <f>'Peers Stock History'!D921/'Peers Stock History'!D$1833*100</f>
        <v>128.9875173370319</v>
      </c>
      <c r="D918" s="871">
        <f>'Peers Stock History'!E921/'Peers Stock History'!E$1833*100</f>
        <v>146.38532110091745</v>
      </c>
      <c r="E918" s="871">
        <f>'Peers Stock History'!F921/'Peers Stock History'!F$1833*100</f>
        <v>234.4360902255639</v>
      </c>
      <c r="F918" s="871">
        <f>'Peers Stock History'!G921/'Peers Stock History'!G$1833*100</f>
        <v>129.92552767639819</v>
      </c>
      <c r="G918" s="871">
        <f>'Peers Stock History'!H921/'Peers Stock History'!H$1833*100</f>
        <v>132.90936453225882</v>
      </c>
      <c r="H918" s="871">
        <f>'Peers Stock History'!I921/'Peers Stock History'!I$1833*100</f>
        <v>189.18331885317116</v>
      </c>
      <c r="I918" s="871">
        <f>'Peers Stock History'!J921/'Peers Stock History'!J$1833*100</f>
        <v>122.96179631797382</v>
      </c>
      <c r="J918" s="871">
        <f>'Peers Stock History'!K921/'Peers Stock History'!K$1833*100</f>
        <v>135.68305541426668</v>
      </c>
    </row>
    <row r="919" spans="2:10">
      <c r="B919" s="870">
        <v>43692</v>
      </c>
      <c r="C919" s="871">
        <f>'Peers Stock History'!D922/'Peers Stock History'!D$1833*100</f>
        <v>126.76837725381415</v>
      </c>
      <c r="D919" s="871">
        <f>'Peers Stock History'!E922/'Peers Stock History'!E$1833*100</f>
        <v>136.48623853211009</v>
      </c>
      <c r="E919" s="871">
        <f>'Peers Stock History'!F922/'Peers Stock History'!F$1833*100</f>
        <v>223.08270676691731</v>
      </c>
      <c r="F919" s="871">
        <f>'Peers Stock History'!G922/'Peers Stock History'!G$1833*100</f>
        <v>128.93967496370985</v>
      </c>
      <c r="G919" s="871">
        <f>'Peers Stock History'!H922/'Peers Stock History'!H$1833*100</f>
        <v>130.41409777173646</v>
      </c>
      <c r="H919" s="871">
        <f>'Peers Stock History'!I922/'Peers Stock History'!I$1833*100</f>
        <v>183.49261511728932</v>
      </c>
      <c r="I919" s="871">
        <f>'Peers Stock History'!J922/'Peers Stock History'!J$1833*100</f>
        <v>121.21315313397893</v>
      </c>
      <c r="J919" s="871">
        <f>'Peers Stock History'!K922/'Peers Stock History'!K$1833*100</f>
        <v>133.45986899083076</v>
      </c>
    </row>
    <row r="920" spans="2:10">
      <c r="B920" s="870">
        <v>43691</v>
      </c>
      <c r="C920" s="871">
        <f>'Peers Stock History'!D923/'Peers Stock History'!D$1833*100</f>
        <v>127.23994452149792</v>
      </c>
      <c r="D920" s="871">
        <f>'Peers Stock History'!E923/'Peers Stock History'!E$1833*100</f>
        <v>137.67889908256882</v>
      </c>
      <c r="E920" s="871">
        <f>'Peers Stock History'!F923/'Peers Stock History'!F$1833*100</f>
        <v>227.36842105263156</v>
      </c>
      <c r="F920" s="871">
        <f>'Peers Stock History'!G923/'Peers Stock History'!G$1833*100</f>
        <v>129.26097467802612</v>
      </c>
      <c r="G920" s="871">
        <f>'Peers Stock History'!H923/'Peers Stock History'!H$1833*100</f>
        <v>131.83164231273363</v>
      </c>
      <c r="H920" s="871">
        <f>'Peers Stock History'!I923/'Peers Stock History'!I$1833*100</f>
        <v>182.62380538662032</v>
      </c>
      <c r="I920" s="871">
        <f>'Peers Stock History'!J923/'Peers Stock History'!J$1833*100</f>
        <v>120.91518569756306</v>
      </c>
      <c r="J920" s="871">
        <f>'Peers Stock History'!K923/'Peers Stock History'!K$1833*100</f>
        <v>133.58568865732786</v>
      </c>
    </row>
    <row r="921" spans="2:10">
      <c r="B921" s="870">
        <v>43690</v>
      </c>
      <c r="C921" s="871">
        <f>'Peers Stock History'!D924/'Peers Stock History'!D$1833*100</f>
        <v>129.93065187239947</v>
      </c>
      <c r="D921" s="871">
        <f>'Peers Stock History'!E924/'Peers Stock History'!E$1833*100</f>
        <v>143.16513761467891</v>
      </c>
      <c r="E921" s="871">
        <f>'Peers Stock History'!F924/'Peers Stock History'!F$1833*100</f>
        <v>241.42857142857142</v>
      </c>
      <c r="F921" s="871">
        <f>'Peers Stock History'!G924/'Peers Stock History'!G$1833*100</f>
        <v>128.75236824472631</v>
      </c>
      <c r="G921" s="871">
        <f>'Peers Stock History'!H924/'Peers Stock History'!H$1833*100</f>
        <v>137.72513228797513</v>
      </c>
      <c r="H921" s="871">
        <f>'Peers Stock History'!I924/'Peers Stock History'!I$1833*100</f>
        <v>191.87662901824501</v>
      </c>
      <c r="I921" s="871">
        <f>'Peers Stock History'!J924/'Peers Stock History'!J$1833*100</f>
        <v>124.56400979035864</v>
      </c>
      <c r="J921" s="871">
        <f>'Peers Stock History'!K924/'Peers Stock History'!K$1833*100</f>
        <v>137.75138157623414</v>
      </c>
    </row>
    <row r="922" spans="2:10">
      <c r="B922" s="870">
        <v>43689</v>
      </c>
      <c r="C922" s="871">
        <f>'Peers Stock History'!D925/'Peers Stock History'!D$1833*100</f>
        <v>126.49098474341194</v>
      </c>
      <c r="D922" s="871">
        <f>'Peers Stock History'!E925/'Peers Stock History'!E$1833*100</f>
        <v>138.94495412844034</v>
      </c>
      <c r="E922" s="871">
        <f>'Peers Stock History'!F925/'Peers Stock History'!F$1833*100</f>
        <v>243.83458646616538</v>
      </c>
      <c r="F922" s="871">
        <f>'Peers Stock History'!G925/'Peers Stock History'!G$1833*100</f>
        <v>129.79008034477064</v>
      </c>
      <c r="G922" s="871">
        <f>'Peers Stock History'!H925/'Peers Stock History'!H$1833*100</f>
        <v>133.81232098645563</v>
      </c>
      <c r="H922" s="871">
        <f>'Peers Stock History'!I925/'Peers Stock History'!I$1833*100</f>
        <v>183.01476976542139</v>
      </c>
      <c r="I922" s="871">
        <f>'Peers Stock History'!J925/'Peers Stock History'!J$1833*100</f>
        <v>122.75194210918379</v>
      </c>
      <c r="J922" s="871">
        <f>'Peers Stock History'!K925/'Peers Stock History'!K$1833*100</f>
        <v>135.12315617997609</v>
      </c>
    </row>
    <row r="923" spans="2:10">
      <c r="B923" s="870">
        <v>43688</v>
      </c>
      <c r="C923" s="871">
        <f>'Peers Stock History'!D926/'Peers Stock History'!D$1833*100</f>
        <v>127.54507628294036</v>
      </c>
      <c r="D923" s="871">
        <f>'Peers Stock History'!E926/'Peers Stock History'!E$1833*100</f>
        <v>141.44954128440367</v>
      </c>
      <c r="E923" s="871">
        <f>'Peers Stock History'!F926/'Peers Stock History'!F$1833*100</f>
        <v>257.06766917293231</v>
      </c>
      <c r="F923" s="871">
        <f>'Peers Stock History'!G926/'Peers Stock History'!G$1833*100</f>
        <v>131.80343679432764</v>
      </c>
      <c r="G923" s="871">
        <f>'Peers Stock History'!H926/'Peers Stock History'!H$1833*100</f>
        <v>133.85601242778776</v>
      </c>
      <c r="H923" s="871">
        <f>'Peers Stock History'!I926/'Peers Stock History'!I$1833*100</f>
        <v>180.36490008688099</v>
      </c>
      <c r="I923" s="871">
        <f>'Peers Stock History'!J926/'Peers Stock History'!J$1833*100</f>
        <v>124.23752261360008</v>
      </c>
      <c r="J923" s="871">
        <f>'Peers Stock History'!K926/'Peers Stock History'!K$1833*100</f>
        <v>136.76814263915429</v>
      </c>
    </row>
    <row r="924" spans="2:10">
      <c r="B924" s="870">
        <v>43687</v>
      </c>
      <c r="C924" s="871">
        <f>'Peers Stock History'!D927/'Peers Stock History'!D$1833*100</f>
        <v>127.54507628294036</v>
      </c>
      <c r="D924" s="871">
        <f>'Peers Stock History'!E927/'Peers Stock History'!E$1833*100</f>
        <v>141.44954128440367</v>
      </c>
      <c r="E924" s="871">
        <f>'Peers Stock History'!F927/'Peers Stock History'!F$1833*100</f>
        <v>257.06766917293231</v>
      </c>
      <c r="F924" s="871">
        <f>'Peers Stock History'!G927/'Peers Stock History'!G$1833*100</f>
        <v>131.80343679432764</v>
      </c>
      <c r="G924" s="871">
        <f>'Peers Stock History'!H927/'Peers Stock History'!H$1833*100</f>
        <v>133.85601242778776</v>
      </c>
      <c r="H924" s="871">
        <f>'Peers Stock History'!I927/'Peers Stock History'!I$1833*100</f>
        <v>180.36490008688099</v>
      </c>
      <c r="I924" s="871">
        <f>'Peers Stock History'!J927/'Peers Stock History'!J$1833*100</f>
        <v>124.23752261360008</v>
      </c>
      <c r="J924" s="871">
        <f>'Peers Stock History'!K927/'Peers Stock History'!K$1833*100</f>
        <v>136.76814263915429</v>
      </c>
    </row>
    <row r="925" spans="2:10">
      <c r="B925" s="870">
        <v>43686</v>
      </c>
      <c r="C925" s="871">
        <f>'Peers Stock History'!D928/'Peers Stock History'!D$1833*100</f>
        <v>127.54507628294036</v>
      </c>
      <c r="D925" s="871">
        <f>'Peers Stock History'!E928/'Peers Stock History'!E$1833*100</f>
        <v>141.44954128440367</v>
      </c>
      <c r="E925" s="871">
        <f>'Peers Stock History'!F928/'Peers Stock History'!F$1833*100</f>
        <v>257.06766917293231</v>
      </c>
      <c r="F925" s="871">
        <f>'Peers Stock History'!G928/'Peers Stock History'!G$1833*100</f>
        <v>131.80343679432764</v>
      </c>
      <c r="G925" s="871">
        <f>'Peers Stock History'!H928/'Peers Stock History'!H$1833*100</f>
        <v>133.85601242778776</v>
      </c>
      <c r="H925" s="871">
        <f>'Peers Stock History'!I928/'Peers Stock History'!I$1833*100</f>
        <v>180.36490008688099</v>
      </c>
      <c r="I925" s="871">
        <f>'Peers Stock History'!J928/'Peers Stock History'!J$1833*100</f>
        <v>124.23752261360008</v>
      </c>
      <c r="J925" s="871">
        <f>'Peers Stock History'!K928/'Peers Stock History'!K$1833*100</f>
        <v>136.76814263915429</v>
      </c>
    </row>
    <row r="926" spans="2:10">
      <c r="B926" s="870">
        <v>43685</v>
      </c>
      <c r="C926" s="871">
        <f>'Peers Stock History'!D929/'Peers Stock History'!D$1833*100</f>
        <v>130.8460471567268</v>
      </c>
      <c r="D926" s="871">
        <f>'Peers Stock History'!E929/'Peers Stock History'!E$1833*100</f>
        <v>145.1926605504587</v>
      </c>
      <c r="E926" s="871">
        <f>'Peers Stock History'!F929/'Peers Stock History'!F$1833*100</f>
        <v>255.03759398496243</v>
      </c>
      <c r="F926" s="871">
        <f>'Peers Stock History'!G929/'Peers Stock History'!G$1833*100</f>
        <v>131.80343679432764</v>
      </c>
      <c r="G926" s="871">
        <f>'Peers Stock History'!H929/'Peers Stock History'!H$1833*100</f>
        <v>131.55007524637119</v>
      </c>
      <c r="H926" s="871">
        <f>'Peers Stock History'!I929/'Peers Stock History'!I$1833*100</f>
        <v>185.18679409209383</v>
      </c>
      <c r="I926" s="871">
        <f>'Peers Stock History'!J929/'Peers Stock History'!J$1833*100</f>
        <v>125.06502075130361</v>
      </c>
      <c r="J926" s="871">
        <f>'Peers Stock History'!K929/'Peers Stock History'!K$1833*100</f>
        <v>138.14312030023507</v>
      </c>
    </row>
    <row r="927" spans="2:10">
      <c r="B927" s="870">
        <v>43684</v>
      </c>
      <c r="C927" s="871">
        <f>'Peers Stock History'!D930/'Peers Stock History'!D$1833*100</f>
        <v>129.62552011095701</v>
      </c>
      <c r="D927" s="871">
        <f>'Peers Stock History'!E930/'Peers Stock History'!E$1833*100</f>
        <v>141.18348623853208</v>
      </c>
      <c r="E927" s="871">
        <f>'Peers Stock History'!F930/'Peers Stock History'!F$1833*100</f>
        <v>219.4736842105263</v>
      </c>
      <c r="F927" s="871">
        <f>'Peers Stock History'!G930/'Peers Stock History'!G$1833*100</f>
        <v>128.37346624656504</v>
      </c>
      <c r="G927" s="871">
        <f>'Peers Stock History'!H930/'Peers Stock History'!H$1833*100</f>
        <v>131.09859701927277</v>
      </c>
      <c r="H927" s="871">
        <f>'Peers Stock History'!I930/'Peers Stock History'!I$1833*100</f>
        <v>181.3640312771503</v>
      </c>
      <c r="I927" s="871">
        <f>'Peers Stock History'!J930/'Peers Stock History'!J$1833*100</f>
        <v>122.76173246780888</v>
      </c>
      <c r="J927" s="871">
        <f>'Peers Stock History'!K930/'Peers Stock History'!K$1833*100</f>
        <v>135.11310366633217</v>
      </c>
    </row>
    <row r="928" spans="2:10">
      <c r="B928" s="870">
        <v>43683</v>
      </c>
      <c r="C928" s="871">
        <f>'Peers Stock History'!D931/'Peers Stock History'!D$1833*100</f>
        <v>130.26352288488212</v>
      </c>
      <c r="D928" s="871">
        <f>'Peers Stock History'!E931/'Peers Stock History'!E$1833*100</f>
        <v>139.77064220183485</v>
      </c>
      <c r="E928" s="871">
        <f>'Peers Stock History'!F931/'Peers Stock History'!F$1833*100</f>
        <v>216.99248120300751</v>
      </c>
      <c r="F928" s="871">
        <f>'Peers Stock History'!G931/'Peers Stock History'!G$1833*100</f>
        <v>128.50960542180022</v>
      </c>
      <c r="G928" s="871">
        <f>'Peers Stock History'!H931/'Peers Stock History'!H$1833*100</f>
        <v>129.34608476139618</v>
      </c>
      <c r="H928" s="871">
        <f>'Peers Stock History'!I931/'Peers Stock History'!I$1833*100</f>
        <v>185.14335360556038</v>
      </c>
      <c r="I928" s="871">
        <f>'Peers Stock History'!J931/'Peers Stock History'!J$1833*100</f>
        <v>122.66765989145472</v>
      </c>
      <c r="J928" s="871">
        <f>'Peers Stock History'!K931/'Peers Stock History'!K$1833*100</f>
        <v>134.60513382730986</v>
      </c>
    </row>
    <row r="929" spans="2:10">
      <c r="B929" s="870">
        <v>43682</v>
      </c>
      <c r="C929" s="871">
        <f>'Peers Stock History'!D932/'Peers Stock History'!D$1833*100</f>
        <v>130.29126213592235</v>
      </c>
      <c r="D929" s="871">
        <f>'Peers Stock History'!E932/'Peers Stock History'!E$1833*100</f>
        <v>138.33944954128438</v>
      </c>
      <c r="E929" s="871">
        <f>'Peers Stock History'!F932/'Peers Stock History'!F$1833*100</f>
        <v>210.45112781954884</v>
      </c>
      <c r="F929" s="871">
        <f>'Peers Stock History'!G932/'Peers Stock History'!G$1833*100</f>
        <v>126.55800267055162</v>
      </c>
      <c r="G929" s="871">
        <f>'Peers Stock History'!H932/'Peers Stock History'!H$1833*100</f>
        <v>129.93834652167581</v>
      </c>
      <c r="H929" s="871">
        <f>'Peers Stock History'!I932/'Peers Stock History'!I$1833*100</f>
        <v>182.18940052128582</v>
      </c>
      <c r="I929" s="871">
        <f>'Peers Stock History'!J932/'Peers Stock History'!J$1833*100</f>
        <v>121.09141215281471</v>
      </c>
      <c r="J929" s="871">
        <f>'Peers Stock History'!K932/'Peers Stock History'!K$1833*100</f>
        <v>132.76260258719051</v>
      </c>
    </row>
    <row r="930" spans="2:10">
      <c r="B930" s="870">
        <v>43681</v>
      </c>
      <c r="C930" s="871">
        <f>'Peers Stock History'!D933/'Peers Stock History'!D$1833*100</f>
        <v>135.03467406380031</v>
      </c>
      <c r="D930" s="871">
        <f>'Peers Stock History'!E933/'Peers Stock History'!E$1833*100</f>
        <v>147.88073394495413</v>
      </c>
      <c r="E930" s="871">
        <f>'Peers Stock History'!F933/'Peers Stock History'!F$1833*100</f>
        <v>221.35338345864662</v>
      </c>
      <c r="F930" s="871">
        <f>'Peers Stock History'!G933/'Peers Stock History'!G$1833*100</f>
        <v>130.08170600139056</v>
      </c>
      <c r="G930" s="871">
        <f>'Peers Stock History'!H933/'Peers Stock History'!H$1833*100</f>
        <v>135.21530171367539</v>
      </c>
      <c r="H930" s="871">
        <f>'Peers Stock History'!I933/'Peers Stock History'!I$1833*100</f>
        <v>191.48566463944397</v>
      </c>
      <c r="I930" s="871">
        <f>'Peers Stock History'!J933/'Peers Stock History'!J$1833*100</f>
        <v>124.80791742045334</v>
      </c>
      <c r="J930" s="871">
        <f>'Peers Stock History'!K933/'Peers Stock History'!K$1833*100</f>
        <v>137.54026160592772</v>
      </c>
    </row>
    <row r="931" spans="2:10">
      <c r="B931" s="870">
        <v>43680</v>
      </c>
      <c r="C931" s="871">
        <f>'Peers Stock History'!D934/'Peers Stock History'!D$1833*100</f>
        <v>135.03467406380031</v>
      </c>
      <c r="D931" s="871">
        <f>'Peers Stock History'!E934/'Peers Stock History'!E$1833*100</f>
        <v>147.88073394495413</v>
      </c>
      <c r="E931" s="871">
        <f>'Peers Stock History'!F934/'Peers Stock History'!F$1833*100</f>
        <v>221.35338345864662</v>
      </c>
      <c r="F931" s="871">
        <f>'Peers Stock History'!G934/'Peers Stock History'!G$1833*100</f>
        <v>130.08170600139056</v>
      </c>
      <c r="G931" s="871">
        <f>'Peers Stock History'!H934/'Peers Stock History'!H$1833*100</f>
        <v>135.21530171367539</v>
      </c>
      <c r="H931" s="871">
        <f>'Peers Stock History'!I934/'Peers Stock History'!I$1833*100</f>
        <v>191.48566463944397</v>
      </c>
      <c r="I931" s="871">
        <f>'Peers Stock History'!J934/'Peers Stock History'!J$1833*100</f>
        <v>124.80791742045334</v>
      </c>
      <c r="J931" s="871">
        <f>'Peers Stock History'!K934/'Peers Stock History'!K$1833*100</f>
        <v>137.54026160592772</v>
      </c>
    </row>
    <row r="932" spans="2:10">
      <c r="B932" s="870">
        <v>43679</v>
      </c>
      <c r="C932" s="871">
        <f>'Peers Stock History'!D935/'Peers Stock History'!D$1833*100</f>
        <v>135.03467406380031</v>
      </c>
      <c r="D932" s="871">
        <f>'Peers Stock History'!E935/'Peers Stock History'!E$1833*100</f>
        <v>147.88073394495413</v>
      </c>
      <c r="E932" s="871">
        <f>'Peers Stock History'!F935/'Peers Stock History'!F$1833*100</f>
        <v>221.35338345864662</v>
      </c>
      <c r="F932" s="871">
        <f>'Peers Stock History'!G935/'Peers Stock History'!G$1833*100</f>
        <v>130.08170600139056</v>
      </c>
      <c r="G932" s="871">
        <f>'Peers Stock History'!H935/'Peers Stock History'!H$1833*100</f>
        <v>135.21530171367539</v>
      </c>
      <c r="H932" s="871">
        <f>'Peers Stock History'!I935/'Peers Stock History'!I$1833*100</f>
        <v>191.48566463944397</v>
      </c>
      <c r="I932" s="871">
        <f>'Peers Stock History'!J935/'Peers Stock History'!J$1833*100</f>
        <v>124.80791742045334</v>
      </c>
      <c r="J932" s="871">
        <f>'Peers Stock History'!K935/'Peers Stock History'!K$1833*100</f>
        <v>137.54026160592772</v>
      </c>
    </row>
    <row r="933" spans="2:10">
      <c r="B933" s="870">
        <v>43678</v>
      </c>
      <c r="C933" s="871">
        <f>'Peers Stock History'!D936/'Peers Stock History'!D$1833*100</f>
        <v>137.30929264909847</v>
      </c>
      <c r="D933" s="871">
        <f>'Peers Stock History'!E936/'Peers Stock History'!E$1833*100</f>
        <v>151.30275229357798</v>
      </c>
      <c r="E933" s="871">
        <f>'Peers Stock History'!F936/'Peers Stock History'!F$1833*100</f>
        <v>224.51127819548867</v>
      </c>
      <c r="F933" s="871">
        <f>'Peers Stock History'!G936/'Peers Stock History'!G$1833*100</f>
        <v>133.20145935469165</v>
      </c>
      <c r="G933" s="871">
        <f>'Peers Stock History'!H936/'Peers Stock History'!H$1833*100</f>
        <v>138.5212874411379</v>
      </c>
      <c r="H933" s="871">
        <f>'Peers Stock History'!I936/'Peers Stock History'!I$1833*100</f>
        <v>189.40052128583841</v>
      </c>
      <c r="I933" s="871">
        <f>'Peers Stock History'!J936/'Peers Stock History'!J$1833*100</f>
        <v>125.7235287857827</v>
      </c>
      <c r="J933" s="871">
        <f>'Peers Stock History'!K936/'Peers Stock History'!K$1833*100</f>
        <v>139.37975131627786</v>
      </c>
    </row>
    <row r="934" spans="2:10">
      <c r="B934" s="870">
        <v>43677</v>
      </c>
      <c r="C934" s="871">
        <f>'Peers Stock History'!D937/'Peers Stock History'!D$1833*100</f>
        <v>140.22191400832179</v>
      </c>
      <c r="D934" s="871">
        <f>'Peers Stock History'!E937/'Peers Stock History'!E$1833*100</f>
        <v>154.78899082568807</v>
      </c>
      <c r="E934" s="871">
        <f>'Peers Stock History'!F937/'Peers Stock History'!F$1833*100</f>
        <v>228.9473684210526</v>
      </c>
      <c r="F934" s="871">
        <f>'Peers Stock History'!G937/'Peers Stock History'!G$1833*100</f>
        <v>135.49904672232466</v>
      </c>
      <c r="G934" s="871">
        <f>'Peers Stock History'!H937/'Peers Stock History'!H$1833*100</f>
        <v>140.77867857662994</v>
      </c>
      <c r="H934" s="871">
        <f>'Peers Stock History'!I937/'Peers Stock History'!I$1833*100</f>
        <v>195.00434404865334</v>
      </c>
      <c r="I934" s="871">
        <f>'Peers Stock History'!J937/'Peers Stock History'!J$1833*100</f>
        <v>126.86516973502182</v>
      </c>
      <c r="J934" s="871">
        <f>'Peers Stock History'!K937/'Peers Stock History'!K$1833*100</f>
        <v>140.48463426034121</v>
      </c>
    </row>
    <row r="935" spans="2:10">
      <c r="B935" s="870">
        <v>43676</v>
      </c>
      <c r="C935" s="871">
        <f>'Peers Stock History'!D938/'Peers Stock History'!D$1833*100</f>
        <v>143.41192787794733</v>
      </c>
      <c r="D935" s="871">
        <f>'Peers Stock History'!E938/'Peers Stock History'!E$1833*100</f>
        <v>160.96330275229354</v>
      </c>
      <c r="E935" s="871">
        <f>'Peers Stock History'!F938/'Peers Stock History'!F$1833*100</f>
        <v>254.66165413533832</v>
      </c>
      <c r="F935" s="871">
        <f>'Peers Stock History'!G938/'Peers Stock History'!G$1833*100</f>
        <v>136.09211981050589</v>
      </c>
      <c r="G935" s="871">
        <f>'Peers Stock History'!H938/'Peers Stock History'!H$1833*100</f>
        <v>145.42453517161027</v>
      </c>
      <c r="H935" s="871">
        <f>'Peers Stock History'!I938/'Peers Stock History'!I$1833*100</f>
        <v>206.1685490877498</v>
      </c>
      <c r="I935" s="871">
        <f>'Peers Stock History'!J938/'Peers Stock History'!J$1833*100</f>
        <v>128.26136000851335</v>
      </c>
      <c r="J935" s="871">
        <f>'Peers Stock History'!K938/'Peers Stock History'!K$1833*100</f>
        <v>142.17199593087994</v>
      </c>
    </row>
    <row r="936" spans="2:10">
      <c r="B936" s="870">
        <v>43675</v>
      </c>
      <c r="C936" s="871">
        <f>'Peers Stock History'!D939/'Peers Stock History'!D$1833*100</f>
        <v>145.65880721220529</v>
      </c>
      <c r="D936" s="871">
        <f>'Peers Stock History'!E939/'Peers Stock History'!E$1833*100</f>
        <v>160.38532110091742</v>
      </c>
      <c r="E936" s="871">
        <f>'Peers Stock History'!F939/'Peers Stock History'!F$1833*100</f>
        <v>251.72932330827064</v>
      </c>
      <c r="F936" s="871">
        <f>'Peers Stock History'!G939/'Peers Stock History'!G$1833*100</f>
        <v>136.60236463556825</v>
      </c>
      <c r="G936" s="871">
        <f>'Peers Stock History'!H939/'Peers Stock History'!H$1833*100</f>
        <v>146.48283897276565</v>
      </c>
      <c r="H936" s="871">
        <f>'Peers Stock History'!I939/'Peers Stock History'!I$1833*100</f>
        <v>203.38835794960906</v>
      </c>
      <c r="I936" s="871">
        <f>'Peers Stock History'!J939/'Peers Stock History'!J$1833*100</f>
        <v>128.59295519846759</v>
      </c>
      <c r="J936" s="871">
        <f>'Peers Stock History'!K939/'Peers Stock History'!K$1833*100</f>
        <v>142.5107742325722</v>
      </c>
    </row>
    <row r="937" spans="2:10">
      <c r="B937" s="870">
        <v>43674</v>
      </c>
      <c r="C937" s="871">
        <f>'Peers Stock History'!D940/'Peers Stock History'!D$1833*100</f>
        <v>143.10679611650488</v>
      </c>
      <c r="D937" s="871">
        <f>'Peers Stock History'!E940/'Peers Stock History'!E$1833*100</f>
        <v>160.61467889908258</v>
      </c>
      <c r="E937" s="871">
        <f>'Peers Stock History'!F940/'Peers Stock History'!F$1833*100</f>
        <v>255.78947368421052</v>
      </c>
      <c r="F937" s="871">
        <f>'Peers Stock History'!G940/'Peers Stock History'!G$1833*100</f>
        <v>136.59796973290327</v>
      </c>
      <c r="G937" s="871">
        <f>'Peers Stock History'!H940/'Peers Stock History'!H$1833*100</f>
        <v>146.08476139618429</v>
      </c>
      <c r="H937" s="871">
        <f>'Peers Stock History'!I940/'Peers Stock History'!I$1833*100</f>
        <v>206.29887054735013</v>
      </c>
      <c r="I937" s="871">
        <f>'Peers Stock History'!J940/'Peers Stock History'!J$1833*100</f>
        <v>128.80110673619239</v>
      </c>
      <c r="J937" s="871">
        <f>'Peers Stock History'!K940/'Peers Stock History'!K$1833*100</f>
        <v>143.14454655430765</v>
      </c>
    </row>
    <row r="938" spans="2:10">
      <c r="B938" s="870">
        <v>43673</v>
      </c>
      <c r="C938" s="871">
        <f>'Peers Stock History'!D941/'Peers Stock History'!D$1833*100</f>
        <v>143.10679611650488</v>
      </c>
      <c r="D938" s="871">
        <f>'Peers Stock History'!E941/'Peers Stock History'!E$1833*100</f>
        <v>160.61467889908258</v>
      </c>
      <c r="E938" s="871">
        <f>'Peers Stock History'!F941/'Peers Stock History'!F$1833*100</f>
        <v>255.78947368421052</v>
      </c>
      <c r="F938" s="871">
        <f>'Peers Stock History'!G941/'Peers Stock History'!G$1833*100</f>
        <v>136.59796973290327</v>
      </c>
      <c r="G938" s="871">
        <f>'Peers Stock History'!H941/'Peers Stock History'!H$1833*100</f>
        <v>146.08476139618429</v>
      </c>
      <c r="H938" s="871">
        <f>'Peers Stock History'!I941/'Peers Stock History'!I$1833*100</f>
        <v>206.29887054735013</v>
      </c>
      <c r="I938" s="871">
        <f>'Peers Stock History'!J941/'Peers Stock History'!J$1833*100</f>
        <v>128.80110673619239</v>
      </c>
      <c r="J938" s="871">
        <f>'Peers Stock History'!K941/'Peers Stock History'!K$1833*100</f>
        <v>143.14454655430765</v>
      </c>
    </row>
    <row r="939" spans="2:10">
      <c r="B939" s="870">
        <v>43672</v>
      </c>
      <c r="C939" s="871">
        <f>'Peers Stock History'!D942/'Peers Stock History'!D$1833*100</f>
        <v>143.10679611650488</v>
      </c>
      <c r="D939" s="871">
        <f>'Peers Stock History'!E942/'Peers Stock History'!E$1833*100</f>
        <v>160.61467889908258</v>
      </c>
      <c r="E939" s="871">
        <f>'Peers Stock History'!F942/'Peers Stock History'!F$1833*100</f>
        <v>255.78947368421052</v>
      </c>
      <c r="F939" s="871">
        <f>'Peers Stock History'!G942/'Peers Stock History'!G$1833*100</f>
        <v>136.59796973290327</v>
      </c>
      <c r="G939" s="871">
        <f>'Peers Stock History'!H942/'Peers Stock History'!H$1833*100</f>
        <v>146.08476139618429</v>
      </c>
      <c r="H939" s="871">
        <f>'Peers Stock History'!I942/'Peers Stock History'!I$1833*100</f>
        <v>206.29887054735013</v>
      </c>
      <c r="I939" s="871">
        <f>'Peers Stock History'!J942/'Peers Stock History'!J$1833*100</f>
        <v>128.80110673619239</v>
      </c>
      <c r="J939" s="871">
        <f>'Peers Stock History'!K942/'Peers Stock History'!K$1833*100</f>
        <v>143.14454655430765</v>
      </c>
    </row>
    <row r="940" spans="2:10">
      <c r="B940" s="870">
        <v>43671</v>
      </c>
      <c r="C940" s="871">
        <f>'Peers Stock History'!D943/'Peers Stock History'!D$1833*100</f>
        <v>144.6879334257975</v>
      </c>
      <c r="D940" s="871">
        <f>'Peers Stock History'!E943/'Peers Stock History'!E$1833*100</f>
        <v>159.06422018348621</v>
      </c>
      <c r="E940" s="871">
        <f>'Peers Stock History'!F943/'Peers Stock History'!F$1833*100</f>
        <v>253.15789473684211</v>
      </c>
      <c r="F940" s="871">
        <f>'Peers Stock History'!G943/'Peers Stock History'!G$1833*100</f>
        <v>138.72713130935446</v>
      </c>
      <c r="G940" s="871">
        <f>'Peers Stock History'!H943/'Peers Stock History'!H$1833*100</f>
        <v>145.82746735278411</v>
      </c>
      <c r="H940" s="871">
        <f>'Peers Stock History'!I943/'Peers Stock History'!I$1833*100</f>
        <v>207.51520417028669</v>
      </c>
      <c r="I940" s="871">
        <f>'Peers Stock History'!J943/'Peers Stock History'!J$1833*100</f>
        <v>127.85654996275406</v>
      </c>
      <c r="J940" s="871">
        <f>'Peers Stock History'!K943/'Peers Stock History'!K$1833*100</f>
        <v>141.56930907441264</v>
      </c>
    </row>
    <row r="941" spans="2:10">
      <c r="B941" s="870">
        <v>43670</v>
      </c>
      <c r="C941" s="871">
        <f>'Peers Stock History'!D944/'Peers Stock History'!D$1833*100</f>
        <v>146.79611650485438</v>
      </c>
      <c r="D941" s="871">
        <f>'Peers Stock History'!E944/'Peers Stock History'!E$1833*100</f>
        <v>163.90825688073394</v>
      </c>
      <c r="E941" s="871">
        <f>'Peers Stock History'!F944/'Peers Stock History'!F$1833*100</f>
        <v>256.46616541353382</v>
      </c>
      <c r="F941" s="871">
        <f>'Peers Stock History'!G944/'Peers Stock History'!G$1833*100</f>
        <v>138.70481284168989</v>
      </c>
      <c r="G941" s="871">
        <f>'Peers Stock History'!H944/'Peers Stock History'!H$1833*100</f>
        <v>147.46832370503421</v>
      </c>
      <c r="H941" s="871">
        <f>'Peers Stock History'!I944/'Peers Stock History'!I$1833*100</f>
        <v>208.4708948740226</v>
      </c>
      <c r="I941" s="871">
        <f>'Peers Stock History'!J944/'Peers Stock History'!J$1833*100</f>
        <v>128.53293604341812</v>
      </c>
      <c r="J941" s="871">
        <f>'Peers Stock History'!K944/'Peers Stock History'!K$1833*100</f>
        <v>142.99485861182518</v>
      </c>
    </row>
    <row r="942" spans="2:10">
      <c r="B942" s="870">
        <v>43669</v>
      </c>
      <c r="C942" s="871">
        <f>'Peers Stock History'!D945/'Peers Stock History'!D$1833*100</f>
        <v>143.5506241331484</v>
      </c>
      <c r="D942" s="871">
        <f>'Peers Stock History'!E945/'Peers Stock History'!E$1833*100</f>
        <v>161.15596330275227</v>
      </c>
      <c r="E942" s="871">
        <f>'Peers Stock History'!F945/'Peers Stock History'!F$1833*100</f>
        <v>251.80451127819546</v>
      </c>
      <c r="F942" s="871">
        <f>'Peers Stock History'!G945/'Peers Stock History'!G$1833*100</f>
        <v>138.15472679876737</v>
      </c>
      <c r="G942" s="871">
        <f>'Peers Stock History'!H945/'Peers Stock History'!H$1833*100</f>
        <v>146.01679693188987</v>
      </c>
      <c r="H942" s="871">
        <f>'Peers Stock History'!I945/'Peers Stock History'!I$1833*100</f>
        <v>203.95308427454387</v>
      </c>
      <c r="I942" s="871">
        <f>'Peers Stock History'!J945/'Peers Stock History'!J$1833*100</f>
        <v>127.93317016068957</v>
      </c>
      <c r="J942" s="871">
        <f>'Peers Stock History'!K945/'Peers Stock History'!K$1833*100</f>
        <v>141.79032690430694</v>
      </c>
    </row>
    <row r="943" spans="2:10">
      <c r="B943" s="870">
        <v>43668</v>
      </c>
      <c r="C943" s="871">
        <f>'Peers Stock History'!D946/'Peers Stock History'!D$1833*100</f>
        <v>142.44105409153954</v>
      </c>
      <c r="D943" s="871">
        <f>'Peers Stock History'!E946/'Peers Stock History'!E$1833*100</f>
        <v>157.1743119266055</v>
      </c>
      <c r="E943" s="871">
        <f>'Peers Stock History'!F946/'Peers Stock History'!F$1833*100</f>
        <v>246.99248120300749</v>
      </c>
      <c r="F943" s="871">
        <f>'Peers Stock History'!G946/'Peers Stock History'!G$1833*100</f>
        <v>138.27483039924283</v>
      </c>
      <c r="G943" s="871">
        <f>'Peers Stock History'!H946/'Peers Stock History'!H$1833*100</f>
        <v>143.76911500558279</v>
      </c>
      <c r="H943" s="871">
        <f>'Peers Stock History'!I946/'Peers Stock History'!I$1833*100</f>
        <v>204.99565595134666</v>
      </c>
      <c r="I943" s="871">
        <f>'Peers Stock History'!J946/'Peers Stock History'!J$1833*100</f>
        <v>127.06310524635522</v>
      </c>
      <c r="J943" s="871">
        <f>'Peers Stock History'!K946/'Peers Stock History'!K$1833*100</f>
        <v>140.97811816944588</v>
      </c>
    </row>
    <row r="944" spans="2:10">
      <c r="B944" s="870">
        <v>43667</v>
      </c>
      <c r="C944" s="871">
        <f>'Peers Stock History'!D947/'Peers Stock History'!D$1833*100</f>
        <v>139.44521497919558</v>
      </c>
      <c r="D944" s="871">
        <f>'Peers Stock History'!E947/'Peers Stock History'!E$1833*100</f>
        <v>154.53211009174314</v>
      </c>
      <c r="E944" s="871">
        <f>'Peers Stock History'!F947/'Peers Stock History'!F$1833*100</f>
        <v>244.43609022556387</v>
      </c>
      <c r="F944" s="871">
        <f>'Peers Stock History'!G947/'Peers Stock History'!G$1833*100</f>
        <v>135.77402287079713</v>
      </c>
      <c r="G944" s="871">
        <f>'Peers Stock History'!H947/'Peers Stock History'!H$1833*100</f>
        <v>140.7835331812224</v>
      </c>
      <c r="H944" s="871">
        <f>'Peers Stock History'!I947/'Peers Stock History'!I$1833*100</f>
        <v>197.74109470026067</v>
      </c>
      <c r="I944" s="871">
        <f>'Peers Stock History'!J947/'Peers Stock History'!J$1833*100</f>
        <v>126.70469298712355</v>
      </c>
      <c r="J944" s="871">
        <f>'Peers Stock History'!K947/'Peers Stock History'!K$1833*100</f>
        <v>139.98750738902712</v>
      </c>
    </row>
    <row r="945" spans="2:10">
      <c r="B945" s="870">
        <v>43666</v>
      </c>
      <c r="C945" s="871">
        <f>'Peers Stock History'!D948/'Peers Stock History'!D$1833*100</f>
        <v>139.44521497919558</v>
      </c>
      <c r="D945" s="871">
        <f>'Peers Stock History'!E948/'Peers Stock History'!E$1833*100</f>
        <v>154.53211009174314</v>
      </c>
      <c r="E945" s="871">
        <f>'Peers Stock History'!F948/'Peers Stock History'!F$1833*100</f>
        <v>244.43609022556387</v>
      </c>
      <c r="F945" s="871">
        <f>'Peers Stock History'!G948/'Peers Stock History'!G$1833*100</f>
        <v>135.77402287079713</v>
      </c>
      <c r="G945" s="871">
        <f>'Peers Stock History'!H948/'Peers Stock History'!H$1833*100</f>
        <v>140.7835331812224</v>
      </c>
      <c r="H945" s="871">
        <f>'Peers Stock History'!I948/'Peers Stock History'!I$1833*100</f>
        <v>197.74109470026067</v>
      </c>
      <c r="I945" s="871">
        <f>'Peers Stock History'!J948/'Peers Stock History'!J$1833*100</f>
        <v>126.70469298712355</v>
      </c>
      <c r="J945" s="871">
        <f>'Peers Stock History'!K948/'Peers Stock History'!K$1833*100</f>
        <v>139.98750738902712</v>
      </c>
    </row>
    <row r="946" spans="2:10">
      <c r="B946" s="870">
        <v>43665</v>
      </c>
      <c r="C946" s="871">
        <f>'Peers Stock History'!D949/'Peers Stock History'!D$1833*100</f>
        <v>139.44521497919558</v>
      </c>
      <c r="D946" s="871">
        <f>'Peers Stock History'!E949/'Peers Stock History'!E$1833*100</f>
        <v>154.53211009174314</v>
      </c>
      <c r="E946" s="871">
        <f>'Peers Stock History'!F949/'Peers Stock History'!F$1833*100</f>
        <v>244.43609022556387</v>
      </c>
      <c r="F946" s="871">
        <f>'Peers Stock History'!G949/'Peers Stock History'!G$1833*100</f>
        <v>135.77402287079713</v>
      </c>
      <c r="G946" s="871">
        <f>'Peers Stock History'!H949/'Peers Stock History'!H$1833*100</f>
        <v>140.7835331812224</v>
      </c>
      <c r="H946" s="871">
        <f>'Peers Stock History'!I949/'Peers Stock History'!I$1833*100</f>
        <v>197.74109470026067</v>
      </c>
      <c r="I946" s="871">
        <f>'Peers Stock History'!J949/'Peers Stock History'!J$1833*100</f>
        <v>126.70469298712355</v>
      </c>
      <c r="J946" s="871">
        <f>'Peers Stock History'!K949/'Peers Stock History'!K$1833*100</f>
        <v>139.98750738902712</v>
      </c>
    </row>
    <row r="947" spans="2:10">
      <c r="B947" s="870">
        <v>43664</v>
      </c>
      <c r="C947" s="871">
        <f>'Peers Stock History'!D950/'Peers Stock History'!D$1833*100</f>
        <v>138.52981969486825</v>
      </c>
      <c r="D947" s="871">
        <f>'Peers Stock History'!E950/'Peers Stock History'!E$1833*100</f>
        <v>156.12844036697248</v>
      </c>
      <c r="E947" s="871">
        <f>'Peers Stock History'!F950/'Peers Stock History'!F$1833*100</f>
        <v>248.12030075187971</v>
      </c>
      <c r="F947" s="871">
        <f>'Peers Stock History'!G950/'Peers Stock History'!G$1833*100</f>
        <v>133.4194751160104</v>
      </c>
      <c r="G947" s="871">
        <f>'Peers Stock History'!H950/'Peers Stock History'!H$1833*100</f>
        <v>140.67673188018836</v>
      </c>
      <c r="H947" s="871">
        <f>'Peers Stock History'!I950/'Peers Stock History'!I$1833*100</f>
        <v>194.04865334491748</v>
      </c>
      <c r="I947" s="871">
        <f>'Peers Stock History'!J950/'Peers Stock History'!J$1833*100</f>
        <v>127.49217835479409</v>
      </c>
      <c r="J947" s="871">
        <f>'Peers Stock History'!K950/'Peers Stock History'!K$1833*100</f>
        <v>141.0314910025707</v>
      </c>
    </row>
    <row r="948" spans="2:10">
      <c r="B948" s="870">
        <v>43663</v>
      </c>
      <c r="C948" s="871">
        <f>'Peers Stock History'!D951/'Peers Stock History'!D$1833*100</f>
        <v>137.00416088765604</v>
      </c>
      <c r="D948" s="871">
        <f>'Peers Stock History'!E951/'Peers Stock History'!E$1833*100</f>
        <v>155.69724770642202</v>
      </c>
      <c r="E948" s="871">
        <f>'Peers Stock History'!F951/'Peers Stock History'!F$1833*100</f>
        <v>252.63157894736841</v>
      </c>
      <c r="F948" s="871">
        <f>'Peers Stock History'!G951/'Peers Stock History'!G$1833*100</f>
        <v>132.0448810865947</v>
      </c>
      <c r="G948" s="871">
        <f>'Peers Stock History'!H951/'Peers Stock History'!H$1833*100</f>
        <v>138.39506772173405</v>
      </c>
      <c r="H948" s="871">
        <f>'Peers Stock History'!I951/'Peers Stock History'!I$1833*100</f>
        <v>188.40139009556907</v>
      </c>
      <c r="I948" s="871">
        <f>'Peers Stock History'!J951/'Peers Stock History'!J$1833*100</f>
        <v>127.03713951261042</v>
      </c>
      <c r="J948" s="871">
        <f>'Peers Stock History'!K951/'Peers Stock History'!K$1833*100</f>
        <v>140.65281195441489</v>
      </c>
    </row>
    <row r="949" spans="2:10">
      <c r="B949" s="870">
        <v>43662</v>
      </c>
      <c r="C949" s="871">
        <f>'Peers Stock History'!D952/'Peers Stock History'!D$1833*100</f>
        <v>136.39389736477116</v>
      </c>
      <c r="D949" s="871">
        <f>'Peers Stock History'!E952/'Peers Stock History'!E$1833*100</f>
        <v>153.28440366972478</v>
      </c>
      <c r="E949" s="871">
        <f>'Peers Stock History'!F952/'Peers Stock History'!F$1833*100</f>
        <v>254.5112781954887</v>
      </c>
      <c r="F949" s="871">
        <f>'Peers Stock History'!G952/'Peers Stock History'!G$1833*100</f>
        <v>134.09331904952722</v>
      </c>
      <c r="G949" s="871">
        <f>'Peers Stock History'!H952/'Peers Stock History'!H$1833*100</f>
        <v>137.93388028545075</v>
      </c>
      <c r="H949" s="871">
        <f>'Peers Stock History'!I952/'Peers Stock History'!I$1833*100</f>
        <v>187.05473501303217</v>
      </c>
      <c r="I949" s="871">
        <f>'Peers Stock History'!J952/'Peers Stock History'!J$1833*100</f>
        <v>127.87229967010747</v>
      </c>
      <c r="J949" s="871">
        <f>'Peers Stock History'!K952/'Peers Stock History'!K$1833*100</f>
        <v>141.29876757901104</v>
      </c>
    </row>
    <row r="950" spans="2:10">
      <c r="B950" s="870">
        <v>43661</v>
      </c>
      <c r="C950" s="871">
        <f>'Peers Stock History'!D953/'Peers Stock History'!D$1833*100</f>
        <v>139.02912621359224</v>
      </c>
      <c r="D950" s="871">
        <f>'Peers Stock History'!E953/'Peers Stock History'!E$1833*100</f>
        <v>153.45871559633028</v>
      </c>
      <c r="E950" s="871">
        <f>'Peers Stock History'!F953/'Peers Stock History'!F$1833*100</f>
        <v>258.57142857142856</v>
      </c>
      <c r="F950" s="871">
        <f>'Peers Stock History'!G953/'Peers Stock History'!G$1833*100</f>
        <v>133.39352116095264</v>
      </c>
      <c r="G950" s="871">
        <f>'Peers Stock History'!H953/'Peers Stock History'!H$1833*100</f>
        <v>139.97766881887469</v>
      </c>
      <c r="H950" s="871">
        <f>'Peers Stock History'!I953/'Peers Stock History'!I$1833*100</f>
        <v>192.87576020851432</v>
      </c>
      <c r="I950" s="871">
        <f>'Peers Stock History'!J953/'Peers Stock History'!J$1833*100</f>
        <v>128.30903479833989</v>
      </c>
      <c r="J950" s="871">
        <f>'Peers Stock History'!K953/'Peers Stock History'!K$1833*100</f>
        <v>141.90686732744044</v>
      </c>
    </row>
    <row r="951" spans="2:10">
      <c r="B951" s="870">
        <v>43660</v>
      </c>
      <c r="C951" s="871">
        <f>'Peers Stock History'!D954/'Peers Stock History'!D$1833*100</f>
        <v>138.47434119278782</v>
      </c>
      <c r="D951" s="871">
        <f>'Peers Stock History'!E954/'Peers Stock History'!E$1833*100</f>
        <v>153.77064220183487</v>
      </c>
      <c r="E951" s="871">
        <f>'Peers Stock History'!F954/'Peers Stock History'!F$1833*100</f>
        <v>249.69924812030072</v>
      </c>
      <c r="F951" s="871">
        <f>'Peers Stock History'!G954/'Peers Stock History'!G$1833*100</f>
        <v>131.28850247060183</v>
      </c>
      <c r="G951" s="871">
        <f>'Peers Stock History'!H954/'Peers Stock History'!H$1833*100</f>
        <v>138.54556046410019</v>
      </c>
      <c r="H951" s="871">
        <f>'Peers Stock History'!I954/'Peers Stock History'!I$1833*100</f>
        <v>193.35360556038228</v>
      </c>
      <c r="I951" s="871">
        <f>'Peers Stock History'!J954/'Peers Stock History'!J$1833*100</f>
        <v>128.28647440672555</v>
      </c>
      <c r="J951" s="871">
        <f>'Peers Stock History'!K954/'Peers Stock History'!K$1833*100</f>
        <v>141.66558981620224</v>
      </c>
    </row>
    <row r="952" spans="2:10">
      <c r="B952" s="870">
        <v>43659</v>
      </c>
      <c r="C952" s="871">
        <f>'Peers Stock History'!D955/'Peers Stock History'!D$1833*100</f>
        <v>138.47434119278782</v>
      </c>
      <c r="D952" s="871">
        <f>'Peers Stock History'!E955/'Peers Stock History'!E$1833*100</f>
        <v>153.77064220183487</v>
      </c>
      <c r="E952" s="871">
        <f>'Peers Stock History'!F955/'Peers Stock History'!F$1833*100</f>
        <v>249.69924812030072</v>
      </c>
      <c r="F952" s="871">
        <f>'Peers Stock History'!G955/'Peers Stock History'!G$1833*100</f>
        <v>131.28850247060183</v>
      </c>
      <c r="G952" s="871">
        <f>'Peers Stock History'!H955/'Peers Stock History'!H$1833*100</f>
        <v>138.54556046410019</v>
      </c>
      <c r="H952" s="871">
        <f>'Peers Stock History'!I955/'Peers Stock History'!I$1833*100</f>
        <v>193.35360556038228</v>
      </c>
      <c r="I952" s="871">
        <f>'Peers Stock History'!J955/'Peers Stock History'!J$1833*100</f>
        <v>128.28647440672555</v>
      </c>
      <c r="J952" s="871">
        <f>'Peers Stock History'!K955/'Peers Stock History'!K$1833*100</f>
        <v>141.66558981620224</v>
      </c>
    </row>
    <row r="953" spans="2:10">
      <c r="B953" s="870">
        <v>43658</v>
      </c>
      <c r="C953" s="871">
        <f>'Peers Stock History'!D956/'Peers Stock History'!D$1833*100</f>
        <v>138.47434119278782</v>
      </c>
      <c r="D953" s="871">
        <f>'Peers Stock History'!E956/'Peers Stock History'!E$1833*100</f>
        <v>153.77064220183487</v>
      </c>
      <c r="E953" s="871">
        <f>'Peers Stock History'!F956/'Peers Stock History'!F$1833*100</f>
        <v>249.69924812030072</v>
      </c>
      <c r="F953" s="871">
        <f>'Peers Stock History'!G956/'Peers Stock History'!G$1833*100</f>
        <v>131.28850247060183</v>
      </c>
      <c r="G953" s="871">
        <f>'Peers Stock History'!H956/'Peers Stock History'!H$1833*100</f>
        <v>138.54556046410019</v>
      </c>
      <c r="H953" s="871">
        <f>'Peers Stock History'!I956/'Peers Stock History'!I$1833*100</f>
        <v>193.35360556038228</v>
      </c>
      <c r="I953" s="871">
        <f>'Peers Stock History'!J956/'Peers Stock History'!J$1833*100</f>
        <v>128.28647440672555</v>
      </c>
      <c r="J953" s="871">
        <f>'Peers Stock History'!K956/'Peers Stock History'!K$1833*100</f>
        <v>141.66558981620224</v>
      </c>
    </row>
    <row r="954" spans="2:10">
      <c r="B954" s="870">
        <v>43657</v>
      </c>
      <c r="C954" s="871">
        <f>'Peers Stock History'!D957/'Peers Stock History'!D$1833*100</f>
        <v>134.81276005547852</v>
      </c>
      <c r="D954" s="871">
        <f>'Peers Stock History'!E957/'Peers Stock History'!E$1833*100</f>
        <v>152.55045871559633</v>
      </c>
      <c r="E954" s="871">
        <f>'Peers Stock History'!F957/'Peers Stock History'!F$1833*100</f>
        <v>248.57142857142858</v>
      </c>
      <c r="F954" s="871">
        <f>'Peers Stock History'!G957/'Peers Stock History'!G$1833*100</f>
        <v>131.13207176986893</v>
      </c>
      <c r="G954" s="871">
        <f>'Peers Stock History'!H957/'Peers Stock History'!H$1833*100</f>
        <v>134.01621437933881</v>
      </c>
      <c r="H954" s="871">
        <f>'Peers Stock History'!I957/'Peers Stock History'!I$1833*100</f>
        <v>188.879235447437</v>
      </c>
      <c r="I954" s="871">
        <f>'Peers Stock History'!J957/'Peers Stock History'!J$1833*100</f>
        <v>127.69649888262211</v>
      </c>
      <c r="J954" s="871">
        <f>'Peers Stock History'!K957/'Peers Stock History'!K$1833*100</f>
        <v>140.83903262169557</v>
      </c>
    </row>
    <row r="955" spans="2:10">
      <c r="B955" s="870">
        <v>43656</v>
      </c>
      <c r="C955" s="871">
        <f>'Peers Stock History'!D958/'Peers Stock History'!D$1833*100</f>
        <v>133.73092926490986</v>
      </c>
      <c r="D955" s="871">
        <f>'Peers Stock History'!E958/'Peers Stock History'!E$1833*100</f>
        <v>146.8440366972477</v>
      </c>
      <c r="E955" s="871">
        <f>'Peers Stock History'!F958/'Peers Stock History'!F$1833*100</f>
        <v>254.06015037593983</v>
      </c>
      <c r="F955" s="871">
        <f>'Peers Stock History'!G958/'Peers Stock History'!G$1833*100</f>
        <v>129.45830313810464</v>
      </c>
      <c r="G955" s="871">
        <f>'Peers Stock History'!H958/'Peers Stock History'!H$1833*100</f>
        <v>133.25889606291568</v>
      </c>
      <c r="H955" s="871">
        <f>'Peers Stock History'!I958/'Peers Stock History'!I$1833*100</f>
        <v>186.35968722849697</v>
      </c>
      <c r="I955" s="871">
        <f>'Peers Stock History'!J958/'Peers Stock History'!J$1833*100</f>
        <v>127.40534213046718</v>
      </c>
      <c r="J955" s="871">
        <f>'Peers Stock History'!K958/'Peers Stock History'!K$1833*100</f>
        <v>140.95052101233111</v>
      </c>
    </row>
    <row r="956" spans="2:10">
      <c r="B956" s="870">
        <v>43655</v>
      </c>
      <c r="C956" s="871">
        <f>'Peers Stock History'!D959/'Peers Stock History'!D$1833*100</f>
        <v>132.45492371705964</v>
      </c>
      <c r="D956" s="871">
        <f>'Peers Stock History'!E959/'Peers Stock History'!E$1833*100</f>
        <v>144.32110091743121</v>
      </c>
      <c r="E956" s="871">
        <f>'Peers Stock History'!F959/'Peers Stock History'!F$1833*100</f>
        <v>249.24812030075185</v>
      </c>
      <c r="F956" s="871">
        <f>'Peers Stock History'!G959/'Peers Stock History'!G$1833*100</f>
        <v>126.33296029207581</v>
      </c>
      <c r="G956" s="871">
        <f>'Peers Stock History'!H959/'Peers Stock History'!H$1833*100</f>
        <v>133.75892033593863</v>
      </c>
      <c r="H956" s="871">
        <f>'Peers Stock History'!I959/'Peers Stock History'!I$1833*100</f>
        <v>179.62641181581233</v>
      </c>
      <c r="I956" s="871">
        <f>'Peers Stock History'!J959/'Peers Stock History'!J$1833*100</f>
        <v>126.83324465254869</v>
      </c>
      <c r="J956" s="871">
        <f>'Peers Stock History'!K959/'Peers Stock History'!K$1833*100</f>
        <v>139.90569539337119</v>
      </c>
    </row>
    <row r="957" spans="2:10">
      <c r="B957" s="870">
        <v>43654</v>
      </c>
      <c r="C957" s="871">
        <f>'Peers Stock History'!D960/'Peers Stock History'!D$1833*100</f>
        <v>132.6490984743412</v>
      </c>
      <c r="D957" s="871">
        <f>'Peers Stock History'!E960/'Peers Stock History'!E$1833*100</f>
        <v>144.22935779816515</v>
      </c>
      <c r="E957" s="871">
        <f>'Peers Stock History'!F960/'Peers Stock History'!F$1833*100</f>
        <v>240.90225563909772</v>
      </c>
      <c r="F957" s="871">
        <f>'Peers Stock History'!G960/'Peers Stock History'!G$1833*100</f>
        <v>126.54930622176866</v>
      </c>
      <c r="G957" s="871">
        <f>'Peers Stock History'!H960/'Peers Stock History'!H$1833*100</f>
        <v>133.48220787416864</v>
      </c>
      <c r="H957" s="871">
        <f>'Peers Stock History'!I960/'Peers Stock History'!I$1833*100</f>
        <v>175.5430060816681</v>
      </c>
      <c r="I957" s="871">
        <f>'Peers Stock History'!J960/'Peers Stock History'!J$1833*100</f>
        <v>126.67659891454718</v>
      </c>
      <c r="J957" s="871">
        <f>'Peers Stock History'!K960/'Peers Stock History'!K$1833*100</f>
        <v>139.16084709181641</v>
      </c>
    </row>
    <row r="958" spans="2:10">
      <c r="B958" s="870">
        <v>43653</v>
      </c>
      <c r="C958" s="871">
        <f>'Peers Stock History'!D961/'Peers Stock History'!D$1833*100</f>
        <v>133.37031900138697</v>
      </c>
      <c r="D958" s="871">
        <f>'Peers Stock History'!E961/'Peers Stock History'!E$1833*100</f>
        <v>147</v>
      </c>
      <c r="E958" s="871">
        <f>'Peers Stock History'!F961/'Peers Stock History'!F$1833*100</f>
        <v>236.84210526315786</v>
      </c>
      <c r="F958" s="871">
        <f>'Peers Stock History'!G961/'Peers Stock History'!G$1833*100</f>
        <v>126.82650704018781</v>
      </c>
      <c r="G958" s="871">
        <f>'Peers Stock History'!H961/'Peers Stock History'!H$1833*100</f>
        <v>137.22025341035973</v>
      </c>
      <c r="H958" s="871">
        <f>'Peers Stock History'!I961/'Peers Stock History'!I$1833*100</f>
        <v>171.24239791485664</v>
      </c>
      <c r="I958" s="871">
        <f>'Peers Stock History'!J961/'Peers Stock History'!J$1833*100</f>
        <v>127.29211450462914</v>
      </c>
      <c r="J958" s="871">
        <f>'Peers Stock History'!K961/'Peers Stock History'!K$1833*100</f>
        <v>140.2504536518978</v>
      </c>
    </row>
    <row r="959" spans="2:10">
      <c r="B959" s="870">
        <v>43652</v>
      </c>
      <c r="C959" s="871">
        <f>'Peers Stock History'!D962/'Peers Stock History'!D$1833*100</f>
        <v>133.37031900138697</v>
      </c>
      <c r="D959" s="871">
        <f>'Peers Stock History'!E962/'Peers Stock History'!E$1833*100</f>
        <v>147</v>
      </c>
      <c r="E959" s="871">
        <f>'Peers Stock History'!F962/'Peers Stock History'!F$1833*100</f>
        <v>236.84210526315786</v>
      </c>
      <c r="F959" s="871">
        <f>'Peers Stock History'!G962/'Peers Stock History'!G$1833*100</f>
        <v>126.82650704018781</v>
      </c>
      <c r="G959" s="871">
        <f>'Peers Stock History'!H962/'Peers Stock History'!H$1833*100</f>
        <v>137.22025341035973</v>
      </c>
      <c r="H959" s="871">
        <f>'Peers Stock History'!I962/'Peers Stock History'!I$1833*100</f>
        <v>171.24239791485664</v>
      </c>
      <c r="I959" s="871">
        <f>'Peers Stock History'!J962/'Peers Stock History'!J$1833*100</f>
        <v>127.29211450462914</v>
      </c>
      <c r="J959" s="871">
        <f>'Peers Stock History'!K962/'Peers Stock History'!K$1833*100</f>
        <v>140.2504536518978</v>
      </c>
    </row>
    <row r="960" spans="2:10">
      <c r="B960" s="870">
        <v>43651</v>
      </c>
      <c r="C960" s="871">
        <f>'Peers Stock History'!D963/'Peers Stock History'!D$1833*100</f>
        <v>133.37031900138697</v>
      </c>
      <c r="D960" s="871">
        <f>'Peers Stock History'!E963/'Peers Stock History'!E$1833*100</f>
        <v>147</v>
      </c>
      <c r="E960" s="871">
        <f>'Peers Stock History'!F963/'Peers Stock History'!F$1833*100</f>
        <v>236.84210526315786</v>
      </c>
      <c r="F960" s="871">
        <f>'Peers Stock History'!G963/'Peers Stock History'!G$1833*100</f>
        <v>126.82650704018781</v>
      </c>
      <c r="G960" s="871">
        <f>'Peers Stock History'!H963/'Peers Stock History'!H$1833*100</f>
        <v>137.22025341035973</v>
      </c>
      <c r="H960" s="871">
        <f>'Peers Stock History'!I963/'Peers Stock History'!I$1833*100</f>
        <v>171.24239791485664</v>
      </c>
      <c r="I960" s="871">
        <f>'Peers Stock History'!J963/'Peers Stock History'!J$1833*100</f>
        <v>127.29211450462914</v>
      </c>
      <c r="J960" s="871">
        <f>'Peers Stock History'!K963/'Peers Stock History'!K$1833*100</f>
        <v>140.2504536518978</v>
      </c>
    </row>
    <row r="961" spans="2:10">
      <c r="B961" s="870">
        <v>43650</v>
      </c>
      <c r="C961" s="871">
        <f>'Peers Stock History'!D964/'Peers Stock History'!D$1833*100</f>
        <v>134.59084604715673</v>
      </c>
      <c r="D961" s="871">
        <f>'Peers Stock History'!E964/'Peers Stock History'!E$1833*100</f>
        <v>149.3119266055046</v>
      </c>
      <c r="E961" s="871">
        <f>'Peers Stock History'!F964/'Peers Stock History'!F$1833*100</f>
        <v>234.51127819548873</v>
      </c>
      <c r="F961" s="871">
        <f>'Peers Stock History'!G964/'Peers Stock History'!G$1833*100</f>
        <v>127.90241894743552</v>
      </c>
      <c r="G961" s="871">
        <f>'Peers Stock History'!H964/'Peers Stock History'!H$1833*100</f>
        <v>138.30283023447737</v>
      </c>
      <c r="H961" s="871">
        <f>'Peers Stock History'!I964/'Peers Stock History'!I$1833*100</f>
        <v>171.9808861859253</v>
      </c>
      <c r="I961" s="871">
        <f>'Peers Stock History'!J964/'Peers Stock History'!J$1833*100</f>
        <v>127.52240076620198</v>
      </c>
      <c r="J961" s="871">
        <f>'Peers Stock History'!K964/'Peers Stock History'!K$1833*100</f>
        <v>140.39548478891439</v>
      </c>
    </row>
    <row r="962" spans="2:10">
      <c r="B962" s="870">
        <v>43649</v>
      </c>
      <c r="C962" s="871">
        <f>'Peers Stock History'!D965/'Peers Stock History'!D$1833*100</f>
        <v>134.59084604715673</v>
      </c>
      <c r="D962" s="871">
        <f>'Peers Stock History'!E965/'Peers Stock History'!E$1833*100</f>
        <v>149.3119266055046</v>
      </c>
      <c r="E962" s="871">
        <f>'Peers Stock History'!F965/'Peers Stock History'!F$1833*100</f>
        <v>234.51127819548873</v>
      </c>
      <c r="F962" s="871">
        <f>'Peers Stock History'!G965/'Peers Stock History'!G$1833*100</f>
        <v>126.95658385507778</v>
      </c>
      <c r="G962" s="871">
        <f>'Peers Stock History'!H965/'Peers Stock History'!H$1833*100</f>
        <v>138.30283023447737</v>
      </c>
      <c r="H962" s="871">
        <f>'Peers Stock History'!I965/'Peers Stock History'!I$1833*100</f>
        <v>171.9808861859253</v>
      </c>
      <c r="I962" s="871">
        <f>'Peers Stock History'!J965/'Peers Stock History'!J$1833*100</f>
        <v>127.52240076620198</v>
      </c>
      <c r="J962" s="871">
        <f>'Peers Stock History'!K965/'Peers Stock History'!K$1833*100</f>
        <v>140.39548478891439</v>
      </c>
    </row>
    <row r="963" spans="2:10">
      <c r="B963" s="870">
        <v>43648</v>
      </c>
      <c r="C963" s="871">
        <f>'Peers Stock History'!D966/'Peers Stock History'!D$1833*100</f>
        <v>133.48127600554784</v>
      </c>
      <c r="D963" s="871">
        <f>'Peers Stock History'!E966/'Peers Stock History'!E$1833*100</f>
        <v>148.83486238532109</v>
      </c>
      <c r="E963" s="871">
        <f>'Peers Stock History'!F966/'Peers Stock History'!F$1833*100</f>
        <v>234.88721804511275</v>
      </c>
      <c r="F963" s="871">
        <f>'Peers Stock History'!G966/'Peers Stock History'!G$1833*100</f>
        <v>130.69604239906258</v>
      </c>
      <c r="G963" s="871">
        <f>'Peers Stock History'!H966/'Peers Stock History'!H$1833*100</f>
        <v>143.3710374290014</v>
      </c>
      <c r="H963" s="871">
        <f>'Peers Stock History'!I966/'Peers Stock History'!I$1833*100</f>
        <v>172.02432667245876</v>
      </c>
      <c r="I963" s="871">
        <f>'Peers Stock History'!J966/'Peers Stock History'!J$1833*100</f>
        <v>126.55145259125253</v>
      </c>
      <c r="J963" s="871">
        <f>'Peers Stock History'!K966/'Peers Stock History'!K$1833*100</f>
        <v>139.34488541852826</v>
      </c>
    </row>
    <row r="964" spans="2:10">
      <c r="B964" s="870">
        <v>43647</v>
      </c>
      <c r="C964" s="871">
        <f>'Peers Stock History'!D967/'Peers Stock History'!D$1833*100</f>
        <v>133.28710124826631</v>
      </c>
      <c r="D964" s="871">
        <f>'Peers Stock History'!E967/'Peers Stock History'!E$1833*100</f>
        <v>152.44954128440367</v>
      </c>
      <c r="E964" s="871">
        <f>'Peers Stock History'!F967/'Peers Stock History'!F$1833*100</f>
        <v>234.58646616541353</v>
      </c>
      <c r="F964" s="871">
        <f>'Peers Stock History'!G967/'Peers Stock History'!G$1833*100</f>
        <v>130.43360054685559</v>
      </c>
      <c r="G964" s="871">
        <f>'Peers Stock History'!H967/'Peers Stock History'!H$1833*100</f>
        <v>145.8080489344143</v>
      </c>
      <c r="H964" s="871">
        <f>'Peers Stock History'!I967/'Peers Stock History'!I$1833*100</f>
        <v>174.23979148566465</v>
      </c>
      <c r="I964" s="871">
        <f>'Peers Stock History'!J967/'Peers Stock History'!J$1833*100</f>
        <v>126.18197297009684</v>
      </c>
      <c r="J964" s="871">
        <f>'Peers Stock History'!K967/'Peers Stock History'!K$1833*100</f>
        <v>139.03678017128797</v>
      </c>
    </row>
    <row r="965" spans="2:10">
      <c r="B965" s="870">
        <v>43646</v>
      </c>
      <c r="C965" s="871">
        <f>'Peers Stock History'!D968/'Peers Stock History'!D$1833*100</f>
        <v>132.7877947295423</v>
      </c>
      <c r="D965" s="871">
        <f>'Peers Stock History'!E968/'Peers Stock History'!E$1833*100</f>
        <v>150.6697247706422</v>
      </c>
      <c r="E965" s="871">
        <f>'Peers Stock History'!F968/'Peers Stock History'!F$1833*100</f>
        <v>228.3458646616541</v>
      </c>
      <c r="F965" s="871">
        <f>'Peers Stock History'!G968/'Peers Stock History'!G$1833*100</f>
        <v>125.58497927384806</v>
      </c>
      <c r="G965" s="871">
        <f>'Peers Stock History'!H968/'Peers Stock History'!H$1833*100</f>
        <v>139.74464779843683</v>
      </c>
      <c r="H965" s="871">
        <f>'Peers Stock History'!I968/'Peers Stock History'!I$1833*100</f>
        <v>167.63683753258039</v>
      </c>
      <c r="I965" s="871">
        <f>'Peers Stock History'!J968/'Peers Stock History'!J$1833*100</f>
        <v>125.2212408215388</v>
      </c>
      <c r="J965" s="871">
        <f>'Peers Stock History'!K968/'Peers Stock History'!K$1833*100</f>
        <v>137.57756760100628</v>
      </c>
    </row>
    <row r="966" spans="2:10">
      <c r="B966" s="870">
        <v>43645</v>
      </c>
      <c r="C966" s="871">
        <f>'Peers Stock History'!D969/'Peers Stock History'!D$1833*100</f>
        <v>132.7877947295423</v>
      </c>
      <c r="D966" s="871">
        <f>'Peers Stock History'!E969/'Peers Stock History'!E$1833*100</f>
        <v>150.6697247706422</v>
      </c>
      <c r="E966" s="871">
        <f>'Peers Stock History'!F969/'Peers Stock History'!F$1833*100</f>
        <v>228.3458646616541</v>
      </c>
      <c r="F966" s="871">
        <f>'Peers Stock History'!G969/'Peers Stock History'!G$1833*100</f>
        <v>125.58497927384806</v>
      </c>
      <c r="G966" s="871">
        <f>'Peers Stock History'!H969/'Peers Stock History'!H$1833*100</f>
        <v>139.74464779843683</v>
      </c>
      <c r="H966" s="871">
        <f>'Peers Stock History'!I969/'Peers Stock History'!I$1833*100</f>
        <v>167.63683753258039</v>
      </c>
      <c r="I966" s="871">
        <f>'Peers Stock History'!J969/'Peers Stock History'!J$1833*100</f>
        <v>125.2212408215388</v>
      </c>
      <c r="J966" s="871">
        <f>'Peers Stock History'!K969/'Peers Stock History'!K$1833*100</f>
        <v>137.57756760100628</v>
      </c>
    </row>
    <row r="967" spans="2:10">
      <c r="B967" s="870">
        <v>43644</v>
      </c>
      <c r="C967" s="871">
        <f>'Peers Stock History'!D970/'Peers Stock History'!D$1833*100</f>
        <v>132.7877947295423</v>
      </c>
      <c r="D967" s="871">
        <f>'Peers Stock History'!E970/'Peers Stock History'!E$1833*100</f>
        <v>150.6697247706422</v>
      </c>
      <c r="E967" s="871">
        <f>'Peers Stock History'!F970/'Peers Stock History'!F$1833*100</f>
        <v>228.3458646616541</v>
      </c>
      <c r="F967" s="871">
        <f>'Peers Stock History'!G970/'Peers Stock History'!G$1833*100</f>
        <v>125.58497927384806</v>
      </c>
      <c r="G967" s="871">
        <f>'Peers Stock History'!H970/'Peers Stock History'!H$1833*100</f>
        <v>139.74464779843683</v>
      </c>
      <c r="H967" s="871">
        <f>'Peers Stock History'!I970/'Peers Stock History'!I$1833*100</f>
        <v>167.63683753258039</v>
      </c>
      <c r="I967" s="871">
        <f>'Peers Stock History'!J970/'Peers Stock History'!J$1833*100</f>
        <v>125.2212408215388</v>
      </c>
      <c r="J967" s="871">
        <f>'Peers Stock History'!K970/'Peers Stock History'!K$1833*100</f>
        <v>137.57756760100628</v>
      </c>
    </row>
    <row r="968" spans="2:10">
      <c r="B968" s="870">
        <v>43643</v>
      </c>
      <c r="C968" s="871">
        <f>'Peers Stock History'!D971/'Peers Stock History'!D$1833*100</f>
        <v>131.65048543689321</v>
      </c>
      <c r="D968" s="871">
        <f>'Peers Stock History'!E971/'Peers Stock History'!E$1833*100</f>
        <v>149.75229357798162</v>
      </c>
      <c r="E968" s="871">
        <f>'Peers Stock History'!F971/'Peers Stock History'!F$1833*100</f>
        <v>231.12781954887214</v>
      </c>
      <c r="F968" s="871">
        <f>'Peers Stock History'!G971/'Peers Stock History'!G$1833*100</f>
        <v>126.1490530426139</v>
      </c>
      <c r="G968" s="871">
        <f>'Peers Stock History'!H971/'Peers Stock History'!H$1833*100</f>
        <v>138.70090781105878</v>
      </c>
      <c r="H968" s="871">
        <f>'Peers Stock History'!I971/'Peers Stock History'!I$1833*100</f>
        <v>165.377932232841</v>
      </c>
      <c r="I968" s="871">
        <f>'Peers Stock History'!J971/'Peers Stock History'!J$1833*100</f>
        <v>124.50441630307544</v>
      </c>
      <c r="J968" s="871">
        <f>'Peers Stock History'!K971/'Peers Stock History'!K$1833*100</f>
        <v>136.91623248972411</v>
      </c>
    </row>
    <row r="969" spans="2:10">
      <c r="B969" s="870">
        <v>43642</v>
      </c>
      <c r="C969" s="871">
        <f>'Peers Stock History'!D972/'Peers Stock History'!D$1833*100</f>
        <v>133.6754507628294</v>
      </c>
      <c r="D969" s="871">
        <f>'Peers Stock History'!E972/'Peers Stock History'!E$1833*100</f>
        <v>146.11009174311926</v>
      </c>
      <c r="E969" s="871">
        <f>'Peers Stock History'!F972/'Peers Stock History'!F$1833*100</f>
        <v>224.9624060150376</v>
      </c>
      <c r="F969" s="871">
        <f>'Peers Stock History'!G972/'Peers Stock History'!G$1833*100</f>
        <v>122.99395155271343</v>
      </c>
      <c r="G969" s="871">
        <f>'Peers Stock History'!H972/'Peers Stock History'!H$1833*100</f>
        <v>136.62799165008008</v>
      </c>
      <c r="H969" s="871">
        <f>'Peers Stock History'!I972/'Peers Stock History'!I$1833*100</f>
        <v>160.90356211989572</v>
      </c>
      <c r="I969" s="871">
        <f>'Peers Stock History'!J972/'Peers Stock History'!J$1833*100</f>
        <v>124.03022241140791</v>
      </c>
      <c r="J969" s="871">
        <f>'Peers Stock History'!K972/'Peers Stock History'!K$1833*100</f>
        <v>135.92323316332843</v>
      </c>
    </row>
    <row r="970" spans="2:10">
      <c r="B970" s="870">
        <v>43641</v>
      </c>
      <c r="C970" s="871">
        <f>'Peers Stock History'!D973/'Peers Stock History'!D$1833*100</f>
        <v>129.95839112343967</v>
      </c>
      <c r="D970" s="871">
        <f>'Peers Stock History'!E973/'Peers Stock History'!E$1833*100</f>
        <v>138.97247706422019</v>
      </c>
      <c r="E970" s="871">
        <f>'Peers Stock History'!F973/'Peers Stock History'!F$1833*100</f>
        <v>216.99248120300751</v>
      </c>
      <c r="F970" s="871">
        <f>'Peers Stock History'!G973/'Peers Stock History'!G$1833*100</f>
        <v>124.86245463684958</v>
      </c>
      <c r="G970" s="871">
        <f>'Peers Stock History'!H973/'Peers Stock History'!H$1833*100</f>
        <v>134.23467158599931</v>
      </c>
      <c r="H970" s="871">
        <f>'Peers Stock History'!I973/'Peers Stock History'!I$1833*100</f>
        <v>141.96350999131192</v>
      </c>
      <c r="I970" s="871">
        <f>'Peers Stock History'!J973/'Peers Stock History'!J$1833*100</f>
        <v>124.18346280727891</v>
      </c>
      <c r="J970" s="871">
        <f>'Peers Stock History'!K973/'Peers Stock History'!K$1833*100</f>
        <v>135.48927388202301</v>
      </c>
    </row>
    <row r="971" spans="2:10">
      <c r="B971" s="870">
        <v>43640</v>
      </c>
      <c r="C971" s="871">
        <f>'Peers Stock History'!D974/'Peers Stock History'!D$1833*100</f>
        <v>132.12205270457699</v>
      </c>
      <c r="D971" s="871">
        <f>'Peers Stock History'!E974/'Peers Stock History'!E$1833*100</f>
        <v>140.05504587155963</v>
      </c>
      <c r="E971" s="871">
        <f>'Peers Stock History'!F974/'Peers Stock History'!F$1833*100</f>
        <v>220.00000000000003</v>
      </c>
      <c r="F971" s="871">
        <f>'Peers Stock History'!G974/'Peers Stock History'!G$1833*100</f>
        <v>126.75053927882898</v>
      </c>
      <c r="G971" s="871">
        <f>'Peers Stock History'!H974/'Peers Stock History'!H$1833*100</f>
        <v>135.54056022136996</v>
      </c>
      <c r="H971" s="871">
        <f>'Peers Stock History'!I974/'Peers Stock History'!I$1833*100</f>
        <v>144.17897480451779</v>
      </c>
      <c r="I971" s="871">
        <f>'Peers Stock History'!J974/'Peers Stock History'!J$1833*100</f>
        <v>125.37405554964349</v>
      </c>
      <c r="J971" s="871">
        <f>'Peers Stock History'!K974/'Peers Stock History'!K$1833*100</f>
        <v>137.56815088737062</v>
      </c>
    </row>
    <row r="972" spans="2:10">
      <c r="B972" s="870">
        <v>43639</v>
      </c>
      <c r="C972" s="871">
        <f>'Peers Stock History'!D975/'Peers Stock History'!D$1833*100</f>
        <v>131.65048543689321</v>
      </c>
      <c r="D972" s="871">
        <f>'Peers Stock History'!E975/'Peers Stock History'!E$1833*100</f>
        <v>139.22935779816513</v>
      </c>
      <c r="E972" s="871">
        <f>'Peers Stock History'!F975/'Peers Stock History'!F$1833*100</f>
        <v>218.79699248120298</v>
      </c>
      <c r="F972" s="871">
        <f>'Peers Stock History'!G975/'Peers Stock History'!G$1833*100</f>
        <v>130.63592774522203</v>
      </c>
      <c r="G972" s="871">
        <f>'Peers Stock History'!H975/'Peers Stock History'!H$1833*100</f>
        <v>133.01131122870044</v>
      </c>
      <c r="H972" s="871">
        <f>'Peers Stock History'!I975/'Peers Stock History'!I$1833*100</f>
        <v>144.43961772371853</v>
      </c>
      <c r="I972" s="871">
        <f>'Peers Stock History'!J975/'Peers Stock History'!J$1833*100</f>
        <v>125.59157177822709</v>
      </c>
      <c r="J972" s="871">
        <f>'Peers Stock History'!K975/'Peers Stock History'!K$1833*100</f>
        <v>138.01511829316914</v>
      </c>
    </row>
    <row r="973" spans="2:10">
      <c r="B973" s="870">
        <v>43638</v>
      </c>
      <c r="C973" s="871">
        <f>'Peers Stock History'!D976/'Peers Stock History'!D$1833*100</f>
        <v>131.65048543689321</v>
      </c>
      <c r="D973" s="871">
        <f>'Peers Stock History'!E976/'Peers Stock History'!E$1833*100</f>
        <v>139.22935779816513</v>
      </c>
      <c r="E973" s="871">
        <f>'Peers Stock History'!F976/'Peers Stock History'!F$1833*100</f>
        <v>218.79699248120298</v>
      </c>
      <c r="F973" s="871">
        <f>'Peers Stock History'!G976/'Peers Stock History'!G$1833*100</f>
        <v>130.63592774522203</v>
      </c>
      <c r="G973" s="871">
        <f>'Peers Stock History'!H976/'Peers Stock History'!H$1833*100</f>
        <v>133.01131122870044</v>
      </c>
      <c r="H973" s="871">
        <f>'Peers Stock History'!I976/'Peers Stock History'!I$1833*100</f>
        <v>144.43961772371853</v>
      </c>
      <c r="I973" s="871">
        <f>'Peers Stock History'!J976/'Peers Stock History'!J$1833*100</f>
        <v>125.59157177822709</v>
      </c>
      <c r="J973" s="871">
        <f>'Peers Stock History'!K976/'Peers Stock History'!K$1833*100</f>
        <v>138.01511829316914</v>
      </c>
    </row>
    <row r="974" spans="2:10">
      <c r="B974" s="870">
        <v>43637</v>
      </c>
      <c r="C974" s="871">
        <f>'Peers Stock History'!D977/'Peers Stock History'!D$1833*100</f>
        <v>131.65048543689321</v>
      </c>
      <c r="D974" s="871">
        <f>'Peers Stock History'!E977/'Peers Stock History'!E$1833*100</f>
        <v>139.22935779816513</v>
      </c>
      <c r="E974" s="871">
        <f>'Peers Stock History'!F977/'Peers Stock History'!F$1833*100</f>
        <v>218.79699248120298</v>
      </c>
      <c r="F974" s="871">
        <f>'Peers Stock History'!G977/'Peers Stock History'!G$1833*100</f>
        <v>130.63592774522203</v>
      </c>
      <c r="G974" s="871">
        <f>'Peers Stock History'!H977/'Peers Stock History'!H$1833*100</f>
        <v>133.01131122870044</v>
      </c>
      <c r="H974" s="871">
        <f>'Peers Stock History'!I977/'Peers Stock History'!I$1833*100</f>
        <v>144.43961772371853</v>
      </c>
      <c r="I974" s="871">
        <f>'Peers Stock History'!J977/'Peers Stock History'!J$1833*100</f>
        <v>125.59157177822709</v>
      </c>
      <c r="J974" s="871">
        <f>'Peers Stock History'!K977/'Peers Stock History'!K$1833*100</f>
        <v>138.01511829316914</v>
      </c>
    </row>
    <row r="975" spans="2:10">
      <c r="B975" s="870">
        <v>43636</v>
      </c>
      <c r="C975" s="871">
        <f>'Peers Stock History'!D978/'Peers Stock History'!D$1833*100</f>
        <v>130.9015256588072</v>
      </c>
      <c r="D975" s="871">
        <f>'Peers Stock History'!E978/'Peers Stock History'!E$1833*100</f>
        <v>141.37614678899081</v>
      </c>
      <c r="E975" s="871">
        <f>'Peers Stock History'!F978/'Peers Stock History'!F$1833*100</f>
        <v>225.6390977443609</v>
      </c>
      <c r="F975" s="871">
        <f>'Peers Stock History'!G978/'Peers Stock History'!G$1833*100</f>
        <v>128.75021686199202</v>
      </c>
      <c r="G975" s="871">
        <f>'Peers Stock History'!H978/'Peers Stock History'!H$1833*100</f>
        <v>135.46774115248311</v>
      </c>
      <c r="H975" s="871">
        <f>'Peers Stock History'!I978/'Peers Stock History'!I$1833*100</f>
        <v>148.34926151172894</v>
      </c>
      <c r="I975" s="871">
        <f>'Peers Stock History'!J978/'Peers Stock History'!J$1833*100</f>
        <v>125.74992018729381</v>
      </c>
      <c r="J975" s="871">
        <f>'Peers Stock History'!K978/'Peers Stock History'!K$1833*100</f>
        <v>138.35248752457284</v>
      </c>
    </row>
    <row r="976" spans="2:10">
      <c r="B976" s="870">
        <v>43635</v>
      </c>
      <c r="C976" s="871">
        <f>'Peers Stock History'!D979/'Peers Stock History'!D$1833*100</f>
        <v>130.56865464632457</v>
      </c>
      <c r="D976" s="871">
        <f>'Peers Stock History'!E979/'Peers Stock History'!E$1833*100</f>
        <v>140.47706422018348</v>
      </c>
      <c r="E976" s="871">
        <f>'Peers Stock History'!F979/'Peers Stock History'!F$1833*100</f>
        <v>229.32330827067665</v>
      </c>
      <c r="F976" s="871">
        <f>'Peers Stock History'!G979/'Peers Stock History'!G$1833*100</f>
        <v>127.42610572396444</v>
      </c>
      <c r="G976" s="871">
        <f>'Peers Stock History'!H979/'Peers Stock History'!H$1833*100</f>
        <v>134.71042283606002</v>
      </c>
      <c r="H976" s="871">
        <f>'Peers Stock History'!I979/'Peers Stock History'!I$1833*100</f>
        <v>147.43701129452649</v>
      </c>
      <c r="I976" s="871">
        <f>'Peers Stock History'!J979/'Peers Stock History'!J$1833*100</f>
        <v>124.56996913908694</v>
      </c>
      <c r="J976" s="871">
        <f>'Peers Stock History'!K979/'Peers Stock History'!K$1833*100</f>
        <v>137.25243322381539</v>
      </c>
    </row>
    <row r="977" spans="2:10">
      <c r="B977" s="870">
        <v>43634</v>
      </c>
      <c r="C977" s="871">
        <f>'Peers Stock History'!D980/'Peers Stock History'!D$1833*100</f>
        <v>131.40083217753121</v>
      </c>
      <c r="D977" s="871">
        <f>'Peers Stock History'!E980/'Peers Stock History'!E$1833*100</f>
        <v>140.25688073394497</v>
      </c>
      <c r="E977" s="871">
        <f>'Peers Stock History'!F980/'Peers Stock History'!F$1833*100</f>
        <v>228.9473684210526</v>
      </c>
      <c r="F977" s="871">
        <f>'Peers Stock History'!G980/'Peers Stock History'!G$1833*100</f>
        <v>122.38202738314557</v>
      </c>
      <c r="G977" s="871">
        <f>'Peers Stock History'!H980/'Peers Stock History'!H$1833*100</f>
        <v>134.98228069323756</v>
      </c>
      <c r="H977" s="871">
        <f>'Peers Stock History'!I980/'Peers Stock History'!I$1833*100</f>
        <v>148.95742832319723</v>
      </c>
      <c r="I977" s="871">
        <f>'Peers Stock History'!J980/'Peers Stock History'!J$1833*100</f>
        <v>124.19921251463234</v>
      </c>
      <c r="J977" s="871">
        <f>'Peers Stock History'!K980/'Peers Stock History'!K$1833*100</f>
        <v>136.67780748663102</v>
      </c>
    </row>
    <row r="978" spans="2:10">
      <c r="B978" s="870">
        <v>43633</v>
      </c>
      <c r="C978" s="871">
        <f>'Peers Stock History'!D981/'Peers Stock History'!D$1833*100</f>
        <v>127.96116504854371</v>
      </c>
      <c r="D978" s="871">
        <f>'Peers Stock History'!E981/'Peers Stock History'!E$1833*100</f>
        <v>133.05504587155963</v>
      </c>
      <c r="E978" s="871">
        <f>'Peers Stock History'!F981/'Peers Stock History'!F$1833*100</f>
        <v>219.5488721804511</v>
      </c>
      <c r="F978" s="871">
        <f>'Peers Stock History'!G981/'Peers Stock History'!G$1833*100</f>
        <v>120.34853031550826</v>
      </c>
      <c r="G978" s="871">
        <f>'Peers Stock History'!H981/'Peers Stock History'!H$1833*100</f>
        <v>129.11791834555075</v>
      </c>
      <c r="H978" s="871">
        <f>'Peers Stock History'!I981/'Peers Stock History'!I$1833*100</f>
        <v>140.87749782797567</v>
      </c>
      <c r="I978" s="871">
        <f>'Peers Stock History'!J981/'Peers Stock History'!J$1833*100</f>
        <v>123.00393742683835</v>
      </c>
      <c r="J978" s="871">
        <f>'Peers Stock History'!K981/'Peers Stock History'!K$1833*100</f>
        <v>134.80719794344475</v>
      </c>
    </row>
    <row r="979" spans="2:10">
      <c r="B979" s="870">
        <v>43632</v>
      </c>
      <c r="C979" s="871">
        <f>'Peers Stock History'!D982/'Peers Stock History'!D$1833*100</f>
        <v>128.12760055478503</v>
      </c>
      <c r="D979" s="871">
        <f>'Peers Stock History'!E982/'Peers Stock History'!E$1833*100</f>
        <v>132.69724770642202</v>
      </c>
      <c r="E979" s="871">
        <f>'Peers Stock History'!F982/'Peers Stock History'!F$1833*100</f>
        <v>228.27067669172928</v>
      </c>
      <c r="F979" s="871">
        <f>'Peers Stock History'!G982/'Peers Stock History'!G$1833*100</f>
        <v>121.8826021035686</v>
      </c>
      <c r="G979" s="871">
        <f>'Peers Stock History'!H982/'Peers Stock History'!H$1833*100</f>
        <v>129.09849992718091</v>
      </c>
      <c r="H979" s="871">
        <f>'Peers Stock History'!I982/'Peers Stock History'!I$1833*100</f>
        <v>141.87662901824498</v>
      </c>
      <c r="I979" s="871">
        <f>'Peers Stock History'!J982/'Peers Stock History'!J$1833*100</f>
        <v>122.88943279770139</v>
      </c>
      <c r="J979" s="871">
        <f>'Peers Stock History'!K982/'Peers Stock History'!K$1833*100</f>
        <v>133.97610422996027</v>
      </c>
    </row>
    <row r="980" spans="2:10">
      <c r="B980" s="870">
        <v>43631</v>
      </c>
      <c r="C980" s="871">
        <f>'Peers Stock History'!D983/'Peers Stock History'!D$1833*100</f>
        <v>128.12760055478503</v>
      </c>
      <c r="D980" s="871">
        <f>'Peers Stock History'!E983/'Peers Stock History'!E$1833*100</f>
        <v>132.69724770642202</v>
      </c>
      <c r="E980" s="871">
        <f>'Peers Stock History'!F983/'Peers Stock History'!F$1833*100</f>
        <v>228.27067669172928</v>
      </c>
      <c r="F980" s="871">
        <f>'Peers Stock History'!G983/'Peers Stock History'!G$1833*100</f>
        <v>121.8826021035686</v>
      </c>
      <c r="G980" s="871">
        <f>'Peers Stock History'!H983/'Peers Stock History'!H$1833*100</f>
        <v>129.09849992718091</v>
      </c>
      <c r="H980" s="871">
        <f>'Peers Stock History'!I983/'Peers Stock History'!I$1833*100</f>
        <v>141.87662901824498</v>
      </c>
      <c r="I980" s="871">
        <f>'Peers Stock History'!J983/'Peers Stock History'!J$1833*100</f>
        <v>122.88943279770139</v>
      </c>
      <c r="J980" s="871">
        <f>'Peers Stock History'!K983/'Peers Stock History'!K$1833*100</f>
        <v>133.97610422996027</v>
      </c>
    </row>
    <row r="981" spans="2:10">
      <c r="B981" s="870">
        <v>43630</v>
      </c>
      <c r="C981" s="871">
        <f>'Peers Stock History'!D984/'Peers Stock History'!D$1833*100</f>
        <v>128.12760055478503</v>
      </c>
      <c r="D981" s="871">
        <f>'Peers Stock History'!E984/'Peers Stock History'!E$1833*100</f>
        <v>132.69724770642202</v>
      </c>
      <c r="E981" s="871">
        <f>'Peers Stock History'!F984/'Peers Stock History'!F$1833*100</f>
        <v>228.27067669172928</v>
      </c>
      <c r="F981" s="871">
        <f>'Peers Stock History'!G984/'Peers Stock History'!G$1833*100</f>
        <v>121.8826021035686</v>
      </c>
      <c r="G981" s="871">
        <f>'Peers Stock History'!H984/'Peers Stock History'!H$1833*100</f>
        <v>129.09849992718091</v>
      </c>
      <c r="H981" s="871">
        <f>'Peers Stock History'!I984/'Peers Stock History'!I$1833*100</f>
        <v>141.87662901824498</v>
      </c>
      <c r="I981" s="871">
        <f>'Peers Stock History'!J984/'Peers Stock History'!J$1833*100</f>
        <v>122.88943279770139</v>
      </c>
      <c r="J981" s="871">
        <f>'Peers Stock History'!K984/'Peers Stock History'!K$1833*100</f>
        <v>133.97610422996027</v>
      </c>
    </row>
    <row r="982" spans="2:10">
      <c r="B982" s="870">
        <v>43629</v>
      </c>
      <c r="C982" s="871">
        <f>'Peers Stock History'!D985/'Peers Stock History'!D$1833*100</f>
        <v>129.54230235783635</v>
      </c>
      <c r="D982" s="871">
        <f>'Peers Stock History'!E985/'Peers Stock History'!E$1833*100</f>
        <v>136.0183486238532</v>
      </c>
      <c r="E982" s="871">
        <f>'Peers Stock History'!F985/'Peers Stock History'!F$1833*100</f>
        <v>236.01503759398494</v>
      </c>
      <c r="F982" s="871">
        <f>'Peers Stock History'!G985/'Peers Stock History'!G$1833*100</f>
        <v>124.08234757586393</v>
      </c>
      <c r="G982" s="871">
        <f>'Peers Stock History'!H985/'Peers Stock History'!H$1833*100</f>
        <v>136.71051992815185</v>
      </c>
      <c r="H982" s="871">
        <f>'Peers Stock History'!I985/'Peers Stock History'!I$1833*100</f>
        <v>145.00434404865337</v>
      </c>
      <c r="I982" s="871">
        <f>'Peers Stock History'!J985/'Peers Stock History'!J$1833*100</f>
        <v>123.08779397680109</v>
      </c>
      <c r="J982" s="871">
        <f>'Peers Stock History'!K985/'Peers Stock History'!K$1833*100</f>
        <v>134.67154915249577</v>
      </c>
    </row>
    <row r="983" spans="2:10">
      <c r="B983" s="870">
        <v>43628</v>
      </c>
      <c r="C983" s="871">
        <f>'Peers Stock History'!D986/'Peers Stock History'!D$1833*100</f>
        <v>128.48821081830792</v>
      </c>
      <c r="D983" s="871">
        <f>'Peers Stock History'!E986/'Peers Stock History'!E$1833*100</f>
        <v>134.12844036697246</v>
      </c>
      <c r="E983" s="871">
        <f>'Peers Stock History'!F986/'Peers Stock History'!F$1833*100</f>
        <v>241.95488721804509</v>
      </c>
      <c r="F983" s="871">
        <f>'Peers Stock History'!G986/'Peers Stock History'!G$1833*100</f>
        <v>127.40306140497171</v>
      </c>
      <c r="G983" s="871">
        <f>'Peers Stock History'!H986/'Peers Stock History'!H$1833*100</f>
        <v>135.79785426477014</v>
      </c>
      <c r="H983" s="871">
        <f>'Peers Stock History'!I986/'Peers Stock History'!I$1833*100</f>
        <v>143.17984361424848</v>
      </c>
      <c r="I983" s="871">
        <f>'Peers Stock History'!J986/'Peers Stock History'!J$1833*100</f>
        <v>122.5855060125572</v>
      </c>
      <c r="J983" s="871">
        <f>'Peers Stock History'!K986/'Peers Stock History'!K$1833*100</f>
        <v>133.90840012097385</v>
      </c>
    </row>
    <row r="984" spans="2:10">
      <c r="B984" s="870">
        <v>43627</v>
      </c>
      <c r="C984" s="871">
        <f>'Peers Stock History'!D987/'Peers Stock History'!D$1833*100</f>
        <v>129.95839112343967</v>
      </c>
      <c r="D984" s="871">
        <f>'Peers Stock History'!E987/'Peers Stock History'!E$1833*100</f>
        <v>138.30275229357798</v>
      </c>
      <c r="E984" s="871">
        <f>'Peers Stock History'!F987/'Peers Stock History'!F$1833*100</f>
        <v>243.68421052631578</v>
      </c>
      <c r="F984" s="871">
        <f>'Peers Stock History'!G987/'Peers Stock History'!G$1833*100</f>
        <v>126.74727103503389</v>
      </c>
      <c r="G984" s="871">
        <f>'Peers Stock History'!H987/'Peers Stock History'!H$1833*100</f>
        <v>137.61833098694112</v>
      </c>
      <c r="H984" s="871">
        <f>'Peers Stock History'!I987/'Peers Stock History'!I$1833*100</f>
        <v>151.34665508253696</v>
      </c>
      <c r="I984" s="871">
        <f>'Peers Stock History'!J987/'Peers Stock History'!J$1833*100</f>
        <v>122.83579865914653</v>
      </c>
      <c r="J984" s="871">
        <f>'Peers Stock History'!K987/'Peers Stock History'!K$1833*100</f>
        <v>134.42128452222209</v>
      </c>
    </row>
    <row r="985" spans="2:10">
      <c r="B985" s="870">
        <v>43626</v>
      </c>
      <c r="C985" s="871">
        <f>'Peers Stock History'!D988/'Peers Stock History'!D$1833*100</f>
        <v>129.81969486823857</v>
      </c>
      <c r="D985" s="871">
        <f>'Peers Stock History'!E988/'Peers Stock History'!E$1833*100</f>
        <v>136.17431192660553</v>
      </c>
      <c r="E985" s="871">
        <f>'Peers Stock History'!F988/'Peers Stock History'!F$1833*100</f>
        <v>249.84962406015035</v>
      </c>
      <c r="F985" s="871">
        <f>'Peers Stock History'!G988/'Peers Stock History'!G$1833*100</f>
        <v>124.52164016607617</v>
      </c>
      <c r="G985" s="871">
        <f>'Peers Stock History'!H988/'Peers Stock History'!H$1833*100</f>
        <v>136.030875285208</v>
      </c>
      <c r="H985" s="871">
        <f>'Peers Stock History'!I988/'Peers Stock History'!I$1833*100</f>
        <v>151.7810599478714</v>
      </c>
      <c r="I985" s="871">
        <f>'Peers Stock History'!J988/'Peers Stock History'!J$1833*100</f>
        <v>122.87879110354369</v>
      </c>
      <c r="J985" s="871">
        <f>'Peers Stock History'!K988/'Peers Stock History'!K$1833*100</f>
        <v>134.43164634397812</v>
      </c>
    </row>
    <row r="986" spans="2:10">
      <c r="B986" s="870">
        <v>43625</v>
      </c>
      <c r="C986" s="871">
        <f>'Peers Stock History'!D989/'Peers Stock History'!D$1833*100</f>
        <v>127.6837725381415</v>
      </c>
      <c r="D986" s="871">
        <f>'Peers Stock History'!E989/'Peers Stock History'!E$1833*100</f>
        <v>133.48623853211009</v>
      </c>
      <c r="E986" s="871">
        <f>'Peers Stock History'!F989/'Peers Stock History'!F$1833*100</f>
        <v>243.68421052631578</v>
      </c>
      <c r="F986" s="871">
        <f>'Peers Stock History'!G989/'Peers Stock History'!G$1833*100</f>
        <v>120.59015267092985</v>
      </c>
      <c r="G986" s="871">
        <f>'Peers Stock History'!H989/'Peers Stock History'!H$1833*100</f>
        <v>133.43851643283656</v>
      </c>
      <c r="H986" s="871">
        <f>'Peers Stock History'!I989/'Peers Stock History'!I$1833*100</f>
        <v>147.65421372719376</v>
      </c>
      <c r="I986" s="871">
        <f>'Peers Stock History'!J989/'Peers Stock History'!J$1833*100</f>
        <v>122.30882196445674</v>
      </c>
      <c r="J986" s="871">
        <f>'Peers Stock History'!K989/'Peers Stock History'!K$1833*100</f>
        <v>133.03859134212226</v>
      </c>
    </row>
    <row r="987" spans="2:10">
      <c r="B987" s="870">
        <v>43624</v>
      </c>
      <c r="C987" s="871">
        <f>'Peers Stock History'!D990/'Peers Stock History'!D$1833*100</f>
        <v>127.6837725381415</v>
      </c>
      <c r="D987" s="871">
        <f>'Peers Stock History'!E990/'Peers Stock History'!E$1833*100</f>
        <v>133.48623853211009</v>
      </c>
      <c r="E987" s="871">
        <f>'Peers Stock History'!F990/'Peers Stock History'!F$1833*100</f>
        <v>243.68421052631578</v>
      </c>
      <c r="F987" s="871">
        <f>'Peers Stock History'!G990/'Peers Stock History'!G$1833*100</f>
        <v>120.59015267092985</v>
      </c>
      <c r="G987" s="871">
        <f>'Peers Stock History'!H990/'Peers Stock History'!H$1833*100</f>
        <v>133.43851643283656</v>
      </c>
      <c r="H987" s="871">
        <f>'Peers Stock History'!I990/'Peers Stock History'!I$1833*100</f>
        <v>147.65421372719376</v>
      </c>
      <c r="I987" s="871">
        <f>'Peers Stock History'!J990/'Peers Stock History'!J$1833*100</f>
        <v>122.30882196445674</v>
      </c>
      <c r="J987" s="871">
        <f>'Peers Stock History'!K990/'Peers Stock History'!K$1833*100</f>
        <v>133.03859134212226</v>
      </c>
    </row>
    <row r="988" spans="2:10">
      <c r="B988" s="870">
        <v>43623</v>
      </c>
      <c r="C988" s="871">
        <f>'Peers Stock History'!D991/'Peers Stock History'!D$1833*100</f>
        <v>127.6837725381415</v>
      </c>
      <c r="D988" s="871">
        <f>'Peers Stock History'!E991/'Peers Stock History'!E$1833*100</f>
        <v>133.48623853211009</v>
      </c>
      <c r="E988" s="871">
        <f>'Peers Stock History'!F991/'Peers Stock History'!F$1833*100</f>
        <v>243.68421052631578</v>
      </c>
      <c r="F988" s="871">
        <f>'Peers Stock History'!G991/'Peers Stock History'!G$1833*100</f>
        <v>120.59015267092985</v>
      </c>
      <c r="G988" s="871">
        <f>'Peers Stock History'!H991/'Peers Stock History'!H$1833*100</f>
        <v>133.43851643283656</v>
      </c>
      <c r="H988" s="871">
        <f>'Peers Stock History'!I991/'Peers Stock History'!I$1833*100</f>
        <v>147.65421372719376</v>
      </c>
      <c r="I988" s="871">
        <f>'Peers Stock History'!J991/'Peers Stock History'!J$1833*100</f>
        <v>122.30882196445674</v>
      </c>
      <c r="J988" s="871">
        <f>'Peers Stock History'!K991/'Peers Stock History'!K$1833*100</f>
        <v>133.03859134212226</v>
      </c>
    </row>
    <row r="989" spans="2:10">
      <c r="B989" s="870">
        <v>43622</v>
      </c>
      <c r="C989" s="871">
        <f>'Peers Stock History'!D992/'Peers Stock History'!D$1833*100</f>
        <v>125.10402219140084</v>
      </c>
      <c r="D989" s="871">
        <f>'Peers Stock History'!E992/'Peers Stock History'!E$1833*100</f>
        <v>131.90825688073394</v>
      </c>
      <c r="E989" s="871">
        <f>'Peers Stock History'!F992/'Peers Stock History'!F$1833*100</f>
        <v>239.24812030075188</v>
      </c>
      <c r="F989" s="871">
        <f>'Peers Stock History'!G992/'Peers Stock History'!G$1833*100</f>
        <v>120.59015267092985</v>
      </c>
      <c r="G989" s="871">
        <f>'Peers Stock History'!H992/'Peers Stock History'!H$1833*100</f>
        <v>132.42875867760571</v>
      </c>
      <c r="H989" s="871">
        <f>'Peers Stock History'!I992/'Peers Stock History'!I$1833*100</f>
        <v>145.39530842745438</v>
      </c>
      <c r="I989" s="871">
        <f>'Peers Stock History'!J992/'Peers Stock History'!J$1833*100</f>
        <v>121.03820368202618</v>
      </c>
      <c r="J989" s="871">
        <f>'Peers Stock History'!K992/'Peers Stock History'!K$1833*100</f>
        <v>130.86401784364134</v>
      </c>
    </row>
    <row r="990" spans="2:10">
      <c r="B990" s="870">
        <v>43621</v>
      </c>
      <c r="C990" s="871">
        <f>'Peers Stock History'!D993/'Peers Stock History'!D$1833*100</f>
        <v>123.57836338418863</v>
      </c>
      <c r="D990" s="871">
        <f>'Peers Stock History'!E993/'Peers Stock History'!E$1833*100</f>
        <v>129.61467889908258</v>
      </c>
      <c r="E990" s="871">
        <f>'Peers Stock History'!F993/'Peers Stock History'!F$1833*100</f>
        <v>221.80451127819549</v>
      </c>
      <c r="F990" s="871">
        <f>'Peers Stock History'!G993/'Peers Stock History'!G$1833*100</f>
        <v>121.92355059293889</v>
      </c>
      <c r="G990" s="871">
        <f>'Peers Stock History'!H993/'Peers Stock History'!H$1833*100</f>
        <v>128.99655323073938</v>
      </c>
      <c r="H990" s="871">
        <f>'Peers Stock History'!I993/'Peers Stock History'!I$1833*100</f>
        <v>144.83058210251954</v>
      </c>
      <c r="I990" s="871">
        <f>'Peers Stock History'!J993/'Peers Stock History'!J$1833*100</f>
        <v>120.30009577524743</v>
      </c>
      <c r="J990" s="871">
        <f>'Peers Stock History'!K993/'Peers Stock History'!K$1833*100</f>
        <v>130.17532614822048</v>
      </c>
    </row>
    <row r="991" spans="2:10">
      <c r="B991" s="870">
        <v>43620</v>
      </c>
      <c r="C991" s="871">
        <f>'Peers Stock History'!D994/'Peers Stock History'!D$1833*100</f>
        <v>124.24410540915396</v>
      </c>
      <c r="D991" s="871">
        <f>'Peers Stock History'!E994/'Peers Stock History'!E$1833*100</f>
        <v>131.1926605504587</v>
      </c>
      <c r="E991" s="871">
        <f>'Peers Stock History'!F994/'Peers Stock History'!F$1833*100</f>
        <v>222.33082706766916</v>
      </c>
      <c r="F991" s="871">
        <f>'Peers Stock History'!G994/'Peers Stock History'!G$1833*100</f>
        <v>120.90132739255554</v>
      </c>
      <c r="G991" s="871">
        <f>'Peers Stock History'!H994/'Peers Stock History'!H$1833*100</f>
        <v>128.98684402155442</v>
      </c>
      <c r="H991" s="871">
        <f>'Peers Stock History'!I994/'Peers Stock History'!I$1833*100</f>
        <v>149.82623805386621</v>
      </c>
      <c r="I991" s="871">
        <f>'Peers Stock History'!J994/'Peers Stock History'!J$1833*100</f>
        <v>119.3261679259338</v>
      </c>
      <c r="J991" s="871">
        <f>'Peers Stock History'!K994/'Peers Stock History'!K$1833*100</f>
        <v>129.34435272122406</v>
      </c>
    </row>
    <row r="992" spans="2:10">
      <c r="B992" s="870">
        <v>43619</v>
      </c>
      <c r="C992" s="871">
        <f>'Peers Stock History'!D995/'Peers Stock History'!D$1833*100</f>
        <v>120.55478502080446</v>
      </c>
      <c r="D992" s="871">
        <f>'Peers Stock History'!E995/'Peers Stock History'!E$1833*100</f>
        <v>122.73394495412843</v>
      </c>
      <c r="E992" s="871">
        <f>'Peers Stock History'!F995/'Peers Stock History'!F$1833*100</f>
        <v>207.36842105263156</v>
      </c>
      <c r="F992" s="871">
        <f>'Peers Stock History'!G995/'Peers Stock History'!G$1833*100</f>
        <v>123.35805616035029</v>
      </c>
      <c r="G992" s="871">
        <f>'Peers Stock History'!H995/'Peers Stock History'!H$1833*100</f>
        <v>122.90887907179959</v>
      </c>
      <c r="H992" s="871">
        <f>'Peers Stock History'!I995/'Peers Stock History'!I$1833*100</f>
        <v>142.00695047784535</v>
      </c>
      <c r="I992" s="871">
        <f>'Peers Stock History'!J995/'Peers Stock History'!J$1833*100</f>
        <v>116.82239012450782</v>
      </c>
      <c r="J992" s="871">
        <f>'Peers Stock History'!K995/'Peers Stock History'!K$1833*100</f>
        <v>126.00901461308993</v>
      </c>
    </row>
    <row r="993" spans="2:10">
      <c r="B993" s="870">
        <v>43618</v>
      </c>
      <c r="C993" s="871">
        <f>'Peers Stock History'!D996/'Peers Stock History'!D$1833*100</f>
        <v>122.16366158113732</v>
      </c>
      <c r="D993" s="871">
        <f>'Peers Stock History'!E996/'Peers Stock History'!E$1833*100</f>
        <v>124.27522935779818</v>
      </c>
      <c r="E993" s="871">
        <f>'Peers Stock History'!F996/'Peers Stock History'!F$1833*100</f>
        <v>206.09022556390974</v>
      </c>
      <c r="F993" s="871">
        <f>'Peers Stock History'!G996/'Peers Stock History'!G$1833*100</f>
        <v>121.52406430575454</v>
      </c>
      <c r="G993" s="871">
        <f>'Peers Stock History'!H996/'Peers Stock History'!H$1833*100</f>
        <v>122.16126996456138</v>
      </c>
      <c r="H993" s="871">
        <f>'Peers Stock History'!I996/'Peers Stock History'!I$1833*100</f>
        <v>141.65942658557776</v>
      </c>
      <c r="I993" s="871">
        <f>'Peers Stock History'!J996/'Peers Stock History'!J$1833*100</f>
        <v>117.14632329466852</v>
      </c>
      <c r="J993" s="871">
        <f>'Peers Stock History'!K996/'Peers Stock History'!K$1833*100</f>
        <v>128.07328540203181</v>
      </c>
    </row>
    <row r="994" spans="2:10">
      <c r="B994" s="870">
        <v>43617</v>
      </c>
      <c r="C994" s="871">
        <f>'Peers Stock History'!D997/'Peers Stock History'!D$1833*100</f>
        <v>122.16366158113732</v>
      </c>
      <c r="D994" s="871">
        <f>'Peers Stock History'!E997/'Peers Stock History'!E$1833*100</f>
        <v>124.27522935779818</v>
      </c>
      <c r="E994" s="871">
        <f>'Peers Stock History'!F997/'Peers Stock History'!F$1833*100</f>
        <v>206.09022556390974</v>
      </c>
      <c r="F994" s="871">
        <f>'Peers Stock History'!G997/'Peers Stock History'!G$1833*100</f>
        <v>121.52406430575454</v>
      </c>
      <c r="G994" s="871">
        <f>'Peers Stock History'!H997/'Peers Stock History'!H$1833*100</f>
        <v>122.16126996456138</v>
      </c>
      <c r="H994" s="871">
        <f>'Peers Stock History'!I997/'Peers Stock History'!I$1833*100</f>
        <v>141.65942658557776</v>
      </c>
      <c r="I994" s="871">
        <f>'Peers Stock History'!J997/'Peers Stock History'!J$1833*100</f>
        <v>117.14632329466852</v>
      </c>
      <c r="J994" s="871">
        <f>'Peers Stock History'!K997/'Peers Stock History'!K$1833*100</f>
        <v>128.07328540203181</v>
      </c>
    </row>
    <row r="995" spans="2:10">
      <c r="B995" s="870">
        <v>43616</v>
      </c>
      <c r="C995" s="871">
        <f>'Peers Stock History'!D998/'Peers Stock History'!D$1833*100</f>
        <v>122.16366158113732</v>
      </c>
      <c r="D995" s="871">
        <f>'Peers Stock History'!E998/'Peers Stock History'!E$1833*100</f>
        <v>124.27522935779818</v>
      </c>
      <c r="E995" s="871">
        <f>'Peers Stock History'!F998/'Peers Stock History'!F$1833*100</f>
        <v>206.09022556390974</v>
      </c>
      <c r="F995" s="871">
        <f>'Peers Stock History'!G998/'Peers Stock History'!G$1833*100</f>
        <v>121.52406430575454</v>
      </c>
      <c r="G995" s="871">
        <f>'Peers Stock History'!H998/'Peers Stock History'!H$1833*100</f>
        <v>122.16126996456138</v>
      </c>
      <c r="H995" s="871">
        <f>'Peers Stock History'!I998/'Peers Stock History'!I$1833*100</f>
        <v>141.65942658557776</v>
      </c>
      <c r="I995" s="871">
        <f>'Peers Stock History'!J998/'Peers Stock History'!J$1833*100</f>
        <v>117.14632329466852</v>
      </c>
      <c r="J995" s="871">
        <f>'Peers Stock History'!K998/'Peers Stock History'!K$1833*100</f>
        <v>128.07328540203181</v>
      </c>
    </row>
    <row r="996" spans="2:10">
      <c r="B996" s="870">
        <v>43615</v>
      </c>
      <c r="C996" s="871">
        <f>'Peers Stock History'!D999/'Peers Stock History'!D$1833*100</f>
        <v>124.07766990291262</v>
      </c>
      <c r="D996" s="871">
        <f>'Peers Stock History'!E999/'Peers Stock History'!E$1833*100</f>
        <v>127.62385321100919</v>
      </c>
      <c r="E996" s="871">
        <f>'Peers Stock History'!F999/'Peers Stock History'!F$1833*100</f>
        <v>210.75187969924812</v>
      </c>
      <c r="F996" s="871">
        <f>'Peers Stock History'!G999/'Peers Stock History'!G$1833*100</f>
        <v>119.04711618001657</v>
      </c>
      <c r="G996" s="871">
        <f>'Peers Stock History'!H999/'Peers Stock History'!H$1833*100</f>
        <v>124.57886305160444</v>
      </c>
      <c r="H996" s="871">
        <f>'Peers Stock History'!I999/'Peers Stock History'!I$1833*100</f>
        <v>144.74370112945266</v>
      </c>
      <c r="I996" s="871">
        <f>'Peers Stock History'!J999/'Peers Stock History'!J$1833*100</f>
        <v>118.7127806746834</v>
      </c>
      <c r="J996" s="871">
        <f>'Peers Stock History'!K999/'Peers Stock History'!K$1833*100</f>
        <v>130.0419971681124</v>
      </c>
    </row>
    <row r="997" spans="2:10">
      <c r="B997" s="870">
        <v>43614</v>
      </c>
      <c r="C997" s="871">
        <f>'Peers Stock History'!D1000/'Peers Stock History'!D$1833*100</f>
        <v>122.69070735090153</v>
      </c>
      <c r="D997" s="871">
        <f>'Peers Stock History'!E1000/'Peers Stock History'!E$1833*100</f>
        <v>128.75229357798165</v>
      </c>
      <c r="E997" s="871">
        <f>'Peers Stock History'!F1000/'Peers Stock History'!F$1833*100</f>
        <v>211.20300751879699</v>
      </c>
      <c r="F997" s="871">
        <f>'Peers Stock History'!G1000/'Peers Stock History'!G$1833*100</f>
        <v>118.34531885409976</v>
      </c>
      <c r="G997" s="871">
        <f>'Peers Stock History'!H1000/'Peers Stock History'!H$1833*100</f>
        <v>123.36521190349046</v>
      </c>
      <c r="H997" s="871">
        <f>'Peers Stock History'!I1000/'Peers Stock History'!I$1833*100</f>
        <v>144.61337966985229</v>
      </c>
      <c r="I997" s="871">
        <f>'Peers Stock History'!J1000/'Peers Stock History'!J$1833*100</f>
        <v>118.4641906991593</v>
      </c>
      <c r="J997" s="871">
        <f>'Peers Stock History'!K1000/'Peers Stock History'!K$1833*100</f>
        <v>129.69132768788751</v>
      </c>
    </row>
    <row r="998" spans="2:10">
      <c r="B998" s="870">
        <v>43613</v>
      </c>
      <c r="C998" s="871">
        <f>'Peers Stock History'!D1001/'Peers Stock History'!D$1833*100</f>
        <v>120.85991678224688</v>
      </c>
      <c r="D998" s="871">
        <f>'Peers Stock History'!E1001/'Peers Stock History'!E$1833*100</f>
        <v>131.49541284403671</v>
      </c>
      <c r="E998" s="871">
        <f>'Peers Stock History'!F1001/'Peers Stock History'!F$1833*100</f>
        <v>218.27067669172934</v>
      </c>
      <c r="F998" s="871">
        <f>'Peers Stock History'!G1001/'Peers Stock History'!G$1833*100</f>
        <v>118.93638978426144</v>
      </c>
      <c r="G998" s="871">
        <f>'Peers Stock History'!H1001/'Peers Stock History'!H$1833*100</f>
        <v>123.53997766881886</v>
      </c>
      <c r="H998" s="871">
        <f>'Peers Stock History'!I1001/'Peers Stock History'!I$1833*100</f>
        <v>143.09296264118157</v>
      </c>
      <c r="I998" s="871">
        <f>'Peers Stock History'!J1001/'Peers Stock History'!J$1833*100</f>
        <v>119.28870916249868</v>
      </c>
      <c r="J998" s="871">
        <f>'Peers Stock History'!K1001/'Peers Stock History'!K$1833*100</f>
        <v>130.72307644721829</v>
      </c>
    </row>
    <row r="999" spans="2:10">
      <c r="B999" s="870">
        <v>43612</v>
      </c>
      <c r="C999" s="871">
        <f>'Peers Stock History'!D1002/'Peers Stock History'!D$1833*100</f>
        <v>123.6338418862691</v>
      </c>
      <c r="D999" s="871">
        <f>'Peers Stock History'!E1002/'Peers Stock History'!E$1833*100</f>
        <v>133.16513761467888</v>
      </c>
      <c r="E999" s="871">
        <f>'Peers Stock History'!F1002/'Peers Stock History'!F$1833*100</f>
        <v>198.79699248120301</v>
      </c>
      <c r="F999" s="871">
        <f>'Peers Stock History'!G1002/'Peers Stock History'!G$1833*100</f>
        <v>119.50522268865996</v>
      </c>
      <c r="G999" s="871">
        <f>'Peers Stock History'!H1002/'Peers Stock History'!H$1833*100</f>
        <v>124.24874993931742</v>
      </c>
      <c r="H999" s="871">
        <f>'Peers Stock History'!I1002/'Peers Stock History'!I$1833*100</f>
        <v>147.69765421372719</v>
      </c>
      <c r="I999" s="871">
        <f>'Peers Stock History'!J1002/'Peers Stock History'!J$1833*100</f>
        <v>120.29626476535064</v>
      </c>
      <c r="J999" s="871">
        <f>'Peers Stock History'!K1002/'Peers Stock History'!K$1833*100</f>
        <v>131.23271311328926</v>
      </c>
    </row>
    <row r="1000" spans="2:10">
      <c r="B1000" s="870">
        <v>43611</v>
      </c>
      <c r="C1000" s="871">
        <f>'Peers Stock History'!D1003/'Peers Stock History'!D$1833*100</f>
        <v>123.6338418862691</v>
      </c>
      <c r="D1000" s="871">
        <f>'Peers Stock History'!E1003/'Peers Stock History'!E$1833*100</f>
        <v>133.16513761467888</v>
      </c>
      <c r="E1000" s="871">
        <f>'Peers Stock History'!F1003/'Peers Stock History'!F$1833*100</f>
        <v>198.79699248120301</v>
      </c>
      <c r="F1000" s="871">
        <f>'Peers Stock History'!G1003/'Peers Stock History'!G$1833*100</f>
        <v>120.41735334085062</v>
      </c>
      <c r="G1000" s="871">
        <f>'Peers Stock History'!H1003/'Peers Stock History'!H$1833*100</f>
        <v>124.24874993931742</v>
      </c>
      <c r="H1000" s="871">
        <f>'Peers Stock History'!I1003/'Peers Stock History'!I$1833*100</f>
        <v>147.69765421372719</v>
      </c>
      <c r="I1000" s="871">
        <f>'Peers Stock History'!J1003/'Peers Stock History'!J$1833*100</f>
        <v>120.29626476535064</v>
      </c>
      <c r="J1000" s="871">
        <f>'Peers Stock History'!K1003/'Peers Stock History'!K$1833*100</f>
        <v>131.23271311328926</v>
      </c>
    </row>
    <row r="1001" spans="2:10">
      <c r="B1001" s="870">
        <v>43610</v>
      </c>
      <c r="C1001" s="871">
        <f>'Peers Stock History'!D1004/'Peers Stock History'!D$1833*100</f>
        <v>123.6338418862691</v>
      </c>
      <c r="D1001" s="871">
        <f>'Peers Stock History'!E1004/'Peers Stock History'!E$1833*100</f>
        <v>133.16513761467888</v>
      </c>
      <c r="E1001" s="871">
        <f>'Peers Stock History'!F1004/'Peers Stock History'!F$1833*100</f>
        <v>198.79699248120301</v>
      </c>
      <c r="F1001" s="871">
        <f>'Peers Stock History'!G1004/'Peers Stock History'!G$1833*100</f>
        <v>120.41735334085062</v>
      </c>
      <c r="G1001" s="871">
        <f>'Peers Stock History'!H1004/'Peers Stock History'!H$1833*100</f>
        <v>124.24874993931742</v>
      </c>
      <c r="H1001" s="871">
        <f>'Peers Stock History'!I1004/'Peers Stock History'!I$1833*100</f>
        <v>147.69765421372719</v>
      </c>
      <c r="I1001" s="871">
        <f>'Peers Stock History'!J1004/'Peers Stock History'!J$1833*100</f>
        <v>120.29626476535064</v>
      </c>
      <c r="J1001" s="871">
        <f>'Peers Stock History'!K1004/'Peers Stock History'!K$1833*100</f>
        <v>131.23271311328926</v>
      </c>
    </row>
    <row r="1002" spans="2:10">
      <c r="B1002" s="870">
        <v>43609</v>
      </c>
      <c r="C1002" s="871">
        <f>'Peers Stock History'!D1005/'Peers Stock History'!D$1833*100</f>
        <v>123.6338418862691</v>
      </c>
      <c r="D1002" s="871">
        <f>'Peers Stock History'!E1005/'Peers Stock History'!E$1833*100</f>
        <v>133.16513761467888</v>
      </c>
      <c r="E1002" s="871">
        <f>'Peers Stock History'!F1005/'Peers Stock History'!F$1833*100</f>
        <v>198.79699248120301</v>
      </c>
      <c r="F1002" s="871">
        <f>'Peers Stock History'!G1005/'Peers Stock History'!G$1833*100</f>
        <v>120.41735334085062</v>
      </c>
      <c r="G1002" s="871">
        <f>'Peers Stock History'!H1005/'Peers Stock History'!H$1833*100</f>
        <v>124.24874993931742</v>
      </c>
      <c r="H1002" s="871">
        <f>'Peers Stock History'!I1005/'Peers Stock History'!I$1833*100</f>
        <v>147.69765421372719</v>
      </c>
      <c r="I1002" s="871">
        <f>'Peers Stock History'!J1005/'Peers Stock History'!J$1833*100</f>
        <v>120.29626476535064</v>
      </c>
      <c r="J1002" s="871">
        <f>'Peers Stock History'!K1005/'Peers Stock History'!K$1833*100</f>
        <v>131.23271311328926</v>
      </c>
    </row>
    <row r="1003" spans="2:10">
      <c r="B1003" s="870">
        <v>43608</v>
      </c>
      <c r="C1003" s="871">
        <f>'Peers Stock History'!D1006/'Peers Stock History'!D$1833*100</f>
        <v>123.52288488210819</v>
      </c>
      <c r="D1003" s="871">
        <f>'Peers Stock History'!E1006/'Peers Stock History'!E$1833*100</f>
        <v>135.15596330275227</v>
      </c>
      <c r="E1003" s="871">
        <f>'Peers Stock History'!F1006/'Peers Stock History'!F$1833*100</f>
        <v>198.19548872180451</v>
      </c>
      <c r="F1003" s="871">
        <f>'Peers Stock History'!G1006/'Peers Stock History'!G$1833*100</f>
        <v>118.70098434184729</v>
      </c>
      <c r="G1003" s="871">
        <f>'Peers Stock History'!H1006/'Peers Stock History'!H$1833*100</f>
        <v>126.26341084518664</v>
      </c>
      <c r="H1003" s="871">
        <f>'Peers Stock History'!I1006/'Peers Stock History'!I$1833*100</f>
        <v>146.91572545612513</v>
      </c>
      <c r="I1003" s="871">
        <f>'Peers Stock History'!J1006/'Peers Stock History'!J$1833*100</f>
        <v>120.13365967862082</v>
      </c>
      <c r="J1003" s="871">
        <f>'Peers Stock History'!K1006/'Peers Stock History'!K$1833*100</f>
        <v>131.08278459783071</v>
      </c>
    </row>
    <row r="1004" spans="2:10">
      <c r="B1004" s="870">
        <v>43607</v>
      </c>
      <c r="C1004" s="871">
        <f>'Peers Stock History'!D1007/'Peers Stock History'!D$1833*100</f>
        <v>122.05270457697644</v>
      </c>
      <c r="D1004" s="871">
        <f>'Peers Stock History'!E1007/'Peers Stock History'!E$1833*100</f>
        <v>139.63302752293575</v>
      </c>
      <c r="E1004" s="871">
        <f>'Peers Stock History'!F1007/'Peers Stock History'!F$1833*100</f>
        <v>206.09022556390974</v>
      </c>
      <c r="F1004" s="871">
        <f>'Peers Stock History'!G1007/'Peers Stock History'!G$1833*100</f>
        <v>123.16576295070925</v>
      </c>
      <c r="G1004" s="871">
        <f>'Peers Stock History'!H1007/'Peers Stock History'!H$1833*100</f>
        <v>130.69566483809893</v>
      </c>
      <c r="H1004" s="871">
        <f>'Peers Stock History'!I1007/'Peers Stock History'!I$1833*100</f>
        <v>150.86880973066897</v>
      </c>
      <c r="I1004" s="871">
        <f>'Peers Stock History'!J1007/'Peers Stock History'!J$1833*100</f>
        <v>121.58220708736832</v>
      </c>
      <c r="J1004" s="871">
        <f>'Peers Stock History'!K1007/'Peers Stock History'!K$1833*100</f>
        <v>133.18881198190894</v>
      </c>
    </row>
    <row r="1005" spans="2:10">
      <c r="B1005" s="870">
        <v>43606</v>
      </c>
      <c r="C1005" s="871">
        <f>'Peers Stock History'!D1008/'Peers Stock History'!D$1833*100</f>
        <v>123.32871012482664</v>
      </c>
      <c r="D1005" s="871">
        <f>'Peers Stock History'!E1008/'Peers Stock History'!E$1833*100</f>
        <v>142.25688073394497</v>
      </c>
      <c r="E1005" s="871">
        <f>'Peers Stock History'!F1008/'Peers Stock History'!F$1833*100</f>
        <v>205.63909774436092</v>
      </c>
      <c r="F1005" s="871">
        <f>'Peers Stock History'!G1008/'Peers Stock History'!G$1833*100</f>
        <v>121.07649128546747</v>
      </c>
      <c r="G1005" s="871">
        <f>'Peers Stock History'!H1008/'Peers Stock History'!H$1833*100</f>
        <v>133.66182824408949</v>
      </c>
      <c r="H1005" s="871">
        <f>'Peers Stock History'!I1008/'Peers Stock History'!I$1833*100</f>
        <v>154.82189400521287</v>
      </c>
      <c r="I1005" s="871">
        <f>'Peers Stock History'!J1008/'Peers Stock History'!J$1833*100</f>
        <v>121.92657231031181</v>
      </c>
      <c r="J1005" s="871">
        <f>'Peers Stock History'!K1008/'Peers Stock History'!K$1833*100</f>
        <v>133.78819955184693</v>
      </c>
    </row>
    <row r="1006" spans="2:10">
      <c r="B1006" s="870">
        <v>43605</v>
      </c>
      <c r="C1006" s="871">
        <f>'Peers Stock History'!D1009/'Peers Stock History'!D$1833*100</f>
        <v>120.83217753120667</v>
      </c>
      <c r="D1006" s="871">
        <f>'Peers Stock History'!E1009/'Peers Stock History'!E$1833*100</f>
        <v>139.22018348623851</v>
      </c>
      <c r="E1006" s="871">
        <f>'Peers Stock History'!F1009/'Peers Stock History'!F$1833*100</f>
        <v>200.6015037593985</v>
      </c>
      <c r="F1006" s="871">
        <f>'Peers Stock History'!G1009/'Peers Stock History'!G$1833*100</f>
        <v>123.32269199823509</v>
      </c>
      <c r="G1006" s="871">
        <f>'Peers Stock History'!H1009/'Peers Stock History'!H$1833*100</f>
        <v>132.33166658575658</v>
      </c>
      <c r="H1006" s="871">
        <f>'Peers Stock History'!I1009/'Peers Stock History'!I$1833*100</f>
        <v>150.39096437880104</v>
      </c>
      <c r="I1006" s="871">
        <f>'Peers Stock History'!J1009/'Peers Stock History'!J$1833*100</f>
        <v>120.89943599020965</v>
      </c>
      <c r="J1006" s="871">
        <f>'Peers Stock History'!K1009/'Peers Stock History'!K$1833*100</f>
        <v>132.35594833867177</v>
      </c>
    </row>
    <row r="1007" spans="2:10">
      <c r="B1007" s="870">
        <v>43604</v>
      </c>
      <c r="C1007" s="871">
        <f>'Peers Stock History'!D1010/'Peers Stock History'!D$1833*100</f>
        <v>124.52149791955618</v>
      </c>
      <c r="D1007" s="871">
        <f>'Peers Stock History'!E1010/'Peers Stock History'!E$1833*100</f>
        <v>143.60550458715596</v>
      </c>
      <c r="E1007" s="871">
        <f>'Peers Stock History'!F1010/'Peers Stock History'!F$1833*100</f>
        <v>206.76691729323306</v>
      </c>
      <c r="F1007" s="871">
        <f>'Peers Stock History'!G1010/'Peers Stock History'!G$1833*100</f>
        <v>125.25994891361721</v>
      </c>
      <c r="G1007" s="871">
        <f>'Peers Stock History'!H1010/'Peers Stock History'!H$1833*100</f>
        <v>140.73013253070536</v>
      </c>
      <c r="H1007" s="871">
        <f>'Peers Stock History'!I1010/'Peers Stock History'!I$1833*100</f>
        <v>156.64639443961775</v>
      </c>
      <c r="I1007" s="871">
        <f>'Peers Stock History'!J1010/'Peers Stock History'!J$1833*100</f>
        <v>121.72097477918487</v>
      </c>
      <c r="J1007" s="871">
        <f>'Peers Stock History'!K1010/'Peers Stock History'!K$1833*100</f>
        <v>134.31335317487594</v>
      </c>
    </row>
    <row r="1008" spans="2:10">
      <c r="B1008" s="870">
        <v>43603</v>
      </c>
      <c r="C1008" s="871">
        <f>'Peers Stock History'!D1011/'Peers Stock History'!D$1833*100</f>
        <v>124.52149791955618</v>
      </c>
      <c r="D1008" s="871">
        <f>'Peers Stock History'!E1011/'Peers Stock History'!E$1833*100</f>
        <v>143.60550458715596</v>
      </c>
      <c r="E1008" s="871">
        <f>'Peers Stock History'!F1011/'Peers Stock History'!F$1833*100</f>
        <v>206.76691729323306</v>
      </c>
      <c r="F1008" s="871">
        <f>'Peers Stock History'!G1011/'Peers Stock History'!G$1833*100</f>
        <v>125.25994891361721</v>
      </c>
      <c r="G1008" s="871">
        <f>'Peers Stock History'!H1011/'Peers Stock History'!H$1833*100</f>
        <v>140.73013253070536</v>
      </c>
      <c r="H1008" s="871">
        <f>'Peers Stock History'!I1011/'Peers Stock History'!I$1833*100</f>
        <v>156.64639443961775</v>
      </c>
      <c r="I1008" s="871">
        <f>'Peers Stock History'!J1011/'Peers Stock History'!J$1833*100</f>
        <v>121.72097477918487</v>
      </c>
      <c r="J1008" s="871">
        <f>'Peers Stock History'!K1011/'Peers Stock History'!K$1833*100</f>
        <v>134.31335317487594</v>
      </c>
    </row>
    <row r="1009" spans="2:10">
      <c r="B1009" s="870">
        <v>43602</v>
      </c>
      <c r="C1009" s="871">
        <f>'Peers Stock History'!D1012/'Peers Stock History'!D$1833*100</f>
        <v>124.52149791955618</v>
      </c>
      <c r="D1009" s="871">
        <f>'Peers Stock History'!E1012/'Peers Stock History'!E$1833*100</f>
        <v>143.60550458715596</v>
      </c>
      <c r="E1009" s="871">
        <f>'Peers Stock History'!F1012/'Peers Stock History'!F$1833*100</f>
        <v>206.76691729323306</v>
      </c>
      <c r="F1009" s="871">
        <f>'Peers Stock History'!G1012/'Peers Stock History'!G$1833*100</f>
        <v>125.25994891361721</v>
      </c>
      <c r="G1009" s="871">
        <f>'Peers Stock History'!H1012/'Peers Stock History'!H$1833*100</f>
        <v>140.73013253070536</v>
      </c>
      <c r="H1009" s="871">
        <f>'Peers Stock History'!I1012/'Peers Stock History'!I$1833*100</f>
        <v>156.64639443961775</v>
      </c>
      <c r="I1009" s="871">
        <f>'Peers Stock History'!J1012/'Peers Stock History'!J$1833*100</f>
        <v>121.72097477918487</v>
      </c>
      <c r="J1009" s="871">
        <f>'Peers Stock History'!K1012/'Peers Stock History'!K$1833*100</f>
        <v>134.31335317487594</v>
      </c>
    </row>
    <row r="1010" spans="2:10">
      <c r="B1010" s="870">
        <v>43601</v>
      </c>
      <c r="C1010" s="871">
        <f>'Peers Stock History'!D1013/'Peers Stock History'!D$1833*100</f>
        <v>126.2968099861304</v>
      </c>
      <c r="D1010" s="871">
        <f>'Peers Stock History'!E1013/'Peers Stock History'!E$1833*100</f>
        <v>146.96330275229357</v>
      </c>
      <c r="E1010" s="871">
        <f>'Peers Stock History'!F1013/'Peers Stock History'!F$1833*100</f>
        <v>210.6015037593985</v>
      </c>
      <c r="F1010" s="871">
        <f>'Peers Stock History'!G1013/'Peers Stock History'!G$1833*100</f>
        <v>128.78196649029988</v>
      </c>
      <c r="G1010" s="871">
        <f>'Peers Stock History'!H1013/'Peers Stock History'!H$1833*100</f>
        <v>144.3225399291228</v>
      </c>
      <c r="H1010" s="871">
        <f>'Peers Stock History'!I1013/'Peers Stock History'!I$1833*100</f>
        <v>162.07645525629889</v>
      </c>
      <c r="I1010" s="871">
        <f>'Peers Stock History'!J1013/'Peers Stock History'!J$1833*100</f>
        <v>122.43567095881664</v>
      </c>
      <c r="J1010" s="871">
        <f>'Peers Stock History'!K1013/'Peers Stock History'!K$1833*100</f>
        <v>135.71831653904843</v>
      </c>
    </row>
    <row r="1011" spans="2:10">
      <c r="B1011" s="870">
        <v>43600</v>
      </c>
      <c r="C1011" s="871">
        <f>'Peers Stock History'!D1014/'Peers Stock History'!D$1833*100</f>
        <v>126.54646324549236</v>
      </c>
      <c r="D1011" s="871">
        <f>'Peers Stock History'!E1014/'Peers Stock History'!E$1833*100</f>
        <v>146.40366972477065</v>
      </c>
      <c r="E1011" s="871">
        <f>'Peers Stock History'!F1014/'Peers Stock History'!F$1833*100</f>
        <v>207.36842105263156</v>
      </c>
      <c r="F1011" s="871">
        <f>'Peers Stock History'!G1014/'Peers Stock History'!G$1833*100</f>
        <v>130.38052422286503</v>
      </c>
      <c r="G1011" s="871">
        <f>'Peers Stock History'!H1014/'Peers Stock History'!H$1833*100</f>
        <v>147.75959998058156</v>
      </c>
      <c r="H1011" s="871">
        <f>'Peers Stock History'!I1014/'Peers Stock History'!I$1833*100</f>
        <v>166.85490877497827</v>
      </c>
      <c r="I1011" s="871">
        <f>'Peers Stock History'!J1014/'Peers Stock History'!J$1833*100</f>
        <v>121.35617750345855</v>
      </c>
      <c r="J1011" s="871">
        <f>'Peers Stock History'!K1014/'Peers Stock History'!K$1833*100</f>
        <v>134.41408451672328</v>
      </c>
    </row>
    <row r="1012" spans="2:10">
      <c r="B1012" s="870">
        <v>43599</v>
      </c>
      <c r="C1012" s="871">
        <f>'Peers Stock History'!D1015/'Peers Stock History'!D$1833*100</f>
        <v>125.2981969486824</v>
      </c>
      <c r="D1012" s="871">
        <f>'Peers Stock History'!E1015/'Peers Stock History'!E$1833*100</f>
        <v>148.66055045871559</v>
      </c>
      <c r="E1012" s="871">
        <f>'Peers Stock History'!F1015/'Peers Stock History'!F$1833*100</f>
        <v>205.41353383458647</v>
      </c>
      <c r="F1012" s="871">
        <f>'Peers Stock History'!G1015/'Peers Stock History'!G$1833*100</f>
        <v>129.78034378284792</v>
      </c>
      <c r="G1012" s="871">
        <f>'Peers Stock History'!H1015/'Peers Stock History'!H$1833*100</f>
        <v>146.60905869216953</v>
      </c>
      <c r="H1012" s="871">
        <f>'Peers Stock History'!I1015/'Peers Stock History'!I$1833*100</f>
        <v>167.28931364031277</v>
      </c>
      <c r="I1012" s="871">
        <f>'Peers Stock History'!J1015/'Peers Stock History'!J$1833*100</f>
        <v>120.65169735021814</v>
      </c>
      <c r="J1012" s="871">
        <f>'Peers Stock History'!K1015/'Peers Stock History'!K$1833*100</f>
        <v>132.90787429718324</v>
      </c>
    </row>
    <row r="1013" spans="2:10">
      <c r="B1013" s="870">
        <v>43598</v>
      </c>
      <c r="C1013" s="871">
        <f>'Peers Stock History'!D1016/'Peers Stock History'!D$1833*100</f>
        <v>124.16088765603328</v>
      </c>
      <c r="D1013" s="871">
        <f>'Peers Stock History'!E1016/'Peers Stock History'!E$1833*100</f>
        <v>145.36697247706419</v>
      </c>
      <c r="E1013" s="871">
        <f>'Peers Stock History'!F1016/'Peers Stock History'!F$1833*100</f>
        <v>197.29323308270673</v>
      </c>
      <c r="F1013" s="871">
        <f>'Peers Stock History'!G1016/'Peers Stock History'!G$1833*100</f>
        <v>131.02676976471187</v>
      </c>
      <c r="G1013" s="871">
        <f>'Peers Stock History'!H1016/'Peers Stock History'!H$1833*100</f>
        <v>142.42438953347249</v>
      </c>
      <c r="H1013" s="871">
        <f>'Peers Stock History'!I1016/'Peers Stock History'!I$1833*100</f>
        <v>162.38053866203305</v>
      </c>
      <c r="I1013" s="871">
        <f>'Peers Stock History'!J1016/'Peers Stock History'!J$1833*100</f>
        <v>119.69224220495902</v>
      </c>
      <c r="J1013" s="871">
        <f>'Peers Stock History'!K1016/'Peers Stock History'!K$1833*100</f>
        <v>131.40480871011647</v>
      </c>
    </row>
    <row r="1014" spans="2:10">
      <c r="B1014" s="870">
        <v>43597</v>
      </c>
      <c r="C1014" s="871">
        <f>'Peers Stock History'!D1017/'Peers Stock History'!D$1833*100</f>
        <v>128.15533980582526</v>
      </c>
      <c r="D1014" s="871">
        <f>'Peers Stock History'!E1017/'Peers Stock History'!E$1833*100</f>
        <v>154.88073394495413</v>
      </c>
      <c r="E1014" s="871">
        <f>'Peers Stock History'!F1017/'Peers Stock History'!F$1833*100</f>
        <v>210.22556390977445</v>
      </c>
      <c r="F1014" s="871">
        <f>'Peers Stock History'!G1017/'Peers Stock History'!G$1833*100</f>
        <v>134.60476166533437</v>
      </c>
      <c r="G1014" s="871">
        <f>'Peers Stock History'!H1017/'Peers Stock History'!H$1833*100</f>
        <v>147.56056119229086</v>
      </c>
      <c r="H1014" s="871">
        <f>'Peers Stock History'!I1017/'Peers Stock History'!I$1833*100</f>
        <v>169.15725456125108</v>
      </c>
      <c r="I1014" s="871">
        <f>'Peers Stock History'!J1017/'Peers Stock History'!J$1833*100</f>
        <v>122.65191018410131</v>
      </c>
      <c r="J1014" s="871">
        <f>'Peers Stock History'!K1017/'Peers Stock History'!K$1833*100</f>
        <v>136.04298695407118</v>
      </c>
    </row>
    <row r="1015" spans="2:10">
      <c r="B1015" s="870">
        <v>43596</v>
      </c>
      <c r="C1015" s="871">
        <f>'Peers Stock History'!D1018/'Peers Stock History'!D$1833*100</f>
        <v>128.15533980582526</v>
      </c>
      <c r="D1015" s="871">
        <f>'Peers Stock History'!E1018/'Peers Stock History'!E$1833*100</f>
        <v>154.88073394495413</v>
      </c>
      <c r="E1015" s="871">
        <f>'Peers Stock History'!F1018/'Peers Stock History'!F$1833*100</f>
        <v>210.22556390977445</v>
      </c>
      <c r="F1015" s="871">
        <f>'Peers Stock History'!G1018/'Peers Stock History'!G$1833*100</f>
        <v>134.60476166533437</v>
      </c>
      <c r="G1015" s="871">
        <f>'Peers Stock History'!H1018/'Peers Stock History'!H$1833*100</f>
        <v>147.56056119229086</v>
      </c>
      <c r="H1015" s="871">
        <f>'Peers Stock History'!I1018/'Peers Stock History'!I$1833*100</f>
        <v>169.15725456125108</v>
      </c>
      <c r="I1015" s="871">
        <f>'Peers Stock History'!J1018/'Peers Stock History'!J$1833*100</f>
        <v>122.65191018410131</v>
      </c>
      <c r="J1015" s="871">
        <f>'Peers Stock History'!K1018/'Peers Stock History'!K$1833*100</f>
        <v>136.04298695407118</v>
      </c>
    </row>
    <row r="1016" spans="2:10">
      <c r="B1016" s="870">
        <v>43595</v>
      </c>
      <c r="C1016" s="871">
        <f>'Peers Stock History'!D1019/'Peers Stock History'!D$1833*100</f>
        <v>128.15533980582526</v>
      </c>
      <c r="D1016" s="871">
        <f>'Peers Stock History'!E1019/'Peers Stock History'!E$1833*100</f>
        <v>154.88073394495413</v>
      </c>
      <c r="E1016" s="871">
        <f>'Peers Stock History'!F1019/'Peers Stock History'!F$1833*100</f>
        <v>210.22556390977445</v>
      </c>
      <c r="F1016" s="871">
        <f>'Peers Stock History'!G1019/'Peers Stock History'!G$1833*100</f>
        <v>134.60476166533437</v>
      </c>
      <c r="G1016" s="871">
        <f>'Peers Stock History'!H1019/'Peers Stock History'!H$1833*100</f>
        <v>147.56056119229086</v>
      </c>
      <c r="H1016" s="871">
        <f>'Peers Stock History'!I1019/'Peers Stock History'!I$1833*100</f>
        <v>169.15725456125108</v>
      </c>
      <c r="I1016" s="871">
        <f>'Peers Stock History'!J1019/'Peers Stock History'!J$1833*100</f>
        <v>122.65191018410131</v>
      </c>
      <c r="J1016" s="871">
        <f>'Peers Stock History'!K1019/'Peers Stock History'!K$1833*100</f>
        <v>136.04298695407118</v>
      </c>
    </row>
    <row r="1017" spans="2:10">
      <c r="B1017" s="870">
        <v>43594</v>
      </c>
      <c r="C1017" s="871">
        <f>'Peers Stock History'!D1020/'Peers Stock History'!D$1833*100</f>
        <v>129.32038834951456</v>
      </c>
      <c r="D1017" s="871">
        <f>'Peers Stock History'!E1020/'Peers Stock History'!E$1833*100</f>
        <v>156.13761467889907</v>
      </c>
      <c r="E1017" s="871">
        <f>'Peers Stock History'!F1020/'Peers Stock History'!F$1833*100</f>
        <v>204.58646616541353</v>
      </c>
      <c r="F1017" s="871">
        <f>'Peers Stock History'!G1020/'Peers Stock History'!G$1833*100</f>
        <v>134.63701443276165</v>
      </c>
      <c r="G1017" s="871">
        <f>'Peers Stock History'!H1020/'Peers Stock History'!H$1833*100</f>
        <v>147.60910723821544</v>
      </c>
      <c r="H1017" s="871">
        <f>'Peers Stock History'!I1020/'Peers Stock History'!I$1833*100</f>
        <v>170.59079061685492</v>
      </c>
      <c r="I1017" s="871">
        <f>'Peers Stock History'!J1020/'Peers Stock History'!J$1833*100</f>
        <v>122.19729700968394</v>
      </c>
      <c r="J1017" s="871">
        <f>'Peers Stock History'!K1020/'Peers Stock History'!K$1833*100</f>
        <v>135.93381837427657</v>
      </c>
    </row>
    <row r="1018" spans="2:10">
      <c r="B1018" s="870">
        <v>43593</v>
      </c>
      <c r="C1018" s="871">
        <f>'Peers Stock History'!D1021/'Peers Stock History'!D$1833*100</f>
        <v>136.58807212205272</v>
      </c>
      <c r="D1018" s="871">
        <f>'Peers Stock History'!E1021/'Peers Stock History'!E$1833*100</f>
        <v>159.55963302752292</v>
      </c>
      <c r="E1018" s="871">
        <f>'Peers Stock History'!F1021/'Peers Stock History'!F$1833*100</f>
        <v>203.68421052631578</v>
      </c>
      <c r="F1018" s="871">
        <f>'Peers Stock History'!G1021/'Peers Stock History'!G$1833*100</f>
        <v>136.67262003072767</v>
      </c>
      <c r="G1018" s="871">
        <f>'Peers Stock History'!H1021/'Peers Stock History'!H$1833*100</f>
        <v>147.2838487305209</v>
      </c>
      <c r="H1018" s="871">
        <f>'Peers Stock History'!I1021/'Peers Stock History'!I$1833*100</f>
        <v>172.67593397046048</v>
      </c>
      <c r="I1018" s="871">
        <f>'Peers Stock History'!J1021/'Peers Stock History'!J$1833*100</f>
        <v>122.56762796637224</v>
      </c>
      <c r="J1018" s="871">
        <f>'Peers Stock History'!K1021/'Peers Stock History'!K$1833*100</f>
        <v>136.49627799238417</v>
      </c>
    </row>
    <row r="1019" spans="2:10">
      <c r="B1019" s="870">
        <v>43592</v>
      </c>
      <c r="C1019" s="871">
        <f>'Peers Stock History'!D1022/'Peers Stock History'!D$1833*100</f>
        <v>140.02773925104023</v>
      </c>
      <c r="D1019" s="871">
        <f>'Peers Stock History'!E1022/'Peers Stock History'!E$1833*100</f>
        <v>158.81651376146792</v>
      </c>
      <c r="E1019" s="871">
        <f>'Peers Stock History'!F1022/'Peers Stock History'!F$1833*100</f>
        <v>200.45112781954887</v>
      </c>
      <c r="F1019" s="871">
        <f>'Peers Stock History'!G1022/'Peers Stock History'!G$1833*100</f>
        <v>138.05816000287393</v>
      </c>
      <c r="G1019" s="871">
        <f>'Peers Stock History'!H1022/'Peers Stock History'!H$1833*100</f>
        <v>149.17714452157873</v>
      </c>
      <c r="H1019" s="871">
        <f>'Peers Stock History'!I1022/'Peers Stock History'!I$1833*100</f>
        <v>174.89139878366638</v>
      </c>
      <c r="I1019" s="871">
        <f>'Peers Stock History'!J1022/'Peers Stock History'!J$1833*100</f>
        <v>122.76471214217304</v>
      </c>
      <c r="J1019" s="871">
        <f>'Peers Stock History'!K1022/'Peers Stock History'!K$1833*100</f>
        <v>136.84746298612927</v>
      </c>
    </row>
    <row r="1020" spans="2:10">
      <c r="B1020" s="870">
        <v>43591</v>
      </c>
      <c r="C1020" s="871">
        <f>'Peers Stock History'!D1023/'Peers Stock History'!D$1833*100</f>
        <v>142.08044382801666</v>
      </c>
      <c r="D1020" s="871">
        <f>'Peers Stock History'!E1023/'Peers Stock History'!E$1833*100</f>
        <v>165</v>
      </c>
      <c r="E1020" s="871">
        <f>'Peers Stock History'!F1023/'Peers Stock History'!F$1833*100</f>
        <v>206.16541353383457</v>
      </c>
      <c r="F1020" s="871">
        <f>'Peers Stock History'!G1023/'Peers Stock History'!G$1833*100</f>
        <v>136.30552260445506</v>
      </c>
      <c r="G1020" s="871">
        <f>'Peers Stock History'!H1023/'Peers Stock History'!H$1833*100</f>
        <v>151.25491528714986</v>
      </c>
      <c r="H1020" s="871">
        <f>'Peers Stock History'!I1023/'Peers Stock History'!I$1833*100</f>
        <v>183.01476976542139</v>
      </c>
      <c r="I1020" s="871">
        <f>'Peers Stock History'!J1023/'Peers Stock History'!J$1833*100</f>
        <v>124.82579546663828</v>
      </c>
      <c r="J1020" s="871">
        <f>'Peers Stock History'!K1023/'Peers Stock History'!K$1833*100</f>
        <v>139.5888436000715</v>
      </c>
    </row>
    <row r="1021" spans="2:10">
      <c r="B1021" s="870">
        <v>43590</v>
      </c>
      <c r="C1021" s="871">
        <f>'Peers Stock History'!D1024/'Peers Stock History'!D$1833*100</f>
        <v>143.5506241331484</v>
      </c>
      <c r="D1021" s="871">
        <f>'Peers Stock History'!E1024/'Peers Stock History'!E$1833*100</f>
        <v>167.89908256880733</v>
      </c>
      <c r="E1021" s="871">
        <f>'Peers Stock History'!F1024/'Peers Stock History'!F$1833*100</f>
        <v>212.18045112781954</v>
      </c>
      <c r="F1021" s="871">
        <f>'Peers Stock History'!G1024/'Peers Stock History'!G$1833*100</f>
        <v>139.70272153180417</v>
      </c>
      <c r="G1021" s="871">
        <f>'Peers Stock History'!H1024/'Peers Stock History'!H$1833*100</f>
        <v>153.26472158842662</v>
      </c>
      <c r="H1021" s="871">
        <f>'Peers Stock History'!I1024/'Peers Stock History'!I$1833*100</f>
        <v>188.22762814943528</v>
      </c>
      <c r="I1021" s="871">
        <f>'Peers Stock History'!J1024/'Peers Stock History'!J$1833*100</f>
        <v>125.38639991486644</v>
      </c>
      <c r="J1021" s="871">
        <f>'Peers Stock History'!K1024/'Peers Stock History'!K$1833*100</f>
        <v>140.28834389563258</v>
      </c>
    </row>
    <row r="1022" spans="2:10">
      <c r="B1022" s="870">
        <v>43589</v>
      </c>
      <c r="C1022" s="871">
        <f>'Peers Stock History'!D1025/'Peers Stock History'!D$1833*100</f>
        <v>143.5506241331484</v>
      </c>
      <c r="D1022" s="871">
        <f>'Peers Stock History'!E1025/'Peers Stock History'!E$1833*100</f>
        <v>167.89908256880733</v>
      </c>
      <c r="E1022" s="871">
        <f>'Peers Stock History'!F1025/'Peers Stock History'!F$1833*100</f>
        <v>212.18045112781954</v>
      </c>
      <c r="F1022" s="871">
        <f>'Peers Stock History'!G1025/'Peers Stock History'!G$1833*100</f>
        <v>139.70272153180417</v>
      </c>
      <c r="G1022" s="871">
        <f>'Peers Stock History'!H1025/'Peers Stock History'!H$1833*100</f>
        <v>153.26472158842662</v>
      </c>
      <c r="H1022" s="871">
        <f>'Peers Stock History'!I1025/'Peers Stock History'!I$1833*100</f>
        <v>188.22762814943528</v>
      </c>
      <c r="I1022" s="871">
        <f>'Peers Stock History'!J1025/'Peers Stock History'!J$1833*100</f>
        <v>125.38639991486644</v>
      </c>
      <c r="J1022" s="871">
        <f>'Peers Stock History'!K1025/'Peers Stock History'!K$1833*100</f>
        <v>140.28834389563258</v>
      </c>
    </row>
    <row r="1023" spans="2:10">
      <c r="B1023" s="870">
        <v>43588</v>
      </c>
      <c r="C1023" s="871">
        <f>'Peers Stock History'!D1026/'Peers Stock History'!D$1833*100</f>
        <v>143.5506241331484</v>
      </c>
      <c r="D1023" s="871">
        <f>'Peers Stock History'!E1026/'Peers Stock History'!E$1833*100</f>
        <v>167.89908256880733</v>
      </c>
      <c r="E1023" s="871">
        <f>'Peers Stock History'!F1026/'Peers Stock History'!F$1833*100</f>
        <v>212.18045112781954</v>
      </c>
      <c r="F1023" s="871">
        <f>'Peers Stock History'!G1026/'Peers Stock History'!G$1833*100</f>
        <v>139.70272153180417</v>
      </c>
      <c r="G1023" s="871">
        <f>'Peers Stock History'!H1026/'Peers Stock History'!H$1833*100</f>
        <v>153.26472158842662</v>
      </c>
      <c r="H1023" s="871">
        <f>'Peers Stock History'!I1026/'Peers Stock History'!I$1833*100</f>
        <v>188.22762814943528</v>
      </c>
      <c r="I1023" s="871">
        <f>'Peers Stock History'!J1026/'Peers Stock History'!J$1833*100</f>
        <v>125.38639991486644</v>
      </c>
      <c r="J1023" s="871">
        <f>'Peers Stock History'!K1026/'Peers Stock History'!K$1833*100</f>
        <v>140.28834389563258</v>
      </c>
    </row>
    <row r="1024" spans="2:10">
      <c r="B1024" s="870">
        <v>43587</v>
      </c>
      <c r="C1024" s="871">
        <f>'Peers Stock History'!D1027/'Peers Stock History'!D$1833*100</f>
        <v>140.22191400832179</v>
      </c>
      <c r="D1024" s="871">
        <f>'Peers Stock History'!E1027/'Peers Stock History'!E$1833*100</f>
        <v>168.06422018348624</v>
      </c>
      <c r="E1024" s="871">
        <f>'Peers Stock History'!F1027/'Peers Stock History'!F$1833*100</f>
        <v>212.70676691729321</v>
      </c>
      <c r="F1024" s="871">
        <f>'Peers Stock History'!G1027/'Peers Stock History'!G$1833*100</f>
        <v>136.36728714732348</v>
      </c>
      <c r="G1024" s="871">
        <f>'Peers Stock History'!H1027/'Peers Stock History'!H$1833*100</f>
        <v>153.31812223894363</v>
      </c>
      <c r="H1024" s="871">
        <f>'Peers Stock History'!I1027/'Peers Stock History'!I$1833*100</f>
        <v>184.8827106863597</v>
      </c>
      <c r="I1024" s="871">
        <f>'Peers Stock History'!J1027/'Peers Stock History'!J$1833*100</f>
        <v>124.18942215600724</v>
      </c>
      <c r="J1024" s="871">
        <f>'Peers Stock History'!K1027/'Peers Stock History'!K$1833*100</f>
        <v>138.10215415916309</v>
      </c>
    </row>
    <row r="1025" spans="2:10">
      <c r="B1025" s="870">
        <v>43586</v>
      </c>
      <c r="C1025" s="871">
        <f>'Peers Stock History'!D1028/'Peers Stock History'!D$1833*100</f>
        <v>140.80443828016644</v>
      </c>
      <c r="D1025" s="871">
        <f>'Peers Stock History'!E1028/'Peers Stock History'!E$1833*100</f>
        <v>165.56880733944953</v>
      </c>
      <c r="E1025" s="871">
        <f>'Peers Stock History'!F1028/'Peers Stock History'!F$1833*100</f>
        <v>201.57894736842104</v>
      </c>
      <c r="F1025" s="871">
        <f>'Peers Stock History'!G1028/'Peers Stock History'!G$1833*100</f>
        <v>136.38052968969353</v>
      </c>
      <c r="G1025" s="871">
        <f>'Peers Stock History'!H1028/'Peers Stock History'!H$1833*100</f>
        <v>154.81334045342007</v>
      </c>
      <c r="H1025" s="871">
        <f>'Peers Stock History'!I1028/'Peers Stock History'!I$1833*100</f>
        <v>182.01563857515202</v>
      </c>
      <c r="I1025" s="871">
        <f>'Peers Stock History'!J1028/'Peers Stock History'!J$1833*100</f>
        <v>124.45376183888474</v>
      </c>
      <c r="J1025" s="871">
        <f>'Peers Stock History'!K1028/'Peers Stock History'!K$1833*100</f>
        <v>138.32327509176142</v>
      </c>
    </row>
    <row r="1026" spans="2:10">
      <c r="B1026" s="870">
        <v>43585</v>
      </c>
      <c r="C1026" s="871">
        <f>'Peers Stock History'!D1029/'Peers Stock History'!D$1833*100</f>
        <v>141.58113730929264</v>
      </c>
      <c r="D1026" s="871">
        <f>'Peers Stock History'!E1029/'Peers Stock History'!E$1833*100</f>
        <v>166.05504587155963</v>
      </c>
      <c r="E1026" s="871">
        <f>'Peers Stock History'!F1029/'Peers Stock History'!F$1833*100</f>
        <v>207.74436090225561</v>
      </c>
      <c r="F1026" s="871">
        <f>'Peers Stock History'!G1029/'Peers Stock History'!G$1833*100</f>
        <v>136.38052968969353</v>
      </c>
      <c r="G1026" s="871">
        <f>'Peers Stock History'!H1029/'Peers Stock History'!H$1833*100</f>
        <v>154.57061022379725</v>
      </c>
      <c r="H1026" s="871">
        <f>'Peers Stock History'!I1029/'Peers Stock History'!I$1833*100</f>
        <v>182.71068635968723</v>
      </c>
      <c r="I1026" s="871">
        <f>'Peers Stock History'!J1029/'Peers Stock History'!J$1833*100</f>
        <v>125.39448760242631</v>
      </c>
      <c r="J1026" s="871">
        <f>'Peers Stock History'!K1029/'Peers Stock History'!K$1833*100</f>
        <v>139.1093988425003</v>
      </c>
    </row>
    <row r="1027" spans="2:10">
      <c r="B1027" s="870">
        <v>43584</v>
      </c>
      <c r="C1027" s="871">
        <f>'Peers Stock History'!D1030/'Peers Stock History'!D$1833*100</f>
        <v>141.7753120665742</v>
      </c>
      <c r="D1027" s="871">
        <f>'Peers Stock History'!E1030/'Peers Stock History'!E$1833*100</f>
        <v>164.52293577981652</v>
      </c>
      <c r="E1027" s="871">
        <f>'Peers Stock History'!F1030/'Peers Stock History'!F$1833*100</f>
        <v>208.19548872180448</v>
      </c>
      <c r="F1027" s="871">
        <f>'Peers Stock History'!G1030/'Peers Stock History'!G$1833*100</f>
        <v>136.61727892770966</v>
      </c>
      <c r="G1027" s="871">
        <f>'Peers Stock History'!H1030/'Peers Stock History'!H$1833*100</f>
        <v>151.81319481528232</v>
      </c>
      <c r="H1027" s="871">
        <f>'Peers Stock History'!I1030/'Peers Stock History'!I$1833*100</f>
        <v>182.92788879235445</v>
      </c>
      <c r="I1027" s="871">
        <f>'Peers Stock History'!J1030/'Peers Stock History'!J$1833*100</f>
        <v>125.27530062785996</v>
      </c>
      <c r="J1027" s="871">
        <f>'Peers Stock History'!K1030/'Peers Stock History'!K$1833*100</f>
        <v>140.25151904650622</v>
      </c>
    </row>
    <row r="1028" spans="2:10">
      <c r="B1028" s="870">
        <v>43583</v>
      </c>
      <c r="C1028" s="871">
        <f>'Peers Stock History'!D1031/'Peers Stock History'!D$1833*100</f>
        <v>145.4368932038835</v>
      </c>
      <c r="D1028" s="871">
        <f>'Peers Stock History'!E1031/'Peers Stock History'!E$1833*100</f>
        <v>163.38532110091742</v>
      </c>
      <c r="E1028" s="871">
        <f>'Peers Stock History'!F1031/'Peers Stock History'!F$1833*100</f>
        <v>209.62406015037593</v>
      </c>
      <c r="F1028" s="871">
        <f>'Peers Stock History'!G1031/'Peers Stock History'!G$1833*100</f>
        <v>136.8672221691445</v>
      </c>
      <c r="G1028" s="871">
        <f>'Peers Stock History'!H1031/'Peers Stock History'!H$1833*100</f>
        <v>150.69178115442497</v>
      </c>
      <c r="H1028" s="871">
        <f>'Peers Stock History'!I1031/'Peers Stock History'!I$1833*100</f>
        <v>182.88444830582105</v>
      </c>
      <c r="I1028" s="871">
        <f>'Peers Stock History'!J1031/'Peers Stock History'!J$1833*100</f>
        <v>125.14121528147282</v>
      </c>
      <c r="J1028" s="871">
        <f>'Peers Stock History'!K1031/'Peers Stock History'!K$1833*100</f>
        <v>139.98594366468254</v>
      </c>
    </row>
    <row r="1029" spans="2:10">
      <c r="B1029" s="870">
        <v>43582</v>
      </c>
      <c r="C1029" s="871">
        <f>'Peers Stock History'!D1032/'Peers Stock History'!D$1833*100</f>
        <v>145.4368932038835</v>
      </c>
      <c r="D1029" s="871">
        <f>'Peers Stock History'!E1032/'Peers Stock History'!E$1833*100</f>
        <v>163.38532110091742</v>
      </c>
      <c r="E1029" s="871">
        <f>'Peers Stock History'!F1032/'Peers Stock History'!F$1833*100</f>
        <v>209.62406015037593</v>
      </c>
      <c r="F1029" s="871">
        <f>'Peers Stock History'!G1032/'Peers Stock History'!G$1833*100</f>
        <v>136.8672221691445</v>
      </c>
      <c r="G1029" s="871">
        <f>'Peers Stock History'!H1032/'Peers Stock History'!H$1833*100</f>
        <v>150.69178115442497</v>
      </c>
      <c r="H1029" s="871">
        <f>'Peers Stock History'!I1032/'Peers Stock History'!I$1833*100</f>
        <v>182.88444830582105</v>
      </c>
      <c r="I1029" s="871">
        <f>'Peers Stock History'!J1032/'Peers Stock History'!J$1833*100</f>
        <v>125.14121528147282</v>
      </c>
      <c r="J1029" s="871">
        <f>'Peers Stock History'!K1032/'Peers Stock History'!K$1833*100</f>
        <v>139.98594366468254</v>
      </c>
    </row>
    <row r="1030" spans="2:10">
      <c r="B1030" s="870">
        <v>43581</v>
      </c>
      <c r="C1030" s="871">
        <f>'Peers Stock History'!D1033/'Peers Stock History'!D$1833*100</f>
        <v>145.4368932038835</v>
      </c>
      <c r="D1030" s="871">
        <f>'Peers Stock History'!E1033/'Peers Stock History'!E$1833*100</f>
        <v>163.38532110091742</v>
      </c>
      <c r="E1030" s="871">
        <f>'Peers Stock History'!F1033/'Peers Stock History'!F$1833*100</f>
        <v>209.62406015037593</v>
      </c>
      <c r="F1030" s="871">
        <f>'Peers Stock History'!G1033/'Peers Stock History'!G$1833*100</f>
        <v>136.8672221691445</v>
      </c>
      <c r="G1030" s="871">
        <f>'Peers Stock History'!H1033/'Peers Stock History'!H$1833*100</f>
        <v>150.69178115442497</v>
      </c>
      <c r="H1030" s="871">
        <f>'Peers Stock History'!I1033/'Peers Stock History'!I$1833*100</f>
        <v>182.88444830582105</v>
      </c>
      <c r="I1030" s="871">
        <f>'Peers Stock History'!J1033/'Peers Stock History'!J$1833*100</f>
        <v>125.14121528147282</v>
      </c>
      <c r="J1030" s="871">
        <f>'Peers Stock History'!K1033/'Peers Stock History'!K$1833*100</f>
        <v>139.98594366468254</v>
      </c>
    </row>
    <row r="1031" spans="2:10">
      <c r="B1031" s="870">
        <v>43580</v>
      </c>
      <c r="C1031" s="871">
        <f>'Peers Stock History'!D1034/'Peers Stock History'!D$1833*100</f>
        <v>159.80582524271844</v>
      </c>
      <c r="D1031" s="871">
        <f>'Peers Stock History'!E1034/'Peers Stock History'!E$1833*100</f>
        <v>171.47706422018348</v>
      </c>
      <c r="E1031" s="871">
        <f>'Peers Stock History'!F1034/'Peers Stock History'!F$1833*100</f>
        <v>207.96992481203006</v>
      </c>
      <c r="F1031" s="871">
        <f>'Peers Stock History'!G1034/'Peers Stock History'!G$1833*100</f>
        <v>140.77886987139649</v>
      </c>
      <c r="G1031" s="871">
        <f>'Peers Stock History'!H1034/'Peers Stock History'!H$1833*100</f>
        <v>151.37628040196125</v>
      </c>
      <c r="H1031" s="871">
        <f>'Peers Stock History'!I1034/'Peers Stock History'!I$1833*100</f>
        <v>185.70807993049522</v>
      </c>
      <c r="I1031" s="871">
        <f>'Peers Stock History'!J1034/'Peers Stock History'!J$1833*100</f>
        <v>124.55762477386401</v>
      </c>
      <c r="J1031" s="871">
        <f>'Peers Stock History'!K1034/'Peers Stock History'!K$1833*100</f>
        <v>139.50967790715259</v>
      </c>
    </row>
    <row r="1032" spans="2:10">
      <c r="B1032" s="870">
        <v>43579</v>
      </c>
      <c r="C1032" s="871">
        <f>'Peers Stock History'!D1035/'Peers Stock History'!D$1833*100</f>
        <v>162.88488210818309</v>
      </c>
      <c r="D1032" s="871">
        <f>'Peers Stock History'!E1035/'Peers Stock History'!E$1833*100</f>
        <v>175.38532110091742</v>
      </c>
      <c r="E1032" s="871">
        <f>'Peers Stock History'!F1035/'Peers Stock History'!F$1833*100</f>
        <v>213.984962406015</v>
      </c>
      <c r="F1032" s="871">
        <f>'Peers Stock History'!G1035/'Peers Stock History'!G$1833*100</f>
        <v>141.5820254756419</v>
      </c>
      <c r="G1032" s="871">
        <f>'Peers Stock History'!H1035/'Peers Stock History'!H$1833*100</f>
        <v>152.59478615466767</v>
      </c>
      <c r="H1032" s="871">
        <f>'Peers Stock History'!I1035/'Peers Stock History'!I$1833*100</f>
        <v>186.9244135534318</v>
      </c>
      <c r="I1032" s="871">
        <f>'Peers Stock History'!J1035/'Peers Stock History'!J$1833*100</f>
        <v>124.6035968926253</v>
      </c>
      <c r="J1032" s="871">
        <f>'Peers Stock History'!K1035/'Peers Stock History'!K$1833*100</f>
        <v>139.22327577911278</v>
      </c>
    </row>
    <row r="1033" spans="2:10">
      <c r="B1033" s="870">
        <v>43578</v>
      </c>
      <c r="C1033" s="871">
        <f>'Peers Stock History'!D1036/'Peers Stock History'!D$1833*100</f>
        <v>163.05131761442442</v>
      </c>
      <c r="D1033" s="871">
        <f>'Peers Stock History'!E1036/'Peers Stock History'!E$1833*100</f>
        <v>174.92660550458714</v>
      </c>
      <c r="E1033" s="871">
        <f>'Peers Stock History'!F1036/'Peers Stock History'!F$1833*100</f>
        <v>210.30075187969922</v>
      </c>
      <c r="F1033" s="871">
        <f>'Peers Stock History'!G1036/'Peers Stock History'!G$1833*100</f>
        <v>141.27968324611015</v>
      </c>
      <c r="G1033" s="871">
        <f>'Peers Stock History'!H1036/'Peers Stock History'!H$1833*100</f>
        <v>153.23073935627943</v>
      </c>
      <c r="H1033" s="871">
        <f>'Peers Stock History'!I1036/'Peers Stock History'!I$1833*100</f>
        <v>185.79496090356213</v>
      </c>
      <c r="I1033" s="871">
        <f>'Peers Stock History'!J1036/'Peers Stock History'!J$1833*100</f>
        <v>124.87730126636161</v>
      </c>
      <c r="J1033" s="871">
        <f>'Peers Stock History'!K1036/'Peers Stock History'!K$1833*100</f>
        <v>139.54645120492694</v>
      </c>
    </row>
    <row r="1034" spans="2:10">
      <c r="B1034" s="870">
        <v>43577</v>
      </c>
      <c r="C1034" s="871">
        <f>'Peers Stock History'!D1037/'Peers Stock History'!D$1833*100</f>
        <v>163.16227461858531</v>
      </c>
      <c r="D1034" s="871">
        <f>'Peers Stock History'!E1037/'Peers Stock History'!E$1833*100</f>
        <v>172.90825688073394</v>
      </c>
      <c r="E1034" s="871">
        <f>'Peers Stock History'!F1037/'Peers Stock History'!F$1833*100</f>
        <v>211.87969924812026</v>
      </c>
      <c r="F1034" s="871">
        <f>'Peers Stock History'!G1037/'Peers Stock History'!G$1833*100</f>
        <v>140.32085073366653</v>
      </c>
      <c r="G1034" s="871">
        <f>'Peers Stock History'!H1037/'Peers Stock History'!H$1833*100</f>
        <v>152.92004466236224</v>
      </c>
      <c r="H1034" s="871">
        <f>'Peers Stock History'!I1037/'Peers Stock History'!I$1833*100</f>
        <v>188.53171155516941</v>
      </c>
      <c r="I1034" s="871">
        <f>'Peers Stock History'!J1037/'Peers Stock History'!J$1833*100</f>
        <v>123.7829094391827</v>
      </c>
      <c r="J1034" s="871">
        <f>'Peers Stock History'!K1037/'Peers Stock History'!K$1833*100</f>
        <v>137.73259970031481</v>
      </c>
    </row>
    <row r="1035" spans="2:10">
      <c r="B1035" s="870">
        <v>43576</v>
      </c>
      <c r="C1035" s="871">
        <f>'Peers Stock History'!D1038/'Peers Stock History'!D$1833*100</f>
        <v>162.24687933425798</v>
      </c>
      <c r="D1035" s="871">
        <f>'Peers Stock History'!E1038/'Peers Stock History'!E$1833*100</f>
        <v>170.91743119266056</v>
      </c>
      <c r="E1035" s="871">
        <f>'Peers Stock History'!F1038/'Peers Stock History'!F$1833*100</f>
        <v>208.12030075187971</v>
      </c>
      <c r="F1035" s="871">
        <f>'Peers Stock History'!G1038/'Peers Stock History'!G$1833*100</f>
        <v>139.66997599244567</v>
      </c>
      <c r="G1035" s="871">
        <f>'Peers Stock History'!H1038/'Peers Stock History'!H$1833*100</f>
        <v>154.67741152483129</v>
      </c>
      <c r="H1035" s="871">
        <f>'Peers Stock History'!I1038/'Peers Stock History'!I$1833*100</f>
        <v>188.53171155516941</v>
      </c>
      <c r="I1035" s="871">
        <f>'Peers Stock History'!J1038/'Peers Stock History'!J$1833*100</f>
        <v>123.65776311588806</v>
      </c>
      <c r="J1035" s="871">
        <f>'Peers Stock History'!K1038/'Peers Stock History'!K$1833*100</f>
        <v>137.43695269647941</v>
      </c>
    </row>
    <row r="1036" spans="2:10">
      <c r="B1036" s="870">
        <v>43575</v>
      </c>
      <c r="C1036" s="871">
        <f>'Peers Stock History'!D1039/'Peers Stock History'!D$1833*100</f>
        <v>162.24687933425798</v>
      </c>
      <c r="D1036" s="871">
        <f>'Peers Stock History'!E1039/'Peers Stock History'!E$1833*100</f>
        <v>170.91743119266056</v>
      </c>
      <c r="E1036" s="871">
        <f>'Peers Stock History'!F1039/'Peers Stock History'!F$1833*100</f>
        <v>208.12030075187971</v>
      </c>
      <c r="F1036" s="871">
        <f>'Peers Stock History'!G1039/'Peers Stock History'!G$1833*100</f>
        <v>139.66997599244567</v>
      </c>
      <c r="G1036" s="871">
        <f>'Peers Stock History'!H1039/'Peers Stock History'!H$1833*100</f>
        <v>154.67741152483129</v>
      </c>
      <c r="H1036" s="871">
        <f>'Peers Stock History'!I1039/'Peers Stock History'!I$1833*100</f>
        <v>188.53171155516941</v>
      </c>
      <c r="I1036" s="871">
        <f>'Peers Stock History'!J1039/'Peers Stock History'!J$1833*100</f>
        <v>123.65776311588806</v>
      </c>
      <c r="J1036" s="871">
        <f>'Peers Stock History'!K1039/'Peers Stock History'!K$1833*100</f>
        <v>137.43695269647941</v>
      </c>
    </row>
    <row r="1037" spans="2:10">
      <c r="B1037" s="870">
        <v>43574</v>
      </c>
      <c r="C1037" s="871">
        <f>'Peers Stock History'!D1040/'Peers Stock History'!D$1833*100</f>
        <v>162.24687933425798</v>
      </c>
      <c r="D1037" s="871">
        <f>'Peers Stock History'!E1040/'Peers Stock History'!E$1833*100</f>
        <v>170.91743119266056</v>
      </c>
      <c r="E1037" s="871">
        <f>'Peers Stock History'!F1040/'Peers Stock History'!F$1833*100</f>
        <v>208.12030075187971</v>
      </c>
      <c r="F1037" s="871">
        <f>'Peers Stock History'!G1040/'Peers Stock History'!G$1833*100</f>
        <v>139.66997599244567</v>
      </c>
      <c r="G1037" s="871">
        <f>'Peers Stock History'!H1040/'Peers Stock History'!H$1833*100</f>
        <v>154.67741152483129</v>
      </c>
      <c r="H1037" s="871">
        <f>'Peers Stock History'!I1040/'Peers Stock History'!I$1833*100</f>
        <v>188.53171155516941</v>
      </c>
      <c r="I1037" s="871">
        <f>'Peers Stock History'!J1040/'Peers Stock History'!J$1833*100</f>
        <v>123.65776311588806</v>
      </c>
      <c r="J1037" s="871">
        <f>'Peers Stock History'!K1040/'Peers Stock History'!K$1833*100</f>
        <v>137.43695269647941</v>
      </c>
    </row>
    <row r="1038" spans="2:10">
      <c r="B1038" s="870">
        <v>43573</v>
      </c>
      <c r="C1038" s="871">
        <f>'Peers Stock History'!D1041/'Peers Stock History'!D$1833*100</f>
        <v>162.24687933425798</v>
      </c>
      <c r="D1038" s="871">
        <f>'Peers Stock History'!E1041/'Peers Stock History'!E$1833*100</f>
        <v>170.91743119266056</v>
      </c>
      <c r="E1038" s="871">
        <f>'Peers Stock History'!F1041/'Peers Stock History'!F$1833*100</f>
        <v>208.12030075187971</v>
      </c>
      <c r="F1038" s="871">
        <f>'Peers Stock History'!G1041/'Peers Stock History'!G$1833*100</f>
        <v>139.5793576988024</v>
      </c>
      <c r="G1038" s="871">
        <f>'Peers Stock History'!H1041/'Peers Stock History'!H$1833*100</f>
        <v>154.67741152483129</v>
      </c>
      <c r="H1038" s="871">
        <f>'Peers Stock History'!I1041/'Peers Stock History'!I$1833*100</f>
        <v>188.53171155516941</v>
      </c>
      <c r="I1038" s="871">
        <f>'Peers Stock History'!J1041/'Peers Stock History'!J$1833*100</f>
        <v>123.65776311588806</v>
      </c>
      <c r="J1038" s="871">
        <f>'Peers Stock History'!K1041/'Peers Stock History'!K$1833*100</f>
        <v>137.43695269647941</v>
      </c>
    </row>
    <row r="1039" spans="2:10">
      <c r="B1039" s="870">
        <v>43572</v>
      </c>
      <c r="C1039" s="871">
        <f>'Peers Stock History'!D1042/'Peers Stock History'!D$1833*100</f>
        <v>162.44105409153954</v>
      </c>
      <c r="D1039" s="871">
        <f>'Peers Stock History'!E1042/'Peers Stock History'!E$1833*100</f>
        <v>171.8256880733945</v>
      </c>
      <c r="E1039" s="871">
        <f>'Peers Stock History'!F1042/'Peers Stock History'!F$1833*100</f>
        <v>206.69172932330824</v>
      </c>
      <c r="F1039" s="871">
        <f>'Peers Stock History'!G1042/'Peers Stock History'!G$1833*100</f>
        <v>138.23838857148363</v>
      </c>
      <c r="G1039" s="871">
        <f>'Peers Stock History'!H1042/'Peers Stock History'!H$1833*100</f>
        <v>155.60464100199036</v>
      </c>
      <c r="H1039" s="871">
        <f>'Peers Stock History'!I1042/'Peers Stock History'!I$1833*100</f>
        <v>187.44569939183319</v>
      </c>
      <c r="I1039" s="871">
        <f>'Peers Stock History'!J1042/'Peers Stock History'!J$1833*100</f>
        <v>123.4628072789188</v>
      </c>
      <c r="J1039" s="871">
        <f>'Peers Stock History'!K1042/'Peers Stock History'!K$1833*100</f>
        <v>137.40291162036212</v>
      </c>
    </row>
    <row r="1040" spans="2:10">
      <c r="B1040" s="870">
        <v>43571</v>
      </c>
      <c r="C1040" s="871">
        <f>'Peers Stock History'!D1043/'Peers Stock History'!D$1833*100</f>
        <v>157.3092926490985</v>
      </c>
      <c r="D1040" s="871">
        <f>'Peers Stock History'!E1043/'Peers Stock History'!E$1833*100</f>
        <v>172.66972477064223</v>
      </c>
      <c r="E1040" s="871">
        <f>'Peers Stock History'!F1043/'Peers Stock History'!F$1833*100</f>
        <v>209.99999999999997</v>
      </c>
      <c r="F1040" s="871">
        <f>'Peers Stock History'!G1043/'Peers Stock History'!G$1833*100</f>
        <v>135.50284614686788</v>
      </c>
      <c r="G1040" s="871">
        <f>'Peers Stock History'!H1043/'Peers Stock History'!H$1833*100</f>
        <v>154.61915626972183</v>
      </c>
      <c r="H1040" s="871">
        <f>'Peers Stock History'!I1043/'Peers Stock History'!I$1833*100</f>
        <v>185.75152041702867</v>
      </c>
      <c r="I1040" s="871">
        <f>'Peers Stock History'!J1043/'Peers Stock History'!J$1833*100</f>
        <v>123.74417367244865</v>
      </c>
      <c r="J1040" s="871">
        <f>'Peers Stock History'!K1043/'Peers Stock History'!K$1833*100</f>
        <v>137.47413840506994</v>
      </c>
    </row>
    <row r="1041" spans="2:10">
      <c r="B1041" s="870">
        <v>43570</v>
      </c>
      <c r="C1041" s="871">
        <f>'Peers Stock History'!D1044/'Peers Stock History'!D$1833*100</f>
        <v>156.11650485436894</v>
      </c>
      <c r="D1041" s="871">
        <f>'Peers Stock History'!E1044/'Peers Stock History'!E$1833*100</f>
        <v>169.44954128440367</v>
      </c>
      <c r="E1041" s="871">
        <f>'Peers Stock History'!F1044/'Peers Stock History'!F$1833*100</f>
        <v>205.48872180451124</v>
      </c>
      <c r="F1041" s="871">
        <f>'Peers Stock History'!G1044/'Peers Stock History'!G$1833*100</f>
        <v>134.68141667266761</v>
      </c>
      <c r="G1041" s="871">
        <f>'Peers Stock History'!H1044/'Peers Stock History'!H$1833*100</f>
        <v>153.59968930530607</v>
      </c>
      <c r="H1041" s="871">
        <f>'Peers Stock History'!I1044/'Peers Stock History'!I$1833*100</f>
        <v>181.66811468288446</v>
      </c>
      <c r="I1041" s="871">
        <f>'Peers Stock History'!J1044/'Peers Stock History'!J$1833*100</f>
        <v>123.681174843035</v>
      </c>
      <c r="J1041" s="871">
        <f>'Peers Stock History'!K1044/'Peers Stock History'!K$1833*100</f>
        <v>137.05806744291547</v>
      </c>
    </row>
    <row r="1042" spans="2:10">
      <c r="B1042" s="870">
        <v>43569</v>
      </c>
      <c r="C1042" s="871">
        <f>'Peers Stock History'!D1045/'Peers Stock History'!D$1833*100</f>
        <v>156.50485436893206</v>
      </c>
      <c r="D1042" s="871">
        <f>'Peers Stock History'!E1045/'Peers Stock History'!E$1833*100</f>
        <v>174.32110091743118</v>
      </c>
      <c r="E1042" s="871">
        <f>'Peers Stock History'!F1045/'Peers Stock History'!F$1833*100</f>
        <v>209.3984962406015</v>
      </c>
      <c r="F1042" s="871">
        <f>'Peers Stock History'!G1045/'Peers Stock History'!G$1833*100</f>
        <v>132.9657260244351</v>
      </c>
      <c r="G1042" s="871">
        <f>'Peers Stock History'!H1045/'Peers Stock History'!H$1833*100</f>
        <v>153.90552939463078</v>
      </c>
      <c r="H1042" s="871">
        <f>'Peers Stock History'!I1045/'Peers Stock History'!I$1833*100</f>
        <v>182.49348392701998</v>
      </c>
      <c r="I1042" s="871">
        <f>'Peers Stock History'!J1045/'Peers Stock History'!J$1833*100</f>
        <v>123.75907204426943</v>
      </c>
      <c r="J1042" s="871">
        <f>'Peers Stock History'!K1045/'Peers Stock History'!K$1833*100</f>
        <v>137.19814965013816</v>
      </c>
    </row>
    <row r="1043" spans="2:10">
      <c r="B1043" s="870">
        <v>43568</v>
      </c>
      <c r="C1043" s="871">
        <f>'Peers Stock History'!D1046/'Peers Stock History'!D$1833*100</f>
        <v>156.50485436893206</v>
      </c>
      <c r="D1043" s="871">
        <f>'Peers Stock History'!E1046/'Peers Stock History'!E$1833*100</f>
        <v>174.32110091743118</v>
      </c>
      <c r="E1043" s="871">
        <f>'Peers Stock History'!F1046/'Peers Stock History'!F$1833*100</f>
        <v>209.3984962406015</v>
      </c>
      <c r="F1043" s="871">
        <f>'Peers Stock History'!G1046/'Peers Stock History'!G$1833*100</f>
        <v>132.9657260244351</v>
      </c>
      <c r="G1043" s="871">
        <f>'Peers Stock History'!H1046/'Peers Stock History'!H$1833*100</f>
        <v>153.90552939463078</v>
      </c>
      <c r="H1043" s="871">
        <f>'Peers Stock History'!I1046/'Peers Stock History'!I$1833*100</f>
        <v>182.49348392701998</v>
      </c>
      <c r="I1043" s="871">
        <f>'Peers Stock History'!J1046/'Peers Stock History'!J$1833*100</f>
        <v>123.75907204426943</v>
      </c>
      <c r="J1043" s="871">
        <f>'Peers Stock History'!K1046/'Peers Stock History'!K$1833*100</f>
        <v>137.19814965013816</v>
      </c>
    </row>
    <row r="1044" spans="2:10">
      <c r="B1044" s="870">
        <v>43567</v>
      </c>
      <c r="C1044" s="871">
        <f>'Peers Stock History'!D1047/'Peers Stock History'!D$1833*100</f>
        <v>156.50485436893206</v>
      </c>
      <c r="D1044" s="871">
        <f>'Peers Stock History'!E1047/'Peers Stock History'!E$1833*100</f>
        <v>174.32110091743118</v>
      </c>
      <c r="E1044" s="871">
        <f>'Peers Stock History'!F1047/'Peers Stock History'!F$1833*100</f>
        <v>209.3984962406015</v>
      </c>
      <c r="F1044" s="871">
        <f>'Peers Stock History'!G1047/'Peers Stock History'!G$1833*100</f>
        <v>132.9657260244351</v>
      </c>
      <c r="G1044" s="871">
        <f>'Peers Stock History'!H1047/'Peers Stock History'!H$1833*100</f>
        <v>153.90552939463078</v>
      </c>
      <c r="H1044" s="871">
        <f>'Peers Stock History'!I1047/'Peers Stock History'!I$1833*100</f>
        <v>182.49348392701998</v>
      </c>
      <c r="I1044" s="871">
        <f>'Peers Stock History'!J1047/'Peers Stock History'!J$1833*100</f>
        <v>123.75907204426943</v>
      </c>
      <c r="J1044" s="871">
        <f>'Peers Stock History'!K1047/'Peers Stock History'!K$1833*100</f>
        <v>137.19814965013816</v>
      </c>
    </row>
    <row r="1045" spans="2:10">
      <c r="B1045" s="870">
        <v>43566</v>
      </c>
      <c r="C1045" s="871">
        <f>'Peers Stock History'!D1048/'Peers Stock History'!D$1833*100</f>
        <v>154.78502080443829</v>
      </c>
      <c r="D1045" s="871">
        <f>'Peers Stock History'!E1048/'Peers Stock History'!E$1833*100</f>
        <v>175.72477064220183</v>
      </c>
      <c r="E1045" s="871">
        <f>'Peers Stock History'!F1048/'Peers Stock History'!F$1833*100</f>
        <v>208.9473684210526</v>
      </c>
      <c r="F1045" s="871">
        <f>'Peers Stock History'!G1048/'Peers Stock History'!G$1833*100</f>
        <v>132.87952458130752</v>
      </c>
      <c r="G1045" s="871">
        <f>'Peers Stock History'!H1048/'Peers Stock History'!H$1833*100</f>
        <v>150.20632069517939</v>
      </c>
      <c r="H1045" s="871">
        <f>'Peers Stock History'!I1048/'Peers Stock History'!I$1833*100</f>
        <v>183.66637706342311</v>
      </c>
      <c r="I1045" s="871">
        <f>'Peers Stock History'!J1048/'Peers Stock History'!J$1833*100</f>
        <v>122.94647227838674</v>
      </c>
      <c r="J1045" s="871">
        <f>'Peers Stock History'!K1048/'Peers Stock History'!K$1833*100</f>
        <v>136.56570047977127</v>
      </c>
    </row>
    <row r="1046" spans="2:10">
      <c r="B1046" s="870">
        <v>43565</v>
      </c>
      <c r="C1046" s="871">
        <f>'Peers Stock History'!D1049/'Peers Stock History'!D$1833*100</f>
        <v>154.64632454923719</v>
      </c>
      <c r="D1046" s="871">
        <f>'Peers Stock History'!E1049/'Peers Stock History'!E$1833*100</f>
        <v>176.23853211009174</v>
      </c>
      <c r="E1046" s="871">
        <f>'Peers Stock History'!F1049/'Peers Stock History'!F$1833*100</f>
        <v>209.24812030075185</v>
      </c>
      <c r="F1046" s="871">
        <f>'Peers Stock History'!G1049/'Peers Stock History'!G$1833*100</f>
        <v>134.04709722514033</v>
      </c>
      <c r="G1046" s="871">
        <f>'Peers Stock History'!H1049/'Peers Stock History'!H$1833*100</f>
        <v>149.28394582261274</v>
      </c>
      <c r="H1046" s="871">
        <f>'Peers Stock History'!I1049/'Peers Stock History'!I$1833*100</f>
        <v>183.18853171155519</v>
      </c>
      <c r="I1046" s="871">
        <f>'Peers Stock History'!J1049/'Peers Stock History'!J$1833*100</f>
        <v>122.94178993295732</v>
      </c>
      <c r="J1046" s="871">
        <f>'Peers Stock History'!K1049/'Peers Stock History'!K$1833*100</f>
        <v>136.85584867272453</v>
      </c>
    </row>
    <row r="1047" spans="2:10">
      <c r="B1047" s="870">
        <v>43564</v>
      </c>
      <c r="C1047" s="871">
        <f>'Peers Stock History'!D1050/'Peers Stock History'!D$1833*100</f>
        <v>153.45353675450764</v>
      </c>
      <c r="D1047" s="871">
        <f>'Peers Stock History'!E1050/'Peers Stock History'!E$1833*100</f>
        <v>173.63302752293578</v>
      </c>
      <c r="E1047" s="871">
        <f>'Peers Stock History'!F1050/'Peers Stock History'!F$1833*100</f>
        <v>204.81203007518792</v>
      </c>
      <c r="F1047" s="871">
        <f>'Peers Stock History'!G1050/'Peers Stock History'!G$1833*100</f>
        <v>134.07319504405626</v>
      </c>
      <c r="G1047" s="871">
        <f>'Peers Stock History'!H1050/'Peers Stock History'!H$1833*100</f>
        <v>147.31297635807564</v>
      </c>
      <c r="H1047" s="871">
        <f>'Peers Stock History'!I1050/'Peers Stock History'!I$1833*100</f>
        <v>181.23370981754996</v>
      </c>
      <c r="I1047" s="871">
        <f>'Peers Stock History'!J1050/'Peers Stock History'!J$1833*100</f>
        <v>122.5156964988826</v>
      </c>
      <c r="J1047" s="871">
        <f>'Peers Stock History'!K1050/'Peers Stock History'!K$1833*100</f>
        <v>135.9113248010118</v>
      </c>
    </row>
    <row r="1048" spans="2:10">
      <c r="B1048" s="870">
        <v>43563</v>
      </c>
      <c r="C1048" s="871">
        <f>'Peers Stock History'!D1051/'Peers Stock History'!D$1833*100</f>
        <v>154.45214979195563</v>
      </c>
      <c r="D1048" s="871">
        <f>'Peers Stock History'!E1051/'Peers Stock History'!E$1833*100</f>
        <v>175.95412844036699</v>
      </c>
      <c r="E1048" s="871">
        <f>'Peers Stock History'!F1051/'Peers Stock History'!F$1833*100</f>
        <v>214.51127819548873</v>
      </c>
      <c r="F1048" s="871">
        <f>'Peers Stock History'!G1051/'Peers Stock History'!G$1833*100</f>
        <v>133.53234901854356</v>
      </c>
      <c r="G1048" s="871">
        <f>'Peers Stock History'!H1051/'Peers Stock History'!H$1833*100</f>
        <v>147.81300063109859</v>
      </c>
      <c r="H1048" s="871">
        <f>'Peers Stock History'!I1051/'Peers Stock History'!I$1833*100</f>
        <v>186.35968722849697</v>
      </c>
      <c r="I1048" s="871">
        <f>'Peers Stock History'!J1051/'Peers Stock History'!J$1833*100</f>
        <v>123.26359476428648</v>
      </c>
      <c r="J1048" s="871">
        <f>'Peers Stock History'!K1051/'Peers Stock History'!K$1833*100</f>
        <v>136.67782467041502</v>
      </c>
    </row>
    <row r="1049" spans="2:10">
      <c r="B1049" s="870">
        <v>43562</v>
      </c>
      <c r="C1049" s="871">
        <f>'Peers Stock History'!D1052/'Peers Stock History'!D$1833*100</f>
        <v>154.23023578363387</v>
      </c>
      <c r="D1049" s="871">
        <f>'Peers Stock History'!E1052/'Peers Stock History'!E$1833*100</f>
        <v>175.18348623853211</v>
      </c>
      <c r="E1049" s="871">
        <f>'Peers Stock History'!F1052/'Peers Stock History'!F$1833*100</f>
        <v>217.89473684210526</v>
      </c>
      <c r="F1049" s="871">
        <f>'Peers Stock History'!G1052/'Peers Stock History'!G$1833*100</f>
        <v>130.24112500369483</v>
      </c>
      <c r="G1049" s="871">
        <f>'Peers Stock History'!H1052/'Peers Stock History'!H$1833*100</f>
        <v>147.71590853924945</v>
      </c>
      <c r="H1049" s="871">
        <f>'Peers Stock History'!I1052/'Peers Stock History'!I$1833*100</f>
        <v>188.18418766290185</v>
      </c>
      <c r="I1049" s="871">
        <f>'Peers Stock History'!J1052/'Peers Stock History'!J$1833*100</f>
        <v>123.13461743109502</v>
      </c>
      <c r="J1049" s="871">
        <f>'Peers Stock History'!K1052/'Peers Stock History'!K$1833*100</f>
        <v>136.41676862378512</v>
      </c>
    </row>
    <row r="1050" spans="2:10">
      <c r="B1050" s="870">
        <v>43561</v>
      </c>
      <c r="C1050" s="871">
        <f>'Peers Stock History'!D1053/'Peers Stock History'!D$1833*100</f>
        <v>154.23023578363387</v>
      </c>
      <c r="D1050" s="871">
        <f>'Peers Stock History'!E1053/'Peers Stock History'!E$1833*100</f>
        <v>175.18348623853211</v>
      </c>
      <c r="E1050" s="871">
        <f>'Peers Stock History'!F1053/'Peers Stock History'!F$1833*100</f>
        <v>217.89473684210526</v>
      </c>
      <c r="F1050" s="871">
        <f>'Peers Stock History'!G1053/'Peers Stock History'!G$1833*100</f>
        <v>130.24112500369483</v>
      </c>
      <c r="G1050" s="871">
        <f>'Peers Stock History'!H1053/'Peers Stock History'!H$1833*100</f>
        <v>147.71590853924945</v>
      </c>
      <c r="H1050" s="871">
        <f>'Peers Stock History'!I1053/'Peers Stock History'!I$1833*100</f>
        <v>188.18418766290185</v>
      </c>
      <c r="I1050" s="871">
        <f>'Peers Stock History'!J1053/'Peers Stock History'!J$1833*100</f>
        <v>123.13461743109502</v>
      </c>
      <c r="J1050" s="871">
        <f>'Peers Stock History'!K1053/'Peers Stock History'!K$1833*100</f>
        <v>136.41676862378512</v>
      </c>
    </row>
    <row r="1051" spans="2:10">
      <c r="B1051" s="870">
        <v>43560</v>
      </c>
      <c r="C1051" s="871">
        <f>'Peers Stock History'!D1054/'Peers Stock History'!D$1833*100</f>
        <v>154.23023578363387</v>
      </c>
      <c r="D1051" s="871">
        <f>'Peers Stock History'!E1054/'Peers Stock History'!E$1833*100</f>
        <v>175.18348623853211</v>
      </c>
      <c r="E1051" s="871">
        <f>'Peers Stock History'!F1054/'Peers Stock History'!F$1833*100</f>
        <v>217.89473684210526</v>
      </c>
      <c r="F1051" s="871">
        <f>'Peers Stock History'!G1054/'Peers Stock History'!G$1833*100</f>
        <v>130.24112500369483</v>
      </c>
      <c r="G1051" s="871">
        <f>'Peers Stock History'!H1054/'Peers Stock History'!H$1833*100</f>
        <v>147.71590853924945</v>
      </c>
      <c r="H1051" s="871">
        <f>'Peers Stock History'!I1054/'Peers Stock History'!I$1833*100</f>
        <v>188.18418766290185</v>
      </c>
      <c r="I1051" s="871">
        <f>'Peers Stock History'!J1054/'Peers Stock History'!J$1833*100</f>
        <v>123.13461743109502</v>
      </c>
      <c r="J1051" s="871">
        <f>'Peers Stock History'!K1054/'Peers Stock History'!K$1833*100</f>
        <v>136.41676862378512</v>
      </c>
    </row>
    <row r="1052" spans="2:10">
      <c r="B1052" s="870">
        <v>43559</v>
      </c>
      <c r="C1052" s="871">
        <f>'Peers Stock History'!D1055/'Peers Stock History'!D$1833*100</f>
        <v>155.11789181692095</v>
      </c>
      <c r="D1052" s="871">
        <f>'Peers Stock History'!E1055/'Peers Stock History'!E$1833*100</f>
        <v>172.71559633027522</v>
      </c>
      <c r="E1052" s="871">
        <f>'Peers Stock History'!F1055/'Peers Stock History'!F$1833*100</f>
        <v>218.72180451127815</v>
      </c>
      <c r="F1052" s="871">
        <f>'Peers Stock History'!G1055/'Peers Stock History'!G$1833*100</f>
        <v>130.24112500369483</v>
      </c>
      <c r="G1052" s="871">
        <f>'Peers Stock History'!H1055/'Peers Stock History'!H$1833*100</f>
        <v>146.60905869216953</v>
      </c>
      <c r="H1052" s="871">
        <f>'Peers Stock History'!I1055/'Peers Stock History'!I$1833*100</f>
        <v>186.31624674196351</v>
      </c>
      <c r="I1052" s="871">
        <f>'Peers Stock History'!J1055/'Peers Stock History'!J$1833*100</f>
        <v>122.56635096307332</v>
      </c>
      <c r="J1052" s="871">
        <f>'Peers Stock History'!K1055/'Peers Stock History'!K$1833*100</f>
        <v>135.61071168359842</v>
      </c>
    </row>
    <row r="1053" spans="2:10">
      <c r="B1053" s="870">
        <v>43558</v>
      </c>
      <c r="C1053" s="871">
        <f>'Peers Stock History'!D1056/'Peers Stock History'!D$1833*100</f>
        <v>153.89736477115119</v>
      </c>
      <c r="D1053" s="871">
        <f>'Peers Stock History'!E1056/'Peers Stock History'!E$1833*100</f>
        <v>173.04587155963301</v>
      </c>
      <c r="E1053" s="871">
        <f>'Peers Stock History'!F1056/'Peers Stock History'!F$1833*100</f>
        <v>218.19548872180451</v>
      </c>
      <c r="F1053" s="871">
        <f>'Peers Stock History'!G1056/'Peers Stock History'!G$1833*100</f>
        <v>130.24112500369483</v>
      </c>
      <c r="G1053" s="871">
        <f>'Peers Stock History'!H1056/'Peers Stock History'!H$1833*100</f>
        <v>147.67707170250981</v>
      </c>
      <c r="H1053" s="871">
        <f>'Peers Stock History'!I1056/'Peers Stock History'!I$1833*100</f>
        <v>190.70373588184188</v>
      </c>
      <c r="I1053" s="871">
        <f>'Peers Stock History'!J1056/'Peers Stock History'!J$1833*100</f>
        <v>122.31137597105459</v>
      </c>
      <c r="J1053" s="871">
        <f>'Peers Stock History'!K1056/'Peers Stock History'!K$1833*100</f>
        <v>135.6754773655197</v>
      </c>
    </row>
    <row r="1054" spans="2:10">
      <c r="B1054" s="870">
        <v>43557</v>
      </c>
      <c r="C1054" s="871">
        <f>'Peers Stock History'!D1057/'Peers Stock History'!D$1833*100</f>
        <v>150.79056865464634</v>
      </c>
      <c r="D1054" s="871">
        <f>'Peers Stock History'!E1057/'Peers Stock History'!E$1833*100</f>
        <v>167.88990825688072</v>
      </c>
      <c r="E1054" s="871">
        <f>'Peers Stock History'!F1057/'Peers Stock History'!F$1833*100</f>
        <v>201.12781954887217</v>
      </c>
      <c r="F1054" s="871">
        <f>'Peers Stock History'!G1057/'Peers Stock History'!G$1833*100</f>
        <v>129.77882791406387</v>
      </c>
      <c r="G1054" s="871">
        <f>'Peers Stock History'!H1057/'Peers Stock History'!H$1833*100</f>
        <v>147.1187921743774</v>
      </c>
      <c r="H1054" s="871">
        <f>'Peers Stock History'!I1057/'Peers Stock History'!I$1833*100</f>
        <v>184.36142484795829</v>
      </c>
      <c r="I1054" s="871">
        <f>'Peers Stock History'!J1057/'Peers Stock History'!J$1833*100</f>
        <v>122.04916462700861</v>
      </c>
      <c r="J1054" s="871">
        <f>'Peers Stock History'!K1057/'Peers Stock History'!K$1833*100</f>
        <v>134.87017651182933</v>
      </c>
    </row>
    <row r="1055" spans="2:10">
      <c r="B1055" s="870">
        <v>43556</v>
      </c>
      <c r="C1055" s="871">
        <f>'Peers Stock History'!D1058/'Peers Stock History'!D$1833*100</f>
        <v>151.20665742024966</v>
      </c>
      <c r="D1055" s="871">
        <f>'Peers Stock History'!E1058/'Peers Stock History'!E$1833*100</f>
        <v>167.22935779816515</v>
      </c>
      <c r="E1055" s="871">
        <f>'Peers Stock History'!F1058/'Peers Stock History'!F$1833*100</f>
        <v>198.19548872180451</v>
      </c>
      <c r="F1055" s="871">
        <f>'Peers Stock History'!G1058/'Peers Stock History'!G$1833*100</f>
        <v>129.7338323375422</v>
      </c>
      <c r="G1055" s="871">
        <f>'Peers Stock History'!H1058/'Peers Stock History'!H$1833*100</f>
        <v>148.44895383271032</v>
      </c>
      <c r="H1055" s="871">
        <f>'Peers Stock History'!I1058/'Peers Stock History'!I$1833*100</f>
        <v>183.53605560382275</v>
      </c>
      <c r="I1055" s="871">
        <f>'Peers Stock History'!J1058/'Peers Stock History'!J$1833*100</f>
        <v>122.04703628817708</v>
      </c>
      <c r="J1055" s="871">
        <f>'Peers Stock History'!K1058/'Peers Stock History'!K$1833*100</f>
        <v>134.53029844796063</v>
      </c>
    </row>
    <row r="1056" spans="2:10">
      <c r="B1056" s="870">
        <v>43555</v>
      </c>
      <c r="C1056" s="871">
        <f>'Peers Stock History'!D1059/'Peers Stock History'!D$1833*100</f>
        <v>148.9597780859917</v>
      </c>
      <c r="D1056" s="871">
        <f>'Peers Stock History'!E1059/'Peers Stock History'!E$1833*100</f>
        <v>164.73394495412845</v>
      </c>
      <c r="E1056" s="871">
        <f>'Peers Stock History'!F1059/'Peers Stock History'!F$1833*100</f>
        <v>191.87969924812029</v>
      </c>
      <c r="F1056" s="871">
        <f>'Peers Stock History'!G1059/'Peers Stock History'!G$1833*100</f>
        <v>129.50245025120179</v>
      </c>
      <c r="G1056" s="871">
        <f>'Peers Stock History'!H1059/'Peers Stock History'!H$1833*100</f>
        <v>145.98281469974268</v>
      </c>
      <c r="H1056" s="871">
        <f>'Peers Stock History'!I1059/'Peers Stock History'!I$1833*100</f>
        <v>179.53953084274542</v>
      </c>
      <c r="I1056" s="871">
        <f>'Peers Stock History'!J1059/'Peers Stock History'!J$1833*100</f>
        <v>120.65127168245185</v>
      </c>
      <c r="J1056" s="871">
        <f>'Peers Stock History'!K1059/'Peers Stock History'!K$1833*100</f>
        <v>132.81898258251655</v>
      </c>
    </row>
    <row r="1057" spans="2:10">
      <c r="B1057" s="870">
        <v>43554</v>
      </c>
      <c r="C1057" s="871">
        <f>'Peers Stock History'!D1060/'Peers Stock History'!D$1833*100</f>
        <v>148.9597780859917</v>
      </c>
      <c r="D1057" s="871">
        <f>'Peers Stock History'!E1060/'Peers Stock History'!E$1833*100</f>
        <v>164.73394495412845</v>
      </c>
      <c r="E1057" s="871">
        <f>'Peers Stock History'!F1060/'Peers Stock History'!F$1833*100</f>
        <v>191.87969924812029</v>
      </c>
      <c r="F1057" s="871">
        <f>'Peers Stock History'!G1060/'Peers Stock History'!G$1833*100</f>
        <v>129.50245025120179</v>
      </c>
      <c r="G1057" s="871">
        <f>'Peers Stock History'!H1060/'Peers Stock History'!H$1833*100</f>
        <v>145.98281469974268</v>
      </c>
      <c r="H1057" s="871">
        <f>'Peers Stock History'!I1060/'Peers Stock History'!I$1833*100</f>
        <v>179.53953084274542</v>
      </c>
      <c r="I1057" s="871">
        <f>'Peers Stock History'!J1060/'Peers Stock History'!J$1833*100</f>
        <v>120.65127168245185</v>
      </c>
      <c r="J1057" s="871">
        <f>'Peers Stock History'!K1060/'Peers Stock History'!K$1833*100</f>
        <v>132.81898258251655</v>
      </c>
    </row>
    <row r="1058" spans="2:10">
      <c r="B1058" s="870">
        <v>43553</v>
      </c>
      <c r="C1058" s="871">
        <f>'Peers Stock History'!D1061/'Peers Stock History'!D$1833*100</f>
        <v>148.9597780859917</v>
      </c>
      <c r="D1058" s="871">
        <f>'Peers Stock History'!E1061/'Peers Stock History'!E$1833*100</f>
        <v>164.73394495412845</v>
      </c>
      <c r="E1058" s="871">
        <f>'Peers Stock History'!F1061/'Peers Stock History'!F$1833*100</f>
        <v>191.87969924812029</v>
      </c>
      <c r="F1058" s="871">
        <f>'Peers Stock History'!G1061/'Peers Stock History'!G$1833*100</f>
        <v>129.50245025120179</v>
      </c>
      <c r="G1058" s="871">
        <f>'Peers Stock History'!H1061/'Peers Stock History'!H$1833*100</f>
        <v>145.98281469974268</v>
      </c>
      <c r="H1058" s="871">
        <f>'Peers Stock History'!I1061/'Peers Stock History'!I$1833*100</f>
        <v>179.53953084274542</v>
      </c>
      <c r="I1058" s="871">
        <f>'Peers Stock History'!J1061/'Peers Stock History'!J$1833*100</f>
        <v>120.65127168245185</v>
      </c>
      <c r="J1058" s="871">
        <f>'Peers Stock History'!K1061/'Peers Stock History'!K$1833*100</f>
        <v>132.81898258251655</v>
      </c>
    </row>
    <row r="1059" spans="2:10">
      <c r="B1059" s="870">
        <v>43552</v>
      </c>
      <c r="C1059" s="871">
        <f>'Peers Stock History'!D1062/'Peers Stock History'!D$1833*100</f>
        <v>147.3231622746186</v>
      </c>
      <c r="D1059" s="871">
        <f>'Peers Stock History'!E1062/'Peers Stock History'!E$1833*100</f>
        <v>162.61467889908258</v>
      </c>
      <c r="E1059" s="871">
        <f>'Peers Stock History'!F1062/'Peers Stock History'!F$1833*100</f>
        <v>188.42105263157893</v>
      </c>
      <c r="F1059" s="871">
        <f>'Peers Stock History'!G1062/'Peers Stock History'!G$1833*100</f>
        <v>127.57757966300606</v>
      </c>
      <c r="G1059" s="871">
        <f>'Peers Stock History'!H1062/'Peers Stock History'!H$1833*100</f>
        <v>145.18665954657993</v>
      </c>
      <c r="H1059" s="871">
        <f>'Peers Stock History'!I1062/'Peers Stock History'!I$1833*100</f>
        <v>170.89487402258908</v>
      </c>
      <c r="I1059" s="871">
        <f>'Peers Stock History'!J1062/'Peers Stock History'!J$1833*100</f>
        <v>119.84420559753113</v>
      </c>
      <c r="J1059" s="871">
        <f>'Peers Stock History'!K1062/'Peers Stock History'!K$1833*100</f>
        <v>131.785292055593</v>
      </c>
    </row>
    <row r="1060" spans="2:10">
      <c r="B1060" s="870">
        <v>43551</v>
      </c>
      <c r="C1060" s="871">
        <f>'Peers Stock History'!D1063/'Peers Stock History'!D$1833*100</f>
        <v>147.46185852981969</v>
      </c>
      <c r="D1060" s="871">
        <f>'Peers Stock History'!E1063/'Peers Stock History'!E$1833*100</f>
        <v>161.92660550458714</v>
      </c>
      <c r="E1060" s="871">
        <f>'Peers Stock History'!F1063/'Peers Stock History'!F$1833*100</f>
        <v>187.14285714285714</v>
      </c>
      <c r="F1060" s="871">
        <f>'Peers Stock History'!G1063/'Peers Stock History'!G$1833*100</f>
        <v>127.27686703096543</v>
      </c>
      <c r="G1060" s="871">
        <f>'Peers Stock History'!H1063/'Peers Stock History'!H$1833*100</f>
        <v>143.68173212291859</v>
      </c>
      <c r="H1060" s="871">
        <f>'Peers Stock History'!I1063/'Peers Stock History'!I$1833*100</f>
        <v>170.41702867072109</v>
      </c>
      <c r="I1060" s="871">
        <f>'Peers Stock History'!J1063/'Peers Stock History'!J$1833*100</f>
        <v>119.41555815685857</v>
      </c>
      <c r="J1060" s="871">
        <f>'Peers Stock History'!K1063/'Peers Stock History'!K$1833*100</f>
        <v>131.34213944984398</v>
      </c>
    </row>
    <row r="1061" spans="2:10">
      <c r="B1061" s="870">
        <v>43550</v>
      </c>
      <c r="C1061" s="871">
        <f>'Peers Stock History'!D1064/'Peers Stock History'!D$1833*100</f>
        <v>148.2385575589459</v>
      </c>
      <c r="D1061" s="871">
        <f>'Peers Stock History'!E1064/'Peers Stock History'!E$1833*100</f>
        <v>162.26605504587158</v>
      </c>
      <c r="E1061" s="871">
        <f>'Peers Stock History'!F1064/'Peers Stock History'!F$1833*100</f>
        <v>193.15789473684211</v>
      </c>
      <c r="F1061" s="871">
        <f>'Peers Stock History'!G1064/'Peers Stock History'!G$1833*100</f>
        <v>128.70701926767308</v>
      </c>
      <c r="G1061" s="871">
        <f>'Peers Stock History'!H1064/'Peers Stock History'!H$1833*100</f>
        <v>144.19632020971892</v>
      </c>
      <c r="H1061" s="871">
        <f>'Peers Stock History'!I1064/'Peers Stock History'!I$1833*100</f>
        <v>175.15204170286708</v>
      </c>
      <c r="I1061" s="871">
        <f>'Peers Stock History'!J1064/'Peers Stock History'!J$1833*100</f>
        <v>119.97275726295626</v>
      </c>
      <c r="J1061" s="871">
        <f>'Peers Stock History'!K1064/'Peers Stock History'!K$1833*100</f>
        <v>132.16945273084696</v>
      </c>
    </row>
    <row r="1062" spans="2:10">
      <c r="B1062" s="870">
        <v>43549</v>
      </c>
      <c r="C1062" s="871">
        <f>'Peers Stock History'!D1065/'Peers Stock History'!D$1833*100</f>
        <v>146.40776699029126</v>
      </c>
      <c r="D1062" s="871">
        <f>'Peers Stock History'!E1065/'Peers Stock History'!E$1833*100</f>
        <v>159.43119266055047</v>
      </c>
      <c r="E1062" s="871">
        <f>'Peers Stock History'!F1065/'Peers Stock History'!F$1833*100</f>
        <v>195.26315789473682</v>
      </c>
      <c r="F1062" s="871">
        <f>'Peers Stock History'!G1065/'Peers Stock History'!G$1833*100</f>
        <v>127.42548744008371</v>
      </c>
      <c r="G1062" s="871">
        <f>'Peers Stock History'!H1065/'Peers Stock History'!H$1833*100</f>
        <v>141.83212777319287</v>
      </c>
      <c r="H1062" s="871">
        <f>'Peers Stock History'!I1065/'Peers Stock History'!I$1833*100</f>
        <v>176.15117289313639</v>
      </c>
      <c r="I1062" s="871">
        <f>'Peers Stock History'!J1065/'Peers Stock History'!J$1833*100</f>
        <v>119.1171650526764</v>
      </c>
      <c r="J1062" s="871">
        <f>'Peers Stock History'!K1065/'Peers Stock History'!K$1833*100</f>
        <v>131.24185488638082</v>
      </c>
    </row>
    <row r="1063" spans="2:10">
      <c r="B1063" s="870">
        <v>43548</v>
      </c>
      <c r="C1063" s="871">
        <f>'Peers Stock History'!D1066/'Peers Stock History'!D$1833*100</f>
        <v>147.73925104022192</v>
      </c>
      <c r="D1063" s="871">
        <f>'Peers Stock History'!E1066/'Peers Stock History'!E$1833*100</f>
        <v>162.8440366972477</v>
      </c>
      <c r="E1063" s="871">
        <f>'Peers Stock History'!F1066/'Peers Stock History'!F$1833*100</f>
        <v>198.27067669172934</v>
      </c>
      <c r="F1063" s="871">
        <f>'Peers Stock History'!G1066/'Peers Stock History'!G$1833*100</f>
        <v>130.9660515825876</v>
      </c>
      <c r="G1063" s="871">
        <f>'Peers Stock History'!H1066/'Peers Stock History'!H$1833*100</f>
        <v>142.07000339822321</v>
      </c>
      <c r="H1063" s="871">
        <f>'Peers Stock History'!I1066/'Peers Stock History'!I$1833*100</f>
        <v>180.79930495221546</v>
      </c>
      <c r="I1063" s="871">
        <f>'Peers Stock History'!J1066/'Peers Stock History'!J$1833*100</f>
        <v>119.21719697775886</v>
      </c>
      <c r="J1063" s="871">
        <f>'Peers Stock History'!K1066/'Peers Stock History'!K$1833*100</f>
        <v>131.32993896319923</v>
      </c>
    </row>
    <row r="1064" spans="2:10">
      <c r="B1064" s="870">
        <v>43547</v>
      </c>
      <c r="C1064" s="871">
        <f>'Peers Stock History'!D1067/'Peers Stock History'!D$1833*100</f>
        <v>147.73925104022192</v>
      </c>
      <c r="D1064" s="871">
        <f>'Peers Stock History'!E1067/'Peers Stock History'!E$1833*100</f>
        <v>162.8440366972477</v>
      </c>
      <c r="E1064" s="871">
        <f>'Peers Stock History'!F1067/'Peers Stock History'!F$1833*100</f>
        <v>198.27067669172934</v>
      </c>
      <c r="F1064" s="871">
        <f>'Peers Stock History'!G1067/'Peers Stock History'!G$1833*100</f>
        <v>130.9660515825876</v>
      </c>
      <c r="G1064" s="871">
        <f>'Peers Stock History'!H1067/'Peers Stock History'!H$1833*100</f>
        <v>142.07000339822321</v>
      </c>
      <c r="H1064" s="871">
        <f>'Peers Stock History'!I1067/'Peers Stock History'!I$1833*100</f>
        <v>180.79930495221546</v>
      </c>
      <c r="I1064" s="871">
        <f>'Peers Stock History'!J1067/'Peers Stock History'!J$1833*100</f>
        <v>119.21719697775886</v>
      </c>
      <c r="J1064" s="871">
        <f>'Peers Stock History'!K1067/'Peers Stock History'!K$1833*100</f>
        <v>131.32993896319923</v>
      </c>
    </row>
    <row r="1065" spans="2:10">
      <c r="B1065" s="870">
        <v>43546</v>
      </c>
      <c r="C1065" s="871">
        <f>'Peers Stock History'!D1068/'Peers Stock History'!D$1833*100</f>
        <v>147.73925104022192</v>
      </c>
      <c r="D1065" s="871">
        <f>'Peers Stock History'!E1068/'Peers Stock History'!E$1833*100</f>
        <v>162.8440366972477</v>
      </c>
      <c r="E1065" s="871">
        <f>'Peers Stock History'!F1068/'Peers Stock History'!F$1833*100</f>
        <v>198.27067669172934</v>
      </c>
      <c r="F1065" s="871">
        <f>'Peers Stock History'!G1068/'Peers Stock History'!G$1833*100</f>
        <v>130.9660515825876</v>
      </c>
      <c r="G1065" s="871">
        <f>'Peers Stock History'!H1068/'Peers Stock History'!H$1833*100</f>
        <v>142.07000339822321</v>
      </c>
      <c r="H1065" s="871">
        <f>'Peers Stock History'!I1068/'Peers Stock History'!I$1833*100</f>
        <v>180.79930495221546</v>
      </c>
      <c r="I1065" s="871">
        <f>'Peers Stock History'!J1068/'Peers Stock History'!J$1833*100</f>
        <v>119.21719697775886</v>
      </c>
      <c r="J1065" s="871">
        <f>'Peers Stock History'!K1068/'Peers Stock History'!K$1833*100</f>
        <v>131.32993896319923</v>
      </c>
    </row>
    <row r="1066" spans="2:10">
      <c r="B1066" s="870">
        <v>43545</v>
      </c>
      <c r="C1066" s="871">
        <f>'Peers Stock History'!D1069/'Peers Stock History'!D$1833*100</f>
        <v>151.56726768377254</v>
      </c>
      <c r="D1066" s="871">
        <f>'Peers Stock History'!E1069/'Peers Stock History'!E$1833*100</f>
        <v>168.75229357798165</v>
      </c>
      <c r="E1066" s="871">
        <f>'Peers Stock History'!F1069/'Peers Stock History'!F$1833*100</f>
        <v>209.69924812030075</v>
      </c>
      <c r="F1066" s="871">
        <f>'Peers Stock History'!G1069/'Peers Stock History'!G$1833*100</f>
        <v>129.67485666936921</v>
      </c>
      <c r="G1066" s="871">
        <f>'Peers Stock History'!H1069/'Peers Stock History'!H$1833*100</f>
        <v>144.08466430409243</v>
      </c>
      <c r="H1066" s="871">
        <f>'Peers Stock History'!I1069/'Peers Stock History'!I$1833*100</f>
        <v>191.09470026064292</v>
      </c>
      <c r="I1066" s="871">
        <f>'Peers Stock History'!J1069/'Peers Stock History'!J$1833*100</f>
        <v>121.52303926785144</v>
      </c>
      <c r="J1066" s="871">
        <f>'Peers Stock History'!K1069/'Peers Stock History'!K$1833*100</f>
        <v>134.70297829344403</v>
      </c>
    </row>
    <row r="1067" spans="2:10">
      <c r="B1067" s="870">
        <v>43544</v>
      </c>
      <c r="C1067" s="871">
        <f>'Peers Stock History'!D1070/'Peers Stock History'!D$1833*100</f>
        <v>149.29264909847436</v>
      </c>
      <c r="D1067" s="871">
        <f>'Peers Stock History'!E1070/'Peers Stock History'!E$1833*100</f>
        <v>160</v>
      </c>
      <c r="E1067" s="871">
        <f>'Peers Stock History'!F1070/'Peers Stock History'!F$1833*100</f>
        <v>193.23308270676691</v>
      </c>
      <c r="F1067" s="871">
        <f>'Peers Stock History'!G1070/'Peers Stock History'!G$1833*100</f>
        <v>128.06732085173152</v>
      </c>
      <c r="G1067" s="871">
        <f>'Peers Stock History'!H1070/'Peers Stock History'!H$1833*100</f>
        <v>141.28355745424531</v>
      </c>
      <c r="H1067" s="871">
        <f>'Peers Stock History'!I1070/'Peers Stock History'!I$1833*100</f>
        <v>174.32667245873154</v>
      </c>
      <c r="I1067" s="871">
        <f>'Peers Stock History'!J1070/'Peers Stock History'!J$1833*100</f>
        <v>120.21836756411621</v>
      </c>
      <c r="J1067" s="871">
        <f>'Peers Stock History'!K1070/'Peers Stock History'!K$1833*100</f>
        <v>132.81291670676217</v>
      </c>
    </row>
    <row r="1068" spans="2:10">
      <c r="B1068" s="870">
        <v>43543</v>
      </c>
      <c r="C1068" s="871">
        <f>'Peers Stock History'!D1071/'Peers Stock History'!D$1833*100</f>
        <v>150.26352288488212</v>
      </c>
      <c r="D1068" s="871">
        <f>'Peers Stock History'!E1071/'Peers Stock History'!E$1833*100</f>
        <v>161.20183486238534</v>
      </c>
      <c r="E1068" s="871">
        <f>'Peers Stock History'!F1071/'Peers Stock History'!F$1833*100</f>
        <v>195.48872180451127</v>
      </c>
      <c r="F1068" s="871">
        <f>'Peers Stock History'!G1071/'Peers Stock History'!G$1833*100</f>
        <v>127.02557167474859</v>
      </c>
      <c r="G1068" s="871">
        <f>'Peers Stock History'!H1071/'Peers Stock History'!H$1833*100</f>
        <v>145.30317005679888</v>
      </c>
      <c r="H1068" s="871">
        <f>'Peers Stock History'!I1071/'Peers Stock History'!I$1833*100</f>
        <v>175.36924413553433</v>
      </c>
      <c r="I1068" s="871">
        <f>'Peers Stock History'!J1071/'Peers Stock History'!J$1833*100</f>
        <v>120.57337448121741</v>
      </c>
      <c r="J1068" s="871">
        <f>'Peers Stock History'!K1071/'Peers Stock History'!K$1833*100</f>
        <v>132.72661974348048</v>
      </c>
    </row>
    <row r="1069" spans="2:10">
      <c r="B1069" s="870">
        <v>43542</v>
      </c>
      <c r="C1069" s="871">
        <f>'Peers Stock History'!D1072/'Peers Stock History'!D$1833*100</f>
        <v>150.06934812760056</v>
      </c>
      <c r="D1069" s="871">
        <f>'Peers Stock History'!E1072/'Peers Stock History'!E$1833*100</f>
        <v>154.99999999999997</v>
      </c>
      <c r="E1069" s="871">
        <f>'Peers Stock History'!F1072/'Peers Stock History'!F$1833*100</f>
        <v>174.81203007518795</v>
      </c>
      <c r="F1069" s="871">
        <f>'Peers Stock History'!G1072/'Peers Stock History'!G$1833*100</f>
        <v>127.42619059657349</v>
      </c>
      <c r="G1069" s="871">
        <f>'Peers Stock History'!H1072/'Peers Stock History'!H$1833*100</f>
        <v>142.64770134472548</v>
      </c>
      <c r="H1069" s="871">
        <f>'Peers Stock History'!I1072/'Peers Stock History'!I$1833*100</f>
        <v>172.06776715899218</v>
      </c>
      <c r="I1069" s="871">
        <f>'Peers Stock History'!J1072/'Peers Stock History'!J$1833*100</f>
        <v>120.58912418857082</v>
      </c>
      <c r="J1069" s="871">
        <f>'Peers Stock History'!K1072/'Peers Stock History'!K$1833*100</f>
        <v>132.56392367650497</v>
      </c>
    </row>
    <row r="1070" spans="2:10">
      <c r="B1070" s="870">
        <v>43541</v>
      </c>
      <c r="C1070" s="871">
        <f>'Peers Stock History'!D1073/'Peers Stock History'!D$1833*100</f>
        <v>150.70735090152567</v>
      </c>
      <c r="D1070" s="871">
        <f>'Peers Stock History'!E1073/'Peers Stock History'!E$1833*100</f>
        <v>155.78899082568807</v>
      </c>
      <c r="E1070" s="871">
        <f>'Peers Stock History'!F1073/'Peers Stock History'!F$1833*100</f>
        <v>175.1127819548872</v>
      </c>
      <c r="F1070" s="871">
        <f>'Peers Stock History'!G1073/'Peers Stock History'!G$1833*100</f>
        <v>126.02871368147386</v>
      </c>
      <c r="G1070" s="871">
        <f>'Peers Stock History'!H1073/'Peers Stock History'!H$1833*100</f>
        <v>140.92431671440363</v>
      </c>
      <c r="H1070" s="871">
        <f>'Peers Stock History'!I1073/'Peers Stock History'!I$1833*100</f>
        <v>171.76368375325802</v>
      </c>
      <c r="I1070" s="871">
        <f>'Peers Stock History'!J1073/'Peers Stock History'!J$1833*100</f>
        <v>120.14387570501223</v>
      </c>
      <c r="J1070" s="871">
        <f>'Peers Stock History'!K1073/'Peers Stock History'!K$1833*100</f>
        <v>132.11798729774685</v>
      </c>
    </row>
    <row r="1071" spans="2:10">
      <c r="B1071" s="870">
        <v>43540</v>
      </c>
      <c r="C1071" s="871">
        <f>'Peers Stock History'!D1074/'Peers Stock History'!D$1833*100</f>
        <v>150.70735090152567</v>
      </c>
      <c r="D1071" s="871">
        <f>'Peers Stock History'!E1074/'Peers Stock History'!E$1833*100</f>
        <v>155.78899082568807</v>
      </c>
      <c r="E1071" s="871">
        <f>'Peers Stock History'!F1074/'Peers Stock History'!F$1833*100</f>
        <v>175.1127819548872</v>
      </c>
      <c r="F1071" s="871">
        <f>'Peers Stock History'!G1074/'Peers Stock History'!G$1833*100</f>
        <v>126.02871368147386</v>
      </c>
      <c r="G1071" s="871">
        <f>'Peers Stock History'!H1074/'Peers Stock History'!H$1833*100</f>
        <v>140.92431671440363</v>
      </c>
      <c r="H1071" s="871">
        <f>'Peers Stock History'!I1074/'Peers Stock History'!I$1833*100</f>
        <v>171.76368375325802</v>
      </c>
      <c r="I1071" s="871">
        <f>'Peers Stock History'!J1074/'Peers Stock History'!J$1833*100</f>
        <v>120.14387570501223</v>
      </c>
      <c r="J1071" s="871">
        <f>'Peers Stock History'!K1074/'Peers Stock History'!K$1833*100</f>
        <v>132.11798729774685</v>
      </c>
    </row>
    <row r="1072" spans="2:10">
      <c r="B1072" s="870">
        <v>43539</v>
      </c>
      <c r="C1072" s="871">
        <f>'Peers Stock History'!D1075/'Peers Stock History'!D$1833*100</f>
        <v>150.70735090152567</v>
      </c>
      <c r="D1072" s="871">
        <f>'Peers Stock History'!E1075/'Peers Stock History'!E$1833*100</f>
        <v>155.78899082568807</v>
      </c>
      <c r="E1072" s="871">
        <f>'Peers Stock History'!F1075/'Peers Stock History'!F$1833*100</f>
        <v>175.1127819548872</v>
      </c>
      <c r="F1072" s="871">
        <f>'Peers Stock History'!G1075/'Peers Stock History'!G$1833*100</f>
        <v>126.02871368147386</v>
      </c>
      <c r="G1072" s="871">
        <f>'Peers Stock History'!H1075/'Peers Stock History'!H$1833*100</f>
        <v>140.92431671440363</v>
      </c>
      <c r="H1072" s="871">
        <f>'Peers Stock History'!I1075/'Peers Stock History'!I$1833*100</f>
        <v>171.76368375325802</v>
      </c>
      <c r="I1072" s="871">
        <f>'Peers Stock History'!J1075/'Peers Stock History'!J$1833*100</f>
        <v>120.14387570501223</v>
      </c>
      <c r="J1072" s="871">
        <f>'Peers Stock History'!K1075/'Peers Stock History'!K$1833*100</f>
        <v>132.11798729774685</v>
      </c>
    </row>
    <row r="1073" spans="2:10">
      <c r="B1073" s="870">
        <v>43538</v>
      </c>
      <c r="C1073" s="871">
        <f>'Peers Stock History'!D1076/'Peers Stock History'!D$1833*100</f>
        <v>148.2385575589459</v>
      </c>
      <c r="D1073" s="871">
        <f>'Peers Stock History'!E1076/'Peers Stock History'!E$1833*100</f>
        <v>151.88990825688074</v>
      </c>
      <c r="E1073" s="871">
        <f>'Peers Stock History'!F1076/'Peers Stock History'!F$1833*100</f>
        <v>171.57894736842104</v>
      </c>
      <c r="F1073" s="871">
        <f>'Peers Stock History'!G1076/'Peers Stock History'!G$1833*100</f>
        <v>123.38780590656641</v>
      </c>
      <c r="G1073" s="871">
        <f>'Peers Stock History'!H1076/'Peers Stock History'!H$1833*100</f>
        <v>130.20049516966844</v>
      </c>
      <c r="H1073" s="871">
        <f>'Peers Stock History'!I1076/'Peers Stock History'!I$1833*100</f>
        <v>166.85490877497827</v>
      </c>
      <c r="I1073" s="871">
        <f>'Peers Stock History'!J1076/'Peers Stock History'!J$1833*100</f>
        <v>119.54794083218047</v>
      </c>
      <c r="J1073" s="871">
        <f>'Peers Stock History'!K1076/'Peers Stock History'!K$1833*100</f>
        <v>131.12790921463233</v>
      </c>
    </row>
    <row r="1074" spans="2:10">
      <c r="B1074" s="870">
        <v>43537</v>
      </c>
      <c r="C1074" s="871">
        <f>'Peers Stock History'!D1077/'Peers Stock History'!D$1833*100</f>
        <v>150.81830790568657</v>
      </c>
      <c r="D1074" s="871">
        <f>'Peers Stock History'!E1077/'Peers Stock History'!E$1833*100</f>
        <v>154.69724770642202</v>
      </c>
      <c r="E1074" s="871">
        <f>'Peers Stock History'!F1077/'Peers Stock History'!F$1833*100</f>
        <v>175.78947368421052</v>
      </c>
      <c r="F1074" s="871">
        <f>'Peers Stock History'!G1077/'Peers Stock History'!G$1833*100</f>
        <v>124.78396545913388</v>
      </c>
      <c r="G1074" s="871">
        <f>'Peers Stock History'!H1077/'Peers Stock History'!H$1833*100</f>
        <v>131.66173115199766</v>
      </c>
      <c r="H1074" s="871">
        <f>'Peers Stock History'!I1077/'Peers Stock History'!I$1833*100</f>
        <v>168.67940920938312</v>
      </c>
      <c r="I1074" s="871">
        <f>'Peers Stock History'!J1077/'Peers Stock History'!J$1833*100</f>
        <v>119.65180376715973</v>
      </c>
      <c r="J1074" s="871">
        <f>'Peers Stock History'!K1077/'Peers Stock History'!K$1833*100</f>
        <v>131.34262059579615</v>
      </c>
    </row>
    <row r="1075" spans="2:10">
      <c r="B1075" s="870">
        <v>43536</v>
      </c>
      <c r="C1075" s="871">
        <f>'Peers Stock History'!D1078/'Peers Stock History'!D$1833*100</f>
        <v>148.59916782246881</v>
      </c>
      <c r="D1075" s="871">
        <f>'Peers Stock History'!E1078/'Peers Stock History'!E$1833*100</f>
        <v>149.10091743119267</v>
      </c>
      <c r="E1075" s="871">
        <f>'Peers Stock History'!F1078/'Peers Stock History'!F$1833*100</f>
        <v>176.61654135338344</v>
      </c>
      <c r="F1075" s="871">
        <f>'Peers Stock History'!G1078/'Peers Stock History'!G$1833*100</f>
        <v>124.0142631567318</v>
      </c>
      <c r="G1075" s="871">
        <f>'Peers Stock History'!H1078/'Peers Stock History'!H$1833*100</f>
        <v>130.89470362638963</v>
      </c>
      <c r="H1075" s="871">
        <f>'Peers Stock History'!I1078/'Peers Stock History'!I$1833*100</f>
        <v>170.50390964378801</v>
      </c>
      <c r="I1075" s="871">
        <f>'Peers Stock History'!J1078/'Peers Stock History'!J$1833*100</f>
        <v>118.82600830052144</v>
      </c>
      <c r="J1075" s="871">
        <f>'Peers Stock History'!K1078/'Peers Stock History'!K$1833*100</f>
        <v>130.44263709222881</v>
      </c>
    </row>
    <row r="1076" spans="2:10">
      <c r="B1076" s="870">
        <v>43535</v>
      </c>
      <c r="C1076" s="871">
        <f>'Peers Stock History'!D1079/'Peers Stock History'!D$1833*100</f>
        <v>147.98890429958394</v>
      </c>
      <c r="D1076" s="871">
        <f>'Peers Stock History'!E1079/'Peers Stock History'!E$1833*100</f>
        <v>147.83486238532109</v>
      </c>
      <c r="E1076" s="871">
        <f>'Peers Stock History'!F1079/'Peers Stock History'!F$1833*100</f>
        <v>172.63157894736844</v>
      </c>
      <c r="F1076" s="871">
        <f>'Peers Stock History'!G1079/'Peers Stock History'!G$1833*100</f>
        <v>121.35769247301104</v>
      </c>
      <c r="G1076" s="871">
        <f>'Peers Stock History'!H1079/'Peers Stock History'!H$1833*100</f>
        <v>130.61799116461964</v>
      </c>
      <c r="H1076" s="871">
        <f>'Peers Stock History'!I1079/'Peers Stock History'!I$1833*100</f>
        <v>169.54821894005215</v>
      </c>
      <c r="I1076" s="871">
        <f>'Peers Stock History'!J1079/'Peers Stock History'!J$1833*100</f>
        <v>118.47610939661595</v>
      </c>
      <c r="J1076" s="871">
        <f>'Peers Stock History'!K1079/'Peers Stock History'!K$1833*100</f>
        <v>129.87613928487966</v>
      </c>
    </row>
    <row r="1077" spans="2:10">
      <c r="B1077" s="870">
        <v>43534</v>
      </c>
      <c r="C1077" s="871">
        <f>'Peers Stock History'!D1080/'Peers Stock History'!D$1833*100</f>
        <v>145.5755894590846</v>
      </c>
      <c r="D1077" s="871">
        <f>'Peers Stock History'!E1080/'Peers Stock History'!E$1833*100</f>
        <v>138.20183486238531</v>
      </c>
      <c r="E1077" s="871">
        <f>'Peers Stock History'!F1080/'Peers Stock History'!F$1833*100</f>
        <v>165.48872180451127</v>
      </c>
      <c r="F1077" s="871">
        <f>'Peers Stock History'!G1080/'Peers Stock History'!G$1833*100</f>
        <v>121.10228277892958</v>
      </c>
      <c r="G1077" s="871">
        <f>'Peers Stock History'!H1080/'Peers Stock History'!H$1833*100</f>
        <v>128.25379872809359</v>
      </c>
      <c r="H1077" s="871">
        <f>'Peers Stock History'!I1080/'Peers Stock History'!I$1833*100</f>
        <v>167.89748045178106</v>
      </c>
      <c r="I1077" s="871">
        <f>'Peers Stock History'!J1080/'Peers Stock History'!J$1833*100</f>
        <v>116.76364797275727</v>
      </c>
      <c r="J1077" s="871">
        <f>'Peers Stock History'!K1080/'Peers Stock History'!K$1833*100</f>
        <v>127.29991201902588</v>
      </c>
    </row>
    <row r="1078" spans="2:10">
      <c r="B1078" s="870">
        <v>43533</v>
      </c>
      <c r="C1078" s="871">
        <f>'Peers Stock History'!D1081/'Peers Stock History'!D$1833*100</f>
        <v>145.5755894590846</v>
      </c>
      <c r="D1078" s="871">
        <f>'Peers Stock History'!E1081/'Peers Stock History'!E$1833*100</f>
        <v>138.20183486238531</v>
      </c>
      <c r="E1078" s="871">
        <f>'Peers Stock History'!F1081/'Peers Stock History'!F$1833*100</f>
        <v>165.48872180451127</v>
      </c>
      <c r="F1078" s="871">
        <f>'Peers Stock History'!G1081/'Peers Stock History'!G$1833*100</f>
        <v>121.10228277892958</v>
      </c>
      <c r="G1078" s="871">
        <f>'Peers Stock History'!H1081/'Peers Stock History'!H$1833*100</f>
        <v>128.25379872809359</v>
      </c>
      <c r="H1078" s="871">
        <f>'Peers Stock History'!I1081/'Peers Stock History'!I$1833*100</f>
        <v>167.89748045178106</v>
      </c>
      <c r="I1078" s="871">
        <f>'Peers Stock History'!J1081/'Peers Stock History'!J$1833*100</f>
        <v>116.76364797275727</v>
      </c>
      <c r="J1078" s="871">
        <f>'Peers Stock History'!K1081/'Peers Stock History'!K$1833*100</f>
        <v>127.29991201902588</v>
      </c>
    </row>
    <row r="1079" spans="2:10">
      <c r="B1079" s="870">
        <v>43532</v>
      </c>
      <c r="C1079" s="871">
        <f>'Peers Stock History'!D1082/'Peers Stock History'!D$1833*100</f>
        <v>145.5755894590846</v>
      </c>
      <c r="D1079" s="871">
        <f>'Peers Stock History'!E1082/'Peers Stock History'!E$1833*100</f>
        <v>138.20183486238531</v>
      </c>
      <c r="E1079" s="871">
        <f>'Peers Stock History'!F1082/'Peers Stock History'!F$1833*100</f>
        <v>165.48872180451127</v>
      </c>
      <c r="F1079" s="871">
        <f>'Peers Stock History'!G1082/'Peers Stock History'!G$1833*100</f>
        <v>121.10228277892958</v>
      </c>
      <c r="G1079" s="871">
        <f>'Peers Stock History'!H1082/'Peers Stock History'!H$1833*100</f>
        <v>128.25379872809359</v>
      </c>
      <c r="H1079" s="871">
        <f>'Peers Stock History'!I1082/'Peers Stock History'!I$1833*100</f>
        <v>167.89748045178106</v>
      </c>
      <c r="I1079" s="871">
        <f>'Peers Stock History'!J1082/'Peers Stock History'!J$1833*100</f>
        <v>116.76364797275727</v>
      </c>
      <c r="J1079" s="871">
        <f>'Peers Stock History'!K1082/'Peers Stock History'!K$1833*100</f>
        <v>127.29991201902588</v>
      </c>
    </row>
    <row r="1080" spans="2:10">
      <c r="B1080" s="870">
        <v>43531</v>
      </c>
      <c r="C1080" s="871">
        <f>'Peers Stock History'!D1083/'Peers Stock History'!D$1833*100</f>
        <v>145.90846047156728</v>
      </c>
      <c r="D1080" s="871">
        <f>'Peers Stock History'!E1083/'Peers Stock History'!E$1833*100</f>
        <v>136.93577981651376</v>
      </c>
      <c r="E1080" s="871">
        <f>'Peers Stock History'!F1083/'Peers Stock History'!F$1833*100</f>
        <v>166.01503759398494</v>
      </c>
      <c r="F1080" s="871">
        <f>'Peers Stock History'!G1083/'Peers Stock History'!G$1833*100</f>
        <v>123.16854261523409</v>
      </c>
      <c r="G1080" s="871">
        <f>'Peers Stock History'!H1083/'Peers Stock History'!H$1833*100</f>
        <v>128.89460653429776</v>
      </c>
      <c r="H1080" s="871">
        <f>'Peers Stock History'!I1083/'Peers Stock History'!I$1833*100</f>
        <v>164.33536055603821</v>
      </c>
      <c r="I1080" s="871">
        <f>'Peers Stock History'!J1083/'Peers Stock History'!J$1833*100</f>
        <v>117.01308928381397</v>
      </c>
      <c r="J1080" s="871">
        <f>'Peers Stock History'!K1083/'Peers Stock History'!K$1833*100</f>
        <v>127.52883438956326</v>
      </c>
    </row>
    <row r="1081" spans="2:10">
      <c r="B1081" s="870">
        <v>43530</v>
      </c>
      <c r="C1081" s="871">
        <f>'Peers Stock History'!D1084/'Peers Stock History'!D$1833*100</f>
        <v>146.87933425797505</v>
      </c>
      <c r="D1081" s="871">
        <f>'Peers Stock History'!E1084/'Peers Stock History'!E$1833*100</f>
        <v>139.49541284403671</v>
      </c>
      <c r="E1081" s="871">
        <f>'Peers Stock History'!F1084/'Peers Stock History'!F$1833*100</f>
        <v>168.49624060150376</v>
      </c>
      <c r="F1081" s="871">
        <f>'Peers Stock History'!G1084/'Peers Stock History'!G$1833*100</f>
        <v>123.47618429751557</v>
      </c>
      <c r="G1081" s="871">
        <f>'Peers Stock History'!H1084/'Peers Stock History'!H$1833*100</f>
        <v>131.72969561629208</v>
      </c>
      <c r="H1081" s="871">
        <f>'Peers Stock History'!I1084/'Peers Stock History'!I$1833*100</f>
        <v>164.76976542137271</v>
      </c>
      <c r="I1081" s="871">
        <f>'Peers Stock History'!J1084/'Peers Stock History'!J$1833*100</f>
        <v>117.97169309354048</v>
      </c>
      <c r="J1081" s="871">
        <f>'Peers Stock History'!K1084/'Peers Stock History'!K$1833*100</f>
        <v>128.98010805163383</v>
      </c>
    </row>
    <row r="1082" spans="2:10">
      <c r="B1082" s="870">
        <v>43529</v>
      </c>
      <c r="C1082" s="871">
        <f>'Peers Stock History'!D1085/'Peers Stock History'!D$1833*100</f>
        <v>148.90429958391124</v>
      </c>
      <c r="D1082" s="871">
        <f>'Peers Stock History'!E1085/'Peers Stock History'!E$1833*100</f>
        <v>143.59633027522938</v>
      </c>
      <c r="E1082" s="871">
        <f>'Peers Stock History'!F1085/'Peers Stock History'!F$1833*100</f>
        <v>176.69172932330827</v>
      </c>
      <c r="F1082" s="871">
        <f>'Peers Stock History'!G1085/'Peers Stock History'!G$1833*100</f>
        <v>122.93654483333705</v>
      </c>
      <c r="G1082" s="871">
        <f>'Peers Stock History'!H1085/'Peers Stock History'!H$1833*100</f>
        <v>134.4774018156221</v>
      </c>
      <c r="H1082" s="871">
        <f>'Peers Stock History'!I1085/'Peers Stock History'!I$1833*100</f>
        <v>173.71850564726324</v>
      </c>
      <c r="I1082" s="871">
        <f>'Peers Stock History'!J1085/'Peers Stock History'!J$1833*100</f>
        <v>118.74640842822177</v>
      </c>
      <c r="J1082" s="871">
        <f>'Peers Stock History'!K1085/'Peers Stock History'!K$1833*100</f>
        <v>130.19055098085039</v>
      </c>
    </row>
    <row r="1083" spans="2:10">
      <c r="B1083" s="870">
        <v>43528</v>
      </c>
      <c r="C1083" s="871">
        <f>'Peers Stock History'!D1086/'Peers Stock History'!D$1833*100</f>
        <v>149.62552011095701</v>
      </c>
      <c r="D1083" s="871">
        <f>'Peers Stock History'!E1086/'Peers Stock History'!E$1833*100</f>
        <v>143.83486238532112</v>
      </c>
      <c r="E1083" s="871">
        <f>'Peers Stock History'!F1086/'Peers Stock History'!F$1833*100</f>
        <v>175.71428571428572</v>
      </c>
      <c r="F1083" s="871">
        <f>'Peers Stock History'!G1086/'Peers Stock History'!G$1833*100</f>
        <v>124.28785657381192</v>
      </c>
      <c r="G1083" s="871">
        <f>'Peers Stock History'!H1086/'Peers Stock History'!H$1833*100</f>
        <v>133.44822564202144</v>
      </c>
      <c r="H1083" s="871">
        <f>'Peers Stock History'!I1086/'Peers Stock History'!I$1833*100</f>
        <v>178.36663770634235</v>
      </c>
      <c r="I1083" s="871">
        <f>'Peers Stock History'!J1086/'Peers Stock History'!J$1833*100</f>
        <v>118.88091944237522</v>
      </c>
      <c r="J1083" s="871">
        <f>'Peers Stock History'!K1086/'Peers Stock History'!K$1833*100</f>
        <v>130.21127462436249</v>
      </c>
    </row>
    <row r="1084" spans="2:10">
      <c r="B1084" s="870">
        <v>43527</v>
      </c>
      <c r="C1084" s="871">
        <f>'Peers Stock History'!D1087/'Peers Stock History'!D$1833*100</f>
        <v>147.85020804438281</v>
      </c>
      <c r="D1084" s="871">
        <f>'Peers Stock History'!E1087/'Peers Stock History'!E$1833*100</f>
        <v>143.53211009174311</v>
      </c>
      <c r="E1084" s="871">
        <f>'Peers Stock History'!F1087/'Peers Stock History'!F$1833*100</f>
        <v>178.04511278195488</v>
      </c>
      <c r="F1084" s="871">
        <f>'Peers Stock History'!G1087/'Peers Stock History'!G$1833*100</f>
        <v>126.30302736533656</v>
      </c>
      <c r="G1084" s="871">
        <f>'Peers Stock History'!H1087/'Peers Stock History'!H$1833*100</f>
        <v>132.40934025923588</v>
      </c>
      <c r="H1084" s="871">
        <f>'Peers Stock History'!I1087/'Peers Stock History'!I$1833*100</f>
        <v>180.62554300608167</v>
      </c>
      <c r="I1084" s="871">
        <f>'Peers Stock History'!J1087/'Peers Stock History'!J$1833*100</f>
        <v>119.34404597211876</v>
      </c>
      <c r="J1084" s="871">
        <f>'Peers Stock History'!K1087/'Peers Stock History'!K$1833*100</f>
        <v>130.51690540670583</v>
      </c>
    </row>
    <row r="1085" spans="2:10">
      <c r="B1085" s="870">
        <v>43526</v>
      </c>
      <c r="C1085" s="871">
        <f>'Peers Stock History'!D1088/'Peers Stock History'!D$1833*100</f>
        <v>147.85020804438281</v>
      </c>
      <c r="D1085" s="871">
        <f>'Peers Stock History'!E1088/'Peers Stock History'!E$1833*100</f>
        <v>143.53211009174311</v>
      </c>
      <c r="E1085" s="871">
        <f>'Peers Stock History'!F1088/'Peers Stock History'!F$1833*100</f>
        <v>178.04511278195488</v>
      </c>
      <c r="F1085" s="871">
        <f>'Peers Stock History'!G1088/'Peers Stock History'!G$1833*100</f>
        <v>126.30302736533656</v>
      </c>
      <c r="G1085" s="871">
        <f>'Peers Stock History'!H1088/'Peers Stock History'!H$1833*100</f>
        <v>132.40934025923588</v>
      </c>
      <c r="H1085" s="871">
        <f>'Peers Stock History'!I1088/'Peers Stock History'!I$1833*100</f>
        <v>180.62554300608167</v>
      </c>
      <c r="I1085" s="871">
        <f>'Peers Stock History'!J1088/'Peers Stock History'!J$1833*100</f>
        <v>119.34404597211876</v>
      </c>
      <c r="J1085" s="871">
        <f>'Peers Stock History'!K1088/'Peers Stock History'!K$1833*100</f>
        <v>130.51690540670583</v>
      </c>
    </row>
    <row r="1086" spans="2:10">
      <c r="B1086" s="870">
        <v>43525</v>
      </c>
      <c r="C1086" s="871">
        <f>'Peers Stock History'!D1089/'Peers Stock History'!D$1833*100</f>
        <v>147.85020804438281</v>
      </c>
      <c r="D1086" s="871">
        <f>'Peers Stock History'!E1089/'Peers Stock History'!E$1833*100</f>
        <v>143.53211009174311</v>
      </c>
      <c r="E1086" s="871">
        <f>'Peers Stock History'!F1089/'Peers Stock History'!F$1833*100</f>
        <v>178.04511278195488</v>
      </c>
      <c r="F1086" s="871">
        <f>'Peers Stock History'!G1089/'Peers Stock History'!G$1833*100</f>
        <v>126.30302736533656</v>
      </c>
      <c r="G1086" s="871">
        <f>'Peers Stock History'!H1089/'Peers Stock History'!H$1833*100</f>
        <v>132.40934025923588</v>
      </c>
      <c r="H1086" s="871">
        <f>'Peers Stock History'!I1089/'Peers Stock History'!I$1833*100</f>
        <v>180.62554300608167</v>
      </c>
      <c r="I1086" s="871">
        <f>'Peers Stock History'!J1089/'Peers Stock History'!J$1833*100</f>
        <v>119.34404597211876</v>
      </c>
      <c r="J1086" s="871">
        <f>'Peers Stock History'!K1089/'Peers Stock History'!K$1833*100</f>
        <v>130.51690540670583</v>
      </c>
    </row>
    <row r="1087" spans="2:10">
      <c r="B1087" s="870">
        <v>43524</v>
      </c>
      <c r="C1087" s="871">
        <f>'Peers Stock History'!D1090/'Peers Stock History'!D$1833*100</f>
        <v>146.90707350901528</v>
      </c>
      <c r="D1087" s="871">
        <f>'Peers Stock History'!E1090/'Peers Stock History'!E$1833*100</f>
        <v>141.52293577981649</v>
      </c>
      <c r="E1087" s="871">
        <f>'Peers Stock History'!F1090/'Peers Stock History'!F$1833*100</f>
        <v>176.91729323308269</v>
      </c>
      <c r="F1087" s="871">
        <f>'Peers Stock History'!G1090/'Peers Stock History'!G$1833*100</f>
        <v>126.30302736533656</v>
      </c>
      <c r="G1087" s="871">
        <f>'Peers Stock History'!H1090/'Peers Stock History'!H$1833*100</f>
        <v>133.67639205786688</v>
      </c>
      <c r="H1087" s="871">
        <f>'Peers Stock History'!I1090/'Peers Stock History'!I$1833*100</f>
        <v>177.58470894874023</v>
      </c>
      <c r="I1087" s="871">
        <f>'Peers Stock History'!J1090/'Peers Stock History'!J$1833*100</f>
        <v>118.52676386080662</v>
      </c>
      <c r="J1087" s="871">
        <f>'Peers Stock History'!K1090/'Peers Stock History'!K$1833*100</f>
        <v>129.43740291162038</v>
      </c>
    </row>
    <row r="1088" spans="2:10">
      <c r="B1088" s="870">
        <v>43523</v>
      </c>
      <c r="C1088" s="871">
        <f>'Peers Stock History'!D1091/'Peers Stock History'!D$1833*100</f>
        <v>147.68377253814148</v>
      </c>
      <c r="D1088" s="871">
        <f>'Peers Stock History'!E1091/'Peers Stock History'!E$1833*100</f>
        <v>142.57798165137615</v>
      </c>
      <c r="E1088" s="871">
        <f>'Peers Stock History'!F1091/'Peers Stock History'!F$1833*100</f>
        <v>176.54135338345864</v>
      </c>
      <c r="F1088" s="871">
        <f>'Peers Stock History'!G1091/'Peers Stock History'!G$1833*100</f>
        <v>126.30302736533656</v>
      </c>
      <c r="G1088" s="871">
        <f>'Peers Stock History'!H1091/'Peers Stock History'!H$1833*100</f>
        <v>131.79766008058644</v>
      </c>
      <c r="H1088" s="871">
        <f>'Peers Stock History'!I1091/'Peers Stock History'!I$1833*100</f>
        <v>179.49609035621199</v>
      </c>
      <c r="I1088" s="871">
        <f>'Peers Stock History'!J1091/'Peers Stock History'!J$1833*100</f>
        <v>118.86261572842396</v>
      </c>
      <c r="J1088" s="871">
        <f>'Peers Stock History'!K1091/'Peers Stock History'!K$1833*100</f>
        <v>129.8150509327358</v>
      </c>
    </row>
    <row r="1089" spans="2:10">
      <c r="B1089" s="870">
        <v>43522</v>
      </c>
      <c r="C1089" s="871">
        <f>'Peers Stock History'!D1092/'Peers Stock History'!D$1833*100</f>
        <v>147.65603328710125</v>
      </c>
      <c r="D1089" s="871">
        <f>'Peers Stock History'!E1092/'Peers Stock History'!E$1833*100</f>
        <v>144.12844036697248</v>
      </c>
      <c r="E1089" s="871">
        <f>'Peers Stock History'!F1092/'Peers Stock History'!F$1833*100</f>
        <v>182.03007518796991</v>
      </c>
      <c r="F1089" s="871">
        <f>'Peers Stock History'!G1092/'Peers Stock History'!G$1833*100</f>
        <v>126.67425498255251</v>
      </c>
      <c r="G1089" s="871">
        <f>'Peers Stock History'!H1092/'Peers Stock History'!H$1833*100</f>
        <v>133.50162629253848</v>
      </c>
      <c r="H1089" s="871">
        <f>'Peers Stock History'!I1092/'Peers Stock History'!I$1833*100</f>
        <v>186.62033014769764</v>
      </c>
      <c r="I1089" s="871">
        <f>'Peers Stock History'!J1092/'Peers Stock History'!J$1833*100</f>
        <v>118.92731722890284</v>
      </c>
      <c r="J1089" s="871">
        <f>'Peers Stock History'!K1092/'Peers Stock History'!K$1833*100</f>
        <v>129.72550623427682</v>
      </c>
    </row>
    <row r="1090" spans="2:10">
      <c r="B1090" s="870">
        <v>43521</v>
      </c>
      <c r="C1090" s="871">
        <f>'Peers Stock History'!D1093/'Peers Stock History'!D$1833*100</f>
        <v>147.29542302357839</v>
      </c>
      <c r="D1090" s="871">
        <f>'Peers Stock History'!E1093/'Peers Stock History'!E$1833*100</f>
        <v>145.58715596330276</v>
      </c>
      <c r="E1090" s="871">
        <f>'Peers Stock History'!F1093/'Peers Stock History'!F$1833*100</f>
        <v>185.78947368421052</v>
      </c>
      <c r="F1090" s="871">
        <f>'Peers Stock History'!G1093/'Peers Stock History'!G$1833*100</f>
        <v>125.97509493354357</v>
      </c>
      <c r="G1090" s="871">
        <f>'Peers Stock History'!H1093/'Peers Stock History'!H$1833*100</f>
        <v>135.24928394582261</v>
      </c>
      <c r="H1090" s="871">
        <f>'Peers Stock History'!I1093/'Peers Stock History'!I$1833*100</f>
        <v>185.70807993049522</v>
      </c>
      <c r="I1090" s="871">
        <f>'Peers Stock History'!J1093/'Peers Stock History'!J$1833*100</f>
        <v>119.021389805257</v>
      </c>
      <c r="J1090" s="871">
        <f>'Peers Stock History'!K1093/'Peers Stock History'!K$1833*100</f>
        <v>129.81420892731947</v>
      </c>
    </row>
    <row r="1091" spans="2:10">
      <c r="B1091" s="870">
        <v>43520</v>
      </c>
      <c r="C1091" s="871">
        <f>'Peers Stock History'!D1094/'Peers Stock History'!D$1833*100</f>
        <v>145.60332871012486</v>
      </c>
      <c r="D1091" s="871">
        <f>'Peers Stock History'!E1094/'Peers Stock History'!E$1833*100</f>
        <v>146.04587155963301</v>
      </c>
      <c r="E1091" s="871">
        <f>'Peers Stock History'!F1094/'Peers Stock History'!F$1833*100</f>
        <v>183.15789473684211</v>
      </c>
      <c r="F1091" s="871">
        <f>'Peers Stock History'!G1094/'Peers Stock History'!G$1833*100</f>
        <v>125.12820526058026</v>
      </c>
      <c r="G1091" s="871">
        <f>'Peers Stock History'!H1094/'Peers Stock History'!H$1833*100</f>
        <v>134.22981698140686</v>
      </c>
      <c r="H1091" s="871">
        <f>'Peers Stock History'!I1094/'Peers Stock History'!I$1833*100</f>
        <v>184.92615117289316</v>
      </c>
      <c r="I1091" s="871">
        <f>'Peers Stock History'!J1094/'Peers Stock History'!J$1833*100</f>
        <v>118.87496009364691</v>
      </c>
      <c r="J1091" s="871">
        <f>'Peers Stock History'!K1094/'Peers Stock History'!K$1833*100</f>
        <v>129.35170738077892</v>
      </c>
    </row>
    <row r="1092" spans="2:10">
      <c r="B1092" s="870">
        <v>43519</v>
      </c>
      <c r="C1092" s="871">
        <f>'Peers Stock History'!D1095/'Peers Stock History'!D$1833*100</f>
        <v>145.60332871012486</v>
      </c>
      <c r="D1092" s="871">
        <f>'Peers Stock History'!E1095/'Peers Stock History'!E$1833*100</f>
        <v>146.04587155963301</v>
      </c>
      <c r="E1092" s="871">
        <f>'Peers Stock History'!F1095/'Peers Stock History'!F$1833*100</f>
        <v>183.15789473684211</v>
      </c>
      <c r="F1092" s="871">
        <f>'Peers Stock History'!G1095/'Peers Stock History'!G$1833*100</f>
        <v>125.12820526058026</v>
      </c>
      <c r="G1092" s="871">
        <f>'Peers Stock History'!H1095/'Peers Stock History'!H$1833*100</f>
        <v>134.22981698140686</v>
      </c>
      <c r="H1092" s="871">
        <f>'Peers Stock History'!I1095/'Peers Stock History'!I$1833*100</f>
        <v>184.92615117289316</v>
      </c>
      <c r="I1092" s="871">
        <f>'Peers Stock History'!J1095/'Peers Stock History'!J$1833*100</f>
        <v>118.87496009364691</v>
      </c>
      <c r="J1092" s="871">
        <f>'Peers Stock History'!K1095/'Peers Stock History'!K$1833*100</f>
        <v>129.35170738077892</v>
      </c>
    </row>
    <row r="1093" spans="2:10">
      <c r="B1093" s="870">
        <v>43518</v>
      </c>
      <c r="C1093" s="871">
        <f>'Peers Stock History'!D1096/'Peers Stock History'!D$1833*100</f>
        <v>145.60332871012486</v>
      </c>
      <c r="D1093" s="871">
        <f>'Peers Stock History'!E1096/'Peers Stock History'!E$1833*100</f>
        <v>146.04587155963301</v>
      </c>
      <c r="E1093" s="871">
        <f>'Peers Stock History'!F1096/'Peers Stock History'!F$1833*100</f>
        <v>183.15789473684211</v>
      </c>
      <c r="F1093" s="871">
        <f>'Peers Stock History'!G1096/'Peers Stock History'!G$1833*100</f>
        <v>125.12820526058026</v>
      </c>
      <c r="G1093" s="871">
        <f>'Peers Stock History'!H1096/'Peers Stock History'!H$1833*100</f>
        <v>134.22981698140686</v>
      </c>
      <c r="H1093" s="871">
        <f>'Peers Stock History'!I1096/'Peers Stock History'!I$1833*100</f>
        <v>184.92615117289316</v>
      </c>
      <c r="I1093" s="871">
        <f>'Peers Stock History'!J1096/'Peers Stock History'!J$1833*100</f>
        <v>118.87496009364691</v>
      </c>
      <c r="J1093" s="871">
        <f>'Peers Stock History'!K1096/'Peers Stock History'!K$1833*100</f>
        <v>129.35170738077892</v>
      </c>
    </row>
    <row r="1094" spans="2:10">
      <c r="B1094" s="870">
        <v>43517</v>
      </c>
      <c r="C1094" s="871">
        <f>'Peers Stock History'!D1097/'Peers Stock History'!D$1833*100</f>
        <v>142.60748959778087</v>
      </c>
      <c r="D1094" s="871">
        <f>'Peers Stock History'!E1097/'Peers Stock History'!E$1833*100</f>
        <v>142.90825688073397</v>
      </c>
      <c r="E1094" s="871">
        <f>'Peers Stock History'!F1097/'Peers Stock History'!F$1833*100</f>
        <v>179.84962406015038</v>
      </c>
      <c r="F1094" s="871">
        <f>'Peers Stock History'!G1097/'Peers Stock History'!G$1833*100</f>
        <v>124.90476929131522</v>
      </c>
      <c r="G1094" s="871">
        <f>'Peers Stock History'!H1097/'Peers Stock History'!H$1833*100</f>
        <v>136.38526142045731</v>
      </c>
      <c r="H1094" s="871">
        <f>'Peers Stock History'!I1097/'Peers Stock History'!I$1833*100</f>
        <v>180.40834057341445</v>
      </c>
      <c r="I1094" s="871">
        <f>'Peers Stock History'!J1097/'Peers Stock History'!J$1833*100</f>
        <v>118.11769713738427</v>
      </c>
      <c r="J1094" s="871">
        <f>'Peers Stock History'!K1097/'Peers Stock History'!K$1833*100</f>
        <v>128.18601102511582</v>
      </c>
    </row>
    <row r="1095" spans="2:10">
      <c r="B1095" s="870">
        <v>43516</v>
      </c>
      <c r="C1095" s="871">
        <f>'Peers Stock History'!D1098/'Peers Stock History'!D$1833*100</f>
        <v>142.55201109570044</v>
      </c>
      <c r="D1095" s="871">
        <f>'Peers Stock History'!E1098/'Peers Stock History'!E$1833*100</f>
        <v>145.45871559633028</v>
      </c>
      <c r="E1095" s="871">
        <f>'Peers Stock History'!F1098/'Peers Stock History'!F$1833*100</f>
        <v>180.0751879699248</v>
      </c>
      <c r="F1095" s="871">
        <f>'Peers Stock History'!G1098/'Peers Stock History'!G$1833*100</f>
        <v>123.9128603997858</v>
      </c>
      <c r="G1095" s="871">
        <f>'Peers Stock History'!H1098/'Peers Stock History'!H$1833*100</f>
        <v>137.58920335938637</v>
      </c>
      <c r="H1095" s="871">
        <f>'Peers Stock History'!I1098/'Peers Stock History'!I$1833*100</f>
        <v>183.36229365768898</v>
      </c>
      <c r="I1095" s="871">
        <f>'Peers Stock History'!J1098/'Peers Stock History'!J$1833*100</f>
        <v>118.53570288389912</v>
      </c>
      <c r="J1095" s="871">
        <f>'Peers Stock History'!K1098/'Peers Stock History'!K$1833*100</f>
        <v>128.69054410733679</v>
      </c>
    </row>
    <row r="1096" spans="2:10">
      <c r="B1096" s="870">
        <v>43515</v>
      </c>
      <c r="C1096" s="871">
        <f>'Peers Stock History'!D1099/'Peers Stock History'!D$1833*100</f>
        <v>142.57975034674064</v>
      </c>
      <c r="D1096" s="871">
        <f>'Peers Stock History'!E1099/'Peers Stock History'!E$1833*100</f>
        <v>143.7064220183486</v>
      </c>
      <c r="E1096" s="871">
        <f>'Peers Stock History'!F1099/'Peers Stock History'!F$1833*100</f>
        <v>180.0751879699248</v>
      </c>
      <c r="F1096" s="871">
        <f>'Peers Stock History'!G1099/'Peers Stock History'!G$1833*100</f>
        <v>121.04197526279673</v>
      </c>
      <c r="G1096" s="871">
        <f>'Peers Stock History'!H1099/'Peers Stock History'!H$1833*100</f>
        <v>136.73479295111414</v>
      </c>
      <c r="H1096" s="871">
        <f>'Peers Stock History'!I1099/'Peers Stock History'!I$1833*100</f>
        <v>182.27628149435276</v>
      </c>
      <c r="I1096" s="871">
        <f>'Peers Stock History'!J1099/'Peers Stock History'!J$1833*100</f>
        <v>118.32542300734279</v>
      </c>
      <c r="J1096" s="871">
        <f>'Peers Stock History'!K1099/'Peers Stock History'!K$1833*100</f>
        <v>128.65096985276935</v>
      </c>
    </row>
    <row r="1097" spans="2:10">
      <c r="B1097" s="870">
        <v>43514</v>
      </c>
      <c r="C1097" s="871">
        <f>'Peers Stock History'!D1100/'Peers Stock History'!D$1833*100</f>
        <v>143.30097087378641</v>
      </c>
      <c r="D1097" s="871">
        <f>'Peers Stock History'!E1100/'Peers Stock History'!E$1833*100</f>
        <v>144.34862385321102</v>
      </c>
      <c r="E1097" s="871">
        <f>'Peers Stock History'!F1100/'Peers Stock History'!F$1833*100</f>
        <v>178.04511278195488</v>
      </c>
      <c r="F1097" s="871">
        <f>'Peers Stock History'!G1100/'Peers Stock History'!G$1833*100</f>
        <v>121.40486165406669</v>
      </c>
      <c r="G1097" s="871">
        <f>'Peers Stock History'!H1100/'Peers Stock History'!H$1833*100</f>
        <v>136.86586727511042</v>
      </c>
      <c r="H1097" s="871">
        <f>'Peers Stock History'!I1100/'Peers Stock History'!I$1833*100</f>
        <v>182.4066029539531</v>
      </c>
      <c r="I1097" s="871">
        <f>'Peers Stock History'!J1100/'Peers Stock History'!J$1833*100</f>
        <v>118.14834521655848</v>
      </c>
      <c r="J1097" s="871">
        <f>'Peers Stock History'!K1100/'Peers Stock History'!K$1833*100</f>
        <v>128.40427944956906</v>
      </c>
    </row>
    <row r="1098" spans="2:10">
      <c r="B1098" s="870">
        <v>43513</v>
      </c>
      <c r="C1098" s="871">
        <f>'Peers Stock History'!D1101/'Peers Stock History'!D$1833*100</f>
        <v>143.30097087378641</v>
      </c>
      <c r="D1098" s="871">
        <f>'Peers Stock History'!E1101/'Peers Stock History'!E$1833*100</f>
        <v>144.34862385321102</v>
      </c>
      <c r="E1098" s="871">
        <f>'Peers Stock History'!F1101/'Peers Stock History'!F$1833*100</f>
        <v>178.04511278195488</v>
      </c>
      <c r="F1098" s="871">
        <f>'Peers Stock History'!G1101/'Peers Stock History'!G$1833*100</f>
        <v>119.84465270522658</v>
      </c>
      <c r="G1098" s="871">
        <f>'Peers Stock History'!H1101/'Peers Stock History'!H$1833*100</f>
        <v>136.86586727511042</v>
      </c>
      <c r="H1098" s="871">
        <f>'Peers Stock History'!I1101/'Peers Stock History'!I$1833*100</f>
        <v>182.4066029539531</v>
      </c>
      <c r="I1098" s="871">
        <f>'Peers Stock History'!J1101/'Peers Stock History'!J$1833*100</f>
        <v>118.14834521655848</v>
      </c>
      <c r="J1098" s="871">
        <f>'Peers Stock History'!K1101/'Peers Stock History'!K$1833*100</f>
        <v>128.40427944956906</v>
      </c>
    </row>
    <row r="1099" spans="2:10">
      <c r="B1099" s="870">
        <v>43512</v>
      </c>
      <c r="C1099" s="871">
        <f>'Peers Stock History'!D1102/'Peers Stock History'!D$1833*100</f>
        <v>143.30097087378641</v>
      </c>
      <c r="D1099" s="871">
        <f>'Peers Stock History'!E1102/'Peers Stock History'!E$1833*100</f>
        <v>144.34862385321102</v>
      </c>
      <c r="E1099" s="871">
        <f>'Peers Stock History'!F1102/'Peers Stock History'!F$1833*100</f>
        <v>178.04511278195488</v>
      </c>
      <c r="F1099" s="871">
        <f>'Peers Stock History'!G1102/'Peers Stock History'!G$1833*100</f>
        <v>119.84465270522658</v>
      </c>
      <c r="G1099" s="871">
        <f>'Peers Stock History'!H1102/'Peers Stock History'!H$1833*100</f>
        <v>136.86586727511042</v>
      </c>
      <c r="H1099" s="871">
        <f>'Peers Stock History'!I1102/'Peers Stock History'!I$1833*100</f>
        <v>182.4066029539531</v>
      </c>
      <c r="I1099" s="871">
        <f>'Peers Stock History'!J1102/'Peers Stock History'!J$1833*100</f>
        <v>118.14834521655848</v>
      </c>
      <c r="J1099" s="871">
        <f>'Peers Stock History'!K1102/'Peers Stock History'!K$1833*100</f>
        <v>128.40427944956906</v>
      </c>
    </row>
    <row r="1100" spans="2:10">
      <c r="B1100" s="870">
        <v>43511</v>
      </c>
      <c r="C1100" s="871">
        <f>'Peers Stock History'!D1103/'Peers Stock History'!D$1833*100</f>
        <v>143.30097087378641</v>
      </c>
      <c r="D1100" s="871">
        <f>'Peers Stock History'!E1103/'Peers Stock History'!E$1833*100</f>
        <v>144.34862385321102</v>
      </c>
      <c r="E1100" s="871">
        <f>'Peers Stock History'!F1103/'Peers Stock History'!F$1833*100</f>
        <v>178.04511278195488</v>
      </c>
      <c r="F1100" s="871">
        <f>'Peers Stock History'!G1103/'Peers Stock History'!G$1833*100</f>
        <v>119.84465270522658</v>
      </c>
      <c r="G1100" s="871">
        <f>'Peers Stock History'!H1103/'Peers Stock History'!H$1833*100</f>
        <v>136.86586727511042</v>
      </c>
      <c r="H1100" s="871">
        <f>'Peers Stock History'!I1103/'Peers Stock History'!I$1833*100</f>
        <v>182.4066029539531</v>
      </c>
      <c r="I1100" s="871">
        <f>'Peers Stock History'!J1103/'Peers Stock History'!J$1833*100</f>
        <v>118.14834521655848</v>
      </c>
      <c r="J1100" s="871">
        <f>'Peers Stock History'!K1103/'Peers Stock History'!K$1833*100</f>
        <v>128.40427944956906</v>
      </c>
    </row>
    <row r="1101" spans="2:10">
      <c r="B1101" s="870">
        <v>43510</v>
      </c>
      <c r="C1101" s="871">
        <f>'Peers Stock History'!D1104/'Peers Stock History'!D$1833*100</f>
        <v>140.94313453536756</v>
      </c>
      <c r="D1101" s="871">
        <f>'Peers Stock History'!E1104/'Peers Stock History'!E$1833*100</f>
        <v>141.77064220183487</v>
      </c>
      <c r="E1101" s="871">
        <f>'Peers Stock History'!F1104/'Peers Stock History'!F$1833*100</f>
        <v>173.9097744360902</v>
      </c>
      <c r="F1101" s="871">
        <f>'Peers Stock History'!G1104/'Peers Stock History'!G$1833*100</f>
        <v>119.8135444241869</v>
      </c>
      <c r="G1101" s="871">
        <f>'Peers Stock History'!H1104/'Peers Stock History'!H$1833*100</f>
        <v>136.65711927763482</v>
      </c>
      <c r="H1101" s="871">
        <f>'Peers Stock History'!I1104/'Peers Stock History'!I$1833*100</f>
        <v>183.44917463075586</v>
      </c>
      <c r="I1101" s="871">
        <f>'Peers Stock History'!J1104/'Peers Stock History'!J$1833*100</f>
        <v>116.87687559859529</v>
      </c>
      <c r="J1101" s="871">
        <f>'Peers Stock History'!K1104/'Peers Stock History'!K$1833*100</f>
        <v>127.6231905475441</v>
      </c>
    </row>
    <row r="1102" spans="2:10">
      <c r="B1102" s="870">
        <v>43509</v>
      </c>
      <c r="C1102" s="871">
        <f>'Peers Stock History'!D1105/'Peers Stock History'!D$1833*100</f>
        <v>140</v>
      </c>
      <c r="D1102" s="871">
        <f>'Peers Stock History'!E1105/'Peers Stock History'!E$1833*100</f>
        <v>140.25688073394497</v>
      </c>
      <c r="E1102" s="871">
        <f>'Peers Stock History'!F1105/'Peers Stock History'!F$1833*100</f>
        <v>171.80451127819549</v>
      </c>
      <c r="F1102" s="871">
        <f>'Peers Stock History'!G1105/'Peers Stock History'!G$1833*100</f>
        <v>120.84956466140575</v>
      </c>
      <c r="G1102" s="871">
        <f>'Peers Stock History'!H1105/'Peers Stock History'!H$1833*100</f>
        <v>136.56973639497062</v>
      </c>
      <c r="H1102" s="871">
        <f>'Peers Stock History'!I1105/'Peers Stock History'!I$1833*100</f>
        <v>181.05994787141617</v>
      </c>
      <c r="I1102" s="871">
        <f>'Peers Stock History'!J1105/'Peers Stock History'!J$1833*100</f>
        <v>117.18761306800043</v>
      </c>
      <c r="J1102" s="871">
        <f>'Peers Stock History'!K1105/'Peers Stock History'!K$1833*100</f>
        <v>127.51017280013197</v>
      </c>
    </row>
    <row r="1103" spans="2:10">
      <c r="B1103" s="870">
        <v>43508</v>
      </c>
      <c r="C1103" s="871">
        <f>'Peers Stock History'!D1106/'Peers Stock History'!D$1833*100</f>
        <v>138.72399445214981</v>
      </c>
      <c r="D1103" s="871">
        <f>'Peers Stock History'!E1106/'Peers Stock History'!E$1833*100</f>
        <v>138.6880733944954</v>
      </c>
      <c r="E1103" s="871">
        <f>'Peers Stock History'!F1106/'Peers Stock History'!F$1833*100</f>
        <v>171.57894736842104</v>
      </c>
      <c r="F1103" s="871">
        <f>'Peers Stock History'!G1106/'Peers Stock History'!G$1833*100</f>
        <v>121.51526555553835</v>
      </c>
      <c r="G1103" s="871">
        <f>'Peers Stock History'!H1106/'Peers Stock History'!H$1833*100</f>
        <v>135.63279770862661</v>
      </c>
      <c r="H1103" s="871">
        <f>'Peers Stock History'!I1106/'Peers Stock History'!I$1833*100</f>
        <v>175.49956559513467</v>
      </c>
      <c r="I1103" s="871">
        <f>'Peers Stock History'!J1106/'Peers Stock History'!J$1833*100</f>
        <v>116.83430882196446</v>
      </c>
      <c r="J1103" s="871">
        <f>'Peers Stock History'!K1106/'Peers Stock History'!K$1833*100</f>
        <v>127.41121138803734</v>
      </c>
    </row>
    <row r="1104" spans="2:10">
      <c r="B1104" s="870">
        <v>43507</v>
      </c>
      <c r="C1104" s="871">
        <f>'Peers Stock History'!D1107/'Peers Stock History'!D$1833*100</f>
        <v>135.2843273231623</v>
      </c>
      <c r="D1104" s="871">
        <f>'Peers Stock History'!E1107/'Peers Stock History'!E$1833*100</f>
        <v>134.35779816513761</v>
      </c>
      <c r="E1104" s="871">
        <f>'Peers Stock History'!F1107/'Peers Stock History'!F$1833*100</f>
        <v>172.63157894736844</v>
      </c>
      <c r="F1104" s="871">
        <f>'Peers Stock History'!G1107/'Peers Stock History'!G$1833*100</f>
        <v>120.17758521549588</v>
      </c>
      <c r="G1104" s="871">
        <f>'Peers Stock History'!H1107/'Peers Stock History'!H$1833*100</f>
        <v>133.85115782319531</v>
      </c>
      <c r="H1104" s="871">
        <f>'Peers Stock History'!I1107/'Peers Stock History'!I$1833*100</f>
        <v>167.59339704604693</v>
      </c>
      <c r="I1104" s="871">
        <f>'Peers Stock History'!J1107/'Peers Stock History'!J$1833*100</f>
        <v>115.34745131424924</v>
      </c>
      <c r="J1104" s="871">
        <f>'Peers Stock History'!K1107/'Peers Stock History'!K$1833*100</f>
        <v>125.57746106154543</v>
      </c>
    </row>
    <row r="1105" spans="2:10">
      <c r="B1105" s="870">
        <v>43506</v>
      </c>
      <c r="C1105" s="871">
        <f>'Peers Stock History'!D1108/'Peers Stock History'!D$1833*100</f>
        <v>135.47850208044386</v>
      </c>
      <c r="D1105" s="871">
        <f>'Peers Stock History'!E1108/'Peers Stock History'!E$1833*100</f>
        <v>135.93577981651376</v>
      </c>
      <c r="E1105" s="871">
        <f>'Peers Stock History'!F1108/'Peers Stock History'!F$1833*100</f>
        <v>173.30827067669173</v>
      </c>
      <c r="F1105" s="871">
        <f>'Peers Stock History'!G1108/'Peers Stock History'!G$1833*100</f>
        <v>117.05685935628631</v>
      </c>
      <c r="G1105" s="871">
        <f>'Peers Stock History'!H1108/'Peers Stock History'!H$1833*100</f>
        <v>133.0452934608476</v>
      </c>
      <c r="H1105" s="871">
        <f>'Peers Stock History'!I1108/'Peers Stock History'!I$1833*100</f>
        <v>167.59339704604693</v>
      </c>
      <c r="I1105" s="871">
        <f>'Peers Stock History'!J1108/'Peers Stock History'!J$1833*100</f>
        <v>115.26572310311802</v>
      </c>
      <c r="J1105" s="871">
        <f>'Peers Stock History'!K1108/'Peers Stock History'!K$1833*100</f>
        <v>125.41065807019234</v>
      </c>
    </row>
    <row r="1106" spans="2:10">
      <c r="B1106" s="870">
        <v>43505</v>
      </c>
      <c r="C1106" s="871">
        <f>'Peers Stock History'!D1109/'Peers Stock History'!D$1833*100</f>
        <v>135.47850208044386</v>
      </c>
      <c r="D1106" s="871">
        <f>'Peers Stock History'!E1109/'Peers Stock History'!E$1833*100</f>
        <v>135.93577981651376</v>
      </c>
      <c r="E1106" s="871">
        <f>'Peers Stock History'!F1109/'Peers Stock History'!F$1833*100</f>
        <v>173.30827067669173</v>
      </c>
      <c r="F1106" s="871">
        <f>'Peers Stock History'!G1109/'Peers Stock History'!G$1833*100</f>
        <v>117.05685935628631</v>
      </c>
      <c r="G1106" s="871">
        <f>'Peers Stock History'!H1109/'Peers Stock History'!H$1833*100</f>
        <v>133.0452934608476</v>
      </c>
      <c r="H1106" s="871">
        <f>'Peers Stock History'!I1109/'Peers Stock History'!I$1833*100</f>
        <v>167.59339704604693</v>
      </c>
      <c r="I1106" s="871">
        <f>'Peers Stock History'!J1109/'Peers Stock History'!J$1833*100</f>
        <v>115.26572310311802</v>
      </c>
      <c r="J1106" s="871">
        <f>'Peers Stock History'!K1109/'Peers Stock History'!K$1833*100</f>
        <v>125.41065807019234</v>
      </c>
    </row>
    <row r="1107" spans="2:10">
      <c r="B1107" s="870">
        <v>43504</v>
      </c>
      <c r="C1107" s="871">
        <f>'Peers Stock History'!D1110/'Peers Stock History'!D$1833*100</f>
        <v>135.47850208044386</v>
      </c>
      <c r="D1107" s="871">
        <f>'Peers Stock History'!E1110/'Peers Stock History'!E$1833*100</f>
        <v>135.93577981651376</v>
      </c>
      <c r="E1107" s="871">
        <f>'Peers Stock History'!F1110/'Peers Stock History'!F$1833*100</f>
        <v>173.30827067669173</v>
      </c>
      <c r="F1107" s="871">
        <f>'Peers Stock History'!G1110/'Peers Stock History'!G$1833*100</f>
        <v>117.05685935628631</v>
      </c>
      <c r="G1107" s="871">
        <f>'Peers Stock History'!H1110/'Peers Stock History'!H$1833*100</f>
        <v>133.0452934608476</v>
      </c>
      <c r="H1107" s="871">
        <f>'Peers Stock History'!I1110/'Peers Stock History'!I$1833*100</f>
        <v>167.59339704604693</v>
      </c>
      <c r="I1107" s="871">
        <f>'Peers Stock History'!J1110/'Peers Stock History'!J$1833*100</f>
        <v>115.26572310311802</v>
      </c>
      <c r="J1107" s="871">
        <f>'Peers Stock History'!K1110/'Peers Stock History'!K$1833*100</f>
        <v>125.41065807019234</v>
      </c>
    </row>
    <row r="1108" spans="2:10">
      <c r="B1108" s="870">
        <v>43503</v>
      </c>
      <c r="C1108" s="871">
        <f>'Peers Stock History'!D1111/'Peers Stock History'!D$1833*100</f>
        <v>136.56033287101249</v>
      </c>
      <c r="D1108" s="871">
        <f>'Peers Stock History'!E1111/'Peers Stock History'!E$1833*100</f>
        <v>135.24770642201833</v>
      </c>
      <c r="E1108" s="871">
        <f>'Peers Stock History'!F1111/'Peers Stock History'!F$1833*100</f>
        <v>170.45112781954887</v>
      </c>
      <c r="F1108" s="871">
        <f>'Peers Stock History'!G1111/'Peers Stock History'!G$1833*100</f>
        <v>117.05685935628631</v>
      </c>
      <c r="G1108" s="871">
        <f>'Peers Stock History'!H1111/'Peers Stock History'!H$1833*100</f>
        <v>130.632554978397</v>
      </c>
      <c r="H1108" s="871">
        <f>'Peers Stock History'!I1111/'Peers Stock History'!I$1833*100</f>
        <v>171.06863596872287</v>
      </c>
      <c r="I1108" s="871">
        <f>'Peers Stock History'!J1111/'Peers Stock History'!J$1833*100</f>
        <v>115.18782590188358</v>
      </c>
      <c r="J1108" s="871">
        <f>'Peers Stock History'!K1111/'Peers Stock History'!K$1833*100</f>
        <v>125.24146653286228</v>
      </c>
    </row>
    <row r="1109" spans="2:10">
      <c r="B1109" s="870">
        <v>43502</v>
      </c>
      <c r="C1109" s="871">
        <f>'Peers Stock History'!D1112/'Peers Stock History'!D$1833*100</f>
        <v>138.41886269070736</v>
      </c>
      <c r="D1109" s="871">
        <f>'Peers Stock History'!E1112/'Peers Stock History'!E$1833*100</f>
        <v>140.36697247706422</v>
      </c>
      <c r="E1109" s="871">
        <f>'Peers Stock History'!F1112/'Peers Stock History'!F$1833*100</f>
        <v>174.88721804511277</v>
      </c>
      <c r="F1109" s="871">
        <f>'Peers Stock History'!G1112/'Peers Stock History'!G$1833*100</f>
        <v>117.05685935628631</v>
      </c>
      <c r="G1109" s="871">
        <f>'Peers Stock History'!H1112/'Peers Stock History'!H$1833*100</f>
        <v>134.08903344822562</v>
      </c>
      <c r="H1109" s="871">
        <f>'Peers Stock History'!I1112/'Peers Stock History'!I$1833*100</f>
        <v>180.36490008688099</v>
      </c>
      <c r="I1109" s="871">
        <f>'Peers Stock History'!J1112/'Peers Stock History'!J$1833*100</f>
        <v>116.27583271256785</v>
      </c>
      <c r="J1109" s="871">
        <f>'Peers Stock History'!K1112/'Peers Stock History'!K$1833*100</f>
        <v>126.73523569278144</v>
      </c>
    </row>
    <row r="1110" spans="2:10">
      <c r="B1110" s="870">
        <v>43501</v>
      </c>
      <c r="C1110" s="871">
        <f>'Peers Stock History'!D1113/'Peers Stock History'!D$1833*100</f>
        <v>138.72399445214981</v>
      </c>
      <c r="D1110" s="871">
        <f>'Peers Stock History'!E1113/'Peers Stock History'!E$1833*100</f>
        <v>137.56880733944953</v>
      </c>
      <c r="E1110" s="871">
        <f>'Peers Stock History'!F1113/'Peers Stock History'!F$1833*100</f>
        <v>175.26315789473682</v>
      </c>
      <c r="F1110" s="871">
        <f>'Peers Stock History'!G1113/'Peers Stock History'!G$1833*100</f>
        <v>117.05685935628631</v>
      </c>
      <c r="G1110" s="871">
        <f>'Peers Stock History'!H1113/'Peers Stock History'!H$1833*100</f>
        <v>131.07432399631048</v>
      </c>
      <c r="H1110" s="871">
        <f>'Peers Stock History'!I1113/'Peers Stock History'!I$1833*100</f>
        <v>171.02519548218939</v>
      </c>
      <c r="I1110" s="871">
        <f>'Peers Stock History'!J1113/'Peers Stock History'!J$1833*100</f>
        <v>116.53506438224966</v>
      </c>
      <c r="J1110" s="871">
        <f>'Peers Stock History'!K1113/'Peers Stock History'!K$1833*100</f>
        <v>127.19581265551325</v>
      </c>
    </row>
    <row r="1111" spans="2:10">
      <c r="B1111" s="870">
        <v>43500</v>
      </c>
      <c r="C1111" s="871">
        <f>'Peers Stock History'!D1114/'Peers Stock History'!D$1833*100</f>
        <v>136.53259361997229</v>
      </c>
      <c r="D1111" s="871">
        <f>'Peers Stock History'!E1114/'Peers Stock History'!E$1833*100</f>
        <v>136.86238532110093</v>
      </c>
      <c r="E1111" s="871">
        <f>'Peers Stock History'!F1114/'Peers Stock History'!F$1833*100</f>
        <v>181.42857142857142</v>
      </c>
      <c r="F1111" s="871">
        <f>'Peers Stock History'!G1114/'Peers Stock History'!G$1833*100</f>
        <v>117.05685935628631</v>
      </c>
      <c r="G1111" s="871">
        <f>'Peers Stock History'!H1114/'Peers Stock History'!H$1833*100</f>
        <v>132.10350016991114</v>
      </c>
      <c r="H1111" s="871">
        <f>'Peers Stock History'!I1114/'Peers Stock History'!I$1833*100</f>
        <v>171.45960034752389</v>
      </c>
      <c r="I1111" s="871">
        <f>'Peers Stock History'!J1114/'Peers Stock History'!J$1833*100</f>
        <v>115.98893263807597</v>
      </c>
      <c r="J1111" s="871">
        <f>'Peers Stock History'!K1114/'Peers Stock History'!K$1833*100</f>
        <v>126.25847160551531</v>
      </c>
    </row>
    <row r="1112" spans="2:10">
      <c r="B1112" s="870">
        <v>43499</v>
      </c>
      <c r="C1112" s="871">
        <f>'Peers Stock History'!D1115/'Peers Stock History'!D$1833*100</f>
        <v>135.17337031900138</v>
      </c>
      <c r="D1112" s="871">
        <f>'Peers Stock History'!E1115/'Peers Stock History'!E$1833*100</f>
        <v>132.77981651376146</v>
      </c>
      <c r="E1112" s="871">
        <f>'Peers Stock History'!F1115/'Peers Stock History'!F$1833*100</f>
        <v>184.28571428571431</v>
      </c>
      <c r="F1112" s="871">
        <f>'Peers Stock History'!G1115/'Peers Stock History'!G$1833*100</f>
        <v>117.05685935628631</v>
      </c>
      <c r="G1112" s="871">
        <f>'Peers Stock History'!H1115/'Peers Stock History'!H$1833*100</f>
        <v>129.52570513131704</v>
      </c>
      <c r="H1112" s="871">
        <f>'Peers Stock History'!I1115/'Peers Stock History'!I$1833*100</f>
        <v>172.02432667245876</v>
      </c>
      <c r="I1112" s="871">
        <f>'Peers Stock History'!J1115/'Peers Stock History'!J$1833*100</f>
        <v>115.20825795466638</v>
      </c>
      <c r="J1112" s="871">
        <f>'Peers Stock History'!K1115/'Peers Stock History'!K$1833*100</f>
        <v>124.82073876524203</v>
      </c>
    </row>
    <row r="1113" spans="2:10">
      <c r="B1113" s="870">
        <v>43498</v>
      </c>
      <c r="C1113" s="871">
        <f>'Peers Stock History'!D1116/'Peers Stock History'!D$1833*100</f>
        <v>135.17337031900138</v>
      </c>
      <c r="D1113" s="871">
        <f>'Peers Stock History'!E1116/'Peers Stock History'!E$1833*100</f>
        <v>132.77981651376146</v>
      </c>
      <c r="E1113" s="871">
        <f>'Peers Stock History'!F1116/'Peers Stock History'!F$1833*100</f>
        <v>184.28571428571431</v>
      </c>
      <c r="F1113" s="871">
        <f>'Peers Stock History'!G1116/'Peers Stock History'!G$1833*100</f>
        <v>117.05685935628631</v>
      </c>
      <c r="G1113" s="871">
        <f>'Peers Stock History'!H1116/'Peers Stock History'!H$1833*100</f>
        <v>129.52570513131704</v>
      </c>
      <c r="H1113" s="871">
        <f>'Peers Stock History'!I1116/'Peers Stock History'!I$1833*100</f>
        <v>172.02432667245876</v>
      </c>
      <c r="I1113" s="871">
        <f>'Peers Stock History'!J1116/'Peers Stock History'!J$1833*100</f>
        <v>115.20825795466638</v>
      </c>
      <c r="J1113" s="871">
        <f>'Peers Stock History'!K1116/'Peers Stock History'!K$1833*100</f>
        <v>124.82073876524203</v>
      </c>
    </row>
    <row r="1114" spans="2:10">
      <c r="B1114" s="870">
        <v>43497</v>
      </c>
      <c r="C1114" s="871">
        <f>'Peers Stock History'!D1117/'Peers Stock History'!D$1833*100</f>
        <v>135.17337031900138</v>
      </c>
      <c r="D1114" s="871">
        <f>'Peers Stock History'!E1117/'Peers Stock History'!E$1833*100</f>
        <v>132.77981651376146</v>
      </c>
      <c r="E1114" s="871">
        <f>'Peers Stock History'!F1117/'Peers Stock History'!F$1833*100</f>
        <v>184.28571428571431</v>
      </c>
      <c r="F1114" s="871">
        <f>'Peers Stock History'!G1117/'Peers Stock History'!G$1833*100</f>
        <v>117.05685935628631</v>
      </c>
      <c r="G1114" s="871">
        <f>'Peers Stock History'!H1117/'Peers Stock History'!H$1833*100</f>
        <v>129.52570513131704</v>
      </c>
      <c r="H1114" s="871">
        <f>'Peers Stock History'!I1117/'Peers Stock History'!I$1833*100</f>
        <v>172.02432667245876</v>
      </c>
      <c r="I1114" s="871">
        <f>'Peers Stock History'!J1117/'Peers Stock History'!J$1833*100</f>
        <v>115.20825795466638</v>
      </c>
      <c r="J1114" s="871">
        <f>'Peers Stock History'!K1117/'Peers Stock History'!K$1833*100</f>
        <v>124.82073876524203</v>
      </c>
    </row>
    <row r="1115" spans="2:10">
      <c r="B1115" s="870">
        <v>43496</v>
      </c>
      <c r="C1115" s="871">
        <f>'Peers Stock History'!D1118/'Peers Stock History'!D$1833*100</f>
        <v>130.70735090152564</v>
      </c>
      <c r="D1115" s="871">
        <f>'Peers Stock History'!E1118/'Peers Stock History'!E$1833*100</f>
        <v>131.88073394495413</v>
      </c>
      <c r="E1115" s="871">
        <f>'Peers Stock History'!F1118/'Peers Stock History'!F$1833*100</f>
        <v>183.53383458646616</v>
      </c>
      <c r="F1115" s="871">
        <f>'Peers Stock History'!G1118/'Peers Stock History'!G$1833*100</f>
        <v>117.05685935628631</v>
      </c>
      <c r="G1115" s="871">
        <f>'Peers Stock History'!H1118/'Peers Stock History'!H$1833*100</f>
        <v>130.22476819263071</v>
      </c>
      <c r="H1115" s="871">
        <f>'Peers Stock History'!I1118/'Peers Stock History'!I$1833*100</f>
        <v>166.02953953084273</v>
      </c>
      <c r="I1115" s="871">
        <f>'Peers Stock History'!J1118/'Peers Stock History'!J$1833*100</f>
        <v>115.10482068745344</v>
      </c>
      <c r="J1115" s="871">
        <f>'Peers Stock History'!K1118/'Peers Stock History'!K$1833*100</f>
        <v>125.1277958016579</v>
      </c>
    </row>
    <row r="1116" spans="2:10">
      <c r="B1116" s="870">
        <v>43495</v>
      </c>
      <c r="C1116" s="871">
        <f>'Peers Stock History'!D1119/'Peers Stock History'!D$1833*100</f>
        <v>131.872399445215</v>
      </c>
      <c r="D1116" s="871">
        <f>'Peers Stock History'!E1119/'Peers Stock History'!E$1833*100</f>
        <v>126.045871559633</v>
      </c>
      <c r="E1116" s="871">
        <f>'Peers Stock History'!F1119/'Peers Stock History'!F$1833*100</f>
        <v>173.60902255639098</v>
      </c>
      <c r="F1116" s="871">
        <f>'Peers Stock History'!G1119/'Peers Stock History'!G$1833*100</f>
        <v>117.05685935628631</v>
      </c>
      <c r="G1116" s="871">
        <f>'Peers Stock History'!H1119/'Peers Stock History'!H$1833*100</f>
        <v>131.4724015728919</v>
      </c>
      <c r="H1116" s="871">
        <f>'Peers Stock History'!I1119/'Peers Stock History'!I$1833*100</f>
        <v>166.11642050390964</v>
      </c>
      <c r="I1116" s="871">
        <f>'Peers Stock History'!J1119/'Peers Stock History'!J$1833*100</f>
        <v>114.12365648611259</v>
      </c>
      <c r="J1116" s="871">
        <f>'Peers Stock History'!K1119/'Peers Stock History'!K$1833*100</f>
        <v>123.43247803912405</v>
      </c>
    </row>
    <row r="1117" spans="2:10">
      <c r="B1117" s="870">
        <v>43494</v>
      </c>
      <c r="C1117" s="871">
        <f>'Peers Stock History'!D1120/'Peers Stock History'!D$1833*100</f>
        <v>129.0984743411928</v>
      </c>
      <c r="D1117" s="871">
        <f>'Peers Stock History'!E1120/'Peers Stock History'!E$1833*100</f>
        <v>120.73394495412843</v>
      </c>
      <c r="E1117" s="871">
        <f>'Peers Stock History'!F1120/'Peers Stock History'!F$1833*100</f>
        <v>144.73684210526315</v>
      </c>
      <c r="F1117" s="871">
        <f>'Peers Stock History'!G1120/'Peers Stock History'!G$1833*100</f>
        <v>117.56426602790336</v>
      </c>
      <c r="G1117" s="871">
        <f>'Peers Stock History'!H1120/'Peers Stock History'!H$1833*100</f>
        <v>129.2878295062867</v>
      </c>
      <c r="H1117" s="871">
        <f>'Peers Stock History'!I1120/'Peers Stock History'!I$1833*100</f>
        <v>162.42397914856647</v>
      </c>
      <c r="I1117" s="871">
        <f>'Peers Stock History'!J1120/'Peers Stock History'!J$1833*100</f>
        <v>112.37629030541663</v>
      </c>
      <c r="J1117" s="871">
        <f>'Peers Stock History'!K1120/'Peers Stock History'!K$1833*100</f>
        <v>120.77261729650964</v>
      </c>
    </row>
    <row r="1118" spans="2:10">
      <c r="B1118" s="870">
        <v>43493</v>
      </c>
      <c r="C1118" s="871">
        <f>'Peers Stock History'!D1121/'Peers Stock History'!D$1833*100</f>
        <v>129.57004160887658</v>
      </c>
      <c r="D1118" s="871">
        <f>'Peers Stock History'!E1121/'Peers Stock History'!E$1833*100</f>
        <v>126.61467889908255</v>
      </c>
      <c r="E1118" s="871">
        <f>'Peers Stock History'!F1121/'Peers Stock History'!F$1833*100</f>
        <v>151.72932330827066</v>
      </c>
      <c r="F1118" s="871">
        <f>'Peers Stock History'!G1121/'Peers Stock History'!G$1833*100</f>
        <v>121.03017741602497</v>
      </c>
      <c r="G1118" s="871">
        <f>'Peers Stock History'!H1121/'Peers Stock History'!H$1833*100</f>
        <v>129.91892810330597</v>
      </c>
      <c r="H1118" s="871">
        <f>'Peers Stock History'!I1121/'Peers Stock History'!I$1833*100</f>
        <v>165.42137271937446</v>
      </c>
      <c r="I1118" s="871">
        <f>'Peers Stock History'!J1121/'Peers Stock History'!J$1833*100</f>
        <v>112.54017239544535</v>
      </c>
      <c r="J1118" s="871">
        <f>'Peers Stock History'!K1121/'Peers Stock History'!K$1833*100</f>
        <v>121.75888057957469</v>
      </c>
    </row>
    <row r="1119" spans="2:10">
      <c r="B1119" s="870">
        <v>43492</v>
      </c>
      <c r="C1119" s="871">
        <f>'Peers Stock History'!D1122/'Peers Stock History'!D$1833*100</f>
        <v>130.48543689320388</v>
      </c>
      <c r="D1119" s="871">
        <f>'Peers Stock History'!E1122/'Peers Stock History'!E$1833*100</f>
        <v>146.92660550458717</v>
      </c>
      <c r="E1119" s="871">
        <f>'Peers Stock History'!F1122/'Peers Stock History'!F$1833*100</f>
        <v>164.88721804511277</v>
      </c>
      <c r="F1119" s="871">
        <f>'Peers Stock History'!G1122/'Peers Stock History'!G$1833*100</f>
        <v>119.72079729667338</v>
      </c>
      <c r="G1119" s="871">
        <f>'Peers Stock History'!H1122/'Peers Stock History'!H$1833*100</f>
        <v>130.07427545026457</v>
      </c>
      <c r="H1119" s="871">
        <f>'Peers Stock History'!I1122/'Peers Stock History'!I$1833*100</f>
        <v>169.24413553431799</v>
      </c>
      <c r="I1119" s="871">
        <f>'Peers Stock History'!J1122/'Peers Stock History'!J$1833*100</f>
        <v>113.43024369479622</v>
      </c>
      <c r="J1119" s="871">
        <f>'Peers Stock History'!K1122/'Peers Stock History'!K$1833*100</f>
        <v>123.11947541344183</v>
      </c>
    </row>
    <row r="1120" spans="2:10">
      <c r="B1120" s="870">
        <v>43491</v>
      </c>
      <c r="C1120" s="871">
        <f>'Peers Stock History'!D1123/'Peers Stock History'!D$1833*100</f>
        <v>130.48543689320388</v>
      </c>
      <c r="D1120" s="871">
        <f>'Peers Stock History'!E1123/'Peers Stock History'!E$1833*100</f>
        <v>146.92660550458717</v>
      </c>
      <c r="E1120" s="871">
        <f>'Peers Stock History'!F1123/'Peers Stock History'!F$1833*100</f>
        <v>164.88721804511277</v>
      </c>
      <c r="F1120" s="871">
        <f>'Peers Stock History'!G1123/'Peers Stock History'!G$1833*100</f>
        <v>119.72079729667338</v>
      </c>
      <c r="G1120" s="871">
        <f>'Peers Stock History'!H1123/'Peers Stock History'!H$1833*100</f>
        <v>130.07427545026457</v>
      </c>
      <c r="H1120" s="871">
        <f>'Peers Stock History'!I1123/'Peers Stock History'!I$1833*100</f>
        <v>169.24413553431799</v>
      </c>
      <c r="I1120" s="871">
        <f>'Peers Stock History'!J1123/'Peers Stock History'!J$1833*100</f>
        <v>113.43024369479622</v>
      </c>
      <c r="J1120" s="871">
        <f>'Peers Stock History'!K1123/'Peers Stock History'!K$1833*100</f>
        <v>123.11947541344183</v>
      </c>
    </row>
    <row r="1121" spans="2:10">
      <c r="B1121" s="870">
        <v>43490</v>
      </c>
      <c r="C1121" s="871">
        <f>'Peers Stock History'!D1124/'Peers Stock History'!D$1833*100</f>
        <v>130.48543689320388</v>
      </c>
      <c r="D1121" s="871">
        <f>'Peers Stock History'!E1124/'Peers Stock History'!E$1833*100</f>
        <v>146.92660550458717</v>
      </c>
      <c r="E1121" s="871">
        <f>'Peers Stock History'!F1124/'Peers Stock History'!F$1833*100</f>
        <v>164.88721804511277</v>
      </c>
      <c r="F1121" s="871">
        <f>'Peers Stock History'!G1124/'Peers Stock History'!G$1833*100</f>
        <v>119.72079729667338</v>
      </c>
      <c r="G1121" s="871">
        <f>'Peers Stock History'!H1124/'Peers Stock History'!H$1833*100</f>
        <v>130.07427545026457</v>
      </c>
      <c r="H1121" s="871">
        <f>'Peers Stock History'!I1124/'Peers Stock History'!I$1833*100</f>
        <v>169.24413553431799</v>
      </c>
      <c r="I1121" s="871">
        <f>'Peers Stock History'!J1124/'Peers Stock History'!J$1833*100</f>
        <v>113.43024369479622</v>
      </c>
      <c r="J1121" s="871">
        <f>'Peers Stock History'!K1124/'Peers Stock History'!K$1833*100</f>
        <v>123.11947541344183</v>
      </c>
    </row>
    <row r="1122" spans="2:10">
      <c r="B1122" s="870">
        <v>43489</v>
      </c>
      <c r="C1122" s="871">
        <f>'Peers Stock History'!D1125/'Peers Stock History'!D$1833*100</f>
        <v>138.03051317614427</v>
      </c>
      <c r="D1122" s="871">
        <f>'Peers Stock History'!E1125/'Peers Stock History'!E$1833*100</f>
        <v>144.8073394495413</v>
      </c>
      <c r="E1122" s="871">
        <f>'Peers Stock History'!F1125/'Peers Stock History'!F$1833*100</f>
        <v>156.76691729323309</v>
      </c>
      <c r="F1122" s="871">
        <f>'Peers Stock History'!G1125/'Peers Stock History'!G$1833*100</f>
        <v>117.27856451950818</v>
      </c>
      <c r="G1122" s="871">
        <f>'Peers Stock History'!H1125/'Peers Stock History'!H$1833*100</f>
        <v>127.94310403417641</v>
      </c>
      <c r="H1122" s="871">
        <f>'Peers Stock History'!I1125/'Peers Stock History'!I$1833*100</f>
        <v>158.94874022589053</v>
      </c>
      <c r="I1122" s="871">
        <f>'Peers Stock History'!J1125/'Peers Stock History'!J$1833*100</f>
        <v>112.47547089496648</v>
      </c>
      <c r="J1122" s="871">
        <f>'Peers Stock History'!K1125/'Peers Stock History'!K$1833*100</f>
        <v>121.54884318766068</v>
      </c>
    </row>
    <row r="1123" spans="2:10">
      <c r="B1123" s="870">
        <v>43488</v>
      </c>
      <c r="C1123" s="871">
        <f>'Peers Stock History'!D1126/'Peers Stock History'!D$1833*100</f>
        <v>132.98196948682386</v>
      </c>
      <c r="D1123" s="871">
        <f>'Peers Stock History'!E1126/'Peers Stock History'!E$1833*100</f>
        <v>136.96330275229357</v>
      </c>
      <c r="E1123" s="871">
        <f>'Peers Stock History'!F1126/'Peers Stock History'!F$1833*100</f>
        <v>148.87218045112783</v>
      </c>
      <c r="F1123" s="871">
        <f>'Peers Stock History'!G1126/'Peers Stock History'!G$1833*100</f>
        <v>116.30351372091266</v>
      </c>
      <c r="G1123" s="871">
        <f>'Peers Stock History'!H1126/'Peers Stock History'!H$1833*100</f>
        <v>125.01577746492546</v>
      </c>
      <c r="H1123" s="871">
        <f>'Peers Stock History'!I1126/'Peers Stock History'!I$1833*100</f>
        <v>148.74022589052998</v>
      </c>
      <c r="I1123" s="871">
        <f>'Peers Stock History'!J1126/'Peers Stock History'!J$1833*100</f>
        <v>112.32095349579652</v>
      </c>
      <c r="J1123" s="871">
        <f>'Peers Stock History'!K1126/'Peers Stock History'!K$1833*100</f>
        <v>120.7292626094607</v>
      </c>
    </row>
    <row r="1124" spans="2:10">
      <c r="B1124" s="870">
        <v>43487</v>
      </c>
      <c r="C1124" s="871">
        <f>'Peers Stock History'!D1127/'Peers Stock History'!D$1833*100</f>
        <v>133.89736477115119</v>
      </c>
      <c r="D1124" s="871">
        <f>'Peers Stock History'!E1127/'Peers Stock History'!E$1833*100</f>
        <v>136.48623853211009</v>
      </c>
      <c r="E1124" s="871">
        <f>'Peers Stock History'!F1127/'Peers Stock History'!F$1833*100</f>
        <v>148.57142857142858</v>
      </c>
      <c r="F1124" s="871">
        <f>'Peers Stock History'!G1127/'Peers Stock History'!G$1833*100</f>
        <v>117.4393685805515</v>
      </c>
      <c r="G1124" s="871">
        <f>'Peers Stock History'!H1127/'Peers Stock History'!H$1833*100</f>
        <v>125.3895820185446</v>
      </c>
      <c r="H1124" s="871">
        <f>'Peers Stock History'!I1127/'Peers Stock History'!I$1833*100</f>
        <v>147.13292788879235</v>
      </c>
      <c r="I1124" s="871">
        <f>'Peers Stock History'!J1127/'Peers Stock History'!J$1833*100</f>
        <v>112.07406619133766</v>
      </c>
      <c r="J1124" s="871">
        <f>'Peers Stock History'!K1127/'Peers Stock History'!K$1833*100</f>
        <v>120.6362811542004</v>
      </c>
    </row>
    <row r="1125" spans="2:10">
      <c r="B1125" s="870">
        <v>43486</v>
      </c>
      <c r="C1125" s="871">
        <f>'Peers Stock History'!D1128/'Peers Stock History'!D$1833*100</f>
        <v>136.4493758668516</v>
      </c>
      <c r="D1125" s="871">
        <f>'Peers Stock History'!E1128/'Peers Stock History'!E$1833*100</f>
        <v>143.97247706422019</v>
      </c>
      <c r="E1125" s="871">
        <f>'Peers Stock History'!F1128/'Peers Stock History'!F$1833*100</f>
        <v>156.16541353383457</v>
      </c>
      <c r="F1125" s="871">
        <f>'Peers Stock History'!G1128/'Peers Stock History'!G$1833*100</f>
        <v>116.40117418003125</v>
      </c>
      <c r="G1125" s="871">
        <f>'Peers Stock History'!H1128/'Peers Stock History'!H$1833*100</f>
        <v>126.61779698043594</v>
      </c>
      <c r="H1125" s="871">
        <f>'Peers Stock History'!I1128/'Peers Stock History'!I$1833*100</f>
        <v>155.34317984361422</v>
      </c>
      <c r="I1125" s="871">
        <f>'Peers Stock History'!J1128/'Peers Stock History'!J$1833*100</f>
        <v>113.6835160157497</v>
      </c>
      <c r="J1125" s="871">
        <f>'Peers Stock History'!K1128/'Peers Stock History'!K$1833*100</f>
        <v>122.98826003876661</v>
      </c>
    </row>
    <row r="1126" spans="2:10">
      <c r="B1126" s="870">
        <v>43485</v>
      </c>
      <c r="C1126" s="871">
        <f>'Peers Stock History'!D1129/'Peers Stock History'!D$1833*100</f>
        <v>136.4493758668516</v>
      </c>
      <c r="D1126" s="871">
        <f>'Peers Stock History'!E1129/'Peers Stock History'!E$1833*100</f>
        <v>143.97247706422019</v>
      </c>
      <c r="E1126" s="871">
        <f>'Peers Stock History'!F1129/'Peers Stock History'!F$1833*100</f>
        <v>156.16541353383457</v>
      </c>
      <c r="F1126" s="871">
        <f>'Peers Stock History'!G1129/'Peers Stock History'!G$1833*100</f>
        <v>115.16272275571131</v>
      </c>
      <c r="G1126" s="871">
        <f>'Peers Stock History'!H1129/'Peers Stock History'!H$1833*100</f>
        <v>126.61779698043594</v>
      </c>
      <c r="H1126" s="871">
        <f>'Peers Stock History'!I1129/'Peers Stock History'!I$1833*100</f>
        <v>155.34317984361422</v>
      </c>
      <c r="I1126" s="871">
        <f>'Peers Stock History'!J1129/'Peers Stock History'!J$1833*100</f>
        <v>113.6835160157497</v>
      </c>
      <c r="J1126" s="871">
        <f>'Peers Stock History'!K1129/'Peers Stock History'!K$1833*100</f>
        <v>122.98826003876661</v>
      </c>
    </row>
    <row r="1127" spans="2:10">
      <c r="B1127" s="870">
        <v>43484</v>
      </c>
      <c r="C1127" s="871">
        <f>'Peers Stock History'!D1130/'Peers Stock History'!D$1833*100</f>
        <v>136.4493758668516</v>
      </c>
      <c r="D1127" s="871">
        <f>'Peers Stock History'!E1130/'Peers Stock History'!E$1833*100</f>
        <v>143.97247706422019</v>
      </c>
      <c r="E1127" s="871">
        <f>'Peers Stock History'!F1130/'Peers Stock History'!F$1833*100</f>
        <v>156.16541353383457</v>
      </c>
      <c r="F1127" s="871">
        <f>'Peers Stock History'!G1130/'Peers Stock History'!G$1833*100</f>
        <v>115.16272275571131</v>
      </c>
      <c r="G1127" s="871">
        <f>'Peers Stock History'!H1130/'Peers Stock History'!H$1833*100</f>
        <v>126.61779698043594</v>
      </c>
      <c r="H1127" s="871">
        <f>'Peers Stock History'!I1130/'Peers Stock History'!I$1833*100</f>
        <v>155.34317984361422</v>
      </c>
      <c r="I1127" s="871">
        <f>'Peers Stock History'!J1130/'Peers Stock History'!J$1833*100</f>
        <v>113.6835160157497</v>
      </c>
      <c r="J1127" s="871">
        <f>'Peers Stock History'!K1130/'Peers Stock History'!K$1833*100</f>
        <v>122.98826003876661</v>
      </c>
    </row>
    <row r="1128" spans="2:10">
      <c r="B1128" s="870">
        <v>43483</v>
      </c>
      <c r="C1128" s="871">
        <f>'Peers Stock History'!D1131/'Peers Stock History'!D$1833*100</f>
        <v>136.4493758668516</v>
      </c>
      <c r="D1128" s="871">
        <f>'Peers Stock History'!E1131/'Peers Stock History'!E$1833*100</f>
        <v>143.97247706422019</v>
      </c>
      <c r="E1128" s="871">
        <f>'Peers Stock History'!F1131/'Peers Stock History'!F$1833*100</f>
        <v>156.16541353383457</v>
      </c>
      <c r="F1128" s="871">
        <f>'Peers Stock History'!G1131/'Peers Stock History'!G$1833*100</f>
        <v>115.16272275571131</v>
      </c>
      <c r="G1128" s="871">
        <f>'Peers Stock History'!H1131/'Peers Stock History'!H$1833*100</f>
        <v>126.61779698043594</v>
      </c>
      <c r="H1128" s="871">
        <f>'Peers Stock History'!I1131/'Peers Stock History'!I$1833*100</f>
        <v>155.34317984361422</v>
      </c>
      <c r="I1128" s="871">
        <f>'Peers Stock History'!J1131/'Peers Stock History'!J$1833*100</f>
        <v>113.6835160157497</v>
      </c>
      <c r="J1128" s="871">
        <f>'Peers Stock History'!K1131/'Peers Stock History'!K$1833*100</f>
        <v>122.98826003876661</v>
      </c>
    </row>
    <row r="1129" spans="2:10">
      <c r="B1129" s="870">
        <v>43482</v>
      </c>
      <c r="C1129" s="871">
        <f>'Peers Stock History'!D1132/'Peers Stock History'!D$1833*100</f>
        <v>134.45214979195563</v>
      </c>
      <c r="D1129" s="871">
        <f>'Peers Stock History'!E1132/'Peers Stock History'!E$1833*100</f>
        <v>139.19266055045873</v>
      </c>
      <c r="E1129" s="871">
        <f>'Peers Stock History'!F1132/'Peers Stock History'!F$1833*100</f>
        <v>152.25563909774436</v>
      </c>
      <c r="F1129" s="871">
        <f>'Peers Stock History'!G1132/'Peers Stock History'!G$1833*100</f>
        <v>116.36765723678522</v>
      </c>
      <c r="G1129" s="871">
        <f>'Peers Stock History'!H1132/'Peers Stock History'!H$1833*100</f>
        <v>123.95261905917762</v>
      </c>
      <c r="H1129" s="871">
        <f>'Peers Stock History'!I1132/'Peers Stock History'!I$1833*100</f>
        <v>147.17636837532581</v>
      </c>
      <c r="I1129" s="871">
        <f>'Peers Stock History'!J1132/'Peers Stock History'!J$1833*100</f>
        <v>112.20432052782803</v>
      </c>
      <c r="J1129" s="871">
        <f>'Peers Stock History'!K1132/'Peers Stock History'!K$1833*100</f>
        <v>121.73788199551848</v>
      </c>
    </row>
    <row r="1130" spans="2:10">
      <c r="B1130" s="870">
        <v>43481</v>
      </c>
      <c r="C1130" s="871">
        <f>'Peers Stock History'!D1133/'Peers Stock History'!D$1833*100</f>
        <v>133.5090152565881</v>
      </c>
      <c r="D1130" s="871">
        <f>'Peers Stock History'!E1133/'Peers Stock History'!E$1833*100</f>
        <v>136.55045871559633</v>
      </c>
      <c r="E1130" s="871">
        <f>'Peers Stock History'!F1133/'Peers Stock History'!F$1833*100</f>
        <v>148.34586466165413</v>
      </c>
      <c r="F1130" s="871">
        <f>'Peers Stock History'!G1133/'Peers Stock History'!G$1833*100</f>
        <v>114.88505631603989</v>
      </c>
      <c r="G1130" s="871">
        <f>'Peers Stock History'!H1133/'Peers Stock History'!H$1833*100</f>
        <v>122.19039759211611</v>
      </c>
      <c r="H1130" s="871">
        <f>'Peers Stock History'!I1133/'Peers Stock History'!I$1833*100</f>
        <v>145.87315377932234</v>
      </c>
      <c r="I1130" s="871">
        <f>'Peers Stock History'!J1133/'Peers Stock History'!J$1833*100</f>
        <v>111.35894434393956</v>
      </c>
      <c r="J1130" s="871">
        <f>'Peers Stock History'!K1133/'Peers Stock History'!K$1833*100</f>
        <v>120.88264506550459</v>
      </c>
    </row>
    <row r="1131" spans="2:10">
      <c r="B1131" s="870">
        <v>43480</v>
      </c>
      <c r="C1131" s="871">
        <f>'Peers Stock History'!D1134/'Peers Stock History'!D$1833*100</f>
        <v>134.81276005547852</v>
      </c>
      <c r="D1131" s="871">
        <f>'Peers Stock History'!E1134/'Peers Stock History'!E$1833*100</f>
        <v>137.49541284403671</v>
      </c>
      <c r="E1131" s="871">
        <f>'Peers Stock History'!F1134/'Peers Stock History'!F$1833*100</f>
        <v>153.23308270676691</v>
      </c>
      <c r="F1131" s="871">
        <f>'Peers Stock History'!G1134/'Peers Stock History'!G$1833*100</f>
        <v>116.62396238727916</v>
      </c>
      <c r="G1131" s="871">
        <f>'Peers Stock History'!H1134/'Peers Stock History'!H$1833*100</f>
        <v>124.51575319190252</v>
      </c>
      <c r="H1131" s="871">
        <f>'Peers Stock History'!I1134/'Peers Stock History'!I$1833*100</f>
        <v>147.65421372719376</v>
      </c>
      <c r="I1131" s="871">
        <f>'Peers Stock History'!J1134/'Peers Stock History'!J$1833*100</f>
        <v>111.11205703948069</v>
      </c>
      <c r="J1131" s="871">
        <f>'Peers Stock History'!K1134/'Peers Stock History'!K$1833*100</f>
        <v>120.69604635497575</v>
      </c>
    </row>
    <row r="1132" spans="2:10">
      <c r="B1132" s="870">
        <v>43479</v>
      </c>
      <c r="C1132" s="871">
        <f>'Peers Stock History'!D1135/'Peers Stock History'!D$1833*100</f>
        <v>134.11927877947295</v>
      </c>
      <c r="D1132" s="871">
        <f>'Peers Stock History'!E1135/'Peers Stock History'!E$1833*100</f>
        <v>138.0183486238532</v>
      </c>
      <c r="E1132" s="871">
        <f>'Peers Stock History'!F1135/'Peers Stock History'!F$1833*100</f>
        <v>152.10526315789471</v>
      </c>
      <c r="F1132" s="871">
        <f>'Peers Stock History'!G1135/'Peers Stock History'!G$1833*100</f>
        <v>115.27103211066245</v>
      </c>
      <c r="G1132" s="871">
        <f>'Peers Stock History'!H1135/'Peers Stock History'!H$1833*100</f>
        <v>121.78746541094227</v>
      </c>
      <c r="H1132" s="871">
        <f>'Peers Stock History'!I1135/'Peers Stock History'!I$1833*100</f>
        <v>150.60816681146829</v>
      </c>
      <c r="I1132" s="871">
        <f>'Peers Stock History'!J1135/'Peers Stock History'!J$1833*100</f>
        <v>109.93338299457274</v>
      </c>
      <c r="J1132" s="871">
        <f>'Peers Stock History'!K1135/'Peers Stock History'!K$1833*100</f>
        <v>118.66975172868868</v>
      </c>
    </row>
    <row r="1133" spans="2:10">
      <c r="B1133" s="870">
        <v>43478</v>
      </c>
      <c r="C1133" s="871">
        <f>'Peers Stock History'!D1136/'Peers Stock History'!D$1833*100</f>
        <v>135.72815533980585</v>
      </c>
      <c r="D1133" s="871">
        <f>'Peers Stock History'!E1136/'Peers Stock History'!E$1833*100</f>
        <v>136.54128440366972</v>
      </c>
      <c r="E1133" s="871">
        <f>'Peers Stock History'!F1136/'Peers Stock History'!F$1833*100</f>
        <v>152.40601503759396</v>
      </c>
      <c r="F1133" s="871">
        <f>'Peers Stock History'!G1136/'Peers Stock History'!G$1833*100</f>
        <v>116.47345975667838</v>
      </c>
      <c r="G1133" s="871">
        <f>'Peers Stock History'!H1136/'Peers Stock History'!H$1833*100</f>
        <v>121.64182727316859</v>
      </c>
      <c r="H1133" s="871">
        <f>'Peers Stock History'!I1136/'Peers Stock History'!I$1833*100</f>
        <v>156.42919200695047</v>
      </c>
      <c r="I1133" s="871">
        <f>'Peers Stock History'!J1136/'Peers Stock History'!J$1833*100</f>
        <v>110.51441949558371</v>
      </c>
      <c r="J1133" s="871">
        <f>'Peers Stock History'!K1136/'Peers Stock History'!K$1833*100</f>
        <v>119.7963377919525</v>
      </c>
    </row>
    <row r="1134" spans="2:10">
      <c r="B1134" s="870">
        <v>43477</v>
      </c>
      <c r="C1134" s="871">
        <f>'Peers Stock History'!D1137/'Peers Stock History'!D$1833*100</f>
        <v>135.72815533980585</v>
      </c>
      <c r="D1134" s="871">
        <f>'Peers Stock History'!E1137/'Peers Stock History'!E$1833*100</f>
        <v>136.54128440366972</v>
      </c>
      <c r="E1134" s="871">
        <f>'Peers Stock History'!F1137/'Peers Stock History'!F$1833*100</f>
        <v>152.40601503759396</v>
      </c>
      <c r="F1134" s="871">
        <f>'Peers Stock History'!G1137/'Peers Stock History'!G$1833*100</f>
        <v>116.47345975667838</v>
      </c>
      <c r="G1134" s="871">
        <f>'Peers Stock History'!H1137/'Peers Stock History'!H$1833*100</f>
        <v>121.64182727316859</v>
      </c>
      <c r="H1134" s="871">
        <f>'Peers Stock History'!I1137/'Peers Stock History'!I$1833*100</f>
        <v>156.42919200695047</v>
      </c>
      <c r="I1134" s="871">
        <f>'Peers Stock History'!J1137/'Peers Stock History'!J$1833*100</f>
        <v>110.51441949558371</v>
      </c>
      <c r="J1134" s="871">
        <f>'Peers Stock History'!K1137/'Peers Stock History'!K$1833*100</f>
        <v>119.7963377919525</v>
      </c>
    </row>
    <row r="1135" spans="2:10">
      <c r="B1135" s="870">
        <v>43476</v>
      </c>
      <c r="C1135" s="871">
        <f>'Peers Stock History'!D1138/'Peers Stock History'!D$1833*100</f>
        <v>135.72815533980585</v>
      </c>
      <c r="D1135" s="871">
        <f>'Peers Stock History'!E1138/'Peers Stock History'!E$1833*100</f>
        <v>136.54128440366972</v>
      </c>
      <c r="E1135" s="871">
        <f>'Peers Stock History'!F1138/'Peers Stock History'!F$1833*100</f>
        <v>152.40601503759396</v>
      </c>
      <c r="F1135" s="871">
        <f>'Peers Stock History'!G1138/'Peers Stock History'!G$1833*100</f>
        <v>116.47345975667838</v>
      </c>
      <c r="G1135" s="871">
        <f>'Peers Stock History'!H1138/'Peers Stock History'!H$1833*100</f>
        <v>121.64182727316859</v>
      </c>
      <c r="H1135" s="871">
        <f>'Peers Stock History'!I1138/'Peers Stock History'!I$1833*100</f>
        <v>156.42919200695047</v>
      </c>
      <c r="I1135" s="871">
        <f>'Peers Stock History'!J1138/'Peers Stock History'!J$1833*100</f>
        <v>110.51441949558371</v>
      </c>
      <c r="J1135" s="871">
        <f>'Peers Stock History'!K1138/'Peers Stock History'!K$1833*100</f>
        <v>119.7963377919525</v>
      </c>
    </row>
    <row r="1136" spans="2:10">
      <c r="B1136" s="870">
        <v>43475</v>
      </c>
      <c r="C1136" s="871">
        <f>'Peers Stock History'!D1139/'Peers Stock History'!D$1833*100</f>
        <v>134.70180305131763</v>
      </c>
      <c r="D1136" s="871">
        <f>'Peers Stock History'!E1139/'Peers Stock History'!E$1833*100</f>
        <v>133.23853211009174</v>
      </c>
      <c r="E1136" s="871">
        <f>'Peers Stock History'!F1139/'Peers Stock History'!F$1833*100</f>
        <v>148.42105263157893</v>
      </c>
      <c r="F1136" s="871">
        <f>'Peers Stock History'!G1139/'Peers Stock History'!G$1833*100</f>
        <v>114.12980432371728</v>
      </c>
      <c r="G1136" s="871">
        <f>'Peers Stock History'!H1139/'Peers Stock History'!H$1833*100</f>
        <v>121.13209379096072</v>
      </c>
      <c r="H1136" s="871">
        <f>'Peers Stock History'!I1139/'Peers Stock History'!I$1833*100</f>
        <v>155.99478714161597</v>
      </c>
      <c r="I1136" s="871">
        <f>'Peers Stock History'!J1139/'Peers Stock History'!J$1833*100</f>
        <v>110.5305948707034</v>
      </c>
      <c r="J1136" s="871">
        <f>'Peers Stock History'!K1139/'Peers Stock History'!K$1833*100</f>
        <v>120.04708356817839</v>
      </c>
    </row>
    <row r="1137" spans="2:10">
      <c r="B1137" s="870">
        <v>43474</v>
      </c>
      <c r="C1137" s="871">
        <f>'Peers Stock History'!D1140/'Peers Stock History'!D$1833*100</f>
        <v>133.17614424410542</v>
      </c>
      <c r="D1137" s="871">
        <f>'Peers Stock History'!E1140/'Peers Stock History'!E$1833*100</f>
        <v>130.8073394495413</v>
      </c>
      <c r="E1137" s="871">
        <f>'Peers Stock History'!F1140/'Peers Stock History'!F$1833*100</f>
        <v>151.80451127819549</v>
      </c>
      <c r="F1137" s="871">
        <f>'Peers Stock History'!G1140/'Peers Stock History'!G$1833*100</f>
        <v>113.88041087063272</v>
      </c>
      <c r="G1137" s="871">
        <f>'Peers Stock History'!H1140/'Peers Stock History'!H$1833*100</f>
        <v>119.559201903005</v>
      </c>
      <c r="H1137" s="871">
        <f>'Peers Stock History'!I1140/'Peers Stock History'!I$1833*100</f>
        <v>153.95308427454387</v>
      </c>
      <c r="I1137" s="871">
        <f>'Peers Stock History'!J1140/'Peers Stock History'!J$1833*100</f>
        <v>110.03341491965521</v>
      </c>
      <c r="J1137" s="871">
        <f>'Peers Stock History'!K1140/'Peers Stock History'!K$1833*100</f>
        <v>119.5488913022559</v>
      </c>
    </row>
    <row r="1138" spans="2:10">
      <c r="B1138" s="870">
        <v>43473</v>
      </c>
      <c r="C1138" s="871">
        <f>'Peers Stock History'!D1141/'Peers Stock History'!D$1833*100</f>
        <v>132.42718446601944</v>
      </c>
      <c r="D1138" s="871">
        <f>'Peers Stock History'!E1141/'Peers Stock History'!E$1833*100</f>
        <v>128.28440366972478</v>
      </c>
      <c r="E1138" s="871">
        <f>'Peers Stock History'!F1141/'Peers Stock History'!F$1833*100</f>
        <v>156.01503759398497</v>
      </c>
      <c r="F1138" s="871">
        <f>'Peers Stock History'!G1141/'Peers Stock History'!G$1833*100</f>
        <v>111.30353158046272</v>
      </c>
      <c r="G1138" s="871">
        <f>'Peers Stock History'!H1141/'Peers Stock History'!H$1833*100</f>
        <v>114.60265061410749</v>
      </c>
      <c r="H1138" s="871">
        <f>'Peers Stock History'!I1141/'Peers Stock History'!I$1833*100</f>
        <v>146.56820156385751</v>
      </c>
      <c r="I1138" s="871">
        <f>'Peers Stock History'!J1141/'Peers Stock History'!J$1833*100</f>
        <v>109.58433542619986</v>
      </c>
      <c r="J1138" s="871">
        <f>'Peers Stock History'!K1141/'Peers Stock History'!K$1833*100</f>
        <v>118.51652392670084</v>
      </c>
    </row>
    <row r="1139" spans="2:10">
      <c r="B1139" s="870">
        <v>43472</v>
      </c>
      <c r="C1139" s="871">
        <f>'Peers Stock History'!D1142/'Peers Stock History'!D$1833*100</f>
        <v>131.59500693481277</v>
      </c>
      <c r="D1139" s="871">
        <f>'Peers Stock History'!E1142/'Peers Stock History'!E$1833*100</f>
        <v>131.55963302752295</v>
      </c>
      <c r="E1139" s="871">
        <f>'Peers Stock History'!F1142/'Peers Stock History'!F$1833*100</f>
        <v>154.66165413533835</v>
      </c>
      <c r="F1139" s="871">
        <f>'Peers Stock History'!G1142/'Peers Stock History'!G$1833*100</f>
        <v>112.47890597022237</v>
      </c>
      <c r="G1139" s="871">
        <f>'Peers Stock History'!H1142/'Peers Stock History'!H$1833*100</f>
        <v>115.52988009126655</v>
      </c>
      <c r="H1139" s="871">
        <f>'Peers Stock History'!I1142/'Peers Stock History'!I$1833*100</f>
        <v>147.69765421372719</v>
      </c>
      <c r="I1139" s="871">
        <f>'Peers Stock History'!J1142/'Peers Stock History'!J$1833*100</f>
        <v>108.53208470788549</v>
      </c>
      <c r="J1139" s="871">
        <f>'Peers Stock History'!K1142/'Peers Stock History'!K$1833*100</f>
        <v>117.2530518400396</v>
      </c>
    </row>
    <row r="1140" spans="2:10">
      <c r="B1140" s="870">
        <v>43471</v>
      </c>
      <c r="C1140" s="871">
        <f>'Peers Stock History'!D1143/'Peers Stock History'!D$1833*100</f>
        <v>130.98474341192789</v>
      </c>
      <c r="D1140" s="871">
        <f>'Peers Stock History'!E1143/'Peers Stock History'!E$1833*100</f>
        <v>124.94495412844036</v>
      </c>
      <c r="E1140" s="871">
        <f>'Peers Stock History'!F1143/'Peers Stock History'!F$1833*100</f>
        <v>142.85714285714286</v>
      </c>
      <c r="F1140" s="871">
        <f>'Peers Stock History'!G1143/'Peers Stock History'!G$1833*100</f>
        <v>109.90277453395009</v>
      </c>
      <c r="G1140" s="871">
        <f>'Peers Stock History'!H1143/'Peers Stock History'!H$1833*100</f>
        <v>113.22394290984998</v>
      </c>
      <c r="H1140" s="871">
        <f>'Peers Stock History'!I1143/'Peers Stock History'!I$1833*100</f>
        <v>142.05039096437881</v>
      </c>
      <c r="I1140" s="871">
        <f>'Peers Stock History'!J1143/'Peers Stock History'!J$1833*100</f>
        <v>107.7765244226881</v>
      </c>
      <c r="J1140" s="871">
        <f>'Peers Stock History'!K1143/'Peers Stock History'!K$1833*100</f>
        <v>115.79906314009595</v>
      </c>
    </row>
    <row r="1141" spans="2:10">
      <c r="B1141" s="870">
        <v>43470</v>
      </c>
      <c r="C1141" s="871">
        <f>'Peers Stock History'!D1144/'Peers Stock History'!D$1833*100</f>
        <v>130.98474341192789</v>
      </c>
      <c r="D1141" s="871">
        <f>'Peers Stock History'!E1144/'Peers Stock History'!E$1833*100</f>
        <v>124.94495412844036</v>
      </c>
      <c r="E1141" s="871">
        <f>'Peers Stock History'!F1144/'Peers Stock History'!F$1833*100</f>
        <v>142.85714285714286</v>
      </c>
      <c r="F1141" s="871">
        <f>'Peers Stock History'!G1144/'Peers Stock History'!G$1833*100</f>
        <v>109.90277453395009</v>
      </c>
      <c r="G1141" s="871">
        <f>'Peers Stock History'!H1144/'Peers Stock History'!H$1833*100</f>
        <v>113.22394290984998</v>
      </c>
      <c r="H1141" s="871">
        <f>'Peers Stock History'!I1144/'Peers Stock History'!I$1833*100</f>
        <v>142.05039096437881</v>
      </c>
      <c r="I1141" s="871">
        <f>'Peers Stock History'!J1144/'Peers Stock History'!J$1833*100</f>
        <v>107.7765244226881</v>
      </c>
      <c r="J1141" s="871">
        <f>'Peers Stock History'!K1144/'Peers Stock History'!K$1833*100</f>
        <v>115.79906314009595</v>
      </c>
    </row>
    <row r="1142" spans="2:10">
      <c r="B1142" s="870">
        <v>43469</v>
      </c>
      <c r="C1142" s="871">
        <f>'Peers Stock History'!D1145/'Peers Stock History'!D$1833*100</f>
        <v>130.98474341192789</v>
      </c>
      <c r="D1142" s="871">
        <f>'Peers Stock History'!E1145/'Peers Stock History'!E$1833*100</f>
        <v>124.94495412844036</v>
      </c>
      <c r="E1142" s="871">
        <f>'Peers Stock History'!F1145/'Peers Stock History'!F$1833*100</f>
        <v>142.85714285714286</v>
      </c>
      <c r="F1142" s="871">
        <f>'Peers Stock History'!G1145/'Peers Stock History'!G$1833*100</f>
        <v>109.90277453395009</v>
      </c>
      <c r="G1142" s="871">
        <f>'Peers Stock History'!H1145/'Peers Stock History'!H$1833*100</f>
        <v>113.22394290984998</v>
      </c>
      <c r="H1142" s="871">
        <f>'Peers Stock History'!I1145/'Peers Stock History'!I$1833*100</f>
        <v>142.05039096437881</v>
      </c>
      <c r="I1142" s="871">
        <f>'Peers Stock History'!J1145/'Peers Stock History'!J$1833*100</f>
        <v>107.7765244226881</v>
      </c>
      <c r="J1142" s="871">
        <f>'Peers Stock History'!K1145/'Peers Stock History'!K$1833*100</f>
        <v>115.79906314009595</v>
      </c>
    </row>
    <row r="1143" spans="2:10">
      <c r="B1143" s="870">
        <v>43468</v>
      </c>
      <c r="C1143" s="871">
        <f>'Peers Stock History'!D1146/'Peers Stock History'!D$1833*100</f>
        <v>123.41192787794731</v>
      </c>
      <c r="D1143" s="871">
        <f>'Peers Stock History'!E1146/'Peers Stock History'!E$1833*100</f>
        <v>117.42201834862385</v>
      </c>
      <c r="E1143" s="871">
        <f>'Peers Stock History'!F1146/'Peers Stock History'!F$1833*100</f>
        <v>128.19548872180451</v>
      </c>
      <c r="F1143" s="871">
        <f>'Peers Stock History'!G1146/'Peers Stock History'!G$1833*100</f>
        <v>113.43085869052541</v>
      </c>
      <c r="G1143" s="871">
        <f>'Peers Stock History'!H1146/'Peers Stock History'!H$1833*100</f>
        <v>112.12194766736249</v>
      </c>
      <c r="H1143" s="871">
        <f>'Peers Stock History'!I1146/'Peers Stock History'!I$1833*100</f>
        <v>134.66550825369242</v>
      </c>
      <c r="I1143" s="871">
        <f>'Peers Stock History'!J1146/'Peers Stock History'!J$1833*100</f>
        <v>104.19878684686601</v>
      </c>
      <c r="J1143" s="871">
        <f>'Peers Stock History'!K1146/'Peers Stock History'!K$1833*100</f>
        <v>111.06745666249674</v>
      </c>
    </row>
    <row r="1144" spans="2:10">
      <c r="B1144" s="870">
        <v>43467</v>
      </c>
      <c r="C1144" s="871">
        <f>'Peers Stock History'!D1147/'Peers Stock History'!D$1833*100</f>
        <v>130.59639389736478</v>
      </c>
      <c r="D1144" s="871">
        <f>'Peers Stock History'!E1147/'Peers Stock History'!E$1833*100</f>
        <v>124.97247706422019</v>
      </c>
      <c r="E1144" s="871">
        <f>'Peers Stock History'!F1147/'Peers Stock History'!F$1833*100</f>
        <v>141.57894736842104</v>
      </c>
      <c r="F1144" s="871">
        <f>'Peers Stock History'!G1147/'Peers Stock History'!G$1833*100</f>
        <v>116.08093208385799</v>
      </c>
      <c r="G1144" s="871">
        <f>'Peers Stock History'!H1147/'Peers Stock History'!H$1833*100</f>
        <v>123.06908102335063</v>
      </c>
      <c r="H1144" s="871">
        <f>'Peers Stock History'!I1147/'Peers Stock History'!I$1833*100</f>
        <v>142.26759339704606</v>
      </c>
      <c r="I1144" s="871">
        <f>'Peers Stock History'!J1147/'Peers Stock History'!J$1833*100</f>
        <v>106.84388634670641</v>
      </c>
      <c r="J1144" s="871">
        <f>'Peers Stock History'!K1147/'Peers Stock History'!K$1833*100</f>
        <v>114.54603879411079</v>
      </c>
    </row>
    <row r="1145" spans="2:10">
      <c r="B1145" s="870">
        <v>43466</v>
      </c>
      <c r="C1145" s="871">
        <f>'Peers Stock History'!D1148/'Peers Stock History'!D$1833*100</f>
        <v>130.18030513176143</v>
      </c>
      <c r="D1145" s="871">
        <f>'Peers Stock History'!E1148/'Peers Stock History'!E$1833*100</f>
        <v>122.47706422018349</v>
      </c>
      <c r="E1145" s="871">
        <f>'Peers Stock History'!F1148/'Peers Stock History'!F$1833*100</f>
        <v>138.79699248120301</v>
      </c>
      <c r="F1145" s="871">
        <f>'Peers Stock History'!G1148/'Peers Stock History'!G$1833*100</f>
        <v>120.01088286012714</v>
      </c>
      <c r="G1145" s="871">
        <f>'Peers Stock History'!H1148/'Peers Stock History'!H$1833*100</f>
        <v>123.44288557696974</v>
      </c>
      <c r="H1145" s="871">
        <f>'Peers Stock History'!I1148/'Peers Stock History'!I$1833*100</f>
        <v>137.83666377063423</v>
      </c>
      <c r="I1145" s="871">
        <f>'Peers Stock History'!J1148/'Peers Stock History'!J$1833*100</f>
        <v>106.70852399702034</v>
      </c>
      <c r="J1145" s="871">
        <f>'Peers Stock History'!K1148/'Peers Stock History'!K$1833*100</f>
        <v>114.01916679268109</v>
      </c>
    </row>
    <row r="1146" spans="2:10">
      <c r="B1146" s="870">
        <v>43465</v>
      </c>
      <c r="C1146" s="871">
        <f>'Peers Stock History'!D1149/'Peers Stock History'!D$1833*100</f>
        <v>130.18030513176143</v>
      </c>
      <c r="D1146" s="871">
        <f>'Peers Stock History'!E1149/'Peers Stock History'!E$1833*100</f>
        <v>122.47706422018349</v>
      </c>
      <c r="E1146" s="871">
        <f>'Peers Stock History'!F1149/'Peers Stock History'!F$1833*100</f>
        <v>138.79699248120301</v>
      </c>
      <c r="F1146" s="871">
        <f>'Peers Stock History'!G1149/'Peers Stock History'!G$1833*100</f>
        <v>120.01088286012714</v>
      </c>
      <c r="G1146" s="871">
        <f>'Peers Stock History'!H1149/'Peers Stock History'!H$1833*100</f>
        <v>123.44288557696974</v>
      </c>
      <c r="H1146" s="871">
        <f>'Peers Stock History'!I1149/'Peers Stock History'!I$1833*100</f>
        <v>137.83666377063423</v>
      </c>
      <c r="I1146" s="871">
        <f>'Peers Stock History'!J1149/'Peers Stock History'!J$1833*100</f>
        <v>106.70852399702034</v>
      </c>
      <c r="J1146" s="871">
        <f>'Peers Stock History'!K1149/'Peers Stock History'!K$1833*100</f>
        <v>114.01916679268109</v>
      </c>
    </row>
    <row r="1147" spans="2:10">
      <c r="B1147" s="870">
        <v>43464</v>
      </c>
      <c r="C1147" s="871">
        <f>'Peers Stock History'!D1150/'Peers Stock History'!D$1833*100</f>
        <v>129.68099861303745</v>
      </c>
      <c r="D1147" s="871">
        <f>'Peers Stock History'!E1150/'Peers Stock History'!E$1833*100</f>
        <v>122.61467889908258</v>
      </c>
      <c r="E1147" s="871">
        <f>'Peers Stock History'!F1150/'Peers Stock History'!F$1833*100</f>
        <v>133.98496240601503</v>
      </c>
      <c r="F1147" s="871">
        <f>'Peers Stock History'!G1150/'Peers Stock History'!G$1833*100</f>
        <v>120.01088286012714</v>
      </c>
      <c r="G1147" s="871">
        <f>'Peers Stock History'!H1150/'Peers Stock History'!H$1833*100</f>
        <v>123.1079178600903</v>
      </c>
      <c r="H1147" s="871">
        <f>'Peers Stock History'!I1150/'Peers Stock History'!I$1833*100</f>
        <v>137.14161598609905</v>
      </c>
      <c r="I1147" s="871">
        <f>'Peers Stock History'!J1150/'Peers Stock History'!J$1833*100</f>
        <v>105.80993934234328</v>
      </c>
      <c r="J1147" s="871">
        <f>'Peers Stock History'!K1150/'Peers Stock History'!K$1833*100</f>
        <v>113.14700383542061</v>
      </c>
    </row>
    <row r="1148" spans="2:10">
      <c r="B1148" s="870">
        <v>43463</v>
      </c>
      <c r="C1148" s="871">
        <f>'Peers Stock History'!D1151/'Peers Stock History'!D$1833*100</f>
        <v>129.68099861303745</v>
      </c>
      <c r="D1148" s="871">
        <f>'Peers Stock History'!E1151/'Peers Stock History'!E$1833*100</f>
        <v>122.61467889908258</v>
      </c>
      <c r="E1148" s="871">
        <f>'Peers Stock History'!F1151/'Peers Stock History'!F$1833*100</f>
        <v>133.98496240601503</v>
      </c>
      <c r="F1148" s="871">
        <f>'Peers Stock History'!G1151/'Peers Stock History'!G$1833*100</f>
        <v>120.01088286012714</v>
      </c>
      <c r="G1148" s="871">
        <f>'Peers Stock History'!H1151/'Peers Stock History'!H$1833*100</f>
        <v>123.1079178600903</v>
      </c>
      <c r="H1148" s="871">
        <f>'Peers Stock History'!I1151/'Peers Stock History'!I$1833*100</f>
        <v>137.14161598609905</v>
      </c>
      <c r="I1148" s="871">
        <f>'Peers Stock History'!J1151/'Peers Stock History'!J$1833*100</f>
        <v>105.80993934234328</v>
      </c>
      <c r="J1148" s="871">
        <f>'Peers Stock History'!K1151/'Peers Stock History'!K$1833*100</f>
        <v>113.14700383542061</v>
      </c>
    </row>
    <row r="1149" spans="2:10">
      <c r="B1149" s="870">
        <v>43462</v>
      </c>
      <c r="C1149" s="871">
        <f>'Peers Stock History'!D1152/'Peers Stock History'!D$1833*100</f>
        <v>129.68099861303745</v>
      </c>
      <c r="D1149" s="871">
        <f>'Peers Stock History'!E1152/'Peers Stock History'!E$1833*100</f>
        <v>122.61467889908258</v>
      </c>
      <c r="E1149" s="871">
        <f>'Peers Stock History'!F1152/'Peers Stock History'!F$1833*100</f>
        <v>133.98496240601503</v>
      </c>
      <c r="F1149" s="871">
        <f>'Peers Stock History'!G1152/'Peers Stock History'!G$1833*100</f>
        <v>120.01088286012714</v>
      </c>
      <c r="G1149" s="871">
        <f>'Peers Stock History'!H1152/'Peers Stock History'!H$1833*100</f>
        <v>123.1079178600903</v>
      </c>
      <c r="H1149" s="871">
        <f>'Peers Stock History'!I1152/'Peers Stock History'!I$1833*100</f>
        <v>137.14161598609905</v>
      </c>
      <c r="I1149" s="871">
        <f>'Peers Stock History'!J1152/'Peers Stock History'!J$1833*100</f>
        <v>105.80993934234328</v>
      </c>
      <c r="J1149" s="871">
        <f>'Peers Stock History'!K1152/'Peers Stock History'!K$1833*100</f>
        <v>113.14700383542061</v>
      </c>
    </row>
    <row r="1150" spans="2:10">
      <c r="B1150" s="870">
        <v>43461</v>
      </c>
      <c r="C1150" s="871">
        <f>'Peers Stock History'!D1153/'Peers Stock History'!D$1833*100</f>
        <v>128.59916782246881</v>
      </c>
      <c r="D1150" s="871">
        <f>'Peers Stock History'!E1153/'Peers Stock History'!E$1833*100</f>
        <v>120.3394495412844</v>
      </c>
      <c r="E1150" s="871">
        <f>'Peers Stock History'!F1153/'Peers Stock History'!F$1833*100</f>
        <v>131.50375939849621</v>
      </c>
      <c r="F1150" s="871">
        <f>'Peers Stock History'!G1153/'Peers Stock History'!G$1833*100</f>
        <v>117.96639641262581</v>
      </c>
      <c r="G1150" s="871">
        <f>'Peers Stock History'!H1153/'Peers Stock History'!H$1833*100</f>
        <v>121.77775620175734</v>
      </c>
      <c r="H1150" s="871">
        <f>'Peers Stock History'!I1153/'Peers Stock History'!I$1833*100</f>
        <v>138.70547350130323</v>
      </c>
      <c r="I1150" s="871">
        <f>'Peers Stock History'!J1153/'Peers Stock History'!J$1833*100</f>
        <v>105.9414706821326</v>
      </c>
      <c r="J1150" s="871">
        <f>'Peers Stock History'!K1153/'Peers Stock History'!K$1833*100</f>
        <v>113.06056940186686</v>
      </c>
    </row>
    <row r="1151" spans="2:10">
      <c r="B1151" s="870">
        <v>43460</v>
      </c>
      <c r="C1151" s="871">
        <f>'Peers Stock History'!D1154/'Peers Stock History'!D$1833*100</f>
        <v>128.12760055478503</v>
      </c>
      <c r="D1151" s="871">
        <f>'Peers Stock History'!E1154/'Peers Stock History'!E$1833*100</f>
        <v>122.11009174311927</v>
      </c>
      <c r="E1151" s="871">
        <f>'Peers Stock History'!F1154/'Peers Stock History'!F$1833*100</f>
        <v>134.58646616541353</v>
      </c>
      <c r="F1151" s="871">
        <f>'Peers Stock History'!G1154/'Peers Stock History'!G$1833*100</f>
        <v>114.44231765769433</v>
      </c>
      <c r="G1151" s="871">
        <f>'Peers Stock History'!H1154/'Peers Stock History'!H$1833*100</f>
        <v>120.4621583572018</v>
      </c>
      <c r="H1151" s="871">
        <f>'Peers Stock History'!I1154/'Peers Stock History'!I$1833*100</f>
        <v>134.18766290182452</v>
      </c>
      <c r="I1151" s="871">
        <f>'Peers Stock History'!J1154/'Peers Stock History'!J$1833*100</f>
        <v>105.04203469192295</v>
      </c>
      <c r="J1151" s="871">
        <f>'Peers Stock History'!K1154/'Peers Stock History'!K$1833*100</f>
        <v>112.62862062329022</v>
      </c>
    </row>
    <row r="1152" spans="2:10">
      <c r="B1152" s="870">
        <v>43459</v>
      </c>
      <c r="C1152" s="871">
        <f>'Peers Stock History'!D1155/'Peers Stock History'!D$1833*100</f>
        <v>120.91539528432733</v>
      </c>
      <c r="D1152" s="871">
        <f>'Peers Stock History'!E1155/'Peers Stock History'!E$1833*100</f>
        <v>116.58715596330276</v>
      </c>
      <c r="E1152" s="871">
        <f>'Peers Stock History'!F1155/'Peers Stock History'!F$1833*100</f>
        <v>125.18796992481201</v>
      </c>
      <c r="F1152" s="871">
        <f>'Peers Stock History'!G1155/'Peers Stock History'!G$1833*100</f>
        <v>114.84403659325766</v>
      </c>
      <c r="G1152" s="871">
        <f>'Peers Stock History'!H1155/'Peers Stock History'!H$1833*100</f>
        <v>113.50065537161997</v>
      </c>
      <c r="H1152" s="871">
        <f>'Peers Stock History'!I1155/'Peers Stock History'!I$1833*100</f>
        <v>126.06429192006952</v>
      </c>
      <c r="I1152" s="871">
        <f>'Peers Stock History'!J1155/'Peers Stock History'!J$1833*100</f>
        <v>100.07874853676707</v>
      </c>
      <c r="J1152" s="871">
        <f>'Peers Stock History'!K1155/'Peers Stock History'!K$1833*100</f>
        <v>106.4177824670415</v>
      </c>
    </row>
    <row r="1153" spans="2:10">
      <c r="B1153" s="870">
        <v>43458</v>
      </c>
      <c r="C1153" s="871">
        <f>'Peers Stock History'!D1156/'Peers Stock History'!D$1833*100</f>
        <v>120.91539528432733</v>
      </c>
      <c r="D1153" s="871">
        <f>'Peers Stock History'!E1156/'Peers Stock History'!E$1833*100</f>
        <v>116.58715596330276</v>
      </c>
      <c r="E1153" s="871">
        <f>'Peers Stock History'!F1156/'Peers Stock History'!F$1833*100</f>
        <v>125.18796992481201</v>
      </c>
      <c r="F1153" s="871">
        <f>'Peers Stock History'!G1156/'Peers Stock History'!G$1833*100</f>
        <v>116.17916727642736</v>
      </c>
      <c r="G1153" s="871">
        <f>'Peers Stock History'!H1156/'Peers Stock History'!H$1833*100</f>
        <v>113.50065537161997</v>
      </c>
      <c r="H1153" s="871">
        <f>'Peers Stock History'!I1156/'Peers Stock History'!I$1833*100</f>
        <v>126.06429192006952</v>
      </c>
      <c r="I1153" s="871">
        <f>'Peers Stock History'!J1156/'Peers Stock History'!J$1833*100</f>
        <v>100.07874853676707</v>
      </c>
      <c r="J1153" s="871">
        <f>'Peers Stock History'!K1156/'Peers Stock History'!K$1833*100</f>
        <v>106.4177824670415</v>
      </c>
    </row>
    <row r="1154" spans="2:10">
      <c r="B1154" s="870">
        <v>43457</v>
      </c>
      <c r="C1154" s="871">
        <f>'Peers Stock History'!D1157/'Peers Stock History'!D$1833*100</f>
        <v>124.38280166435509</v>
      </c>
      <c r="D1154" s="871">
        <f>'Peers Stock History'!E1157/'Peers Stock History'!E$1833*100</f>
        <v>118.87155963302752</v>
      </c>
      <c r="E1154" s="871">
        <f>'Peers Stock History'!F1157/'Peers Stock History'!F$1833*100</f>
        <v>127.29323308270675</v>
      </c>
      <c r="F1154" s="871">
        <f>'Peers Stock History'!G1157/'Peers Stock History'!G$1833*100</f>
        <v>117.03968889865079</v>
      </c>
      <c r="G1154" s="871">
        <f>'Peers Stock History'!H1157/'Peers Stock History'!H$1833*100</f>
        <v>118.89412107383852</v>
      </c>
      <c r="H1154" s="871">
        <f>'Peers Stock History'!I1157/'Peers Stock History'!I$1833*100</f>
        <v>131.71155516941789</v>
      </c>
      <c r="I1154" s="871">
        <f>'Peers Stock History'!J1157/'Peers Stock History'!J$1833*100</f>
        <v>102.86772374161966</v>
      </c>
      <c r="J1154" s="871">
        <f>'Peers Stock History'!K1157/'Peers Stock History'!K$1833*100</f>
        <v>108.82481819556521</v>
      </c>
    </row>
    <row r="1155" spans="2:10">
      <c r="B1155" s="870">
        <v>43456</v>
      </c>
      <c r="C1155" s="871">
        <f>'Peers Stock History'!D1158/'Peers Stock History'!D$1833*100</f>
        <v>124.38280166435509</v>
      </c>
      <c r="D1155" s="871">
        <f>'Peers Stock History'!E1158/'Peers Stock History'!E$1833*100</f>
        <v>118.87155963302752</v>
      </c>
      <c r="E1155" s="871">
        <f>'Peers Stock History'!F1158/'Peers Stock History'!F$1833*100</f>
        <v>127.29323308270675</v>
      </c>
      <c r="F1155" s="871">
        <f>'Peers Stock History'!G1158/'Peers Stock History'!G$1833*100</f>
        <v>117.03968889865079</v>
      </c>
      <c r="G1155" s="871">
        <f>'Peers Stock History'!H1158/'Peers Stock History'!H$1833*100</f>
        <v>118.89412107383852</v>
      </c>
      <c r="H1155" s="871">
        <f>'Peers Stock History'!I1158/'Peers Stock History'!I$1833*100</f>
        <v>131.71155516941789</v>
      </c>
      <c r="I1155" s="871">
        <f>'Peers Stock History'!J1158/'Peers Stock History'!J$1833*100</f>
        <v>102.86772374161966</v>
      </c>
      <c r="J1155" s="871">
        <f>'Peers Stock History'!K1158/'Peers Stock History'!K$1833*100</f>
        <v>108.82481819556521</v>
      </c>
    </row>
    <row r="1156" spans="2:10">
      <c r="B1156" s="870">
        <v>43455</v>
      </c>
      <c r="C1156" s="871">
        <f>'Peers Stock History'!D1159/'Peers Stock History'!D$1833*100</f>
        <v>124.38280166435509</v>
      </c>
      <c r="D1156" s="871">
        <f>'Peers Stock History'!E1159/'Peers Stock History'!E$1833*100</f>
        <v>118.87155963302752</v>
      </c>
      <c r="E1156" s="871">
        <f>'Peers Stock History'!F1159/'Peers Stock History'!F$1833*100</f>
        <v>127.29323308270675</v>
      </c>
      <c r="F1156" s="871">
        <f>'Peers Stock History'!G1159/'Peers Stock History'!G$1833*100</f>
        <v>118.06963446134691</v>
      </c>
      <c r="G1156" s="871">
        <f>'Peers Stock History'!H1159/'Peers Stock History'!H$1833*100</f>
        <v>118.89412107383852</v>
      </c>
      <c r="H1156" s="871">
        <f>'Peers Stock History'!I1159/'Peers Stock History'!I$1833*100</f>
        <v>131.71155516941789</v>
      </c>
      <c r="I1156" s="871">
        <f>'Peers Stock History'!J1159/'Peers Stock History'!J$1833*100</f>
        <v>102.86772374161966</v>
      </c>
      <c r="J1156" s="871">
        <f>'Peers Stock History'!K1159/'Peers Stock History'!K$1833*100</f>
        <v>108.82481819556521</v>
      </c>
    </row>
    <row r="1157" spans="2:10">
      <c r="B1157" s="870">
        <v>43454</v>
      </c>
      <c r="C1157" s="871">
        <f>'Peers Stock History'!D1160/'Peers Stock History'!D$1833*100</f>
        <v>126.3245492371706</v>
      </c>
      <c r="D1157" s="871">
        <f>'Peers Stock History'!E1160/'Peers Stock History'!E$1833*100</f>
        <v>123.94495412844036</v>
      </c>
      <c r="E1157" s="871">
        <f>'Peers Stock History'!F1160/'Peers Stock History'!F$1833*100</f>
        <v>134.88721804511277</v>
      </c>
      <c r="F1157" s="871">
        <f>'Peers Stock History'!G1160/'Peers Stock History'!G$1833*100</f>
        <v>116.9578458113822</v>
      </c>
      <c r="G1157" s="871">
        <f>'Peers Stock History'!H1160/'Peers Stock History'!H$1833*100</f>
        <v>117.42803048691684</v>
      </c>
      <c r="H1157" s="871">
        <f>'Peers Stock History'!I1160/'Peers Stock History'!I$1833*100</f>
        <v>135.88184187662901</v>
      </c>
      <c r="I1157" s="871">
        <f>'Peers Stock History'!J1160/'Peers Stock History'!J$1833*100</f>
        <v>105.03011599446633</v>
      </c>
      <c r="J1157" s="871">
        <f>'Peers Stock History'!K1160/'Peers Stock History'!K$1833*100</f>
        <v>112.18273579588416</v>
      </c>
    </row>
    <row r="1158" spans="2:10">
      <c r="B1158" s="870">
        <v>43453</v>
      </c>
      <c r="C1158" s="871">
        <f>'Peers Stock History'!D1161/'Peers Stock History'!D$1833*100</f>
        <v>126.40776699029128</v>
      </c>
      <c r="D1158" s="871">
        <f>'Peers Stock History'!E1161/'Peers Stock History'!E$1833*100</f>
        <v>127.07339449541284</v>
      </c>
      <c r="E1158" s="871">
        <f>'Peers Stock History'!F1161/'Peers Stock History'!F$1833*100</f>
        <v>136.54135338345864</v>
      </c>
      <c r="F1158" s="871">
        <f>'Peers Stock History'!G1161/'Peers Stock History'!G$1833*100</f>
        <v>118.8829610287349</v>
      </c>
      <c r="G1158" s="871">
        <f>'Peers Stock History'!H1161/'Peers Stock History'!H$1833*100</f>
        <v>118.39895140540801</v>
      </c>
      <c r="H1158" s="871">
        <f>'Peers Stock History'!I1161/'Peers Stock History'!I$1833*100</f>
        <v>136.44656820156388</v>
      </c>
      <c r="I1158" s="871">
        <f>'Peers Stock History'!J1161/'Peers Stock History'!J$1833*100</f>
        <v>106.71320634244972</v>
      </c>
      <c r="J1158" s="871">
        <f>'Peers Stock History'!K1161/'Peers Stock History'!K$1833*100</f>
        <v>114.04580165789149</v>
      </c>
    </row>
    <row r="1159" spans="2:10">
      <c r="B1159" s="870">
        <v>43452</v>
      </c>
      <c r="C1159" s="871">
        <f>'Peers Stock History'!D1162/'Peers Stock History'!D$1833*100</f>
        <v>132.42718446601944</v>
      </c>
      <c r="D1159" s="871">
        <f>'Peers Stock History'!E1162/'Peers Stock History'!E$1833*100</f>
        <v>134.80733944954127</v>
      </c>
      <c r="E1159" s="871">
        <f>'Peers Stock History'!F1162/'Peers Stock History'!F$1833*100</f>
        <v>146.61654135338344</v>
      </c>
      <c r="F1159" s="871">
        <f>'Peers Stock History'!G1162/'Peers Stock History'!G$1833*100</f>
        <v>117.48412938850483</v>
      </c>
      <c r="G1159" s="871">
        <f>'Peers Stock History'!H1162/'Peers Stock History'!H$1833*100</f>
        <v>121.20491285984755</v>
      </c>
      <c r="H1159" s="871">
        <f>'Peers Stock History'!I1162/'Peers Stock History'!I$1833*100</f>
        <v>148.17549956559512</v>
      </c>
      <c r="I1159" s="871">
        <f>'Peers Stock History'!J1162/'Peers Stock History'!J$1833*100</f>
        <v>108.38182398637863</v>
      </c>
      <c r="J1159" s="871">
        <f>'Peers Stock History'!K1162/'Peers Stock History'!K$1833*100</f>
        <v>116.57326134473421</v>
      </c>
    </row>
    <row r="1160" spans="2:10">
      <c r="B1160" s="870">
        <v>43451</v>
      </c>
      <c r="C1160" s="871">
        <f>'Peers Stock History'!D1163/'Peers Stock History'!D$1833*100</f>
        <v>130.59639389736478</v>
      </c>
      <c r="D1160" s="871">
        <f>'Peers Stock History'!E1163/'Peers Stock History'!E$1833*100</f>
        <v>131.72477064220186</v>
      </c>
      <c r="E1160" s="871">
        <f>'Peers Stock History'!F1163/'Peers Stock History'!F$1833*100</f>
        <v>141.57894736842104</v>
      </c>
      <c r="F1160" s="871">
        <f>'Peers Stock History'!G1163/'Peers Stock History'!G$1833*100</f>
        <v>117.95854435040734</v>
      </c>
      <c r="G1160" s="871">
        <f>'Peers Stock History'!H1163/'Peers Stock History'!H$1833*100</f>
        <v>123.37006650808291</v>
      </c>
      <c r="H1160" s="871">
        <f>'Peers Stock History'!I1163/'Peers Stock History'!I$1833*100</f>
        <v>147.17636837532581</v>
      </c>
      <c r="I1160" s="871">
        <f>'Peers Stock History'!J1163/'Peers Stock History'!J$1833*100</f>
        <v>108.37245929551985</v>
      </c>
      <c r="J1160" s="871">
        <f>'Peers Stock History'!K1163/'Peers Stock History'!K$1833*100</f>
        <v>116.05468911097975</v>
      </c>
    </row>
    <row r="1161" spans="2:10">
      <c r="B1161" s="870">
        <v>43450</v>
      </c>
      <c r="C1161" s="871">
        <f>'Peers Stock History'!D1164/'Peers Stock History'!D$1833*100</f>
        <v>132.7600554785021</v>
      </c>
      <c r="D1161" s="871">
        <f>'Peers Stock History'!E1164/'Peers Stock History'!E$1833*100</f>
        <v>134.35779816513761</v>
      </c>
      <c r="E1161" s="871">
        <f>'Peers Stock History'!F1164/'Peers Stock History'!F$1833*100</f>
        <v>149.62406015037593</v>
      </c>
      <c r="F1161" s="871">
        <f>'Peers Stock History'!G1164/'Peers Stock History'!G$1833*100</f>
        <v>117.27476454657875</v>
      </c>
      <c r="G1161" s="871">
        <f>'Peers Stock History'!H1164/'Peers Stock History'!H$1833*100</f>
        <v>123.70988882955483</v>
      </c>
      <c r="H1161" s="871">
        <f>'Peers Stock History'!I1164/'Peers Stock History'!I$1833*100</f>
        <v>148.56646394439619</v>
      </c>
      <c r="I1161" s="871">
        <f>'Peers Stock History'!J1164/'Peers Stock History'!J$1833*100</f>
        <v>110.67149090135149</v>
      </c>
      <c r="J1161" s="871">
        <f>'Peers Stock History'!K1164/'Peers Stock History'!K$1833*100</f>
        <v>118.75137470272054</v>
      </c>
    </row>
    <row r="1162" spans="2:10">
      <c r="B1162" s="870">
        <v>43449</v>
      </c>
      <c r="C1162" s="871">
        <f>'Peers Stock History'!D1165/'Peers Stock History'!D$1833*100</f>
        <v>132.7600554785021</v>
      </c>
      <c r="D1162" s="871">
        <f>'Peers Stock History'!E1165/'Peers Stock History'!E$1833*100</f>
        <v>134.35779816513761</v>
      </c>
      <c r="E1162" s="871">
        <f>'Peers Stock History'!F1165/'Peers Stock History'!F$1833*100</f>
        <v>149.62406015037593</v>
      </c>
      <c r="F1162" s="871">
        <f>'Peers Stock History'!G1165/'Peers Stock History'!G$1833*100</f>
        <v>117.27476454657875</v>
      </c>
      <c r="G1162" s="871">
        <f>'Peers Stock History'!H1165/'Peers Stock History'!H$1833*100</f>
        <v>123.70988882955483</v>
      </c>
      <c r="H1162" s="871">
        <f>'Peers Stock History'!I1165/'Peers Stock History'!I$1833*100</f>
        <v>148.56646394439619</v>
      </c>
      <c r="I1162" s="871">
        <f>'Peers Stock History'!J1165/'Peers Stock History'!J$1833*100</f>
        <v>110.67149090135149</v>
      </c>
      <c r="J1162" s="871">
        <f>'Peers Stock History'!K1165/'Peers Stock History'!K$1833*100</f>
        <v>118.75137470272054</v>
      </c>
    </row>
    <row r="1163" spans="2:10">
      <c r="B1163" s="870">
        <v>43448</v>
      </c>
      <c r="C1163" s="871">
        <f>'Peers Stock History'!D1166/'Peers Stock History'!D$1833*100</f>
        <v>132.7600554785021</v>
      </c>
      <c r="D1163" s="871">
        <f>'Peers Stock History'!E1166/'Peers Stock History'!E$1833*100</f>
        <v>134.35779816513761</v>
      </c>
      <c r="E1163" s="871">
        <f>'Peers Stock History'!F1166/'Peers Stock History'!F$1833*100</f>
        <v>149.62406015037593</v>
      </c>
      <c r="F1163" s="871">
        <f>'Peers Stock History'!G1166/'Peers Stock History'!G$1833*100</f>
        <v>117.27476454657875</v>
      </c>
      <c r="G1163" s="871">
        <f>'Peers Stock History'!H1166/'Peers Stock History'!H$1833*100</f>
        <v>123.70988882955483</v>
      </c>
      <c r="H1163" s="871">
        <f>'Peers Stock History'!I1166/'Peers Stock History'!I$1833*100</f>
        <v>148.56646394439619</v>
      </c>
      <c r="I1163" s="871">
        <f>'Peers Stock History'!J1166/'Peers Stock History'!J$1833*100</f>
        <v>110.67149090135149</v>
      </c>
      <c r="J1163" s="871">
        <f>'Peers Stock History'!K1166/'Peers Stock History'!K$1833*100</f>
        <v>118.75137470272054</v>
      </c>
    </row>
    <row r="1164" spans="2:10">
      <c r="B1164" s="870">
        <v>43447</v>
      </c>
      <c r="C1164" s="871">
        <f>'Peers Stock History'!D1167/'Peers Stock History'!D$1833*100</f>
        <v>133.95284327323162</v>
      </c>
      <c r="D1164" s="871">
        <f>'Peers Stock History'!E1167/'Peers Stock History'!E$1833*100</f>
        <v>136.59633027522935</v>
      </c>
      <c r="E1164" s="871">
        <f>'Peers Stock History'!F1167/'Peers Stock History'!F$1833*100</f>
        <v>149.32330827067668</v>
      </c>
      <c r="F1164" s="871">
        <f>'Peers Stock History'!G1167/'Peers Stock History'!G$1833*100</f>
        <v>119.28573145315518</v>
      </c>
      <c r="G1164" s="871">
        <f>'Peers Stock History'!H1167/'Peers Stock History'!H$1833*100</f>
        <v>125.39443662313705</v>
      </c>
      <c r="H1164" s="871">
        <f>'Peers Stock History'!I1167/'Peers Stock History'!I$1833*100</f>
        <v>152.12858384013904</v>
      </c>
      <c r="I1164" s="871">
        <f>'Peers Stock History'!J1167/'Peers Stock History'!J$1833*100</f>
        <v>112.82494413110567</v>
      </c>
      <c r="J1164" s="871">
        <f>'Peers Stock History'!K1167/'Peers Stock History'!K$1833*100</f>
        <v>121.49509231128771</v>
      </c>
    </row>
    <row r="1165" spans="2:10">
      <c r="B1165" s="870">
        <v>43446</v>
      </c>
      <c r="C1165" s="871">
        <f>'Peers Stock History'!D1168/'Peers Stock History'!D$1833*100</f>
        <v>132.6768377253814</v>
      </c>
      <c r="D1165" s="871">
        <f>'Peers Stock History'!E1168/'Peers Stock History'!E$1833*100</f>
        <v>136.60550458715596</v>
      </c>
      <c r="E1165" s="871">
        <f>'Peers Stock History'!F1168/'Peers Stock History'!F$1833*100</f>
        <v>153.98496240601503</v>
      </c>
      <c r="F1165" s="871">
        <f>'Peers Stock History'!G1168/'Peers Stock History'!G$1833*100</f>
        <v>119.74390124373883</v>
      </c>
      <c r="G1165" s="871">
        <f>'Peers Stock History'!H1168/'Peers Stock History'!H$1833*100</f>
        <v>123.78270789844166</v>
      </c>
      <c r="H1165" s="871">
        <f>'Peers Stock History'!I1168/'Peers Stock History'!I$1833*100</f>
        <v>156.51607298001738</v>
      </c>
      <c r="I1165" s="871">
        <f>'Peers Stock History'!J1168/'Peers Stock History'!J$1833*100</f>
        <v>112.84750452272003</v>
      </c>
      <c r="J1165" s="871">
        <f>'Peers Stock History'!K1168/'Peers Stock History'!K$1833*100</f>
        <v>121.97586022022737</v>
      </c>
    </row>
    <row r="1166" spans="2:10">
      <c r="B1166" s="870">
        <v>43445</v>
      </c>
      <c r="C1166" s="871">
        <f>'Peers Stock History'!D1169/'Peers Stock History'!D$1833*100</f>
        <v>131.42857142857144</v>
      </c>
      <c r="D1166" s="871">
        <f>'Peers Stock History'!E1169/'Peers Stock History'!E$1833*100</f>
        <v>135.95412844036696</v>
      </c>
      <c r="E1166" s="871">
        <f>'Peers Stock History'!F1169/'Peers Stock History'!F$1833*100</f>
        <v>150.22556390977445</v>
      </c>
      <c r="F1166" s="871">
        <f>'Peers Stock History'!G1169/'Peers Stock History'!G$1833*100</f>
        <v>117.38887095647705</v>
      </c>
      <c r="G1166" s="871">
        <f>'Peers Stock History'!H1169/'Peers Stock History'!H$1833*100</f>
        <v>119.83105976018254</v>
      </c>
      <c r="H1166" s="871">
        <f>'Peers Stock History'!I1169/'Peers Stock History'!I$1833*100</f>
        <v>152.95395308427456</v>
      </c>
      <c r="I1166" s="871">
        <f>'Peers Stock History'!J1169/'Peers Stock History'!J$1833*100</f>
        <v>112.23922528466532</v>
      </c>
      <c r="J1166" s="871">
        <f>'Peers Stock History'!K1169/'Peers Stock History'!K$1833*100</f>
        <v>120.83346507567741</v>
      </c>
    </row>
    <row r="1167" spans="2:10">
      <c r="B1167" s="870">
        <v>43444</v>
      </c>
      <c r="C1167" s="871">
        <f>'Peers Stock History'!D1170/'Peers Stock History'!D$1833*100</f>
        <v>130.95700416088766</v>
      </c>
      <c r="D1167" s="871">
        <f>'Peers Stock History'!E1170/'Peers Stock History'!E$1833*100</f>
        <v>139.32110091743118</v>
      </c>
      <c r="E1167" s="871">
        <f>'Peers Stock History'!F1170/'Peers Stock History'!F$1833*100</f>
        <v>150.30075187969922</v>
      </c>
      <c r="F1167" s="871">
        <f>'Peers Stock History'!G1170/'Peers Stock History'!G$1833*100</f>
        <v>115.23956372568649</v>
      </c>
      <c r="G1167" s="871">
        <f>'Peers Stock History'!H1170/'Peers Stock History'!H$1833*100</f>
        <v>116.14641487450848</v>
      </c>
      <c r="H1167" s="871">
        <f>'Peers Stock History'!I1170/'Peers Stock History'!I$1833*100</f>
        <v>151.17289313640313</v>
      </c>
      <c r="I1167" s="871">
        <f>'Peers Stock History'!J1170/'Peers Stock History'!J$1833*100</f>
        <v>112.27923805469831</v>
      </c>
      <c r="J1167" s="871">
        <f>'Peers Stock History'!K1170/'Peers Stock History'!K$1833*100</f>
        <v>120.63909929477752</v>
      </c>
    </row>
    <row r="1168" spans="2:10">
      <c r="B1168" s="870">
        <v>43443</v>
      </c>
      <c r="C1168" s="871">
        <f>'Peers Stock History'!D1171/'Peers Stock History'!D$1833*100</f>
        <v>128.26629680998613</v>
      </c>
      <c r="D1168" s="871">
        <f>'Peers Stock History'!E1171/'Peers Stock History'!E$1833*100</f>
        <v>135.42201834862385</v>
      </c>
      <c r="E1168" s="871">
        <f>'Peers Stock History'!F1171/'Peers Stock History'!F$1833*100</f>
        <v>146.31578947368419</v>
      </c>
      <c r="F1168" s="871">
        <f>'Peers Stock History'!G1171/'Peers Stock History'!G$1833*100</f>
        <v>116.23558034693211</v>
      </c>
      <c r="G1168" s="871">
        <f>'Peers Stock History'!H1171/'Peers Stock History'!H$1833*100</f>
        <v>110.95684256517306</v>
      </c>
      <c r="H1168" s="871">
        <f>'Peers Stock History'!I1171/'Peers Stock History'!I$1833*100</f>
        <v>153.38835794960906</v>
      </c>
      <c r="I1168" s="871">
        <f>'Peers Stock History'!J1171/'Peers Stock History'!J$1833*100</f>
        <v>112.08172821113121</v>
      </c>
      <c r="J1168" s="871">
        <f>'Peers Stock History'!K1171/'Peers Stock History'!K$1833*100</f>
        <v>119.75812105632157</v>
      </c>
    </row>
    <row r="1169" spans="2:10">
      <c r="B1169" s="870">
        <v>43442</v>
      </c>
      <c r="C1169" s="871">
        <f>'Peers Stock History'!D1172/'Peers Stock History'!D$1833*100</f>
        <v>128.26629680998613</v>
      </c>
      <c r="D1169" s="871">
        <f>'Peers Stock History'!E1172/'Peers Stock History'!E$1833*100</f>
        <v>135.42201834862385</v>
      </c>
      <c r="E1169" s="871">
        <f>'Peers Stock History'!F1172/'Peers Stock History'!F$1833*100</f>
        <v>146.31578947368419</v>
      </c>
      <c r="F1169" s="871">
        <f>'Peers Stock History'!G1172/'Peers Stock History'!G$1833*100</f>
        <v>116.23558034693211</v>
      </c>
      <c r="G1169" s="871">
        <f>'Peers Stock History'!H1172/'Peers Stock History'!H$1833*100</f>
        <v>110.95684256517306</v>
      </c>
      <c r="H1169" s="871">
        <f>'Peers Stock History'!I1172/'Peers Stock History'!I$1833*100</f>
        <v>153.38835794960906</v>
      </c>
      <c r="I1169" s="871">
        <f>'Peers Stock History'!J1172/'Peers Stock History'!J$1833*100</f>
        <v>112.08172821113121</v>
      </c>
      <c r="J1169" s="871">
        <f>'Peers Stock History'!K1172/'Peers Stock History'!K$1833*100</f>
        <v>119.75812105632157</v>
      </c>
    </row>
    <row r="1170" spans="2:10">
      <c r="B1170" s="870">
        <v>43441</v>
      </c>
      <c r="C1170" s="871">
        <f>'Peers Stock History'!D1173/'Peers Stock History'!D$1833*100</f>
        <v>128.26629680998613</v>
      </c>
      <c r="D1170" s="871">
        <f>'Peers Stock History'!E1173/'Peers Stock History'!E$1833*100</f>
        <v>135.42201834862385</v>
      </c>
      <c r="E1170" s="871">
        <f>'Peers Stock History'!F1173/'Peers Stock History'!F$1833*100</f>
        <v>146.31578947368419</v>
      </c>
      <c r="F1170" s="871">
        <f>'Peers Stock History'!G1173/'Peers Stock History'!G$1833*100</f>
        <v>116.23558034693211</v>
      </c>
      <c r="G1170" s="871">
        <f>'Peers Stock History'!H1173/'Peers Stock History'!H$1833*100</f>
        <v>110.95684256517306</v>
      </c>
      <c r="H1170" s="871">
        <f>'Peers Stock History'!I1173/'Peers Stock History'!I$1833*100</f>
        <v>153.38835794960906</v>
      </c>
      <c r="I1170" s="871">
        <f>'Peers Stock History'!J1173/'Peers Stock History'!J$1833*100</f>
        <v>112.08172821113121</v>
      </c>
      <c r="J1170" s="871">
        <f>'Peers Stock History'!K1173/'Peers Stock History'!K$1833*100</f>
        <v>119.75812105632157</v>
      </c>
    </row>
    <row r="1171" spans="2:10">
      <c r="B1171" s="870">
        <v>43440</v>
      </c>
      <c r="C1171" s="871">
        <f>'Peers Stock History'!D1174/'Peers Stock History'!D$1833*100</f>
        <v>134.17475728155338</v>
      </c>
      <c r="D1171" s="871">
        <f>'Peers Stock History'!E1174/'Peers Stock History'!E$1833*100</f>
        <v>145.22018348623854</v>
      </c>
      <c r="E1171" s="871">
        <f>'Peers Stock History'!F1174/'Peers Stock History'!F$1833*100</f>
        <v>160.15037593984962</v>
      </c>
      <c r="F1171" s="871">
        <f>'Peers Stock History'!G1174/'Peers Stock History'!G$1833*100</f>
        <v>116.0623664272116</v>
      </c>
      <c r="G1171" s="871">
        <f>'Peers Stock History'!H1174/'Peers Stock History'!H$1833*100</f>
        <v>110.31603475896887</v>
      </c>
      <c r="H1171" s="871">
        <f>'Peers Stock History'!I1174/'Peers Stock History'!I$1833*100</f>
        <v>163.64031277150306</v>
      </c>
      <c r="I1171" s="871">
        <f>'Peers Stock History'!J1174/'Peers Stock History'!J$1833*100</f>
        <v>114.7579014579121</v>
      </c>
      <c r="J1171" s="871">
        <f>'Peers Stock History'!K1174/'Peers Stock History'!K$1833*100</f>
        <v>123.52149004027879</v>
      </c>
    </row>
    <row r="1172" spans="2:10">
      <c r="B1172" s="870">
        <v>43439</v>
      </c>
      <c r="C1172" s="871">
        <f>'Peers Stock History'!D1175/'Peers Stock History'!D$1833*100</f>
        <v>132.45492371705964</v>
      </c>
      <c r="D1172" s="871">
        <f>'Peers Stock History'!E1175/'Peers Stock History'!E$1833*100</f>
        <v>144.1376146788991</v>
      </c>
      <c r="E1172" s="871">
        <f>'Peers Stock History'!F1175/'Peers Stock History'!F$1833*100</f>
        <v>158.79699248120301</v>
      </c>
      <c r="F1172" s="871">
        <f>'Peers Stock History'!G1175/'Peers Stock History'!G$1833*100</f>
        <v>119.39032388485191</v>
      </c>
      <c r="G1172" s="871">
        <f>'Peers Stock History'!H1175/'Peers Stock History'!H$1833*100</f>
        <v>112.64624496334773</v>
      </c>
      <c r="H1172" s="871">
        <f>'Peers Stock History'!I1175/'Peers Stock History'!I$1833*100</f>
        <v>160.20851433536058</v>
      </c>
      <c r="I1172" s="871">
        <f>'Peers Stock History'!J1175/'Peers Stock History'!J$1833*100</f>
        <v>114.93285090986485</v>
      </c>
      <c r="J1172" s="871">
        <f>'Peers Stock History'!K1175/'Peers Stock History'!K$1833*100</f>
        <v>123.00884621200667</v>
      </c>
    </row>
    <row r="1173" spans="2:10">
      <c r="B1173" s="870">
        <v>43438</v>
      </c>
      <c r="C1173" s="871">
        <f>'Peers Stock History'!D1176/'Peers Stock History'!D$1833*100</f>
        <v>132.45492371705964</v>
      </c>
      <c r="D1173" s="871">
        <f>'Peers Stock History'!E1176/'Peers Stock History'!E$1833*100</f>
        <v>144.1376146788991</v>
      </c>
      <c r="E1173" s="871">
        <f>'Peers Stock History'!F1176/'Peers Stock History'!F$1833*100</f>
        <v>158.79699248120301</v>
      </c>
      <c r="F1173" s="871">
        <f>'Peers Stock History'!G1176/'Peers Stock History'!G$1833*100</f>
        <v>123.72903655204983</v>
      </c>
      <c r="G1173" s="871">
        <f>'Peers Stock History'!H1176/'Peers Stock History'!H$1833*100</f>
        <v>112.64624496334773</v>
      </c>
      <c r="H1173" s="871">
        <f>'Peers Stock History'!I1176/'Peers Stock History'!I$1833*100</f>
        <v>160.20851433536058</v>
      </c>
      <c r="I1173" s="871">
        <f>'Peers Stock History'!J1176/'Peers Stock History'!J$1833*100</f>
        <v>114.93285090986485</v>
      </c>
      <c r="J1173" s="871">
        <f>'Peers Stock History'!K1176/'Peers Stock History'!K$1833*100</f>
        <v>123.00884621200667</v>
      </c>
    </row>
    <row r="1174" spans="2:10">
      <c r="B1174" s="870">
        <v>43437</v>
      </c>
      <c r="C1174" s="871">
        <f>'Peers Stock History'!D1177/'Peers Stock History'!D$1833*100</f>
        <v>139.05686546463247</v>
      </c>
      <c r="D1174" s="871">
        <f>'Peers Stock History'!E1177/'Peers Stock History'!E$1833*100</f>
        <v>155.99999999999997</v>
      </c>
      <c r="E1174" s="871">
        <f>'Peers Stock History'!F1177/'Peers Stock History'!F$1833*100</f>
        <v>178.27067669172931</v>
      </c>
      <c r="F1174" s="871">
        <f>'Peers Stock History'!G1177/'Peers Stock History'!G$1833*100</f>
        <v>124.70367004700724</v>
      </c>
      <c r="G1174" s="871">
        <f>'Peers Stock History'!H1177/'Peers Stock History'!H$1833*100</f>
        <v>117.51541336958104</v>
      </c>
      <c r="H1174" s="871">
        <f>'Peers Stock History'!I1177/'Peers Stock History'!I$1833*100</f>
        <v>173.89226759339707</v>
      </c>
      <c r="I1174" s="871">
        <f>'Peers Stock History'!J1177/'Peers Stock History'!J$1833*100</f>
        <v>118.77705650739598</v>
      </c>
      <c r="J1174" s="871">
        <f>'Peers Stock History'!K1177/'Peers Stock History'!K$1833*100</f>
        <v>127.87333489132975</v>
      </c>
    </row>
    <row r="1175" spans="2:10">
      <c r="B1175" s="870">
        <v>43436</v>
      </c>
      <c r="C1175" s="871">
        <f>'Peers Stock History'!D1178/'Peers Stock History'!D$1833*100</f>
        <v>136.78224687933428</v>
      </c>
      <c r="D1175" s="871">
        <f>'Peers Stock History'!E1178/'Peers Stock History'!E$1833*100</f>
        <v>149.93577981651376</v>
      </c>
      <c r="E1175" s="871">
        <f>'Peers Stock History'!F1178/'Peers Stock History'!F$1833*100</f>
        <v>160.15037593984962</v>
      </c>
      <c r="F1175" s="871">
        <f>'Peers Stock History'!G1178/'Peers Stock History'!G$1833*100</f>
        <v>118.92150183176582</v>
      </c>
      <c r="G1175" s="871">
        <f>'Peers Stock History'!H1178/'Peers Stock History'!H$1833*100</f>
        <v>115.25316762949657</v>
      </c>
      <c r="H1175" s="871">
        <f>'Peers Stock History'!I1178/'Peers Stock History'!I$1833*100</f>
        <v>167.50651607298005</v>
      </c>
      <c r="I1175" s="871">
        <f>'Peers Stock History'!J1178/'Peers Stock History'!J$1833*100</f>
        <v>117.49153985314462</v>
      </c>
      <c r="J1175" s="871">
        <f>'Peers Stock History'!K1178/'Peers Stock History'!K$1833*100</f>
        <v>125.96634727740128</v>
      </c>
    </row>
    <row r="1176" spans="2:10">
      <c r="B1176" s="870">
        <v>43435</v>
      </c>
      <c r="C1176" s="871">
        <f>'Peers Stock History'!D1179/'Peers Stock History'!D$1833*100</f>
        <v>136.78224687933428</v>
      </c>
      <c r="D1176" s="871">
        <f>'Peers Stock History'!E1179/'Peers Stock History'!E$1833*100</f>
        <v>149.93577981651376</v>
      </c>
      <c r="E1176" s="871">
        <f>'Peers Stock History'!F1179/'Peers Stock History'!F$1833*100</f>
        <v>160.15037593984962</v>
      </c>
      <c r="F1176" s="871">
        <f>'Peers Stock History'!G1179/'Peers Stock History'!G$1833*100</f>
        <v>118.92150183176582</v>
      </c>
      <c r="G1176" s="871">
        <f>'Peers Stock History'!H1179/'Peers Stock History'!H$1833*100</f>
        <v>115.25316762949657</v>
      </c>
      <c r="H1176" s="871">
        <f>'Peers Stock History'!I1179/'Peers Stock History'!I$1833*100</f>
        <v>167.50651607298005</v>
      </c>
      <c r="I1176" s="871">
        <f>'Peers Stock History'!J1179/'Peers Stock History'!J$1833*100</f>
        <v>117.49153985314462</v>
      </c>
      <c r="J1176" s="871">
        <f>'Peers Stock History'!K1179/'Peers Stock History'!K$1833*100</f>
        <v>125.96634727740128</v>
      </c>
    </row>
    <row r="1177" spans="2:10">
      <c r="B1177" s="870">
        <v>43434</v>
      </c>
      <c r="C1177" s="871">
        <f>'Peers Stock History'!D1180/'Peers Stock History'!D$1833*100</f>
        <v>136.78224687933428</v>
      </c>
      <c r="D1177" s="871">
        <f>'Peers Stock History'!E1180/'Peers Stock History'!E$1833*100</f>
        <v>149.93577981651376</v>
      </c>
      <c r="E1177" s="871">
        <f>'Peers Stock History'!F1180/'Peers Stock History'!F$1833*100</f>
        <v>160.15037593984962</v>
      </c>
      <c r="F1177" s="871">
        <f>'Peers Stock History'!G1180/'Peers Stock History'!G$1833*100</f>
        <v>118.92150183176582</v>
      </c>
      <c r="G1177" s="871">
        <f>'Peers Stock History'!H1180/'Peers Stock History'!H$1833*100</f>
        <v>115.25316762949657</v>
      </c>
      <c r="H1177" s="871">
        <f>'Peers Stock History'!I1180/'Peers Stock History'!I$1833*100</f>
        <v>167.50651607298005</v>
      </c>
      <c r="I1177" s="871">
        <f>'Peers Stock History'!J1180/'Peers Stock History'!J$1833*100</f>
        <v>117.49153985314462</v>
      </c>
      <c r="J1177" s="871">
        <f>'Peers Stock History'!K1180/'Peers Stock History'!K$1833*100</f>
        <v>125.96634727740128</v>
      </c>
    </row>
    <row r="1178" spans="2:10">
      <c r="B1178" s="870">
        <v>43433</v>
      </c>
      <c r="C1178" s="871">
        <f>'Peers Stock History'!D1181/'Peers Stock History'!D$1833*100</f>
        <v>132.31622746185855</v>
      </c>
      <c r="D1178" s="871">
        <f>'Peers Stock History'!E1181/'Peers Stock History'!E$1833*100</f>
        <v>144.36697247706422</v>
      </c>
      <c r="E1178" s="871">
        <f>'Peers Stock History'!F1181/'Peers Stock History'!F$1833*100</f>
        <v>161.12781954887217</v>
      </c>
      <c r="F1178" s="871">
        <f>'Peers Stock History'!G1181/'Peers Stock History'!G$1833*100</f>
        <v>121.15613980836606</v>
      </c>
      <c r="G1178" s="871">
        <f>'Peers Stock History'!H1181/'Peers Stock History'!H$1833*100</f>
        <v>114.46186708092625</v>
      </c>
      <c r="H1178" s="871">
        <f>'Peers Stock History'!I1181/'Peers Stock History'!I$1833*100</f>
        <v>164.6828844483058</v>
      </c>
      <c r="I1178" s="871">
        <f>'Peers Stock History'!J1181/'Peers Stock History'!J$1833*100</f>
        <v>116.53761838884751</v>
      </c>
      <c r="J1178" s="871">
        <f>'Peers Stock History'!K1181/'Peers Stock History'!K$1833*100</f>
        <v>124.97907015107985</v>
      </c>
    </row>
    <row r="1179" spans="2:10">
      <c r="B1179" s="870">
        <v>43432</v>
      </c>
      <c r="C1179" s="871">
        <f>'Peers Stock History'!D1182/'Peers Stock History'!D$1833*100</f>
        <v>135.53398058252429</v>
      </c>
      <c r="D1179" s="871">
        <f>'Peers Stock History'!E1182/'Peers Stock History'!E$1833*100</f>
        <v>146.85321100917429</v>
      </c>
      <c r="E1179" s="871">
        <f>'Peers Stock History'!F1182/'Peers Stock History'!F$1833*100</f>
        <v>160.45112781954887</v>
      </c>
      <c r="F1179" s="871">
        <f>'Peers Stock History'!G1182/'Peers Stock History'!G$1833*100</f>
        <v>119.58067769926781</v>
      </c>
      <c r="G1179" s="871">
        <f>'Peers Stock History'!H1182/'Peers Stock History'!H$1833*100</f>
        <v>114.19000922374872</v>
      </c>
      <c r="H1179" s="871">
        <f>'Peers Stock History'!I1182/'Peers Stock History'!I$1833*100</f>
        <v>168.15812337098177</v>
      </c>
      <c r="I1179" s="871">
        <f>'Peers Stock History'!J1182/'Peers Stock History'!J$1833*100</f>
        <v>116.79429605193145</v>
      </c>
      <c r="J1179" s="871">
        <f>'Peers Stock History'!K1182/'Peers Stock History'!K$1833*100</f>
        <v>125.29714199304401</v>
      </c>
    </row>
    <row r="1180" spans="2:10">
      <c r="B1180" s="870">
        <v>43431</v>
      </c>
      <c r="C1180" s="871">
        <f>'Peers Stock History'!D1183/'Peers Stock History'!D$1833*100</f>
        <v>133.34257975034674</v>
      </c>
      <c r="D1180" s="871">
        <f>'Peers Stock History'!E1183/'Peers Stock History'!E$1833*100</f>
        <v>141.03669724770643</v>
      </c>
      <c r="E1180" s="871">
        <f>'Peers Stock History'!F1183/'Peers Stock History'!F$1833*100</f>
        <v>158.27067669172931</v>
      </c>
      <c r="F1180" s="871">
        <f>'Peers Stock History'!G1183/'Peers Stock History'!G$1833*100</f>
        <v>117.89730002432626</v>
      </c>
      <c r="G1180" s="871">
        <f>'Peers Stock History'!H1183/'Peers Stock History'!H$1833*100</f>
        <v>114.48614010388853</v>
      </c>
      <c r="H1180" s="871">
        <f>'Peers Stock History'!I1183/'Peers Stock History'!I$1833*100</f>
        <v>160.72980017376196</v>
      </c>
      <c r="I1180" s="871">
        <f>'Peers Stock History'!J1183/'Peers Stock History'!J$1833*100</f>
        <v>114.17133127593912</v>
      </c>
      <c r="J1180" s="871">
        <f>'Peers Stock History'!K1183/'Peers Stock History'!K$1833*100</f>
        <v>121.70758698431466</v>
      </c>
    </row>
    <row r="1181" spans="2:10">
      <c r="B1181" s="870">
        <v>43430</v>
      </c>
      <c r="C1181" s="871">
        <f>'Peers Stock History'!D1184/'Peers Stock History'!D$1833*100</f>
        <v>131.622746185853</v>
      </c>
      <c r="D1181" s="871">
        <f>'Peers Stock History'!E1184/'Peers Stock History'!E$1833*100</f>
        <v>140.41284403669724</v>
      </c>
      <c r="E1181" s="871">
        <f>'Peers Stock History'!F1184/'Peers Stock History'!F$1833*100</f>
        <v>150.97744360902254</v>
      </c>
      <c r="F1181" s="871">
        <f>'Peers Stock History'!G1184/'Peers Stock History'!G$1833*100</f>
        <v>117.56115811921626</v>
      </c>
      <c r="G1181" s="871">
        <f>'Peers Stock History'!H1184/'Peers Stock History'!H$1833*100</f>
        <v>114.23370066508083</v>
      </c>
      <c r="H1181" s="871">
        <f>'Peers Stock History'!I1184/'Peers Stock History'!I$1833*100</f>
        <v>158.86185925282362</v>
      </c>
      <c r="I1181" s="871">
        <f>'Peers Stock History'!J1184/'Peers Stock History'!J$1833*100</f>
        <v>113.8001489837182</v>
      </c>
      <c r="J1181" s="871">
        <f>'Peers Stock History'!K1184/'Peers Stock History'!K$1833*100</f>
        <v>121.69303231926096</v>
      </c>
    </row>
    <row r="1182" spans="2:10">
      <c r="B1182" s="870">
        <v>43429</v>
      </c>
      <c r="C1182" s="871">
        <f>'Peers Stock History'!D1185/'Peers Stock History'!D$1833*100</f>
        <v>129.0984743411928</v>
      </c>
      <c r="D1182" s="871">
        <f>'Peers Stock History'!E1185/'Peers Stock History'!E$1833*100</f>
        <v>133.02752293577981</v>
      </c>
      <c r="E1182" s="871">
        <f>'Peers Stock History'!F1185/'Peers Stock History'!F$1833*100</f>
        <v>145.71428571428569</v>
      </c>
      <c r="F1182" s="871">
        <f>'Peers Stock History'!G1185/'Peers Stock History'!G$1833*100</f>
        <v>114.90955240955255</v>
      </c>
      <c r="G1182" s="871">
        <f>'Peers Stock History'!H1185/'Peers Stock History'!H$1833*100</f>
        <v>111.60735958056216</v>
      </c>
      <c r="H1182" s="871">
        <f>'Peers Stock History'!I1185/'Peers Stock History'!I$1833*100</f>
        <v>158.12337098175499</v>
      </c>
      <c r="I1182" s="871">
        <f>'Peers Stock History'!J1185/'Peers Stock History'!J$1833*100</f>
        <v>112.05959348728318</v>
      </c>
      <c r="J1182" s="871">
        <f>'Peers Stock History'!K1185/'Peers Stock History'!K$1833*100</f>
        <v>119.23800228200653</v>
      </c>
    </row>
    <row r="1183" spans="2:10">
      <c r="B1183" s="870">
        <v>43428</v>
      </c>
      <c r="C1183" s="871">
        <f>'Peers Stock History'!D1186/'Peers Stock History'!D$1833*100</f>
        <v>129.0984743411928</v>
      </c>
      <c r="D1183" s="871">
        <f>'Peers Stock History'!E1186/'Peers Stock History'!E$1833*100</f>
        <v>133.02752293577981</v>
      </c>
      <c r="E1183" s="871">
        <f>'Peers Stock History'!F1186/'Peers Stock History'!F$1833*100</f>
        <v>145.71428571428569</v>
      </c>
      <c r="F1183" s="871">
        <f>'Peers Stock History'!G1186/'Peers Stock History'!G$1833*100</f>
        <v>114.90955240955255</v>
      </c>
      <c r="G1183" s="871">
        <f>'Peers Stock History'!H1186/'Peers Stock History'!H$1833*100</f>
        <v>111.60735958056216</v>
      </c>
      <c r="H1183" s="871">
        <f>'Peers Stock History'!I1186/'Peers Stock History'!I$1833*100</f>
        <v>158.12337098175499</v>
      </c>
      <c r="I1183" s="871">
        <f>'Peers Stock History'!J1186/'Peers Stock History'!J$1833*100</f>
        <v>112.05959348728318</v>
      </c>
      <c r="J1183" s="871">
        <f>'Peers Stock History'!K1186/'Peers Stock History'!K$1833*100</f>
        <v>119.23800228200653</v>
      </c>
    </row>
    <row r="1184" spans="2:10">
      <c r="B1184" s="870">
        <v>43427</v>
      </c>
      <c r="C1184" s="871">
        <f>'Peers Stock History'!D1187/'Peers Stock History'!D$1833*100</f>
        <v>129.0984743411928</v>
      </c>
      <c r="D1184" s="871">
        <f>'Peers Stock History'!E1187/'Peers Stock History'!E$1833*100</f>
        <v>133.02752293577981</v>
      </c>
      <c r="E1184" s="871">
        <f>'Peers Stock History'!F1187/'Peers Stock History'!F$1833*100</f>
        <v>145.71428571428569</v>
      </c>
      <c r="F1184" s="871">
        <f>'Peers Stock History'!G1187/'Peers Stock History'!G$1833*100</f>
        <v>114.90955240955255</v>
      </c>
      <c r="G1184" s="871">
        <f>'Peers Stock History'!H1187/'Peers Stock History'!H$1833*100</f>
        <v>111.60735958056216</v>
      </c>
      <c r="H1184" s="871">
        <f>'Peers Stock History'!I1187/'Peers Stock History'!I$1833*100</f>
        <v>158.12337098175499</v>
      </c>
      <c r="I1184" s="871">
        <f>'Peers Stock History'!J1187/'Peers Stock History'!J$1833*100</f>
        <v>112.05959348728318</v>
      </c>
      <c r="J1184" s="871">
        <f>'Peers Stock History'!K1187/'Peers Stock History'!K$1833*100</f>
        <v>119.23800228200653</v>
      </c>
    </row>
    <row r="1185" spans="2:10">
      <c r="B1185" s="870">
        <v>43426</v>
      </c>
      <c r="C1185" s="871">
        <f>'Peers Stock History'!D1188/'Peers Stock History'!D$1833*100</f>
        <v>130.45769764216368</v>
      </c>
      <c r="D1185" s="871">
        <f>'Peers Stock History'!E1188/'Peers Stock History'!E$1833*100</f>
        <v>132.76146788990826</v>
      </c>
      <c r="E1185" s="871">
        <f>'Peers Stock History'!F1188/'Peers Stock History'!F$1833*100</f>
        <v>140.82706766917292</v>
      </c>
      <c r="F1185" s="871">
        <f>'Peers Stock History'!G1188/'Peers Stock History'!G$1833*100</f>
        <v>115.4412142908579</v>
      </c>
      <c r="G1185" s="871">
        <f>'Peers Stock History'!H1188/'Peers Stock History'!H$1833*100</f>
        <v>111.65590562648671</v>
      </c>
      <c r="H1185" s="871">
        <f>'Peers Stock History'!I1188/'Peers Stock History'!I$1833*100</f>
        <v>158.03649000868811</v>
      </c>
      <c r="I1185" s="871">
        <f>'Peers Stock History'!J1188/'Peers Stock History'!J$1833*100</f>
        <v>112.79897839736086</v>
      </c>
      <c r="J1185" s="871">
        <f>'Peers Stock History'!K1188/'Peers Stock History'!K$1833*100</f>
        <v>119.80965522455772</v>
      </c>
    </row>
    <row r="1186" spans="2:10">
      <c r="B1186" s="870">
        <v>43425</v>
      </c>
      <c r="C1186" s="871">
        <f>'Peers Stock History'!D1189/'Peers Stock History'!D$1833*100</f>
        <v>130.45769764216368</v>
      </c>
      <c r="D1186" s="871">
        <f>'Peers Stock History'!E1189/'Peers Stock History'!E$1833*100</f>
        <v>132.76146788990826</v>
      </c>
      <c r="E1186" s="871">
        <f>'Peers Stock History'!F1189/'Peers Stock History'!F$1833*100</f>
        <v>140.82706766917292</v>
      </c>
      <c r="F1186" s="871">
        <f>'Peers Stock History'!G1189/'Peers Stock History'!G$1833*100</f>
        <v>115.45992134227426</v>
      </c>
      <c r="G1186" s="871">
        <f>'Peers Stock History'!H1189/'Peers Stock History'!H$1833*100</f>
        <v>111.65590562648671</v>
      </c>
      <c r="H1186" s="871">
        <f>'Peers Stock History'!I1189/'Peers Stock History'!I$1833*100</f>
        <v>158.03649000868811</v>
      </c>
      <c r="I1186" s="871">
        <f>'Peers Stock History'!J1189/'Peers Stock History'!J$1833*100</f>
        <v>112.79897839736086</v>
      </c>
      <c r="J1186" s="871">
        <f>'Peers Stock History'!K1189/'Peers Stock History'!K$1833*100</f>
        <v>119.80965522455772</v>
      </c>
    </row>
    <row r="1187" spans="2:10">
      <c r="B1187" s="870">
        <v>43424</v>
      </c>
      <c r="C1187" s="871">
        <f>'Peers Stock History'!D1190/'Peers Stock History'!D$1833*100</f>
        <v>131.45631067961165</v>
      </c>
      <c r="D1187" s="871">
        <f>'Peers Stock History'!E1190/'Peers Stock History'!E$1833*100</f>
        <v>136.77064220183487</v>
      </c>
      <c r="E1187" s="871">
        <f>'Peers Stock History'!F1190/'Peers Stock History'!F$1833*100</f>
        <v>144.43609022556393</v>
      </c>
      <c r="F1187" s="871">
        <f>'Peers Stock History'!G1190/'Peers Stock History'!G$1833*100</f>
        <v>114.58732962545805</v>
      </c>
      <c r="G1187" s="871">
        <f>'Peers Stock History'!H1190/'Peers Stock History'!H$1833*100</f>
        <v>110.54420117481432</v>
      </c>
      <c r="H1187" s="871">
        <f>'Peers Stock History'!I1190/'Peers Stock History'!I$1833*100</f>
        <v>156.9070373588184</v>
      </c>
      <c r="I1187" s="871">
        <f>'Peers Stock History'!J1190/'Peers Stock History'!J$1833*100</f>
        <v>112.45674151324891</v>
      </c>
      <c r="J1187" s="871">
        <f>'Peers Stock History'!K1190/'Peers Stock History'!K$1833*100</f>
        <v>118.71972217258021</v>
      </c>
    </row>
    <row r="1188" spans="2:10">
      <c r="B1188" s="870">
        <v>43423</v>
      </c>
      <c r="C1188" s="871">
        <f>'Peers Stock History'!D1191/'Peers Stock History'!D$1833*100</f>
        <v>133.14840499306518</v>
      </c>
      <c r="D1188" s="871">
        <f>'Peers Stock History'!E1191/'Peers Stock History'!E$1833*100</f>
        <v>132.75229357798165</v>
      </c>
      <c r="E1188" s="871">
        <f>'Peers Stock History'!F1191/'Peers Stock History'!F$1833*100</f>
        <v>143.68421052631578</v>
      </c>
      <c r="F1188" s="871">
        <f>'Peers Stock History'!G1191/'Peers Stock History'!G$1833*100</f>
        <v>116.89381304840613</v>
      </c>
      <c r="G1188" s="871">
        <f>'Peers Stock History'!H1191/'Peers Stock History'!H$1833*100</f>
        <v>111.23355502694305</v>
      </c>
      <c r="H1188" s="871">
        <f>'Peers Stock History'!I1191/'Peers Stock History'!I$1833*100</f>
        <v>159.99131190269333</v>
      </c>
      <c r="I1188" s="871">
        <f>'Peers Stock History'!J1191/'Peers Stock History'!J$1833*100</f>
        <v>114.53570288389912</v>
      </c>
      <c r="J1188" s="871">
        <f>'Peers Stock History'!K1191/'Peers Stock History'!K$1833*100</f>
        <v>120.7758306641189</v>
      </c>
    </row>
    <row r="1189" spans="2:10">
      <c r="B1189" s="870">
        <v>43422</v>
      </c>
      <c r="C1189" s="871">
        <f>'Peers Stock History'!D1192/'Peers Stock History'!D$1833*100</f>
        <v>135.4507628294036</v>
      </c>
      <c r="D1189" s="871">
        <f>'Peers Stock History'!E1192/'Peers Stock History'!E$1833*100</f>
        <v>150.85321100917432</v>
      </c>
      <c r="E1189" s="871">
        <f>'Peers Stock History'!F1192/'Peers Stock History'!F$1833*100</f>
        <v>155.33834586466165</v>
      </c>
      <c r="F1189" s="871">
        <f>'Peers Stock History'!G1192/'Peers Stock History'!G$1833*100</f>
        <v>119.47180044801267</v>
      </c>
      <c r="G1189" s="871">
        <f>'Peers Stock History'!H1192/'Peers Stock History'!H$1833*100</f>
        <v>115.35025972134569</v>
      </c>
      <c r="H1189" s="871">
        <f>'Peers Stock History'!I1192/'Peers Stock History'!I$1833*100</f>
        <v>171.32927888792352</v>
      </c>
      <c r="I1189" s="871">
        <f>'Peers Stock History'!J1192/'Peers Stock History'!J$1833*100</f>
        <v>116.47419389166755</v>
      </c>
      <c r="J1189" s="871">
        <f>'Peers Stock History'!K1192/'Peers Stock History'!K$1833*100</f>
        <v>124.54588414005472</v>
      </c>
    </row>
    <row r="1190" spans="2:10">
      <c r="B1190" s="870">
        <v>43421</v>
      </c>
      <c r="C1190" s="871">
        <f>'Peers Stock History'!D1193/'Peers Stock History'!D$1833*100</f>
        <v>135.4507628294036</v>
      </c>
      <c r="D1190" s="871">
        <f>'Peers Stock History'!E1193/'Peers Stock History'!E$1833*100</f>
        <v>150.85321100917432</v>
      </c>
      <c r="E1190" s="871">
        <f>'Peers Stock History'!F1193/'Peers Stock History'!F$1833*100</f>
        <v>155.33834586466165</v>
      </c>
      <c r="F1190" s="871">
        <f>'Peers Stock History'!G1193/'Peers Stock History'!G$1833*100</f>
        <v>119.47180044801267</v>
      </c>
      <c r="G1190" s="871">
        <f>'Peers Stock History'!H1193/'Peers Stock History'!H$1833*100</f>
        <v>115.35025972134569</v>
      </c>
      <c r="H1190" s="871">
        <f>'Peers Stock History'!I1193/'Peers Stock History'!I$1833*100</f>
        <v>171.32927888792352</v>
      </c>
      <c r="I1190" s="871">
        <f>'Peers Stock History'!J1193/'Peers Stock History'!J$1833*100</f>
        <v>116.47419389166755</v>
      </c>
      <c r="J1190" s="871">
        <f>'Peers Stock History'!K1193/'Peers Stock History'!K$1833*100</f>
        <v>124.54588414005472</v>
      </c>
    </row>
    <row r="1191" spans="2:10">
      <c r="B1191" s="870">
        <v>43420</v>
      </c>
      <c r="C1191" s="871">
        <f>'Peers Stock History'!D1194/'Peers Stock History'!D$1833*100</f>
        <v>135.4507628294036</v>
      </c>
      <c r="D1191" s="871">
        <f>'Peers Stock History'!E1194/'Peers Stock History'!E$1833*100</f>
        <v>150.85321100917432</v>
      </c>
      <c r="E1191" s="871">
        <f>'Peers Stock History'!F1194/'Peers Stock History'!F$1833*100</f>
        <v>155.33834586466165</v>
      </c>
      <c r="F1191" s="871">
        <f>'Peers Stock History'!G1194/'Peers Stock History'!G$1833*100</f>
        <v>119.47180044801267</v>
      </c>
      <c r="G1191" s="871">
        <f>'Peers Stock History'!H1194/'Peers Stock History'!H$1833*100</f>
        <v>115.35025972134569</v>
      </c>
      <c r="H1191" s="871">
        <f>'Peers Stock History'!I1194/'Peers Stock History'!I$1833*100</f>
        <v>171.32927888792352</v>
      </c>
      <c r="I1191" s="871">
        <f>'Peers Stock History'!J1194/'Peers Stock History'!J$1833*100</f>
        <v>116.47419389166755</v>
      </c>
      <c r="J1191" s="871">
        <f>'Peers Stock History'!K1194/'Peers Stock History'!K$1833*100</f>
        <v>124.54588414005472</v>
      </c>
    </row>
    <row r="1192" spans="2:10">
      <c r="B1192" s="870">
        <v>43419</v>
      </c>
      <c r="C1192" s="871">
        <f>'Peers Stock History'!D1195/'Peers Stock History'!D$1833*100</f>
        <v>133.45353675450764</v>
      </c>
      <c r="D1192" s="871">
        <f>'Peers Stock History'!E1195/'Peers Stock History'!E$1833*100</f>
        <v>185.67889908256882</v>
      </c>
      <c r="E1192" s="871">
        <f>'Peers Stock History'!F1195/'Peers Stock History'!F$1833*100</f>
        <v>161.57894736842101</v>
      </c>
      <c r="F1192" s="871">
        <f>'Peers Stock History'!G1195/'Peers Stock History'!G$1833*100</f>
        <v>122.06341472217713</v>
      </c>
      <c r="G1192" s="871">
        <f>'Peers Stock History'!H1195/'Peers Stock History'!H$1833*100</f>
        <v>114.73372493810379</v>
      </c>
      <c r="H1192" s="871">
        <f>'Peers Stock History'!I1195/'Peers Stock History'!I$1833*100</f>
        <v>173.37098175499563</v>
      </c>
      <c r="I1192" s="871">
        <f>'Peers Stock History'!J1195/'Peers Stock History'!J$1833*100</f>
        <v>116.21581355751836</v>
      </c>
      <c r="J1192" s="871">
        <f>'Peers Stock History'!K1195/'Peers Stock History'!K$1833*100</f>
        <v>124.73763798578558</v>
      </c>
    </row>
    <row r="1193" spans="2:10">
      <c r="B1193" s="870">
        <v>43418</v>
      </c>
      <c r="C1193" s="871">
        <f>'Peers Stock History'!D1196/'Peers Stock History'!D$1833*100</f>
        <v>130.62413314840501</v>
      </c>
      <c r="D1193" s="871">
        <f>'Peers Stock History'!E1196/'Peers Stock History'!E$1833*100</f>
        <v>180.90825688073394</v>
      </c>
      <c r="E1193" s="871">
        <f>'Peers Stock History'!F1196/'Peers Stock History'!F$1833*100</f>
        <v>156.46616541353382</v>
      </c>
      <c r="F1193" s="871">
        <f>'Peers Stock History'!G1196/'Peers Stock History'!G$1833*100</f>
        <v>120.43723010738539</v>
      </c>
      <c r="G1193" s="871">
        <f>'Peers Stock History'!H1196/'Peers Stock History'!H$1833*100</f>
        <v>109.81115588135346</v>
      </c>
      <c r="H1193" s="871">
        <f>'Peers Stock History'!I1196/'Peers Stock History'!I$1833*100</f>
        <v>165.20417028670721</v>
      </c>
      <c r="I1193" s="871">
        <f>'Peers Stock History'!J1196/'Peers Stock History'!J$1833*100</f>
        <v>114.99755241034373</v>
      </c>
      <c r="J1193" s="871">
        <f>'Peers Stock History'!K1196/'Peers Stock History'!K$1833*100</f>
        <v>122.63023589898685</v>
      </c>
    </row>
    <row r="1194" spans="2:10">
      <c r="B1194" s="870">
        <v>43417</v>
      </c>
      <c r="C1194" s="871">
        <f>'Peers Stock History'!D1197/'Peers Stock History'!D$1833*100</f>
        <v>131.45631067961165</v>
      </c>
      <c r="D1194" s="871">
        <f>'Peers Stock History'!E1197/'Peers Stock History'!E$1833*100</f>
        <v>182.85321100917432</v>
      </c>
      <c r="E1194" s="871">
        <f>'Peers Stock History'!F1197/'Peers Stock History'!F$1833*100</f>
        <v>147.44360902255639</v>
      </c>
      <c r="F1194" s="871">
        <f>'Peers Stock History'!G1197/'Peers Stock History'!G$1833*100</f>
        <v>119.96457055454111</v>
      </c>
      <c r="G1194" s="871">
        <f>'Peers Stock History'!H1197/'Peers Stock History'!H$1833*100</f>
        <v>109.146075052187</v>
      </c>
      <c r="H1194" s="871">
        <f>'Peers Stock History'!I1197/'Peers Stock History'!I$1833*100</f>
        <v>164.42224152910515</v>
      </c>
      <c r="I1194" s="871">
        <f>'Peers Stock History'!J1197/'Peers Stock History'!J$1833*100</f>
        <v>115.87442800893901</v>
      </c>
      <c r="J1194" s="871">
        <f>'Peers Stock History'!K1197/'Peers Stock History'!K$1833*100</f>
        <v>123.73828065930743</v>
      </c>
    </row>
    <row r="1195" spans="2:10">
      <c r="B1195" s="870">
        <v>43416</v>
      </c>
      <c r="C1195" s="871">
        <f>'Peers Stock History'!D1198/'Peers Stock History'!D$1833*100</f>
        <v>129.40360610263525</v>
      </c>
      <c r="D1195" s="871">
        <f>'Peers Stock History'!E1198/'Peers Stock History'!E$1833*100</f>
        <v>173.88990825688074</v>
      </c>
      <c r="E1195" s="871">
        <f>'Peers Stock History'!F1198/'Peers Stock History'!F$1833*100</f>
        <v>143.08270676691731</v>
      </c>
      <c r="F1195" s="871">
        <f>'Peers Stock History'!G1198/'Peers Stock History'!G$1833*100</f>
        <v>121.79352587664363</v>
      </c>
      <c r="G1195" s="871">
        <f>'Peers Stock History'!H1198/'Peers Stock History'!H$1833*100</f>
        <v>108.56352250109227</v>
      </c>
      <c r="H1195" s="871">
        <f>'Peers Stock History'!I1198/'Peers Stock History'!I$1833*100</f>
        <v>162.6411815812337</v>
      </c>
      <c r="I1195" s="871">
        <f>'Peers Stock History'!J1198/'Peers Stock History'!J$1833*100</f>
        <v>116.04639778652761</v>
      </c>
      <c r="J1195" s="871">
        <f>'Peers Stock History'!K1198/'Peers Stock History'!K$1833*100</f>
        <v>123.73817755660339</v>
      </c>
    </row>
    <row r="1196" spans="2:10">
      <c r="B1196" s="870">
        <v>43415</v>
      </c>
      <c r="C1196" s="871">
        <f>'Peers Stock History'!D1199/'Peers Stock History'!D$1833*100</f>
        <v>133.45353675450764</v>
      </c>
      <c r="D1196" s="871">
        <f>'Peers Stock History'!E1199/'Peers Stock History'!E$1833*100</f>
        <v>188.6880733944954</v>
      </c>
      <c r="E1196" s="871">
        <f>'Peers Stock History'!F1199/'Peers Stock History'!F$1833*100</f>
        <v>158.12030075187971</v>
      </c>
      <c r="F1196" s="871">
        <f>'Peers Stock History'!G1199/'Peers Stock History'!G$1833*100</f>
        <v>122.10704563014949</v>
      </c>
      <c r="G1196" s="871">
        <f>'Peers Stock History'!H1199/'Peers Stock History'!H$1833*100</f>
        <v>116.02019515510462</v>
      </c>
      <c r="H1196" s="871">
        <f>'Peers Stock History'!I1199/'Peers Stock History'!I$1833*100</f>
        <v>169.89574283231971</v>
      </c>
      <c r="I1196" s="871">
        <f>'Peers Stock History'!J1199/'Peers Stock History'!J$1833*100</f>
        <v>118.37863147813133</v>
      </c>
      <c r="J1196" s="871">
        <f>'Peers Stock History'!K1199/'Peers Stock History'!K$1833*100</f>
        <v>127.27860412685759</v>
      </c>
    </row>
    <row r="1197" spans="2:10">
      <c r="B1197" s="870">
        <v>43414</v>
      </c>
      <c r="C1197" s="871">
        <f>'Peers Stock History'!D1200/'Peers Stock History'!D$1833*100</f>
        <v>133.45353675450764</v>
      </c>
      <c r="D1197" s="871">
        <f>'Peers Stock History'!E1200/'Peers Stock History'!E$1833*100</f>
        <v>188.6880733944954</v>
      </c>
      <c r="E1197" s="871">
        <f>'Peers Stock History'!F1200/'Peers Stock History'!F$1833*100</f>
        <v>158.12030075187971</v>
      </c>
      <c r="F1197" s="871">
        <f>'Peers Stock History'!G1200/'Peers Stock History'!G$1833*100</f>
        <v>122.10704563014949</v>
      </c>
      <c r="G1197" s="871">
        <f>'Peers Stock History'!H1200/'Peers Stock History'!H$1833*100</f>
        <v>116.02019515510462</v>
      </c>
      <c r="H1197" s="871">
        <f>'Peers Stock History'!I1200/'Peers Stock History'!I$1833*100</f>
        <v>169.89574283231971</v>
      </c>
      <c r="I1197" s="871">
        <f>'Peers Stock History'!J1200/'Peers Stock History'!J$1833*100</f>
        <v>118.37863147813133</v>
      </c>
      <c r="J1197" s="871">
        <f>'Peers Stock History'!K1200/'Peers Stock History'!K$1833*100</f>
        <v>127.27860412685759</v>
      </c>
    </row>
    <row r="1198" spans="2:10">
      <c r="B1198" s="870">
        <v>43413</v>
      </c>
      <c r="C1198" s="871">
        <f>'Peers Stock History'!D1201/'Peers Stock History'!D$1833*100</f>
        <v>133.45353675450764</v>
      </c>
      <c r="D1198" s="871">
        <f>'Peers Stock History'!E1201/'Peers Stock History'!E$1833*100</f>
        <v>188.6880733944954</v>
      </c>
      <c r="E1198" s="871">
        <f>'Peers Stock History'!F1201/'Peers Stock History'!F$1833*100</f>
        <v>158.12030075187971</v>
      </c>
      <c r="F1198" s="871">
        <f>'Peers Stock History'!G1201/'Peers Stock History'!G$1833*100</f>
        <v>122.10704563014949</v>
      </c>
      <c r="G1198" s="871">
        <f>'Peers Stock History'!H1201/'Peers Stock History'!H$1833*100</f>
        <v>116.02019515510462</v>
      </c>
      <c r="H1198" s="871">
        <f>'Peers Stock History'!I1201/'Peers Stock History'!I$1833*100</f>
        <v>169.89574283231971</v>
      </c>
      <c r="I1198" s="871">
        <f>'Peers Stock History'!J1201/'Peers Stock History'!J$1833*100</f>
        <v>118.37863147813133</v>
      </c>
      <c r="J1198" s="871">
        <f>'Peers Stock History'!K1201/'Peers Stock History'!K$1833*100</f>
        <v>127.27860412685759</v>
      </c>
    </row>
    <row r="1199" spans="2:10">
      <c r="B1199" s="870">
        <v>43412</v>
      </c>
      <c r="C1199" s="871">
        <f>'Peers Stock History'!D1202/'Peers Stock History'!D$1833*100</f>
        <v>135.89459084604718</v>
      </c>
      <c r="D1199" s="871">
        <f>'Peers Stock History'!E1202/'Peers Stock History'!E$1833*100</f>
        <v>188.9816513761468</v>
      </c>
      <c r="E1199" s="871">
        <f>'Peers Stock History'!F1202/'Peers Stock History'!F$1833*100</f>
        <v>159.3984962406015</v>
      </c>
      <c r="F1199" s="871">
        <f>'Peers Stock History'!G1202/'Peers Stock History'!G$1833*100</f>
        <v>125.37695287410135</v>
      </c>
      <c r="G1199" s="871">
        <f>'Peers Stock History'!H1202/'Peers Stock History'!H$1833*100</f>
        <v>116.63187533375405</v>
      </c>
      <c r="H1199" s="871">
        <f>'Peers Stock History'!I1202/'Peers Stock History'!I$1833*100</f>
        <v>175.67332754126846</v>
      </c>
      <c r="I1199" s="871">
        <f>'Peers Stock History'!J1202/'Peers Stock History'!J$1833*100</f>
        <v>119.47770565073958</v>
      </c>
      <c r="J1199" s="871">
        <f>'Peers Stock History'!K1202/'Peers Stock History'!K$1833*100</f>
        <v>129.40910121936133</v>
      </c>
    </row>
    <row r="1200" spans="2:10">
      <c r="B1200" s="870">
        <v>43411</v>
      </c>
      <c r="C1200" s="871">
        <f>'Peers Stock History'!D1203/'Peers Stock History'!D$1833*100</f>
        <v>135.14563106796118</v>
      </c>
      <c r="D1200" s="871">
        <f>'Peers Stock History'!E1203/'Peers Stock History'!E$1833*100</f>
        <v>196.13761467889907</v>
      </c>
      <c r="E1200" s="871">
        <f>'Peers Stock History'!F1203/'Peers Stock History'!F$1833*100</f>
        <v>164.21052631578948</v>
      </c>
      <c r="F1200" s="871">
        <f>'Peers Stock History'!G1203/'Peers Stock History'!G$1833*100</f>
        <v>124.53457467525391</v>
      </c>
      <c r="G1200" s="871">
        <f>'Peers Stock History'!H1203/'Peers Stock History'!H$1833*100</f>
        <v>113.79193164716735</v>
      </c>
      <c r="H1200" s="871">
        <f>'Peers Stock History'!I1203/'Peers Stock History'!I$1833*100</f>
        <v>177.80191138140748</v>
      </c>
      <c r="I1200" s="871">
        <f>'Peers Stock History'!J1203/'Peers Stock History'!J$1833*100</f>
        <v>119.77822709375332</v>
      </c>
      <c r="J1200" s="871">
        <f>'Peers Stock History'!K1203/'Peers Stock History'!K$1833*100</f>
        <v>130.09420150392478</v>
      </c>
    </row>
    <row r="1201" spans="2:10">
      <c r="B1201" s="870">
        <v>43410</v>
      </c>
      <c r="C1201" s="871">
        <f>'Peers Stock History'!D1204/'Peers Stock History'!D$1833*100</f>
        <v>131.06796116504856</v>
      </c>
      <c r="D1201" s="871">
        <f>'Peers Stock History'!E1204/'Peers Stock History'!E$1833*100</f>
        <v>193.63302752293578</v>
      </c>
      <c r="E1201" s="871">
        <f>'Peers Stock History'!F1204/'Peers Stock History'!F$1833*100</f>
        <v>155.48872180451127</v>
      </c>
      <c r="F1201" s="871">
        <f>'Peers Stock History'!G1204/'Peers Stock History'!G$1833*100</f>
        <v>123.98535467895499</v>
      </c>
      <c r="G1201" s="871">
        <f>'Peers Stock History'!H1204/'Peers Stock History'!H$1833*100</f>
        <v>110.80634982280692</v>
      </c>
      <c r="H1201" s="871">
        <f>'Peers Stock History'!I1204/'Peers Stock History'!I$1833*100</f>
        <v>172.8931364031277</v>
      </c>
      <c r="I1201" s="871">
        <f>'Peers Stock History'!J1204/'Peers Stock History'!J$1833*100</f>
        <v>117.29062466744705</v>
      </c>
      <c r="J1201" s="871">
        <f>'Peers Stock History'!K1204/'Peers Stock History'!K$1833*100</f>
        <v>126.74697221725803</v>
      </c>
    </row>
    <row r="1202" spans="2:10">
      <c r="B1202" s="870">
        <v>43409</v>
      </c>
      <c r="C1202" s="871">
        <f>'Peers Stock History'!D1205/'Peers Stock History'!D$1833*100</f>
        <v>133.06518723994455</v>
      </c>
      <c r="D1202" s="871">
        <f>'Peers Stock History'!E1205/'Peers Stock History'!E$1833*100</f>
        <v>194.28440366972478</v>
      </c>
      <c r="E1202" s="871">
        <f>'Peers Stock History'!F1205/'Peers Stock History'!F$1833*100</f>
        <v>149.62406015037593</v>
      </c>
      <c r="F1202" s="871">
        <f>'Peers Stock History'!G1205/'Peers Stock History'!G$1833*100</f>
        <v>124.53710598420007</v>
      </c>
      <c r="G1202" s="871">
        <f>'Peers Stock History'!H1205/'Peers Stock History'!H$1833*100</f>
        <v>106.84499247536287</v>
      </c>
      <c r="H1202" s="871">
        <f>'Peers Stock History'!I1205/'Peers Stock History'!I$1833*100</f>
        <v>173.41442224152911</v>
      </c>
      <c r="I1202" s="871">
        <f>'Peers Stock History'!J1205/'Peers Stock History'!J$1833*100</f>
        <v>116.56103011599446</v>
      </c>
      <c r="J1202" s="871">
        <f>'Peers Stock History'!K1205/'Peers Stock History'!K$1833*100</f>
        <v>125.93739260134996</v>
      </c>
    </row>
    <row r="1203" spans="2:10">
      <c r="B1203" s="870">
        <v>43408</v>
      </c>
      <c r="C1203" s="871">
        <f>'Peers Stock History'!D1206/'Peers Stock History'!D$1833*100</f>
        <v>130.67961165048544</v>
      </c>
      <c r="D1203" s="871">
        <f>'Peers Stock History'!E1206/'Peers Stock History'!E$1833*100</f>
        <v>197.17431192660547</v>
      </c>
      <c r="E1203" s="871">
        <f>'Peers Stock History'!F1206/'Peers Stock History'!F$1833*100</f>
        <v>152.10526315789471</v>
      </c>
      <c r="F1203" s="871">
        <f>'Peers Stock History'!G1206/'Peers Stock History'!G$1833*100</f>
        <v>125.82390760537017</v>
      </c>
      <c r="G1203" s="871">
        <f>'Peers Stock History'!H1206/'Peers Stock History'!H$1833*100</f>
        <v>107.17510558764988</v>
      </c>
      <c r="H1203" s="871">
        <f>'Peers Stock History'!I1206/'Peers Stock History'!I$1833*100</f>
        <v>175.15204170286708</v>
      </c>
      <c r="I1203" s="871">
        <f>'Peers Stock History'!J1206/'Peers Stock History'!J$1833*100</f>
        <v>115.91188677237416</v>
      </c>
      <c r="J1203" s="871">
        <f>'Peers Stock History'!K1206/'Peers Stock History'!K$1833*100</f>
        <v>126.42099583465077</v>
      </c>
    </row>
    <row r="1204" spans="2:10">
      <c r="B1204" s="870">
        <v>43407</v>
      </c>
      <c r="C1204" s="871">
        <f>'Peers Stock History'!D1207/'Peers Stock History'!D$1833*100</f>
        <v>130.67961165048544</v>
      </c>
      <c r="D1204" s="871">
        <f>'Peers Stock History'!E1207/'Peers Stock History'!E$1833*100</f>
        <v>197.17431192660547</v>
      </c>
      <c r="E1204" s="871">
        <f>'Peers Stock History'!F1207/'Peers Stock History'!F$1833*100</f>
        <v>152.10526315789471</v>
      </c>
      <c r="F1204" s="871">
        <f>'Peers Stock History'!G1207/'Peers Stock History'!G$1833*100</f>
        <v>125.82390760537017</v>
      </c>
      <c r="G1204" s="871">
        <f>'Peers Stock History'!H1207/'Peers Stock History'!H$1833*100</f>
        <v>107.17510558764988</v>
      </c>
      <c r="H1204" s="871">
        <f>'Peers Stock History'!I1207/'Peers Stock History'!I$1833*100</f>
        <v>175.15204170286708</v>
      </c>
      <c r="I1204" s="871">
        <f>'Peers Stock History'!J1207/'Peers Stock History'!J$1833*100</f>
        <v>115.91188677237416</v>
      </c>
      <c r="J1204" s="871">
        <f>'Peers Stock History'!K1207/'Peers Stock History'!K$1833*100</f>
        <v>126.42099583465077</v>
      </c>
    </row>
    <row r="1205" spans="2:10">
      <c r="B1205" s="870">
        <v>43406</v>
      </c>
      <c r="C1205" s="871">
        <f>'Peers Stock History'!D1208/'Peers Stock History'!D$1833*100</f>
        <v>130.67961165048544</v>
      </c>
      <c r="D1205" s="871">
        <f>'Peers Stock History'!E1208/'Peers Stock History'!E$1833*100</f>
        <v>197.17431192660547</v>
      </c>
      <c r="E1205" s="871">
        <f>'Peers Stock History'!F1208/'Peers Stock History'!F$1833*100</f>
        <v>152.10526315789471</v>
      </c>
      <c r="F1205" s="871">
        <f>'Peers Stock History'!G1208/'Peers Stock History'!G$1833*100</f>
        <v>125.82390760537017</v>
      </c>
      <c r="G1205" s="871">
        <f>'Peers Stock History'!H1208/'Peers Stock History'!H$1833*100</f>
        <v>107.17510558764988</v>
      </c>
      <c r="H1205" s="871">
        <f>'Peers Stock History'!I1208/'Peers Stock History'!I$1833*100</f>
        <v>175.15204170286708</v>
      </c>
      <c r="I1205" s="871">
        <f>'Peers Stock History'!J1208/'Peers Stock History'!J$1833*100</f>
        <v>115.91188677237416</v>
      </c>
      <c r="J1205" s="871">
        <f>'Peers Stock History'!K1208/'Peers Stock History'!K$1833*100</f>
        <v>126.42099583465077</v>
      </c>
    </row>
    <row r="1206" spans="2:10">
      <c r="B1206" s="870">
        <v>43405</v>
      </c>
      <c r="C1206" s="871">
        <f>'Peers Stock History'!D1209/'Peers Stock History'!D$1833*100</f>
        <v>133.75866851595009</v>
      </c>
      <c r="D1206" s="871">
        <f>'Peers Stock History'!E1209/'Peers Stock History'!E$1833*100</f>
        <v>200.1009174311927</v>
      </c>
      <c r="E1206" s="871">
        <f>'Peers Stock History'!F1209/'Peers Stock History'!F$1833*100</f>
        <v>152.03007518796991</v>
      </c>
      <c r="F1206" s="871">
        <f>'Peers Stock History'!G1209/'Peers Stock History'!G$1833*100</f>
        <v>124.66805308258006</v>
      </c>
      <c r="G1206" s="871">
        <f>'Peers Stock History'!H1209/'Peers Stock History'!H$1833*100</f>
        <v>111.59765037137726</v>
      </c>
      <c r="H1206" s="871">
        <f>'Peers Stock History'!I1209/'Peers Stock History'!I$1833*100</f>
        <v>174.28323197219808</v>
      </c>
      <c r="I1206" s="871">
        <f>'Peers Stock History'!J1209/'Peers Stock History'!J$1833*100</f>
        <v>116.64871767585399</v>
      </c>
      <c r="J1206" s="871">
        <f>'Peers Stock History'!K1209/'Peers Stock History'!K$1833*100</f>
        <v>127.74522978155973</v>
      </c>
    </row>
    <row r="1207" spans="2:10">
      <c r="B1207" s="870">
        <v>43404</v>
      </c>
      <c r="C1207" s="871">
        <f>'Peers Stock History'!D1210/'Peers Stock History'!D$1833*100</f>
        <v>130.04160887656036</v>
      </c>
      <c r="D1207" s="871">
        <f>'Peers Stock History'!E1210/'Peers Stock History'!E$1833*100</f>
        <v>193.42201834862388</v>
      </c>
      <c r="E1207" s="871">
        <f>'Peers Stock History'!F1210/'Peers Stock History'!F$1833*100</f>
        <v>136.91729323308272</v>
      </c>
      <c r="F1207" s="871">
        <f>'Peers Stock History'!G1210/'Peers Stock History'!G$1833*100</f>
        <v>123.06103095576788</v>
      </c>
      <c r="G1207" s="871">
        <f>'Peers Stock History'!H1210/'Peers Stock History'!H$1833*100</f>
        <v>108.49555803679792</v>
      </c>
      <c r="H1207" s="871">
        <f>'Peers Stock History'!I1210/'Peers Stock History'!I$1833*100</f>
        <v>163.85751520417028</v>
      </c>
      <c r="I1207" s="871">
        <f>'Peers Stock History'!J1210/'Peers Stock History'!J$1833*100</f>
        <v>115.43003086091306</v>
      </c>
      <c r="J1207" s="871">
        <f>'Peers Stock History'!K1210/'Peers Stock History'!K$1833*100</f>
        <v>125.542990390828</v>
      </c>
    </row>
    <row r="1208" spans="2:10">
      <c r="B1208" s="870">
        <v>43403</v>
      </c>
      <c r="C1208" s="871">
        <f>'Peers Stock History'!D1211/'Peers Stock History'!D$1833*100</f>
        <v>132.48266296809987</v>
      </c>
      <c r="D1208" s="871">
        <f>'Peers Stock History'!E1211/'Peers Stock History'!E$1833*100</f>
        <v>186.23853211009174</v>
      </c>
      <c r="E1208" s="871">
        <f>'Peers Stock History'!F1211/'Peers Stock History'!F$1833*100</f>
        <v>129.32330827067668</v>
      </c>
      <c r="F1208" s="871">
        <f>'Peers Stock History'!G1211/'Peers Stock History'!G$1833*100</f>
        <v>117.23441993616186</v>
      </c>
      <c r="G1208" s="871">
        <f>'Peers Stock History'!H1211/'Peers Stock History'!H$1833*100</f>
        <v>107.29161609786881</v>
      </c>
      <c r="H1208" s="871">
        <f>'Peers Stock History'!I1211/'Peers Stock History'!I$1833*100</f>
        <v>156.42919200695047</v>
      </c>
      <c r="I1208" s="871">
        <f>'Peers Stock History'!J1211/'Peers Stock History'!J$1833*100</f>
        <v>114.19091199318932</v>
      </c>
      <c r="J1208" s="871">
        <f>'Peers Stock History'!K1211/'Peers Stock History'!K$1833*100</f>
        <v>123.06424673164429</v>
      </c>
    </row>
    <row r="1209" spans="2:10">
      <c r="B1209" s="870">
        <v>43402</v>
      </c>
      <c r="C1209" s="871">
        <f>'Peers Stock History'!D1212/'Peers Stock History'!D$1833*100</f>
        <v>125.9361997226075</v>
      </c>
      <c r="D1209" s="871">
        <f>'Peers Stock History'!E1212/'Peers Stock History'!E$1833*100</f>
        <v>170.2935779816514</v>
      </c>
      <c r="E1209" s="871">
        <f>'Peers Stock History'!F1212/'Peers Stock History'!F$1833*100</f>
        <v>126.69172932330828</v>
      </c>
      <c r="F1209" s="871">
        <f>'Peers Stock History'!G1212/'Peers Stock History'!G$1833*100</f>
        <v>116.77532047753063</v>
      </c>
      <c r="G1209" s="871">
        <f>'Peers Stock History'!H1212/'Peers Stock History'!H$1833*100</f>
        <v>102.67488713044321</v>
      </c>
      <c r="H1209" s="871">
        <f>'Peers Stock History'!I1212/'Peers Stock History'!I$1833*100</f>
        <v>150.56472632493484</v>
      </c>
      <c r="I1209" s="871">
        <f>'Peers Stock History'!J1212/'Peers Stock History'!J$1833*100</f>
        <v>112.42949877620516</v>
      </c>
      <c r="J1209" s="871">
        <f>'Peers Stock History'!K1212/'Peers Stock History'!K$1833*100</f>
        <v>121.15069491222525</v>
      </c>
    </row>
    <row r="1210" spans="2:10">
      <c r="B1210" s="870">
        <v>43401</v>
      </c>
      <c r="C1210" s="871">
        <f>'Peers Stock History'!D1213/'Peers Stock History'!D$1833*100</f>
        <v>126.74063800277393</v>
      </c>
      <c r="D1210" s="871">
        <f>'Peers Stock History'!E1213/'Peers Stock History'!E$1833*100</f>
        <v>181.91743119266056</v>
      </c>
      <c r="E1210" s="871">
        <f>'Peers Stock History'!F1213/'Peers Stock History'!F$1833*100</f>
        <v>132.55639097744361</v>
      </c>
      <c r="F1210" s="871">
        <f>'Peers Stock History'!G1213/'Peers Stock History'!G$1833*100</f>
        <v>116.10794382166674</v>
      </c>
      <c r="G1210" s="871">
        <f>'Peers Stock History'!H1213/'Peers Stock History'!H$1833*100</f>
        <v>103.47589688819845</v>
      </c>
      <c r="H1210" s="871">
        <f>'Peers Stock History'!I1213/'Peers Stock History'!I$1833*100</f>
        <v>153.77932232841007</v>
      </c>
      <c r="I1210" s="871">
        <f>'Peers Stock History'!J1213/'Peers Stock History'!J$1833*100</f>
        <v>113.17186336064702</v>
      </c>
      <c r="J1210" s="871">
        <f>'Peers Stock History'!K1213/'Peers Stock History'!K$1833*100</f>
        <v>123.15982293828962</v>
      </c>
    </row>
    <row r="1211" spans="2:10">
      <c r="B1211" s="870">
        <v>43400</v>
      </c>
      <c r="C1211" s="871">
        <f>'Peers Stock History'!D1214/'Peers Stock History'!D$1833*100</f>
        <v>126.74063800277393</v>
      </c>
      <c r="D1211" s="871">
        <f>'Peers Stock History'!E1214/'Peers Stock History'!E$1833*100</f>
        <v>181.91743119266056</v>
      </c>
      <c r="E1211" s="871">
        <f>'Peers Stock History'!F1214/'Peers Stock History'!F$1833*100</f>
        <v>132.55639097744361</v>
      </c>
      <c r="F1211" s="871">
        <f>'Peers Stock History'!G1214/'Peers Stock History'!G$1833*100</f>
        <v>116.10794382166674</v>
      </c>
      <c r="G1211" s="871">
        <f>'Peers Stock History'!H1214/'Peers Stock History'!H$1833*100</f>
        <v>103.47589688819845</v>
      </c>
      <c r="H1211" s="871">
        <f>'Peers Stock History'!I1214/'Peers Stock History'!I$1833*100</f>
        <v>153.77932232841007</v>
      </c>
      <c r="I1211" s="871">
        <f>'Peers Stock History'!J1214/'Peers Stock History'!J$1833*100</f>
        <v>113.17186336064702</v>
      </c>
      <c r="J1211" s="871">
        <f>'Peers Stock History'!K1214/'Peers Stock History'!K$1833*100</f>
        <v>123.15982293828962</v>
      </c>
    </row>
    <row r="1212" spans="2:10">
      <c r="B1212" s="870">
        <v>43399</v>
      </c>
      <c r="C1212" s="871">
        <f>'Peers Stock History'!D1215/'Peers Stock History'!D$1833*100</f>
        <v>126.74063800277393</v>
      </c>
      <c r="D1212" s="871">
        <f>'Peers Stock History'!E1215/'Peers Stock History'!E$1833*100</f>
        <v>181.91743119266056</v>
      </c>
      <c r="E1212" s="871">
        <f>'Peers Stock History'!F1215/'Peers Stock History'!F$1833*100</f>
        <v>132.55639097744361</v>
      </c>
      <c r="F1212" s="871">
        <f>'Peers Stock History'!G1215/'Peers Stock History'!G$1833*100</f>
        <v>116.10794382166674</v>
      </c>
      <c r="G1212" s="871">
        <f>'Peers Stock History'!H1215/'Peers Stock History'!H$1833*100</f>
        <v>103.47589688819845</v>
      </c>
      <c r="H1212" s="871">
        <f>'Peers Stock History'!I1215/'Peers Stock History'!I$1833*100</f>
        <v>153.77932232841007</v>
      </c>
      <c r="I1212" s="871">
        <f>'Peers Stock History'!J1215/'Peers Stock History'!J$1833*100</f>
        <v>113.17186336064702</v>
      </c>
      <c r="J1212" s="871">
        <f>'Peers Stock History'!K1215/'Peers Stock History'!K$1833*100</f>
        <v>123.15982293828962</v>
      </c>
    </row>
    <row r="1213" spans="2:10">
      <c r="B1213" s="870">
        <v>43398</v>
      </c>
      <c r="C1213" s="871">
        <f>'Peers Stock History'!D1216/'Peers Stock History'!D$1833*100</f>
        <v>122.91262135922332</v>
      </c>
      <c r="D1213" s="871">
        <f>'Peers Stock History'!E1216/'Peers Stock History'!E$1833*100</f>
        <v>190.67889908256882</v>
      </c>
      <c r="E1213" s="871">
        <f>'Peers Stock History'!F1216/'Peers Stock History'!F$1833*100</f>
        <v>144.88721804511277</v>
      </c>
      <c r="F1213" s="871">
        <f>'Peers Stock History'!G1216/'Peers Stock History'!G$1833*100</f>
        <v>115.36459148006423</v>
      </c>
      <c r="G1213" s="871">
        <f>'Peers Stock History'!H1216/'Peers Stock History'!H$1833*100</f>
        <v>107.8887324627409</v>
      </c>
      <c r="H1213" s="871">
        <f>'Peers Stock History'!I1216/'Peers Stock History'!I$1833*100</f>
        <v>159.77410947002608</v>
      </c>
      <c r="I1213" s="871">
        <f>'Peers Stock History'!J1216/'Peers Stock History'!J$1833*100</f>
        <v>115.16739384910078</v>
      </c>
      <c r="J1213" s="871">
        <f>'Peers Stock History'!K1216/'Peers Stock History'!K$1833*100</f>
        <v>125.75670511251944</v>
      </c>
    </row>
    <row r="1214" spans="2:10">
      <c r="B1214" s="870">
        <v>43397</v>
      </c>
      <c r="C1214" s="871">
        <f>'Peers Stock History'!D1217/'Peers Stock History'!D$1833*100</f>
        <v>117.66990291262138</v>
      </c>
      <c r="D1214" s="871">
        <f>'Peers Stock History'!E1217/'Peers Stock History'!E$1833*100</f>
        <v>182.94495412844037</v>
      </c>
      <c r="E1214" s="871">
        <f>'Peers Stock History'!F1217/'Peers Stock History'!F$1833*100</f>
        <v>171.35338345864659</v>
      </c>
      <c r="F1214" s="871">
        <f>'Peers Stock History'!G1217/'Peers Stock History'!G$1833*100</f>
        <v>120.50747025730892</v>
      </c>
      <c r="G1214" s="871">
        <f>'Peers Stock History'!H1217/'Peers Stock History'!H$1833*100</f>
        <v>106.17505704160396</v>
      </c>
      <c r="H1214" s="871">
        <f>'Peers Stock History'!I1217/'Peers Stock History'!I$1833*100</f>
        <v>153.90964378801041</v>
      </c>
      <c r="I1214" s="871">
        <f>'Peers Stock History'!J1217/'Peers Stock History'!J$1833*100</f>
        <v>113.06161540917314</v>
      </c>
      <c r="J1214" s="871">
        <f>'Peers Stock History'!K1217/'Peers Stock History'!K$1833*100</f>
        <v>122.14922741707106</v>
      </c>
    </row>
    <row r="1215" spans="2:10">
      <c r="B1215" s="870">
        <v>43396</v>
      </c>
      <c r="C1215" s="871">
        <f>'Peers Stock History'!D1218/'Peers Stock History'!D$1833*100</f>
        <v>123.43966712898752</v>
      </c>
      <c r="D1215" s="871">
        <f>'Peers Stock History'!E1218/'Peers Stock History'!E$1833*100</f>
        <v>202.80733944954127</v>
      </c>
      <c r="E1215" s="871">
        <f>'Peers Stock History'!F1218/'Peers Stock History'!F$1833*100</f>
        <v>188.64661654135338</v>
      </c>
      <c r="F1215" s="871">
        <f>'Peers Stock History'!G1218/'Peers Stock History'!G$1833*100</f>
        <v>120.93005677155138</v>
      </c>
      <c r="G1215" s="871">
        <f>'Peers Stock History'!H1218/'Peers Stock History'!H$1833*100</f>
        <v>111.19471819020342</v>
      </c>
      <c r="H1215" s="871">
        <f>'Peers Stock History'!I1218/'Peers Stock History'!I$1833*100</f>
        <v>168.0278019113814</v>
      </c>
      <c r="I1215" s="871">
        <f>'Peers Stock History'!J1218/'Peers Stock History'!J$1833*100</f>
        <v>116.66233904437587</v>
      </c>
      <c r="J1215" s="871">
        <f>'Peers Stock History'!K1218/'Peers Stock History'!K$1833*100</f>
        <v>127.80506371747111</v>
      </c>
    </row>
    <row r="1216" spans="2:10">
      <c r="B1216" s="870">
        <v>43395</v>
      </c>
      <c r="C1216" s="871">
        <f>'Peers Stock History'!D1219/'Peers Stock History'!D$1833*100</f>
        <v>124.85436893203882</v>
      </c>
      <c r="D1216" s="871">
        <f>'Peers Stock History'!E1219/'Peers Stock History'!E$1833*100</f>
        <v>212.12844036697248</v>
      </c>
      <c r="E1216" s="871">
        <f>'Peers Stock History'!F1219/'Peers Stock History'!F$1833*100</f>
        <v>188.19548872180451</v>
      </c>
      <c r="F1216" s="871">
        <f>'Peers Stock History'!G1219/'Peers Stock History'!G$1833*100</f>
        <v>124.67501202423435</v>
      </c>
      <c r="G1216" s="871">
        <f>'Peers Stock History'!H1219/'Peers Stock History'!H$1833*100</f>
        <v>110.98597019272781</v>
      </c>
      <c r="H1216" s="871">
        <f>'Peers Stock History'!I1219/'Peers Stock History'!I$1833*100</f>
        <v>172.71937445699393</v>
      </c>
      <c r="I1216" s="871">
        <f>'Peers Stock History'!J1219/'Peers Stock History'!J$1833*100</f>
        <v>117.30892838139833</v>
      </c>
      <c r="J1216" s="871">
        <f>'Peers Stock History'!K1219/'Peers Stock History'!K$1833*100</f>
        <v>128.33930756223967</v>
      </c>
    </row>
    <row r="1217" spans="2:10">
      <c r="B1217" s="870">
        <v>43394</v>
      </c>
      <c r="C1217" s="871">
        <f>'Peers Stock History'!D1220/'Peers Stock History'!D$1833*100</f>
        <v>122.05270457697644</v>
      </c>
      <c r="D1217" s="871">
        <f>'Peers Stock History'!E1220/'Peers Stock History'!E$1833*100</f>
        <v>210.24770642201833</v>
      </c>
      <c r="E1217" s="871">
        <f>'Peers Stock History'!F1220/'Peers Stock History'!F$1833*100</f>
        <v>177.89473684210526</v>
      </c>
      <c r="F1217" s="871">
        <f>'Peers Stock History'!G1220/'Peers Stock History'!G$1833*100</f>
        <v>124.29365756008042</v>
      </c>
      <c r="G1217" s="871">
        <f>'Peers Stock History'!H1220/'Peers Stock History'!H$1833*100</f>
        <v>110.82091363658431</v>
      </c>
      <c r="H1217" s="871">
        <f>'Peers Stock History'!I1220/'Peers Stock History'!I$1833*100</f>
        <v>175.71676802780192</v>
      </c>
      <c r="I1217" s="871">
        <f>'Peers Stock History'!J1220/'Peers Stock History'!J$1833*100</f>
        <v>117.81547302330533</v>
      </c>
      <c r="J1217" s="871">
        <f>'Peers Stock History'!K1220/'Peers Stock History'!K$1833*100</f>
        <v>128.00245384435615</v>
      </c>
    </row>
    <row r="1218" spans="2:10">
      <c r="B1218" s="870">
        <v>43393</v>
      </c>
      <c r="C1218" s="871">
        <f>'Peers Stock History'!D1221/'Peers Stock History'!D$1833*100</f>
        <v>122.05270457697644</v>
      </c>
      <c r="D1218" s="871">
        <f>'Peers Stock History'!E1221/'Peers Stock History'!E$1833*100</f>
        <v>210.24770642201833</v>
      </c>
      <c r="E1218" s="871">
        <f>'Peers Stock History'!F1221/'Peers Stock History'!F$1833*100</f>
        <v>177.89473684210526</v>
      </c>
      <c r="F1218" s="871">
        <f>'Peers Stock History'!G1221/'Peers Stock History'!G$1833*100</f>
        <v>124.29365756008042</v>
      </c>
      <c r="G1218" s="871">
        <f>'Peers Stock History'!H1221/'Peers Stock History'!H$1833*100</f>
        <v>110.82091363658431</v>
      </c>
      <c r="H1218" s="871">
        <f>'Peers Stock History'!I1221/'Peers Stock History'!I$1833*100</f>
        <v>175.71676802780192</v>
      </c>
      <c r="I1218" s="871">
        <f>'Peers Stock History'!J1221/'Peers Stock History'!J$1833*100</f>
        <v>117.81547302330533</v>
      </c>
      <c r="J1218" s="871">
        <f>'Peers Stock History'!K1221/'Peers Stock History'!K$1833*100</f>
        <v>128.00245384435615</v>
      </c>
    </row>
    <row r="1219" spans="2:10">
      <c r="B1219" s="870">
        <v>43392</v>
      </c>
      <c r="C1219" s="871">
        <f>'Peers Stock History'!D1222/'Peers Stock History'!D$1833*100</f>
        <v>122.05270457697644</v>
      </c>
      <c r="D1219" s="871">
        <f>'Peers Stock History'!E1222/'Peers Stock History'!E$1833*100</f>
        <v>210.24770642201833</v>
      </c>
      <c r="E1219" s="871">
        <f>'Peers Stock History'!F1222/'Peers Stock History'!F$1833*100</f>
        <v>177.89473684210526</v>
      </c>
      <c r="F1219" s="871">
        <f>'Peers Stock History'!G1222/'Peers Stock History'!G$1833*100</f>
        <v>124.29365756008042</v>
      </c>
      <c r="G1219" s="871">
        <f>'Peers Stock History'!H1222/'Peers Stock History'!H$1833*100</f>
        <v>110.82091363658431</v>
      </c>
      <c r="H1219" s="871">
        <f>'Peers Stock History'!I1222/'Peers Stock History'!I$1833*100</f>
        <v>175.71676802780192</v>
      </c>
      <c r="I1219" s="871">
        <f>'Peers Stock History'!J1222/'Peers Stock History'!J$1833*100</f>
        <v>117.81547302330533</v>
      </c>
      <c r="J1219" s="871">
        <f>'Peers Stock History'!K1222/'Peers Stock History'!K$1833*100</f>
        <v>128.00245384435615</v>
      </c>
    </row>
    <row r="1220" spans="2:10">
      <c r="B1220" s="870">
        <v>43391</v>
      </c>
      <c r="C1220" s="871">
        <f>'Peers Stock History'!D1223/'Peers Stock History'!D$1833*100</f>
        <v>124.74341192787794</v>
      </c>
      <c r="D1220" s="871">
        <f>'Peers Stock History'!E1223/'Peers Stock History'!E$1833*100</f>
        <v>219.75229357798165</v>
      </c>
      <c r="E1220" s="871">
        <f>'Peers Stock History'!F1223/'Peers Stock History'!F$1833*100</f>
        <v>200.15037593984962</v>
      </c>
      <c r="F1220" s="871">
        <f>'Peers Stock History'!G1223/'Peers Stock History'!G$1833*100</f>
        <v>124.15101971543177</v>
      </c>
      <c r="G1220" s="871">
        <f>'Peers Stock History'!H1223/'Peers Stock History'!H$1833*100</f>
        <v>110.69469391718046</v>
      </c>
      <c r="H1220" s="871">
        <f>'Peers Stock History'!I1223/'Peers Stock History'!I$1833*100</f>
        <v>179.40920938314508</v>
      </c>
      <c r="I1220" s="871">
        <f>'Peers Stock History'!J1223/'Peers Stock History'!J$1833*100</f>
        <v>117.85803979993617</v>
      </c>
      <c r="J1220" s="871">
        <f>'Peers Stock History'!K1223/'Peers Stock History'!K$1833*100</f>
        <v>128.62301183619041</v>
      </c>
    </row>
    <row r="1221" spans="2:10">
      <c r="B1221" s="870">
        <v>43390</v>
      </c>
      <c r="C1221" s="871">
        <f>'Peers Stock History'!D1224/'Peers Stock History'!D$1833*100</f>
        <v>127.29542302357837</v>
      </c>
      <c r="D1221" s="871">
        <f>'Peers Stock History'!E1224/'Peers Stock History'!E$1833*100</f>
        <v>222.99082568807341</v>
      </c>
      <c r="E1221" s="871">
        <f>'Peers Stock History'!F1224/'Peers Stock History'!F$1833*100</f>
        <v>205.26315789473685</v>
      </c>
      <c r="F1221" s="871">
        <f>'Peers Stock History'!G1224/'Peers Stock History'!G$1833*100</f>
        <v>125.68764385370577</v>
      </c>
      <c r="G1221" s="871">
        <f>'Peers Stock History'!H1224/'Peers Stock History'!H$1833*100</f>
        <v>115.13665711927763</v>
      </c>
      <c r="H1221" s="871">
        <f>'Peers Stock History'!I1224/'Peers Stock History'!I$1833*100</f>
        <v>183.97046046915727</v>
      </c>
      <c r="I1221" s="871">
        <f>'Peers Stock History'!J1224/'Peers Stock History'!J$1833*100</f>
        <v>119.57901457912099</v>
      </c>
      <c r="J1221" s="871">
        <f>'Peers Stock History'!K1224/'Peers Stock History'!K$1833*100</f>
        <v>131.33055757942347</v>
      </c>
    </row>
    <row r="1222" spans="2:10">
      <c r="B1222" s="870">
        <v>43389</v>
      </c>
      <c r="C1222" s="871">
        <f>'Peers Stock History'!D1225/'Peers Stock History'!D$1833*100</f>
        <v>127.43411927877948</v>
      </c>
      <c r="D1222" s="871">
        <f>'Peers Stock History'!E1225/'Peers Stock History'!E$1833*100</f>
        <v>225.53211009174311</v>
      </c>
      <c r="E1222" s="871">
        <f>'Peers Stock History'!F1225/'Peers Stock History'!F$1833*100</f>
        <v>211.87969924812026</v>
      </c>
      <c r="F1222" s="871">
        <f>'Peers Stock History'!G1225/'Peers Stock History'!G$1833*100</f>
        <v>125.25423641408049</v>
      </c>
      <c r="G1222" s="871">
        <f>'Peers Stock History'!H1225/'Peers Stock History'!H$1833*100</f>
        <v>115.69493664741006</v>
      </c>
      <c r="H1222" s="871">
        <f>'Peers Stock History'!I1225/'Peers Stock History'!I$1833*100</f>
        <v>187.70634231103389</v>
      </c>
      <c r="I1222" s="871">
        <f>'Peers Stock History'!J1225/'Peers Stock History'!J$1833*100</f>
        <v>119.6092369905289</v>
      </c>
      <c r="J1222" s="871">
        <f>'Peers Stock History'!K1225/'Peers Stock History'!K$1833*100</f>
        <v>131.37843160166614</v>
      </c>
    </row>
    <row r="1223" spans="2:10">
      <c r="B1223" s="870">
        <v>43388</v>
      </c>
      <c r="C1223" s="871">
        <f>'Peers Stock History'!D1226/'Peers Stock History'!D$1833*100</f>
        <v>123.52288488210819</v>
      </c>
      <c r="D1223" s="871">
        <f>'Peers Stock History'!E1226/'Peers Stock History'!E$1833*100</f>
        <v>215.94495412844034</v>
      </c>
      <c r="E1223" s="871">
        <f>'Peers Stock History'!F1226/'Peers Stock History'!F$1833*100</f>
        <v>197.44360902255639</v>
      </c>
      <c r="F1223" s="871">
        <f>'Peers Stock History'!G1226/'Peers Stock History'!G$1833*100</f>
        <v>121.41663831159329</v>
      </c>
      <c r="G1223" s="871">
        <f>'Peers Stock History'!H1226/'Peers Stock History'!H$1833*100</f>
        <v>112.85499296082332</v>
      </c>
      <c r="H1223" s="871">
        <f>'Peers Stock History'!I1226/'Peers Stock History'!I$1833*100</f>
        <v>183.92701998262382</v>
      </c>
      <c r="I1223" s="871">
        <f>'Peers Stock History'!J1226/'Peers Stock History'!J$1833*100</f>
        <v>117.09226348834734</v>
      </c>
      <c r="J1223" s="871">
        <f>'Peers Stock History'!K1226/'Peers Stock History'!K$1833*100</f>
        <v>127.68829990514551</v>
      </c>
    </row>
    <row r="1224" spans="2:10">
      <c r="B1224" s="870">
        <v>43387</v>
      </c>
      <c r="C1224" s="871">
        <f>'Peers Stock History'!D1227/'Peers Stock History'!D$1833*100</f>
        <v>124.49375866851598</v>
      </c>
      <c r="D1224" s="871">
        <f>'Peers Stock History'!E1227/'Peers Stock History'!E$1833*100</f>
        <v>226.18348623853208</v>
      </c>
      <c r="E1224" s="871">
        <f>'Peers Stock History'!F1227/'Peers Stock History'!F$1833*100</f>
        <v>198.04511278195486</v>
      </c>
      <c r="F1224" s="871">
        <f>'Peers Stock History'!G1227/'Peers Stock History'!G$1833*100</f>
        <v>124.76781219499671</v>
      </c>
      <c r="G1224" s="871">
        <f>'Peers Stock History'!H1227/'Peers Stock History'!H$1833*100</f>
        <v>113.08801398126123</v>
      </c>
      <c r="H1224" s="871">
        <f>'Peers Stock History'!I1227/'Peers Stock History'!I$1833*100</f>
        <v>184.49174630755866</v>
      </c>
      <c r="I1224" s="871">
        <f>'Peers Stock History'!J1227/'Peers Stock History'!J$1833*100</f>
        <v>117.78780461849527</v>
      </c>
      <c r="J1224" s="871">
        <f>'Peers Stock History'!K1227/'Peers Stock History'!K$1833*100</f>
        <v>128.8250072171893</v>
      </c>
    </row>
    <row r="1225" spans="2:10">
      <c r="B1225" s="870">
        <v>43386</v>
      </c>
      <c r="C1225" s="871">
        <f>'Peers Stock History'!D1228/'Peers Stock History'!D$1833*100</f>
        <v>124.49375866851598</v>
      </c>
      <c r="D1225" s="871">
        <f>'Peers Stock History'!E1228/'Peers Stock History'!E$1833*100</f>
        <v>226.18348623853208</v>
      </c>
      <c r="E1225" s="871">
        <f>'Peers Stock History'!F1228/'Peers Stock History'!F$1833*100</f>
        <v>198.04511278195486</v>
      </c>
      <c r="F1225" s="871">
        <f>'Peers Stock History'!G1228/'Peers Stock History'!G$1833*100</f>
        <v>124.76781219499671</v>
      </c>
      <c r="G1225" s="871">
        <f>'Peers Stock History'!H1228/'Peers Stock History'!H$1833*100</f>
        <v>113.08801398126123</v>
      </c>
      <c r="H1225" s="871">
        <f>'Peers Stock History'!I1228/'Peers Stock History'!I$1833*100</f>
        <v>184.49174630755866</v>
      </c>
      <c r="I1225" s="871">
        <f>'Peers Stock History'!J1228/'Peers Stock History'!J$1833*100</f>
        <v>117.78780461849527</v>
      </c>
      <c r="J1225" s="871">
        <f>'Peers Stock History'!K1228/'Peers Stock History'!K$1833*100</f>
        <v>128.8250072171893</v>
      </c>
    </row>
    <row r="1226" spans="2:10">
      <c r="B1226" s="870">
        <v>43385</v>
      </c>
      <c r="C1226" s="871">
        <f>'Peers Stock History'!D1229/'Peers Stock History'!D$1833*100</f>
        <v>124.49375866851598</v>
      </c>
      <c r="D1226" s="871">
        <f>'Peers Stock History'!E1229/'Peers Stock History'!E$1833*100</f>
        <v>226.18348623853208</v>
      </c>
      <c r="E1226" s="871">
        <f>'Peers Stock History'!F1229/'Peers Stock History'!F$1833*100</f>
        <v>198.04511278195486</v>
      </c>
      <c r="F1226" s="871">
        <f>'Peers Stock History'!G1229/'Peers Stock History'!G$1833*100</f>
        <v>124.76781219499671</v>
      </c>
      <c r="G1226" s="871">
        <f>'Peers Stock History'!H1229/'Peers Stock History'!H$1833*100</f>
        <v>113.08801398126123</v>
      </c>
      <c r="H1226" s="871">
        <f>'Peers Stock History'!I1229/'Peers Stock History'!I$1833*100</f>
        <v>184.49174630755866</v>
      </c>
      <c r="I1226" s="871">
        <f>'Peers Stock History'!J1229/'Peers Stock History'!J$1833*100</f>
        <v>117.78780461849527</v>
      </c>
      <c r="J1226" s="871">
        <f>'Peers Stock History'!K1229/'Peers Stock History'!K$1833*100</f>
        <v>128.8250072171893</v>
      </c>
    </row>
    <row r="1227" spans="2:10">
      <c r="B1227" s="870">
        <v>43384</v>
      </c>
      <c r="C1227" s="871">
        <f>'Peers Stock History'!D1230/'Peers Stock History'!D$1833*100</f>
        <v>122.69070735090153</v>
      </c>
      <c r="D1227" s="871">
        <f>'Peers Stock History'!E1230/'Peers Stock History'!E$1833*100</f>
        <v>215.71559633027522</v>
      </c>
      <c r="E1227" s="871">
        <f>'Peers Stock History'!F1230/'Peers Stock History'!F$1833*100</f>
        <v>190.22556390977442</v>
      </c>
      <c r="F1227" s="871">
        <f>'Peers Stock History'!G1230/'Peers Stock History'!G$1833*100</f>
        <v>119.57308681864411</v>
      </c>
      <c r="G1227" s="871">
        <f>'Peers Stock History'!H1230/'Peers Stock History'!H$1833*100</f>
        <v>111.12189912131656</v>
      </c>
      <c r="H1227" s="871">
        <f>'Peers Stock History'!I1230/'Peers Stock History'!I$1833*100</f>
        <v>182.31972198088619</v>
      </c>
      <c r="I1227" s="871">
        <f>'Peers Stock History'!J1230/'Peers Stock History'!J$1833*100</f>
        <v>116.13791635628392</v>
      </c>
      <c r="J1227" s="871">
        <f>'Peers Stock History'!K1230/'Peers Stock History'!K$1833*100</f>
        <v>125.94100119599136</v>
      </c>
    </row>
    <row r="1228" spans="2:10">
      <c r="B1228" s="870">
        <v>43383</v>
      </c>
      <c r="C1228" s="871">
        <f>'Peers Stock History'!D1231/'Peers Stock History'!D$1833*100</f>
        <v>124.27184466019419</v>
      </c>
      <c r="D1228" s="871">
        <f>'Peers Stock History'!E1231/'Peers Stock History'!E$1833*100</f>
        <v>225.40366972477065</v>
      </c>
      <c r="E1228" s="871">
        <f>'Peers Stock History'!F1231/'Peers Stock History'!F$1833*100</f>
        <v>187.96992481203009</v>
      </c>
      <c r="F1228" s="871">
        <f>'Peers Stock History'!G1231/'Peers Stock History'!G$1833*100</f>
        <v>128.21228009547676</v>
      </c>
      <c r="G1228" s="871">
        <f>'Peers Stock History'!H1231/'Peers Stock History'!H$1833*100</f>
        <v>112.54429826690615</v>
      </c>
      <c r="H1228" s="871">
        <f>'Peers Stock History'!I1231/'Peers Stock History'!I$1833*100</f>
        <v>180.75586446568201</v>
      </c>
      <c r="I1228" s="871">
        <f>'Peers Stock History'!J1231/'Peers Stock History'!J$1833*100</f>
        <v>118.57741832499732</v>
      </c>
      <c r="J1228" s="871">
        <f>'Peers Stock History'!K1231/'Peers Stock History'!K$1833*100</f>
        <v>127.5389040869912</v>
      </c>
    </row>
    <row r="1229" spans="2:10">
      <c r="B1229" s="870">
        <v>43382</v>
      </c>
      <c r="C1229" s="871">
        <f>'Peers Stock History'!D1232/'Peers Stock History'!D$1833*100</f>
        <v>129.12621359223303</v>
      </c>
      <c r="D1229" s="871">
        <f>'Peers Stock History'!E1232/'Peers Stock History'!E$1833*100</f>
        <v>243.61467889908261</v>
      </c>
      <c r="E1229" s="871">
        <f>'Peers Stock History'!F1232/'Peers Stock History'!F$1833*100</f>
        <v>204.81203007518792</v>
      </c>
      <c r="F1229" s="871">
        <f>'Peers Stock History'!G1232/'Peers Stock History'!G$1833*100</f>
        <v>128.21228009547676</v>
      </c>
      <c r="G1229" s="871">
        <f>'Peers Stock History'!H1232/'Peers Stock History'!H$1833*100</f>
        <v>118.79217437739695</v>
      </c>
      <c r="H1229" s="871">
        <f>'Peers Stock History'!I1232/'Peers Stock History'!I$1833*100</f>
        <v>183.62293657688969</v>
      </c>
      <c r="I1229" s="871">
        <f>'Peers Stock History'!J1232/'Peers Stock History'!J$1833*100</f>
        <v>122.60678940087261</v>
      </c>
      <c r="J1229" s="871">
        <f>'Peers Stock History'!K1232/'Peers Stock History'!K$1833*100</f>
        <v>132.96839558445487</v>
      </c>
    </row>
    <row r="1230" spans="2:10">
      <c r="B1230" s="870">
        <v>43381</v>
      </c>
      <c r="C1230" s="871">
        <f>'Peers Stock History'!D1233/'Peers Stock History'!D$1833*100</f>
        <v>130.45769764216368</v>
      </c>
      <c r="D1230" s="871">
        <f>'Peers Stock History'!E1233/'Peers Stock History'!E$1833*100</f>
        <v>243.82568807339447</v>
      </c>
      <c r="E1230" s="871">
        <f>'Peers Stock History'!F1233/'Peers Stock History'!F$1833*100</f>
        <v>198.94736842105263</v>
      </c>
      <c r="F1230" s="871">
        <f>'Peers Stock History'!G1233/'Peers Stock History'!G$1833*100</f>
        <v>127.94955001331391</v>
      </c>
      <c r="G1230" s="871">
        <f>'Peers Stock History'!H1233/'Peers Stock History'!H$1833*100</f>
        <v>117.17559104810913</v>
      </c>
      <c r="H1230" s="871">
        <f>'Peers Stock History'!I1233/'Peers Stock History'!I$1833*100</f>
        <v>187.0981754995656</v>
      </c>
      <c r="I1230" s="871">
        <f>'Peers Stock History'!J1233/'Peers Stock History'!J$1833*100</f>
        <v>122.78088751729274</v>
      </c>
      <c r="J1230" s="871">
        <f>'Peers Stock History'!K1233/'Peers Stock History'!K$1833*100</f>
        <v>132.93287670291301</v>
      </c>
    </row>
    <row r="1231" spans="2:10">
      <c r="B1231" s="870">
        <v>43380</v>
      </c>
      <c r="C1231" s="871">
        <f>'Peers Stock History'!D1234/'Peers Stock History'!D$1833*100</f>
        <v>130.45769764216368</v>
      </c>
      <c r="D1231" s="871">
        <f>'Peers Stock History'!E1234/'Peers Stock History'!E$1833*100</f>
        <v>247.57798165137618</v>
      </c>
      <c r="E1231" s="871">
        <f>'Peers Stock History'!F1234/'Peers Stock History'!F$1833*100</f>
        <v>205.63909774436092</v>
      </c>
      <c r="F1231" s="871">
        <f>'Peers Stock History'!G1234/'Peers Stock History'!G$1833*100</f>
        <v>131.54775810444579</v>
      </c>
      <c r="G1231" s="871">
        <f>'Peers Stock History'!H1234/'Peers Stock History'!H$1833*100</f>
        <v>118.56400796155154</v>
      </c>
      <c r="H1231" s="871">
        <f>'Peers Stock History'!I1234/'Peers Stock History'!I$1833*100</f>
        <v>189.3136403127715</v>
      </c>
      <c r="I1231" s="871">
        <f>'Peers Stock History'!J1234/'Peers Stock History'!J$1833*100</f>
        <v>122.82941364265191</v>
      </c>
      <c r="J1231" s="871">
        <f>'Peers Stock History'!K1234/'Peers Stock History'!K$1833*100</f>
        <v>133.83499099569721</v>
      </c>
    </row>
    <row r="1232" spans="2:10">
      <c r="B1232" s="870">
        <v>43379</v>
      </c>
      <c r="C1232" s="871">
        <f>'Peers Stock History'!D1235/'Peers Stock History'!D$1833*100</f>
        <v>130.45769764216368</v>
      </c>
      <c r="D1232" s="871">
        <f>'Peers Stock History'!E1235/'Peers Stock History'!E$1833*100</f>
        <v>247.57798165137618</v>
      </c>
      <c r="E1232" s="871">
        <f>'Peers Stock History'!F1235/'Peers Stock History'!F$1833*100</f>
        <v>205.63909774436092</v>
      </c>
      <c r="F1232" s="871">
        <f>'Peers Stock History'!G1235/'Peers Stock History'!G$1833*100</f>
        <v>131.54775810444579</v>
      </c>
      <c r="G1232" s="871">
        <f>'Peers Stock History'!H1235/'Peers Stock History'!H$1833*100</f>
        <v>118.56400796155154</v>
      </c>
      <c r="H1232" s="871">
        <f>'Peers Stock History'!I1235/'Peers Stock History'!I$1833*100</f>
        <v>189.3136403127715</v>
      </c>
      <c r="I1232" s="871">
        <f>'Peers Stock History'!J1235/'Peers Stock History'!J$1833*100</f>
        <v>122.82941364265191</v>
      </c>
      <c r="J1232" s="871">
        <f>'Peers Stock History'!K1235/'Peers Stock History'!K$1833*100</f>
        <v>133.83499099569721</v>
      </c>
    </row>
    <row r="1233" spans="2:10">
      <c r="B1233" s="870">
        <v>43378</v>
      </c>
      <c r="C1233" s="871">
        <f>'Peers Stock History'!D1236/'Peers Stock History'!D$1833*100</f>
        <v>130.45769764216368</v>
      </c>
      <c r="D1233" s="871">
        <f>'Peers Stock History'!E1236/'Peers Stock History'!E$1833*100</f>
        <v>247.57798165137618</v>
      </c>
      <c r="E1233" s="871">
        <f>'Peers Stock History'!F1236/'Peers Stock History'!F$1833*100</f>
        <v>205.63909774436092</v>
      </c>
      <c r="F1233" s="871">
        <f>'Peers Stock History'!G1236/'Peers Stock History'!G$1833*100</f>
        <v>131.54775810444579</v>
      </c>
      <c r="G1233" s="871">
        <f>'Peers Stock History'!H1236/'Peers Stock History'!H$1833*100</f>
        <v>118.56400796155154</v>
      </c>
      <c r="H1233" s="871">
        <f>'Peers Stock History'!I1236/'Peers Stock History'!I$1833*100</f>
        <v>189.3136403127715</v>
      </c>
      <c r="I1233" s="871">
        <f>'Peers Stock History'!J1236/'Peers Stock History'!J$1833*100</f>
        <v>122.82941364265191</v>
      </c>
      <c r="J1233" s="871">
        <f>'Peers Stock History'!K1236/'Peers Stock History'!K$1833*100</f>
        <v>133.83499099569721</v>
      </c>
    </row>
    <row r="1234" spans="2:10">
      <c r="B1234" s="870">
        <v>43377</v>
      </c>
      <c r="C1234" s="871">
        <f>'Peers Stock History'!D1237/'Peers Stock History'!D$1833*100</f>
        <v>133.5090152565881</v>
      </c>
      <c r="D1234" s="871">
        <f>'Peers Stock History'!E1237/'Peers Stock History'!E$1833*100</f>
        <v>256.22935779816515</v>
      </c>
      <c r="E1234" s="871">
        <f>'Peers Stock History'!F1237/'Peers Stock History'!F$1833*100</f>
        <v>208.8721804511278</v>
      </c>
      <c r="F1234" s="871">
        <f>'Peers Stock History'!G1237/'Peers Stock History'!G$1833*100</f>
        <v>133.94714963749237</v>
      </c>
      <c r="G1234" s="871">
        <f>'Peers Stock History'!H1237/'Peers Stock History'!H$1833*100</f>
        <v>120.47672217097916</v>
      </c>
      <c r="H1234" s="871">
        <f>'Peers Stock History'!I1237/'Peers Stock History'!I$1833*100</f>
        <v>191.83318853171153</v>
      </c>
      <c r="I1234" s="871">
        <f>'Peers Stock History'!J1237/'Peers Stock History'!J$1833*100</f>
        <v>123.51218473981058</v>
      </c>
      <c r="J1234" s="871">
        <f>'Peers Stock History'!K1237/'Peers Stock History'!K$1833*100</f>
        <v>135.3997979187001</v>
      </c>
    </row>
    <row r="1235" spans="2:10">
      <c r="B1235" s="870">
        <v>43376</v>
      </c>
      <c r="C1235" s="871">
        <f>'Peers Stock History'!D1238/'Peers Stock History'!D$1833*100</f>
        <v>135.25658807212207</v>
      </c>
      <c r="D1235" s="871">
        <f>'Peers Stock History'!E1238/'Peers Stock History'!E$1833*100</f>
        <v>263.05504587155963</v>
      </c>
      <c r="E1235" s="871">
        <f>'Peers Stock History'!F1238/'Peers Stock History'!F$1833*100</f>
        <v>213.75939849624058</v>
      </c>
      <c r="F1235" s="871">
        <f>'Peers Stock History'!G1238/'Peers Stock History'!G$1833*100</f>
        <v>137.62880802677751</v>
      </c>
      <c r="G1235" s="871">
        <f>'Peers Stock History'!H1238/'Peers Stock History'!H$1833*100</f>
        <v>121.08354774503616</v>
      </c>
      <c r="H1235" s="871">
        <f>'Peers Stock History'!I1238/'Peers Stock History'!I$1833*100</f>
        <v>196.13379669852301</v>
      </c>
      <c r="I1235" s="871">
        <f>'Peers Stock History'!J1238/'Peers Stock History'!J$1833*100</f>
        <v>124.52953070128765</v>
      </c>
      <c r="J1235" s="871">
        <f>'Peers Stock History'!K1238/'Peers Stock History'!K$1833*100</f>
        <v>137.90132727547669</v>
      </c>
    </row>
    <row r="1236" spans="2:10">
      <c r="B1236" s="870">
        <v>43375</v>
      </c>
      <c r="C1236" s="871">
        <f>'Peers Stock History'!D1239/'Peers Stock History'!D$1833*100</f>
        <v>133.42579750346741</v>
      </c>
      <c r="D1236" s="871">
        <f>'Peers Stock History'!E1239/'Peers Stock History'!E$1833*100</f>
        <v>262.82568807339453</v>
      </c>
      <c r="E1236" s="871">
        <f>'Peers Stock History'!F1239/'Peers Stock History'!F$1833*100</f>
        <v>218.19548872180451</v>
      </c>
      <c r="F1236" s="871">
        <f>'Peers Stock History'!G1239/'Peers Stock History'!G$1833*100</f>
        <v>136.60773277412218</v>
      </c>
      <c r="G1236" s="871">
        <f>'Peers Stock History'!H1239/'Peers Stock History'!H$1833*100</f>
        <v>120.44273993883196</v>
      </c>
      <c r="H1236" s="871">
        <f>'Peers Stock History'!I1239/'Peers Stock History'!I$1833*100</f>
        <v>198.78366637706341</v>
      </c>
      <c r="I1236" s="871">
        <f>'Peers Stock History'!J1239/'Peers Stock History'!J$1833*100</f>
        <v>124.44099180589549</v>
      </c>
      <c r="J1236" s="871">
        <f>'Peers Stock History'!K1239/'Peers Stock History'!K$1833*100</f>
        <v>137.46248779951335</v>
      </c>
    </row>
    <row r="1237" spans="2:10">
      <c r="B1237" s="870">
        <v>43374</v>
      </c>
      <c r="C1237" s="871">
        <f>'Peers Stock History'!D1240/'Peers Stock History'!D$1833*100</f>
        <v>128.84882108183081</v>
      </c>
      <c r="D1237" s="871">
        <f>'Peers Stock History'!E1240/'Peers Stock History'!E$1833*100</f>
        <v>265.46788990825689</v>
      </c>
      <c r="E1237" s="871">
        <f>'Peers Stock History'!F1240/'Peers Stock History'!F$1833*100</f>
        <v>236.24060150375939</v>
      </c>
      <c r="F1237" s="871">
        <f>'Peers Stock History'!G1240/'Peers Stock History'!G$1833*100</f>
        <v>140.08750775286475</v>
      </c>
      <c r="G1237" s="871">
        <f>'Peers Stock History'!H1240/'Peers Stock History'!H$1833*100</f>
        <v>121.12723918636826</v>
      </c>
      <c r="H1237" s="871">
        <f>'Peers Stock History'!I1240/'Peers Stock History'!I$1833*100</f>
        <v>196.13379669852301</v>
      </c>
      <c r="I1237" s="871">
        <f>'Peers Stock History'!J1240/'Peers Stock History'!J$1833*100</f>
        <v>124.49036926678727</v>
      </c>
      <c r="J1237" s="871">
        <f>'Peers Stock History'!K1240/'Peers Stock History'!K$1833*100</f>
        <v>138.11126156468666</v>
      </c>
    </row>
    <row r="1238" spans="2:10">
      <c r="B1238" s="870">
        <v>43373</v>
      </c>
      <c r="C1238" s="871">
        <f>'Peers Stock History'!D1241/'Peers Stock History'!D$1833*100</f>
        <v>131.17891816920942</v>
      </c>
      <c r="D1238" s="871">
        <f>'Peers Stock History'!E1241/'Peers Stock History'!E$1833*100</f>
        <v>257.81651376146783</v>
      </c>
      <c r="E1238" s="871">
        <f>'Peers Stock History'!F1241/'Peers Stock History'!F$1833*100</f>
        <v>232.25563909774434</v>
      </c>
      <c r="F1238" s="871">
        <f>'Peers Stock History'!G1241/'Peers Stock History'!G$1833*100</f>
        <v>140.2528702912991</v>
      </c>
      <c r="G1238" s="871">
        <f>'Peers Stock History'!H1241/'Peers Stock History'!H$1833*100</f>
        <v>119.77765910966551</v>
      </c>
      <c r="H1238" s="871">
        <f>'Peers Stock History'!I1241/'Peers Stock History'!I$1833*100</f>
        <v>196.4813205907906</v>
      </c>
      <c r="I1238" s="871">
        <f>'Peers Stock History'!J1241/'Peers Stock History'!J$1833*100</f>
        <v>124.03873576673405</v>
      </c>
      <c r="J1238" s="871">
        <f>'Peers Stock History'!K1241/'Peers Stock History'!K$1833*100</f>
        <v>138.26679199373137</v>
      </c>
    </row>
    <row r="1239" spans="2:10">
      <c r="B1239" s="870">
        <v>43372</v>
      </c>
      <c r="C1239" s="871">
        <f>'Peers Stock History'!D1242/'Peers Stock History'!D$1833*100</f>
        <v>131.17891816920942</v>
      </c>
      <c r="D1239" s="871">
        <f>'Peers Stock History'!E1242/'Peers Stock History'!E$1833*100</f>
        <v>257.81651376146783</v>
      </c>
      <c r="E1239" s="871">
        <f>'Peers Stock History'!F1242/'Peers Stock History'!F$1833*100</f>
        <v>232.25563909774434</v>
      </c>
      <c r="F1239" s="871">
        <f>'Peers Stock History'!G1242/'Peers Stock History'!G$1833*100</f>
        <v>140.2528702912991</v>
      </c>
      <c r="G1239" s="871">
        <f>'Peers Stock History'!H1242/'Peers Stock History'!H$1833*100</f>
        <v>119.77765910966551</v>
      </c>
      <c r="H1239" s="871">
        <f>'Peers Stock History'!I1242/'Peers Stock History'!I$1833*100</f>
        <v>196.4813205907906</v>
      </c>
      <c r="I1239" s="871">
        <f>'Peers Stock History'!J1242/'Peers Stock History'!J$1833*100</f>
        <v>124.03873576673405</v>
      </c>
      <c r="J1239" s="871">
        <f>'Peers Stock History'!K1242/'Peers Stock History'!K$1833*100</f>
        <v>138.26679199373137</v>
      </c>
    </row>
    <row r="1240" spans="2:10">
      <c r="B1240" s="870">
        <v>43371</v>
      </c>
      <c r="C1240" s="871">
        <f>'Peers Stock History'!D1243/'Peers Stock History'!D$1833*100</f>
        <v>131.17891816920942</v>
      </c>
      <c r="D1240" s="871">
        <f>'Peers Stock History'!E1243/'Peers Stock History'!E$1833*100</f>
        <v>257.81651376146783</v>
      </c>
      <c r="E1240" s="871">
        <f>'Peers Stock History'!F1243/'Peers Stock History'!F$1833*100</f>
        <v>232.25563909774434</v>
      </c>
      <c r="F1240" s="871">
        <f>'Peers Stock History'!G1243/'Peers Stock History'!G$1833*100</f>
        <v>140.2528702912991</v>
      </c>
      <c r="G1240" s="871">
        <f>'Peers Stock History'!H1243/'Peers Stock History'!H$1833*100</f>
        <v>119.77765910966551</v>
      </c>
      <c r="H1240" s="871">
        <f>'Peers Stock History'!I1243/'Peers Stock History'!I$1833*100</f>
        <v>196.4813205907906</v>
      </c>
      <c r="I1240" s="871">
        <f>'Peers Stock History'!J1243/'Peers Stock History'!J$1833*100</f>
        <v>124.03873576673405</v>
      </c>
      <c r="J1240" s="871">
        <f>'Peers Stock History'!K1243/'Peers Stock History'!K$1833*100</f>
        <v>138.26679199373137</v>
      </c>
    </row>
    <row r="1241" spans="2:10">
      <c r="B1241" s="870">
        <v>43370</v>
      </c>
      <c r="C1241" s="871">
        <f>'Peers Stock History'!D1244/'Peers Stock History'!D$1833*100</f>
        <v>127.26768377253816</v>
      </c>
      <c r="D1241" s="871">
        <f>'Peers Stock History'!E1244/'Peers Stock History'!E$1833*100</f>
        <v>245.32110091743115</v>
      </c>
      <c r="E1241" s="871">
        <f>'Peers Stock History'!F1244/'Peers Stock History'!F$1833*100</f>
        <v>245.0375939849624</v>
      </c>
      <c r="F1241" s="871">
        <f>'Peers Stock History'!G1244/'Peers Stock History'!G$1833*100</f>
        <v>141.16667905514225</v>
      </c>
      <c r="G1241" s="871">
        <f>'Peers Stock History'!H1244/'Peers Stock History'!H$1833*100</f>
        <v>119.64173018107674</v>
      </c>
      <c r="H1241" s="871">
        <f>'Peers Stock History'!I1244/'Peers Stock History'!I$1833*100</f>
        <v>195.43874891398784</v>
      </c>
      <c r="I1241" s="871">
        <f>'Peers Stock History'!J1244/'Peers Stock History'!J$1833*100</f>
        <v>124.03958710226668</v>
      </c>
      <c r="J1241" s="871">
        <f>'Peers Stock History'!K1244/'Peers Stock History'!K$1833*100</f>
        <v>138.19144110086194</v>
      </c>
    </row>
    <row r="1242" spans="2:10">
      <c r="B1242" s="870">
        <v>43369</v>
      </c>
      <c r="C1242" s="871">
        <f>'Peers Stock History'!D1245/'Peers Stock History'!D$1833*100</f>
        <v>126.76837725381415</v>
      </c>
      <c r="D1242" s="871">
        <f>'Peers Stock History'!E1245/'Peers Stock History'!E$1833*100</f>
        <v>244.88073394495413</v>
      </c>
      <c r="E1242" s="871">
        <f>'Peers Stock History'!F1245/'Peers Stock History'!F$1833*100</f>
        <v>242.03007518796991</v>
      </c>
      <c r="F1242" s="871">
        <f>'Peers Stock History'!G1245/'Peers Stock History'!G$1833*100</f>
        <v>139.78170828814885</v>
      </c>
      <c r="G1242" s="871">
        <f>'Peers Stock History'!H1245/'Peers Stock History'!H$1833*100</f>
        <v>119.14656051264625</v>
      </c>
      <c r="H1242" s="871">
        <f>'Peers Stock History'!I1245/'Peers Stock History'!I$1833*100</f>
        <v>192.6585577758471</v>
      </c>
      <c r="I1242" s="871">
        <f>'Peers Stock History'!J1245/'Peers Stock History'!J$1833*100</f>
        <v>123.69777588592103</v>
      </c>
      <c r="J1242" s="871">
        <f>'Peers Stock History'!K1245/'Peers Stock History'!K$1833*100</f>
        <v>137.30472347854777</v>
      </c>
    </row>
    <row r="1243" spans="2:10">
      <c r="B1243" s="870">
        <v>43368</v>
      </c>
      <c r="C1243" s="871">
        <f>'Peers Stock History'!D1246/'Peers Stock History'!D$1833*100</f>
        <v>127.3509015256588</v>
      </c>
      <c r="D1243" s="871">
        <f>'Peers Stock History'!E1246/'Peers Stock History'!E$1833*100</f>
        <v>246.24770642201835</v>
      </c>
      <c r="E1243" s="871">
        <f>'Peers Stock History'!F1246/'Peers Stock History'!F$1833*100</f>
        <v>244.88721804511275</v>
      </c>
      <c r="F1243" s="871">
        <f>'Peers Stock History'!G1246/'Peers Stock History'!G$1833*100</f>
        <v>139.78626678372316</v>
      </c>
      <c r="G1243" s="871">
        <f>'Peers Stock History'!H1246/'Peers Stock History'!H$1833*100</f>
        <v>120.22428273217147</v>
      </c>
      <c r="H1243" s="871">
        <f>'Peers Stock History'!I1246/'Peers Stock History'!I$1833*100</f>
        <v>193.91833188531712</v>
      </c>
      <c r="I1243" s="871">
        <f>'Peers Stock History'!J1246/'Peers Stock History'!J$1833*100</f>
        <v>124.10599127381079</v>
      </c>
      <c r="J1243" s="871">
        <f>'Peers Stock History'!K1246/'Peers Stock History'!K$1833*100</f>
        <v>137.59865210398252</v>
      </c>
    </row>
    <row r="1244" spans="2:10">
      <c r="B1244" s="870">
        <v>43367</v>
      </c>
      <c r="C1244" s="871">
        <f>'Peers Stock History'!D1247/'Peers Stock History'!D$1833*100</f>
        <v>130.124826629681</v>
      </c>
      <c r="D1244" s="871">
        <f>'Peers Stock History'!E1247/'Peers Stock History'!E$1833*100</f>
        <v>243.76146788990826</v>
      </c>
      <c r="E1244" s="871">
        <f>'Peers Stock History'!F1247/'Peers Stock History'!F$1833*100</f>
        <v>245.18796992481202</v>
      </c>
      <c r="F1244" s="871">
        <f>'Peers Stock History'!G1247/'Peers Stock History'!G$1833*100</f>
        <v>138.84299540184389</v>
      </c>
      <c r="G1244" s="871">
        <f>'Peers Stock History'!H1247/'Peers Stock History'!H$1833*100</f>
        <v>121.09811155881351</v>
      </c>
      <c r="H1244" s="871">
        <f>'Peers Stock History'!I1247/'Peers Stock History'!I$1833*100</f>
        <v>196.17723718505647</v>
      </c>
      <c r="I1244" s="871">
        <f>'Peers Stock History'!J1247/'Peers Stock History'!J$1833*100</f>
        <v>124.26817069277429</v>
      </c>
      <c r="J1244" s="871">
        <f>'Peers Stock History'!K1247/'Peers Stock History'!K$1833*100</f>
        <v>137.35424714405511</v>
      </c>
    </row>
    <row r="1245" spans="2:10">
      <c r="B1245" s="870">
        <v>43366</v>
      </c>
      <c r="C1245" s="871">
        <f>'Peers Stock History'!D1248/'Peers Stock History'!D$1833*100</f>
        <v>129.43134535367545</v>
      </c>
      <c r="D1245" s="871">
        <f>'Peers Stock History'!E1248/'Peers Stock History'!E$1833*100</f>
        <v>241.69724770642199</v>
      </c>
      <c r="E1245" s="871">
        <f>'Peers Stock History'!F1248/'Peers Stock History'!F$1833*100</f>
        <v>233.23308270676688</v>
      </c>
      <c r="F1245" s="871">
        <f>'Peers Stock History'!G1248/'Peers Stock History'!G$1833*100</f>
        <v>138.84299540184389</v>
      </c>
      <c r="G1245" s="871">
        <f>'Peers Stock History'!H1248/'Peers Stock History'!H$1833*100</f>
        <v>120.44273993883196</v>
      </c>
      <c r="H1245" s="871">
        <f>'Peers Stock History'!I1248/'Peers Stock History'!I$1833*100</f>
        <v>194.35273675065162</v>
      </c>
      <c r="I1245" s="871">
        <f>'Peers Stock History'!J1248/'Peers Stock History'!J$1833*100</f>
        <v>124.70660849207194</v>
      </c>
      <c r="J1245" s="871">
        <f>'Peers Stock History'!K1248/'Peers Stock History'!K$1833*100</f>
        <v>137.24610959130089</v>
      </c>
    </row>
    <row r="1246" spans="2:10">
      <c r="B1246" s="870">
        <v>43365</v>
      </c>
      <c r="C1246" s="871">
        <f>'Peers Stock History'!D1249/'Peers Stock History'!D$1833*100</f>
        <v>129.43134535367545</v>
      </c>
      <c r="D1246" s="871">
        <f>'Peers Stock History'!E1249/'Peers Stock History'!E$1833*100</f>
        <v>241.69724770642199</v>
      </c>
      <c r="E1246" s="871">
        <f>'Peers Stock History'!F1249/'Peers Stock History'!F$1833*100</f>
        <v>233.23308270676688</v>
      </c>
      <c r="F1246" s="871">
        <f>'Peers Stock History'!G1249/'Peers Stock History'!G$1833*100</f>
        <v>138.84299540184389</v>
      </c>
      <c r="G1246" s="871">
        <f>'Peers Stock History'!H1249/'Peers Stock History'!H$1833*100</f>
        <v>120.44273993883196</v>
      </c>
      <c r="H1246" s="871">
        <f>'Peers Stock History'!I1249/'Peers Stock History'!I$1833*100</f>
        <v>194.35273675065162</v>
      </c>
      <c r="I1246" s="871">
        <f>'Peers Stock History'!J1249/'Peers Stock History'!J$1833*100</f>
        <v>124.70660849207194</v>
      </c>
      <c r="J1246" s="871">
        <f>'Peers Stock History'!K1249/'Peers Stock History'!K$1833*100</f>
        <v>137.24610959130089</v>
      </c>
    </row>
    <row r="1247" spans="2:10">
      <c r="B1247" s="870">
        <v>43364</v>
      </c>
      <c r="C1247" s="871">
        <f>'Peers Stock History'!D1250/'Peers Stock History'!D$1833*100</f>
        <v>129.43134535367545</v>
      </c>
      <c r="D1247" s="871">
        <f>'Peers Stock History'!E1250/'Peers Stock History'!E$1833*100</f>
        <v>241.69724770642199</v>
      </c>
      <c r="E1247" s="871">
        <f>'Peers Stock History'!F1250/'Peers Stock History'!F$1833*100</f>
        <v>233.23308270676688</v>
      </c>
      <c r="F1247" s="871">
        <f>'Peers Stock History'!G1250/'Peers Stock History'!G$1833*100</f>
        <v>138.84299540184389</v>
      </c>
      <c r="G1247" s="871">
        <f>'Peers Stock History'!H1250/'Peers Stock History'!H$1833*100</f>
        <v>120.44273993883196</v>
      </c>
      <c r="H1247" s="871">
        <f>'Peers Stock History'!I1250/'Peers Stock History'!I$1833*100</f>
        <v>194.35273675065162</v>
      </c>
      <c r="I1247" s="871">
        <f>'Peers Stock History'!J1250/'Peers Stock History'!J$1833*100</f>
        <v>124.70660849207194</v>
      </c>
      <c r="J1247" s="871">
        <f>'Peers Stock History'!K1250/'Peers Stock History'!K$1833*100</f>
        <v>137.24610959130089</v>
      </c>
    </row>
    <row r="1248" spans="2:10">
      <c r="B1248" s="870">
        <v>43363</v>
      </c>
      <c r="C1248" s="871">
        <f>'Peers Stock History'!D1251/'Peers Stock History'!D$1833*100</f>
        <v>130.92926490984743</v>
      </c>
      <c r="D1248" s="871">
        <f>'Peers Stock History'!E1251/'Peers Stock History'!E$1833*100</f>
        <v>244.29357798165134</v>
      </c>
      <c r="E1248" s="871">
        <f>'Peers Stock History'!F1251/'Peers Stock History'!F$1833*100</f>
        <v>234.4360902255639</v>
      </c>
      <c r="F1248" s="871">
        <f>'Peers Stock History'!G1251/'Peers Stock History'!G$1833*100</f>
        <v>137.67360761273727</v>
      </c>
      <c r="G1248" s="871">
        <f>'Peers Stock History'!H1251/'Peers Stock History'!H$1833*100</f>
        <v>118.90383028302345</v>
      </c>
      <c r="H1248" s="871">
        <f>'Peers Stock History'!I1251/'Peers Stock History'!I$1833*100</f>
        <v>200.08688097306694</v>
      </c>
      <c r="I1248" s="871">
        <f>'Peers Stock History'!J1251/'Peers Stock History'!J$1833*100</f>
        <v>124.75258061083325</v>
      </c>
      <c r="J1248" s="871">
        <f>'Peers Stock History'!K1251/'Peers Stock History'!K$1833*100</f>
        <v>137.95540464374579</v>
      </c>
    </row>
    <row r="1249" spans="2:10">
      <c r="B1249" s="870">
        <v>43362</v>
      </c>
      <c r="C1249" s="871">
        <f>'Peers Stock History'!D1252/'Peers Stock History'!D$1833*100</f>
        <v>128.01664355062414</v>
      </c>
      <c r="D1249" s="871">
        <f>'Peers Stock History'!E1252/'Peers Stock History'!E$1833*100</f>
        <v>249.52293577981655</v>
      </c>
      <c r="E1249" s="871">
        <f>'Peers Stock History'!F1252/'Peers Stock History'!F$1833*100</f>
        <v>234.66165413533835</v>
      </c>
      <c r="F1249" s="871">
        <f>'Peers Stock History'!G1252/'Peers Stock History'!G$1833*100</f>
        <v>136.53902361690774</v>
      </c>
      <c r="G1249" s="871">
        <f>'Peers Stock History'!H1252/'Peers Stock History'!H$1833*100</f>
        <v>117.37948444099227</v>
      </c>
      <c r="H1249" s="871">
        <f>'Peers Stock History'!I1252/'Peers Stock History'!I$1833*100</f>
        <v>195.742832319722</v>
      </c>
      <c r="I1249" s="871">
        <f>'Peers Stock History'!J1252/'Peers Stock History'!J$1833*100</f>
        <v>123.78205810365009</v>
      </c>
      <c r="J1249" s="871">
        <f>'Peers Stock History'!K1252/'Peers Stock History'!K$1833*100</f>
        <v>136.61173583712522</v>
      </c>
    </row>
    <row r="1250" spans="2:10">
      <c r="B1250" s="870">
        <v>43361</v>
      </c>
      <c r="C1250" s="871">
        <f>'Peers Stock History'!D1253/'Peers Stock History'!D$1833*100</f>
        <v>127.87794729542303</v>
      </c>
      <c r="D1250" s="871">
        <f>'Peers Stock History'!E1253/'Peers Stock History'!E$1833*100</f>
        <v>248.64220183486236</v>
      </c>
      <c r="E1250" s="871">
        <f>'Peers Stock History'!F1253/'Peers Stock History'!F$1833*100</f>
        <v>240.07518796992483</v>
      </c>
      <c r="F1250" s="871">
        <f>'Peers Stock History'!G1253/'Peers Stock History'!G$1833*100</f>
        <v>134.50733690994912</v>
      </c>
      <c r="G1250" s="871">
        <f>'Peers Stock History'!H1253/'Peers Stock History'!H$1833*100</f>
        <v>116.37943589494635</v>
      </c>
      <c r="H1250" s="871">
        <f>'Peers Stock History'!I1253/'Peers Stock History'!I$1833*100</f>
        <v>196.9157254561251</v>
      </c>
      <c r="I1250" s="871">
        <f>'Peers Stock History'!J1253/'Peers Stock History'!J$1833*100</f>
        <v>123.62711503671385</v>
      </c>
      <c r="J1250" s="871">
        <f>'Peers Stock History'!K1253/'Peers Stock History'!K$1833*100</f>
        <v>136.71602422226195</v>
      </c>
    </row>
    <row r="1251" spans="2:10">
      <c r="B1251" s="870">
        <v>43360</v>
      </c>
      <c r="C1251" s="871">
        <f>'Peers Stock History'!D1254/'Peers Stock History'!D$1833*100</f>
        <v>125.99167822468796</v>
      </c>
      <c r="D1251" s="871">
        <f>'Peers Stock History'!E1254/'Peers Stock History'!E$1833*100</f>
        <v>251.3119266055046</v>
      </c>
      <c r="E1251" s="871">
        <f>'Peers Stock History'!F1254/'Peers Stock History'!F$1833*100</f>
        <v>243.83458646616538</v>
      </c>
      <c r="F1251" s="871">
        <f>'Peers Stock History'!G1254/'Peers Stock History'!G$1833*100</f>
        <v>136.29514850571582</v>
      </c>
      <c r="G1251" s="871">
        <f>'Peers Stock History'!H1254/'Peers Stock History'!H$1833*100</f>
        <v>114.00067964464296</v>
      </c>
      <c r="H1251" s="871">
        <f>'Peers Stock History'!I1254/'Peers Stock History'!I$1833*100</f>
        <v>189.3136403127715</v>
      </c>
      <c r="I1251" s="871">
        <f>'Peers Stock History'!J1254/'Peers Stock History'!J$1833*100</f>
        <v>122.96690433116953</v>
      </c>
      <c r="J1251" s="871">
        <f>'Peers Stock History'!K1254/'Peers Stock History'!K$1833*100</f>
        <v>135.67958428989732</v>
      </c>
    </row>
    <row r="1252" spans="2:10">
      <c r="B1252" s="870">
        <v>43359</v>
      </c>
      <c r="C1252" s="871">
        <f>'Peers Stock History'!D1255/'Peers Stock History'!D$1833*100</f>
        <v>126.3245492371706</v>
      </c>
      <c r="D1252" s="871">
        <f>'Peers Stock History'!E1255/'Peers Stock History'!E$1833*100</f>
        <v>253.60550458715596</v>
      </c>
      <c r="E1252" s="871">
        <f>'Peers Stock History'!F1255/'Peers Stock History'!F$1833*100</f>
        <v>246.01503759398494</v>
      </c>
      <c r="F1252" s="871">
        <f>'Peers Stock History'!G1255/'Peers Stock History'!G$1833*100</f>
        <v>138.04135953565353</v>
      </c>
      <c r="G1252" s="871">
        <f>'Peers Stock History'!H1255/'Peers Stock History'!H$1833*100</f>
        <v>114.73372493810379</v>
      </c>
      <c r="H1252" s="871">
        <f>'Peers Stock History'!I1255/'Peers Stock History'!I$1833*100</f>
        <v>192.44135534317982</v>
      </c>
      <c r="I1252" s="871">
        <f>'Peers Stock History'!J1255/'Peers Stock History'!J$1833*100</f>
        <v>123.65563477705651</v>
      </c>
      <c r="J1252" s="871">
        <f>'Peers Stock History'!K1255/'Peers Stock History'!K$1833*100</f>
        <v>137.64286598023179</v>
      </c>
    </row>
    <row r="1253" spans="2:10">
      <c r="B1253" s="870">
        <v>43358</v>
      </c>
      <c r="C1253" s="871">
        <f>'Peers Stock History'!D1256/'Peers Stock History'!D$1833*100</f>
        <v>126.3245492371706</v>
      </c>
      <c r="D1253" s="871">
        <f>'Peers Stock History'!E1256/'Peers Stock History'!E$1833*100</f>
        <v>253.60550458715596</v>
      </c>
      <c r="E1253" s="871">
        <f>'Peers Stock History'!F1256/'Peers Stock History'!F$1833*100</f>
        <v>246.01503759398494</v>
      </c>
      <c r="F1253" s="871">
        <f>'Peers Stock History'!G1256/'Peers Stock History'!G$1833*100</f>
        <v>138.04135953565353</v>
      </c>
      <c r="G1253" s="871">
        <f>'Peers Stock History'!H1256/'Peers Stock History'!H$1833*100</f>
        <v>114.73372493810379</v>
      </c>
      <c r="H1253" s="871">
        <f>'Peers Stock History'!I1256/'Peers Stock History'!I$1833*100</f>
        <v>192.44135534317982</v>
      </c>
      <c r="I1253" s="871">
        <f>'Peers Stock History'!J1256/'Peers Stock History'!J$1833*100</f>
        <v>123.65563477705651</v>
      </c>
      <c r="J1253" s="871">
        <f>'Peers Stock History'!K1256/'Peers Stock History'!K$1833*100</f>
        <v>137.64286598023179</v>
      </c>
    </row>
    <row r="1254" spans="2:10">
      <c r="B1254" s="870">
        <v>43357</v>
      </c>
      <c r="C1254" s="871">
        <f>'Peers Stock History'!D1257/'Peers Stock History'!D$1833*100</f>
        <v>126.3245492371706</v>
      </c>
      <c r="D1254" s="871">
        <f>'Peers Stock History'!E1257/'Peers Stock History'!E$1833*100</f>
        <v>253.60550458715596</v>
      </c>
      <c r="E1254" s="871">
        <f>'Peers Stock History'!F1257/'Peers Stock History'!F$1833*100</f>
        <v>246.01503759398494</v>
      </c>
      <c r="F1254" s="871">
        <f>'Peers Stock History'!G1257/'Peers Stock History'!G$1833*100</f>
        <v>138.04135953565353</v>
      </c>
      <c r="G1254" s="871">
        <f>'Peers Stock History'!H1257/'Peers Stock History'!H$1833*100</f>
        <v>114.73372493810379</v>
      </c>
      <c r="H1254" s="871">
        <f>'Peers Stock History'!I1257/'Peers Stock History'!I$1833*100</f>
        <v>192.44135534317982</v>
      </c>
      <c r="I1254" s="871">
        <f>'Peers Stock History'!J1257/'Peers Stock History'!J$1833*100</f>
        <v>123.65563477705651</v>
      </c>
      <c r="J1254" s="871">
        <f>'Peers Stock History'!K1257/'Peers Stock History'!K$1833*100</f>
        <v>137.64286598023179</v>
      </c>
    </row>
    <row r="1255" spans="2:10">
      <c r="B1255" s="870">
        <v>43356</v>
      </c>
      <c r="C1255" s="871">
        <f>'Peers Stock History'!D1258/'Peers Stock History'!D$1833*100</f>
        <v>126.40776699029128</v>
      </c>
      <c r="D1255" s="871">
        <f>'Peers Stock History'!E1258/'Peers Stock History'!E$1833*100</f>
        <v>248.93577981651376</v>
      </c>
      <c r="E1255" s="871">
        <f>'Peers Stock History'!F1258/'Peers Stock History'!F$1833*100</f>
        <v>229.17293233082705</v>
      </c>
      <c r="F1255" s="871">
        <f>'Peers Stock History'!G1258/'Peers Stock History'!G$1833*100</f>
        <v>135.03922523064395</v>
      </c>
      <c r="G1255" s="871">
        <f>'Peers Stock History'!H1258/'Peers Stock History'!H$1833*100</f>
        <v>114.28710131559782</v>
      </c>
      <c r="H1255" s="871">
        <f>'Peers Stock History'!I1258/'Peers Stock History'!I$1833*100</f>
        <v>189.48740225890529</v>
      </c>
      <c r="I1255" s="871">
        <f>'Peers Stock History'!J1258/'Peers Stock History'!J$1833*100</f>
        <v>123.62158135575183</v>
      </c>
      <c r="J1255" s="871">
        <f>'Peers Stock History'!K1258/'Peers Stock History'!K$1833*100</f>
        <v>137.70586173240039</v>
      </c>
    </row>
    <row r="1256" spans="2:10">
      <c r="B1256" s="870">
        <v>43355</v>
      </c>
      <c r="C1256" s="871">
        <f>'Peers Stock History'!D1259/'Peers Stock History'!D$1833*100</f>
        <v>124.63245492371706</v>
      </c>
      <c r="D1256" s="871">
        <f>'Peers Stock History'!E1259/'Peers Stock History'!E$1833*100</f>
        <v>246.05504587155963</v>
      </c>
      <c r="E1256" s="871">
        <f>'Peers Stock History'!F1259/'Peers Stock History'!F$1833*100</f>
        <v>242.18045112781957</v>
      </c>
      <c r="F1256" s="871">
        <f>'Peers Stock History'!G1259/'Peers Stock History'!G$1833*100</f>
        <v>138.00125369962876</v>
      </c>
      <c r="G1256" s="871">
        <f>'Peers Stock History'!H1259/'Peers Stock History'!H$1833*100</f>
        <v>111.60250497596968</v>
      </c>
      <c r="H1256" s="871">
        <f>'Peers Stock History'!I1259/'Peers Stock History'!I$1833*100</f>
        <v>181.32059079061688</v>
      </c>
      <c r="I1256" s="871">
        <f>'Peers Stock History'!J1259/'Peers Stock History'!J$1833*100</f>
        <v>122.97201234436524</v>
      </c>
      <c r="J1256" s="871">
        <f>'Peers Stock History'!K1259/'Peers Stock History'!K$1833*100</f>
        <v>136.68375307589736</v>
      </c>
    </row>
    <row r="1257" spans="2:10">
      <c r="B1257" s="870">
        <v>43354</v>
      </c>
      <c r="C1257" s="871">
        <f>'Peers Stock History'!D1260/'Peers Stock History'!D$1833*100</f>
        <v>124.63245492371706</v>
      </c>
      <c r="D1257" s="871">
        <f>'Peers Stock History'!E1260/'Peers Stock History'!E$1833*100</f>
        <v>250.27522935779817</v>
      </c>
      <c r="E1257" s="871">
        <f>'Peers Stock History'!F1260/'Peers Stock History'!F$1833*100</f>
        <v>226.31578947368419</v>
      </c>
      <c r="F1257" s="871">
        <f>'Peers Stock History'!G1260/'Peers Stock History'!G$1833*100</f>
        <v>137.34723970484191</v>
      </c>
      <c r="G1257" s="871">
        <f>'Peers Stock History'!H1260/'Peers Stock History'!H$1833*100</f>
        <v>112.893829797563</v>
      </c>
      <c r="H1257" s="871">
        <f>'Peers Stock History'!I1260/'Peers Stock History'!I$1833*100</f>
        <v>189.40052128583841</v>
      </c>
      <c r="I1257" s="871">
        <f>'Peers Stock History'!J1260/'Peers Stock History'!J$1833*100</f>
        <v>122.92816856443545</v>
      </c>
      <c r="J1257" s="871">
        <f>'Peers Stock History'!K1260/'Peers Stock History'!K$1833*100</f>
        <v>136.99727121509974</v>
      </c>
    </row>
    <row r="1258" spans="2:10">
      <c r="B1258" s="870">
        <v>43353</v>
      </c>
      <c r="C1258" s="871">
        <f>'Peers Stock History'!D1261/'Peers Stock History'!D$1833*100</f>
        <v>128.43273231622746</v>
      </c>
      <c r="D1258" s="871">
        <f>'Peers Stock History'!E1261/'Peers Stock History'!E$1833*100</f>
        <v>252.04587155963304</v>
      </c>
      <c r="E1258" s="871">
        <f>'Peers Stock History'!F1261/'Peers Stock History'!F$1833*100</f>
        <v>224.73684210526318</v>
      </c>
      <c r="F1258" s="871">
        <f>'Peers Stock History'!G1261/'Peers Stock History'!G$1833*100</f>
        <v>139.62918320374106</v>
      </c>
      <c r="G1258" s="871">
        <f>'Peers Stock History'!H1261/'Peers Stock History'!H$1833*100</f>
        <v>116.80664109908247</v>
      </c>
      <c r="H1258" s="871">
        <f>'Peers Stock History'!I1261/'Peers Stock History'!I$1833*100</f>
        <v>195.04778453518679</v>
      </c>
      <c r="I1258" s="871">
        <f>'Peers Stock History'!J1261/'Peers Stock History'!J$1833*100</f>
        <v>122.47015004788764</v>
      </c>
      <c r="J1258" s="871">
        <f>'Peers Stock History'!K1261/'Peers Stock History'!K$1833*100</f>
        <v>136.16705387459962</v>
      </c>
    </row>
    <row r="1259" spans="2:10">
      <c r="B1259" s="870">
        <v>43352</v>
      </c>
      <c r="C1259" s="871">
        <f>'Peers Stock History'!D1262/'Peers Stock History'!D$1833*100</f>
        <v>128.84882108183081</v>
      </c>
      <c r="D1259" s="871">
        <f>'Peers Stock History'!E1262/'Peers Stock History'!E$1833*100</f>
        <v>249.41284403669727</v>
      </c>
      <c r="E1259" s="871">
        <f>'Peers Stock History'!F1262/'Peers Stock History'!F$1833*100</f>
        <v>205.86466165413532</v>
      </c>
      <c r="F1259" s="871">
        <f>'Peers Stock History'!G1262/'Peers Stock History'!G$1833*100</f>
        <v>139.36523389711775</v>
      </c>
      <c r="G1259" s="871">
        <f>'Peers Stock History'!H1262/'Peers Stock History'!H$1833*100</f>
        <v>112.90839361134036</v>
      </c>
      <c r="H1259" s="871">
        <f>'Peers Stock History'!I1262/'Peers Stock History'!I$1833*100</f>
        <v>194.874022589053</v>
      </c>
      <c r="I1259" s="871">
        <f>'Peers Stock History'!J1262/'Peers Stock History'!J$1833*100</f>
        <v>122.23816111524954</v>
      </c>
      <c r="J1259" s="871">
        <f>'Peers Stock History'!K1262/'Peers Stock History'!K$1833*100</f>
        <v>135.79555764815859</v>
      </c>
    </row>
    <row r="1260" spans="2:10">
      <c r="B1260" s="873">
        <v>43351</v>
      </c>
      <c r="C1260" s="871">
        <f>'Peers Stock History'!D1263/'Peers Stock History'!D$1833*100</f>
        <v>128.84882108183081</v>
      </c>
      <c r="D1260" s="871">
        <f>'Peers Stock History'!E1263/'Peers Stock History'!E$1833*100</f>
        <v>249.41284403669727</v>
      </c>
      <c r="E1260" s="871">
        <f>'Peers Stock History'!F1263/'Peers Stock History'!F$1833*100</f>
        <v>205.86466165413532</v>
      </c>
      <c r="F1260" s="871">
        <f>'Peers Stock History'!G1263/'Peers Stock History'!G$1833*100</f>
        <v>139.36523389711775</v>
      </c>
      <c r="G1260" s="871">
        <f>'Peers Stock History'!H1263/'Peers Stock History'!H$1833*100</f>
        <v>112.90839361134036</v>
      </c>
      <c r="H1260" s="871">
        <f>'Peers Stock History'!I1263/'Peers Stock History'!I$1833*100</f>
        <v>194.874022589053</v>
      </c>
      <c r="I1260" s="871">
        <f>'Peers Stock History'!J1263/'Peers Stock History'!J$1833*100</f>
        <v>122.23816111524954</v>
      </c>
      <c r="J1260" s="871">
        <f>'Peers Stock History'!K1263/'Peers Stock History'!K$1833*100</f>
        <v>135.79555764815859</v>
      </c>
    </row>
    <row r="1261" spans="2:10">
      <c r="B1261" s="873">
        <v>43350</v>
      </c>
      <c r="C1261" s="871">
        <f>'Peers Stock History'!D1264/'Peers Stock History'!D$1833*100</f>
        <v>128.84882108183081</v>
      </c>
      <c r="D1261" s="871">
        <f>'Peers Stock History'!E1264/'Peers Stock History'!E$1833*100</f>
        <v>249.41284403669727</v>
      </c>
      <c r="E1261" s="871">
        <f>'Peers Stock History'!F1264/'Peers Stock History'!F$1833*100</f>
        <v>205.86466165413532</v>
      </c>
      <c r="F1261" s="871">
        <f>'Peers Stock History'!G1264/'Peers Stock History'!G$1833*100</f>
        <v>139.36523389711775</v>
      </c>
      <c r="G1261" s="871">
        <f>'Peers Stock History'!H1264/'Peers Stock History'!H$1833*100</f>
        <v>112.90839361134036</v>
      </c>
      <c r="H1261" s="871">
        <f>'Peers Stock History'!I1264/'Peers Stock History'!I$1833*100</f>
        <v>194.874022589053</v>
      </c>
      <c r="I1261" s="871">
        <f>'Peers Stock History'!J1264/'Peers Stock History'!J$1833*100</f>
        <v>122.23816111524954</v>
      </c>
      <c r="J1261" s="871">
        <f>'Peers Stock History'!K1264/'Peers Stock History'!K$1833*100</f>
        <v>135.79555764815859</v>
      </c>
    </row>
    <row r="1262" spans="2:10">
      <c r="B1262" s="873">
        <v>43349</v>
      </c>
      <c r="C1262" s="871">
        <f>'Peers Stock History'!D1265/'Peers Stock History'!D$1833*100</f>
        <v>131.09570041608879</v>
      </c>
      <c r="D1262" s="871">
        <f>'Peers Stock History'!E1265/'Peers Stock History'!E$1833*100</f>
        <v>250.20183486238534</v>
      </c>
      <c r="E1262" s="871">
        <f>'Peers Stock History'!F1265/'Peers Stock History'!F$1833*100</f>
        <v>209.32330827067668</v>
      </c>
      <c r="F1262" s="871">
        <f>'Peers Stock History'!G1265/'Peers Stock History'!G$1833*100</f>
        <v>137.98303851927514</v>
      </c>
      <c r="G1262" s="871">
        <f>'Peers Stock History'!H1265/'Peers Stock History'!H$1833*100</f>
        <v>104.84489538327102</v>
      </c>
      <c r="H1262" s="871">
        <f>'Peers Stock History'!I1265/'Peers Stock History'!I$1833*100</f>
        <v>193.96177237185057</v>
      </c>
      <c r="I1262" s="871">
        <f>'Peers Stock History'!J1265/'Peers Stock History'!J$1833*100</f>
        <v>122.509311482388</v>
      </c>
      <c r="J1262" s="871">
        <f>'Peers Stock History'!K1265/'Peers Stock History'!K$1833*100</f>
        <v>136.14241232833399</v>
      </c>
    </row>
    <row r="1263" spans="2:10">
      <c r="B1263" s="873">
        <v>43348</v>
      </c>
      <c r="C1263" s="871">
        <f>'Peers Stock History'!D1266/'Peers Stock History'!D$1833*100</f>
        <v>132.37170596393898</v>
      </c>
      <c r="D1263" s="871">
        <f>'Peers Stock History'!E1266/'Peers Stock History'!E$1833*100</f>
        <v>255.43119266055047</v>
      </c>
      <c r="E1263" s="871">
        <f>'Peers Stock History'!F1266/'Peers Stock History'!F$1833*100</f>
        <v>214.3609022556391</v>
      </c>
      <c r="F1263" s="871">
        <f>'Peers Stock History'!G1266/'Peers Stock History'!G$1833*100</f>
        <v>139.58265942534814</v>
      </c>
      <c r="G1263" s="871">
        <f>'Peers Stock History'!H1266/'Peers Stock History'!H$1833*100</f>
        <v>107.49065488615952</v>
      </c>
      <c r="H1263" s="871">
        <f>'Peers Stock History'!I1266/'Peers Stock History'!I$1833*100</f>
        <v>215.20417028670721</v>
      </c>
      <c r="I1263" s="871">
        <f>'Peers Stock History'!J1266/'Peers Stock History'!J$1833*100</f>
        <v>122.95839097584336</v>
      </c>
      <c r="J1263" s="871">
        <f>'Peers Stock History'!K1266/'Peers Stock History'!K$1833*100</f>
        <v>137.38732592826801</v>
      </c>
    </row>
    <row r="1264" spans="2:10">
      <c r="B1264" s="873">
        <v>43347</v>
      </c>
      <c r="C1264" s="871">
        <f>'Peers Stock History'!D1267/'Peers Stock History'!D$1833*100</f>
        <v>133.03744798890432</v>
      </c>
      <c r="D1264" s="871">
        <f>'Peers Stock History'!E1267/'Peers Stock History'!E$1833*100</f>
        <v>260.27522935779814</v>
      </c>
      <c r="E1264" s="871">
        <f>'Peers Stock History'!F1267/'Peers Stock History'!F$1833*100</f>
        <v>210.97744360902254</v>
      </c>
      <c r="F1264" s="871">
        <f>'Peers Stock History'!G1267/'Peers Stock History'!G$1833*100</f>
        <v>136.20794426732067</v>
      </c>
      <c r="G1264" s="871">
        <f>'Peers Stock History'!H1267/'Peers Stock History'!H$1833*100</f>
        <v>106.5245885722608</v>
      </c>
      <c r="H1264" s="871">
        <f>'Peers Stock History'!I1267/'Peers Stock History'!I$1833*100</f>
        <v>225.58644656820155</v>
      </c>
      <c r="I1264" s="871">
        <f>'Peers Stock History'!J1267/'Peers Stock History'!J$1833*100</f>
        <v>123.30403320208576</v>
      </c>
      <c r="J1264" s="871">
        <f>'Peers Stock History'!K1267/'Peers Stock History'!K$1833*100</f>
        <v>139.03822360914452</v>
      </c>
    </row>
    <row r="1265" spans="2:10">
      <c r="B1265" s="873">
        <v>43346</v>
      </c>
      <c r="C1265" s="871">
        <f>'Peers Stock History'!D1268/'Peers Stock History'!D$1833*100</f>
        <v>134.34119278779474</v>
      </c>
      <c r="D1265" s="871">
        <f>'Peers Stock History'!E1268/'Peers Stock History'!E$1833*100</f>
        <v>257.50458715596329</v>
      </c>
      <c r="E1265" s="871">
        <f>'Peers Stock History'!F1268/'Peers Stock History'!F$1833*100</f>
        <v>189.24812030075188</v>
      </c>
      <c r="F1265" s="871">
        <f>'Peers Stock History'!G1268/'Peers Stock History'!G$1833*100</f>
        <v>136.13824325667753</v>
      </c>
      <c r="G1265" s="871">
        <f>'Peers Stock History'!H1268/'Peers Stock History'!H$1833*100</f>
        <v>106.33040438856254</v>
      </c>
      <c r="H1265" s="871">
        <f>'Peers Stock History'!I1268/'Peers Stock History'!I$1833*100</f>
        <v>228.1494352736751</v>
      </c>
      <c r="I1265" s="871">
        <f>'Peers Stock History'!J1268/'Peers Stock History'!J$1833*100</f>
        <v>123.50835372991381</v>
      </c>
      <c r="J1265" s="871">
        <f>'Peers Stock History'!K1268/'Peers Stock History'!K$1833*100</f>
        <v>139.35253220241123</v>
      </c>
    </row>
    <row r="1266" spans="2:10">
      <c r="B1266" s="873">
        <v>43345</v>
      </c>
      <c r="C1266" s="871">
        <f>'Peers Stock History'!D1269/'Peers Stock History'!D$1833*100</f>
        <v>134.34119278779474</v>
      </c>
      <c r="D1266" s="871">
        <f>'Peers Stock History'!E1269/'Peers Stock History'!E$1833*100</f>
        <v>257.50458715596329</v>
      </c>
      <c r="E1266" s="871">
        <f>'Peers Stock History'!F1269/'Peers Stock History'!F$1833*100</f>
        <v>189.24812030075188</v>
      </c>
      <c r="F1266" s="871">
        <f>'Peers Stock History'!G1269/'Peers Stock History'!G$1833*100</f>
        <v>135.76768220917802</v>
      </c>
      <c r="G1266" s="871">
        <f>'Peers Stock History'!H1269/'Peers Stock History'!H$1833*100</f>
        <v>106.33040438856254</v>
      </c>
      <c r="H1266" s="871">
        <f>'Peers Stock History'!I1269/'Peers Stock History'!I$1833*100</f>
        <v>228.1494352736751</v>
      </c>
      <c r="I1266" s="871">
        <f>'Peers Stock History'!J1269/'Peers Stock History'!J$1833*100</f>
        <v>123.50835372991381</v>
      </c>
      <c r="J1266" s="871">
        <f>'Peers Stock History'!K1269/'Peers Stock History'!K$1833*100</f>
        <v>139.35253220241123</v>
      </c>
    </row>
    <row r="1267" spans="2:10">
      <c r="B1267" s="873">
        <v>43344</v>
      </c>
      <c r="C1267" s="871">
        <f>'Peers Stock History'!D1270/'Peers Stock History'!D$1833*100</f>
        <v>134.34119278779474</v>
      </c>
      <c r="D1267" s="871">
        <f>'Peers Stock History'!E1270/'Peers Stock History'!E$1833*100</f>
        <v>257.50458715596329</v>
      </c>
      <c r="E1267" s="871">
        <f>'Peers Stock History'!F1270/'Peers Stock History'!F$1833*100</f>
        <v>189.24812030075188</v>
      </c>
      <c r="F1267" s="871">
        <f>'Peers Stock History'!G1270/'Peers Stock History'!G$1833*100</f>
        <v>135.76768220917802</v>
      </c>
      <c r="G1267" s="871">
        <f>'Peers Stock History'!H1270/'Peers Stock History'!H$1833*100</f>
        <v>106.33040438856254</v>
      </c>
      <c r="H1267" s="871">
        <f>'Peers Stock History'!I1270/'Peers Stock History'!I$1833*100</f>
        <v>228.1494352736751</v>
      </c>
      <c r="I1267" s="871">
        <f>'Peers Stock History'!J1270/'Peers Stock History'!J$1833*100</f>
        <v>123.50835372991381</v>
      </c>
      <c r="J1267" s="871">
        <f>'Peers Stock History'!K1270/'Peers Stock History'!K$1833*100</f>
        <v>139.35253220241123</v>
      </c>
    </row>
    <row r="1268" spans="2:10">
      <c r="B1268" s="873">
        <v>43343</v>
      </c>
      <c r="C1268" s="871">
        <f>'Peers Stock History'!D1271/'Peers Stock History'!D$1833*100</f>
        <v>134.34119278779474</v>
      </c>
      <c r="D1268" s="871">
        <f>'Peers Stock History'!E1271/'Peers Stock History'!E$1833*100</f>
        <v>257.50458715596329</v>
      </c>
      <c r="E1268" s="871">
        <f>'Peers Stock History'!F1271/'Peers Stock History'!F$1833*100</f>
        <v>189.24812030075188</v>
      </c>
      <c r="F1268" s="871">
        <f>'Peers Stock History'!G1271/'Peers Stock History'!G$1833*100</f>
        <v>135.76768220917802</v>
      </c>
      <c r="G1268" s="871">
        <f>'Peers Stock History'!H1271/'Peers Stock History'!H$1833*100</f>
        <v>106.33040438856254</v>
      </c>
      <c r="H1268" s="871">
        <f>'Peers Stock History'!I1271/'Peers Stock History'!I$1833*100</f>
        <v>228.1494352736751</v>
      </c>
      <c r="I1268" s="871">
        <f>'Peers Stock History'!J1271/'Peers Stock History'!J$1833*100</f>
        <v>123.50835372991381</v>
      </c>
      <c r="J1268" s="871">
        <f>'Peers Stock History'!K1271/'Peers Stock History'!K$1833*100</f>
        <v>139.35253220241123</v>
      </c>
    </row>
    <row r="1269" spans="2:10">
      <c r="B1269" s="873">
        <v>43342</v>
      </c>
      <c r="C1269" s="871">
        <f>'Peers Stock History'!D1272/'Peers Stock History'!D$1833*100</f>
        <v>133.81414701803052</v>
      </c>
      <c r="D1269" s="871">
        <f>'Peers Stock History'!E1272/'Peers Stock History'!E$1833*100</f>
        <v>254.87155963302754</v>
      </c>
      <c r="E1269" s="871">
        <f>'Peers Stock History'!F1272/'Peers Stock History'!F$1833*100</f>
        <v>187.14285714285714</v>
      </c>
      <c r="F1269" s="871">
        <f>'Peers Stock History'!G1272/'Peers Stock History'!G$1833*100</f>
        <v>139.42705931939261</v>
      </c>
      <c r="G1269" s="871">
        <f>'Peers Stock History'!H1272/'Peers Stock History'!H$1833*100</f>
        <v>105.17500849555803</v>
      </c>
      <c r="H1269" s="871">
        <f>'Peers Stock History'!I1272/'Peers Stock History'!I$1833*100</f>
        <v>229.19200695047786</v>
      </c>
      <c r="I1269" s="871">
        <f>'Peers Stock History'!J1272/'Peers Stock History'!J$1833*100</f>
        <v>123.49175268702778</v>
      </c>
      <c r="J1269" s="871">
        <f>'Peers Stock History'!K1272/'Peers Stock History'!K$1833*100</f>
        <v>138.98868275985319</v>
      </c>
    </row>
    <row r="1270" spans="2:10">
      <c r="B1270" s="873">
        <v>43341</v>
      </c>
      <c r="C1270" s="871">
        <f>'Peers Stock History'!D1273/'Peers Stock History'!D$1833*100</f>
        <v>135.22884882108184</v>
      </c>
      <c r="D1270" s="871">
        <f>'Peers Stock History'!E1273/'Peers Stock History'!E$1833*100</f>
        <v>255.49541284403671</v>
      </c>
      <c r="E1270" s="871">
        <f>'Peers Stock History'!F1273/'Peers Stock History'!F$1833*100</f>
        <v>189.4736842105263</v>
      </c>
      <c r="F1270" s="871">
        <f>'Peers Stock History'!G1273/'Peers Stock History'!G$1833*100</f>
        <v>137.29157011547522</v>
      </c>
      <c r="G1270" s="871">
        <f>'Peers Stock History'!H1273/'Peers Stock History'!H$1833*100</f>
        <v>104.36914413321034</v>
      </c>
      <c r="H1270" s="871">
        <f>'Peers Stock History'!I1273/'Peers Stock History'!I$1833*100</f>
        <v>225.15204170286708</v>
      </c>
      <c r="I1270" s="871">
        <f>'Peers Stock History'!J1273/'Peers Stock History'!J$1833*100</f>
        <v>124.04128977333191</v>
      </c>
      <c r="J1270" s="871">
        <f>'Peers Stock History'!K1273/'Peers Stock History'!K$1833*100</f>
        <v>139.35510977001223</v>
      </c>
    </row>
    <row r="1271" spans="2:10">
      <c r="B1271" s="873">
        <v>43340</v>
      </c>
      <c r="C1271" s="871">
        <f>'Peers Stock History'!D1274/'Peers Stock History'!D$1833*100</f>
        <v>134.72954230235786</v>
      </c>
      <c r="D1271" s="871">
        <f>'Peers Stock History'!E1274/'Peers Stock History'!E$1833*100</f>
        <v>251.72477064220183</v>
      </c>
      <c r="E1271" s="871">
        <f>'Peers Stock History'!F1274/'Peers Stock History'!F$1833*100</f>
        <v>188.34586466165413</v>
      </c>
      <c r="F1271" s="871">
        <f>'Peers Stock History'!G1274/'Peers Stock History'!G$1833*100</f>
        <v>132.24716011454368</v>
      </c>
      <c r="G1271" s="871">
        <f>'Peers Stock History'!H1274/'Peers Stock History'!H$1833*100</f>
        <v>104.0972862760328</v>
      </c>
      <c r="H1271" s="871">
        <f>'Peers Stock History'!I1274/'Peers Stock History'!I$1833*100</f>
        <v>227.36750651607301</v>
      </c>
      <c r="I1271" s="871">
        <f>'Peers Stock History'!J1274/'Peers Stock History'!J$1833*100</f>
        <v>123.33808662339045</v>
      </c>
      <c r="J1271" s="871">
        <f>'Peers Stock History'!K1274/'Peers Stock History'!K$1833*100</f>
        <v>137.9864385576619</v>
      </c>
    </row>
    <row r="1272" spans="2:10">
      <c r="B1272" s="873">
        <v>43339</v>
      </c>
      <c r="C1272" s="871">
        <f>'Peers Stock History'!D1275/'Peers Stock History'!D$1833*100</f>
        <v>134.11927877947295</v>
      </c>
      <c r="D1272" s="871">
        <f>'Peers Stock History'!E1275/'Peers Stock History'!E$1833*100</f>
        <v>253.11926605504587</v>
      </c>
      <c r="E1272" s="871">
        <f>'Peers Stock History'!F1275/'Peers Stock History'!F$1833*100</f>
        <v>189.92481203007517</v>
      </c>
      <c r="F1272" s="871">
        <f>'Peers Stock History'!G1275/'Peers Stock History'!G$1833*100</f>
        <v>129.94662415920985</v>
      </c>
      <c r="G1272" s="871">
        <f>'Peers Stock History'!H1275/'Peers Stock History'!H$1833*100</f>
        <v>103.38851400553423</v>
      </c>
      <c r="H1272" s="871">
        <f>'Peers Stock History'!I1275/'Peers Stock History'!I$1833*100</f>
        <v>226.19461337966987</v>
      </c>
      <c r="I1272" s="871">
        <f>'Peers Stock History'!J1275/'Peers Stock History'!J$1833*100</f>
        <v>123.30488453761839</v>
      </c>
      <c r="J1272" s="871">
        <f>'Peers Stock History'!K1275/'Peers Stock History'!K$1833*100</f>
        <v>137.77777586846847</v>
      </c>
    </row>
    <row r="1273" spans="2:10">
      <c r="B1273" s="873">
        <v>43338</v>
      </c>
      <c r="C1273" s="871">
        <f>'Peers Stock History'!D1276/'Peers Stock History'!D$1833*100</f>
        <v>132.20527045769762</v>
      </c>
      <c r="D1273" s="871">
        <f>'Peers Stock History'!E1276/'Peers Stock History'!E$1833*100</f>
        <v>249.74311926605509</v>
      </c>
      <c r="E1273" s="871">
        <f>'Peers Stock History'!F1276/'Peers Stock History'!F$1833*100</f>
        <v>180.30075187969925</v>
      </c>
      <c r="F1273" s="871">
        <f>'Peers Stock History'!G1276/'Peers Stock History'!G$1833*100</f>
        <v>129.18051623494662</v>
      </c>
      <c r="G1273" s="871">
        <f>'Peers Stock History'!H1276/'Peers Stock History'!H$1833*100</f>
        <v>101.46123598232923</v>
      </c>
      <c r="H1273" s="871">
        <f>'Peers Stock History'!I1276/'Peers Stock History'!I$1833*100</f>
        <v>220.24326672458733</v>
      </c>
      <c r="I1273" s="871">
        <f>'Peers Stock History'!J1276/'Peers Stock History'!J$1833*100</f>
        <v>122.36628711290838</v>
      </c>
      <c r="J1273" s="871">
        <f>'Peers Stock History'!K1276/'Peers Stock History'!K$1833*100</f>
        <v>136.54191812270597</v>
      </c>
    </row>
    <row r="1274" spans="2:10">
      <c r="B1274" s="873">
        <v>43337</v>
      </c>
      <c r="C1274" s="871">
        <f>'Peers Stock History'!D1277/'Peers Stock History'!D$1833*100</f>
        <v>132.20527045769762</v>
      </c>
      <c r="D1274" s="871">
        <f>'Peers Stock History'!E1277/'Peers Stock History'!E$1833*100</f>
        <v>249.74311926605509</v>
      </c>
      <c r="E1274" s="871">
        <f>'Peers Stock History'!F1277/'Peers Stock History'!F$1833*100</f>
        <v>180.30075187969925</v>
      </c>
      <c r="F1274" s="871">
        <f>'Peers Stock History'!G1277/'Peers Stock History'!G$1833*100</f>
        <v>129.18051623494662</v>
      </c>
      <c r="G1274" s="871">
        <f>'Peers Stock History'!H1277/'Peers Stock History'!H$1833*100</f>
        <v>101.46123598232923</v>
      </c>
      <c r="H1274" s="871">
        <f>'Peers Stock History'!I1277/'Peers Stock History'!I$1833*100</f>
        <v>220.24326672458733</v>
      </c>
      <c r="I1274" s="871">
        <f>'Peers Stock History'!J1277/'Peers Stock History'!J$1833*100</f>
        <v>122.36628711290838</v>
      </c>
      <c r="J1274" s="871">
        <f>'Peers Stock History'!K1277/'Peers Stock History'!K$1833*100</f>
        <v>136.54191812270597</v>
      </c>
    </row>
    <row r="1275" spans="2:10">
      <c r="B1275" s="873">
        <v>43336</v>
      </c>
      <c r="C1275" s="871">
        <f>'Peers Stock History'!D1278/'Peers Stock History'!D$1833*100</f>
        <v>132.20527045769762</v>
      </c>
      <c r="D1275" s="871">
        <f>'Peers Stock History'!E1278/'Peers Stock History'!E$1833*100</f>
        <v>249.74311926605509</v>
      </c>
      <c r="E1275" s="871">
        <f>'Peers Stock History'!F1278/'Peers Stock History'!F$1833*100</f>
        <v>180.30075187969925</v>
      </c>
      <c r="F1275" s="871">
        <f>'Peers Stock History'!G1278/'Peers Stock History'!G$1833*100</f>
        <v>129.18051623494662</v>
      </c>
      <c r="G1275" s="871">
        <f>'Peers Stock History'!H1278/'Peers Stock History'!H$1833*100</f>
        <v>101.46123598232923</v>
      </c>
      <c r="H1275" s="871">
        <f>'Peers Stock History'!I1278/'Peers Stock History'!I$1833*100</f>
        <v>220.24326672458733</v>
      </c>
      <c r="I1275" s="871">
        <f>'Peers Stock History'!J1278/'Peers Stock History'!J$1833*100</f>
        <v>122.36628711290838</v>
      </c>
      <c r="J1275" s="871">
        <f>'Peers Stock History'!K1278/'Peers Stock History'!K$1833*100</f>
        <v>136.54191812270597</v>
      </c>
    </row>
    <row r="1276" spans="2:10">
      <c r="B1276" s="873">
        <v>43335</v>
      </c>
      <c r="C1276" s="871">
        <f>'Peers Stock History'!D1279/'Peers Stock History'!D$1833*100</f>
        <v>130.31900138696255</v>
      </c>
      <c r="D1276" s="871">
        <f>'Peers Stock History'!E1279/'Peers Stock History'!E$1833*100</f>
        <v>244.80733944954127</v>
      </c>
      <c r="E1276" s="871">
        <f>'Peers Stock History'!F1279/'Peers Stock History'!F$1833*100</f>
        <v>167.59398496240601</v>
      </c>
      <c r="F1276" s="871">
        <f>'Peers Stock History'!G1279/'Peers Stock History'!G$1833*100</f>
        <v>129.0628343148056</v>
      </c>
      <c r="G1276" s="871">
        <f>'Peers Stock History'!H1279/'Peers Stock History'!H$1833*100</f>
        <v>99.805815816301759</v>
      </c>
      <c r="H1276" s="871">
        <f>'Peers Stock History'!I1279/'Peers Stock History'!I$1833*100</f>
        <v>215.89921807124242</v>
      </c>
      <c r="I1276" s="871">
        <f>'Peers Stock History'!J1279/'Peers Stock History'!J$1833*100</f>
        <v>121.61242949877619</v>
      </c>
      <c r="J1276" s="871">
        <f>'Peers Stock History'!K1279/'Peers Stock History'!K$1833*100</f>
        <v>135.38172057792502</v>
      </c>
    </row>
    <row r="1277" spans="2:10">
      <c r="B1277" s="873">
        <v>43334</v>
      </c>
      <c r="C1277" s="871">
        <f>'Peers Stock History'!D1280/'Peers Stock History'!D$1833*100</f>
        <v>130.51317614424411</v>
      </c>
      <c r="D1277" s="871">
        <f>'Peers Stock History'!E1280/'Peers Stock History'!E$1833*100</f>
        <v>241.11926605504584</v>
      </c>
      <c r="E1277" s="871">
        <f>'Peers Stock History'!F1280/'Peers Stock History'!F$1833*100</f>
        <v>157.14285714285711</v>
      </c>
      <c r="F1277" s="871">
        <f>'Peers Stock History'!G1280/'Peers Stock History'!G$1833*100</f>
        <v>128.4182474526628</v>
      </c>
      <c r="G1277" s="871">
        <f>'Peers Stock History'!H1280/'Peers Stock History'!H$1833*100</f>
        <v>100.75246371183067</v>
      </c>
      <c r="H1277" s="871">
        <f>'Peers Stock History'!I1280/'Peers Stock History'!I$1833*100</f>
        <v>218.24500434404865</v>
      </c>
      <c r="I1277" s="871">
        <f>'Peers Stock History'!J1280/'Peers Stock History'!J$1833*100</f>
        <v>121.81845269766947</v>
      </c>
      <c r="J1277" s="871">
        <f>'Peers Stock History'!K1280/'Peers Stock History'!K$1833*100</f>
        <v>135.56453885597239</v>
      </c>
    </row>
    <row r="1278" spans="2:10">
      <c r="B1278" s="873">
        <v>43333</v>
      </c>
      <c r="C1278" s="871">
        <f>'Peers Stock History'!D1281/'Peers Stock History'!D$1833*100</f>
        <v>132.09431345353676</v>
      </c>
      <c r="D1278" s="871">
        <f>'Peers Stock History'!E1281/'Peers Stock History'!E$1833*100</f>
        <v>232.40366972477062</v>
      </c>
      <c r="E1278" s="871">
        <f>'Peers Stock History'!F1281/'Peers Stock History'!F$1833*100</f>
        <v>153.38345864661653</v>
      </c>
      <c r="F1278" s="871">
        <f>'Peers Stock History'!G1281/'Peers Stock History'!G$1833*100</f>
        <v>127.90011026667689</v>
      </c>
      <c r="G1278" s="871">
        <f>'Peers Stock History'!H1281/'Peers Stock History'!H$1833*100</f>
        <v>102.19428127579009</v>
      </c>
      <c r="H1278" s="871">
        <f>'Peers Stock History'!I1281/'Peers Stock History'!I$1833*100</f>
        <v>216.94178974804518</v>
      </c>
      <c r="I1278" s="871">
        <f>'Peers Stock History'!J1281/'Peers Stock History'!J$1833*100</f>
        <v>121.86697882302863</v>
      </c>
      <c r="J1278" s="871">
        <f>'Peers Stock History'!K1281/'Peers Stock History'!K$1833*100</f>
        <v>135.05033130335568</v>
      </c>
    </row>
    <row r="1279" spans="2:10">
      <c r="B1279" s="873">
        <v>43332</v>
      </c>
      <c r="C1279" s="871">
        <f>'Peers Stock History'!D1282/'Peers Stock History'!D$1833*100</f>
        <v>128.9875173370319</v>
      </c>
      <c r="D1279" s="871">
        <f>'Peers Stock History'!E1282/'Peers Stock History'!E$1833*100</f>
        <v>227.37614678899081</v>
      </c>
      <c r="E1279" s="871">
        <f>'Peers Stock History'!F1282/'Peers Stock History'!F$1833*100</f>
        <v>150.22556390977445</v>
      </c>
      <c r="F1279" s="871">
        <f>'Peers Stock History'!G1282/'Peers Stock History'!G$1833*100</f>
        <v>126.8763925568563</v>
      </c>
      <c r="G1279" s="871">
        <f>'Peers Stock History'!H1282/'Peers Stock History'!H$1833*100</f>
        <v>100.35438613524927</v>
      </c>
      <c r="H1279" s="871">
        <f>'Peers Stock History'!I1282/'Peers Stock History'!I$1833*100</f>
        <v>208.81841876629016</v>
      </c>
      <c r="I1279" s="871">
        <f>'Peers Stock History'!J1282/'Peers Stock History'!J$1833*100</f>
        <v>121.61540917314038</v>
      </c>
      <c r="J1279" s="871">
        <f>'Peers Stock History'!K1282/'Peers Stock History'!K$1833*100</f>
        <v>134.39447781917161</v>
      </c>
    </row>
    <row r="1280" spans="2:10">
      <c r="B1280" s="873">
        <v>43331</v>
      </c>
      <c r="C1280" s="871">
        <f>'Peers Stock History'!D1283/'Peers Stock History'!D$1833*100</f>
        <v>130.65187239944521</v>
      </c>
      <c r="D1280" s="871">
        <f>'Peers Stock History'!E1283/'Peers Stock History'!E$1833*100</f>
        <v>224.60550458715596</v>
      </c>
      <c r="E1280" s="871">
        <f>'Peers Stock History'!F1283/'Peers Stock History'!F$1833*100</f>
        <v>148.64661654135338</v>
      </c>
      <c r="F1280" s="871">
        <f>'Peers Stock History'!G1283/'Peers Stock History'!G$1833*100</f>
        <v>126.86399824954049</v>
      </c>
      <c r="G1280" s="871">
        <f>'Peers Stock History'!H1283/'Peers Stock History'!H$1833*100</f>
        <v>101.59231030632554</v>
      </c>
      <c r="H1280" s="871">
        <f>'Peers Stock History'!I1283/'Peers Stock History'!I$1833*100</f>
        <v>204.64813205907907</v>
      </c>
      <c r="I1280" s="871">
        <f>'Peers Stock History'!J1283/'Peers Stock History'!J$1833*100</f>
        <v>121.32084707885495</v>
      </c>
      <c r="J1280" s="871">
        <f>'Peers Stock History'!K1283/'Peers Stock History'!K$1833*100</f>
        <v>134.31412644515623</v>
      </c>
    </row>
    <row r="1281" spans="2:10">
      <c r="B1281" s="873">
        <v>43330</v>
      </c>
      <c r="C1281" s="871">
        <f>'Peers Stock History'!D1284/'Peers Stock History'!D$1833*100</f>
        <v>130.65187239944521</v>
      </c>
      <c r="D1281" s="871">
        <f>'Peers Stock History'!E1284/'Peers Stock History'!E$1833*100</f>
        <v>224.60550458715596</v>
      </c>
      <c r="E1281" s="871">
        <f>'Peers Stock History'!F1284/'Peers Stock History'!F$1833*100</f>
        <v>148.64661654135338</v>
      </c>
      <c r="F1281" s="871">
        <f>'Peers Stock History'!G1284/'Peers Stock History'!G$1833*100</f>
        <v>126.86399824954049</v>
      </c>
      <c r="G1281" s="871">
        <f>'Peers Stock History'!H1284/'Peers Stock History'!H$1833*100</f>
        <v>101.59231030632554</v>
      </c>
      <c r="H1281" s="871">
        <f>'Peers Stock History'!I1284/'Peers Stock History'!I$1833*100</f>
        <v>204.64813205907907</v>
      </c>
      <c r="I1281" s="871">
        <f>'Peers Stock History'!J1284/'Peers Stock History'!J$1833*100</f>
        <v>121.32084707885495</v>
      </c>
      <c r="J1281" s="871">
        <f>'Peers Stock History'!K1284/'Peers Stock History'!K$1833*100</f>
        <v>134.31412644515623</v>
      </c>
    </row>
    <row r="1282" spans="2:10">
      <c r="B1282" s="873">
        <v>43329</v>
      </c>
      <c r="C1282" s="871">
        <f>'Peers Stock History'!D1285/'Peers Stock History'!D$1833*100</f>
        <v>130.65187239944521</v>
      </c>
      <c r="D1282" s="871">
        <f>'Peers Stock History'!E1285/'Peers Stock History'!E$1833*100</f>
        <v>224.60550458715596</v>
      </c>
      <c r="E1282" s="871">
        <f>'Peers Stock History'!F1285/'Peers Stock History'!F$1833*100</f>
        <v>148.64661654135338</v>
      </c>
      <c r="F1282" s="871">
        <f>'Peers Stock History'!G1285/'Peers Stock History'!G$1833*100</f>
        <v>126.86399824954049</v>
      </c>
      <c r="G1282" s="871">
        <f>'Peers Stock History'!H1285/'Peers Stock History'!H$1833*100</f>
        <v>101.59231030632554</v>
      </c>
      <c r="H1282" s="871">
        <f>'Peers Stock History'!I1285/'Peers Stock History'!I$1833*100</f>
        <v>204.64813205907907</v>
      </c>
      <c r="I1282" s="871">
        <f>'Peers Stock History'!J1285/'Peers Stock History'!J$1833*100</f>
        <v>121.32084707885495</v>
      </c>
      <c r="J1282" s="871">
        <f>'Peers Stock History'!K1285/'Peers Stock History'!K$1833*100</f>
        <v>134.31412644515623</v>
      </c>
    </row>
    <row r="1283" spans="2:10">
      <c r="B1283" s="873">
        <v>43328</v>
      </c>
      <c r="C1283" s="871">
        <f>'Peers Stock History'!D1286/'Peers Stock History'!D$1833*100</f>
        <v>130.8460471567268</v>
      </c>
      <c r="D1283" s="871">
        <f>'Peers Stock History'!E1286/'Peers Stock History'!E$1833*100</f>
        <v>236.18348623853208</v>
      </c>
      <c r="E1283" s="871">
        <f>'Peers Stock History'!F1286/'Peers Stock History'!F$1833*100</f>
        <v>145.33834586466162</v>
      </c>
      <c r="F1283" s="871">
        <f>'Peers Stock History'!G1286/'Peers Stock History'!G$1833*100</f>
        <v>126.44680093536888</v>
      </c>
      <c r="G1283" s="871">
        <f>'Peers Stock History'!H1286/'Peers Stock History'!H$1833*100</f>
        <v>101.3107432399631</v>
      </c>
      <c r="H1283" s="871">
        <f>'Peers Stock History'!I1286/'Peers Stock History'!I$1833*100</f>
        <v>204.60469157254565</v>
      </c>
      <c r="I1283" s="871">
        <f>'Peers Stock History'!J1286/'Peers Stock History'!J$1833*100</f>
        <v>120.91901670745983</v>
      </c>
      <c r="J1283" s="871">
        <f>'Peers Stock History'!K1286/'Peers Stock History'!K$1833*100</f>
        <v>134.14562225918647</v>
      </c>
    </row>
    <row r="1284" spans="2:10">
      <c r="B1284" s="873">
        <v>43327</v>
      </c>
      <c r="C1284" s="871">
        <f>'Peers Stock History'!D1287/'Peers Stock History'!D$1833*100</f>
        <v>131.65048543689321</v>
      </c>
      <c r="D1284" s="871">
        <f>'Peers Stock History'!E1287/'Peers Stock History'!E$1833*100</f>
        <v>237.6880733944954</v>
      </c>
      <c r="E1284" s="871">
        <f>'Peers Stock History'!F1287/'Peers Stock History'!F$1833*100</f>
        <v>148.12030075187971</v>
      </c>
      <c r="F1284" s="871">
        <f>'Peers Stock History'!G1287/'Peers Stock History'!G$1833*100</f>
        <v>127.21916378814049</v>
      </c>
      <c r="G1284" s="871">
        <f>'Peers Stock History'!H1287/'Peers Stock History'!H$1833*100</f>
        <v>100.28642167095489</v>
      </c>
      <c r="H1284" s="871">
        <f>'Peers Stock History'!I1287/'Peers Stock History'!I$1833*100</f>
        <v>206.29887054735013</v>
      </c>
      <c r="I1284" s="871">
        <f>'Peers Stock History'!J1287/'Peers Stock History'!J$1833*100</f>
        <v>119.96892625305948</v>
      </c>
      <c r="J1284" s="871">
        <f>'Peers Stock History'!K1287/'Peers Stock History'!K$1833*100</f>
        <v>133.58876455466506</v>
      </c>
    </row>
    <row r="1285" spans="2:10">
      <c r="B1285" s="873">
        <v>43326</v>
      </c>
      <c r="C1285" s="871">
        <f>'Peers Stock History'!D1288/'Peers Stock History'!D$1833*100</f>
        <v>133.48127600554784</v>
      </c>
      <c r="D1285" s="871">
        <f>'Peers Stock History'!E1288/'Peers Stock History'!E$1833*100</f>
        <v>239.84403669724773</v>
      </c>
      <c r="E1285" s="871">
        <f>'Peers Stock History'!F1288/'Peers Stock History'!F$1833*100</f>
        <v>150.52631578947367</v>
      </c>
      <c r="F1285" s="871">
        <f>'Peers Stock History'!G1288/'Peers Stock History'!G$1833*100</f>
        <v>128.56417297345564</v>
      </c>
      <c r="G1285" s="871">
        <f>'Peers Stock History'!H1288/'Peers Stock History'!H$1833*100</f>
        <v>100.63595320161174</v>
      </c>
      <c r="H1285" s="871">
        <f>'Peers Stock History'!I1288/'Peers Stock History'!I$1833*100</f>
        <v>219.89574283231968</v>
      </c>
      <c r="I1285" s="871">
        <f>'Peers Stock History'!J1288/'Peers Stock History'!J$1833*100</f>
        <v>120.88794296051933</v>
      </c>
      <c r="J1285" s="871">
        <f>'Peers Stock History'!K1288/'Peers Stock History'!K$1833*100</f>
        <v>135.25174243569828</v>
      </c>
    </row>
    <row r="1286" spans="2:10">
      <c r="B1286" s="873">
        <v>43325</v>
      </c>
      <c r="C1286" s="871">
        <f>'Peers Stock History'!D1289/'Peers Stock History'!D$1833*100</f>
        <v>134.3966712898752</v>
      </c>
      <c r="D1286" s="871">
        <f>'Peers Stock History'!E1289/'Peers Stock History'!E$1833*100</f>
        <v>234.97247706422019</v>
      </c>
      <c r="E1286" s="871">
        <f>'Peers Stock History'!F1289/'Peers Stock History'!F$1833*100</f>
        <v>148.34586466165413</v>
      </c>
      <c r="F1286" s="871">
        <f>'Peers Stock History'!G1289/'Peers Stock History'!G$1833*100</f>
        <v>126.83613493307124</v>
      </c>
      <c r="G1286" s="871">
        <f>'Peers Stock History'!H1289/'Peers Stock History'!H$1833*100</f>
        <v>102.47099373756008</v>
      </c>
      <c r="H1286" s="871">
        <f>'Peers Stock History'!I1289/'Peers Stock History'!I$1833*100</f>
        <v>223.02345786272809</v>
      </c>
      <c r="I1286" s="871">
        <f>'Peers Stock History'!J1289/'Peers Stock History'!J$1833*100</f>
        <v>120.12046397786527</v>
      </c>
      <c r="J1286" s="871">
        <f>'Peers Stock History'!K1289/'Peers Stock History'!K$1833*100</f>
        <v>134.37213889996289</v>
      </c>
    </row>
    <row r="1287" spans="2:10">
      <c r="B1287" s="873">
        <v>43324</v>
      </c>
      <c r="C1287" s="871">
        <f>'Peers Stock History'!D1290/'Peers Stock History'!D$1833*100</f>
        <v>135.50624133148406</v>
      </c>
      <c r="D1287" s="871">
        <f>'Peers Stock History'!E1290/'Peers Stock History'!E$1833*100</f>
        <v>233.75229357798167</v>
      </c>
      <c r="E1287" s="871">
        <f>'Peers Stock History'!F1290/'Peers Stock History'!F$1833*100</f>
        <v>143.30827067669171</v>
      </c>
      <c r="F1287" s="871">
        <f>'Peers Stock History'!G1290/'Peers Stock History'!G$1833*100</f>
        <v>129.68868448677117</v>
      </c>
      <c r="G1287" s="871">
        <f>'Peers Stock History'!H1290/'Peers Stock History'!H$1833*100</f>
        <v>103.0292732656925</v>
      </c>
      <c r="H1287" s="871">
        <f>'Peers Stock History'!I1290/'Peers Stock History'!I$1833*100</f>
        <v>223.15377932232838</v>
      </c>
      <c r="I1287" s="871">
        <f>'Peers Stock History'!J1290/'Peers Stock History'!J$1833*100</f>
        <v>120.60359689262532</v>
      </c>
      <c r="J1287" s="871">
        <f>'Peers Stock History'!K1290/'Peers Stock History'!K$1833*100</f>
        <v>134.70557304482907</v>
      </c>
    </row>
    <row r="1288" spans="2:10">
      <c r="B1288" s="873">
        <v>43323</v>
      </c>
      <c r="C1288" s="871">
        <f>'Peers Stock History'!D1291/'Peers Stock History'!D$1833*100</f>
        <v>135.50624133148406</v>
      </c>
      <c r="D1288" s="871">
        <f>'Peers Stock History'!E1291/'Peers Stock History'!E$1833*100</f>
        <v>233.75229357798167</v>
      </c>
      <c r="E1288" s="871">
        <f>'Peers Stock History'!F1291/'Peers Stock History'!F$1833*100</f>
        <v>143.30827067669171</v>
      </c>
      <c r="F1288" s="871">
        <f>'Peers Stock History'!G1291/'Peers Stock History'!G$1833*100</f>
        <v>129.68868448677117</v>
      </c>
      <c r="G1288" s="871">
        <f>'Peers Stock History'!H1291/'Peers Stock History'!H$1833*100</f>
        <v>103.0292732656925</v>
      </c>
      <c r="H1288" s="871">
        <f>'Peers Stock History'!I1291/'Peers Stock History'!I$1833*100</f>
        <v>223.15377932232838</v>
      </c>
      <c r="I1288" s="871">
        <f>'Peers Stock History'!J1291/'Peers Stock History'!J$1833*100</f>
        <v>120.60359689262532</v>
      </c>
      <c r="J1288" s="871">
        <f>'Peers Stock History'!K1291/'Peers Stock History'!K$1833*100</f>
        <v>134.70557304482907</v>
      </c>
    </row>
    <row r="1289" spans="2:10">
      <c r="B1289" s="873">
        <v>43322</v>
      </c>
      <c r="C1289" s="871">
        <f>'Peers Stock History'!D1292/'Peers Stock History'!D$1833*100</f>
        <v>135.50624133148406</v>
      </c>
      <c r="D1289" s="871">
        <f>'Peers Stock History'!E1292/'Peers Stock History'!E$1833*100</f>
        <v>233.75229357798167</v>
      </c>
      <c r="E1289" s="871">
        <f>'Peers Stock History'!F1292/'Peers Stock History'!F$1833*100</f>
        <v>143.30827067669171</v>
      </c>
      <c r="F1289" s="871">
        <f>'Peers Stock History'!G1292/'Peers Stock History'!G$1833*100</f>
        <v>129.68868448677117</v>
      </c>
      <c r="G1289" s="871">
        <f>'Peers Stock History'!H1292/'Peers Stock History'!H$1833*100</f>
        <v>103.0292732656925</v>
      </c>
      <c r="H1289" s="871">
        <f>'Peers Stock History'!I1292/'Peers Stock History'!I$1833*100</f>
        <v>223.15377932232838</v>
      </c>
      <c r="I1289" s="871">
        <f>'Peers Stock History'!J1292/'Peers Stock History'!J$1833*100</f>
        <v>120.60359689262532</v>
      </c>
      <c r="J1289" s="871">
        <f>'Peers Stock History'!K1292/'Peers Stock History'!K$1833*100</f>
        <v>134.70557304482907</v>
      </c>
    </row>
    <row r="1290" spans="2:10">
      <c r="B1290" s="873">
        <v>43321</v>
      </c>
      <c r="C1290" s="871">
        <f>'Peers Stock History'!D1293/'Peers Stock History'!D$1833*100</f>
        <v>139.0846047156727</v>
      </c>
      <c r="D1290" s="871">
        <f>'Peers Stock History'!E1293/'Peers Stock History'!E$1833*100</f>
        <v>235.28440366972475</v>
      </c>
      <c r="E1290" s="871">
        <f>'Peers Stock History'!F1293/'Peers Stock History'!F$1833*100</f>
        <v>143.60902255639098</v>
      </c>
      <c r="F1290" s="871">
        <f>'Peers Stock History'!G1293/'Peers Stock History'!G$1833*100</f>
        <v>131.11000960965075</v>
      </c>
      <c r="G1290" s="871">
        <f>'Peers Stock History'!H1293/'Peers Stock History'!H$1833*100</f>
        <v>105.14102626341084</v>
      </c>
      <c r="H1290" s="871">
        <f>'Peers Stock History'!I1293/'Peers Stock History'!I$1833*100</f>
        <v>227.01998262380539</v>
      </c>
      <c r="I1290" s="871">
        <f>'Peers Stock History'!J1293/'Peers Stock History'!J$1833*100</f>
        <v>121.46770245823136</v>
      </c>
      <c r="J1290" s="871">
        <f>'Peers Stock History'!K1293/'Peers Stock History'!K$1833*100</f>
        <v>135.61067731603043</v>
      </c>
    </row>
    <row r="1291" spans="2:10">
      <c r="B1291" s="873">
        <v>43320</v>
      </c>
      <c r="C1291" s="871">
        <f>'Peers Stock History'!D1294/'Peers Stock History'!D$1833*100</f>
        <v>138.58529819694868</v>
      </c>
      <c r="D1291" s="871">
        <f>'Peers Stock History'!E1294/'Peers Stock History'!E$1833*100</f>
        <v>237.08256880733947</v>
      </c>
      <c r="E1291" s="871">
        <f>'Peers Stock History'!F1294/'Peers Stock History'!F$1833*100</f>
        <v>147.21804511278194</v>
      </c>
      <c r="F1291" s="871">
        <f>'Peers Stock History'!G1294/'Peers Stock History'!G$1833*100</f>
        <v>131.68048903944239</v>
      </c>
      <c r="G1291" s="871">
        <f>'Peers Stock History'!H1294/'Peers Stock History'!H$1833*100</f>
        <v>106.53915238603815</v>
      </c>
      <c r="H1291" s="871">
        <f>'Peers Stock History'!I1294/'Peers Stock History'!I$1833*100</f>
        <v>231.92875760208517</v>
      </c>
      <c r="I1291" s="871">
        <f>'Peers Stock History'!J1294/'Peers Stock History'!J$1833*100</f>
        <v>121.64307757795041</v>
      </c>
      <c r="J1291" s="871">
        <f>'Peers Stock History'!K1294/'Peers Stock History'!K$1833*100</f>
        <v>135.55129015850324</v>
      </c>
    </row>
    <row r="1292" spans="2:10">
      <c r="B1292" s="873">
        <v>43319</v>
      </c>
      <c r="C1292" s="871">
        <f>'Peers Stock History'!D1295/'Peers Stock History'!D$1833*100</f>
        <v>137.86407766990294</v>
      </c>
      <c r="D1292" s="871">
        <f>'Peers Stock History'!E1295/'Peers Stock History'!E$1833*100</f>
        <v>235.73394495412842</v>
      </c>
      <c r="E1292" s="871">
        <f>'Peers Stock History'!F1295/'Peers Stock History'!F$1833*100</f>
        <v>147.06766917293231</v>
      </c>
      <c r="F1292" s="871">
        <f>'Peers Stock History'!G1295/'Peers Stock History'!G$1833*100</f>
        <v>128.62285229930845</v>
      </c>
      <c r="G1292" s="871">
        <f>'Peers Stock History'!H1295/'Peers Stock History'!H$1833*100</f>
        <v>106.95179377639693</v>
      </c>
      <c r="H1292" s="871">
        <f>'Peers Stock History'!I1295/'Peers Stock History'!I$1833*100</f>
        <v>230.40834057341445</v>
      </c>
      <c r="I1292" s="871">
        <f>'Peers Stock History'!J1295/'Peers Stock History'!J$1833*100</f>
        <v>121.67500266042353</v>
      </c>
      <c r="J1292" s="871">
        <f>'Peers Stock History'!K1295/'Peers Stock History'!K$1833*100</f>
        <v>135.47117935746397</v>
      </c>
    </row>
    <row r="1293" spans="2:10">
      <c r="B1293" s="873">
        <v>43318</v>
      </c>
      <c r="C1293" s="871">
        <f>'Peers Stock History'!D1296/'Peers Stock History'!D$1833*100</f>
        <v>136.75450762829405</v>
      </c>
      <c r="D1293" s="871">
        <f>'Peers Stock History'!E1296/'Peers Stock History'!E$1833*100</f>
        <v>233.05504587155963</v>
      </c>
      <c r="E1293" s="871">
        <f>'Peers Stock History'!F1296/'Peers Stock History'!F$1833*100</f>
        <v>146.09022556390977</v>
      </c>
      <c r="F1293" s="871">
        <f>'Peers Stock History'!G1296/'Peers Stock History'!G$1833*100</f>
        <v>130.36058628518242</v>
      </c>
      <c r="G1293" s="871">
        <f>'Peers Stock History'!H1296/'Peers Stock History'!H$1833*100</f>
        <v>105.32064663333172</v>
      </c>
      <c r="H1293" s="871">
        <f>'Peers Stock History'!I1296/'Peers Stock History'!I$1833*100</f>
        <v>228.80104257167679</v>
      </c>
      <c r="I1293" s="871">
        <f>'Peers Stock History'!J1296/'Peers Stock History'!J$1833*100</f>
        <v>121.33234010854528</v>
      </c>
      <c r="J1293" s="871">
        <f>'Peers Stock History'!K1296/'Peers Stock History'!K$1833*100</f>
        <v>135.05900911427904</v>
      </c>
    </row>
    <row r="1294" spans="2:10">
      <c r="B1294" s="873">
        <v>43317</v>
      </c>
      <c r="C1294" s="871">
        <f>'Peers Stock History'!D1297/'Peers Stock History'!D$1833*100</f>
        <v>137.66990291262138</v>
      </c>
      <c r="D1294" s="871">
        <f>'Peers Stock History'!E1297/'Peers Stock History'!E$1833*100</f>
        <v>231.28440366972475</v>
      </c>
      <c r="E1294" s="871">
        <f>'Peers Stock History'!F1297/'Peers Stock History'!F$1833*100</f>
        <v>139.02255639097743</v>
      </c>
      <c r="F1294" s="871">
        <f>'Peers Stock History'!G1297/'Peers Stock History'!G$1833*100</f>
        <v>131.37150088269914</v>
      </c>
      <c r="G1294" s="871">
        <f>'Peers Stock History'!H1297/'Peers Stock History'!H$1833*100</f>
        <v>105.73814262828292</v>
      </c>
      <c r="H1294" s="871">
        <f>'Peers Stock History'!I1297/'Peers Stock History'!I$1833*100</f>
        <v>229.40920938314511</v>
      </c>
      <c r="I1294" s="871">
        <f>'Peers Stock History'!J1297/'Peers Stock History'!J$1833*100</f>
        <v>120.90454400340533</v>
      </c>
      <c r="J1294" s="871">
        <f>'Peers Stock History'!K1297/'Peers Stock History'!K$1833*100</f>
        <v>134.23997841716729</v>
      </c>
    </row>
    <row r="1295" spans="2:10">
      <c r="B1295" s="873">
        <v>43316</v>
      </c>
      <c r="C1295" s="871">
        <f>'Peers Stock History'!D1298/'Peers Stock History'!D$1833*100</f>
        <v>137.66990291262138</v>
      </c>
      <c r="D1295" s="871">
        <f>'Peers Stock History'!E1298/'Peers Stock History'!E$1833*100</f>
        <v>231.28440366972475</v>
      </c>
      <c r="E1295" s="871">
        <f>'Peers Stock History'!F1298/'Peers Stock History'!F$1833*100</f>
        <v>139.02255639097743</v>
      </c>
      <c r="F1295" s="871">
        <f>'Peers Stock History'!G1298/'Peers Stock History'!G$1833*100</f>
        <v>131.37150088269914</v>
      </c>
      <c r="G1295" s="871">
        <f>'Peers Stock History'!H1298/'Peers Stock History'!H$1833*100</f>
        <v>105.73814262828292</v>
      </c>
      <c r="H1295" s="871">
        <f>'Peers Stock History'!I1298/'Peers Stock History'!I$1833*100</f>
        <v>229.40920938314511</v>
      </c>
      <c r="I1295" s="871">
        <f>'Peers Stock History'!J1298/'Peers Stock History'!J$1833*100</f>
        <v>120.90454400340533</v>
      </c>
      <c r="J1295" s="871">
        <f>'Peers Stock History'!K1298/'Peers Stock History'!K$1833*100</f>
        <v>134.23997841716729</v>
      </c>
    </row>
    <row r="1296" spans="2:10">
      <c r="B1296" s="873">
        <v>43315</v>
      </c>
      <c r="C1296" s="871">
        <f>'Peers Stock History'!D1299/'Peers Stock History'!D$1833*100</f>
        <v>137.66990291262138</v>
      </c>
      <c r="D1296" s="871">
        <f>'Peers Stock History'!E1299/'Peers Stock History'!E$1833*100</f>
        <v>231.28440366972475</v>
      </c>
      <c r="E1296" s="871">
        <f>'Peers Stock History'!F1299/'Peers Stock History'!F$1833*100</f>
        <v>139.02255639097743</v>
      </c>
      <c r="F1296" s="871">
        <f>'Peers Stock History'!G1299/'Peers Stock History'!G$1833*100</f>
        <v>131.37150088269914</v>
      </c>
      <c r="G1296" s="871">
        <f>'Peers Stock History'!H1299/'Peers Stock History'!H$1833*100</f>
        <v>105.73814262828292</v>
      </c>
      <c r="H1296" s="871">
        <f>'Peers Stock History'!I1299/'Peers Stock History'!I$1833*100</f>
        <v>229.40920938314511</v>
      </c>
      <c r="I1296" s="871">
        <f>'Peers Stock History'!J1299/'Peers Stock History'!J$1833*100</f>
        <v>120.90454400340533</v>
      </c>
      <c r="J1296" s="871">
        <f>'Peers Stock History'!K1299/'Peers Stock History'!K$1833*100</f>
        <v>134.23997841716729</v>
      </c>
    </row>
    <row r="1297" spans="2:10">
      <c r="B1297" s="873">
        <v>43314</v>
      </c>
      <c r="C1297" s="871">
        <f>'Peers Stock History'!D1300/'Peers Stock History'!D$1833*100</f>
        <v>137.25381414701803</v>
      </c>
      <c r="D1297" s="871">
        <f>'Peers Stock History'!E1300/'Peers Stock History'!E$1833*100</f>
        <v>229.92660550458717</v>
      </c>
      <c r="E1297" s="871">
        <f>'Peers Stock History'!F1300/'Peers Stock History'!F$1833*100</f>
        <v>141.27819548872179</v>
      </c>
      <c r="F1297" s="871">
        <f>'Peers Stock History'!G1300/'Peers Stock History'!G$1833*100</f>
        <v>129.53360576711822</v>
      </c>
      <c r="G1297" s="871">
        <f>'Peers Stock History'!H1300/'Peers Stock History'!H$1833*100</f>
        <v>105.02937035778434</v>
      </c>
      <c r="H1297" s="871">
        <f>'Peers Stock History'!I1300/'Peers Stock History'!I$1833*100</f>
        <v>231.9721980886186</v>
      </c>
      <c r="I1297" s="871">
        <f>'Peers Stock History'!J1300/'Peers Stock History'!J$1833*100</f>
        <v>120.3456422262424</v>
      </c>
      <c r="J1297" s="871">
        <f>'Peers Stock History'!K1300/'Peers Stock History'!K$1833*100</f>
        <v>134.0796537123847</v>
      </c>
    </row>
    <row r="1298" spans="2:10">
      <c r="B1298" s="873">
        <v>43313</v>
      </c>
      <c r="C1298" s="871">
        <f>'Peers Stock History'!D1301/'Peers Stock History'!D$1833*100</f>
        <v>135.39528432732317</v>
      </c>
      <c r="D1298" s="871">
        <f>'Peers Stock History'!E1301/'Peers Stock History'!E$1833*100</f>
        <v>226.11926605504587</v>
      </c>
      <c r="E1298" s="871">
        <f>'Peers Stock History'!F1301/'Peers Stock History'!F$1833*100</f>
        <v>138.94736842105263</v>
      </c>
      <c r="F1298" s="871">
        <f>'Peers Stock History'!G1301/'Peers Stock History'!G$1833*100</f>
        <v>131.79133482292488</v>
      </c>
      <c r="G1298" s="871">
        <f>'Peers Stock History'!H1301/'Peers Stock History'!H$1833*100</f>
        <v>105.24782756444489</v>
      </c>
      <c r="H1298" s="871">
        <f>'Peers Stock History'!I1301/'Peers Stock History'!I$1833*100</f>
        <v>227.15030408340576</v>
      </c>
      <c r="I1298" s="871">
        <f>'Peers Stock History'!J1301/'Peers Stock History'!J$1833*100</f>
        <v>119.755666702139</v>
      </c>
      <c r="J1298" s="871">
        <f>'Peers Stock History'!K1301/'Peers Stock History'!K$1833*100</f>
        <v>132.44033790192873</v>
      </c>
    </row>
    <row r="1299" spans="2:10">
      <c r="B1299" s="873">
        <v>43312</v>
      </c>
      <c r="C1299" s="871">
        <f>'Peers Stock History'!D1302/'Peers Stock History'!D$1833*100</f>
        <v>133.42579750346741</v>
      </c>
      <c r="D1299" s="871">
        <f>'Peers Stock History'!E1302/'Peers Stock History'!E$1833*100</f>
        <v>224.64220183486239</v>
      </c>
      <c r="E1299" s="871">
        <f>'Peers Stock History'!F1302/'Peers Stock History'!F$1833*100</f>
        <v>137.81954887218043</v>
      </c>
      <c r="F1299" s="871">
        <f>'Peers Stock History'!G1302/'Peers Stock History'!G$1833*100</f>
        <v>130.91239723665799</v>
      </c>
      <c r="G1299" s="871">
        <f>'Peers Stock History'!H1302/'Peers Stock History'!H$1833*100</f>
        <v>107.6605660468955</v>
      </c>
      <c r="H1299" s="871">
        <f>'Peers Stock History'!I1302/'Peers Stock History'!I$1833*100</f>
        <v>229.32232841007817</v>
      </c>
      <c r="I1299" s="871">
        <f>'Peers Stock History'!J1302/'Peers Stock History'!J$1833*100</f>
        <v>119.88038735766733</v>
      </c>
      <c r="J1299" s="871">
        <f>'Peers Stock History'!K1302/'Peers Stock History'!K$1833*100</f>
        <v>131.83036512104258</v>
      </c>
    </row>
    <row r="1300" spans="2:10">
      <c r="B1300" s="873">
        <v>43311</v>
      </c>
      <c r="C1300" s="871">
        <f>'Peers Stock History'!D1303/'Peers Stock History'!D$1833*100</f>
        <v>132.28848821081831</v>
      </c>
      <c r="D1300" s="871">
        <f>'Peers Stock History'!E1303/'Peers Stock History'!E$1833*100</f>
        <v>223.97247706422019</v>
      </c>
      <c r="E1300" s="871">
        <f>'Peers Stock History'!F1303/'Peers Stock History'!F$1833*100</f>
        <v>146.01503759398497</v>
      </c>
      <c r="F1300" s="871">
        <f>'Peers Stock History'!G1303/'Peers Stock History'!G$1833*100</f>
        <v>130.62494883873222</v>
      </c>
      <c r="G1300" s="871">
        <f>'Peers Stock History'!H1303/'Peers Stock History'!H$1833*100</f>
        <v>109.3208408175154</v>
      </c>
      <c r="H1300" s="871">
        <f>'Peers Stock History'!I1303/'Peers Stock History'!I$1833*100</f>
        <v>230.27801911381408</v>
      </c>
      <c r="I1300" s="871">
        <f>'Peers Stock History'!J1303/'Peers Stock History'!J$1833*100</f>
        <v>119.29764818559114</v>
      </c>
      <c r="J1300" s="871">
        <f>'Peers Stock History'!K1303/'Peers Stock History'!K$1833*100</f>
        <v>131.11234070632227</v>
      </c>
    </row>
    <row r="1301" spans="2:10">
      <c r="B1301" s="873">
        <v>43310</v>
      </c>
      <c r="C1301" s="871">
        <f>'Peers Stock History'!D1304/'Peers Stock History'!D$1833*100</f>
        <v>132.26074895977808</v>
      </c>
      <c r="D1301" s="871">
        <f>'Peers Stock History'!E1304/'Peers Stock History'!E$1833*100</f>
        <v>231.21100917431195</v>
      </c>
      <c r="E1301" s="871">
        <f>'Peers Stock History'!F1304/'Peers Stock History'!F$1833*100</f>
        <v>142.40601503759399</v>
      </c>
      <c r="F1301" s="871">
        <f>'Peers Stock History'!G1304/'Peers Stock History'!G$1833*100</f>
        <v>130.16950957549872</v>
      </c>
      <c r="G1301" s="871">
        <f>'Peers Stock History'!H1304/'Peers Stock History'!H$1833*100</f>
        <v>107.31103451623865</v>
      </c>
      <c r="H1301" s="871">
        <f>'Peers Stock History'!I1304/'Peers Stock History'!I$1833*100</f>
        <v>234.40486533449177</v>
      </c>
      <c r="I1301" s="871">
        <f>'Peers Stock History'!J1304/'Peers Stock History'!J$1833*100</f>
        <v>119.98808130254336</v>
      </c>
      <c r="J1301" s="871">
        <f>'Peers Stock History'!K1304/'Peers Stock History'!K$1833*100</f>
        <v>132.95813686540285</v>
      </c>
    </row>
    <row r="1302" spans="2:10">
      <c r="B1302" s="873">
        <v>43309</v>
      </c>
      <c r="C1302" s="871">
        <f>'Peers Stock History'!D1305/'Peers Stock History'!D$1833*100</f>
        <v>132.26074895977808</v>
      </c>
      <c r="D1302" s="871">
        <f>'Peers Stock History'!E1305/'Peers Stock History'!E$1833*100</f>
        <v>231.21100917431195</v>
      </c>
      <c r="E1302" s="871">
        <f>'Peers Stock History'!F1305/'Peers Stock History'!F$1833*100</f>
        <v>142.40601503759399</v>
      </c>
      <c r="F1302" s="871">
        <f>'Peers Stock History'!G1305/'Peers Stock History'!G$1833*100</f>
        <v>130.16950957549872</v>
      </c>
      <c r="G1302" s="871">
        <f>'Peers Stock History'!H1305/'Peers Stock History'!H$1833*100</f>
        <v>107.31103451623865</v>
      </c>
      <c r="H1302" s="871">
        <f>'Peers Stock History'!I1305/'Peers Stock History'!I$1833*100</f>
        <v>234.40486533449177</v>
      </c>
      <c r="I1302" s="871">
        <f>'Peers Stock History'!J1305/'Peers Stock History'!J$1833*100</f>
        <v>119.98808130254336</v>
      </c>
      <c r="J1302" s="871">
        <f>'Peers Stock History'!K1305/'Peers Stock History'!K$1833*100</f>
        <v>132.95813686540285</v>
      </c>
    </row>
    <row r="1303" spans="2:10">
      <c r="B1303" s="873">
        <v>43308</v>
      </c>
      <c r="C1303" s="871">
        <f>'Peers Stock History'!D1306/'Peers Stock History'!D$1833*100</f>
        <v>132.26074895977808</v>
      </c>
      <c r="D1303" s="871">
        <f>'Peers Stock History'!E1306/'Peers Stock History'!E$1833*100</f>
        <v>231.21100917431195</v>
      </c>
      <c r="E1303" s="871">
        <f>'Peers Stock History'!F1306/'Peers Stock History'!F$1833*100</f>
        <v>142.40601503759399</v>
      </c>
      <c r="F1303" s="871">
        <f>'Peers Stock History'!G1306/'Peers Stock History'!G$1833*100</f>
        <v>130.16950957549872</v>
      </c>
      <c r="G1303" s="871">
        <f>'Peers Stock History'!H1306/'Peers Stock History'!H$1833*100</f>
        <v>107.31103451623865</v>
      </c>
      <c r="H1303" s="871">
        <f>'Peers Stock History'!I1306/'Peers Stock History'!I$1833*100</f>
        <v>234.40486533449177</v>
      </c>
      <c r="I1303" s="871">
        <f>'Peers Stock History'!J1306/'Peers Stock History'!J$1833*100</f>
        <v>119.98808130254336</v>
      </c>
      <c r="J1303" s="871">
        <f>'Peers Stock History'!K1306/'Peers Stock History'!K$1833*100</f>
        <v>132.95813686540285</v>
      </c>
    </row>
    <row r="1304" spans="2:10">
      <c r="B1304" s="873">
        <v>43307</v>
      </c>
      <c r="C1304" s="871">
        <f>'Peers Stock History'!D1307/'Peers Stock History'!D$1833*100</f>
        <v>144.6879334257975</v>
      </c>
      <c r="D1304" s="871">
        <f>'Peers Stock History'!E1307/'Peers Stock History'!E$1833*100</f>
        <v>233.79816513761469</v>
      </c>
      <c r="E1304" s="871">
        <f>'Peers Stock History'!F1307/'Peers Stock History'!F$1833*100</f>
        <v>137.96992481203009</v>
      </c>
      <c r="F1304" s="871">
        <f>'Peers Stock History'!G1307/'Peers Stock History'!G$1833*100</f>
        <v>128.15514955033126</v>
      </c>
      <c r="G1304" s="871">
        <f>'Peers Stock History'!H1307/'Peers Stock History'!H$1833*100</f>
        <v>108.34506529443178</v>
      </c>
      <c r="H1304" s="871">
        <f>'Peers Stock History'!I1307/'Peers Stock History'!I$1833*100</f>
        <v>233.53605560382275</v>
      </c>
      <c r="I1304" s="871">
        <f>'Peers Stock History'!J1307/'Peers Stock History'!J$1833*100</f>
        <v>120.7806746834096</v>
      </c>
      <c r="J1304" s="871">
        <f>'Peers Stock History'!K1307/'Peers Stock History'!K$1833*100</f>
        <v>134.93025102071678</v>
      </c>
    </row>
    <row r="1305" spans="2:10">
      <c r="B1305" s="873">
        <v>43306</v>
      </c>
      <c r="C1305" s="871">
        <f>'Peers Stock History'!D1308/'Peers Stock History'!D$1833*100</f>
        <v>145.4368932038835</v>
      </c>
      <c r="D1305" s="871">
        <f>'Peers Stock History'!E1308/'Peers Stock History'!E$1833*100</f>
        <v>231.07339449541286</v>
      </c>
      <c r="E1305" s="871">
        <f>'Peers Stock History'!F1308/'Peers Stock History'!F$1833*100</f>
        <v>120.67669172932331</v>
      </c>
      <c r="F1305" s="871">
        <f>'Peers Stock History'!G1308/'Peers Stock History'!G$1833*100</f>
        <v>128.44771757865198</v>
      </c>
      <c r="G1305" s="871">
        <f>'Peers Stock History'!H1308/'Peers Stock History'!H$1833*100</f>
        <v>109.69949997572697</v>
      </c>
      <c r="H1305" s="871">
        <f>'Peers Stock History'!I1308/'Peers Stock History'!I$1833*100</f>
        <v>231.92875760208517</v>
      </c>
      <c r="I1305" s="871">
        <f>'Peers Stock History'!J1308/'Peers Stock History'!J$1833*100</f>
        <v>121.14802596573375</v>
      </c>
      <c r="J1305" s="871">
        <f>'Peers Stock History'!K1308/'Peers Stock History'!K$1833*100</f>
        <v>136.30588166558982</v>
      </c>
    </row>
    <row r="1306" spans="2:10">
      <c r="B1306" s="873">
        <v>43305</v>
      </c>
      <c r="C1306" s="871">
        <f>'Peers Stock History'!D1309/'Peers Stock History'!D$1833*100</f>
        <v>144.74341192787796</v>
      </c>
      <c r="D1306" s="871">
        <f>'Peers Stock History'!E1309/'Peers Stock History'!E$1833*100</f>
        <v>228.17431192660553</v>
      </c>
      <c r="E1306" s="871">
        <f>'Peers Stock History'!F1309/'Peers Stock History'!F$1833*100</f>
        <v>121.72932330827069</v>
      </c>
      <c r="F1306" s="871">
        <f>'Peers Stock History'!G1309/'Peers Stock History'!G$1833*100</f>
        <v>128.08815564721087</v>
      </c>
      <c r="G1306" s="871">
        <f>'Peers Stock History'!H1309/'Peers Stock History'!H$1833*100</f>
        <v>105.50997621243749</v>
      </c>
      <c r="H1306" s="871">
        <f>'Peers Stock History'!I1309/'Peers Stock History'!I$1833*100</f>
        <v>230.97306689834926</v>
      </c>
      <c r="I1306" s="871">
        <f>'Peers Stock History'!J1309/'Peers Stock History'!J$1833*100</f>
        <v>120.0553368096201</v>
      </c>
      <c r="J1306" s="871">
        <f>'Peers Stock History'!K1309/'Peers Stock History'!K$1833*100</f>
        <v>134.73406375871221</v>
      </c>
    </row>
    <row r="1307" spans="2:10">
      <c r="B1307" s="873">
        <v>43304</v>
      </c>
      <c r="C1307" s="871">
        <f>'Peers Stock History'!D1310/'Peers Stock History'!D$1833*100</f>
        <v>145.10402219140087</v>
      </c>
      <c r="D1307" s="871">
        <f>'Peers Stock History'!E1310/'Peers Stock History'!E$1833*100</f>
        <v>228.81651376146789</v>
      </c>
      <c r="E1307" s="871">
        <f>'Peers Stock History'!F1310/'Peers Stock History'!F$1833*100</f>
        <v>125.26315789473684</v>
      </c>
      <c r="F1307" s="871">
        <f>'Peers Stock History'!G1310/'Peers Stock History'!G$1833*100</f>
        <v>128.05050234825518</v>
      </c>
      <c r="G1307" s="871">
        <f>'Peers Stock History'!H1310/'Peers Stock History'!H$1833*100</f>
        <v>105.20899072770521</v>
      </c>
      <c r="H1307" s="871">
        <f>'Peers Stock History'!I1310/'Peers Stock History'!I$1833*100</f>
        <v>235.83840139009556</v>
      </c>
      <c r="I1307" s="871">
        <f>'Peers Stock History'!J1310/'Peers Stock History'!J$1833*100</f>
        <v>119.48409066723423</v>
      </c>
      <c r="J1307" s="871">
        <f>'Peers Stock History'!K1310/'Peers Stock History'!K$1833*100</f>
        <v>134.75305184003957</v>
      </c>
    </row>
    <row r="1308" spans="2:10">
      <c r="B1308" s="873">
        <v>43303</v>
      </c>
      <c r="C1308" s="871">
        <f>'Peers Stock History'!D1311/'Peers Stock History'!D$1833*100</f>
        <v>143.99445214979195</v>
      </c>
      <c r="D1308" s="871">
        <f>'Peers Stock History'!E1311/'Peers Stock History'!E$1833*100</f>
        <v>230.1743119266055</v>
      </c>
      <c r="E1308" s="871">
        <f>'Peers Stock History'!F1311/'Peers Stock History'!F$1833*100</f>
        <v>124.06015037593986</v>
      </c>
      <c r="F1308" s="871">
        <f>'Peers Stock History'!G1311/'Peers Stock History'!G$1833*100</f>
        <v>126.29810378257579</v>
      </c>
      <c r="G1308" s="871">
        <f>'Peers Stock History'!H1311/'Peers Stock History'!H$1833*100</f>
        <v>102.10689839312587</v>
      </c>
      <c r="H1308" s="871">
        <f>'Peers Stock History'!I1311/'Peers Stock History'!I$1833*100</f>
        <v>239.00955690703736</v>
      </c>
      <c r="I1308" s="871">
        <f>'Peers Stock History'!J1311/'Peers Stock History'!J$1833*100</f>
        <v>119.2648717675854</v>
      </c>
      <c r="J1308" s="871">
        <f>'Peers Stock History'!K1311/'Peers Stock History'!K$1833*100</f>
        <v>134.38059332169422</v>
      </c>
    </row>
    <row r="1309" spans="2:10">
      <c r="B1309" s="873">
        <v>43302</v>
      </c>
      <c r="C1309" s="871">
        <f>'Peers Stock History'!D1312/'Peers Stock History'!D$1833*100</f>
        <v>143.99445214979195</v>
      </c>
      <c r="D1309" s="871">
        <f>'Peers Stock History'!E1312/'Peers Stock History'!E$1833*100</f>
        <v>230.1743119266055</v>
      </c>
      <c r="E1309" s="871">
        <f>'Peers Stock History'!F1312/'Peers Stock History'!F$1833*100</f>
        <v>124.06015037593986</v>
      </c>
      <c r="F1309" s="871">
        <f>'Peers Stock History'!G1312/'Peers Stock History'!G$1833*100</f>
        <v>126.29810378257579</v>
      </c>
      <c r="G1309" s="871">
        <f>'Peers Stock History'!H1312/'Peers Stock History'!H$1833*100</f>
        <v>102.10689839312587</v>
      </c>
      <c r="H1309" s="871">
        <f>'Peers Stock History'!I1312/'Peers Stock History'!I$1833*100</f>
        <v>239.00955690703736</v>
      </c>
      <c r="I1309" s="871">
        <f>'Peers Stock History'!J1312/'Peers Stock History'!J$1833*100</f>
        <v>119.2648717675854</v>
      </c>
      <c r="J1309" s="871">
        <f>'Peers Stock History'!K1312/'Peers Stock History'!K$1833*100</f>
        <v>134.38059332169422</v>
      </c>
    </row>
    <row r="1310" spans="2:10">
      <c r="B1310" s="873">
        <v>43301</v>
      </c>
      <c r="C1310" s="871">
        <f>'Peers Stock History'!D1313/'Peers Stock History'!D$1833*100</f>
        <v>143.99445214979195</v>
      </c>
      <c r="D1310" s="871">
        <f>'Peers Stock History'!E1313/'Peers Stock History'!E$1833*100</f>
        <v>230.1743119266055</v>
      </c>
      <c r="E1310" s="871">
        <f>'Peers Stock History'!F1313/'Peers Stock History'!F$1833*100</f>
        <v>124.06015037593986</v>
      </c>
      <c r="F1310" s="871">
        <f>'Peers Stock History'!G1313/'Peers Stock History'!G$1833*100</f>
        <v>126.29810378257579</v>
      </c>
      <c r="G1310" s="871">
        <f>'Peers Stock History'!H1313/'Peers Stock History'!H$1833*100</f>
        <v>102.10689839312587</v>
      </c>
      <c r="H1310" s="871">
        <f>'Peers Stock History'!I1313/'Peers Stock History'!I$1833*100</f>
        <v>239.00955690703736</v>
      </c>
      <c r="I1310" s="871">
        <f>'Peers Stock History'!J1313/'Peers Stock History'!J$1833*100</f>
        <v>119.2648717675854</v>
      </c>
      <c r="J1310" s="871">
        <f>'Peers Stock History'!K1313/'Peers Stock History'!K$1833*100</f>
        <v>134.38059332169422</v>
      </c>
    </row>
    <row r="1311" spans="2:10">
      <c r="B1311" s="873">
        <v>43300</v>
      </c>
      <c r="C1311" s="871">
        <f>'Peers Stock History'!D1314/'Peers Stock History'!D$1833*100</f>
        <v>144.18862690707351</v>
      </c>
      <c r="D1311" s="871">
        <f>'Peers Stock History'!E1314/'Peers Stock History'!E$1833*100</f>
        <v>231.22018348623854</v>
      </c>
      <c r="E1311" s="871">
        <f>'Peers Stock History'!F1314/'Peers Stock History'!F$1833*100</f>
        <v>125.63909774436091</v>
      </c>
      <c r="F1311" s="871">
        <f>'Peers Stock History'!G1314/'Peers Stock History'!G$1833*100</f>
        <v>119.04636860629945</v>
      </c>
      <c r="G1311" s="871">
        <f>'Peers Stock History'!H1314/'Peers Stock History'!H$1833*100</f>
        <v>102.12631681149571</v>
      </c>
      <c r="H1311" s="871">
        <f>'Peers Stock History'!I1314/'Peers Stock History'!I$1833*100</f>
        <v>244.22241529105128</v>
      </c>
      <c r="I1311" s="871">
        <f>'Peers Stock History'!J1314/'Peers Stock History'!J$1833*100</f>
        <v>119.37809939342343</v>
      </c>
      <c r="J1311" s="871">
        <f>'Peers Stock History'!K1314/'Peers Stock History'!K$1833*100</f>
        <v>134.4681962525604</v>
      </c>
    </row>
    <row r="1312" spans="2:10">
      <c r="B1312" s="873">
        <v>43299</v>
      </c>
      <c r="C1312" s="871">
        <f>'Peers Stock History'!D1315/'Peers Stock History'!D$1833*100</f>
        <v>143.46740638002774</v>
      </c>
      <c r="D1312" s="871">
        <f>'Peers Stock History'!E1315/'Peers Stock History'!E$1833*100</f>
        <v>230.91743119266056</v>
      </c>
      <c r="E1312" s="871">
        <f>'Peers Stock History'!F1315/'Peers Stock History'!F$1833*100</f>
        <v>126.69172932330828</v>
      </c>
      <c r="F1312" s="871">
        <f>'Peers Stock History'!G1315/'Peers Stock History'!G$1833*100</f>
        <v>118.59502602604475</v>
      </c>
      <c r="G1312" s="871">
        <f>'Peers Stock History'!H1315/'Peers Stock History'!H$1833*100</f>
        <v>101.35443468129522</v>
      </c>
      <c r="H1312" s="871">
        <f>'Peers Stock History'!I1315/'Peers Stock History'!I$1833*100</f>
        <v>249.56559513466553</v>
      </c>
      <c r="I1312" s="871">
        <f>'Peers Stock History'!J1315/'Peers Stock History'!J$1833*100</f>
        <v>119.85186761732467</v>
      </c>
      <c r="J1312" s="871">
        <f>'Peers Stock History'!K1315/'Peers Stock History'!K$1833*100</f>
        <v>134.96906918878796</v>
      </c>
    </row>
    <row r="1313" spans="2:10">
      <c r="B1313" s="873">
        <v>43298</v>
      </c>
      <c r="C1313" s="871">
        <f>'Peers Stock History'!D1316/'Peers Stock History'!D$1833*100</f>
        <v>143.5506241331484</v>
      </c>
      <c r="D1313" s="871">
        <f>'Peers Stock History'!E1316/'Peers Stock History'!E$1833*100</f>
        <v>232.74311926605503</v>
      </c>
      <c r="E1313" s="871">
        <f>'Peers Stock History'!F1316/'Peers Stock History'!F$1833*100</f>
        <v>126.84210526315789</v>
      </c>
      <c r="F1313" s="871">
        <f>'Peers Stock History'!G1316/'Peers Stock History'!G$1833*100</f>
        <v>118.00949341479266</v>
      </c>
      <c r="G1313" s="871">
        <f>'Peers Stock History'!H1316/'Peers Stock History'!H$1833*100</f>
        <v>101.12626826544977</v>
      </c>
      <c r="H1313" s="871">
        <f>'Peers Stock History'!I1316/'Peers Stock History'!I$1833*100</f>
        <v>247.43701129452651</v>
      </c>
      <c r="I1313" s="871">
        <f>'Peers Stock History'!J1316/'Peers Stock History'!J$1833*100</f>
        <v>119.59348728317549</v>
      </c>
      <c r="J1313" s="871">
        <f>'Peers Stock History'!K1316/'Peers Stock History'!K$1833*100</f>
        <v>134.98065105920847</v>
      </c>
    </row>
    <row r="1314" spans="2:10">
      <c r="B1314" s="873">
        <v>43297</v>
      </c>
      <c r="C1314" s="871">
        <f>'Peers Stock History'!D1317/'Peers Stock History'!D$1833*100</f>
        <v>144.27184466019418</v>
      </c>
      <c r="D1314" s="871">
        <f>'Peers Stock History'!E1317/'Peers Stock History'!E$1833*100</f>
        <v>227.70642201834863</v>
      </c>
      <c r="E1314" s="871">
        <f>'Peers Stock History'!F1317/'Peers Stock History'!F$1833*100</f>
        <v>124.66165413533832</v>
      </c>
      <c r="F1314" s="871">
        <f>'Peers Stock History'!G1317/'Peers Stock History'!G$1833*100</f>
        <v>119.09454448271278</v>
      </c>
      <c r="G1314" s="871">
        <f>'Peers Stock History'!H1317/'Peers Stock History'!H$1833*100</f>
        <v>98.669838341667074</v>
      </c>
      <c r="H1314" s="871">
        <f>'Peers Stock History'!I1317/'Peers Stock History'!I$1833*100</f>
        <v>243.91833188531712</v>
      </c>
      <c r="I1314" s="871">
        <f>'Peers Stock History'!J1317/'Peers Stock History'!J$1833*100</f>
        <v>119.12014472704054</v>
      </c>
      <c r="J1314" s="871">
        <f>'Peers Stock History'!K1317/'Peers Stock History'!K$1833*100</f>
        <v>134.13178931306106</v>
      </c>
    </row>
    <row r="1315" spans="2:10">
      <c r="B1315" s="873">
        <v>43296</v>
      </c>
      <c r="C1315" s="871">
        <f>'Peers Stock History'!D1318/'Peers Stock History'!D$1833*100</f>
        <v>144.85436893203885</v>
      </c>
      <c r="D1315" s="871">
        <f>'Peers Stock History'!E1318/'Peers Stock History'!E$1833*100</f>
        <v>228.73394495412845</v>
      </c>
      <c r="E1315" s="871">
        <f>'Peers Stock History'!F1318/'Peers Stock History'!F$1833*100</f>
        <v>122.33082706766916</v>
      </c>
      <c r="F1315" s="871">
        <f>'Peers Stock History'!G1318/'Peers Stock History'!G$1833*100</f>
        <v>119.4786838230534</v>
      </c>
      <c r="G1315" s="871">
        <f>'Peers Stock History'!H1318/'Peers Stock History'!H$1833*100</f>
        <v>98.286324578863045</v>
      </c>
      <c r="H1315" s="871">
        <f>'Peers Stock History'!I1318/'Peers Stock History'!I$1833*100</f>
        <v>244.78714161598609</v>
      </c>
      <c r="I1315" s="871">
        <f>'Peers Stock History'!J1318/'Peers Stock History'!J$1833*100</f>
        <v>119.24273704373735</v>
      </c>
      <c r="J1315" s="871">
        <f>'Peers Stock History'!K1318/'Peers Stock History'!K$1833*100</f>
        <v>134.47988122568495</v>
      </c>
    </row>
    <row r="1316" spans="2:10">
      <c r="B1316" s="873">
        <v>43295</v>
      </c>
      <c r="C1316" s="871">
        <f>'Peers Stock History'!D1319/'Peers Stock History'!D$1833*100</f>
        <v>144.85436893203885</v>
      </c>
      <c r="D1316" s="871">
        <f>'Peers Stock History'!E1319/'Peers Stock History'!E$1833*100</f>
        <v>228.73394495412845</v>
      </c>
      <c r="E1316" s="871">
        <f>'Peers Stock History'!F1319/'Peers Stock History'!F$1833*100</f>
        <v>122.33082706766916</v>
      </c>
      <c r="F1316" s="871">
        <f>'Peers Stock History'!G1319/'Peers Stock History'!G$1833*100</f>
        <v>119.4786838230534</v>
      </c>
      <c r="G1316" s="871">
        <f>'Peers Stock History'!H1319/'Peers Stock History'!H$1833*100</f>
        <v>98.286324578863045</v>
      </c>
      <c r="H1316" s="871">
        <f>'Peers Stock History'!I1319/'Peers Stock History'!I$1833*100</f>
        <v>244.78714161598609</v>
      </c>
      <c r="I1316" s="871">
        <f>'Peers Stock History'!J1319/'Peers Stock History'!J$1833*100</f>
        <v>119.24273704373735</v>
      </c>
      <c r="J1316" s="871">
        <f>'Peers Stock History'!K1319/'Peers Stock History'!K$1833*100</f>
        <v>134.47988122568495</v>
      </c>
    </row>
    <row r="1317" spans="2:10">
      <c r="B1317" s="873">
        <v>43294</v>
      </c>
      <c r="C1317" s="871">
        <f>'Peers Stock History'!D1320/'Peers Stock History'!D$1833*100</f>
        <v>144.85436893203885</v>
      </c>
      <c r="D1317" s="871">
        <f>'Peers Stock History'!E1320/'Peers Stock History'!E$1833*100</f>
        <v>228.73394495412845</v>
      </c>
      <c r="E1317" s="871">
        <f>'Peers Stock History'!F1320/'Peers Stock History'!F$1833*100</f>
        <v>122.33082706766916</v>
      </c>
      <c r="F1317" s="871">
        <f>'Peers Stock History'!G1320/'Peers Stock History'!G$1833*100</f>
        <v>119.4786838230534</v>
      </c>
      <c r="G1317" s="871">
        <f>'Peers Stock History'!H1320/'Peers Stock History'!H$1833*100</f>
        <v>98.286324578863045</v>
      </c>
      <c r="H1317" s="871">
        <f>'Peers Stock History'!I1320/'Peers Stock History'!I$1833*100</f>
        <v>244.78714161598609</v>
      </c>
      <c r="I1317" s="871">
        <f>'Peers Stock History'!J1320/'Peers Stock History'!J$1833*100</f>
        <v>119.24273704373735</v>
      </c>
      <c r="J1317" s="871">
        <f>'Peers Stock History'!K1320/'Peers Stock History'!K$1833*100</f>
        <v>134.47988122568495</v>
      </c>
    </row>
    <row r="1318" spans="2:10">
      <c r="B1318" s="873">
        <v>43293</v>
      </c>
      <c r="C1318" s="871">
        <f>'Peers Stock History'!D1321/'Peers Stock History'!D$1833*100</f>
        <v>145.21497919556174</v>
      </c>
      <c r="D1318" s="871">
        <f>'Peers Stock History'!E1321/'Peers Stock History'!E$1833*100</f>
        <v>230.48623853211006</v>
      </c>
      <c r="E1318" s="871">
        <f>'Peers Stock History'!F1321/'Peers Stock History'!F$1833*100</f>
        <v>124.5112781954887</v>
      </c>
      <c r="F1318" s="871">
        <f>'Peers Stock History'!G1321/'Peers Stock History'!G$1833*100</f>
        <v>117.60768112615713</v>
      </c>
      <c r="G1318" s="871">
        <f>'Peers Stock History'!H1321/'Peers Stock History'!H$1833*100</f>
        <v>101.93698723238991</v>
      </c>
      <c r="H1318" s="871">
        <f>'Peers Stock History'!I1321/'Peers Stock History'!I$1833*100</f>
        <v>240.8774978279757</v>
      </c>
      <c r="I1318" s="871">
        <f>'Peers Stock History'!J1321/'Peers Stock History'!J$1833*100</f>
        <v>119.11418537831221</v>
      </c>
      <c r="J1318" s="871">
        <f>'Peers Stock History'!K1321/'Peers Stock History'!K$1833*100</f>
        <v>134.44448263063114</v>
      </c>
    </row>
    <row r="1319" spans="2:10">
      <c r="B1319" s="873">
        <v>43292</v>
      </c>
      <c r="C1319" s="871">
        <f>'Peers Stock History'!D1322/'Peers Stock History'!D$1833*100</f>
        <v>142.02496532593622</v>
      </c>
      <c r="D1319" s="871">
        <f>'Peers Stock History'!E1322/'Peers Stock History'!E$1833*100</f>
        <v>227.09174311926606</v>
      </c>
      <c r="E1319" s="871">
        <f>'Peers Stock History'!F1322/'Peers Stock History'!F$1833*100</f>
        <v>122.33082706766916</v>
      </c>
      <c r="F1319" s="871">
        <f>'Peers Stock History'!G1322/'Peers Stock History'!G$1833*100</f>
        <v>116.77052560633867</v>
      </c>
      <c r="G1319" s="871">
        <f>'Peers Stock History'!H1322/'Peers Stock History'!H$1833*100</f>
        <v>118.1804941987475</v>
      </c>
      <c r="H1319" s="871">
        <f>'Peers Stock History'!I1322/'Peers Stock History'!I$1833*100</f>
        <v>235.36055603822766</v>
      </c>
      <c r="I1319" s="871">
        <f>'Peers Stock History'!J1322/'Peers Stock History'!J$1833*100</f>
        <v>118.08108970948174</v>
      </c>
      <c r="J1319" s="871">
        <f>'Peers Stock History'!K1322/'Peers Stock History'!K$1833*100</f>
        <v>132.60057668779129</v>
      </c>
    </row>
    <row r="1320" spans="2:10">
      <c r="B1320" s="873">
        <v>43291</v>
      </c>
      <c r="C1320" s="871">
        <f>'Peers Stock History'!D1323/'Peers Stock History'!D$1833*100</f>
        <v>144.6879334257975</v>
      </c>
      <c r="D1320" s="871">
        <f>'Peers Stock History'!E1323/'Peers Stock History'!E$1833*100</f>
        <v>232.33944954128441</v>
      </c>
      <c r="E1320" s="871">
        <f>'Peers Stock History'!F1323/'Peers Stock History'!F$1833*100</f>
        <v>124.4360902255639</v>
      </c>
      <c r="F1320" s="871">
        <f>'Peers Stock History'!G1323/'Peers Stock History'!G$1833*100</f>
        <v>119.00864921131853</v>
      </c>
      <c r="G1320" s="871">
        <f>'Peers Stock History'!H1323/'Peers Stock History'!H$1833*100</f>
        <v>121.63697266857613</v>
      </c>
      <c r="H1320" s="871">
        <f>'Peers Stock History'!I1323/'Peers Stock History'!I$1833*100</f>
        <v>242.13727193744572</v>
      </c>
      <c r="I1320" s="871">
        <f>'Peers Stock History'!J1323/'Peers Stock History'!J$1833*100</f>
        <v>118.924763222305</v>
      </c>
      <c r="J1320" s="871">
        <f>'Peers Stock History'!K1323/'Peers Stock History'!K$1833*100</f>
        <v>133.33238249728498</v>
      </c>
    </row>
    <row r="1321" spans="2:10">
      <c r="B1321" s="873">
        <v>43290</v>
      </c>
      <c r="C1321" s="871">
        <f>'Peers Stock History'!D1324/'Peers Stock History'!D$1833*100</f>
        <v>143.85575589459086</v>
      </c>
      <c r="D1321" s="871">
        <f>'Peers Stock History'!E1324/'Peers Stock History'!E$1833*100</f>
        <v>228.66972477064218</v>
      </c>
      <c r="E1321" s="871">
        <f>'Peers Stock History'!F1324/'Peers Stock History'!F$1833*100</f>
        <v>124.88721804511277</v>
      </c>
      <c r="F1321" s="871">
        <f>'Peers Stock History'!G1324/'Peers Stock History'!G$1833*100</f>
        <v>118.88949293674278</v>
      </c>
      <c r="G1321" s="871">
        <f>'Peers Stock History'!H1324/'Peers Stock History'!H$1833*100</f>
        <v>120.11748143113743</v>
      </c>
      <c r="H1321" s="871">
        <f>'Peers Stock History'!I1324/'Peers Stock History'!I$1833*100</f>
        <v>235.92528236316247</v>
      </c>
      <c r="I1321" s="871">
        <f>'Peers Stock History'!J1324/'Peers Stock History'!J$1833*100</f>
        <v>118.51314249228477</v>
      </c>
      <c r="J1321" s="871">
        <f>'Peers Stock History'!K1324/'Peers Stock History'!K$1833*100</f>
        <v>133.28088269661686</v>
      </c>
    </row>
    <row r="1322" spans="2:10">
      <c r="B1322" s="873">
        <v>43289</v>
      </c>
      <c r="C1322" s="871">
        <f>'Peers Stock History'!D1325/'Peers Stock History'!D$1833*100</f>
        <v>142.49653259361997</v>
      </c>
      <c r="D1322" s="871">
        <f>'Peers Stock History'!E1325/'Peers Stock History'!E$1833*100</f>
        <v>226.90825688073394</v>
      </c>
      <c r="E1322" s="871">
        <f>'Peers Stock History'!F1325/'Peers Stock History'!F$1833*100</f>
        <v>123.00751879699247</v>
      </c>
      <c r="F1322" s="871">
        <f>'Peers Stock History'!G1325/'Peers Stock History'!G$1833*100</f>
        <v>116.01095969112274</v>
      </c>
      <c r="G1322" s="871">
        <f>'Peers Stock History'!H1325/'Peers Stock History'!H$1833*100</f>
        <v>120.23884654594883</v>
      </c>
      <c r="H1322" s="871">
        <f>'Peers Stock History'!I1325/'Peers Stock History'!I$1833*100</f>
        <v>231.23370981754996</v>
      </c>
      <c r="I1322" s="871">
        <f>'Peers Stock History'!J1325/'Peers Stock History'!J$1833*100</f>
        <v>117.47664148132384</v>
      </c>
      <c r="J1322" s="871">
        <f>'Peers Stock History'!K1325/'Peers Stock History'!K$1833*100</f>
        <v>132.11558156798594</v>
      </c>
    </row>
    <row r="1323" spans="2:10">
      <c r="B1323" s="873">
        <v>43288</v>
      </c>
      <c r="C1323" s="871">
        <f>'Peers Stock History'!D1326/'Peers Stock History'!D$1833*100</f>
        <v>142.49653259361997</v>
      </c>
      <c r="D1323" s="871">
        <f>'Peers Stock History'!E1326/'Peers Stock History'!E$1833*100</f>
        <v>226.90825688073394</v>
      </c>
      <c r="E1323" s="871">
        <f>'Peers Stock History'!F1326/'Peers Stock History'!F$1833*100</f>
        <v>123.00751879699247</v>
      </c>
      <c r="F1323" s="871">
        <f>'Peers Stock History'!G1326/'Peers Stock History'!G$1833*100</f>
        <v>116.01095969112274</v>
      </c>
      <c r="G1323" s="871">
        <f>'Peers Stock History'!H1326/'Peers Stock History'!H$1833*100</f>
        <v>120.23884654594883</v>
      </c>
      <c r="H1323" s="871">
        <f>'Peers Stock History'!I1326/'Peers Stock History'!I$1833*100</f>
        <v>231.23370981754996</v>
      </c>
      <c r="I1323" s="871">
        <f>'Peers Stock History'!J1326/'Peers Stock History'!J$1833*100</f>
        <v>117.47664148132384</v>
      </c>
      <c r="J1323" s="871">
        <f>'Peers Stock History'!K1326/'Peers Stock History'!K$1833*100</f>
        <v>132.11558156798594</v>
      </c>
    </row>
    <row r="1324" spans="2:10">
      <c r="B1324" s="873">
        <v>43287</v>
      </c>
      <c r="C1324" s="871">
        <f>'Peers Stock History'!D1327/'Peers Stock History'!D$1833*100</f>
        <v>142.49653259361997</v>
      </c>
      <c r="D1324" s="871">
        <f>'Peers Stock History'!E1327/'Peers Stock History'!E$1833*100</f>
        <v>226.90825688073394</v>
      </c>
      <c r="E1324" s="871">
        <f>'Peers Stock History'!F1327/'Peers Stock History'!F$1833*100</f>
        <v>123.00751879699247</v>
      </c>
      <c r="F1324" s="871">
        <f>'Peers Stock History'!G1327/'Peers Stock History'!G$1833*100</f>
        <v>116.01095969112274</v>
      </c>
      <c r="G1324" s="871">
        <f>'Peers Stock History'!H1327/'Peers Stock History'!H$1833*100</f>
        <v>120.23884654594883</v>
      </c>
      <c r="H1324" s="871">
        <f>'Peers Stock History'!I1327/'Peers Stock History'!I$1833*100</f>
        <v>231.23370981754996</v>
      </c>
      <c r="I1324" s="871">
        <f>'Peers Stock History'!J1327/'Peers Stock History'!J$1833*100</f>
        <v>117.47664148132384</v>
      </c>
      <c r="J1324" s="871">
        <f>'Peers Stock History'!K1327/'Peers Stock History'!K$1833*100</f>
        <v>132.11558156798594</v>
      </c>
    </row>
    <row r="1325" spans="2:10">
      <c r="B1325" s="873">
        <v>43286</v>
      </c>
      <c r="C1325" s="871">
        <f>'Peers Stock History'!D1328/'Peers Stock History'!D$1833*100</f>
        <v>140.77669902912621</v>
      </c>
      <c r="D1325" s="871">
        <f>'Peers Stock History'!E1328/'Peers Stock History'!E$1833*100</f>
        <v>222.6880733944954</v>
      </c>
      <c r="E1325" s="871">
        <f>'Peers Stock History'!F1328/'Peers Stock History'!F$1833*100</f>
        <v>116.54135338345864</v>
      </c>
      <c r="F1325" s="871">
        <f>'Peers Stock History'!G1328/'Peers Stock History'!G$1833*100</f>
        <v>114.31376923284935</v>
      </c>
      <c r="G1325" s="871">
        <f>'Peers Stock History'!H1328/'Peers Stock History'!H$1833*100</f>
        <v>119.13199669886887</v>
      </c>
      <c r="H1325" s="871">
        <f>'Peers Stock History'!I1328/'Peers Stock History'!I$1833*100</f>
        <v>229.53953084274548</v>
      </c>
      <c r="I1325" s="871">
        <f>'Peers Stock History'!J1328/'Peers Stock History'!J$1833*100</f>
        <v>116.48866659572204</v>
      </c>
      <c r="J1325" s="871">
        <f>'Peers Stock History'!K1328/'Peers Stock History'!K$1833*100</f>
        <v>130.36352295066192</v>
      </c>
    </row>
    <row r="1326" spans="2:10">
      <c r="B1326" s="873">
        <v>43285</v>
      </c>
      <c r="C1326" s="871">
        <f>'Peers Stock History'!D1329/'Peers Stock History'!D$1833*100</f>
        <v>137.22607489597783</v>
      </c>
      <c r="D1326" s="871">
        <f>'Peers Stock History'!E1329/'Peers Stock History'!E$1833*100</f>
        <v>217.28440366972478</v>
      </c>
      <c r="E1326" s="871">
        <f>'Peers Stock History'!F1329/'Peers Stock History'!F$1833*100</f>
        <v>112.78195488721805</v>
      </c>
      <c r="F1326" s="871">
        <f>'Peers Stock History'!G1329/'Peers Stock History'!G$1833*100</f>
        <v>115.21885774246743</v>
      </c>
      <c r="G1326" s="871">
        <f>'Peers Stock History'!H1329/'Peers Stock History'!H$1833*100</f>
        <v>116.16583329287829</v>
      </c>
      <c r="H1326" s="871">
        <f>'Peers Stock History'!I1329/'Peers Stock History'!I$1833*100</f>
        <v>223.63162467419633</v>
      </c>
      <c r="I1326" s="871">
        <f>'Peers Stock History'!J1329/'Peers Stock History'!J$1833*100</f>
        <v>115.49302969032669</v>
      </c>
      <c r="J1326" s="871">
        <f>'Peers Stock History'!K1329/'Peers Stock History'!K$1833*100</f>
        <v>128.92432948874807</v>
      </c>
    </row>
    <row r="1327" spans="2:10">
      <c r="B1327" s="873">
        <v>43284</v>
      </c>
      <c r="C1327" s="871">
        <f>'Peers Stock History'!D1330/'Peers Stock History'!D$1833*100</f>
        <v>137.22607489597783</v>
      </c>
      <c r="D1327" s="871">
        <f>'Peers Stock History'!E1330/'Peers Stock History'!E$1833*100</f>
        <v>217.28440366972478</v>
      </c>
      <c r="E1327" s="871">
        <f>'Peers Stock History'!F1330/'Peers Stock History'!F$1833*100</f>
        <v>112.78195488721805</v>
      </c>
      <c r="F1327" s="871">
        <f>'Peers Stock History'!G1330/'Peers Stock History'!G$1833*100</f>
        <v>114.2351773469797</v>
      </c>
      <c r="G1327" s="871">
        <f>'Peers Stock History'!H1330/'Peers Stock History'!H$1833*100</f>
        <v>116.16583329287829</v>
      </c>
      <c r="H1327" s="871">
        <f>'Peers Stock History'!I1330/'Peers Stock History'!I$1833*100</f>
        <v>223.63162467419633</v>
      </c>
      <c r="I1327" s="871">
        <f>'Peers Stock History'!J1330/'Peers Stock History'!J$1833*100</f>
        <v>115.49302969032669</v>
      </c>
      <c r="J1327" s="871">
        <f>'Peers Stock History'!K1330/'Peers Stock History'!K$1833*100</f>
        <v>128.92432948874807</v>
      </c>
    </row>
    <row r="1328" spans="2:10">
      <c r="B1328" s="873">
        <v>43283</v>
      </c>
      <c r="C1328" s="871">
        <f>'Peers Stock History'!D1331/'Peers Stock History'!D$1833*100</f>
        <v>139.25104022191402</v>
      </c>
      <c r="D1328" s="871">
        <f>'Peers Stock History'!E1331/'Peers Stock History'!E$1833*100</f>
        <v>222.23853211009174</v>
      </c>
      <c r="E1328" s="871">
        <f>'Peers Stock History'!F1331/'Peers Stock History'!F$1833*100</f>
        <v>113.98496240601503</v>
      </c>
      <c r="F1328" s="871">
        <f>'Peers Stock History'!G1331/'Peers Stock History'!G$1833*100</f>
        <v>114.02862505093168</v>
      </c>
      <c r="G1328" s="871">
        <f>'Peers Stock History'!H1331/'Peers Stock History'!H$1833*100</f>
        <v>117.50570416039614</v>
      </c>
      <c r="H1328" s="871">
        <f>'Peers Stock History'!I1331/'Peers Stock History'!I$1833*100</f>
        <v>236.66377063423107</v>
      </c>
      <c r="I1328" s="871">
        <f>'Peers Stock History'!J1331/'Peers Stock History'!J$1833*100</f>
        <v>116.06725550707672</v>
      </c>
      <c r="J1328" s="871">
        <f>'Peers Stock History'!K1331/'Peers Stock History'!K$1833*100</f>
        <v>130.04149883837621</v>
      </c>
    </row>
    <row r="1329" spans="2:10">
      <c r="B1329" s="873">
        <v>43282</v>
      </c>
      <c r="C1329" s="871">
        <f>'Peers Stock History'!D1332/'Peers Stock History'!D$1833*100</f>
        <v>137.89181692094314</v>
      </c>
      <c r="D1329" s="871">
        <f>'Peers Stock History'!E1332/'Peers Stock History'!E$1833*100</f>
        <v>217.33944954128441</v>
      </c>
      <c r="E1329" s="871">
        <f>'Peers Stock History'!F1332/'Peers Stock History'!F$1833*100</f>
        <v>112.70676691729322</v>
      </c>
      <c r="F1329" s="871">
        <f>'Peers Stock History'!G1332/'Peers Stock History'!G$1833*100</f>
        <v>115.60687643112801</v>
      </c>
      <c r="G1329" s="871">
        <f>'Peers Stock History'!H1332/'Peers Stock History'!H$1833*100</f>
        <v>117.79212583135103</v>
      </c>
      <c r="H1329" s="871">
        <f>'Peers Stock History'!I1332/'Peers Stock History'!I$1833*100</f>
        <v>227.80191138140745</v>
      </c>
      <c r="I1329" s="871">
        <f>'Peers Stock History'!J1332/'Peers Stock History'!J$1833*100</f>
        <v>115.71224858997553</v>
      </c>
      <c r="J1329" s="871">
        <f>'Peers Stock History'!K1332/'Peers Stock History'!K$1833*100</f>
        <v>129.05544176071925</v>
      </c>
    </row>
    <row r="1330" spans="2:10">
      <c r="B1330" s="873">
        <v>43281</v>
      </c>
      <c r="C1330" s="871">
        <f>'Peers Stock History'!D1333/'Peers Stock History'!D$1833*100</f>
        <v>137.89181692094314</v>
      </c>
      <c r="D1330" s="871">
        <f>'Peers Stock History'!E1333/'Peers Stock History'!E$1833*100</f>
        <v>217.33944954128441</v>
      </c>
      <c r="E1330" s="871">
        <f>'Peers Stock History'!F1333/'Peers Stock History'!F$1833*100</f>
        <v>112.70676691729322</v>
      </c>
      <c r="F1330" s="871">
        <f>'Peers Stock History'!G1333/'Peers Stock History'!G$1833*100</f>
        <v>115.60687643112801</v>
      </c>
      <c r="G1330" s="871">
        <f>'Peers Stock History'!H1333/'Peers Stock History'!H$1833*100</f>
        <v>117.79212583135103</v>
      </c>
      <c r="H1330" s="871">
        <f>'Peers Stock History'!I1333/'Peers Stock History'!I$1833*100</f>
        <v>227.80191138140745</v>
      </c>
      <c r="I1330" s="871">
        <f>'Peers Stock History'!J1333/'Peers Stock History'!J$1833*100</f>
        <v>115.71224858997553</v>
      </c>
      <c r="J1330" s="871">
        <f>'Peers Stock History'!K1333/'Peers Stock History'!K$1833*100</f>
        <v>129.05544176071925</v>
      </c>
    </row>
    <row r="1331" spans="2:10">
      <c r="B1331" s="873">
        <v>43280</v>
      </c>
      <c r="C1331" s="871">
        <f>'Peers Stock History'!D1334/'Peers Stock History'!D$1833*100</f>
        <v>137.89181692094314</v>
      </c>
      <c r="D1331" s="871">
        <f>'Peers Stock History'!E1334/'Peers Stock History'!E$1833*100</f>
        <v>217.33944954128441</v>
      </c>
      <c r="E1331" s="871">
        <f>'Peers Stock History'!F1334/'Peers Stock History'!F$1833*100</f>
        <v>112.70676691729322</v>
      </c>
      <c r="F1331" s="871">
        <f>'Peers Stock History'!G1334/'Peers Stock History'!G$1833*100</f>
        <v>115.60687643112801</v>
      </c>
      <c r="G1331" s="871">
        <f>'Peers Stock History'!H1334/'Peers Stock History'!H$1833*100</f>
        <v>117.79212583135103</v>
      </c>
      <c r="H1331" s="871">
        <f>'Peers Stock History'!I1334/'Peers Stock History'!I$1833*100</f>
        <v>227.80191138140745</v>
      </c>
      <c r="I1331" s="871">
        <f>'Peers Stock History'!J1334/'Peers Stock History'!J$1833*100</f>
        <v>115.71224858997553</v>
      </c>
      <c r="J1331" s="871">
        <f>'Peers Stock History'!K1334/'Peers Stock History'!K$1833*100</f>
        <v>129.05544176071925</v>
      </c>
    </row>
    <row r="1332" spans="2:10">
      <c r="B1332" s="873">
        <v>43279</v>
      </c>
      <c r="C1332" s="871">
        <f>'Peers Stock History'!D1335/'Peers Stock History'!D$1833*100</f>
        <v>136.61581137309292</v>
      </c>
      <c r="D1332" s="871">
        <f>'Peers Stock History'!E1335/'Peers Stock History'!E$1833*100</f>
        <v>220.97247706422021</v>
      </c>
      <c r="E1332" s="871">
        <f>'Peers Stock History'!F1335/'Peers Stock History'!F$1833*100</f>
        <v>115.11278195488721</v>
      </c>
      <c r="F1332" s="871">
        <f>'Peers Stock History'!G1335/'Peers Stock History'!G$1833*100</f>
        <v>112.86312025937642</v>
      </c>
      <c r="G1332" s="871">
        <f>'Peers Stock History'!H1335/'Peers Stock History'!H$1833*100</f>
        <v>118.88926646924607</v>
      </c>
      <c r="H1332" s="871">
        <f>'Peers Stock History'!I1335/'Peers Stock History'!I$1833*100</f>
        <v>230.84274543874895</v>
      </c>
      <c r="I1332" s="871">
        <f>'Peers Stock History'!J1335/'Peers Stock History'!J$1833*100</f>
        <v>115.624561030116</v>
      </c>
      <c r="J1332" s="871">
        <f>'Peers Stock History'!K1335/'Peers Stock History'!K$1833*100</f>
        <v>128.94166792681082</v>
      </c>
    </row>
    <row r="1333" spans="2:10">
      <c r="B1333" s="873">
        <v>43278</v>
      </c>
      <c r="C1333" s="871">
        <f>'Peers Stock History'!D1336/'Peers Stock History'!D$1833*100</f>
        <v>135.25658807212207</v>
      </c>
      <c r="D1333" s="871">
        <f>'Peers Stock History'!E1336/'Peers Stock History'!E$1833*100</f>
        <v>216.25688073394494</v>
      </c>
      <c r="E1333" s="871">
        <f>'Peers Stock History'!F1336/'Peers Stock History'!F$1833*100</f>
        <v>112.55639097744361</v>
      </c>
      <c r="F1333" s="871">
        <f>'Peers Stock History'!G1336/'Peers Stock History'!G$1833*100</f>
        <v>113.56273797688378</v>
      </c>
      <c r="G1333" s="871">
        <f>'Peers Stock History'!H1336/'Peers Stock History'!H$1833*100</f>
        <v>119.96213408417884</v>
      </c>
      <c r="H1333" s="871">
        <f>'Peers Stock History'!I1336/'Peers Stock History'!I$1833*100</f>
        <v>227.01998262380539</v>
      </c>
      <c r="I1333" s="871">
        <f>'Peers Stock History'!J1336/'Peers Stock History'!J$1833*100</f>
        <v>114.91454719591358</v>
      </c>
      <c r="J1333" s="871">
        <f>'Peers Stock History'!K1336/'Peers Stock History'!K$1833*100</f>
        <v>127.93473255158574</v>
      </c>
    </row>
    <row r="1334" spans="2:10">
      <c r="B1334" s="873">
        <v>43277</v>
      </c>
      <c r="C1334" s="871">
        <f>'Peers Stock History'!D1337/'Peers Stock History'!D$1833*100</f>
        <v>137.78085991678225</v>
      </c>
      <c r="D1334" s="871">
        <f>'Peers Stock History'!E1337/'Peers Stock History'!E$1833*100</f>
        <v>222.00917431192661</v>
      </c>
      <c r="E1334" s="871">
        <f>'Peers Stock History'!F1337/'Peers Stock History'!F$1833*100</f>
        <v>116.54135338345864</v>
      </c>
      <c r="F1334" s="871">
        <f>'Peers Stock History'!G1337/'Peers Stock History'!G$1833*100</f>
        <v>114.76494842992682</v>
      </c>
      <c r="G1334" s="871">
        <f>'Peers Stock History'!H1337/'Peers Stock History'!H$1833*100</f>
        <v>122.11272391863682</v>
      </c>
      <c r="H1334" s="871">
        <f>'Peers Stock History'!I1337/'Peers Stock History'!I$1833*100</f>
        <v>237.14161598609905</v>
      </c>
      <c r="I1334" s="871">
        <f>'Peers Stock History'!J1337/'Peers Stock History'!J$1833*100</f>
        <v>115.91188677237416</v>
      </c>
      <c r="J1334" s="871">
        <f>'Peers Stock History'!K1337/'Peers Stock History'!K$1833*100</f>
        <v>129.93736510729556</v>
      </c>
    </row>
    <row r="1335" spans="2:10">
      <c r="B1335" s="873">
        <v>43276</v>
      </c>
      <c r="C1335" s="871">
        <f>'Peers Stock History'!D1338/'Peers Stock History'!D$1833*100</f>
        <v>140.66574202496534</v>
      </c>
      <c r="D1335" s="871">
        <f>'Peers Stock History'!E1338/'Peers Stock History'!E$1833*100</f>
        <v>219.37614678899084</v>
      </c>
      <c r="E1335" s="871">
        <f>'Peers Stock History'!F1338/'Peers Stock History'!F$1833*100</f>
        <v>113.60902255639095</v>
      </c>
      <c r="F1335" s="871">
        <f>'Peers Stock History'!G1338/'Peers Stock History'!G$1833*100</f>
        <v>116.76814874048982</v>
      </c>
      <c r="G1335" s="871">
        <f>'Peers Stock History'!H1338/'Peers Stock History'!H$1833*100</f>
        <v>122.53992912277295</v>
      </c>
      <c r="H1335" s="871">
        <f>'Peers Stock History'!I1338/'Peers Stock History'!I$1833*100</f>
        <v>230.92962641181578</v>
      </c>
      <c r="I1335" s="871">
        <f>'Peers Stock History'!J1338/'Peers Stock History'!J$1833*100</f>
        <v>115.65691178035544</v>
      </c>
      <c r="J1335" s="871">
        <f>'Peers Stock History'!K1338/'Peers Stock History'!K$1833*100</f>
        <v>129.42836424123286</v>
      </c>
    </row>
    <row r="1336" spans="2:10">
      <c r="B1336" s="873">
        <v>43275</v>
      </c>
      <c r="C1336" s="871">
        <f>'Peers Stock History'!D1339/'Peers Stock History'!D$1833*100</f>
        <v>145.63106796116506</v>
      </c>
      <c r="D1336" s="871">
        <f>'Peers Stock History'!E1339/'Peers Stock History'!E$1833*100</f>
        <v>230.22935779816513</v>
      </c>
      <c r="E1336" s="871">
        <f>'Peers Stock History'!F1339/'Peers Stock History'!F$1833*100</f>
        <v>118.79699248120301</v>
      </c>
      <c r="F1336" s="871">
        <f>'Peers Stock History'!G1339/'Peers Stock History'!G$1833*100</f>
        <v>122.15028012796768</v>
      </c>
      <c r="G1336" s="871">
        <f>'Peers Stock History'!H1339/'Peers Stock History'!H$1833*100</f>
        <v>126.07893587067332</v>
      </c>
      <c r="H1336" s="871">
        <f>'Peers Stock History'!I1339/'Peers Stock History'!I$1833*100</f>
        <v>248.04517810599478</v>
      </c>
      <c r="I1336" s="871">
        <f>'Peers Stock History'!J1339/'Peers Stock History'!J$1833*100</f>
        <v>117.26636160476748</v>
      </c>
      <c r="J1336" s="871">
        <f>'Peers Stock History'!K1339/'Peers Stock History'!K$1833*100</f>
        <v>132.19170573113564</v>
      </c>
    </row>
    <row r="1337" spans="2:10">
      <c r="B1337" s="873">
        <v>43274</v>
      </c>
      <c r="C1337" s="871">
        <f>'Peers Stock History'!D1340/'Peers Stock History'!D$1833*100</f>
        <v>145.63106796116506</v>
      </c>
      <c r="D1337" s="871">
        <f>'Peers Stock History'!E1340/'Peers Stock History'!E$1833*100</f>
        <v>230.22935779816513</v>
      </c>
      <c r="E1337" s="871">
        <f>'Peers Stock History'!F1340/'Peers Stock History'!F$1833*100</f>
        <v>118.79699248120301</v>
      </c>
      <c r="F1337" s="871">
        <f>'Peers Stock History'!G1340/'Peers Stock History'!G$1833*100</f>
        <v>122.15028012796768</v>
      </c>
      <c r="G1337" s="871">
        <f>'Peers Stock History'!H1340/'Peers Stock History'!H$1833*100</f>
        <v>126.07893587067332</v>
      </c>
      <c r="H1337" s="871">
        <f>'Peers Stock History'!I1340/'Peers Stock History'!I$1833*100</f>
        <v>248.04517810599478</v>
      </c>
      <c r="I1337" s="871">
        <f>'Peers Stock History'!J1340/'Peers Stock History'!J$1833*100</f>
        <v>117.26636160476748</v>
      </c>
      <c r="J1337" s="871">
        <f>'Peers Stock History'!K1340/'Peers Stock History'!K$1833*100</f>
        <v>132.19170573113564</v>
      </c>
    </row>
    <row r="1338" spans="2:10">
      <c r="B1338" s="873">
        <v>43273</v>
      </c>
      <c r="C1338" s="871">
        <f>'Peers Stock History'!D1341/'Peers Stock History'!D$1833*100</f>
        <v>145.63106796116506</v>
      </c>
      <c r="D1338" s="871">
        <f>'Peers Stock History'!E1341/'Peers Stock History'!E$1833*100</f>
        <v>230.22935779816513</v>
      </c>
      <c r="E1338" s="871">
        <f>'Peers Stock History'!F1341/'Peers Stock History'!F$1833*100</f>
        <v>118.79699248120301</v>
      </c>
      <c r="F1338" s="871">
        <f>'Peers Stock History'!G1341/'Peers Stock History'!G$1833*100</f>
        <v>122.15028012796768</v>
      </c>
      <c r="G1338" s="871">
        <f>'Peers Stock History'!H1341/'Peers Stock History'!H$1833*100</f>
        <v>126.07893587067332</v>
      </c>
      <c r="H1338" s="871">
        <f>'Peers Stock History'!I1341/'Peers Stock History'!I$1833*100</f>
        <v>248.04517810599478</v>
      </c>
      <c r="I1338" s="871">
        <f>'Peers Stock History'!J1341/'Peers Stock History'!J$1833*100</f>
        <v>117.26636160476748</v>
      </c>
      <c r="J1338" s="871">
        <f>'Peers Stock History'!K1341/'Peers Stock History'!K$1833*100</f>
        <v>132.19170573113564</v>
      </c>
    </row>
    <row r="1339" spans="2:10">
      <c r="B1339" s="873">
        <v>43272</v>
      </c>
      <c r="C1339" s="871">
        <f>'Peers Stock History'!D1342/'Peers Stock History'!D$1833*100</f>
        <v>144.77115117891816</v>
      </c>
      <c r="D1339" s="871">
        <f>'Peers Stock History'!E1342/'Peers Stock History'!E$1833*100</f>
        <v>235.88073394495416</v>
      </c>
      <c r="E1339" s="871">
        <f>'Peers Stock History'!F1342/'Peers Stock History'!F$1833*100</f>
        <v>117.66917293233084</v>
      </c>
      <c r="F1339" s="871">
        <f>'Peers Stock History'!G1342/'Peers Stock History'!G$1833*100</f>
        <v>121.5251110283929</v>
      </c>
      <c r="G1339" s="871">
        <f>'Peers Stock History'!H1342/'Peers Stock History'!H$1833*100</f>
        <v>126.04980824311858</v>
      </c>
      <c r="H1339" s="871">
        <f>'Peers Stock History'!I1342/'Peers Stock History'!I$1833*100</f>
        <v>258.2102519548219</v>
      </c>
      <c r="I1339" s="871">
        <f>'Peers Stock History'!J1342/'Peers Stock History'!J$1833*100</f>
        <v>117.0484197084176</v>
      </c>
      <c r="J1339" s="871">
        <f>'Peers Stock History'!K1342/'Peers Stock History'!K$1833*100</f>
        <v>132.53770122211074</v>
      </c>
    </row>
    <row r="1340" spans="2:10">
      <c r="B1340" s="873">
        <v>43271</v>
      </c>
      <c r="C1340" s="871">
        <f>'Peers Stock History'!D1343/'Peers Stock History'!D$1833*100</f>
        <v>148.29403606102636</v>
      </c>
      <c r="D1340" s="871">
        <f>'Peers Stock History'!E1343/'Peers Stock History'!E$1833*100</f>
        <v>240.651376146789</v>
      </c>
      <c r="E1340" s="871">
        <f>'Peers Stock History'!F1343/'Peers Stock History'!F$1833*100</f>
        <v>124.21052631578947</v>
      </c>
      <c r="F1340" s="871">
        <f>'Peers Stock History'!G1343/'Peers Stock History'!G$1833*100</f>
        <v>121.81128005653368</v>
      </c>
      <c r="G1340" s="871">
        <f>'Peers Stock History'!H1343/'Peers Stock History'!H$1833*100</f>
        <v>126.8119811641342</v>
      </c>
      <c r="H1340" s="871">
        <f>'Peers Stock History'!I1343/'Peers Stock History'!I$1833*100</f>
        <v>256.08166811468294</v>
      </c>
      <c r="I1340" s="871">
        <f>'Peers Stock History'!J1343/'Peers Stock History'!J$1833*100</f>
        <v>117.79589230605514</v>
      </c>
      <c r="J1340" s="871">
        <f>'Peers Stock History'!K1343/'Peers Stock History'!K$1833*100</f>
        <v>133.71587300496267</v>
      </c>
    </row>
    <row r="1341" spans="2:10">
      <c r="B1341" s="873">
        <v>43270</v>
      </c>
      <c r="C1341" s="871">
        <f>'Peers Stock History'!D1344/'Peers Stock History'!D$1833*100</f>
        <v>146.82385575589461</v>
      </c>
      <c r="D1341" s="871">
        <f>'Peers Stock History'!E1344/'Peers Stock History'!E$1833*100</f>
        <v>238.68807339449543</v>
      </c>
      <c r="E1341" s="871">
        <f>'Peers Stock History'!F1344/'Peers Stock History'!F$1833*100</f>
        <v>125.48872180451127</v>
      </c>
      <c r="F1341" s="871">
        <f>'Peers Stock History'!G1344/'Peers Stock History'!G$1833*100</f>
        <v>121.3084663800559</v>
      </c>
      <c r="G1341" s="871">
        <f>'Peers Stock History'!H1344/'Peers Stock History'!H$1833*100</f>
        <v>126.68090684013787</v>
      </c>
      <c r="H1341" s="871">
        <f>'Peers Stock History'!I1344/'Peers Stock History'!I$1833*100</f>
        <v>257.38488271068638</v>
      </c>
      <c r="I1341" s="871">
        <f>'Peers Stock History'!J1344/'Peers Stock History'!J$1833*100</f>
        <v>117.59455145259126</v>
      </c>
      <c r="J1341" s="871">
        <f>'Peers Stock History'!K1344/'Peers Stock History'!K$1833*100</f>
        <v>132.75478396546748</v>
      </c>
    </row>
    <row r="1342" spans="2:10">
      <c r="B1342" s="873">
        <v>43269</v>
      </c>
      <c r="C1342" s="871">
        <f>'Peers Stock History'!D1345/'Peers Stock History'!D$1833*100</f>
        <v>147.62829403606105</v>
      </c>
      <c r="D1342" s="871">
        <f>'Peers Stock History'!E1345/'Peers Stock History'!E$1833*100</f>
        <v>243.20183486238531</v>
      </c>
      <c r="E1342" s="871">
        <f>'Peers Stock History'!F1345/'Peers Stock History'!F$1833*100</f>
        <v>128.64661654135335</v>
      </c>
      <c r="F1342" s="871">
        <f>'Peers Stock History'!G1345/'Peers Stock History'!G$1833*100</f>
        <v>124.70868917503725</v>
      </c>
      <c r="G1342" s="871">
        <f>'Peers Stock History'!H1345/'Peers Stock History'!H$1833*100</f>
        <v>128.40429147045973</v>
      </c>
      <c r="H1342" s="871">
        <f>'Peers Stock History'!I1345/'Peers Stock History'!I$1833*100</f>
        <v>253.90964378801044</v>
      </c>
      <c r="I1342" s="871">
        <f>'Peers Stock History'!J1345/'Peers Stock History'!J$1833*100</f>
        <v>118.06959667979142</v>
      </c>
      <c r="J1342" s="871">
        <f>'Peers Stock History'!K1345/'Peers Stock History'!K$1833*100</f>
        <v>133.12320429457131</v>
      </c>
    </row>
    <row r="1343" spans="2:10">
      <c r="B1343" s="873">
        <v>43268</v>
      </c>
      <c r="C1343" s="871">
        <f>'Peers Stock History'!D1346/'Peers Stock History'!D$1833*100</f>
        <v>152.87101248266296</v>
      </c>
      <c r="D1343" s="871">
        <f>'Peers Stock History'!E1346/'Peers Stock History'!E$1833*100</f>
        <v>243.35779816513758</v>
      </c>
      <c r="E1343" s="871">
        <f>'Peers Stock History'!F1346/'Peers Stock History'!F$1833*100</f>
        <v>122.85714285714285</v>
      </c>
      <c r="F1343" s="871">
        <f>'Peers Stock History'!G1346/'Peers Stock History'!G$1833*100</f>
        <v>124.70868917503725</v>
      </c>
      <c r="G1343" s="871">
        <f>'Peers Stock History'!H1346/'Peers Stock History'!H$1833*100</f>
        <v>131.185979901937</v>
      </c>
      <c r="H1343" s="871">
        <f>'Peers Stock History'!I1346/'Peers Stock History'!I$1833*100</f>
        <v>252.95395308427456</v>
      </c>
      <c r="I1343" s="871">
        <f>'Peers Stock History'!J1346/'Peers Stock History'!J$1833*100</f>
        <v>118.32116632967968</v>
      </c>
      <c r="J1343" s="871">
        <f>'Peers Stock History'!K1346/'Peers Stock History'!K$1833*100</f>
        <v>133.11208638631896</v>
      </c>
    </row>
    <row r="1344" spans="2:10">
      <c r="B1344" s="873">
        <v>43267</v>
      </c>
      <c r="C1344" s="871">
        <f>'Peers Stock History'!D1347/'Peers Stock History'!D$1833*100</f>
        <v>152.87101248266296</v>
      </c>
      <c r="D1344" s="871">
        <f>'Peers Stock History'!E1347/'Peers Stock History'!E$1833*100</f>
        <v>243.35779816513758</v>
      </c>
      <c r="E1344" s="871">
        <f>'Peers Stock History'!F1347/'Peers Stock History'!F$1833*100</f>
        <v>122.85714285714285</v>
      </c>
      <c r="F1344" s="871">
        <f>'Peers Stock History'!G1347/'Peers Stock History'!G$1833*100</f>
        <v>124.70868917503725</v>
      </c>
      <c r="G1344" s="871">
        <f>'Peers Stock History'!H1347/'Peers Stock History'!H$1833*100</f>
        <v>131.185979901937</v>
      </c>
      <c r="H1344" s="871">
        <f>'Peers Stock History'!I1347/'Peers Stock History'!I$1833*100</f>
        <v>252.95395308427456</v>
      </c>
      <c r="I1344" s="871">
        <f>'Peers Stock History'!J1347/'Peers Stock History'!J$1833*100</f>
        <v>118.32116632967968</v>
      </c>
      <c r="J1344" s="871">
        <f>'Peers Stock History'!K1347/'Peers Stock History'!K$1833*100</f>
        <v>133.11208638631896</v>
      </c>
    </row>
    <row r="1345" spans="2:10">
      <c r="B1345" s="873">
        <v>43266</v>
      </c>
      <c r="C1345" s="871">
        <f>'Peers Stock History'!D1348/'Peers Stock History'!D$1833*100</f>
        <v>152.87101248266296</v>
      </c>
      <c r="D1345" s="871">
        <f>'Peers Stock History'!E1348/'Peers Stock History'!E$1833*100</f>
        <v>243.35779816513758</v>
      </c>
      <c r="E1345" s="871">
        <f>'Peers Stock History'!F1348/'Peers Stock History'!F$1833*100</f>
        <v>122.85714285714285</v>
      </c>
      <c r="F1345" s="871">
        <f>'Peers Stock History'!G1348/'Peers Stock History'!G$1833*100</f>
        <v>124.70868917503725</v>
      </c>
      <c r="G1345" s="871">
        <f>'Peers Stock History'!H1348/'Peers Stock History'!H$1833*100</f>
        <v>131.185979901937</v>
      </c>
      <c r="H1345" s="871">
        <f>'Peers Stock History'!I1348/'Peers Stock History'!I$1833*100</f>
        <v>252.95395308427456</v>
      </c>
      <c r="I1345" s="871">
        <f>'Peers Stock History'!J1348/'Peers Stock History'!J$1833*100</f>
        <v>118.32116632967968</v>
      </c>
      <c r="J1345" s="871">
        <f>'Peers Stock History'!K1348/'Peers Stock History'!K$1833*100</f>
        <v>133.11208638631896</v>
      </c>
    </row>
    <row r="1346" spans="2:10">
      <c r="B1346" s="873">
        <v>43265</v>
      </c>
      <c r="C1346" s="871">
        <f>'Peers Stock History'!D1349/'Peers Stock History'!D$1833*100</f>
        <v>154.06380027739252</v>
      </c>
      <c r="D1346" s="871">
        <f>'Peers Stock History'!E1349/'Peers Stock History'!E$1833*100</f>
        <v>244.87155963302754</v>
      </c>
      <c r="E1346" s="871">
        <f>'Peers Stock History'!F1349/'Peers Stock History'!F$1833*100</f>
        <v>122.18045112781954</v>
      </c>
      <c r="F1346" s="871">
        <f>'Peers Stock History'!G1349/'Peers Stock History'!G$1833*100</f>
        <v>123.11691252948313</v>
      </c>
      <c r="G1346" s="871">
        <f>'Peers Stock History'!H1349/'Peers Stock History'!H$1833*100</f>
        <v>130.32671488907226</v>
      </c>
      <c r="H1346" s="871">
        <f>'Peers Stock History'!I1349/'Peers Stock History'!I$1833*100</f>
        <v>257.08079930495222</v>
      </c>
      <c r="I1346" s="871">
        <f>'Peers Stock History'!J1349/'Peers Stock History'!J$1833*100</f>
        <v>118.44163030754495</v>
      </c>
      <c r="J1346" s="871">
        <f>'Peers Stock History'!K1349/'Peers Stock History'!K$1833*100</f>
        <v>133.36406939499335</v>
      </c>
    </row>
    <row r="1347" spans="2:10">
      <c r="B1347" s="873">
        <v>43264</v>
      </c>
      <c r="C1347" s="871">
        <f>'Peers Stock History'!D1350/'Peers Stock History'!D$1833*100</f>
        <v>152.6490984743412</v>
      </c>
      <c r="D1347" s="871">
        <f>'Peers Stock History'!E1350/'Peers Stock History'!E$1833*100</f>
        <v>240.73394495412842</v>
      </c>
      <c r="E1347" s="871">
        <f>'Peers Stock History'!F1350/'Peers Stock History'!F$1833*100</f>
        <v>122.70676691729324</v>
      </c>
      <c r="F1347" s="871">
        <f>'Peers Stock History'!G1350/'Peers Stock History'!G$1833*100</f>
        <v>126.46993793738217</v>
      </c>
      <c r="G1347" s="871">
        <f>'Peers Stock History'!H1350/'Peers Stock History'!H$1833*100</f>
        <v>127.95766784795377</v>
      </c>
      <c r="H1347" s="871">
        <f>'Peers Stock History'!I1350/'Peers Stock History'!I$1833*100</f>
        <v>260.86012163336227</v>
      </c>
      <c r="I1347" s="871">
        <f>'Peers Stock History'!J1350/'Peers Stock History'!J$1833*100</f>
        <v>118.14962221985741</v>
      </c>
      <c r="J1347" s="871">
        <f>'Peers Stock History'!K1350/'Peers Stock History'!K$1833*100</f>
        <v>132.24122939664298</v>
      </c>
    </row>
    <row r="1348" spans="2:10">
      <c r="B1348" s="873">
        <v>43263</v>
      </c>
      <c r="C1348" s="871">
        <f>'Peers Stock History'!D1351/'Peers Stock History'!D$1833*100</f>
        <v>152.06657420249655</v>
      </c>
      <c r="D1348" s="871">
        <f>'Peers Stock History'!E1351/'Peers Stock History'!E$1833*100</f>
        <v>240.89908256880733</v>
      </c>
      <c r="E1348" s="871">
        <f>'Peers Stock History'!F1351/'Peers Stock History'!F$1833*100</f>
        <v>119.17293233082707</v>
      </c>
      <c r="F1348" s="871">
        <f>'Peers Stock History'!G1351/'Peers Stock History'!G$1833*100</f>
        <v>124.74676279846734</v>
      </c>
      <c r="G1348" s="871">
        <f>'Peers Stock History'!H1351/'Peers Stock History'!H$1833*100</f>
        <v>126.91392786057575</v>
      </c>
      <c r="H1348" s="871">
        <f>'Peers Stock History'!I1351/'Peers Stock History'!I$1833*100</f>
        <v>263.03214596003477</v>
      </c>
      <c r="I1348" s="871">
        <f>'Peers Stock History'!J1351/'Peers Stock History'!J$1833*100</f>
        <v>118.62722145365541</v>
      </c>
      <c r="J1348" s="871">
        <f>'Peers Stock History'!K1351/'Peers Stock History'!K$1833*100</f>
        <v>132.38033212817729</v>
      </c>
    </row>
    <row r="1349" spans="2:10">
      <c r="B1349" s="873">
        <v>43262</v>
      </c>
      <c r="C1349" s="871">
        <f>'Peers Stock History'!D1352/'Peers Stock History'!D$1833*100</f>
        <v>151.23439667128991</v>
      </c>
      <c r="D1349" s="871">
        <f>'Peers Stock History'!E1352/'Peers Stock History'!E$1833*100</f>
        <v>239.10091743119267</v>
      </c>
      <c r="E1349" s="871">
        <f>'Peers Stock History'!F1352/'Peers Stock History'!F$1833*100</f>
        <v>118.27067669172932</v>
      </c>
      <c r="F1349" s="871">
        <f>'Peers Stock History'!G1352/'Peers Stock History'!G$1833*100</f>
        <v>123.29005813026073</v>
      </c>
      <c r="G1349" s="871">
        <f>'Peers Stock History'!H1352/'Peers Stock History'!H$1833*100</f>
        <v>126.62265158502839</v>
      </c>
      <c r="H1349" s="871">
        <f>'Peers Stock History'!I1352/'Peers Stock History'!I$1833*100</f>
        <v>266.68114682884448</v>
      </c>
      <c r="I1349" s="871">
        <f>'Peers Stock History'!J1352/'Peers Stock History'!J$1833*100</f>
        <v>118.42077258699587</v>
      </c>
      <c r="J1349" s="871">
        <f>'Peers Stock History'!K1352/'Peers Stock History'!K$1833*100</f>
        <v>131.62649670758699</v>
      </c>
    </row>
    <row r="1350" spans="2:10">
      <c r="B1350" s="873">
        <v>43261</v>
      </c>
      <c r="C1350" s="871">
        <f>'Peers Stock History'!D1353/'Peers Stock History'!D$1833*100</f>
        <v>152.70457697642163</v>
      </c>
      <c r="D1350" s="871">
        <f>'Peers Stock History'!E1353/'Peers Stock History'!E$1833*100</f>
        <v>240.62385321100916</v>
      </c>
      <c r="E1350" s="871">
        <f>'Peers Stock History'!F1353/'Peers Stock History'!F$1833*100</f>
        <v>114.66165413533832</v>
      </c>
      <c r="F1350" s="871">
        <f>'Peers Stock History'!G1353/'Peers Stock History'!G$1833*100</f>
        <v>123.76917845327431</v>
      </c>
      <c r="G1350" s="871">
        <f>'Peers Stock History'!H1353/'Peers Stock History'!H$1833*100</f>
        <v>125.23423467158601</v>
      </c>
      <c r="H1350" s="871">
        <f>'Peers Stock History'!I1353/'Peers Stock History'!I$1833*100</f>
        <v>266.68114682884448</v>
      </c>
      <c r="I1350" s="871">
        <f>'Peers Stock History'!J1353/'Peers Stock History'!J$1833*100</f>
        <v>118.29434926040226</v>
      </c>
      <c r="J1350" s="871">
        <f>'Peers Stock History'!K1353/'Peers Stock History'!K$1833*100</f>
        <v>131.3788096449143</v>
      </c>
    </row>
    <row r="1351" spans="2:10">
      <c r="B1351" s="873">
        <v>43260</v>
      </c>
      <c r="C1351" s="871">
        <f>'Peers Stock History'!D1354/'Peers Stock History'!D$1833*100</f>
        <v>152.70457697642163</v>
      </c>
      <c r="D1351" s="871">
        <f>'Peers Stock History'!E1354/'Peers Stock History'!E$1833*100</f>
        <v>240.62385321100916</v>
      </c>
      <c r="E1351" s="871">
        <f>'Peers Stock History'!F1354/'Peers Stock History'!F$1833*100</f>
        <v>114.66165413533832</v>
      </c>
      <c r="F1351" s="871">
        <f>'Peers Stock History'!G1354/'Peers Stock History'!G$1833*100</f>
        <v>123.76917845327431</v>
      </c>
      <c r="G1351" s="871">
        <f>'Peers Stock History'!H1354/'Peers Stock History'!H$1833*100</f>
        <v>125.23423467158601</v>
      </c>
      <c r="H1351" s="871">
        <f>'Peers Stock History'!I1354/'Peers Stock History'!I$1833*100</f>
        <v>266.68114682884448</v>
      </c>
      <c r="I1351" s="871">
        <f>'Peers Stock History'!J1354/'Peers Stock History'!J$1833*100</f>
        <v>118.29434926040226</v>
      </c>
      <c r="J1351" s="871">
        <f>'Peers Stock History'!K1354/'Peers Stock History'!K$1833*100</f>
        <v>131.3788096449143</v>
      </c>
    </row>
    <row r="1352" spans="2:10">
      <c r="B1352" s="873">
        <v>43259</v>
      </c>
      <c r="C1352" s="871">
        <f>'Peers Stock History'!D1355/'Peers Stock History'!D$1833*100</f>
        <v>152.70457697642163</v>
      </c>
      <c r="D1352" s="871">
        <f>'Peers Stock History'!E1355/'Peers Stock History'!E$1833*100</f>
        <v>240.62385321100916</v>
      </c>
      <c r="E1352" s="871">
        <f>'Peers Stock History'!F1355/'Peers Stock History'!F$1833*100</f>
        <v>114.66165413533832</v>
      </c>
      <c r="F1352" s="871">
        <f>'Peers Stock History'!G1355/'Peers Stock History'!G$1833*100</f>
        <v>123.76917845327431</v>
      </c>
      <c r="G1352" s="871">
        <f>'Peers Stock History'!H1355/'Peers Stock History'!H$1833*100</f>
        <v>125.23423467158601</v>
      </c>
      <c r="H1352" s="871">
        <f>'Peers Stock History'!I1355/'Peers Stock History'!I$1833*100</f>
        <v>266.68114682884448</v>
      </c>
      <c r="I1352" s="871">
        <f>'Peers Stock History'!J1355/'Peers Stock History'!J$1833*100</f>
        <v>118.29434926040226</v>
      </c>
      <c r="J1352" s="871">
        <f>'Peers Stock History'!K1355/'Peers Stock History'!K$1833*100</f>
        <v>131.3788096449143</v>
      </c>
    </row>
    <row r="1353" spans="2:10">
      <c r="B1353" s="873">
        <v>43258</v>
      </c>
      <c r="C1353" s="871">
        <f>'Peers Stock History'!D1356/'Peers Stock History'!D$1833*100</f>
        <v>155.00693481276008</v>
      </c>
      <c r="D1353" s="871">
        <f>'Peers Stock History'!E1356/'Peers Stock History'!E$1833*100</f>
        <v>241.19266055045873</v>
      </c>
      <c r="E1353" s="871">
        <f>'Peers Stock History'!F1356/'Peers Stock History'!F$1833*100</f>
        <v>111.95488721804512</v>
      </c>
      <c r="F1353" s="871">
        <f>'Peers Stock History'!G1356/'Peers Stock History'!G$1833*100</f>
        <v>125.69137052625479</v>
      </c>
      <c r="G1353" s="871">
        <f>'Peers Stock History'!H1356/'Peers Stock History'!H$1833*100</f>
        <v>128.49167435312395</v>
      </c>
      <c r="H1353" s="871">
        <f>'Peers Stock History'!I1356/'Peers Stock History'!I$1833*100</f>
        <v>259.03562119895747</v>
      </c>
      <c r="I1353" s="871">
        <f>'Peers Stock History'!J1356/'Peers Stock History'!J$1833*100</f>
        <v>117.92572097477918</v>
      </c>
      <c r="J1353" s="871">
        <f>'Peers Stock History'!K1356/'Peers Stock History'!K$1833*100</f>
        <v>131.19939375610025</v>
      </c>
    </row>
    <row r="1354" spans="2:10">
      <c r="B1354" s="873">
        <v>43257</v>
      </c>
      <c r="C1354" s="871">
        <f>'Peers Stock History'!D1357/'Peers Stock History'!D$1833*100</f>
        <v>158.1969486823856</v>
      </c>
      <c r="D1354" s="871">
        <f>'Peers Stock History'!E1357/'Peers Stock History'!E$1833*100</f>
        <v>243.25688073394494</v>
      </c>
      <c r="E1354" s="871">
        <f>'Peers Stock History'!F1357/'Peers Stock History'!F$1833*100</f>
        <v>117.81954887218045</v>
      </c>
      <c r="F1354" s="871">
        <f>'Peers Stock History'!G1357/'Peers Stock History'!G$1833*100</f>
        <v>126.15756908841182</v>
      </c>
      <c r="G1354" s="871">
        <f>'Peers Stock History'!H1357/'Peers Stock History'!H$1833*100</f>
        <v>127.92854022039903</v>
      </c>
      <c r="H1354" s="871">
        <f>'Peers Stock History'!I1357/'Peers Stock History'!I$1833*100</f>
        <v>258.12337098175504</v>
      </c>
      <c r="I1354" s="871">
        <f>'Peers Stock History'!J1357/'Peers Stock History'!J$1833*100</f>
        <v>118.01000319250825</v>
      </c>
      <c r="J1354" s="871">
        <f>'Peers Stock History'!K1357/'Peers Stock History'!K$1833*100</f>
        <v>132.1302908870957</v>
      </c>
    </row>
    <row r="1355" spans="2:10">
      <c r="B1355" s="873">
        <v>43256</v>
      </c>
      <c r="C1355" s="871">
        <f>'Peers Stock History'!D1358/'Peers Stock History'!D$1833*100</f>
        <v>156.80998613037448</v>
      </c>
      <c r="D1355" s="871">
        <f>'Peers Stock History'!E1358/'Peers Stock History'!E$1833*100</f>
        <v>243.18348623853211</v>
      </c>
      <c r="E1355" s="871">
        <f>'Peers Stock History'!F1358/'Peers Stock History'!F$1833*100</f>
        <v>111.65413533834585</v>
      </c>
      <c r="F1355" s="871">
        <f>'Peers Stock History'!G1358/'Peers Stock History'!G$1833*100</f>
        <v>124.99371978283507</v>
      </c>
      <c r="G1355" s="871">
        <f>'Peers Stock History'!H1358/'Peers Stock History'!H$1833*100</f>
        <v>125.8604786640128</v>
      </c>
      <c r="H1355" s="871">
        <f>'Peers Stock History'!I1358/'Peers Stock History'!I$1833*100</f>
        <v>258.07993049522156</v>
      </c>
      <c r="I1355" s="871">
        <f>'Peers Stock History'!J1358/'Peers Stock History'!J$1833*100</f>
        <v>117.00755560285199</v>
      </c>
      <c r="J1355" s="871">
        <f>'Peers Stock History'!K1358/'Peers Stock History'!K$1833*100</f>
        <v>131.24738806483097</v>
      </c>
    </row>
    <row r="1356" spans="2:10">
      <c r="B1356" s="873">
        <v>43255</v>
      </c>
      <c r="C1356" s="871">
        <f>'Peers Stock History'!D1359/'Peers Stock History'!D$1833*100</f>
        <v>157.64216366158115</v>
      </c>
      <c r="D1356" s="871">
        <f>'Peers Stock History'!E1359/'Peers Stock History'!E$1833*100</f>
        <v>242.98165137614683</v>
      </c>
      <c r="E1356" s="871">
        <f>'Peers Stock History'!F1359/'Peers Stock History'!F$1833*100</f>
        <v>111.65413533834585</v>
      </c>
      <c r="F1356" s="871">
        <f>'Peers Stock History'!G1359/'Peers Stock History'!G$1833*100</f>
        <v>125.28799080778363</v>
      </c>
      <c r="G1356" s="871">
        <f>'Peers Stock History'!H1359/'Peers Stock History'!H$1833*100</f>
        <v>125.42841885528424</v>
      </c>
      <c r="H1356" s="871">
        <f>'Peers Stock History'!I1359/'Peers Stock History'!I$1833*100</f>
        <v>256.73327541268463</v>
      </c>
      <c r="I1356" s="871">
        <f>'Peers Stock History'!J1359/'Peers Stock History'!J$1833*100</f>
        <v>116.92540172395445</v>
      </c>
      <c r="J1356" s="871">
        <f>'Peers Stock History'!K1359/'Peers Stock History'!K$1833*100</f>
        <v>130.70776569566834</v>
      </c>
    </row>
    <row r="1357" spans="2:10">
      <c r="B1357" s="873">
        <v>43254</v>
      </c>
      <c r="C1357" s="871">
        <f>'Peers Stock History'!D1360/'Peers Stock History'!D$1833*100</f>
        <v>158.33564493758669</v>
      </c>
      <c r="D1357" s="871">
        <f>'Peers Stock History'!E1360/'Peers Stock History'!E$1833*100</f>
        <v>236.348623853211</v>
      </c>
      <c r="E1357" s="871">
        <f>'Peers Stock History'!F1360/'Peers Stock History'!F$1833*100</f>
        <v>108.27067669172932</v>
      </c>
      <c r="F1357" s="871">
        <f>'Peers Stock History'!G1360/'Peers Stock History'!G$1833*100</f>
        <v>122.26049697530044</v>
      </c>
      <c r="G1357" s="871">
        <f>'Peers Stock History'!H1360/'Peers Stock History'!H$1833*100</f>
        <v>124.44293412301566</v>
      </c>
      <c r="H1357" s="871">
        <f>'Peers Stock History'!I1360/'Peers Stock History'!I$1833*100</f>
        <v>255.16941789748046</v>
      </c>
      <c r="I1357" s="871">
        <f>'Peers Stock History'!J1360/'Peers Stock History'!J$1833*100</f>
        <v>116.40395871022666</v>
      </c>
      <c r="J1357" s="871">
        <f>'Peers Stock History'!K1360/'Peers Stock History'!K$1833*100</f>
        <v>129.81200940296662</v>
      </c>
    </row>
    <row r="1358" spans="2:10">
      <c r="B1358" s="873">
        <v>43253</v>
      </c>
      <c r="C1358" s="871">
        <f>'Peers Stock History'!D1361/'Peers Stock History'!D$1833*100</f>
        <v>158.33564493758669</v>
      </c>
      <c r="D1358" s="871">
        <f>'Peers Stock History'!E1361/'Peers Stock History'!E$1833*100</f>
        <v>236.348623853211</v>
      </c>
      <c r="E1358" s="871">
        <f>'Peers Stock History'!F1361/'Peers Stock History'!F$1833*100</f>
        <v>108.27067669172932</v>
      </c>
      <c r="F1358" s="871">
        <f>'Peers Stock History'!G1361/'Peers Stock History'!G$1833*100</f>
        <v>122.26049697530044</v>
      </c>
      <c r="G1358" s="871">
        <f>'Peers Stock History'!H1361/'Peers Stock History'!H$1833*100</f>
        <v>124.44293412301566</v>
      </c>
      <c r="H1358" s="871">
        <f>'Peers Stock History'!I1361/'Peers Stock History'!I$1833*100</f>
        <v>255.16941789748046</v>
      </c>
      <c r="I1358" s="871">
        <f>'Peers Stock History'!J1361/'Peers Stock History'!J$1833*100</f>
        <v>116.40395871022666</v>
      </c>
      <c r="J1358" s="871">
        <f>'Peers Stock History'!K1361/'Peers Stock History'!K$1833*100</f>
        <v>129.81200940296662</v>
      </c>
    </row>
    <row r="1359" spans="2:10">
      <c r="B1359" s="873">
        <v>43252</v>
      </c>
      <c r="C1359" s="871">
        <f>'Peers Stock History'!D1362/'Peers Stock History'!D$1833*100</f>
        <v>158.33564493758669</v>
      </c>
      <c r="D1359" s="871">
        <f>'Peers Stock History'!E1362/'Peers Stock History'!E$1833*100</f>
        <v>236.348623853211</v>
      </c>
      <c r="E1359" s="871">
        <f>'Peers Stock History'!F1362/'Peers Stock History'!F$1833*100</f>
        <v>108.27067669172932</v>
      </c>
      <c r="F1359" s="871">
        <f>'Peers Stock History'!G1362/'Peers Stock History'!G$1833*100</f>
        <v>122.26049697530044</v>
      </c>
      <c r="G1359" s="871">
        <f>'Peers Stock History'!H1362/'Peers Stock History'!H$1833*100</f>
        <v>124.44293412301566</v>
      </c>
      <c r="H1359" s="871">
        <f>'Peers Stock History'!I1362/'Peers Stock History'!I$1833*100</f>
        <v>255.16941789748046</v>
      </c>
      <c r="I1359" s="871">
        <f>'Peers Stock History'!J1362/'Peers Stock History'!J$1833*100</f>
        <v>116.40395871022666</v>
      </c>
      <c r="J1359" s="871">
        <f>'Peers Stock History'!K1362/'Peers Stock History'!K$1833*100</f>
        <v>129.81200940296662</v>
      </c>
    </row>
    <row r="1360" spans="2:10">
      <c r="B1360" s="873">
        <v>43251</v>
      </c>
      <c r="C1360" s="871">
        <f>'Peers Stock History'!D1363/'Peers Stock History'!D$1833*100</f>
        <v>153.12066574202498</v>
      </c>
      <c r="D1360" s="871">
        <f>'Peers Stock History'!E1363/'Peers Stock History'!E$1833*100</f>
        <v>231.36697247706422</v>
      </c>
      <c r="E1360" s="871">
        <f>'Peers Stock History'!F1363/'Peers Stock History'!F$1833*100</f>
        <v>103.23308270676692</v>
      </c>
      <c r="F1360" s="871">
        <f>'Peers Stock History'!G1363/'Peers Stock History'!G$1833*100</f>
        <v>121.57114242324268</v>
      </c>
      <c r="G1360" s="871">
        <f>'Peers Stock History'!H1363/'Peers Stock History'!H$1833*100</f>
        <v>122.370017962037</v>
      </c>
      <c r="H1360" s="871">
        <f>'Peers Stock History'!I1363/'Peers Stock History'!I$1833*100</f>
        <v>250.17376194613382</v>
      </c>
      <c r="I1360" s="871">
        <f>'Peers Stock History'!J1363/'Peers Stock History'!J$1833*100</f>
        <v>115.15462381611152</v>
      </c>
      <c r="J1360" s="871">
        <f>'Peers Stock History'!K1363/'Peers Stock History'!K$1833*100</f>
        <v>127.88373108065383</v>
      </c>
    </row>
    <row r="1361" spans="2:10">
      <c r="B1361" s="873">
        <v>43250</v>
      </c>
      <c r="C1361" s="871">
        <f>'Peers Stock History'!D1364/'Peers Stock History'!D$1833*100</f>
        <v>154.45214979195563</v>
      </c>
      <c r="D1361" s="871">
        <f>'Peers Stock History'!E1364/'Peers Stock History'!E$1833*100</f>
        <v>232.10091743119267</v>
      </c>
      <c r="E1361" s="871">
        <f>'Peers Stock History'!F1364/'Peers Stock History'!F$1833*100</f>
        <v>103.90977443609022</v>
      </c>
      <c r="F1361" s="871">
        <f>'Peers Stock History'!G1364/'Peers Stock History'!G$1833*100</f>
        <v>120.16747215797932</v>
      </c>
      <c r="G1361" s="871">
        <f>'Peers Stock History'!H1364/'Peers Stock History'!H$1833*100</f>
        <v>121.07383853585125</v>
      </c>
      <c r="H1361" s="871">
        <f>'Peers Stock History'!I1364/'Peers Stock History'!I$1833*100</f>
        <v>271.80712423979145</v>
      </c>
      <c r="I1361" s="871">
        <f>'Peers Stock History'!J1364/'Peers Stock History'!J$1833*100</f>
        <v>115.95232521017347</v>
      </c>
      <c r="J1361" s="871">
        <f>'Peers Stock History'!K1364/'Peers Stock History'!K$1833*100</f>
        <v>128.23318051221423</v>
      </c>
    </row>
    <row r="1362" spans="2:10">
      <c r="B1362" s="873">
        <v>43249</v>
      </c>
      <c r="C1362" s="871">
        <f>'Peers Stock History'!D1365/'Peers Stock History'!D$1833*100</f>
        <v>153.45353675450764</v>
      </c>
      <c r="D1362" s="871">
        <f>'Peers Stock History'!E1365/'Peers Stock History'!E$1833*100</f>
        <v>228.06422018348624</v>
      </c>
      <c r="E1362" s="871">
        <f>'Peers Stock History'!F1365/'Peers Stock History'!F$1833*100</f>
        <v>100.45112781954886</v>
      </c>
      <c r="F1362" s="871">
        <f>'Peers Stock History'!G1365/'Peers Stock History'!G$1833*100</f>
        <v>121.78880802645484</v>
      </c>
      <c r="G1362" s="871">
        <f>'Peers Stock History'!H1365/'Peers Stock History'!H$1833*100</f>
        <v>121.21462206903246</v>
      </c>
      <c r="H1362" s="871">
        <f>'Peers Stock History'!I1365/'Peers Stock History'!I$1833*100</f>
        <v>272.02432667245876</v>
      </c>
      <c r="I1362" s="871">
        <f>'Peers Stock History'!J1365/'Peers Stock History'!J$1833*100</f>
        <v>114.49866978823029</v>
      </c>
      <c r="J1362" s="871">
        <f>'Peers Stock History'!K1365/'Peers Stock History'!K$1833*100</f>
        <v>127.10147368131643</v>
      </c>
    </row>
    <row r="1363" spans="2:10">
      <c r="B1363" s="873">
        <v>43248</v>
      </c>
      <c r="C1363" s="871">
        <f>'Peers Stock History'!D1366/'Peers Stock History'!D$1833*100</f>
        <v>153.78640776699029</v>
      </c>
      <c r="D1363" s="871">
        <f>'Peers Stock History'!E1366/'Peers Stock History'!E$1833*100</f>
        <v>228.69724770642202</v>
      </c>
      <c r="E1363" s="871">
        <f>'Peers Stock History'!F1366/'Peers Stock History'!F$1833*100</f>
        <v>101.80451127819548</v>
      </c>
      <c r="F1363" s="871">
        <f>'Peers Stock History'!G1366/'Peers Stock History'!G$1833*100</f>
        <v>123.30628908249372</v>
      </c>
      <c r="G1363" s="871">
        <f>'Peers Stock History'!H1366/'Peers Stock History'!H$1833*100</f>
        <v>121.37967862517598</v>
      </c>
      <c r="H1363" s="871">
        <f>'Peers Stock History'!I1366/'Peers Stock History'!I$1833*100</f>
        <v>266.50738488271071</v>
      </c>
      <c r="I1363" s="871">
        <f>'Peers Stock History'!J1366/'Peers Stock History'!J$1833*100</f>
        <v>115.83824624880282</v>
      </c>
      <c r="J1363" s="871">
        <f>'Peers Stock History'!K1366/'Peers Stock History'!K$1833*100</f>
        <v>127.74174147340638</v>
      </c>
    </row>
    <row r="1364" spans="2:10">
      <c r="B1364" s="873">
        <v>43247</v>
      </c>
      <c r="C1364" s="871">
        <f>'Peers Stock History'!D1367/'Peers Stock History'!D$1833*100</f>
        <v>153.78640776699029</v>
      </c>
      <c r="D1364" s="871">
        <f>'Peers Stock History'!E1367/'Peers Stock History'!E$1833*100</f>
        <v>228.69724770642202</v>
      </c>
      <c r="E1364" s="871">
        <f>'Peers Stock History'!F1367/'Peers Stock History'!F$1833*100</f>
        <v>101.80451127819548</v>
      </c>
      <c r="F1364" s="871">
        <f>'Peers Stock History'!G1367/'Peers Stock History'!G$1833*100</f>
        <v>124.15425474478891</v>
      </c>
      <c r="G1364" s="871">
        <f>'Peers Stock History'!H1367/'Peers Stock History'!H$1833*100</f>
        <v>121.37967862517598</v>
      </c>
      <c r="H1364" s="871">
        <f>'Peers Stock History'!I1367/'Peers Stock History'!I$1833*100</f>
        <v>266.50738488271071</v>
      </c>
      <c r="I1364" s="871">
        <f>'Peers Stock History'!J1367/'Peers Stock History'!J$1833*100</f>
        <v>115.83824624880282</v>
      </c>
      <c r="J1364" s="871">
        <f>'Peers Stock History'!K1367/'Peers Stock History'!K$1833*100</f>
        <v>127.74174147340638</v>
      </c>
    </row>
    <row r="1365" spans="2:10">
      <c r="B1365" s="873">
        <v>43246</v>
      </c>
      <c r="C1365" s="871">
        <f>'Peers Stock History'!D1368/'Peers Stock History'!D$1833*100</f>
        <v>153.78640776699029</v>
      </c>
      <c r="D1365" s="871">
        <f>'Peers Stock History'!E1368/'Peers Stock History'!E$1833*100</f>
        <v>228.69724770642202</v>
      </c>
      <c r="E1365" s="871">
        <f>'Peers Stock History'!F1368/'Peers Stock History'!F$1833*100</f>
        <v>101.80451127819548</v>
      </c>
      <c r="F1365" s="871">
        <f>'Peers Stock History'!G1368/'Peers Stock History'!G$1833*100</f>
        <v>124.15425474478891</v>
      </c>
      <c r="G1365" s="871">
        <f>'Peers Stock History'!H1368/'Peers Stock History'!H$1833*100</f>
        <v>121.37967862517598</v>
      </c>
      <c r="H1365" s="871">
        <f>'Peers Stock History'!I1368/'Peers Stock History'!I$1833*100</f>
        <v>266.50738488271071</v>
      </c>
      <c r="I1365" s="871">
        <f>'Peers Stock History'!J1368/'Peers Stock History'!J$1833*100</f>
        <v>115.83824624880282</v>
      </c>
      <c r="J1365" s="871">
        <f>'Peers Stock History'!K1368/'Peers Stock History'!K$1833*100</f>
        <v>127.74174147340638</v>
      </c>
    </row>
    <row r="1366" spans="2:10">
      <c r="B1366" s="873">
        <v>43245</v>
      </c>
      <c r="C1366" s="871">
        <f>'Peers Stock History'!D1369/'Peers Stock History'!D$1833*100</f>
        <v>153.78640776699029</v>
      </c>
      <c r="D1366" s="871">
        <f>'Peers Stock History'!E1369/'Peers Stock History'!E$1833*100</f>
        <v>228.69724770642202</v>
      </c>
      <c r="E1366" s="871">
        <f>'Peers Stock History'!F1369/'Peers Stock History'!F$1833*100</f>
        <v>101.80451127819548</v>
      </c>
      <c r="F1366" s="871">
        <f>'Peers Stock History'!G1369/'Peers Stock History'!G$1833*100</f>
        <v>124.15425474478891</v>
      </c>
      <c r="G1366" s="871">
        <f>'Peers Stock History'!H1369/'Peers Stock History'!H$1833*100</f>
        <v>121.37967862517598</v>
      </c>
      <c r="H1366" s="871">
        <f>'Peers Stock History'!I1369/'Peers Stock History'!I$1833*100</f>
        <v>266.50738488271071</v>
      </c>
      <c r="I1366" s="871">
        <f>'Peers Stock History'!J1369/'Peers Stock History'!J$1833*100</f>
        <v>115.83824624880282</v>
      </c>
      <c r="J1366" s="871">
        <f>'Peers Stock History'!K1369/'Peers Stock History'!K$1833*100</f>
        <v>127.74174147340638</v>
      </c>
    </row>
    <row r="1367" spans="2:10">
      <c r="B1367" s="873">
        <v>43244</v>
      </c>
      <c r="C1367" s="871">
        <f>'Peers Stock History'!D1370/'Peers Stock History'!D$1833*100</f>
        <v>151.872399445215</v>
      </c>
      <c r="D1367" s="871">
        <f>'Peers Stock History'!E1370/'Peers Stock History'!E$1833*100</f>
        <v>227.23853211009174</v>
      </c>
      <c r="E1367" s="871">
        <f>'Peers Stock History'!F1370/'Peers Stock History'!F$1833*100</f>
        <v>100.82706766917293</v>
      </c>
      <c r="F1367" s="871">
        <f>'Peers Stock History'!G1370/'Peers Stock History'!G$1833*100</f>
        <v>124.45918381236274</v>
      </c>
      <c r="G1367" s="871">
        <f>'Peers Stock History'!H1370/'Peers Stock History'!H$1833*100</f>
        <v>118.22418564007961</v>
      </c>
      <c r="H1367" s="871">
        <f>'Peers Stock History'!I1370/'Peers Stock History'!I$1833*100</f>
        <v>267.11555169417898</v>
      </c>
      <c r="I1367" s="871">
        <f>'Peers Stock History'!J1370/'Peers Stock History'!J$1833*100</f>
        <v>116.11195062253911</v>
      </c>
      <c r="J1367" s="871">
        <f>'Peers Stock History'!K1370/'Peers Stock History'!K$1833*100</f>
        <v>127.57978430914316</v>
      </c>
    </row>
    <row r="1368" spans="2:10">
      <c r="B1368" s="873">
        <v>43243</v>
      </c>
      <c r="C1368" s="871">
        <f>'Peers Stock History'!D1371/'Peers Stock History'!D$1833*100</f>
        <v>153.14840499306521</v>
      </c>
      <c r="D1368" s="871">
        <f>'Peers Stock History'!E1371/'Peers Stock History'!E$1833*100</f>
        <v>227.10091743119264</v>
      </c>
      <c r="E1368" s="871">
        <f>'Peers Stock History'!F1371/'Peers Stock History'!F$1833*100</f>
        <v>98.496240601503743</v>
      </c>
      <c r="F1368" s="871">
        <f>'Peers Stock History'!G1371/'Peers Stock History'!G$1833*100</f>
        <v>124.04238913449348</v>
      </c>
      <c r="G1368" s="871">
        <f>'Peers Stock History'!H1371/'Peers Stock History'!H$1833*100</f>
        <v>116.78236807612019</v>
      </c>
      <c r="H1368" s="871">
        <f>'Peers Stock History'!I1371/'Peers Stock History'!I$1833*100</f>
        <v>260.51259774109468</v>
      </c>
      <c r="I1368" s="871">
        <f>'Peers Stock History'!J1371/'Peers Stock History'!J$1833*100</f>
        <v>116.34734489730765</v>
      </c>
      <c r="J1368" s="871">
        <f>'Peers Stock History'!K1371/'Peers Stock History'!K$1833*100</f>
        <v>127.60600676353739</v>
      </c>
    </row>
    <row r="1369" spans="2:10">
      <c r="B1369" s="873">
        <v>43242</v>
      </c>
      <c r="C1369" s="871">
        <f>'Peers Stock History'!D1372/'Peers Stock History'!D$1833*100</f>
        <v>151.04022191400836</v>
      </c>
      <c r="D1369" s="871">
        <f>'Peers Stock History'!E1372/'Peers Stock History'!E$1833*100</f>
        <v>222.66055045871559</v>
      </c>
      <c r="E1369" s="871">
        <f>'Peers Stock History'!F1372/'Peers Stock History'!F$1833*100</f>
        <v>97.593984962406012</v>
      </c>
      <c r="F1369" s="871">
        <f>'Peers Stock History'!G1372/'Peers Stock History'!G$1833*100</f>
        <v>124.72587908687946</v>
      </c>
      <c r="G1369" s="871">
        <f>'Peers Stock History'!H1372/'Peers Stock History'!H$1833*100</f>
        <v>115.77746492548182</v>
      </c>
      <c r="H1369" s="871">
        <f>'Peers Stock History'!I1372/'Peers Stock History'!I$1833*100</f>
        <v>256.42919200695047</v>
      </c>
      <c r="I1369" s="871">
        <f>'Peers Stock History'!J1372/'Peers Stock History'!J$1833*100</f>
        <v>115.97062892412472</v>
      </c>
      <c r="J1369" s="871">
        <f>'Peers Stock History'!K1372/'Peers Stock History'!K$1833*100</f>
        <v>126.78977702321875</v>
      </c>
    </row>
    <row r="1370" spans="2:10">
      <c r="B1370" s="873">
        <v>43241</v>
      </c>
      <c r="C1370" s="871">
        <f>'Peers Stock History'!D1373/'Peers Stock History'!D$1833*100</f>
        <v>150.67961165048544</v>
      </c>
      <c r="D1370" s="871">
        <f>'Peers Stock History'!E1373/'Peers Stock History'!E$1833*100</f>
        <v>224.07339449541283</v>
      </c>
      <c r="E1370" s="871">
        <f>'Peers Stock History'!F1373/'Peers Stock History'!F$1833*100</f>
        <v>97.669172932330824</v>
      </c>
      <c r="F1370" s="871">
        <f>'Peers Stock History'!G1373/'Peers Stock History'!G$1833*100</f>
        <v>124.67995952499611</v>
      </c>
      <c r="G1370" s="871">
        <f>'Peers Stock History'!H1373/'Peers Stock History'!H$1833*100</f>
        <v>116.04932278265936</v>
      </c>
      <c r="H1370" s="871">
        <f>'Peers Stock History'!I1373/'Peers Stock History'!I$1833*100</f>
        <v>241.00781928757601</v>
      </c>
      <c r="I1370" s="871">
        <f>'Peers Stock History'!J1373/'Peers Stock History'!J$1833*100</f>
        <v>116.33542619985103</v>
      </c>
      <c r="J1370" s="871">
        <f>'Peers Stock History'!K1373/'Peers Stock History'!K$1833*100</f>
        <v>127.05751756182725</v>
      </c>
    </row>
    <row r="1371" spans="2:10">
      <c r="B1371" s="873">
        <v>43240</v>
      </c>
      <c r="C1371" s="871">
        <f>'Peers Stock History'!D1374/'Peers Stock History'!D$1833*100</f>
        <v>148.40499306518723</v>
      </c>
      <c r="D1371" s="871">
        <f>'Peers Stock History'!E1374/'Peers Stock History'!E$1833*100</f>
        <v>225.63302752293578</v>
      </c>
      <c r="E1371" s="871">
        <f>'Peers Stock History'!F1374/'Peers Stock History'!F$1833*100</f>
        <v>97.744360902255636</v>
      </c>
      <c r="F1371" s="871">
        <f>'Peers Stock History'!G1374/'Peers Stock History'!G$1833*100</f>
        <v>121.46998944132351</v>
      </c>
      <c r="G1371" s="871">
        <f>'Peers Stock History'!H1374/'Peers Stock History'!H$1833*100</f>
        <v>114.56381377736784</v>
      </c>
      <c r="H1371" s="871">
        <f>'Peers Stock History'!I1374/'Peers Stock History'!I$1833*100</f>
        <v>231.92875760208517</v>
      </c>
      <c r="I1371" s="871">
        <f>'Peers Stock History'!J1374/'Peers Stock History'!J$1833*100</f>
        <v>115.482387996169</v>
      </c>
      <c r="J1371" s="871">
        <f>'Peers Stock History'!K1374/'Peers Stock History'!K$1833*100</f>
        <v>126.37537288811296</v>
      </c>
    </row>
    <row r="1372" spans="2:10">
      <c r="B1372" s="873">
        <v>43239</v>
      </c>
      <c r="C1372" s="871">
        <f>'Peers Stock History'!D1375/'Peers Stock History'!D$1833*100</f>
        <v>148.40499306518723</v>
      </c>
      <c r="D1372" s="871">
        <f>'Peers Stock History'!E1375/'Peers Stock History'!E$1833*100</f>
        <v>225.63302752293578</v>
      </c>
      <c r="E1372" s="871">
        <f>'Peers Stock History'!F1375/'Peers Stock History'!F$1833*100</f>
        <v>97.744360902255636</v>
      </c>
      <c r="F1372" s="871">
        <f>'Peers Stock History'!G1375/'Peers Stock History'!G$1833*100</f>
        <v>121.46998944132351</v>
      </c>
      <c r="G1372" s="871">
        <f>'Peers Stock History'!H1375/'Peers Stock History'!H$1833*100</f>
        <v>114.56381377736784</v>
      </c>
      <c r="H1372" s="871">
        <f>'Peers Stock History'!I1375/'Peers Stock History'!I$1833*100</f>
        <v>231.92875760208517</v>
      </c>
      <c r="I1372" s="871">
        <f>'Peers Stock History'!J1375/'Peers Stock History'!J$1833*100</f>
        <v>115.482387996169</v>
      </c>
      <c r="J1372" s="871">
        <f>'Peers Stock History'!K1375/'Peers Stock History'!K$1833*100</f>
        <v>126.37537288811296</v>
      </c>
    </row>
    <row r="1373" spans="2:10">
      <c r="B1373" s="873">
        <v>43238</v>
      </c>
      <c r="C1373" s="871">
        <f>'Peers Stock History'!D1376/'Peers Stock History'!D$1833*100</f>
        <v>148.40499306518723</v>
      </c>
      <c r="D1373" s="871">
        <f>'Peers Stock History'!E1376/'Peers Stock History'!E$1833*100</f>
        <v>225.63302752293578</v>
      </c>
      <c r="E1373" s="871">
        <f>'Peers Stock History'!F1376/'Peers Stock History'!F$1833*100</f>
        <v>97.744360902255636</v>
      </c>
      <c r="F1373" s="871">
        <f>'Peers Stock History'!G1376/'Peers Stock History'!G$1833*100</f>
        <v>121.46998944132351</v>
      </c>
      <c r="G1373" s="871">
        <f>'Peers Stock History'!H1376/'Peers Stock History'!H$1833*100</f>
        <v>114.56381377736784</v>
      </c>
      <c r="H1373" s="871">
        <f>'Peers Stock History'!I1376/'Peers Stock History'!I$1833*100</f>
        <v>231.92875760208517</v>
      </c>
      <c r="I1373" s="871">
        <f>'Peers Stock History'!J1376/'Peers Stock History'!J$1833*100</f>
        <v>115.482387996169</v>
      </c>
      <c r="J1373" s="871">
        <f>'Peers Stock History'!K1376/'Peers Stock History'!K$1833*100</f>
        <v>126.37537288811296</v>
      </c>
    </row>
    <row r="1374" spans="2:10">
      <c r="B1374" s="873">
        <v>43237</v>
      </c>
      <c r="C1374" s="871">
        <f>'Peers Stock History'!D1377/'Peers Stock History'!D$1833*100</f>
        <v>152.03883495145632</v>
      </c>
      <c r="D1374" s="871">
        <f>'Peers Stock History'!E1377/'Peers Stock History'!E$1833*100</f>
        <v>227.25688073394497</v>
      </c>
      <c r="E1374" s="871">
        <f>'Peers Stock History'!F1377/'Peers Stock History'!F$1833*100</f>
        <v>96.390977443609017</v>
      </c>
      <c r="F1374" s="871">
        <f>'Peers Stock History'!G1377/'Peers Stock History'!G$1833*100</f>
        <v>123.10045909825409</v>
      </c>
      <c r="G1374" s="871">
        <f>'Peers Stock History'!H1377/'Peers Stock History'!H$1833*100</f>
        <v>116.24350696635759</v>
      </c>
      <c r="H1374" s="871">
        <f>'Peers Stock History'!I1377/'Peers Stock History'!I$1833*100</f>
        <v>237.61946133796701</v>
      </c>
      <c r="I1374" s="871">
        <f>'Peers Stock History'!J1377/'Peers Stock History'!J$1833*100</f>
        <v>115.78716611684581</v>
      </c>
      <c r="J1374" s="871">
        <f>'Peers Stock History'!K1377/'Peers Stock History'!K$1833*100</f>
        <v>126.8588214673577</v>
      </c>
    </row>
    <row r="1375" spans="2:10">
      <c r="B1375" s="873">
        <v>43236</v>
      </c>
      <c r="C1375" s="871">
        <f>'Peers Stock History'!D1378/'Peers Stock History'!D$1833*100</f>
        <v>151.56726768377254</v>
      </c>
      <c r="D1375" s="871">
        <f>'Peers Stock History'!E1378/'Peers Stock History'!E$1833*100</f>
        <v>225.69724770642199</v>
      </c>
      <c r="E1375" s="871">
        <f>'Peers Stock History'!F1378/'Peers Stock History'!F$1833*100</f>
        <v>96.390977443609017</v>
      </c>
      <c r="F1375" s="871">
        <f>'Peers Stock History'!G1378/'Peers Stock History'!G$1833*100</f>
        <v>125.66066638756746</v>
      </c>
      <c r="G1375" s="871">
        <f>'Peers Stock History'!H1378/'Peers Stock History'!H$1833*100</f>
        <v>116.7580950531579</v>
      </c>
      <c r="H1375" s="871">
        <f>'Peers Stock History'!I1378/'Peers Stock History'!I$1833*100</f>
        <v>245.43874891398784</v>
      </c>
      <c r="I1375" s="871">
        <f>'Peers Stock History'!J1378/'Peers Stock History'!J$1833*100</f>
        <v>115.88634670639566</v>
      </c>
      <c r="J1375" s="871">
        <f>'Peers Stock History'!K1378/'Peers Stock History'!K$1833*100</f>
        <v>127.13070329791182</v>
      </c>
    </row>
    <row r="1376" spans="2:10">
      <c r="B1376" s="873">
        <v>43235</v>
      </c>
      <c r="C1376" s="871">
        <f>'Peers Stock History'!D1379/'Peers Stock History'!D$1833*100</f>
        <v>149.57004160887658</v>
      </c>
      <c r="D1376" s="871">
        <f>'Peers Stock History'!E1379/'Peers Stock History'!E$1833*100</f>
        <v>225.28440366972475</v>
      </c>
      <c r="E1376" s="871">
        <f>'Peers Stock History'!F1379/'Peers Stock History'!F$1833*100</f>
        <v>93.609022556390968</v>
      </c>
      <c r="F1376" s="871">
        <f>'Peers Stock History'!G1379/'Peers Stock History'!G$1833*100</f>
        <v>125.37494982240361</v>
      </c>
      <c r="G1376" s="871">
        <f>'Peers Stock History'!H1379/'Peers Stock History'!H$1833*100</f>
        <v>117.2775377445507</v>
      </c>
      <c r="H1376" s="871">
        <f>'Peers Stock History'!I1379/'Peers Stock History'!I$1833*100</f>
        <v>234.62206776715897</v>
      </c>
      <c r="I1376" s="871">
        <f>'Peers Stock History'!J1379/'Peers Stock History'!J$1833*100</f>
        <v>115.41768649569011</v>
      </c>
      <c r="J1376" s="871">
        <f>'Peers Stock History'!K1379/'Peers Stock History'!K$1833*100</f>
        <v>126.32877046588678</v>
      </c>
    </row>
    <row r="1377" spans="2:10">
      <c r="B1377" s="873">
        <v>43234</v>
      </c>
      <c r="C1377" s="871">
        <f>'Peers Stock History'!D1380/'Peers Stock History'!D$1833*100</f>
        <v>152.28848821081831</v>
      </c>
      <c r="D1377" s="871">
        <f>'Peers Stock History'!E1380/'Peers Stock History'!E$1833*100</f>
        <v>234.2752293577982</v>
      </c>
      <c r="E1377" s="871">
        <f>'Peers Stock History'!F1380/'Peers Stock History'!F$1833*100</f>
        <v>91.954887218045116</v>
      </c>
      <c r="F1377" s="871">
        <f>'Peers Stock History'!G1380/'Peers Stock History'!G$1833*100</f>
        <v>127.15568349961801</v>
      </c>
      <c r="G1377" s="871">
        <f>'Peers Stock History'!H1380/'Peers Stock History'!H$1833*100</f>
        <v>118.82130200495169</v>
      </c>
      <c r="H1377" s="871">
        <f>'Peers Stock History'!I1380/'Peers Stock History'!I$1833*100</f>
        <v>230.23457862728063</v>
      </c>
      <c r="I1377" s="871">
        <f>'Peers Stock History'!J1380/'Peers Stock History'!J$1833*100</f>
        <v>116.2128338831542</v>
      </c>
      <c r="J1377" s="871">
        <f>'Peers Stock History'!K1380/'Peers Stock History'!K$1833*100</f>
        <v>127.35443616567916</v>
      </c>
    </row>
    <row r="1378" spans="2:10">
      <c r="B1378" s="873">
        <v>43233</v>
      </c>
      <c r="C1378" s="871">
        <f>'Peers Stock History'!D1381/'Peers Stock History'!D$1833*100</f>
        <v>151.65048543689321</v>
      </c>
      <c r="D1378" s="871">
        <f>'Peers Stock History'!E1381/'Peers Stock History'!E$1833*100</f>
        <v>233.51376146788988</v>
      </c>
      <c r="E1378" s="871">
        <f>'Peers Stock History'!F1381/'Peers Stock History'!F$1833*100</f>
        <v>89.849624060150362</v>
      </c>
      <c r="F1378" s="871">
        <f>'Peers Stock History'!G1381/'Peers Stock History'!G$1833*100</f>
        <v>127.4078662730382</v>
      </c>
      <c r="G1378" s="871">
        <f>'Peers Stock History'!H1381/'Peers Stock History'!H$1833*100</f>
        <v>118.15136657119277</v>
      </c>
      <c r="H1378" s="871">
        <f>'Peers Stock History'!I1381/'Peers Stock History'!I$1833*100</f>
        <v>225.10860121633365</v>
      </c>
      <c r="I1378" s="871">
        <f>'Peers Stock History'!J1381/'Peers Stock History'!J$1833*100</f>
        <v>116.11024795147387</v>
      </c>
      <c r="J1378" s="871">
        <f>'Peers Stock History'!K1381/'Peers Stock History'!K$1833*100</f>
        <v>127.20954249893461</v>
      </c>
    </row>
    <row r="1379" spans="2:10">
      <c r="B1379" s="873">
        <v>43232</v>
      </c>
      <c r="C1379" s="871">
        <f>'Peers Stock History'!D1382/'Peers Stock History'!D$1833*100</f>
        <v>151.65048543689321</v>
      </c>
      <c r="D1379" s="871">
        <f>'Peers Stock History'!E1382/'Peers Stock History'!E$1833*100</f>
        <v>233.51376146788988</v>
      </c>
      <c r="E1379" s="871">
        <f>'Peers Stock History'!F1382/'Peers Stock History'!F$1833*100</f>
        <v>89.849624060150362</v>
      </c>
      <c r="F1379" s="871">
        <f>'Peers Stock History'!G1382/'Peers Stock History'!G$1833*100</f>
        <v>127.4078662730382</v>
      </c>
      <c r="G1379" s="871">
        <f>'Peers Stock History'!H1382/'Peers Stock History'!H$1833*100</f>
        <v>118.15136657119277</v>
      </c>
      <c r="H1379" s="871">
        <f>'Peers Stock History'!I1382/'Peers Stock History'!I$1833*100</f>
        <v>225.10860121633365</v>
      </c>
      <c r="I1379" s="871">
        <f>'Peers Stock History'!J1382/'Peers Stock History'!J$1833*100</f>
        <v>116.11024795147387</v>
      </c>
      <c r="J1379" s="871">
        <f>'Peers Stock History'!K1382/'Peers Stock History'!K$1833*100</f>
        <v>127.20954249893461</v>
      </c>
    </row>
    <row r="1380" spans="2:10">
      <c r="B1380" s="873">
        <v>43231</v>
      </c>
      <c r="C1380" s="871">
        <f>'Peers Stock History'!D1383/'Peers Stock History'!D$1833*100</f>
        <v>151.65048543689321</v>
      </c>
      <c r="D1380" s="871">
        <f>'Peers Stock History'!E1383/'Peers Stock History'!E$1833*100</f>
        <v>233.51376146788988</v>
      </c>
      <c r="E1380" s="871">
        <f>'Peers Stock History'!F1383/'Peers Stock History'!F$1833*100</f>
        <v>89.849624060150362</v>
      </c>
      <c r="F1380" s="871">
        <f>'Peers Stock History'!G1383/'Peers Stock History'!G$1833*100</f>
        <v>127.4078662730382</v>
      </c>
      <c r="G1380" s="871">
        <f>'Peers Stock History'!H1383/'Peers Stock History'!H$1833*100</f>
        <v>118.15136657119277</v>
      </c>
      <c r="H1380" s="871">
        <f>'Peers Stock History'!I1383/'Peers Stock History'!I$1833*100</f>
        <v>225.10860121633365</v>
      </c>
      <c r="I1380" s="871">
        <f>'Peers Stock History'!J1383/'Peers Stock History'!J$1833*100</f>
        <v>116.11024795147387</v>
      </c>
      <c r="J1380" s="871">
        <f>'Peers Stock History'!K1383/'Peers Stock History'!K$1833*100</f>
        <v>127.20954249893461</v>
      </c>
    </row>
    <row r="1381" spans="2:10">
      <c r="B1381" s="873">
        <v>43230</v>
      </c>
      <c r="C1381" s="871">
        <f>'Peers Stock History'!D1384/'Peers Stock History'!D$1833*100</f>
        <v>152.5104022191401</v>
      </c>
      <c r="D1381" s="871">
        <f>'Peers Stock History'!E1384/'Peers Stock History'!E$1833*100</f>
        <v>238.651376146789</v>
      </c>
      <c r="E1381" s="871">
        <f>'Peers Stock History'!F1384/'Peers Stock History'!F$1833*100</f>
        <v>91.203007518796994</v>
      </c>
      <c r="F1381" s="871">
        <f>'Peers Stock History'!G1384/'Peers Stock History'!G$1833*100</f>
        <v>125.66720844794102</v>
      </c>
      <c r="G1381" s="871">
        <f>'Peers Stock History'!H1384/'Peers Stock History'!H$1833*100</f>
        <v>118.21447643089469</v>
      </c>
      <c r="H1381" s="871">
        <f>'Peers Stock History'!I1384/'Peers Stock History'!I$1833*100</f>
        <v>228.75760208514336</v>
      </c>
      <c r="I1381" s="871">
        <f>'Peers Stock History'!J1384/'Peers Stock History'!J$1833*100</f>
        <v>115.91231244014048</v>
      </c>
      <c r="J1381" s="871">
        <f>'Peers Stock History'!K1384/'Peers Stock History'!K$1833*100</f>
        <v>127.24549097507665</v>
      </c>
    </row>
    <row r="1382" spans="2:10">
      <c r="B1382" s="873">
        <v>43229</v>
      </c>
      <c r="C1382" s="871">
        <f>'Peers Stock History'!D1385/'Peers Stock History'!D$1833*100</f>
        <v>150.7350901525659</v>
      </c>
      <c r="D1382" s="871">
        <f>'Peers Stock History'!E1385/'Peers Stock History'!E$1833*100</f>
        <v>234.66055045871559</v>
      </c>
      <c r="E1382" s="871">
        <f>'Peers Stock History'!F1385/'Peers Stock History'!F$1833*100</f>
        <v>89.849624060150362</v>
      </c>
      <c r="F1382" s="871">
        <f>'Peers Stock History'!G1385/'Peers Stock History'!G$1833*100</f>
        <v>124.78929801020927</v>
      </c>
      <c r="G1382" s="871">
        <f>'Peers Stock History'!H1385/'Peers Stock History'!H$1833*100</f>
        <v>115.56386232341376</v>
      </c>
      <c r="H1382" s="871">
        <f>'Peers Stock History'!I1385/'Peers Stock History'!I$1833*100</f>
        <v>221.58992180712423</v>
      </c>
      <c r="I1382" s="871">
        <f>'Peers Stock History'!J1385/'Peers Stock History'!J$1833*100</f>
        <v>114.83622432691286</v>
      </c>
      <c r="J1382" s="871">
        <f>'Peers Stock History'!K1385/'Peers Stock History'!K$1833*100</f>
        <v>126.12734214976011</v>
      </c>
    </row>
    <row r="1383" spans="2:10">
      <c r="B1383" s="873">
        <v>43228</v>
      </c>
      <c r="C1383" s="871">
        <f>'Peers Stock History'!D1386/'Peers Stock History'!D$1833*100</f>
        <v>148.76560332871014</v>
      </c>
      <c r="D1383" s="871">
        <f>'Peers Stock History'!E1386/'Peers Stock History'!E$1833*100</f>
        <v>229.72477064220183</v>
      </c>
      <c r="E1383" s="871">
        <f>'Peers Stock History'!F1386/'Peers Stock History'!F$1833*100</f>
        <v>87.293233082706763</v>
      </c>
      <c r="F1383" s="871">
        <f>'Peers Stock History'!G1386/'Peers Stock History'!G$1833*100</f>
        <v>124.47713233053548</v>
      </c>
      <c r="G1383" s="871">
        <f>'Peers Stock History'!H1386/'Peers Stock History'!H$1833*100</f>
        <v>115.95223069081023</v>
      </c>
      <c r="H1383" s="871">
        <f>'Peers Stock History'!I1386/'Peers Stock History'!I$1833*100</f>
        <v>210.99044309296264</v>
      </c>
      <c r="I1383" s="871">
        <f>'Peers Stock History'!J1386/'Peers Stock History'!J$1833*100</f>
        <v>113.73502181547303</v>
      </c>
      <c r="J1383" s="871">
        <f>'Peers Stock History'!K1386/'Peers Stock History'!K$1833*100</f>
        <v>124.87287436591839</v>
      </c>
    </row>
    <row r="1384" spans="2:10">
      <c r="B1384" s="873">
        <v>43227</v>
      </c>
      <c r="C1384" s="871">
        <f>'Peers Stock History'!D1387/'Peers Stock History'!D$1833*100</f>
        <v>147.93342579750347</v>
      </c>
      <c r="D1384" s="871">
        <f>'Peers Stock History'!E1387/'Peers Stock History'!E$1833*100</f>
        <v>228.14678899082571</v>
      </c>
      <c r="E1384" s="871">
        <f>'Peers Stock History'!F1387/'Peers Stock History'!F$1833*100</f>
        <v>87.142857142857139</v>
      </c>
      <c r="F1384" s="871">
        <f>'Peers Stock History'!G1387/'Peers Stock History'!G$1833*100</f>
        <v>121.95894984966134</v>
      </c>
      <c r="G1384" s="871">
        <f>'Peers Stock History'!H1387/'Peers Stock History'!H$1833*100</f>
        <v>114.55410456818291</v>
      </c>
      <c r="H1384" s="871">
        <f>'Peers Stock History'!I1387/'Peers Stock History'!I$1833*100</f>
        <v>210.59947871416159</v>
      </c>
      <c r="I1384" s="871">
        <f>'Peers Stock History'!J1387/'Peers Stock History'!J$1833*100</f>
        <v>113.76524422688092</v>
      </c>
      <c r="J1384" s="871">
        <f>'Peers Stock History'!K1387/'Peers Stock History'!K$1833*100</f>
        <v>124.84385095473105</v>
      </c>
    </row>
    <row r="1385" spans="2:10">
      <c r="B1385" s="873">
        <v>43226</v>
      </c>
      <c r="C1385" s="871">
        <f>'Peers Stock History'!D1388/'Peers Stock History'!D$1833*100</f>
        <v>146.40776699029126</v>
      </c>
      <c r="D1385" s="871">
        <f>'Peers Stock History'!E1388/'Peers Stock History'!E$1833*100</f>
        <v>219.32110091743118</v>
      </c>
      <c r="E1385" s="871">
        <f>'Peers Stock History'!F1388/'Peers Stock History'!F$1833*100</f>
        <v>84.812030075187963</v>
      </c>
      <c r="F1385" s="871">
        <f>'Peers Stock History'!G1388/'Peers Stock History'!G$1833*100</f>
        <v>122.27263907525467</v>
      </c>
      <c r="G1385" s="871">
        <f>'Peers Stock History'!H1388/'Peers Stock History'!H$1833*100</f>
        <v>111.90834506529444</v>
      </c>
      <c r="H1385" s="871">
        <f>'Peers Stock History'!I1388/'Peers Stock History'!I$1833*100</f>
        <v>206.68983492615118</v>
      </c>
      <c r="I1385" s="871">
        <f>'Peers Stock History'!J1388/'Peers Stock History'!J$1833*100</f>
        <v>113.37320421411088</v>
      </c>
      <c r="J1385" s="871">
        <f>'Peers Stock History'!K1388/'Peers Stock History'!K$1833*100</f>
        <v>123.88850129909407</v>
      </c>
    </row>
    <row r="1386" spans="2:10">
      <c r="B1386" s="873">
        <v>43225</v>
      </c>
      <c r="C1386" s="871">
        <f>'Peers Stock History'!D1389/'Peers Stock History'!D$1833*100</f>
        <v>146.40776699029126</v>
      </c>
      <c r="D1386" s="871">
        <f>'Peers Stock History'!E1389/'Peers Stock History'!E$1833*100</f>
        <v>219.32110091743118</v>
      </c>
      <c r="E1386" s="871">
        <f>'Peers Stock History'!F1389/'Peers Stock History'!F$1833*100</f>
        <v>84.812030075187963</v>
      </c>
      <c r="F1386" s="871">
        <f>'Peers Stock History'!G1389/'Peers Stock History'!G$1833*100</f>
        <v>122.27263907525467</v>
      </c>
      <c r="G1386" s="871">
        <f>'Peers Stock History'!H1389/'Peers Stock History'!H$1833*100</f>
        <v>111.90834506529444</v>
      </c>
      <c r="H1386" s="871">
        <f>'Peers Stock History'!I1389/'Peers Stock History'!I$1833*100</f>
        <v>206.68983492615118</v>
      </c>
      <c r="I1386" s="871">
        <f>'Peers Stock History'!J1389/'Peers Stock History'!J$1833*100</f>
        <v>113.37320421411088</v>
      </c>
      <c r="J1386" s="871">
        <f>'Peers Stock History'!K1389/'Peers Stock History'!K$1833*100</f>
        <v>123.88850129909407</v>
      </c>
    </row>
    <row r="1387" spans="2:10">
      <c r="B1387" s="873">
        <v>43224</v>
      </c>
      <c r="C1387" s="871">
        <f>'Peers Stock History'!D1390/'Peers Stock History'!D$1833*100</f>
        <v>146.40776699029126</v>
      </c>
      <c r="D1387" s="871">
        <f>'Peers Stock History'!E1390/'Peers Stock History'!E$1833*100</f>
        <v>219.32110091743118</v>
      </c>
      <c r="E1387" s="871">
        <f>'Peers Stock History'!F1390/'Peers Stock History'!F$1833*100</f>
        <v>84.812030075187963</v>
      </c>
      <c r="F1387" s="871">
        <f>'Peers Stock History'!G1390/'Peers Stock History'!G$1833*100</f>
        <v>122.27263907525467</v>
      </c>
      <c r="G1387" s="871">
        <f>'Peers Stock History'!H1390/'Peers Stock History'!H$1833*100</f>
        <v>111.90834506529444</v>
      </c>
      <c r="H1387" s="871">
        <f>'Peers Stock History'!I1390/'Peers Stock History'!I$1833*100</f>
        <v>206.68983492615118</v>
      </c>
      <c r="I1387" s="871">
        <f>'Peers Stock History'!J1390/'Peers Stock History'!J$1833*100</f>
        <v>113.37320421411088</v>
      </c>
      <c r="J1387" s="871">
        <f>'Peers Stock History'!K1390/'Peers Stock History'!K$1833*100</f>
        <v>123.88850129909407</v>
      </c>
    </row>
    <row r="1388" spans="2:10">
      <c r="B1388" s="873">
        <v>43223</v>
      </c>
      <c r="C1388" s="871">
        <f>'Peers Stock History'!D1391/'Peers Stock History'!D$1833*100</f>
        <v>145.02080443828018</v>
      </c>
      <c r="D1388" s="871">
        <f>'Peers Stock History'!E1391/'Peers Stock History'!E$1833*100</f>
        <v>213.75229357798165</v>
      </c>
      <c r="E1388" s="871">
        <f>'Peers Stock History'!F1391/'Peers Stock History'!F$1833*100</f>
        <v>82.180451127819538</v>
      </c>
      <c r="F1388" s="871">
        <f>'Peers Stock History'!G1391/'Peers Stock History'!G$1833*100</f>
        <v>120.89779455548448</v>
      </c>
      <c r="G1388" s="871">
        <f>'Peers Stock History'!H1391/'Peers Stock History'!H$1833*100</f>
        <v>109.34996844507015</v>
      </c>
      <c r="H1388" s="871">
        <f>'Peers Stock History'!I1391/'Peers Stock History'!I$1833*100</f>
        <v>202.51954821894006</v>
      </c>
      <c r="I1388" s="871">
        <f>'Peers Stock History'!J1391/'Peers Stock History'!J$1833*100</f>
        <v>111.9391295094179</v>
      </c>
      <c r="J1388" s="871">
        <f>'Peers Stock History'!K1391/'Peers Stock History'!K$1833*100</f>
        <v>121.80125579093522</v>
      </c>
    </row>
    <row r="1389" spans="2:10">
      <c r="B1389" s="873">
        <v>43222</v>
      </c>
      <c r="C1389" s="871">
        <f>'Peers Stock History'!D1392/'Peers Stock History'!D$1833*100</f>
        <v>145.10402219140087</v>
      </c>
      <c r="D1389" s="871">
        <f>'Peers Stock History'!E1392/'Peers Stock History'!E$1833*100</f>
        <v>207.62385321100916</v>
      </c>
      <c r="E1389" s="871">
        <f>'Peers Stock History'!F1392/'Peers Stock History'!F$1833*100</f>
        <v>82.481203007518801</v>
      </c>
      <c r="F1389" s="871">
        <f>'Peers Stock History'!G1392/'Peers Stock History'!G$1833*100</f>
        <v>121.78824468155037</v>
      </c>
      <c r="G1389" s="871">
        <f>'Peers Stock History'!H1392/'Peers Stock History'!H$1833*100</f>
        <v>111.04422544783728</v>
      </c>
      <c r="H1389" s="871">
        <f>'Peers Stock History'!I1392/'Peers Stock History'!I$1833*100</f>
        <v>199.34839270199828</v>
      </c>
      <c r="I1389" s="871">
        <f>'Peers Stock History'!J1392/'Peers Stock History'!J$1833*100</f>
        <v>112.1919761626051</v>
      </c>
      <c r="J1389" s="871">
        <f>'Peers Stock History'!K1392/'Peers Stock History'!K$1833*100</f>
        <v>122.02028030188472</v>
      </c>
    </row>
    <row r="1390" spans="2:10">
      <c r="B1390" s="873">
        <v>43221</v>
      </c>
      <c r="C1390" s="871">
        <f>'Peers Stock History'!D1393/'Peers Stock History'!D$1833*100</f>
        <v>147.93342579750347</v>
      </c>
      <c r="D1390" s="871">
        <f>'Peers Stock History'!E1393/'Peers Stock History'!E$1833*100</f>
        <v>208.38532110091739</v>
      </c>
      <c r="E1390" s="871">
        <f>'Peers Stock History'!F1393/'Peers Stock History'!F$1833*100</f>
        <v>83.684210526315795</v>
      </c>
      <c r="F1390" s="871">
        <f>'Peers Stock History'!G1393/'Peers Stock History'!G$1833*100</f>
        <v>124.65494511539821</v>
      </c>
      <c r="G1390" s="871">
        <f>'Peers Stock History'!H1393/'Peers Stock History'!H$1833*100</f>
        <v>111.84038060100004</v>
      </c>
      <c r="H1390" s="871">
        <f>'Peers Stock History'!I1393/'Peers Stock History'!I$1833*100</f>
        <v>203.25803649000869</v>
      </c>
      <c r="I1390" s="871">
        <f>'Peers Stock History'!J1393/'Peers Stock History'!J$1833*100</f>
        <v>113.00627859955306</v>
      </c>
      <c r="J1390" s="871">
        <f>'Peers Stock History'!K1393/'Peers Stock History'!K$1833*100</f>
        <v>122.53247735177268</v>
      </c>
    </row>
    <row r="1391" spans="2:10">
      <c r="B1391" s="873">
        <v>43220</v>
      </c>
      <c r="C1391" s="871">
        <f>'Peers Stock History'!D1394/'Peers Stock History'!D$1833*100</f>
        <v>143.19001386962555</v>
      </c>
      <c r="D1391" s="871">
        <f>'Peers Stock History'!E1394/'Peers Stock History'!E$1833*100</f>
        <v>206.3302752293578</v>
      </c>
      <c r="E1391" s="871">
        <f>'Peers Stock History'!F1394/'Peers Stock History'!F$1833*100</f>
        <v>81.804511278195491</v>
      </c>
      <c r="F1391" s="871">
        <f>'Peers Stock History'!G1394/'Peers Stock History'!G$1833*100</f>
        <v>124.65494511539821</v>
      </c>
      <c r="G1391" s="871">
        <f>'Peers Stock History'!H1394/'Peers Stock History'!H$1833*100</f>
        <v>111.37433856012426</v>
      </c>
      <c r="H1391" s="871">
        <f>'Peers Stock History'!I1394/'Peers Stock History'!I$1833*100</f>
        <v>199.73935708079929</v>
      </c>
      <c r="I1391" s="871">
        <f>'Peers Stock History'!J1394/'Peers Stock History'!J$1833*100</f>
        <v>112.71895285729489</v>
      </c>
      <c r="J1391" s="871">
        <f>'Peers Stock History'!K1394/'Peers Stock History'!K$1833*100</f>
        <v>121.4251886779484</v>
      </c>
    </row>
    <row r="1392" spans="2:10">
      <c r="B1392" s="873">
        <v>43219</v>
      </c>
      <c r="C1392" s="871">
        <f>'Peers Stock History'!D1395/'Peers Stock History'!D$1833*100</f>
        <v>146.26907073509014</v>
      </c>
      <c r="D1392" s="871">
        <f>'Peers Stock History'!E1395/'Peers Stock History'!E$1833*100</f>
        <v>207.64220183486239</v>
      </c>
      <c r="E1392" s="871">
        <f>'Peers Stock History'!F1395/'Peers Stock History'!F$1833*100</f>
        <v>83.533834586466156</v>
      </c>
      <c r="F1392" s="871">
        <f>'Peers Stock History'!G1395/'Peers Stock History'!G$1833*100</f>
        <v>122.98204694950641</v>
      </c>
      <c r="G1392" s="871">
        <f>'Peers Stock History'!H1395/'Peers Stock History'!H$1833*100</f>
        <v>113.00548570318946</v>
      </c>
      <c r="H1392" s="871">
        <f>'Peers Stock History'!I1395/'Peers Stock History'!I$1833*100</f>
        <v>206.4291920069505</v>
      </c>
      <c r="I1392" s="871">
        <f>'Peers Stock History'!J1395/'Peers Stock History'!J$1833*100</f>
        <v>113.64946259444504</v>
      </c>
      <c r="J1392" s="871">
        <f>'Peers Stock History'!K1395/'Peers Stock History'!K$1833*100</f>
        <v>122.34508818717953</v>
      </c>
    </row>
    <row r="1393" spans="2:10">
      <c r="B1393" s="873">
        <v>43218</v>
      </c>
      <c r="C1393" s="871">
        <f>'Peers Stock History'!D1396/'Peers Stock History'!D$1833*100</f>
        <v>146.26907073509014</v>
      </c>
      <c r="D1393" s="871">
        <f>'Peers Stock History'!E1396/'Peers Stock History'!E$1833*100</f>
        <v>207.64220183486239</v>
      </c>
      <c r="E1393" s="871">
        <f>'Peers Stock History'!F1396/'Peers Stock History'!F$1833*100</f>
        <v>83.533834586466156</v>
      </c>
      <c r="F1393" s="871">
        <f>'Peers Stock History'!G1396/'Peers Stock History'!G$1833*100</f>
        <v>122.98204694950641</v>
      </c>
      <c r="G1393" s="871">
        <f>'Peers Stock History'!H1396/'Peers Stock History'!H$1833*100</f>
        <v>113.00548570318946</v>
      </c>
      <c r="H1393" s="871">
        <f>'Peers Stock History'!I1396/'Peers Stock History'!I$1833*100</f>
        <v>206.4291920069505</v>
      </c>
      <c r="I1393" s="871">
        <f>'Peers Stock History'!J1396/'Peers Stock History'!J$1833*100</f>
        <v>113.64946259444504</v>
      </c>
      <c r="J1393" s="871">
        <f>'Peers Stock History'!K1396/'Peers Stock History'!K$1833*100</f>
        <v>122.34508818717953</v>
      </c>
    </row>
    <row r="1394" spans="2:10">
      <c r="B1394" s="873">
        <v>43217</v>
      </c>
      <c r="C1394" s="871">
        <f>'Peers Stock History'!D1397/'Peers Stock History'!D$1833*100</f>
        <v>146.26907073509014</v>
      </c>
      <c r="D1394" s="871">
        <f>'Peers Stock History'!E1397/'Peers Stock History'!E$1833*100</f>
        <v>207.64220183486239</v>
      </c>
      <c r="E1394" s="871">
        <f>'Peers Stock History'!F1397/'Peers Stock History'!F$1833*100</f>
        <v>83.533834586466156</v>
      </c>
      <c r="F1394" s="871">
        <f>'Peers Stock History'!G1397/'Peers Stock History'!G$1833*100</f>
        <v>122.98204694950641</v>
      </c>
      <c r="G1394" s="871">
        <f>'Peers Stock History'!H1397/'Peers Stock History'!H$1833*100</f>
        <v>113.00548570318946</v>
      </c>
      <c r="H1394" s="871">
        <f>'Peers Stock History'!I1397/'Peers Stock History'!I$1833*100</f>
        <v>206.4291920069505</v>
      </c>
      <c r="I1394" s="871">
        <f>'Peers Stock History'!J1397/'Peers Stock History'!J$1833*100</f>
        <v>113.64946259444504</v>
      </c>
      <c r="J1394" s="871">
        <f>'Peers Stock History'!K1397/'Peers Stock History'!K$1833*100</f>
        <v>122.34508818717953</v>
      </c>
    </row>
    <row r="1395" spans="2:10">
      <c r="B1395" s="873">
        <v>43216</v>
      </c>
      <c r="C1395" s="871">
        <f>'Peers Stock History'!D1398/'Peers Stock History'!D$1833*100</f>
        <v>147.15672676837727</v>
      </c>
      <c r="D1395" s="871">
        <f>'Peers Stock History'!E1398/'Peers Stock History'!E$1833*100</f>
        <v>206.62385321100919</v>
      </c>
      <c r="E1395" s="871">
        <f>'Peers Stock History'!F1398/'Peers Stock History'!F$1833*100</f>
        <v>83.007518796992471</v>
      </c>
      <c r="F1395" s="871">
        <f>'Peers Stock History'!G1398/'Peers Stock History'!G$1833*100</f>
        <v>121.82288018882271</v>
      </c>
      <c r="G1395" s="871">
        <f>'Peers Stock History'!H1398/'Peers Stock History'!H$1833*100</f>
        <v>111.85979901936986</v>
      </c>
      <c r="H1395" s="871">
        <f>'Peers Stock History'!I1398/'Peers Stock History'!I$1833*100</f>
        <v>217.81059947871415</v>
      </c>
      <c r="I1395" s="871">
        <f>'Peers Stock History'!J1398/'Peers Stock History'!J$1833*100</f>
        <v>113.52303926785143</v>
      </c>
      <c r="J1395" s="871">
        <f>'Peers Stock History'!K1398/'Peers Stock History'!K$1833*100</f>
        <v>122.32580798152399</v>
      </c>
    </row>
    <row r="1396" spans="2:10">
      <c r="B1396" s="873">
        <v>43215</v>
      </c>
      <c r="C1396" s="871">
        <f>'Peers Stock History'!D1399/'Peers Stock History'!D$1833*100</f>
        <v>142.52427184466021</v>
      </c>
      <c r="D1396" s="871">
        <f>'Peers Stock History'!E1399/'Peers Stock History'!E$1833*100</f>
        <v>198.77064220183487</v>
      </c>
      <c r="E1396" s="871">
        <f>'Peers Stock History'!F1399/'Peers Stock History'!F$1833*100</f>
        <v>73.007518796992485</v>
      </c>
      <c r="F1396" s="871">
        <f>'Peers Stock History'!G1399/'Peers Stock History'!G$1833*100</f>
        <v>123.33184107622228</v>
      </c>
      <c r="G1396" s="871">
        <f>'Peers Stock History'!H1399/'Peers Stock History'!H$1833*100</f>
        <v>111.17044516724113</v>
      </c>
      <c r="H1396" s="871">
        <f>'Peers Stock History'!I1399/'Peers Stock History'!I$1833*100</f>
        <v>206.77671589921806</v>
      </c>
      <c r="I1396" s="871">
        <f>'Peers Stock History'!J1399/'Peers Stock History'!J$1833*100</f>
        <v>112.35075023943813</v>
      </c>
      <c r="J1396" s="871">
        <f>'Peers Stock History'!K1399/'Peers Stock History'!K$1833*100</f>
        <v>120.35070384779291</v>
      </c>
    </row>
    <row r="1397" spans="2:10">
      <c r="B1397" s="873">
        <v>43214</v>
      </c>
      <c r="C1397" s="871">
        <f>'Peers Stock History'!D1400/'Peers Stock History'!D$1833*100</f>
        <v>142.71844660194176</v>
      </c>
      <c r="D1397" s="871">
        <f>'Peers Stock History'!E1400/'Peers Stock History'!E$1833*100</f>
        <v>202.93577981651376</v>
      </c>
      <c r="E1397" s="871">
        <f>'Peers Stock History'!F1400/'Peers Stock History'!F$1833*100</f>
        <v>75.864661654135332</v>
      </c>
      <c r="F1397" s="871">
        <f>'Peers Stock History'!G1400/'Peers Stock History'!G$1833*100</f>
        <v>124.70546213074334</v>
      </c>
      <c r="G1397" s="871">
        <f>'Peers Stock History'!H1400/'Peers Stock History'!H$1833*100</f>
        <v>110.8743142871013</v>
      </c>
      <c r="H1397" s="871">
        <f>'Peers Stock History'!I1400/'Peers Stock History'!I$1833*100</f>
        <v>204.64813205907907</v>
      </c>
      <c r="I1397" s="871">
        <f>'Peers Stock History'!J1400/'Peers Stock History'!J$1833*100</f>
        <v>112.14472704054485</v>
      </c>
      <c r="J1397" s="871">
        <f>'Peers Stock History'!K1400/'Peers Stock History'!K$1833*100</f>
        <v>120.41282322697717</v>
      </c>
    </row>
    <row r="1398" spans="2:10">
      <c r="B1398" s="873">
        <v>43213</v>
      </c>
      <c r="C1398" s="871">
        <f>'Peers Stock History'!D1401/'Peers Stock History'!D$1833*100</f>
        <v>141.747572815534</v>
      </c>
      <c r="D1398" s="871">
        <f>'Peers Stock History'!E1401/'Peers Stock History'!E$1833*100</f>
        <v>205.39449541284404</v>
      </c>
      <c r="E1398" s="871">
        <f>'Peers Stock History'!F1401/'Peers Stock History'!F$1833*100</f>
        <v>75.488721804511272</v>
      </c>
      <c r="F1398" s="871">
        <f>'Peers Stock History'!G1401/'Peers Stock History'!G$1833*100</f>
        <v>124.50225860883425</v>
      </c>
      <c r="G1398" s="871">
        <f>'Peers Stock History'!H1401/'Peers Stock History'!H$1833*100</f>
        <v>113.33074421088401</v>
      </c>
      <c r="H1398" s="871">
        <f>'Peers Stock History'!I1401/'Peers Stock History'!I$1833*100</f>
        <v>212.94526498696786</v>
      </c>
      <c r="I1398" s="871">
        <f>'Peers Stock History'!J1401/'Peers Stock History'!J$1833*100</f>
        <v>113.66563796956474</v>
      </c>
      <c r="J1398" s="871">
        <f>'Peers Stock History'!K1401/'Peers Stock History'!K$1833*100</f>
        <v>122.49633985400656</v>
      </c>
    </row>
    <row r="1399" spans="2:10">
      <c r="B1399" s="873">
        <v>43212</v>
      </c>
      <c r="C1399" s="871">
        <f>'Peers Stock History'!D1402/'Peers Stock History'!D$1833*100</f>
        <v>142.94036061026355</v>
      </c>
      <c r="D1399" s="871">
        <f>'Peers Stock History'!E1402/'Peers Stock History'!E$1833*100</f>
        <v>209.8256880733945</v>
      </c>
      <c r="E1399" s="871">
        <f>'Peers Stock History'!F1402/'Peers Stock History'!F$1833*100</f>
        <v>75.112781954887225</v>
      </c>
      <c r="F1399" s="871">
        <f>'Peers Stock History'!G1402/'Peers Stock History'!G$1833*100</f>
        <v>126.48765171599716</v>
      </c>
      <c r="G1399" s="871">
        <f>'Peers Stock History'!H1402/'Peers Stock History'!H$1833*100</f>
        <v>115.11238409631534</v>
      </c>
      <c r="H1399" s="871">
        <f>'Peers Stock History'!I1402/'Peers Stock History'!I$1833*100</f>
        <v>219.89574283231968</v>
      </c>
      <c r="I1399" s="871">
        <f>'Peers Stock History'!J1402/'Peers Stock History'!J$1833*100</f>
        <v>113.65925295307014</v>
      </c>
      <c r="J1399" s="871">
        <f>'Peers Stock History'!K1402/'Peers Stock History'!K$1833*100</f>
        <v>122.79748566872415</v>
      </c>
    </row>
    <row r="1400" spans="2:10">
      <c r="B1400" s="873">
        <v>43211</v>
      </c>
      <c r="C1400" s="871">
        <f>'Peers Stock History'!D1403/'Peers Stock History'!D$1833*100</f>
        <v>142.94036061026355</v>
      </c>
      <c r="D1400" s="871">
        <f>'Peers Stock History'!E1403/'Peers Stock History'!E$1833*100</f>
        <v>209.8256880733945</v>
      </c>
      <c r="E1400" s="871">
        <f>'Peers Stock History'!F1403/'Peers Stock History'!F$1833*100</f>
        <v>75.112781954887225</v>
      </c>
      <c r="F1400" s="871">
        <f>'Peers Stock History'!G1403/'Peers Stock History'!G$1833*100</f>
        <v>126.48765171599716</v>
      </c>
      <c r="G1400" s="871">
        <f>'Peers Stock History'!H1403/'Peers Stock History'!H$1833*100</f>
        <v>115.11238409631534</v>
      </c>
      <c r="H1400" s="871">
        <f>'Peers Stock History'!I1403/'Peers Stock History'!I$1833*100</f>
        <v>219.89574283231968</v>
      </c>
      <c r="I1400" s="871">
        <f>'Peers Stock History'!J1403/'Peers Stock History'!J$1833*100</f>
        <v>113.65925295307014</v>
      </c>
      <c r="J1400" s="871">
        <f>'Peers Stock History'!K1403/'Peers Stock History'!K$1833*100</f>
        <v>122.79748566872415</v>
      </c>
    </row>
    <row r="1401" spans="2:10">
      <c r="B1401" s="873">
        <v>43210</v>
      </c>
      <c r="C1401" s="871">
        <f>'Peers Stock History'!D1404/'Peers Stock History'!D$1833*100</f>
        <v>142.94036061026355</v>
      </c>
      <c r="D1401" s="871">
        <f>'Peers Stock History'!E1404/'Peers Stock History'!E$1833*100</f>
        <v>209.8256880733945</v>
      </c>
      <c r="E1401" s="871">
        <f>'Peers Stock History'!F1404/'Peers Stock History'!F$1833*100</f>
        <v>75.112781954887225</v>
      </c>
      <c r="F1401" s="871">
        <f>'Peers Stock History'!G1404/'Peers Stock History'!G$1833*100</f>
        <v>126.48765171599716</v>
      </c>
      <c r="G1401" s="871">
        <f>'Peers Stock History'!H1404/'Peers Stock History'!H$1833*100</f>
        <v>115.11238409631534</v>
      </c>
      <c r="H1401" s="871">
        <f>'Peers Stock History'!I1404/'Peers Stock History'!I$1833*100</f>
        <v>219.89574283231968</v>
      </c>
      <c r="I1401" s="871">
        <f>'Peers Stock History'!J1404/'Peers Stock History'!J$1833*100</f>
        <v>113.65925295307014</v>
      </c>
      <c r="J1401" s="871">
        <f>'Peers Stock History'!K1404/'Peers Stock History'!K$1833*100</f>
        <v>122.79748566872415</v>
      </c>
    </row>
    <row r="1402" spans="2:10">
      <c r="B1402" s="873">
        <v>43209</v>
      </c>
      <c r="C1402" s="871">
        <f>'Peers Stock History'!D1405/'Peers Stock History'!D$1833*100</f>
        <v>144.85436893203885</v>
      </c>
      <c r="D1402" s="871">
        <f>'Peers Stock History'!E1405/'Peers Stock History'!E$1833*100</f>
        <v>210.12844036697248</v>
      </c>
      <c r="E1402" s="871">
        <f>'Peers Stock History'!F1405/'Peers Stock History'!F$1833*100</f>
        <v>76.015037593984957</v>
      </c>
      <c r="F1402" s="871">
        <f>'Peers Stock History'!G1405/'Peers Stock History'!G$1833*100</f>
        <v>135.35697539747363</v>
      </c>
      <c r="G1402" s="871">
        <f>'Peers Stock History'!H1405/'Peers Stock History'!H$1833*100</f>
        <v>117.89892713238508</v>
      </c>
      <c r="H1402" s="871">
        <f>'Peers Stock History'!I1405/'Peers Stock History'!I$1833*100</f>
        <v>223.37098175499568</v>
      </c>
      <c r="I1402" s="871">
        <f>'Peers Stock History'!J1405/'Peers Stock History'!J$1833*100</f>
        <v>114.63786314781315</v>
      </c>
      <c r="J1402" s="871">
        <f>'Peers Stock History'!K1405/'Peers Stock History'!K$1833*100</f>
        <v>124.37719093246085</v>
      </c>
    </row>
    <row r="1403" spans="2:10">
      <c r="B1403" s="873">
        <v>43208</v>
      </c>
      <c r="C1403" s="871">
        <f>'Peers Stock History'!D1406/'Peers Stock History'!D$1833*100</f>
        <v>148.71012482662968</v>
      </c>
      <c r="D1403" s="871">
        <f>'Peers Stock History'!E1406/'Peers Stock History'!E$1833*100</f>
        <v>216.85321100917432</v>
      </c>
      <c r="E1403" s="871">
        <f>'Peers Stock History'!F1406/'Peers Stock History'!F$1833*100</f>
        <v>77.894736842105246</v>
      </c>
      <c r="F1403" s="871">
        <f>'Peers Stock History'!G1406/'Peers Stock History'!G$1833*100</f>
        <v>132.20394716040954</v>
      </c>
      <c r="G1403" s="871">
        <f>'Peers Stock History'!H1406/'Peers Stock History'!H$1833*100</f>
        <v>121.16607602310792</v>
      </c>
      <c r="H1403" s="871">
        <f>'Peers Stock History'!I1406/'Peers Stock History'!I$1833*100</f>
        <v>234.62206776715897</v>
      </c>
      <c r="I1403" s="871">
        <f>'Peers Stock History'!J1406/'Peers Stock History'!J$1833*100</f>
        <v>115.29807385335744</v>
      </c>
      <c r="J1403" s="871">
        <f>'Peers Stock History'!K1406/'Peers Stock History'!K$1833*100</f>
        <v>125.35975970196445</v>
      </c>
    </row>
    <row r="1404" spans="2:10">
      <c r="B1404" s="873">
        <v>43207</v>
      </c>
      <c r="C1404" s="871">
        <f>'Peers Stock History'!D1407/'Peers Stock History'!D$1833*100</f>
        <v>148.51595006934815</v>
      </c>
      <c r="D1404" s="871">
        <f>'Peers Stock History'!E1407/'Peers Stock History'!E$1833*100</f>
        <v>217.92660550458714</v>
      </c>
      <c r="E1404" s="871">
        <f>'Peers Stock History'!F1407/'Peers Stock History'!F$1833*100</f>
        <v>79.09774436090224</v>
      </c>
      <c r="F1404" s="871">
        <f>'Peers Stock History'!G1407/'Peers Stock History'!G$1833*100</f>
        <v>131.91116158748196</v>
      </c>
      <c r="G1404" s="871">
        <f>'Peers Stock History'!H1407/'Peers Stock History'!H$1833*100</f>
        <v>122.20981601048595</v>
      </c>
      <c r="H1404" s="871">
        <f>'Peers Stock History'!I1407/'Peers Stock History'!I$1833*100</f>
        <v>227.01998262380539</v>
      </c>
      <c r="I1404" s="871">
        <f>'Peers Stock History'!J1407/'Peers Stock History'!J$1833*100</f>
        <v>115.20229860593807</v>
      </c>
      <c r="J1404" s="871">
        <f>'Peers Stock History'!K1407/'Peers Stock History'!K$1833*100</f>
        <v>125.11683254746163</v>
      </c>
    </row>
    <row r="1405" spans="2:10">
      <c r="B1405" s="873">
        <v>43206</v>
      </c>
      <c r="C1405" s="871">
        <f>'Peers Stock History'!D1408/'Peers Stock History'!D$1833*100</f>
        <v>145.35367545076284</v>
      </c>
      <c r="D1405" s="871">
        <f>'Peers Stock History'!E1408/'Peers Stock History'!E$1833*100</f>
        <v>212.37614678899081</v>
      </c>
      <c r="E1405" s="871">
        <f>'Peers Stock History'!F1408/'Peers Stock History'!F$1833*100</f>
        <v>75.864661654135332</v>
      </c>
      <c r="F1405" s="871">
        <f>'Peers Stock History'!G1408/'Peers Stock History'!G$1833*100</f>
        <v>134.98712409051836</v>
      </c>
      <c r="G1405" s="871">
        <f>'Peers Stock History'!H1408/'Peers Stock History'!H$1833*100</f>
        <v>121.05927472207387</v>
      </c>
      <c r="H1405" s="871">
        <f>'Peers Stock History'!I1408/'Peers Stock History'!I$1833*100</f>
        <v>224.37011294526496</v>
      </c>
      <c r="I1405" s="871">
        <f>'Peers Stock History'!J1408/'Peers Stock History'!J$1833*100</f>
        <v>113.98701713312759</v>
      </c>
      <c r="J1405" s="871">
        <f>'Peers Stock History'!K1408/'Peers Stock History'!K$1833*100</f>
        <v>122.97205573044829</v>
      </c>
    </row>
    <row r="1406" spans="2:10">
      <c r="B1406" s="873">
        <v>43205</v>
      </c>
      <c r="C1406" s="871">
        <f>'Peers Stock History'!D1409/'Peers Stock History'!D$1833*100</f>
        <v>143.85575589459086</v>
      </c>
      <c r="D1406" s="871">
        <f>'Peers Stock History'!E1409/'Peers Stock History'!E$1833*100</f>
        <v>212.38532110091742</v>
      </c>
      <c r="E1406" s="871">
        <f>'Peers Stock History'!F1409/'Peers Stock History'!F$1833*100</f>
        <v>74.661654135338338</v>
      </c>
      <c r="F1406" s="871">
        <f>'Peers Stock History'!G1409/'Peers Stock History'!G$1833*100</f>
        <v>135.70334590328454</v>
      </c>
      <c r="G1406" s="871">
        <f>'Peers Stock History'!H1409/'Peers Stock History'!H$1833*100</f>
        <v>119.87960580610708</v>
      </c>
      <c r="H1406" s="871">
        <f>'Peers Stock History'!I1409/'Peers Stock History'!I$1833*100</f>
        <v>226.88966116420502</v>
      </c>
      <c r="I1406" s="871">
        <f>'Peers Stock History'!J1409/'Peers Stock History'!J$1833*100</f>
        <v>113.07012876449932</v>
      </c>
      <c r="J1406" s="871">
        <f>'Peers Stock History'!K1409/'Peers Stock History'!K$1833*100</f>
        <v>122.11913861127532</v>
      </c>
    </row>
    <row r="1407" spans="2:10">
      <c r="B1407" s="873">
        <v>43204</v>
      </c>
      <c r="C1407" s="871">
        <f>'Peers Stock History'!D1410/'Peers Stock History'!D$1833*100</f>
        <v>143.85575589459086</v>
      </c>
      <c r="D1407" s="871">
        <f>'Peers Stock History'!E1410/'Peers Stock History'!E$1833*100</f>
        <v>212.38532110091742</v>
      </c>
      <c r="E1407" s="871">
        <f>'Peers Stock History'!F1410/'Peers Stock History'!F$1833*100</f>
        <v>74.661654135338338</v>
      </c>
      <c r="F1407" s="871">
        <f>'Peers Stock History'!G1410/'Peers Stock History'!G$1833*100</f>
        <v>135.70334590328454</v>
      </c>
      <c r="G1407" s="871">
        <f>'Peers Stock History'!H1410/'Peers Stock History'!H$1833*100</f>
        <v>119.87960580610708</v>
      </c>
      <c r="H1407" s="871">
        <f>'Peers Stock History'!I1410/'Peers Stock History'!I$1833*100</f>
        <v>226.88966116420502</v>
      </c>
      <c r="I1407" s="871">
        <f>'Peers Stock History'!J1410/'Peers Stock History'!J$1833*100</f>
        <v>113.07012876449932</v>
      </c>
      <c r="J1407" s="871">
        <f>'Peers Stock History'!K1410/'Peers Stock History'!K$1833*100</f>
        <v>122.11913861127532</v>
      </c>
    </row>
    <row r="1408" spans="2:10">
      <c r="B1408" s="873">
        <v>43203</v>
      </c>
      <c r="C1408" s="871">
        <f>'Peers Stock History'!D1411/'Peers Stock History'!D$1833*100</f>
        <v>143.85575589459086</v>
      </c>
      <c r="D1408" s="871">
        <f>'Peers Stock History'!E1411/'Peers Stock History'!E$1833*100</f>
        <v>212.38532110091742</v>
      </c>
      <c r="E1408" s="871">
        <f>'Peers Stock History'!F1411/'Peers Stock History'!F$1833*100</f>
        <v>74.661654135338338</v>
      </c>
      <c r="F1408" s="871">
        <f>'Peers Stock History'!G1411/'Peers Stock History'!G$1833*100</f>
        <v>135.70334590328454</v>
      </c>
      <c r="G1408" s="871">
        <f>'Peers Stock History'!H1411/'Peers Stock History'!H$1833*100</f>
        <v>119.87960580610708</v>
      </c>
      <c r="H1408" s="871">
        <f>'Peers Stock History'!I1411/'Peers Stock History'!I$1833*100</f>
        <v>226.88966116420502</v>
      </c>
      <c r="I1408" s="871">
        <f>'Peers Stock History'!J1411/'Peers Stock History'!J$1833*100</f>
        <v>113.07012876449932</v>
      </c>
      <c r="J1408" s="871">
        <f>'Peers Stock History'!K1411/'Peers Stock History'!K$1833*100</f>
        <v>122.11913861127532</v>
      </c>
    </row>
    <row r="1409" spans="2:10">
      <c r="B1409" s="873">
        <v>43202</v>
      </c>
      <c r="C1409" s="871">
        <f>'Peers Stock History'!D1412/'Peers Stock History'!D$1833*100</f>
        <v>146.24133148404994</v>
      </c>
      <c r="D1409" s="871">
        <f>'Peers Stock History'!E1412/'Peers Stock History'!E$1833*100</f>
        <v>215.22935779816513</v>
      </c>
      <c r="E1409" s="871">
        <f>'Peers Stock History'!F1412/'Peers Stock History'!F$1833*100</f>
        <v>75.78947368421052</v>
      </c>
      <c r="F1409" s="871">
        <f>'Peers Stock History'!G1412/'Peers Stock History'!G$1833*100</f>
        <v>136.10159351715885</v>
      </c>
      <c r="G1409" s="871">
        <f>'Peers Stock History'!H1412/'Peers Stock History'!H$1833*100</f>
        <v>116.23379775717268</v>
      </c>
      <c r="H1409" s="871">
        <f>'Peers Stock History'!I1412/'Peers Stock History'!I$1833*100</f>
        <v>228.45351867940923</v>
      </c>
      <c r="I1409" s="871">
        <f>'Peers Stock History'!J1412/'Peers Stock History'!J$1833*100</f>
        <v>113.39746727679045</v>
      </c>
      <c r="J1409" s="871">
        <f>'Peers Stock History'!K1412/'Peers Stock History'!K$1833*100</f>
        <v>122.6964793863327</v>
      </c>
    </row>
    <row r="1410" spans="2:10">
      <c r="B1410" s="873">
        <v>43201</v>
      </c>
      <c r="C1410" s="871">
        <f>'Peers Stock History'!D1413/'Peers Stock History'!D$1833*100</f>
        <v>141.747572815534</v>
      </c>
      <c r="D1410" s="871">
        <f>'Peers Stock History'!E1413/'Peers Stock History'!E$1833*100</f>
        <v>207.55963302752295</v>
      </c>
      <c r="E1410" s="871">
        <f>'Peers Stock History'!F1413/'Peers Stock History'!F$1833*100</f>
        <v>73.834586466165405</v>
      </c>
      <c r="F1410" s="871">
        <f>'Peers Stock History'!G1413/'Peers Stock History'!G$1833*100</f>
        <v>138.16920851649266</v>
      </c>
      <c r="G1410" s="871">
        <f>'Peers Stock History'!H1413/'Peers Stock History'!H$1833*100</f>
        <v>116.66585756590125</v>
      </c>
      <c r="H1410" s="871">
        <f>'Peers Stock History'!I1413/'Peers Stock History'!I$1833*100</f>
        <v>219.28757602085142</v>
      </c>
      <c r="I1410" s="871">
        <f>'Peers Stock History'!J1413/'Peers Stock History'!J$1833*100</f>
        <v>112.46951154623817</v>
      </c>
      <c r="J1410" s="871">
        <f>'Peers Stock History'!K1413/'Peers Stock History'!K$1833*100</f>
        <v>121.47261592180692</v>
      </c>
    </row>
    <row r="1411" spans="2:10">
      <c r="B1411" s="873">
        <v>43200</v>
      </c>
      <c r="C1411" s="871">
        <f>'Peers Stock History'!D1414/'Peers Stock History'!D$1833*100</f>
        <v>142.21914008321775</v>
      </c>
      <c r="D1411" s="871">
        <f>'Peers Stock History'!E1414/'Peers Stock History'!E$1833*100</f>
        <v>209.09174311926603</v>
      </c>
      <c r="E1411" s="871">
        <f>'Peers Stock History'!F1414/'Peers Stock History'!F$1833*100</f>
        <v>75.037593984962399</v>
      </c>
      <c r="F1411" s="871">
        <f>'Peers Stock History'!G1414/'Peers Stock History'!G$1833*100</f>
        <v>136.88420088591465</v>
      </c>
      <c r="G1411" s="871">
        <f>'Peers Stock History'!H1414/'Peers Stock History'!H$1833*100</f>
        <v>116.38914510413126</v>
      </c>
      <c r="H1411" s="871">
        <f>'Peers Stock History'!I1414/'Peers Stock History'!I$1833*100</f>
        <v>219.28757602085142</v>
      </c>
      <c r="I1411" s="871">
        <f>'Peers Stock History'!J1414/'Peers Stock History'!J$1833*100</f>
        <v>113.09439182717888</v>
      </c>
      <c r="J1411" s="871">
        <f>'Peers Stock History'!K1414/'Peers Stock History'!K$1833*100</f>
        <v>121.90693606257648</v>
      </c>
    </row>
    <row r="1412" spans="2:10">
      <c r="B1412" s="873">
        <v>43199</v>
      </c>
      <c r="C1412" s="871">
        <f>'Peers Stock History'!D1415/'Peers Stock History'!D$1833*100</f>
        <v>137.44798890429959</v>
      </c>
      <c r="D1412" s="871">
        <f>'Peers Stock History'!E1415/'Peers Stock History'!E$1833*100</f>
        <v>197.62385321100916</v>
      </c>
      <c r="E1412" s="871">
        <f>'Peers Stock History'!F1415/'Peers Stock History'!F$1833*100</f>
        <v>71.654135338345853</v>
      </c>
      <c r="F1412" s="871">
        <f>'Peers Stock History'!G1415/'Peers Stock History'!G$1833*100</f>
        <v>136.30174291938997</v>
      </c>
      <c r="G1412" s="871">
        <f>'Peers Stock History'!H1415/'Peers Stock History'!H$1833*100</f>
        <v>113.95698820331084</v>
      </c>
      <c r="H1412" s="871">
        <f>'Peers Stock History'!I1415/'Peers Stock History'!I$1833*100</f>
        <v>208.34057341442227</v>
      </c>
      <c r="I1412" s="871">
        <f>'Peers Stock History'!J1415/'Peers Stock History'!J$1833*100</f>
        <v>111.23379802064488</v>
      </c>
      <c r="J1412" s="871">
        <f>'Peers Stock History'!K1415/'Peers Stock History'!K$1833*100</f>
        <v>119.43321006832272</v>
      </c>
    </row>
    <row r="1413" spans="2:10">
      <c r="B1413" s="873">
        <v>43198</v>
      </c>
      <c r="C1413" s="871">
        <f>'Peers Stock History'!D1416/'Peers Stock History'!D$1833*100</f>
        <v>135.33980582524271</v>
      </c>
      <c r="D1413" s="871">
        <f>'Peers Stock History'!E1416/'Peers Stock History'!E$1833*100</f>
        <v>196.55963302752292</v>
      </c>
      <c r="E1413" s="871">
        <f>'Peers Stock History'!F1416/'Peers Stock History'!F$1833*100</f>
        <v>72.25563909774435</v>
      </c>
      <c r="F1413" s="871">
        <f>'Peers Stock History'!G1416/'Peers Stock History'!G$1833*100</f>
        <v>136.27672070300653</v>
      </c>
      <c r="G1413" s="871">
        <f>'Peers Stock History'!H1416/'Peers Stock History'!H$1833*100</f>
        <v>111.1073353075392</v>
      </c>
      <c r="H1413" s="871">
        <f>'Peers Stock History'!I1416/'Peers Stock History'!I$1833*100</f>
        <v>210.51259774109471</v>
      </c>
      <c r="I1413" s="871">
        <f>'Peers Stock History'!J1416/'Peers Stock History'!J$1833*100</f>
        <v>110.86389273172288</v>
      </c>
      <c r="J1413" s="871">
        <f>'Peers Stock History'!K1416/'Peers Stock History'!K$1833*100</f>
        <v>118.82777380641436</v>
      </c>
    </row>
    <row r="1414" spans="2:10">
      <c r="B1414" s="873">
        <v>43197</v>
      </c>
      <c r="C1414" s="871">
        <f>'Peers Stock History'!D1417/'Peers Stock History'!D$1833*100</f>
        <v>135.33980582524271</v>
      </c>
      <c r="D1414" s="871">
        <f>'Peers Stock History'!E1417/'Peers Stock History'!E$1833*100</f>
        <v>196.55963302752292</v>
      </c>
      <c r="E1414" s="871">
        <f>'Peers Stock History'!F1417/'Peers Stock History'!F$1833*100</f>
        <v>72.25563909774435</v>
      </c>
      <c r="F1414" s="871">
        <f>'Peers Stock History'!G1417/'Peers Stock History'!G$1833*100</f>
        <v>136.27672070300653</v>
      </c>
      <c r="G1414" s="871">
        <f>'Peers Stock History'!H1417/'Peers Stock History'!H$1833*100</f>
        <v>111.1073353075392</v>
      </c>
      <c r="H1414" s="871">
        <f>'Peers Stock History'!I1417/'Peers Stock History'!I$1833*100</f>
        <v>210.51259774109471</v>
      </c>
      <c r="I1414" s="871">
        <f>'Peers Stock History'!J1417/'Peers Stock History'!J$1833*100</f>
        <v>110.86389273172288</v>
      </c>
      <c r="J1414" s="871">
        <f>'Peers Stock History'!K1417/'Peers Stock History'!K$1833*100</f>
        <v>118.82777380641436</v>
      </c>
    </row>
    <row r="1415" spans="2:10">
      <c r="B1415" s="873">
        <v>43196</v>
      </c>
      <c r="C1415" s="871">
        <f>'Peers Stock History'!D1418/'Peers Stock History'!D$1833*100</f>
        <v>135.33980582524271</v>
      </c>
      <c r="D1415" s="871">
        <f>'Peers Stock History'!E1418/'Peers Stock History'!E$1833*100</f>
        <v>196.55963302752292</v>
      </c>
      <c r="E1415" s="871">
        <f>'Peers Stock History'!F1418/'Peers Stock History'!F$1833*100</f>
        <v>72.25563909774435</v>
      </c>
      <c r="F1415" s="871">
        <f>'Peers Stock History'!G1418/'Peers Stock History'!G$1833*100</f>
        <v>136.27672070300653</v>
      </c>
      <c r="G1415" s="871">
        <f>'Peers Stock History'!H1418/'Peers Stock History'!H$1833*100</f>
        <v>111.1073353075392</v>
      </c>
      <c r="H1415" s="871">
        <f>'Peers Stock History'!I1418/'Peers Stock History'!I$1833*100</f>
        <v>210.51259774109471</v>
      </c>
      <c r="I1415" s="871">
        <f>'Peers Stock History'!J1418/'Peers Stock History'!J$1833*100</f>
        <v>110.86389273172288</v>
      </c>
      <c r="J1415" s="871">
        <f>'Peers Stock History'!K1418/'Peers Stock History'!K$1833*100</f>
        <v>118.82777380641436</v>
      </c>
    </row>
    <row r="1416" spans="2:10">
      <c r="B1416" s="873">
        <v>43195</v>
      </c>
      <c r="C1416" s="871">
        <f>'Peers Stock History'!D1419/'Peers Stock History'!D$1833*100</f>
        <v>139.75034674063801</v>
      </c>
      <c r="D1416" s="871">
        <f>'Peers Stock History'!E1419/'Peers Stock History'!E$1833*100</f>
        <v>203.10091743119267</v>
      </c>
      <c r="E1416" s="871">
        <f>'Peers Stock History'!F1419/'Peers Stock History'!F$1833*100</f>
        <v>75.338345864661648</v>
      </c>
      <c r="F1416" s="871">
        <f>'Peers Stock History'!G1419/'Peers Stock History'!G$1833*100</f>
        <v>136.27672070300653</v>
      </c>
      <c r="G1416" s="871">
        <f>'Peers Stock History'!H1419/'Peers Stock History'!H$1833*100</f>
        <v>114.71916112432643</v>
      </c>
      <c r="H1416" s="871">
        <f>'Peers Stock History'!I1419/'Peers Stock History'!I$1833*100</f>
        <v>216.50738488271068</v>
      </c>
      <c r="I1416" s="871">
        <f>'Peers Stock History'!J1419/'Peers Stock History'!J$1833*100</f>
        <v>113.348515483665</v>
      </c>
      <c r="J1416" s="871">
        <f>'Peers Stock History'!K1419/'Peers Stock History'!K$1833*100</f>
        <v>121.6019410802414</v>
      </c>
    </row>
    <row r="1417" spans="2:10">
      <c r="B1417" s="873">
        <v>43194</v>
      </c>
      <c r="C1417" s="871">
        <f>'Peers Stock History'!D1420/'Peers Stock History'!D$1833*100</f>
        <v>138.66851595006938</v>
      </c>
      <c r="D1417" s="871">
        <f>'Peers Stock History'!E1420/'Peers Stock History'!E$1833*100</f>
        <v>207.55963302752295</v>
      </c>
      <c r="E1417" s="871">
        <f>'Peers Stock History'!F1420/'Peers Stock History'!F$1833*100</f>
        <v>73.458646616541344</v>
      </c>
      <c r="F1417" s="871">
        <f>'Peers Stock History'!G1420/'Peers Stock History'!G$1833*100</f>
        <v>136.27672070300653</v>
      </c>
      <c r="G1417" s="871">
        <f>'Peers Stock History'!H1420/'Peers Stock History'!H$1833*100</f>
        <v>115.04927423661341</v>
      </c>
      <c r="H1417" s="871">
        <f>'Peers Stock History'!I1420/'Peers Stock History'!I$1833*100</f>
        <v>231.92875760208517</v>
      </c>
      <c r="I1417" s="871">
        <f>'Peers Stock History'!J1420/'Peers Stock History'!J$1833*100</f>
        <v>112.57592848781526</v>
      </c>
      <c r="J1417" s="871">
        <f>'Peers Stock History'!K1420/'Peers Stock History'!K$1833*100</f>
        <v>121.01004564013034</v>
      </c>
    </row>
    <row r="1418" spans="2:10">
      <c r="B1418" s="873">
        <v>43193</v>
      </c>
      <c r="C1418" s="871">
        <f>'Peers Stock History'!D1421/'Peers Stock History'!D$1833*100</f>
        <v>138.00277392510404</v>
      </c>
      <c r="D1418" s="871">
        <f>'Peers Stock History'!E1421/'Peers Stock History'!E$1833*100</f>
        <v>206.74311926605503</v>
      </c>
      <c r="E1418" s="871">
        <f>'Peers Stock History'!F1421/'Peers Stock History'!F$1833*100</f>
        <v>71.804511278195491</v>
      </c>
      <c r="F1418" s="871">
        <f>'Peers Stock History'!G1421/'Peers Stock History'!G$1833*100</f>
        <v>136.27672070300653</v>
      </c>
      <c r="G1418" s="871">
        <f>'Peers Stock History'!H1421/'Peers Stock History'!H$1833*100</f>
        <v>114.94732754017186</v>
      </c>
      <c r="H1418" s="871">
        <f>'Peers Stock History'!I1421/'Peers Stock History'!I$1833*100</f>
        <v>223.93570807993052</v>
      </c>
      <c r="I1418" s="871">
        <f>'Peers Stock History'!J1421/'Peers Stock History'!J$1833*100</f>
        <v>111.28870916249866</v>
      </c>
      <c r="J1418" s="871">
        <f>'Peers Stock History'!K1421/'Peers Stock History'!K$1833*100</f>
        <v>119.27749061765394</v>
      </c>
    </row>
    <row r="1419" spans="2:10">
      <c r="B1419" s="873">
        <v>43192</v>
      </c>
      <c r="C1419" s="871">
        <f>'Peers Stock History'!D1422/'Peers Stock History'!D$1833*100</f>
        <v>135.70041608876562</v>
      </c>
      <c r="D1419" s="871">
        <f>'Peers Stock History'!E1422/'Peers Stock History'!E$1833*100</f>
        <v>202.79816513761469</v>
      </c>
      <c r="E1419" s="871">
        <f>'Peers Stock History'!F1422/'Peers Stock History'!F$1833*100</f>
        <v>71.654135338345853</v>
      </c>
      <c r="F1419" s="871">
        <f>'Peers Stock History'!G1422/'Peers Stock History'!G$1833*100</f>
        <v>137.66354561294133</v>
      </c>
      <c r="G1419" s="871">
        <f>'Peers Stock History'!H1422/'Peers Stock History'!H$1833*100</f>
        <v>110.52963736103693</v>
      </c>
      <c r="H1419" s="871">
        <f>'Peers Stock History'!I1422/'Peers Stock History'!I$1833*100</f>
        <v>217.46307558644656</v>
      </c>
      <c r="I1419" s="871">
        <f>'Peers Stock History'!J1422/'Peers Stock History'!J$1833*100</f>
        <v>109.90230924763222</v>
      </c>
      <c r="J1419" s="871">
        <f>'Peers Stock History'!K1422/'Peers Stock History'!K$1833*100</f>
        <v>118.05464099638453</v>
      </c>
    </row>
    <row r="1420" spans="2:10">
      <c r="B1420" s="873">
        <v>43191</v>
      </c>
      <c r="C1420" s="871">
        <f>'Peers Stock History'!D1423/'Peers Stock History'!D$1833*100</f>
        <v>144.46601941747574</v>
      </c>
      <c r="D1420" s="871">
        <f>'Peers Stock History'!E1423/'Peers Stock History'!E$1833*100</f>
        <v>212.46788990825686</v>
      </c>
      <c r="E1420" s="871">
        <f>'Peers Stock History'!F1423/'Peers Stock History'!F$1833*100</f>
        <v>75.563909774436084</v>
      </c>
      <c r="F1420" s="871">
        <f>'Peers Stock History'!G1423/'Peers Stock History'!G$1833*100</f>
        <v>138.47397944560467</v>
      </c>
      <c r="G1420" s="871">
        <f>'Peers Stock History'!H1423/'Peers Stock History'!H$1833*100</f>
        <v>114.39875722122433</v>
      </c>
      <c r="H1420" s="871">
        <f>'Peers Stock History'!I1423/'Peers Stock History'!I$1833*100</f>
        <v>226.49869678540401</v>
      </c>
      <c r="I1420" s="871">
        <f>'Peers Stock History'!J1423/'Peers Stock History'!J$1833*100</f>
        <v>112.41332340108545</v>
      </c>
      <c r="J1420" s="871">
        <f>'Peers Stock History'!K1423/'Peers Stock History'!K$1833*100</f>
        <v>121.37671322326547</v>
      </c>
    </row>
    <row r="1421" spans="2:10">
      <c r="B1421" s="873">
        <v>43190</v>
      </c>
      <c r="C1421" s="871">
        <f>'Peers Stock History'!D1424/'Peers Stock History'!D$1833*100</f>
        <v>144.46601941747574</v>
      </c>
      <c r="D1421" s="871">
        <f>'Peers Stock History'!E1424/'Peers Stock History'!E$1833*100</f>
        <v>212.46788990825686</v>
      </c>
      <c r="E1421" s="871">
        <f>'Peers Stock History'!F1424/'Peers Stock History'!F$1833*100</f>
        <v>75.563909774436084</v>
      </c>
      <c r="F1421" s="871">
        <f>'Peers Stock History'!G1424/'Peers Stock History'!G$1833*100</f>
        <v>138.47397944560467</v>
      </c>
      <c r="G1421" s="871">
        <f>'Peers Stock History'!H1424/'Peers Stock History'!H$1833*100</f>
        <v>114.39875722122433</v>
      </c>
      <c r="H1421" s="871">
        <f>'Peers Stock History'!I1424/'Peers Stock History'!I$1833*100</f>
        <v>226.49869678540401</v>
      </c>
      <c r="I1421" s="871">
        <f>'Peers Stock History'!J1424/'Peers Stock History'!J$1833*100</f>
        <v>112.41332340108545</v>
      </c>
      <c r="J1421" s="871">
        <f>'Peers Stock History'!K1424/'Peers Stock History'!K$1833*100</f>
        <v>121.37671322326547</v>
      </c>
    </row>
    <row r="1422" spans="2:10">
      <c r="B1422" s="873">
        <v>43189</v>
      </c>
      <c r="C1422" s="871">
        <f>'Peers Stock History'!D1425/'Peers Stock History'!D$1833*100</f>
        <v>144.46601941747574</v>
      </c>
      <c r="D1422" s="871">
        <f>'Peers Stock History'!E1425/'Peers Stock History'!E$1833*100</f>
        <v>212.46788990825686</v>
      </c>
      <c r="E1422" s="871">
        <f>'Peers Stock History'!F1425/'Peers Stock History'!F$1833*100</f>
        <v>75.563909774436084</v>
      </c>
      <c r="F1422" s="871">
        <f>'Peers Stock History'!G1425/'Peers Stock History'!G$1833*100</f>
        <v>137.63474320654038</v>
      </c>
      <c r="G1422" s="871">
        <f>'Peers Stock History'!H1425/'Peers Stock History'!H$1833*100</f>
        <v>114.39875722122433</v>
      </c>
      <c r="H1422" s="871">
        <f>'Peers Stock History'!I1425/'Peers Stock History'!I$1833*100</f>
        <v>226.49869678540401</v>
      </c>
      <c r="I1422" s="871">
        <f>'Peers Stock History'!J1425/'Peers Stock History'!J$1833*100</f>
        <v>112.41332340108545</v>
      </c>
      <c r="J1422" s="871">
        <f>'Peers Stock History'!K1425/'Peers Stock History'!K$1833*100</f>
        <v>121.37671322326547</v>
      </c>
    </row>
    <row r="1423" spans="2:10">
      <c r="B1423" s="873">
        <v>43188</v>
      </c>
      <c r="C1423" s="871">
        <f>'Peers Stock History'!D1426/'Peers Stock History'!D$1833*100</f>
        <v>144.46601941747574</v>
      </c>
      <c r="D1423" s="871">
        <f>'Peers Stock History'!E1426/'Peers Stock History'!E$1833*100</f>
        <v>212.46788990825686</v>
      </c>
      <c r="E1423" s="871">
        <f>'Peers Stock History'!F1426/'Peers Stock History'!F$1833*100</f>
        <v>75.563909774436084</v>
      </c>
      <c r="F1423" s="871">
        <f>'Peers Stock History'!G1426/'Peers Stock History'!G$1833*100</f>
        <v>136.38441972290713</v>
      </c>
      <c r="G1423" s="871">
        <f>'Peers Stock History'!H1426/'Peers Stock History'!H$1833*100</f>
        <v>114.39875722122433</v>
      </c>
      <c r="H1423" s="871">
        <f>'Peers Stock History'!I1426/'Peers Stock History'!I$1833*100</f>
        <v>226.49869678540401</v>
      </c>
      <c r="I1423" s="871">
        <f>'Peers Stock History'!J1426/'Peers Stock History'!J$1833*100</f>
        <v>112.41332340108545</v>
      </c>
      <c r="J1423" s="871">
        <f>'Peers Stock History'!K1426/'Peers Stock History'!K$1833*100</f>
        <v>121.37671322326547</v>
      </c>
    </row>
    <row r="1424" spans="2:10">
      <c r="B1424" s="873">
        <v>43187</v>
      </c>
      <c r="C1424" s="871">
        <f>'Peers Stock History'!D1427/'Peers Stock History'!D$1833*100</f>
        <v>137.58668515950069</v>
      </c>
      <c r="D1424" s="871">
        <f>'Peers Stock History'!E1427/'Peers Stock History'!E$1833*100</f>
        <v>203.07339449541283</v>
      </c>
      <c r="E1424" s="871">
        <f>'Peers Stock History'!F1427/'Peers Stock History'!F$1833*100</f>
        <v>73.759398496240607</v>
      </c>
      <c r="F1424" s="871">
        <f>'Peers Stock History'!G1427/'Peers Stock History'!G$1833*100</f>
        <v>136.78357287857241</v>
      </c>
      <c r="G1424" s="871">
        <f>'Peers Stock History'!H1427/'Peers Stock History'!H$1833*100</f>
        <v>114.89878149424729</v>
      </c>
      <c r="H1424" s="871">
        <f>'Peers Stock History'!I1427/'Peers Stock History'!I$1833*100</f>
        <v>223.67506516072982</v>
      </c>
      <c r="I1424" s="871">
        <f>'Peers Stock History'!J1427/'Peers Stock History'!J$1833*100</f>
        <v>110.88645312333722</v>
      </c>
      <c r="J1424" s="871">
        <f>'Peers Stock History'!K1427/'Peers Stock History'!K$1833*100</f>
        <v>119.41399859780321</v>
      </c>
    </row>
    <row r="1425" spans="2:10">
      <c r="B1425" s="873">
        <v>43186</v>
      </c>
      <c r="C1425" s="871">
        <f>'Peers Stock History'!D1428/'Peers Stock History'!D$1833*100</f>
        <v>141.99722607489599</v>
      </c>
      <c r="D1425" s="871">
        <f>'Peers Stock History'!E1428/'Peers Stock History'!E$1833*100</f>
        <v>206.89908256880733</v>
      </c>
      <c r="E1425" s="871">
        <f>'Peers Stock History'!F1428/'Peers Stock History'!F$1833*100</f>
        <v>75.187969924812023</v>
      </c>
      <c r="F1425" s="871">
        <f>'Peers Stock History'!G1428/'Peers Stock History'!G$1833*100</f>
        <v>139.92207729571078</v>
      </c>
      <c r="G1425" s="871">
        <f>'Peers Stock History'!H1428/'Peers Stock History'!H$1833*100</f>
        <v>118.63197242584592</v>
      </c>
      <c r="H1425" s="871">
        <f>'Peers Stock History'!I1428/'Peers Stock History'!I$1833*100</f>
        <v>227.62814943527366</v>
      </c>
      <c r="I1425" s="871">
        <f>'Peers Stock History'!J1428/'Peers Stock History'!J$1833*100</f>
        <v>111.21081196126423</v>
      </c>
      <c r="J1425" s="871">
        <f>'Peers Stock History'!K1428/'Peers Stock History'!K$1833*100</f>
        <v>120.43780844892291</v>
      </c>
    </row>
    <row r="1426" spans="2:10">
      <c r="B1426" s="873">
        <v>43185</v>
      </c>
      <c r="C1426" s="871">
        <f>'Peers Stock History'!D1429/'Peers Stock History'!D$1833*100</f>
        <v>145.5755894590846</v>
      </c>
      <c r="D1426" s="871">
        <f>'Peers Stock History'!E1429/'Peers Stock History'!E$1833*100</f>
        <v>224.29357798165137</v>
      </c>
      <c r="E1426" s="871">
        <f>'Peers Stock History'!F1429/'Peers Stock History'!F$1833*100</f>
        <v>78.496240601503757</v>
      </c>
      <c r="F1426" s="871">
        <f>'Peers Stock History'!G1429/'Peers Stock History'!G$1833*100</f>
        <v>136.22664543495446</v>
      </c>
      <c r="G1426" s="871">
        <f>'Peers Stock History'!H1429/'Peers Stock History'!H$1833*100</f>
        <v>120.26311956891109</v>
      </c>
      <c r="H1426" s="871">
        <f>'Peers Stock History'!I1429/'Peers Stock History'!I$1833*100</f>
        <v>241.35534317984363</v>
      </c>
      <c r="I1426" s="871">
        <f>'Peers Stock History'!J1429/'Peers Stock History'!J$1833*100</f>
        <v>113.16590401191871</v>
      </c>
      <c r="J1426" s="871">
        <f>'Peers Stock History'!K1429/'Peers Stock History'!K$1833*100</f>
        <v>124.07625132315137</v>
      </c>
    </row>
    <row r="1427" spans="2:10">
      <c r="B1427" s="873">
        <v>43184</v>
      </c>
      <c r="C1427" s="871">
        <f>'Peers Stock History'!D1430/'Peers Stock History'!D$1833*100</f>
        <v>136.92094313453538</v>
      </c>
      <c r="D1427" s="871">
        <f>'Peers Stock History'!E1430/'Peers Stock History'!E$1833*100</f>
        <v>213.73394495412845</v>
      </c>
      <c r="E1427" s="871">
        <f>'Peers Stock History'!F1430/'Peers Stock History'!F$1833*100</f>
        <v>79.924812030075188</v>
      </c>
      <c r="F1427" s="871">
        <f>'Peers Stock History'!G1430/'Peers Stock History'!G$1833*100</f>
        <v>136.59605041515459</v>
      </c>
      <c r="G1427" s="871">
        <f>'Peers Stock History'!H1430/'Peers Stock History'!H$1833*100</f>
        <v>117.71445215787173</v>
      </c>
      <c r="H1427" s="871">
        <f>'Peers Stock History'!I1430/'Peers Stock History'!I$1833*100</f>
        <v>235.49087749782797</v>
      </c>
      <c r="I1427" s="871">
        <f>'Peers Stock History'!J1430/'Peers Stock History'!J$1833*100</f>
        <v>110.173885282537</v>
      </c>
      <c r="J1427" s="871">
        <f>'Peers Stock History'!K1430/'Peers Stock History'!K$1833*100</f>
        <v>120.16046217505465</v>
      </c>
    </row>
    <row r="1428" spans="2:10">
      <c r="B1428" s="873">
        <v>43183</v>
      </c>
      <c r="C1428" s="871">
        <f>'Peers Stock History'!D1431/'Peers Stock History'!D$1833*100</f>
        <v>136.92094313453538</v>
      </c>
      <c r="D1428" s="871">
        <f>'Peers Stock History'!E1431/'Peers Stock History'!E$1833*100</f>
        <v>213.73394495412845</v>
      </c>
      <c r="E1428" s="871">
        <f>'Peers Stock History'!F1431/'Peers Stock History'!F$1833*100</f>
        <v>79.924812030075188</v>
      </c>
      <c r="F1428" s="871">
        <f>'Peers Stock History'!G1431/'Peers Stock History'!G$1833*100</f>
        <v>136.59605041515459</v>
      </c>
      <c r="G1428" s="871">
        <f>'Peers Stock History'!H1431/'Peers Stock History'!H$1833*100</f>
        <v>117.71445215787173</v>
      </c>
      <c r="H1428" s="871">
        <f>'Peers Stock History'!I1431/'Peers Stock History'!I$1833*100</f>
        <v>235.49087749782797</v>
      </c>
      <c r="I1428" s="871">
        <f>'Peers Stock History'!J1431/'Peers Stock History'!J$1833*100</f>
        <v>110.173885282537</v>
      </c>
      <c r="J1428" s="871">
        <f>'Peers Stock History'!K1431/'Peers Stock History'!K$1833*100</f>
        <v>120.16046217505465</v>
      </c>
    </row>
    <row r="1429" spans="2:10">
      <c r="B1429" s="873">
        <v>43182</v>
      </c>
      <c r="C1429" s="871">
        <f>'Peers Stock History'!D1432/'Peers Stock History'!D$1833*100</f>
        <v>136.92094313453538</v>
      </c>
      <c r="D1429" s="871">
        <f>'Peers Stock History'!E1432/'Peers Stock History'!E$1833*100</f>
        <v>213.73394495412845</v>
      </c>
      <c r="E1429" s="871">
        <f>'Peers Stock History'!F1432/'Peers Stock History'!F$1833*100</f>
        <v>79.924812030075188</v>
      </c>
      <c r="F1429" s="871">
        <f>'Peers Stock History'!G1432/'Peers Stock History'!G$1833*100</f>
        <v>136.59605041515459</v>
      </c>
      <c r="G1429" s="871">
        <f>'Peers Stock History'!H1432/'Peers Stock History'!H$1833*100</f>
        <v>117.71445215787173</v>
      </c>
      <c r="H1429" s="871">
        <f>'Peers Stock History'!I1432/'Peers Stock History'!I$1833*100</f>
        <v>235.49087749782797</v>
      </c>
      <c r="I1429" s="871">
        <f>'Peers Stock History'!J1432/'Peers Stock History'!J$1833*100</f>
        <v>110.173885282537</v>
      </c>
      <c r="J1429" s="871">
        <f>'Peers Stock History'!K1432/'Peers Stock History'!K$1833*100</f>
        <v>120.16046217505465</v>
      </c>
    </row>
    <row r="1430" spans="2:10">
      <c r="B1430" s="873">
        <v>43181</v>
      </c>
      <c r="C1430" s="871">
        <f>'Peers Stock History'!D1433/'Peers Stock History'!D$1833*100</f>
        <v>140.998613037448</v>
      </c>
      <c r="D1430" s="871">
        <f>'Peers Stock History'!E1433/'Peers Stock History'!E$1833*100</f>
        <v>221.88073394495413</v>
      </c>
      <c r="E1430" s="871">
        <f>'Peers Stock History'!F1433/'Peers Stock History'!F$1833*100</f>
        <v>82.030075187969913</v>
      </c>
      <c r="F1430" s="871">
        <f>'Peers Stock History'!G1433/'Peers Stock History'!G$1833*100</f>
        <v>140.22002726290361</v>
      </c>
      <c r="G1430" s="871">
        <f>'Peers Stock History'!H1433/'Peers Stock History'!H$1833*100</f>
        <v>118.24360405844942</v>
      </c>
      <c r="H1430" s="871">
        <f>'Peers Stock History'!I1433/'Peers Stock History'!I$1833*100</f>
        <v>255.95134665508255</v>
      </c>
      <c r="I1430" s="871">
        <f>'Peers Stock History'!J1433/'Peers Stock History'!J$1833*100</f>
        <v>112.53336171118443</v>
      </c>
      <c r="J1430" s="871">
        <f>'Peers Stock History'!K1433/'Peers Stock History'!K$1833*100</f>
        <v>123.15062961384602</v>
      </c>
    </row>
    <row r="1431" spans="2:10">
      <c r="B1431" s="873">
        <v>43180</v>
      </c>
      <c r="C1431" s="871">
        <f>'Peers Stock History'!D1434/'Peers Stock History'!D$1833*100</f>
        <v>143.02357836338419</v>
      </c>
      <c r="D1431" s="871">
        <f>'Peers Stock History'!E1434/'Peers Stock History'!E$1833*100</f>
        <v>228.0366972477064</v>
      </c>
      <c r="E1431" s="871">
        <f>'Peers Stock History'!F1434/'Peers Stock History'!F$1833*100</f>
        <v>84.661654135338338</v>
      </c>
      <c r="F1431" s="871">
        <f>'Peers Stock History'!G1434/'Peers Stock History'!G$1833*100</f>
        <v>141.29087170090233</v>
      </c>
      <c r="G1431" s="871">
        <f>'Peers Stock History'!H1434/'Peers Stock History'!H$1833*100</f>
        <v>119.42327297441624</v>
      </c>
      <c r="H1431" s="871">
        <f>'Peers Stock History'!I1434/'Peers Stock History'!I$1833*100</f>
        <v>265.29105125977412</v>
      </c>
      <c r="I1431" s="871">
        <f>'Peers Stock History'!J1434/'Peers Stock History'!J$1833*100</f>
        <v>115.4381185484729</v>
      </c>
      <c r="J1431" s="871">
        <f>'Peers Stock History'!K1434/'Peers Stock History'!K$1833*100</f>
        <v>126.21979090771622</v>
      </c>
    </row>
    <row r="1432" spans="2:10">
      <c r="B1432" s="873">
        <v>43179</v>
      </c>
      <c r="C1432" s="871">
        <f>'Peers Stock History'!D1435/'Peers Stock History'!D$1833*100</f>
        <v>142.99583911234396</v>
      </c>
      <c r="D1432" s="871">
        <f>'Peers Stock History'!E1435/'Peers Stock History'!E$1833*100</f>
        <v>228.97247706422021</v>
      </c>
      <c r="E1432" s="871">
        <f>'Peers Stock History'!F1435/'Peers Stock History'!F$1833*100</f>
        <v>83.533834586466156</v>
      </c>
      <c r="F1432" s="871">
        <f>'Peers Stock History'!G1435/'Peers Stock History'!G$1833*100</f>
        <v>141.17729586651097</v>
      </c>
      <c r="G1432" s="871">
        <f>'Peers Stock History'!H1435/'Peers Stock History'!H$1833*100</f>
        <v>117.65619690276228</v>
      </c>
      <c r="H1432" s="871">
        <f>'Peers Stock History'!I1435/'Peers Stock History'!I$1833*100</f>
        <v>265.63857515204171</v>
      </c>
      <c r="I1432" s="871">
        <f>'Peers Stock History'!J1435/'Peers Stock History'!J$1833*100</f>
        <v>115.65137809939343</v>
      </c>
      <c r="J1432" s="871">
        <f>'Peers Stock History'!K1435/'Peers Stock History'!K$1833*100</f>
        <v>126.54657492817178</v>
      </c>
    </row>
    <row r="1433" spans="2:10">
      <c r="B1433" s="873">
        <v>43178</v>
      </c>
      <c r="C1433" s="871">
        <f>'Peers Stock History'!D1436/'Peers Stock History'!D$1833*100</f>
        <v>140.998613037448</v>
      </c>
      <c r="D1433" s="871">
        <f>'Peers Stock History'!E1436/'Peers Stock History'!E$1833*100</f>
        <v>221.10091743119264</v>
      </c>
      <c r="E1433" s="871">
        <f>'Peers Stock History'!F1436/'Peers Stock History'!F$1833*100</f>
        <v>85.939849624060145</v>
      </c>
      <c r="F1433" s="871">
        <f>'Peers Stock History'!G1436/'Peers Stock History'!G$1833*100</f>
        <v>142.22014333441641</v>
      </c>
      <c r="G1433" s="871">
        <f>'Peers Stock History'!H1436/'Peers Stock History'!H$1833*100</f>
        <v>118.91353949220836</v>
      </c>
      <c r="H1433" s="871">
        <f>'Peers Stock History'!I1436/'Peers Stock History'!I$1833*100</f>
        <v>261.25108601216334</v>
      </c>
      <c r="I1433" s="871">
        <f>'Peers Stock History'!J1436/'Peers Stock History'!J$1833*100</f>
        <v>115.48025965733746</v>
      </c>
      <c r="J1433" s="871">
        <f>'Peers Stock History'!K1436/'Peers Stock History'!K$1833*100</f>
        <v>126.20190258856523</v>
      </c>
    </row>
    <row r="1434" spans="2:10">
      <c r="B1434" s="873">
        <v>43177</v>
      </c>
      <c r="C1434" s="871">
        <f>'Peers Stock History'!D1437/'Peers Stock History'!D$1833*100</f>
        <v>141.94174757281556</v>
      </c>
      <c r="D1434" s="871">
        <f>'Peers Stock History'!E1437/'Peers Stock History'!E$1833*100</f>
        <v>229.79816513761469</v>
      </c>
      <c r="E1434" s="871">
        <f>'Peers Stock History'!F1437/'Peers Stock History'!F$1833*100</f>
        <v>86.240601503759393</v>
      </c>
      <c r="F1434" s="871">
        <f>'Peers Stock History'!G1437/'Peers Stock History'!G$1833*100</f>
        <v>142.4839391555291</v>
      </c>
      <c r="G1434" s="871">
        <f>'Peers Stock History'!H1437/'Peers Stock History'!H$1833*100</f>
        <v>123.72930724792465</v>
      </c>
      <c r="H1434" s="871">
        <f>'Peers Stock History'!I1437/'Peers Stock History'!I$1833*100</f>
        <v>263.16246741963511</v>
      </c>
      <c r="I1434" s="871">
        <f>'Peers Stock History'!J1437/'Peers Stock History'!J$1833*100</f>
        <v>117.14419495583699</v>
      </c>
      <c r="J1434" s="871">
        <f>'Peers Stock History'!K1437/'Peers Stock History'!K$1833*100</f>
        <v>128.5688657327853</v>
      </c>
    </row>
    <row r="1435" spans="2:10">
      <c r="B1435" s="873">
        <v>43176</v>
      </c>
      <c r="C1435" s="871">
        <f>'Peers Stock History'!D1438/'Peers Stock History'!D$1833*100</f>
        <v>141.94174757281556</v>
      </c>
      <c r="D1435" s="871">
        <f>'Peers Stock History'!E1438/'Peers Stock History'!E$1833*100</f>
        <v>229.79816513761469</v>
      </c>
      <c r="E1435" s="871">
        <f>'Peers Stock History'!F1438/'Peers Stock History'!F$1833*100</f>
        <v>86.240601503759393</v>
      </c>
      <c r="F1435" s="871">
        <f>'Peers Stock History'!G1438/'Peers Stock History'!G$1833*100</f>
        <v>142.4839391555291</v>
      </c>
      <c r="G1435" s="871">
        <f>'Peers Stock History'!H1438/'Peers Stock History'!H$1833*100</f>
        <v>123.72930724792465</v>
      </c>
      <c r="H1435" s="871">
        <f>'Peers Stock History'!I1438/'Peers Stock History'!I$1833*100</f>
        <v>263.16246741963511</v>
      </c>
      <c r="I1435" s="871">
        <f>'Peers Stock History'!J1438/'Peers Stock History'!J$1833*100</f>
        <v>117.14419495583699</v>
      </c>
      <c r="J1435" s="871">
        <f>'Peers Stock History'!K1438/'Peers Stock History'!K$1833*100</f>
        <v>128.5688657327853</v>
      </c>
    </row>
    <row r="1436" spans="2:10">
      <c r="B1436" s="873">
        <v>43175</v>
      </c>
      <c r="C1436" s="871">
        <f>'Peers Stock History'!D1439/'Peers Stock History'!D$1833*100</f>
        <v>141.94174757281556</v>
      </c>
      <c r="D1436" s="871">
        <f>'Peers Stock History'!E1439/'Peers Stock History'!E$1833*100</f>
        <v>229.79816513761469</v>
      </c>
      <c r="E1436" s="871">
        <f>'Peers Stock History'!F1439/'Peers Stock History'!F$1833*100</f>
        <v>86.240601503759393</v>
      </c>
      <c r="F1436" s="871">
        <f>'Peers Stock History'!G1439/'Peers Stock History'!G$1833*100</f>
        <v>142.4839391555291</v>
      </c>
      <c r="G1436" s="871">
        <f>'Peers Stock History'!H1439/'Peers Stock History'!H$1833*100</f>
        <v>123.72930724792465</v>
      </c>
      <c r="H1436" s="871">
        <f>'Peers Stock History'!I1439/'Peers Stock History'!I$1833*100</f>
        <v>263.16246741963511</v>
      </c>
      <c r="I1436" s="871">
        <f>'Peers Stock History'!J1439/'Peers Stock History'!J$1833*100</f>
        <v>117.14419495583699</v>
      </c>
      <c r="J1436" s="871">
        <f>'Peers Stock History'!K1439/'Peers Stock History'!K$1833*100</f>
        <v>128.5688657327853</v>
      </c>
    </row>
    <row r="1437" spans="2:10">
      <c r="B1437" s="873">
        <v>43174</v>
      </c>
      <c r="C1437" s="871">
        <f>'Peers Stock History'!D1440/'Peers Stock History'!D$1833*100</f>
        <v>141.13730929264912</v>
      </c>
      <c r="D1437" s="871">
        <f>'Peers Stock History'!E1440/'Peers Stock History'!E$1833*100</f>
        <v>228.75229357798165</v>
      </c>
      <c r="E1437" s="871">
        <f>'Peers Stock History'!F1440/'Peers Stock History'!F$1833*100</f>
        <v>86.165413533834595</v>
      </c>
      <c r="F1437" s="871">
        <f>'Peers Stock History'!G1440/'Peers Stock History'!G$1833*100</f>
        <v>142.41056442718073</v>
      </c>
      <c r="G1437" s="871">
        <f>'Peers Stock History'!H1440/'Peers Stock History'!H$1833*100</f>
        <v>129.98689256760036</v>
      </c>
      <c r="H1437" s="871">
        <f>'Peers Stock History'!I1440/'Peers Stock History'!I$1833*100</f>
        <v>255.60382276281496</v>
      </c>
      <c r="I1437" s="871">
        <f>'Peers Stock History'!J1440/'Peers Stock History'!J$1833*100</f>
        <v>116.94498244120464</v>
      </c>
      <c r="J1437" s="871">
        <f>'Peers Stock History'!K1440/'Peers Stock History'!K$1833*100</f>
        <v>128.56462133813565</v>
      </c>
    </row>
    <row r="1438" spans="2:10">
      <c r="B1438" s="873">
        <v>43173</v>
      </c>
      <c r="C1438" s="871">
        <f>'Peers Stock History'!D1441/'Peers Stock History'!D$1833*100</f>
        <v>143.85575589459086</v>
      </c>
      <c r="D1438" s="871">
        <f>'Peers Stock History'!E1441/'Peers Stock History'!E$1833*100</f>
        <v>228.20183486238531</v>
      </c>
      <c r="E1438" s="871">
        <f>'Peers Stock History'!F1441/'Peers Stock History'!F$1833*100</f>
        <v>85.413533834586445</v>
      </c>
      <c r="F1438" s="871">
        <f>'Peers Stock History'!G1441/'Peers Stock History'!G$1833*100</f>
        <v>143.21774903803612</v>
      </c>
      <c r="G1438" s="871">
        <f>'Peers Stock History'!H1441/'Peers Stock History'!H$1833*100</f>
        <v>126.50614107480945</v>
      </c>
      <c r="H1438" s="871">
        <f>'Peers Stock History'!I1441/'Peers Stock History'!I$1833*100</f>
        <v>259.68722849695916</v>
      </c>
      <c r="I1438" s="871">
        <f>'Peers Stock History'!J1441/'Peers Stock History'!J$1833*100</f>
        <v>117.03650101096095</v>
      </c>
      <c r="J1438" s="871">
        <f>'Peers Stock History'!K1441/'Peers Stock History'!K$1833*100</f>
        <v>128.82358096311671</v>
      </c>
    </row>
    <row r="1439" spans="2:10">
      <c r="B1439" s="873">
        <v>43172</v>
      </c>
      <c r="C1439" s="871">
        <f>'Peers Stock History'!D1442/'Peers Stock History'!D$1833*100</f>
        <v>143.6338418862691</v>
      </c>
      <c r="D1439" s="871">
        <f>'Peers Stock History'!E1442/'Peers Stock History'!E$1833*100</f>
        <v>227.25688073394497</v>
      </c>
      <c r="E1439" s="871">
        <f>'Peers Stock History'!F1442/'Peers Stock History'!F$1833*100</f>
        <v>87.518796992481214</v>
      </c>
      <c r="F1439" s="871">
        <f>'Peers Stock History'!G1442/'Peers Stock History'!G$1833*100</f>
        <v>144.05100190453035</v>
      </c>
      <c r="G1439" s="871">
        <f>'Peers Stock History'!H1442/'Peers Stock History'!H$1833*100</f>
        <v>126.8119811641342</v>
      </c>
      <c r="H1439" s="871">
        <f>'Peers Stock History'!I1442/'Peers Stock History'!I$1833*100</f>
        <v>258.16681146828847</v>
      </c>
      <c r="I1439" s="871">
        <f>'Peers Stock History'!J1442/'Peers Stock History'!J$1833*100</f>
        <v>117.71033308502714</v>
      </c>
      <c r="J1439" s="871">
        <f>'Peers Stock History'!K1442/'Peers Stock History'!K$1833*100</f>
        <v>129.06760787979601</v>
      </c>
    </row>
    <row r="1440" spans="2:10">
      <c r="B1440" s="873">
        <v>43171</v>
      </c>
      <c r="C1440" s="871">
        <f>'Peers Stock History'!D1443/'Peers Stock History'!D$1833*100</f>
        <v>142.91262135922332</v>
      </c>
      <c r="D1440" s="871">
        <f>'Peers Stock History'!E1443/'Peers Stock History'!E$1833*100</f>
        <v>229.13761467889907</v>
      </c>
      <c r="E1440" s="871">
        <f>'Peers Stock History'!F1443/'Peers Stock History'!F$1833*100</f>
        <v>86.616541353383454</v>
      </c>
      <c r="F1440" s="871">
        <f>'Peers Stock History'!G1443/'Peers Stock History'!G$1833*100</f>
        <v>141.2314644813961</v>
      </c>
      <c r="G1440" s="871">
        <f>'Peers Stock History'!H1443/'Peers Stock History'!H$1833*100</f>
        <v>127.59842710811202</v>
      </c>
      <c r="H1440" s="871">
        <f>'Peers Stock History'!I1443/'Peers Stock History'!I$1833*100</f>
        <v>257.90616854908774</v>
      </c>
      <c r="I1440" s="871">
        <f>'Peers Stock History'!J1443/'Peers Stock History'!J$1833*100</f>
        <v>118.4641906991593</v>
      </c>
      <c r="J1440" s="871">
        <f>'Peers Stock History'!K1443/'Peers Stock History'!K$1833*100</f>
        <v>130.39613777270665</v>
      </c>
    </row>
    <row r="1441" spans="2:10">
      <c r="B1441" s="873">
        <v>43170</v>
      </c>
      <c r="C1441" s="871">
        <f>'Peers Stock History'!D1444/'Peers Stock History'!D$1833*100</f>
        <v>144.77115117891816</v>
      </c>
      <c r="D1441" s="871">
        <f>'Peers Stock History'!E1444/'Peers Stock History'!E$1833*100</f>
        <v>225.07339449541286</v>
      </c>
      <c r="E1441" s="871">
        <f>'Peers Stock History'!F1444/'Peers Stock History'!F$1833*100</f>
        <v>87.969924812030058</v>
      </c>
      <c r="F1441" s="871">
        <f>'Peers Stock History'!G1444/'Peers Stock History'!G$1833*100</f>
        <v>139.36634425536232</v>
      </c>
      <c r="G1441" s="871">
        <f>'Peers Stock History'!H1444/'Peers Stock History'!H$1833*100</f>
        <v>123.20015534734696</v>
      </c>
      <c r="H1441" s="871">
        <f>'Peers Stock History'!I1444/'Peers Stock History'!I$1833*100</f>
        <v>237.14161598609905</v>
      </c>
      <c r="I1441" s="871">
        <f>'Peers Stock History'!J1444/'Peers Stock History'!J$1833*100</f>
        <v>118.6153027561988</v>
      </c>
      <c r="J1441" s="871">
        <f>'Peers Stock History'!K1444/'Peers Stock History'!K$1833*100</f>
        <v>129.9233259557621</v>
      </c>
    </row>
    <row r="1442" spans="2:10">
      <c r="B1442" s="873">
        <v>43169</v>
      </c>
      <c r="C1442" s="871">
        <f>'Peers Stock History'!D1445/'Peers Stock History'!D$1833*100</f>
        <v>144.77115117891816</v>
      </c>
      <c r="D1442" s="871">
        <f>'Peers Stock History'!E1445/'Peers Stock History'!E$1833*100</f>
        <v>225.07339449541286</v>
      </c>
      <c r="E1442" s="871">
        <f>'Peers Stock History'!F1445/'Peers Stock History'!F$1833*100</f>
        <v>87.969924812030058</v>
      </c>
      <c r="F1442" s="871">
        <f>'Peers Stock History'!G1445/'Peers Stock History'!G$1833*100</f>
        <v>139.36634425536232</v>
      </c>
      <c r="G1442" s="871">
        <f>'Peers Stock History'!H1445/'Peers Stock History'!H$1833*100</f>
        <v>123.20015534734696</v>
      </c>
      <c r="H1442" s="871">
        <f>'Peers Stock History'!I1445/'Peers Stock History'!I$1833*100</f>
        <v>237.14161598609905</v>
      </c>
      <c r="I1442" s="871">
        <f>'Peers Stock History'!J1445/'Peers Stock History'!J$1833*100</f>
        <v>118.6153027561988</v>
      </c>
      <c r="J1442" s="871">
        <f>'Peers Stock History'!K1445/'Peers Stock History'!K$1833*100</f>
        <v>129.9233259557621</v>
      </c>
    </row>
    <row r="1443" spans="2:10">
      <c r="B1443" s="873">
        <v>43168</v>
      </c>
      <c r="C1443" s="871">
        <f>'Peers Stock History'!D1446/'Peers Stock History'!D$1833*100</f>
        <v>144.77115117891816</v>
      </c>
      <c r="D1443" s="871">
        <f>'Peers Stock History'!E1446/'Peers Stock History'!E$1833*100</f>
        <v>225.07339449541286</v>
      </c>
      <c r="E1443" s="871">
        <f>'Peers Stock History'!F1446/'Peers Stock History'!F$1833*100</f>
        <v>87.969924812030058</v>
      </c>
      <c r="F1443" s="871">
        <f>'Peers Stock History'!G1446/'Peers Stock History'!G$1833*100</f>
        <v>139.36634425536232</v>
      </c>
      <c r="G1443" s="871">
        <f>'Peers Stock History'!H1446/'Peers Stock History'!H$1833*100</f>
        <v>123.20015534734696</v>
      </c>
      <c r="H1443" s="871">
        <f>'Peers Stock History'!I1446/'Peers Stock History'!I$1833*100</f>
        <v>237.14161598609905</v>
      </c>
      <c r="I1443" s="871">
        <f>'Peers Stock History'!J1446/'Peers Stock History'!J$1833*100</f>
        <v>118.6153027561988</v>
      </c>
      <c r="J1443" s="871">
        <f>'Peers Stock History'!K1446/'Peers Stock History'!K$1833*100</f>
        <v>129.9233259557621</v>
      </c>
    </row>
    <row r="1444" spans="2:10">
      <c r="B1444" s="873">
        <v>43167</v>
      </c>
      <c r="C1444" s="871">
        <f>'Peers Stock History'!D1447/'Peers Stock History'!D$1833*100</f>
        <v>140.748959778086</v>
      </c>
      <c r="D1444" s="871">
        <f>'Peers Stock History'!E1447/'Peers Stock History'!E$1833*100</f>
        <v>221.26605504587155</v>
      </c>
      <c r="E1444" s="871">
        <f>'Peers Stock History'!F1447/'Peers Stock History'!F$1833*100</f>
        <v>90</v>
      </c>
      <c r="F1444" s="871">
        <f>'Peers Stock History'!G1447/'Peers Stock History'!G$1833*100</f>
        <v>138.43123380454128</v>
      </c>
      <c r="G1444" s="871">
        <f>'Peers Stock History'!H1447/'Peers Stock History'!H$1833*100</f>
        <v>119.88446041069953</v>
      </c>
      <c r="H1444" s="871">
        <f>'Peers Stock History'!I1447/'Peers Stock History'!I$1833*100</f>
        <v>239.87836663770636</v>
      </c>
      <c r="I1444" s="871">
        <f>'Peers Stock History'!J1447/'Peers Stock History'!J$1833*100</f>
        <v>116.58912418857082</v>
      </c>
      <c r="J1444" s="871">
        <f>'Peers Stock History'!K1447/'Peers Stock History'!K$1833*100</f>
        <v>127.64021967749474</v>
      </c>
    </row>
    <row r="1445" spans="2:10">
      <c r="B1445" s="873">
        <v>43166</v>
      </c>
      <c r="C1445" s="871">
        <f>'Peers Stock History'!D1448/'Peers Stock History'!D$1833*100</f>
        <v>142.35783633841888</v>
      </c>
      <c r="D1445" s="871">
        <f>'Peers Stock History'!E1448/'Peers Stock History'!E$1833*100</f>
        <v>221.87155963302754</v>
      </c>
      <c r="E1445" s="871">
        <f>'Peers Stock History'!F1448/'Peers Stock History'!F$1833*100</f>
        <v>92.030075187969913</v>
      </c>
      <c r="F1445" s="871">
        <f>'Peers Stock History'!G1448/'Peers Stock History'!G$1833*100</f>
        <v>137.35803892032524</v>
      </c>
      <c r="G1445" s="871">
        <f>'Peers Stock History'!H1448/'Peers Stock History'!H$1833*100</f>
        <v>119.9330064566241</v>
      </c>
      <c r="H1445" s="871">
        <f>'Peers Stock History'!I1448/'Peers Stock History'!I$1833*100</f>
        <v>234.4483058210252</v>
      </c>
      <c r="I1445" s="871">
        <f>'Peers Stock History'!J1448/'Peers Stock History'!J$1833*100</f>
        <v>116.07108651697351</v>
      </c>
      <c r="J1445" s="871">
        <f>'Peers Stock History'!K1448/'Peers Stock History'!K$1833*100</f>
        <v>127.1024187894368</v>
      </c>
    </row>
    <row r="1446" spans="2:10">
      <c r="B1446" s="873">
        <v>43165</v>
      </c>
      <c r="C1446" s="871">
        <f>'Peers Stock History'!D1449/'Peers Stock History'!D$1833*100</f>
        <v>140.66574202496534</v>
      </c>
      <c r="D1446" s="871">
        <f>'Peers Stock History'!E1449/'Peers Stock History'!E$1833*100</f>
        <v>222.16513761467888</v>
      </c>
      <c r="E1446" s="871">
        <f>'Peers Stock History'!F1449/'Peers Stock History'!F$1833*100</f>
        <v>88.421052631578945</v>
      </c>
      <c r="F1446" s="871">
        <f>'Peers Stock History'!G1449/'Peers Stock History'!G$1833*100</f>
        <v>139.29778872406033</v>
      </c>
      <c r="G1446" s="871">
        <f>'Peers Stock History'!H1449/'Peers Stock History'!H$1833*100</f>
        <v>121.83115685227439</v>
      </c>
      <c r="H1446" s="871">
        <f>'Peers Stock History'!I1449/'Peers Stock History'!I$1833*100</f>
        <v>233.44917463075586</v>
      </c>
      <c r="I1446" s="871">
        <f>'Peers Stock History'!J1449/'Peers Stock History'!J$1833*100</f>
        <v>116.1272746621262</v>
      </c>
      <c r="J1446" s="871">
        <f>'Peers Stock History'!K1449/'Peers Stock History'!K$1833*100</f>
        <v>126.67897598394346</v>
      </c>
    </row>
    <row r="1447" spans="2:10">
      <c r="B1447" s="873">
        <v>43164</v>
      </c>
      <c r="C1447" s="871">
        <f>'Peers Stock History'!D1450/'Peers Stock History'!D$1833*100</f>
        <v>138.00277392510404</v>
      </c>
      <c r="D1447" s="871">
        <f>'Peers Stock History'!E1450/'Peers Stock History'!E$1833*100</f>
        <v>216.19266055045873</v>
      </c>
      <c r="E1447" s="871">
        <f>'Peers Stock History'!F1450/'Peers Stock History'!F$1833*100</f>
        <v>89.548872180451127</v>
      </c>
      <c r="F1447" s="871">
        <f>'Peers Stock History'!G1450/'Peers Stock History'!G$1833*100</f>
        <v>134.2765074265229</v>
      </c>
      <c r="G1447" s="871">
        <f>'Peers Stock History'!H1450/'Peers Stock History'!H$1833*100</f>
        <v>119.89902422447692</v>
      </c>
      <c r="H1447" s="871">
        <f>'Peers Stock History'!I1450/'Peers Stock History'!I$1833*100</f>
        <v>226.02085143353605</v>
      </c>
      <c r="I1447" s="871">
        <f>'Peers Stock History'!J1450/'Peers Stock History'!J$1833*100</f>
        <v>115.82164520591678</v>
      </c>
      <c r="J1447" s="871">
        <f>'Peers Stock History'!K1450/'Peers Stock History'!K$1833*100</f>
        <v>125.9692513368984</v>
      </c>
    </row>
    <row r="1448" spans="2:10">
      <c r="B1448" s="873">
        <v>43163</v>
      </c>
      <c r="C1448" s="871">
        <f>'Peers Stock History'!D1451/'Peers Stock History'!D$1833*100</f>
        <v>135.86685159500692</v>
      </c>
      <c r="D1448" s="871">
        <f>'Peers Stock History'!E1451/'Peers Stock History'!E$1833*100</f>
        <v>217.00917431192659</v>
      </c>
      <c r="E1448" s="871">
        <f>'Peers Stock History'!F1451/'Peers Stock History'!F$1833*100</f>
        <v>88.796992481203006</v>
      </c>
      <c r="F1448" s="871">
        <f>'Peers Stock History'!G1451/'Peers Stock History'!G$1833*100</f>
        <v>133.39689698728898</v>
      </c>
      <c r="G1448" s="871">
        <f>'Peers Stock History'!H1451/'Peers Stock History'!H$1833*100</f>
        <v>121.78746541094227</v>
      </c>
      <c r="H1448" s="871">
        <f>'Peers Stock History'!I1451/'Peers Stock History'!I$1833*100</f>
        <v>213.33622936576887</v>
      </c>
      <c r="I1448" s="871">
        <f>'Peers Stock History'!J1451/'Peers Stock History'!J$1833*100</f>
        <v>114.55783760774716</v>
      </c>
      <c r="J1448" s="871">
        <f>'Peers Stock History'!K1451/'Peers Stock History'!K$1833*100</f>
        <v>124.71760169363375</v>
      </c>
    </row>
    <row r="1449" spans="2:10">
      <c r="B1449" s="873">
        <v>43162</v>
      </c>
      <c r="C1449" s="871">
        <f>'Peers Stock History'!D1452/'Peers Stock History'!D$1833*100</f>
        <v>135.86685159500692</v>
      </c>
      <c r="D1449" s="871">
        <f>'Peers Stock History'!E1452/'Peers Stock History'!E$1833*100</f>
        <v>217.00917431192659</v>
      </c>
      <c r="E1449" s="871">
        <f>'Peers Stock History'!F1452/'Peers Stock History'!F$1833*100</f>
        <v>88.796992481203006</v>
      </c>
      <c r="F1449" s="871">
        <f>'Peers Stock History'!G1452/'Peers Stock History'!G$1833*100</f>
        <v>133.39689698728898</v>
      </c>
      <c r="G1449" s="871">
        <f>'Peers Stock History'!H1452/'Peers Stock History'!H$1833*100</f>
        <v>121.78746541094227</v>
      </c>
      <c r="H1449" s="871">
        <f>'Peers Stock History'!I1452/'Peers Stock History'!I$1833*100</f>
        <v>213.33622936576887</v>
      </c>
      <c r="I1449" s="871">
        <f>'Peers Stock History'!J1452/'Peers Stock History'!J$1833*100</f>
        <v>114.55783760774716</v>
      </c>
      <c r="J1449" s="871">
        <f>'Peers Stock History'!K1452/'Peers Stock History'!K$1833*100</f>
        <v>124.71760169363375</v>
      </c>
    </row>
    <row r="1450" spans="2:10">
      <c r="B1450" s="873">
        <v>43161</v>
      </c>
      <c r="C1450" s="871">
        <f>'Peers Stock History'!D1453/'Peers Stock History'!D$1833*100</f>
        <v>135.86685159500692</v>
      </c>
      <c r="D1450" s="871">
        <f>'Peers Stock History'!E1453/'Peers Stock History'!E$1833*100</f>
        <v>217.00917431192659</v>
      </c>
      <c r="E1450" s="871">
        <f>'Peers Stock History'!F1453/'Peers Stock History'!F$1833*100</f>
        <v>88.796992481203006</v>
      </c>
      <c r="F1450" s="871">
        <f>'Peers Stock History'!G1453/'Peers Stock History'!G$1833*100</f>
        <v>133.39689698728898</v>
      </c>
      <c r="G1450" s="871">
        <f>'Peers Stock History'!H1453/'Peers Stock History'!H$1833*100</f>
        <v>121.78746541094227</v>
      </c>
      <c r="H1450" s="871">
        <f>'Peers Stock History'!I1453/'Peers Stock History'!I$1833*100</f>
        <v>213.33622936576887</v>
      </c>
      <c r="I1450" s="871">
        <f>'Peers Stock History'!J1453/'Peers Stock History'!J$1833*100</f>
        <v>114.55783760774716</v>
      </c>
      <c r="J1450" s="871">
        <f>'Peers Stock History'!K1453/'Peers Stock History'!K$1833*100</f>
        <v>124.71760169363375</v>
      </c>
    </row>
    <row r="1451" spans="2:10">
      <c r="B1451" s="873">
        <v>43160</v>
      </c>
      <c r="C1451" s="871">
        <f>'Peers Stock History'!D1454/'Peers Stock History'!D$1833*100</f>
        <v>132.70457697642166</v>
      </c>
      <c r="D1451" s="871">
        <f>'Peers Stock History'!E1454/'Peers Stock History'!E$1833*100</f>
        <v>213.03669724770643</v>
      </c>
      <c r="E1451" s="871">
        <f>'Peers Stock History'!F1454/'Peers Stock History'!F$1833*100</f>
        <v>89.473684210526315</v>
      </c>
      <c r="F1451" s="871">
        <f>'Peers Stock History'!G1454/'Peers Stock History'!G$1833*100</f>
        <v>134.96751473055772</v>
      </c>
      <c r="G1451" s="871">
        <f>'Peers Stock History'!H1454/'Peers Stock History'!H$1833*100</f>
        <v>118.11738433904557</v>
      </c>
      <c r="H1451" s="871">
        <f>'Peers Stock History'!I1454/'Peers Stock History'!I$1833*100</f>
        <v>206.86359687228494</v>
      </c>
      <c r="I1451" s="871">
        <f>'Peers Stock History'!J1454/'Peers Stock History'!J$1833*100</f>
        <v>113.97978078110036</v>
      </c>
      <c r="J1451" s="871">
        <f>'Peers Stock History'!K1454/'Peers Stock History'!K$1833*100</f>
        <v>123.38920927099515</v>
      </c>
    </row>
    <row r="1452" spans="2:10">
      <c r="B1452" s="873">
        <v>43159</v>
      </c>
      <c r="C1452" s="871">
        <f>'Peers Stock History'!D1455/'Peers Stock History'!D$1833*100</f>
        <v>136.72676837725382</v>
      </c>
      <c r="D1452" s="871">
        <f>'Peers Stock History'!E1455/'Peers Stock History'!E$1833*100</f>
        <v>222.0183486238532</v>
      </c>
      <c r="E1452" s="871">
        <f>'Peers Stock History'!F1455/'Peers Stock History'!F$1833*100</f>
        <v>91.05263157894737</v>
      </c>
      <c r="F1452" s="871">
        <f>'Peers Stock History'!G1455/'Peers Stock History'!G$1833*100</f>
        <v>136.68511660109164</v>
      </c>
      <c r="G1452" s="871">
        <f>'Peers Stock History'!H1455/'Peers Stock History'!H$1833*100</f>
        <v>119.64658478566921</v>
      </c>
      <c r="H1452" s="871">
        <f>'Peers Stock History'!I1455/'Peers Stock History'!I$1833*100</f>
        <v>212.03301476976543</v>
      </c>
      <c r="I1452" s="871">
        <f>'Peers Stock History'!J1455/'Peers Stock History'!J$1833*100</f>
        <v>115.51899542407152</v>
      </c>
      <c r="J1452" s="871">
        <f>'Peers Stock History'!K1455/'Peers Stock History'!K$1833*100</f>
        <v>124.97781573484734</v>
      </c>
    </row>
    <row r="1453" spans="2:10">
      <c r="B1453" s="873">
        <v>43158</v>
      </c>
      <c r="C1453" s="871">
        <f>'Peers Stock History'!D1456/'Peers Stock History'!D$1833*100</f>
        <v>138.44660194174759</v>
      </c>
      <c r="D1453" s="871">
        <f>'Peers Stock History'!E1456/'Peers Stock History'!E$1833*100</f>
        <v>225.74311926605506</v>
      </c>
      <c r="E1453" s="871">
        <f>'Peers Stock History'!F1456/'Peers Stock History'!F$1833*100</f>
        <v>94.210526315789465</v>
      </c>
      <c r="F1453" s="871">
        <f>'Peers Stock History'!G1456/'Peers Stock History'!G$1833*100</f>
        <v>136.68511660109164</v>
      </c>
      <c r="G1453" s="871">
        <f>'Peers Stock History'!H1456/'Peers Stock History'!H$1833*100</f>
        <v>122.24379824263313</v>
      </c>
      <c r="H1453" s="871">
        <f>'Peers Stock History'!I1456/'Peers Stock History'!I$1833*100</f>
        <v>211.03388357949609</v>
      </c>
      <c r="I1453" s="871">
        <f>'Peers Stock History'!J1456/'Peers Stock History'!J$1833*100</f>
        <v>116.8151537724806</v>
      </c>
      <c r="J1453" s="871">
        <f>'Peers Stock History'!K1456/'Peers Stock History'!K$1833*100</f>
        <v>125.96321982871206</v>
      </c>
    </row>
    <row r="1454" spans="2:10">
      <c r="B1454" s="873">
        <v>43157</v>
      </c>
      <c r="C1454" s="871">
        <f>'Peers Stock History'!D1457/'Peers Stock History'!D$1833*100</f>
        <v>136.22746185852984</v>
      </c>
      <c r="D1454" s="871">
        <f>'Peers Stock History'!E1457/'Peers Stock History'!E$1833*100</f>
        <v>226.22018348623857</v>
      </c>
      <c r="E1454" s="871">
        <f>'Peers Stock History'!F1457/'Peers Stock History'!F$1833*100</f>
        <v>93.383458646616532</v>
      </c>
      <c r="F1454" s="871">
        <f>'Peers Stock History'!G1457/'Peers Stock History'!G$1833*100</f>
        <v>137.32880429513884</v>
      </c>
      <c r="G1454" s="871">
        <f>'Peers Stock History'!H1457/'Peers Stock History'!H$1833*100</f>
        <v>122.7972231661731</v>
      </c>
      <c r="H1454" s="871">
        <f>'Peers Stock History'!I1457/'Peers Stock History'!I$1833*100</f>
        <v>208.42745438748912</v>
      </c>
      <c r="I1454" s="871">
        <f>'Peers Stock History'!J1457/'Peers Stock History'!J$1833*100</f>
        <v>118.31861232308182</v>
      </c>
      <c r="J1454" s="871">
        <f>'Peers Stock History'!K1457/'Peers Stock History'!K$1833*100</f>
        <v>127.52883438956326</v>
      </c>
    </row>
    <row r="1455" spans="2:10">
      <c r="B1455" s="873">
        <v>43156</v>
      </c>
      <c r="C1455" s="871">
        <f>'Peers Stock History'!D1458/'Peers Stock History'!D$1833*100</f>
        <v>132.39944521497918</v>
      </c>
      <c r="D1455" s="871">
        <f>'Peers Stock History'!E1458/'Peers Stock History'!E$1833*100</f>
        <v>225.62385321100916</v>
      </c>
      <c r="E1455" s="871">
        <f>'Peers Stock History'!F1458/'Peers Stock History'!F$1833*100</f>
        <v>90.751879699248121</v>
      </c>
      <c r="F1455" s="871">
        <f>'Peers Stock History'!G1458/'Peers Stock History'!G$1833*100</f>
        <v>136.30174291938997</v>
      </c>
      <c r="G1455" s="871">
        <f>'Peers Stock History'!H1458/'Peers Stock History'!H$1833*100</f>
        <v>123.16617311519977</v>
      </c>
      <c r="H1455" s="871">
        <f>'Peers Stock History'!I1458/'Peers Stock History'!I$1833*100</f>
        <v>202.12858384013904</v>
      </c>
      <c r="I1455" s="871">
        <f>'Peers Stock History'!J1458/'Peers Stock History'!J$1833*100</f>
        <v>116.94370543790573</v>
      </c>
      <c r="J1455" s="871">
        <f>'Peers Stock History'!K1458/'Peers Stock History'!K$1833*100</f>
        <v>126.08412493298327</v>
      </c>
    </row>
    <row r="1456" spans="2:10">
      <c r="B1456" s="873">
        <v>43155</v>
      </c>
      <c r="C1456" s="871">
        <f>'Peers Stock History'!D1459/'Peers Stock History'!D$1833*100</f>
        <v>132.39944521497918</v>
      </c>
      <c r="D1456" s="871">
        <f>'Peers Stock History'!E1459/'Peers Stock History'!E$1833*100</f>
        <v>225.62385321100916</v>
      </c>
      <c r="E1456" s="871">
        <f>'Peers Stock History'!F1459/'Peers Stock History'!F$1833*100</f>
        <v>90.751879699248121</v>
      </c>
      <c r="F1456" s="871">
        <f>'Peers Stock History'!G1459/'Peers Stock History'!G$1833*100</f>
        <v>136.30174291938997</v>
      </c>
      <c r="G1456" s="871">
        <f>'Peers Stock History'!H1459/'Peers Stock History'!H$1833*100</f>
        <v>123.16617311519977</v>
      </c>
      <c r="H1456" s="871">
        <f>'Peers Stock History'!I1459/'Peers Stock History'!I$1833*100</f>
        <v>202.12858384013904</v>
      </c>
      <c r="I1456" s="871">
        <f>'Peers Stock History'!J1459/'Peers Stock History'!J$1833*100</f>
        <v>116.94370543790573</v>
      </c>
      <c r="J1456" s="871">
        <f>'Peers Stock History'!K1459/'Peers Stock History'!K$1833*100</f>
        <v>126.08412493298327</v>
      </c>
    </row>
    <row r="1457" spans="2:10">
      <c r="B1457" s="873">
        <v>43154</v>
      </c>
      <c r="C1457" s="871">
        <f>'Peers Stock History'!D1460/'Peers Stock History'!D$1833*100</f>
        <v>132.39944521497918</v>
      </c>
      <c r="D1457" s="871">
        <f>'Peers Stock History'!E1460/'Peers Stock History'!E$1833*100</f>
        <v>225.62385321100916</v>
      </c>
      <c r="E1457" s="871">
        <f>'Peers Stock History'!F1460/'Peers Stock History'!F$1833*100</f>
        <v>90.751879699248121</v>
      </c>
      <c r="F1457" s="871">
        <f>'Peers Stock History'!G1460/'Peers Stock History'!G$1833*100</f>
        <v>136.30174291938997</v>
      </c>
      <c r="G1457" s="871">
        <f>'Peers Stock History'!H1460/'Peers Stock History'!H$1833*100</f>
        <v>123.16617311519977</v>
      </c>
      <c r="H1457" s="871">
        <f>'Peers Stock History'!I1460/'Peers Stock History'!I$1833*100</f>
        <v>202.12858384013904</v>
      </c>
      <c r="I1457" s="871">
        <f>'Peers Stock History'!J1460/'Peers Stock History'!J$1833*100</f>
        <v>116.94370543790573</v>
      </c>
      <c r="J1457" s="871">
        <f>'Peers Stock History'!K1460/'Peers Stock History'!K$1833*100</f>
        <v>126.08412493298327</v>
      </c>
    </row>
    <row r="1458" spans="2:10">
      <c r="B1458" s="873">
        <v>43153</v>
      </c>
      <c r="C1458" s="871">
        <f>'Peers Stock History'!D1461/'Peers Stock History'!D$1833*100</f>
        <v>127.04576976421637</v>
      </c>
      <c r="D1458" s="871">
        <f>'Peers Stock History'!E1461/'Peers Stock History'!E$1833*100</f>
        <v>222.1559633027523</v>
      </c>
      <c r="E1458" s="871">
        <f>'Peers Stock History'!F1461/'Peers Stock History'!F$1833*100</f>
        <v>89.022556390977442</v>
      </c>
      <c r="F1458" s="871">
        <f>'Peers Stock History'!G1461/'Peers Stock History'!G$1833*100</f>
        <v>133.05533917022601</v>
      </c>
      <c r="G1458" s="871">
        <f>'Peers Stock History'!H1461/'Peers Stock History'!H$1833*100</f>
        <v>121.04956551288896</v>
      </c>
      <c r="H1458" s="871">
        <f>'Peers Stock History'!I1461/'Peers Stock History'!I$1833*100</f>
        <v>192.2241529105126</v>
      </c>
      <c r="I1458" s="871">
        <f>'Peers Stock History'!J1461/'Peers Stock History'!J$1833*100</f>
        <v>115.09886133872513</v>
      </c>
      <c r="J1458" s="871">
        <f>'Peers Stock History'!K1461/'Peers Stock History'!K$1833*100</f>
        <v>123.89656049379323</v>
      </c>
    </row>
    <row r="1459" spans="2:10">
      <c r="B1459" s="873">
        <v>43152</v>
      </c>
      <c r="C1459" s="871">
        <f>'Peers Stock History'!D1462/'Peers Stock History'!D$1833*100</f>
        <v>127.43411927877948</v>
      </c>
      <c r="D1459" s="871">
        <f>'Peers Stock History'!E1462/'Peers Stock History'!E$1833*100</f>
        <v>221.56880733944953</v>
      </c>
      <c r="E1459" s="871">
        <f>'Peers Stock History'!F1462/'Peers Stock History'!F$1833*100</f>
        <v>88.120300751879697</v>
      </c>
      <c r="F1459" s="871">
        <f>'Peers Stock History'!G1462/'Peers Stock History'!G$1833*100</f>
        <v>134.97553457691697</v>
      </c>
      <c r="G1459" s="871">
        <f>'Peers Stock History'!H1462/'Peers Stock History'!H$1833*100</f>
        <v>120.69517937763969</v>
      </c>
      <c r="H1459" s="871">
        <f>'Peers Stock History'!I1462/'Peers Stock History'!I$1833*100</f>
        <v>193.48392701998262</v>
      </c>
      <c r="I1459" s="871">
        <f>'Peers Stock History'!J1462/'Peers Stock History'!J$1833*100</f>
        <v>114.986910716186</v>
      </c>
      <c r="J1459" s="871">
        <f>'Peers Stock History'!K1462/'Peers Stock History'!K$1833*100</f>
        <v>124.03647086317584</v>
      </c>
    </row>
    <row r="1460" spans="2:10">
      <c r="B1460" s="873">
        <v>43151</v>
      </c>
      <c r="C1460" s="871">
        <f>'Peers Stock History'!D1463/'Peers Stock History'!D$1833*100</f>
        <v>128.48821081830792</v>
      </c>
      <c r="D1460" s="871">
        <f>'Peers Stock History'!E1463/'Peers Stock History'!E$1833*100</f>
        <v>228.51376146788991</v>
      </c>
      <c r="E1460" s="871">
        <f>'Peers Stock History'!F1463/'Peers Stock History'!F$1833*100</f>
        <v>90.375939849624061</v>
      </c>
      <c r="F1460" s="871">
        <f>'Peers Stock History'!G1463/'Peers Stock History'!G$1833*100</f>
        <v>131.28555142444034</v>
      </c>
      <c r="G1460" s="871">
        <f>'Peers Stock History'!H1463/'Peers Stock History'!H$1833*100</f>
        <v>121.18063983688528</v>
      </c>
      <c r="H1460" s="871">
        <f>'Peers Stock History'!I1463/'Peers Stock History'!I$1833*100</f>
        <v>195.04778453518679</v>
      </c>
      <c r="I1460" s="871">
        <f>'Peers Stock History'!J1463/'Peers Stock History'!J$1833*100</f>
        <v>115.62243269128447</v>
      </c>
      <c r="J1460" s="871">
        <f>'Peers Stock History'!K1463/'Peers Stock History'!K$1833*100</f>
        <v>124.31278611000371</v>
      </c>
    </row>
    <row r="1461" spans="2:10">
      <c r="B1461" s="873">
        <v>43150</v>
      </c>
      <c r="C1461" s="871">
        <f>'Peers Stock History'!D1464/'Peers Stock History'!D$1833*100</f>
        <v>126.38002773925106</v>
      </c>
      <c r="D1461" s="871">
        <f>'Peers Stock History'!E1464/'Peers Stock History'!E$1833*100</f>
        <v>223.70642201834863</v>
      </c>
      <c r="E1461" s="871">
        <f>'Peers Stock History'!F1464/'Peers Stock History'!F$1833*100</f>
        <v>88.872180451127818</v>
      </c>
      <c r="F1461" s="871">
        <f>'Peers Stock History'!G1464/'Peers Stock History'!G$1833*100</f>
        <v>131.28555142444034</v>
      </c>
      <c r="G1461" s="871">
        <f>'Peers Stock History'!H1464/'Peers Stock History'!H$1833*100</f>
        <v>120.82625370163601</v>
      </c>
      <c r="H1461" s="871">
        <f>'Peers Stock History'!I1464/'Peers Stock History'!I$1833*100</f>
        <v>192.05039096437881</v>
      </c>
      <c r="I1461" s="871">
        <f>'Peers Stock History'!J1464/'Peers Stock History'!J$1833*100</f>
        <v>116.30179844631266</v>
      </c>
      <c r="J1461" s="871">
        <f>'Peers Stock History'!K1464/'Peers Stock History'!K$1833*100</f>
        <v>124.40140288412631</v>
      </c>
    </row>
    <row r="1462" spans="2:10">
      <c r="B1462" s="873">
        <v>43149</v>
      </c>
      <c r="C1462" s="871">
        <f>'Peers Stock History'!D1465/'Peers Stock History'!D$1833*100</f>
        <v>126.38002773925106</v>
      </c>
      <c r="D1462" s="871">
        <f>'Peers Stock History'!E1465/'Peers Stock History'!E$1833*100</f>
        <v>223.70642201834863</v>
      </c>
      <c r="E1462" s="871">
        <f>'Peers Stock History'!F1465/'Peers Stock History'!F$1833*100</f>
        <v>88.872180451127818</v>
      </c>
      <c r="F1462" s="871">
        <f>'Peers Stock History'!G1465/'Peers Stock History'!G$1833*100</f>
        <v>131.28555142444034</v>
      </c>
      <c r="G1462" s="871">
        <f>'Peers Stock History'!H1465/'Peers Stock History'!H$1833*100</f>
        <v>120.82625370163601</v>
      </c>
      <c r="H1462" s="871">
        <f>'Peers Stock History'!I1465/'Peers Stock History'!I$1833*100</f>
        <v>192.05039096437881</v>
      </c>
      <c r="I1462" s="871">
        <f>'Peers Stock History'!J1465/'Peers Stock History'!J$1833*100</f>
        <v>116.30179844631266</v>
      </c>
      <c r="J1462" s="871">
        <f>'Peers Stock History'!K1465/'Peers Stock History'!K$1833*100</f>
        <v>124.40140288412631</v>
      </c>
    </row>
    <row r="1463" spans="2:10">
      <c r="B1463" s="873">
        <v>43148</v>
      </c>
      <c r="C1463" s="871">
        <f>'Peers Stock History'!D1466/'Peers Stock History'!D$1833*100</f>
        <v>126.38002773925106</v>
      </c>
      <c r="D1463" s="871">
        <f>'Peers Stock History'!E1466/'Peers Stock History'!E$1833*100</f>
        <v>223.70642201834863</v>
      </c>
      <c r="E1463" s="871">
        <f>'Peers Stock History'!F1466/'Peers Stock History'!F$1833*100</f>
        <v>88.872180451127818</v>
      </c>
      <c r="F1463" s="871">
        <f>'Peers Stock History'!G1466/'Peers Stock History'!G$1833*100</f>
        <v>131.28555142444034</v>
      </c>
      <c r="G1463" s="871">
        <f>'Peers Stock History'!H1466/'Peers Stock History'!H$1833*100</f>
        <v>120.82625370163601</v>
      </c>
      <c r="H1463" s="871">
        <f>'Peers Stock History'!I1466/'Peers Stock History'!I$1833*100</f>
        <v>192.05039096437881</v>
      </c>
      <c r="I1463" s="871">
        <f>'Peers Stock History'!J1466/'Peers Stock History'!J$1833*100</f>
        <v>116.30179844631266</v>
      </c>
      <c r="J1463" s="871">
        <f>'Peers Stock History'!K1466/'Peers Stock History'!K$1833*100</f>
        <v>124.40140288412631</v>
      </c>
    </row>
    <row r="1464" spans="2:10">
      <c r="B1464" s="873">
        <v>43147</v>
      </c>
      <c r="C1464" s="871">
        <f>'Peers Stock History'!D1467/'Peers Stock History'!D$1833*100</f>
        <v>126.38002773925106</v>
      </c>
      <c r="D1464" s="871">
        <f>'Peers Stock History'!E1467/'Peers Stock History'!E$1833*100</f>
        <v>223.70642201834863</v>
      </c>
      <c r="E1464" s="871">
        <f>'Peers Stock History'!F1467/'Peers Stock History'!F$1833*100</f>
        <v>88.872180451127818</v>
      </c>
      <c r="F1464" s="871">
        <f>'Peers Stock History'!G1467/'Peers Stock History'!G$1833*100</f>
        <v>131.28555142444034</v>
      </c>
      <c r="G1464" s="871">
        <f>'Peers Stock History'!H1467/'Peers Stock History'!H$1833*100</f>
        <v>120.82625370163601</v>
      </c>
      <c r="H1464" s="871">
        <f>'Peers Stock History'!I1467/'Peers Stock History'!I$1833*100</f>
        <v>192.05039096437881</v>
      </c>
      <c r="I1464" s="871">
        <f>'Peers Stock History'!J1467/'Peers Stock History'!J$1833*100</f>
        <v>116.30179844631266</v>
      </c>
      <c r="J1464" s="871">
        <f>'Peers Stock History'!K1467/'Peers Stock History'!K$1833*100</f>
        <v>124.40140288412631</v>
      </c>
    </row>
    <row r="1465" spans="2:10">
      <c r="B1465" s="873">
        <v>43146</v>
      </c>
      <c r="C1465" s="871">
        <f>'Peers Stock History'!D1468/'Peers Stock History'!D$1833*100</f>
        <v>127.37864077669904</v>
      </c>
      <c r="D1465" s="871">
        <f>'Peers Stock History'!E1468/'Peers Stock History'!E$1833*100</f>
        <v>226.14678899082571</v>
      </c>
      <c r="E1465" s="871">
        <f>'Peers Stock History'!F1468/'Peers Stock History'!F$1833*100</f>
        <v>91.654135338345853</v>
      </c>
      <c r="F1465" s="871">
        <f>'Peers Stock History'!G1468/'Peers Stock History'!G$1833*100</f>
        <v>131.28555142444034</v>
      </c>
      <c r="G1465" s="871">
        <f>'Peers Stock History'!H1468/'Peers Stock History'!H$1833*100</f>
        <v>122.25350745181804</v>
      </c>
      <c r="H1465" s="871">
        <f>'Peers Stock History'!I1468/'Peers Stock History'!I$1833*100</f>
        <v>188.96611642050391</v>
      </c>
      <c r="I1465" s="871">
        <f>'Peers Stock History'!J1468/'Peers Stock History'!J$1833*100</f>
        <v>116.25838033414919</v>
      </c>
      <c r="J1465" s="871">
        <f>'Peers Stock History'!K1468/'Peers Stock History'!K$1833*100</f>
        <v>124.69292577980013</v>
      </c>
    </row>
    <row r="1466" spans="2:10">
      <c r="B1466" s="873">
        <v>43145</v>
      </c>
      <c r="C1466" s="871">
        <f>'Peers Stock History'!D1469/'Peers Stock History'!D$1833*100</f>
        <v>125.88072122052706</v>
      </c>
      <c r="D1466" s="871">
        <f>'Peers Stock History'!E1469/'Peers Stock History'!E$1833*100</f>
        <v>221.48623853211009</v>
      </c>
      <c r="E1466" s="871">
        <f>'Peers Stock History'!F1469/'Peers Stock History'!F$1833*100</f>
        <v>91.729323308270665</v>
      </c>
      <c r="F1466" s="871">
        <f>'Peers Stock History'!G1469/'Peers Stock History'!G$1833*100</f>
        <v>131.28555142444034</v>
      </c>
      <c r="G1466" s="871">
        <f>'Peers Stock History'!H1469/'Peers Stock History'!H$1833*100</f>
        <v>120.2291373367639</v>
      </c>
      <c r="H1466" s="871">
        <f>'Peers Stock History'!I1469/'Peers Stock History'!I$1833*100</f>
        <v>188.74891398783669</v>
      </c>
      <c r="I1466" s="871">
        <f>'Peers Stock History'!J1469/'Peers Stock History'!J$1833*100</f>
        <v>114.87198041928275</v>
      </c>
      <c r="J1466" s="871">
        <f>'Peers Stock History'!K1469/'Peers Stock History'!K$1833*100</f>
        <v>122.75433718708331</v>
      </c>
    </row>
    <row r="1467" spans="2:10">
      <c r="B1467" s="873">
        <v>43144</v>
      </c>
      <c r="C1467" s="871">
        <f>'Peers Stock History'!D1470/'Peers Stock History'!D$1833*100</f>
        <v>123.32871012482664</v>
      </c>
      <c r="D1467" s="871">
        <f>'Peers Stock History'!E1470/'Peers Stock History'!E$1833*100</f>
        <v>213.42201834862385</v>
      </c>
      <c r="E1467" s="871">
        <f>'Peers Stock History'!F1470/'Peers Stock History'!F$1833*100</f>
        <v>88.571428571428555</v>
      </c>
      <c r="F1467" s="871">
        <f>'Peers Stock History'!G1470/'Peers Stock History'!G$1833*100</f>
        <v>131.28555142444034</v>
      </c>
      <c r="G1467" s="871">
        <f>'Peers Stock History'!H1470/'Peers Stock History'!H$1833*100</f>
        <v>119.35530851012186</v>
      </c>
      <c r="H1467" s="871">
        <f>'Peers Stock History'!I1470/'Peers Stock History'!I$1833*100</f>
        <v>185.18679409209383</v>
      </c>
      <c r="I1467" s="871">
        <f>'Peers Stock History'!J1470/'Peers Stock History'!J$1833*100</f>
        <v>113.35277216132809</v>
      </c>
      <c r="J1467" s="871">
        <f>'Peers Stock History'!K1470/'Peers Stock History'!K$1833*100</f>
        <v>120.51864096889049</v>
      </c>
    </row>
    <row r="1468" spans="2:10">
      <c r="B1468" s="873">
        <v>43143</v>
      </c>
      <c r="C1468" s="871">
        <f>'Peers Stock History'!D1471/'Peers Stock History'!D$1833*100</f>
        <v>124.35506241331484</v>
      </c>
      <c r="D1468" s="871">
        <f>'Peers Stock History'!E1471/'Peers Stock History'!E$1833*100</f>
        <v>209.20183486238534</v>
      </c>
      <c r="E1468" s="871">
        <f>'Peers Stock History'!F1471/'Peers Stock History'!F$1833*100</f>
        <v>87.819548872180448</v>
      </c>
      <c r="F1468" s="871">
        <f>'Peers Stock History'!G1471/'Peers Stock History'!G$1833*100</f>
        <v>131.28555142444034</v>
      </c>
      <c r="G1468" s="871">
        <f>'Peers Stock History'!H1471/'Peers Stock History'!H$1833*100</f>
        <v>118.64653623962329</v>
      </c>
      <c r="H1468" s="871">
        <f>'Peers Stock History'!I1471/'Peers Stock History'!I$1833*100</f>
        <v>183.27541268462207</v>
      </c>
      <c r="I1468" s="871">
        <f>'Peers Stock History'!J1471/'Peers Stock History'!J$1833*100</f>
        <v>113.05735873151006</v>
      </c>
      <c r="J1468" s="871">
        <f>'Peers Stock History'!K1471/'Peers Stock History'!K$1833*100</f>
        <v>119.97656131861486</v>
      </c>
    </row>
    <row r="1469" spans="2:10">
      <c r="B1469" s="873">
        <v>43142</v>
      </c>
      <c r="C1469" s="871">
        <f>'Peers Stock History'!D1472/'Peers Stock History'!D$1833*100</f>
        <v>121.91400832177533</v>
      </c>
      <c r="D1469" s="871">
        <f>'Peers Stock History'!E1472/'Peers Stock History'!E$1833*100</f>
        <v>212.91743119266059</v>
      </c>
      <c r="E1469" s="871">
        <f>'Peers Stock History'!F1472/'Peers Stock History'!F$1833*100</f>
        <v>85.037593984962399</v>
      </c>
      <c r="F1469" s="871">
        <f>'Peers Stock History'!G1472/'Peers Stock History'!G$1833*100</f>
        <v>129.02985179697791</v>
      </c>
      <c r="G1469" s="871">
        <f>'Peers Stock History'!H1472/'Peers Stock History'!H$1833*100</f>
        <v>114.32593815233749</v>
      </c>
      <c r="H1469" s="871">
        <f>'Peers Stock History'!I1472/'Peers Stock History'!I$1833*100</f>
        <v>175.5430060816681</v>
      </c>
      <c r="I1469" s="871">
        <f>'Peers Stock History'!J1472/'Peers Stock History'!J$1833*100</f>
        <v>111.50579972331596</v>
      </c>
      <c r="J1469" s="871">
        <f>'Peers Stock History'!K1472/'Peers Stock History'!K$1833*100</f>
        <v>118.12976850006187</v>
      </c>
    </row>
    <row r="1470" spans="2:10">
      <c r="B1470" s="873">
        <v>43141</v>
      </c>
      <c r="C1470" s="871">
        <f>'Peers Stock History'!D1473/'Peers Stock History'!D$1833*100</f>
        <v>121.91400832177533</v>
      </c>
      <c r="D1470" s="871">
        <f>'Peers Stock History'!E1473/'Peers Stock History'!E$1833*100</f>
        <v>212.91743119266059</v>
      </c>
      <c r="E1470" s="871">
        <f>'Peers Stock History'!F1473/'Peers Stock History'!F$1833*100</f>
        <v>85.037593984962399</v>
      </c>
      <c r="F1470" s="871">
        <f>'Peers Stock History'!G1473/'Peers Stock History'!G$1833*100</f>
        <v>129.02985179697791</v>
      </c>
      <c r="G1470" s="871">
        <f>'Peers Stock History'!H1473/'Peers Stock History'!H$1833*100</f>
        <v>114.32593815233749</v>
      </c>
      <c r="H1470" s="871">
        <f>'Peers Stock History'!I1473/'Peers Stock History'!I$1833*100</f>
        <v>175.5430060816681</v>
      </c>
      <c r="I1470" s="871">
        <f>'Peers Stock History'!J1473/'Peers Stock History'!J$1833*100</f>
        <v>111.50579972331596</v>
      </c>
      <c r="J1470" s="871">
        <f>'Peers Stock History'!K1473/'Peers Stock History'!K$1833*100</f>
        <v>118.12976850006187</v>
      </c>
    </row>
    <row r="1471" spans="2:10">
      <c r="B1471" s="873">
        <v>43140</v>
      </c>
      <c r="C1471" s="871">
        <f>'Peers Stock History'!D1474/'Peers Stock History'!D$1833*100</f>
        <v>121.91400832177533</v>
      </c>
      <c r="D1471" s="871">
        <f>'Peers Stock History'!E1474/'Peers Stock History'!E$1833*100</f>
        <v>212.91743119266059</v>
      </c>
      <c r="E1471" s="871">
        <f>'Peers Stock History'!F1474/'Peers Stock History'!F$1833*100</f>
        <v>85.037593984962399</v>
      </c>
      <c r="F1471" s="871">
        <f>'Peers Stock History'!G1474/'Peers Stock History'!G$1833*100</f>
        <v>129.02985179697791</v>
      </c>
      <c r="G1471" s="871">
        <f>'Peers Stock History'!H1474/'Peers Stock History'!H$1833*100</f>
        <v>114.32593815233749</v>
      </c>
      <c r="H1471" s="871">
        <f>'Peers Stock History'!I1474/'Peers Stock History'!I$1833*100</f>
        <v>175.5430060816681</v>
      </c>
      <c r="I1471" s="871">
        <f>'Peers Stock History'!J1474/'Peers Stock History'!J$1833*100</f>
        <v>111.50579972331596</v>
      </c>
      <c r="J1471" s="871">
        <f>'Peers Stock History'!K1474/'Peers Stock History'!K$1833*100</f>
        <v>118.12976850006187</v>
      </c>
    </row>
    <row r="1472" spans="2:10">
      <c r="B1472" s="873">
        <v>43139</v>
      </c>
      <c r="C1472" s="871">
        <f>'Peers Stock History'!D1475/'Peers Stock History'!D$1833*100</f>
        <v>118.5852981969487</v>
      </c>
      <c r="D1472" s="871">
        <f>'Peers Stock History'!E1475/'Peers Stock History'!E$1833*100</f>
        <v>199.55963302752295</v>
      </c>
      <c r="E1472" s="871">
        <f>'Peers Stock History'!F1475/'Peers Stock History'!F$1833*100</f>
        <v>84.360902255639104</v>
      </c>
      <c r="F1472" s="871">
        <f>'Peers Stock History'!G1475/'Peers Stock History'!G$1833*100</f>
        <v>131.83343608264616</v>
      </c>
      <c r="G1472" s="871">
        <f>'Peers Stock History'!H1475/'Peers Stock History'!H$1833*100</f>
        <v>111.44715762901112</v>
      </c>
      <c r="H1472" s="871">
        <f>'Peers Stock History'!I1475/'Peers Stock History'!I$1833*100</f>
        <v>173.7619461337967</v>
      </c>
      <c r="I1472" s="871">
        <f>'Peers Stock History'!J1475/'Peers Stock History'!J$1833*100</f>
        <v>109.86485048419708</v>
      </c>
      <c r="J1472" s="871">
        <f>'Peers Stock History'!K1475/'Peers Stock History'!K$1833*100</f>
        <v>116.45723643512092</v>
      </c>
    </row>
    <row r="1473" spans="2:10">
      <c r="B1473" s="873">
        <v>43138</v>
      </c>
      <c r="C1473" s="871">
        <f>'Peers Stock History'!D1476/'Peers Stock History'!D$1833*100</f>
        <v>125.38141470180307</v>
      </c>
      <c r="D1473" s="871">
        <f>'Peers Stock History'!E1476/'Peers Stock History'!E$1833*100</f>
        <v>209.90825688073394</v>
      </c>
      <c r="E1473" s="871">
        <f>'Peers Stock History'!F1476/'Peers Stock History'!F$1833*100</f>
        <v>87.218045112781951</v>
      </c>
      <c r="F1473" s="871">
        <f>'Peers Stock History'!G1476/'Peers Stock History'!G$1833*100</f>
        <v>133.0423235347414</v>
      </c>
      <c r="G1473" s="871">
        <f>'Peers Stock History'!H1476/'Peers Stock History'!H$1833*100</f>
        <v>115.2386038157192</v>
      </c>
      <c r="H1473" s="871">
        <f>'Peers Stock History'!I1476/'Peers Stock History'!I$1833*100</f>
        <v>182.49348392701998</v>
      </c>
      <c r="I1473" s="871">
        <f>'Peers Stock History'!J1476/'Peers Stock History'!J$1833*100</f>
        <v>114.14962221985741</v>
      </c>
      <c r="J1473" s="871">
        <f>'Peers Stock History'!K1476/'Peers Stock History'!K$1833*100</f>
        <v>121.1797698747646</v>
      </c>
    </row>
    <row r="1474" spans="2:10">
      <c r="B1474" s="873">
        <v>43137</v>
      </c>
      <c r="C1474" s="871">
        <f>'Peers Stock History'!D1477/'Peers Stock History'!D$1833*100</f>
        <v>124.57697642163662</v>
      </c>
      <c r="D1474" s="871">
        <f>'Peers Stock History'!E1477/'Peers Stock History'!E$1833*100</f>
        <v>206.95412844036701</v>
      </c>
      <c r="E1474" s="871">
        <f>'Peers Stock History'!F1477/'Peers Stock History'!F$1833*100</f>
        <v>87.593984962406012</v>
      </c>
      <c r="F1474" s="871">
        <f>'Peers Stock History'!G1477/'Peers Stock History'!G$1833*100</f>
        <v>133.12764649910253</v>
      </c>
      <c r="G1474" s="871">
        <f>'Peers Stock History'!H1477/'Peers Stock History'!H$1833*100</f>
        <v>116.69498519345598</v>
      </c>
      <c r="H1474" s="871">
        <f>'Peers Stock History'!I1477/'Peers Stock History'!I$1833*100</f>
        <v>190.616854908775</v>
      </c>
      <c r="I1474" s="871">
        <f>'Peers Stock History'!J1477/'Peers Stock History'!J$1833*100</f>
        <v>114.72342236884113</v>
      </c>
      <c r="J1474" s="871">
        <f>'Peers Stock History'!K1477/'Peers Stock History'!K$1833*100</f>
        <v>122.27777930522525</v>
      </c>
    </row>
    <row r="1475" spans="2:10">
      <c r="B1475" s="873">
        <v>43136</v>
      </c>
      <c r="C1475" s="871">
        <f>'Peers Stock History'!D1478/'Peers Stock History'!D$1833*100</f>
        <v>123.49514563106798</v>
      </c>
      <c r="D1475" s="871">
        <f>'Peers Stock History'!E1478/'Peers Stock History'!E$1833*100</f>
        <v>196.05504587155963</v>
      </c>
      <c r="E1475" s="871">
        <f>'Peers Stock History'!F1478/'Peers Stock History'!F$1833*100</f>
        <v>86.992481203007515</v>
      </c>
      <c r="F1475" s="871">
        <f>'Peers Stock History'!G1478/'Peers Stock History'!G$1833*100</f>
        <v>140.01022381699372</v>
      </c>
      <c r="G1475" s="871">
        <f>'Peers Stock History'!H1478/'Peers Stock History'!H$1833*100</f>
        <v>110.73353075392009</v>
      </c>
      <c r="H1475" s="871">
        <f>'Peers Stock History'!I1478/'Peers Stock History'!I$1833*100</f>
        <v>171.15551694178976</v>
      </c>
      <c r="I1475" s="871">
        <f>'Peers Stock History'!J1478/'Peers Stock History'!J$1833*100</f>
        <v>112.75683728849633</v>
      </c>
      <c r="J1475" s="871">
        <f>'Peers Stock History'!K1478/'Peers Stock History'!K$1833*100</f>
        <v>119.72846184512601</v>
      </c>
    </row>
    <row r="1476" spans="2:10">
      <c r="B1476" s="873">
        <v>43135</v>
      </c>
      <c r="C1476" s="871">
        <f>'Peers Stock History'!D1479/'Peers Stock History'!D$1833*100</f>
        <v>128.01664355062414</v>
      </c>
      <c r="D1476" s="871">
        <f>'Peers Stock History'!E1479/'Peers Stock History'!E$1833*100</f>
        <v>214.23853211009174</v>
      </c>
      <c r="E1476" s="871">
        <f>'Peers Stock History'!F1479/'Peers Stock History'!F$1833*100</f>
        <v>93.609022556390968</v>
      </c>
      <c r="F1476" s="871">
        <f>'Peers Stock History'!G1479/'Peers Stock History'!G$1833*100</f>
        <v>144.06311178715796</v>
      </c>
      <c r="G1476" s="871">
        <f>'Peers Stock History'!H1479/'Peers Stock History'!H$1833*100</f>
        <v>114.31622894315257</v>
      </c>
      <c r="H1476" s="871">
        <f>'Peers Stock History'!I1479/'Peers Stock History'!I$1833*100</f>
        <v>177.32406602953955</v>
      </c>
      <c r="I1476" s="871">
        <f>'Peers Stock History'!J1479/'Peers Stock History'!J$1833*100</f>
        <v>117.57497073534107</v>
      </c>
      <c r="J1476" s="871">
        <f>'Peers Stock History'!K1479/'Peers Stock History'!K$1833*100</f>
        <v>124.42685206824025</v>
      </c>
    </row>
    <row r="1477" spans="2:10">
      <c r="B1477" s="873">
        <v>43134</v>
      </c>
      <c r="C1477" s="871">
        <f>'Peers Stock History'!D1480/'Peers Stock History'!D$1833*100</f>
        <v>128.01664355062414</v>
      </c>
      <c r="D1477" s="871">
        <f>'Peers Stock History'!E1480/'Peers Stock History'!E$1833*100</f>
        <v>214.23853211009174</v>
      </c>
      <c r="E1477" s="871">
        <f>'Peers Stock History'!F1480/'Peers Stock History'!F$1833*100</f>
        <v>93.609022556390968</v>
      </c>
      <c r="F1477" s="871">
        <f>'Peers Stock History'!G1480/'Peers Stock History'!G$1833*100</f>
        <v>144.06311178715796</v>
      </c>
      <c r="G1477" s="871">
        <f>'Peers Stock History'!H1480/'Peers Stock History'!H$1833*100</f>
        <v>114.31622894315257</v>
      </c>
      <c r="H1477" s="871">
        <f>'Peers Stock History'!I1480/'Peers Stock History'!I$1833*100</f>
        <v>177.32406602953955</v>
      </c>
      <c r="I1477" s="871">
        <f>'Peers Stock History'!J1480/'Peers Stock History'!J$1833*100</f>
        <v>117.57497073534107</v>
      </c>
      <c r="J1477" s="871">
        <f>'Peers Stock History'!K1480/'Peers Stock History'!K$1833*100</f>
        <v>124.42685206824025</v>
      </c>
    </row>
    <row r="1478" spans="2:10">
      <c r="B1478" s="873">
        <v>43133</v>
      </c>
      <c r="C1478" s="871">
        <f>'Peers Stock History'!D1481/'Peers Stock History'!D$1833*100</f>
        <v>128.01664355062414</v>
      </c>
      <c r="D1478" s="871">
        <f>'Peers Stock History'!E1481/'Peers Stock History'!E$1833*100</f>
        <v>214.23853211009174</v>
      </c>
      <c r="E1478" s="871">
        <f>'Peers Stock History'!F1481/'Peers Stock History'!F$1833*100</f>
        <v>93.609022556390968</v>
      </c>
      <c r="F1478" s="871">
        <f>'Peers Stock History'!G1481/'Peers Stock History'!G$1833*100</f>
        <v>144.06311178715796</v>
      </c>
      <c r="G1478" s="871">
        <f>'Peers Stock History'!H1481/'Peers Stock History'!H$1833*100</f>
        <v>114.31622894315257</v>
      </c>
      <c r="H1478" s="871">
        <f>'Peers Stock History'!I1481/'Peers Stock History'!I$1833*100</f>
        <v>177.32406602953955</v>
      </c>
      <c r="I1478" s="871">
        <f>'Peers Stock History'!J1481/'Peers Stock History'!J$1833*100</f>
        <v>117.57497073534107</v>
      </c>
      <c r="J1478" s="871">
        <f>'Peers Stock History'!K1481/'Peers Stock History'!K$1833*100</f>
        <v>124.42685206824025</v>
      </c>
    </row>
    <row r="1479" spans="2:10">
      <c r="B1479" s="873">
        <v>43132</v>
      </c>
      <c r="C1479" s="871">
        <f>'Peers Stock History'!D1482/'Peers Stock History'!D$1833*100</f>
        <v>132.17753120665742</v>
      </c>
      <c r="D1479" s="871">
        <f>'Peers Stock History'!E1482/'Peers Stock History'!E$1833*100</f>
        <v>220.64220183486239</v>
      </c>
      <c r="E1479" s="871">
        <f>'Peers Stock History'!F1482/'Peers Stock History'!F$1833*100</f>
        <v>99.624060150375939</v>
      </c>
      <c r="F1479" s="871">
        <f>'Peers Stock History'!G1482/'Peers Stock History'!G$1833*100</f>
        <v>144.78948041801763</v>
      </c>
      <c r="G1479" s="871">
        <f>'Peers Stock History'!H1482/'Peers Stock History'!H$1833*100</f>
        <v>115.92310306325548</v>
      </c>
      <c r="H1479" s="871">
        <f>'Peers Stock History'!I1482/'Peers Stock History'!I$1833*100</f>
        <v>184.57862728062554</v>
      </c>
      <c r="I1479" s="871">
        <f>'Peers Stock History'!J1482/'Peers Stock History'!J$1833*100</f>
        <v>120.12259231669682</v>
      </c>
      <c r="J1479" s="871">
        <f>'Peers Stock History'!K1482/'Peers Stock History'!K$1833*100</f>
        <v>126.91707449514044</v>
      </c>
    </row>
    <row r="1480" spans="2:10">
      <c r="B1480" s="873">
        <v>43131</v>
      </c>
      <c r="C1480" s="871">
        <f>'Peers Stock History'!D1483/'Peers Stock History'!D$1833*100</f>
        <v>133.5367545076283</v>
      </c>
      <c r="D1480" s="871">
        <f>'Peers Stock History'!E1483/'Peers Stock History'!E$1833*100</f>
        <v>225.50458715596332</v>
      </c>
      <c r="E1480" s="871">
        <f>'Peers Stock History'!F1483/'Peers Stock History'!F$1833*100</f>
        <v>103.30827067669173</v>
      </c>
      <c r="F1480" s="871">
        <f>'Peers Stock History'!G1483/'Peers Stock History'!G$1833*100</f>
        <v>142.24940573488288</v>
      </c>
      <c r="G1480" s="871">
        <f>'Peers Stock History'!H1483/'Peers Stock History'!H$1833*100</f>
        <v>120.40875770668478</v>
      </c>
      <c r="H1480" s="871">
        <f>'Peers Stock History'!I1483/'Peers Stock History'!I$1833*100</f>
        <v>189.92180712423979</v>
      </c>
      <c r="I1480" s="871">
        <f>'Peers Stock History'!J1483/'Peers Stock History'!J$1833*100</f>
        <v>120.20048951793126</v>
      </c>
      <c r="J1480" s="871">
        <f>'Peers Stock History'!K1483/'Peers Stock History'!K$1833*100</f>
        <v>127.3573058576083</v>
      </c>
    </row>
    <row r="1481" spans="2:10">
      <c r="B1481" s="873">
        <v>43130</v>
      </c>
      <c r="C1481" s="871">
        <f>'Peers Stock History'!D1484/'Peers Stock History'!D$1833*100</f>
        <v>135.33980582524271</v>
      </c>
      <c r="D1481" s="871">
        <f>'Peers Stock History'!E1484/'Peers Stock History'!E$1833*100</f>
        <v>222.67889908256882</v>
      </c>
      <c r="E1481" s="871">
        <f>'Peers Stock History'!F1484/'Peers Stock History'!F$1833*100</f>
        <v>96.766917293233064</v>
      </c>
      <c r="F1481" s="871">
        <f>'Peers Stock History'!G1484/'Peers Stock History'!G$1833*100</f>
        <v>140.85357230228726</v>
      </c>
      <c r="G1481" s="871">
        <f>'Peers Stock History'!H1484/'Peers Stock History'!H$1833*100</f>
        <v>116.98626146900335</v>
      </c>
      <c r="H1481" s="871">
        <f>'Peers Stock History'!I1484/'Peers Stock History'!I$1833*100</f>
        <v>181.01650738488274</v>
      </c>
      <c r="I1481" s="871">
        <f>'Peers Stock History'!J1484/'Peers Stock History'!J$1833*100</f>
        <v>120.14174736618068</v>
      </c>
      <c r="J1481" s="871">
        <f>'Peers Stock History'!K1484/'Peers Stock History'!K$1833*100</f>
        <v>127.20265180154793</v>
      </c>
    </row>
    <row r="1482" spans="2:10">
      <c r="B1482" s="873">
        <v>43129</v>
      </c>
      <c r="C1482" s="871">
        <f>'Peers Stock History'!D1485/'Peers Stock History'!D$1833*100</f>
        <v>138.64077669902912</v>
      </c>
      <c r="D1482" s="871">
        <f>'Peers Stock History'!E1485/'Peers Stock History'!E$1833*100</f>
        <v>226.46788990825689</v>
      </c>
      <c r="E1482" s="871">
        <f>'Peers Stock History'!F1485/'Peers Stock History'!F$1833*100</f>
        <v>100.15037593984961</v>
      </c>
      <c r="F1482" s="871">
        <f>'Peers Stock History'!G1485/'Peers Stock History'!G$1833*100</f>
        <v>144.07832885013727</v>
      </c>
      <c r="G1482" s="871">
        <f>'Peers Stock History'!H1485/'Peers Stock History'!H$1833*100</f>
        <v>119.16597893101606</v>
      </c>
      <c r="H1482" s="871">
        <f>'Peers Stock History'!I1485/'Peers Stock History'!I$1833*100</f>
        <v>188.05386620330148</v>
      </c>
      <c r="I1482" s="871">
        <f>'Peers Stock History'!J1485/'Peers Stock History'!J$1833*100</f>
        <v>121.46557411939982</v>
      </c>
      <c r="J1482" s="871">
        <f>'Peers Stock History'!K1485/'Peers Stock History'!K$1833*100</f>
        <v>128.30280920500942</v>
      </c>
    </row>
    <row r="1483" spans="2:10">
      <c r="B1483" s="873">
        <v>43128</v>
      </c>
      <c r="C1483" s="871">
        <f>'Peers Stock History'!D1486/'Peers Stock History'!D$1833*100</f>
        <v>138.91816920943134</v>
      </c>
      <c r="D1483" s="871">
        <f>'Peers Stock History'!E1486/'Peers Stock History'!E$1833*100</f>
        <v>223.23853211009177</v>
      </c>
      <c r="E1483" s="871">
        <f>'Peers Stock History'!F1486/'Peers Stock History'!F$1833*100</f>
        <v>97.368421052631575</v>
      </c>
      <c r="F1483" s="871">
        <f>'Peers Stock History'!G1486/'Peers Stock History'!G$1833*100</f>
        <v>142.67506777997264</v>
      </c>
      <c r="G1483" s="871">
        <f>'Peers Stock History'!H1486/'Peers Stock History'!H$1833*100</f>
        <v>121.74862857420261</v>
      </c>
      <c r="H1483" s="871">
        <f>'Peers Stock History'!I1486/'Peers Stock History'!I$1833*100</f>
        <v>189.70460469157254</v>
      </c>
      <c r="I1483" s="871">
        <f>'Peers Stock History'!J1486/'Peers Stock History'!J$1833*100</f>
        <v>122.28881557944024</v>
      </c>
      <c r="J1483" s="871">
        <f>'Peers Stock History'!K1486/'Peers Stock History'!K$1833*100</f>
        <v>128.97756485160085</v>
      </c>
    </row>
    <row r="1484" spans="2:10">
      <c r="B1484" s="873">
        <v>43127</v>
      </c>
      <c r="C1484" s="871">
        <f>'Peers Stock History'!D1487/'Peers Stock History'!D$1833*100</f>
        <v>138.91816920943134</v>
      </c>
      <c r="D1484" s="871">
        <f>'Peers Stock History'!E1487/'Peers Stock History'!E$1833*100</f>
        <v>223.23853211009177</v>
      </c>
      <c r="E1484" s="871">
        <f>'Peers Stock History'!F1487/'Peers Stock History'!F$1833*100</f>
        <v>97.368421052631575</v>
      </c>
      <c r="F1484" s="871">
        <f>'Peers Stock History'!G1487/'Peers Stock History'!G$1833*100</f>
        <v>142.67506777997264</v>
      </c>
      <c r="G1484" s="871">
        <f>'Peers Stock History'!H1487/'Peers Stock History'!H$1833*100</f>
        <v>121.74862857420261</v>
      </c>
      <c r="H1484" s="871">
        <f>'Peers Stock History'!I1487/'Peers Stock History'!I$1833*100</f>
        <v>189.70460469157254</v>
      </c>
      <c r="I1484" s="871">
        <f>'Peers Stock History'!J1487/'Peers Stock History'!J$1833*100</f>
        <v>122.28881557944024</v>
      </c>
      <c r="J1484" s="871">
        <f>'Peers Stock History'!K1487/'Peers Stock History'!K$1833*100</f>
        <v>128.97756485160085</v>
      </c>
    </row>
    <row r="1485" spans="2:10">
      <c r="B1485" s="873">
        <v>43126</v>
      </c>
      <c r="C1485" s="871">
        <f>'Peers Stock History'!D1488/'Peers Stock History'!D$1833*100</f>
        <v>138.91816920943134</v>
      </c>
      <c r="D1485" s="871">
        <f>'Peers Stock History'!E1488/'Peers Stock History'!E$1833*100</f>
        <v>223.23853211009177</v>
      </c>
      <c r="E1485" s="871">
        <f>'Peers Stock History'!F1488/'Peers Stock History'!F$1833*100</f>
        <v>97.368421052631575</v>
      </c>
      <c r="F1485" s="871">
        <f>'Peers Stock History'!G1488/'Peers Stock History'!G$1833*100</f>
        <v>142.67506777997264</v>
      </c>
      <c r="G1485" s="871">
        <f>'Peers Stock History'!H1488/'Peers Stock History'!H$1833*100</f>
        <v>121.74862857420261</v>
      </c>
      <c r="H1485" s="871">
        <f>'Peers Stock History'!I1488/'Peers Stock History'!I$1833*100</f>
        <v>189.70460469157254</v>
      </c>
      <c r="I1485" s="871">
        <f>'Peers Stock History'!J1488/'Peers Stock History'!J$1833*100</f>
        <v>122.28881557944024</v>
      </c>
      <c r="J1485" s="871">
        <f>'Peers Stock History'!K1488/'Peers Stock History'!K$1833*100</f>
        <v>128.97756485160085</v>
      </c>
    </row>
    <row r="1486" spans="2:10">
      <c r="B1486" s="873">
        <v>43125</v>
      </c>
      <c r="C1486" s="871">
        <f>'Peers Stock History'!D1489/'Peers Stock History'!D$1833*100</f>
        <v>125.65880721220528</v>
      </c>
      <c r="D1486" s="871">
        <f>'Peers Stock History'!E1489/'Peers Stock History'!E$1833*100</f>
        <v>216.83486238532109</v>
      </c>
      <c r="E1486" s="871">
        <f>'Peers Stock History'!F1489/'Peers Stock History'!F$1833*100</f>
        <v>93.308270676691734</v>
      </c>
      <c r="F1486" s="871">
        <f>'Peers Stock History'!G1489/'Peers Stock History'!G$1833*100</f>
        <v>144.16517271010264</v>
      </c>
      <c r="G1486" s="871">
        <f>'Peers Stock History'!H1489/'Peers Stock History'!H$1833*100</f>
        <v>120.04951696684304</v>
      </c>
      <c r="H1486" s="871">
        <f>'Peers Stock History'!I1489/'Peers Stock History'!I$1833*100</f>
        <v>186.83753258036489</v>
      </c>
      <c r="I1486" s="871">
        <f>'Peers Stock History'!J1489/'Peers Stock History'!J$1833*100</f>
        <v>120.85772054911142</v>
      </c>
      <c r="J1486" s="871">
        <f>'Peers Stock History'!K1489/'Peers Stock History'!K$1833*100</f>
        <v>127.35184141429417</v>
      </c>
    </row>
    <row r="1487" spans="2:10">
      <c r="B1487" s="873">
        <v>43124</v>
      </c>
      <c r="C1487" s="871">
        <f>'Peers Stock History'!D1490/'Peers Stock History'!D$1833*100</f>
        <v>126.24133148404995</v>
      </c>
      <c r="D1487" s="871">
        <f>'Peers Stock History'!E1490/'Peers Stock History'!E$1833*100</f>
        <v>216.3302752293578</v>
      </c>
      <c r="E1487" s="871">
        <f>'Peers Stock History'!F1490/'Peers Stock History'!F$1833*100</f>
        <v>95.563909774436098</v>
      </c>
      <c r="F1487" s="871">
        <f>'Peers Stock History'!G1490/'Peers Stock History'!G$1833*100</f>
        <v>144.19489136042429</v>
      </c>
      <c r="G1487" s="871">
        <f>'Peers Stock History'!H1490/'Peers Stock History'!H$1833*100</f>
        <v>124.69537356182339</v>
      </c>
      <c r="H1487" s="871">
        <f>'Peers Stock History'!I1490/'Peers Stock History'!I$1833*100</f>
        <v>187.14161598609905</v>
      </c>
      <c r="I1487" s="871">
        <f>'Peers Stock History'!J1490/'Peers Stock History'!J$1833*100</f>
        <v>120.78493136107269</v>
      </c>
      <c r="J1487" s="871">
        <f>'Peers Stock History'!K1490/'Peers Stock History'!K$1833*100</f>
        <v>127.41877225300028</v>
      </c>
    </row>
    <row r="1488" spans="2:10">
      <c r="B1488" s="873">
        <v>43123</v>
      </c>
      <c r="C1488" s="871">
        <f>'Peers Stock History'!D1491/'Peers Stock History'!D$1833*100</f>
        <v>127.76699029126215</v>
      </c>
      <c r="D1488" s="871">
        <f>'Peers Stock History'!E1491/'Peers Stock History'!E$1833*100</f>
        <v>219.18348623853211</v>
      </c>
      <c r="E1488" s="871">
        <f>'Peers Stock History'!F1491/'Peers Stock History'!F$1833*100</f>
        <v>97.293233082706749</v>
      </c>
      <c r="F1488" s="871">
        <f>'Peers Stock History'!G1491/'Peers Stock History'!G$1833*100</f>
        <v>148.15195241120543</v>
      </c>
      <c r="G1488" s="871">
        <f>'Peers Stock History'!H1491/'Peers Stock History'!H$1833*100</f>
        <v>127.62755473566676</v>
      </c>
      <c r="H1488" s="871">
        <f>'Peers Stock History'!I1491/'Peers Stock History'!I$1833*100</f>
        <v>190.92093831450913</v>
      </c>
      <c r="I1488" s="871">
        <f>'Peers Stock History'!J1491/'Peers Stock History'!J$1833*100</f>
        <v>120.85261253591572</v>
      </c>
      <c r="J1488" s="871">
        <f>'Peers Stock History'!K1491/'Peers Stock History'!K$1833*100</f>
        <v>128.19599480362371</v>
      </c>
    </row>
    <row r="1489" spans="2:10">
      <c r="B1489" s="873">
        <v>43122</v>
      </c>
      <c r="C1489" s="871">
        <f>'Peers Stock History'!D1492/'Peers Stock History'!D$1833*100</f>
        <v>126.90707350901526</v>
      </c>
      <c r="D1489" s="871">
        <f>'Peers Stock History'!E1492/'Peers Stock History'!E$1833*100</f>
        <v>214.39449541284407</v>
      </c>
      <c r="E1489" s="871">
        <f>'Peers Stock History'!F1492/'Peers Stock History'!F$1833*100</f>
        <v>95.112781954887211</v>
      </c>
      <c r="F1489" s="871">
        <f>'Peers Stock History'!G1492/'Peers Stock History'!G$1833*100</f>
        <v>145.78538308789513</v>
      </c>
      <c r="G1489" s="871">
        <f>'Peers Stock History'!H1492/'Peers Stock History'!H$1833*100</f>
        <v>127.24404097286278</v>
      </c>
      <c r="H1489" s="871">
        <f>'Peers Stock History'!I1492/'Peers Stock History'!I$1833*100</f>
        <v>186.27280625543008</v>
      </c>
      <c r="I1489" s="871">
        <f>'Peers Stock History'!J1492/'Peers Stock History'!J$1833*100</f>
        <v>120.59040119186974</v>
      </c>
      <c r="J1489" s="871">
        <f>'Peers Stock History'!K1492/'Peers Stock History'!K$1833*100</f>
        <v>127.29802180278516</v>
      </c>
    </row>
    <row r="1490" spans="2:10">
      <c r="B1490" s="873">
        <v>43121</v>
      </c>
      <c r="C1490" s="871">
        <f>'Peers Stock History'!D1493/'Peers Stock History'!D$1833*100</f>
        <v>124.32732316227464</v>
      </c>
      <c r="D1490" s="871">
        <f>'Peers Stock History'!E1493/'Peers Stock History'!E$1833*100</f>
        <v>211.11009174311928</v>
      </c>
      <c r="E1490" s="871">
        <f>'Peers Stock History'!F1493/'Peers Stock History'!F$1833*100</f>
        <v>94.661654135338338</v>
      </c>
      <c r="F1490" s="871">
        <f>'Peers Stock History'!G1493/'Peers Stock History'!G$1833*100</f>
        <v>141.65394903099821</v>
      </c>
      <c r="G1490" s="871">
        <f>'Peers Stock History'!H1493/'Peers Stock History'!H$1833*100</f>
        <v>129.32181173843389</v>
      </c>
      <c r="H1490" s="871">
        <f>'Peers Stock History'!I1493/'Peers Stock History'!I$1833*100</f>
        <v>185.70807993049522</v>
      </c>
      <c r="I1490" s="871">
        <f>'Peers Stock History'!J1493/'Peers Stock History'!J$1833*100</f>
        <v>119.62541236564861</v>
      </c>
      <c r="J1490" s="871">
        <f>'Peers Stock History'!K1493/'Peers Stock History'!K$1833*100</f>
        <v>126.06676931113647</v>
      </c>
    </row>
    <row r="1491" spans="2:10">
      <c r="B1491" s="873">
        <v>43120</v>
      </c>
      <c r="C1491" s="871">
        <f>'Peers Stock History'!D1494/'Peers Stock History'!D$1833*100</f>
        <v>124.32732316227464</v>
      </c>
      <c r="D1491" s="871">
        <f>'Peers Stock History'!E1494/'Peers Stock History'!E$1833*100</f>
        <v>211.11009174311928</v>
      </c>
      <c r="E1491" s="871">
        <f>'Peers Stock History'!F1494/'Peers Stock History'!F$1833*100</f>
        <v>94.661654135338338</v>
      </c>
      <c r="F1491" s="871">
        <f>'Peers Stock History'!G1494/'Peers Stock History'!G$1833*100</f>
        <v>141.65394903099821</v>
      </c>
      <c r="G1491" s="871">
        <f>'Peers Stock History'!H1494/'Peers Stock History'!H$1833*100</f>
        <v>129.32181173843389</v>
      </c>
      <c r="H1491" s="871">
        <f>'Peers Stock History'!I1494/'Peers Stock History'!I$1833*100</f>
        <v>185.70807993049522</v>
      </c>
      <c r="I1491" s="871">
        <f>'Peers Stock History'!J1494/'Peers Stock History'!J$1833*100</f>
        <v>119.62541236564861</v>
      </c>
      <c r="J1491" s="871">
        <f>'Peers Stock History'!K1494/'Peers Stock History'!K$1833*100</f>
        <v>126.06676931113647</v>
      </c>
    </row>
    <row r="1492" spans="2:10">
      <c r="B1492" s="873">
        <v>43119</v>
      </c>
      <c r="C1492" s="871">
        <f>'Peers Stock History'!D1495/'Peers Stock History'!D$1833*100</f>
        <v>124.32732316227464</v>
      </c>
      <c r="D1492" s="871">
        <f>'Peers Stock History'!E1495/'Peers Stock History'!E$1833*100</f>
        <v>211.11009174311928</v>
      </c>
      <c r="E1492" s="871">
        <f>'Peers Stock History'!F1495/'Peers Stock History'!F$1833*100</f>
        <v>94.661654135338338</v>
      </c>
      <c r="F1492" s="871">
        <f>'Peers Stock History'!G1495/'Peers Stock History'!G$1833*100</f>
        <v>141.65394903099821</v>
      </c>
      <c r="G1492" s="871">
        <f>'Peers Stock History'!H1495/'Peers Stock History'!H$1833*100</f>
        <v>129.32181173843389</v>
      </c>
      <c r="H1492" s="871">
        <f>'Peers Stock History'!I1495/'Peers Stock History'!I$1833*100</f>
        <v>185.70807993049522</v>
      </c>
      <c r="I1492" s="871">
        <f>'Peers Stock History'!J1495/'Peers Stock History'!J$1833*100</f>
        <v>119.62541236564861</v>
      </c>
      <c r="J1492" s="871">
        <f>'Peers Stock History'!K1495/'Peers Stock History'!K$1833*100</f>
        <v>126.06676931113647</v>
      </c>
    </row>
    <row r="1493" spans="2:10">
      <c r="B1493" s="873">
        <v>43118</v>
      </c>
      <c r="C1493" s="871">
        <f>'Peers Stock History'!D1496/'Peers Stock History'!D$1833*100</f>
        <v>123.38418862690708</v>
      </c>
      <c r="D1493" s="871">
        <f>'Peers Stock History'!E1496/'Peers Stock History'!E$1833*100</f>
        <v>205.90825688073394</v>
      </c>
      <c r="E1493" s="871">
        <f>'Peers Stock History'!F1496/'Peers Stock History'!F$1833*100</f>
        <v>93.759398496240593</v>
      </c>
      <c r="F1493" s="871">
        <f>'Peers Stock History'!G1496/'Peers Stock History'!G$1833*100</f>
        <v>136.78006862516571</v>
      </c>
      <c r="G1493" s="871">
        <f>'Peers Stock History'!H1496/'Peers Stock History'!H$1833*100</f>
        <v>130.97723190446138</v>
      </c>
      <c r="H1493" s="871">
        <f>'Peers Stock History'!I1496/'Peers Stock History'!I$1833*100</f>
        <v>191.09470026064292</v>
      </c>
      <c r="I1493" s="871">
        <f>'Peers Stock History'!J1496/'Peers Stock History'!J$1833*100</f>
        <v>119.10311801638822</v>
      </c>
      <c r="J1493" s="871">
        <f>'Peers Stock History'!K1496/'Peers Stock History'!K$1833*100</f>
        <v>125.37369575079389</v>
      </c>
    </row>
    <row r="1494" spans="2:10">
      <c r="B1494" s="873">
        <v>43117</v>
      </c>
      <c r="C1494" s="871">
        <f>'Peers Stock History'!D1497/'Peers Stock History'!D$1833*100</f>
        <v>123.13453536754508</v>
      </c>
      <c r="D1494" s="871">
        <f>'Peers Stock History'!E1497/'Peers Stock History'!E$1833*100</f>
        <v>206.16513761467891</v>
      </c>
      <c r="E1494" s="871">
        <f>'Peers Stock History'!F1497/'Peers Stock History'!F$1833*100</f>
        <v>91.578947368421055</v>
      </c>
      <c r="F1494" s="871">
        <f>'Peers Stock History'!G1497/'Peers Stock History'!G$1833*100</f>
        <v>133.25642731234777</v>
      </c>
      <c r="G1494" s="871">
        <f>'Peers Stock History'!H1497/'Peers Stock History'!H$1833*100</f>
        <v>129.04024467207145</v>
      </c>
      <c r="H1494" s="871">
        <f>'Peers Stock History'!I1497/'Peers Stock History'!I$1833*100</f>
        <v>192.26759339704606</v>
      </c>
      <c r="I1494" s="871">
        <f>'Peers Stock History'!J1497/'Peers Stock History'!J$1833*100</f>
        <v>119.29594551452591</v>
      </c>
      <c r="J1494" s="871">
        <f>'Peers Stock History'!K1497/'Peers Stock History'!K$1833*100</f>
        <v>125.41204995669688</v>
      </c>
    </row>
    <row r="1495" spans="2:10">
      <c r="B1495" s="873">
        <v>43116</v>
      </c>
      <c r="C1495" s="871">
        <f>'Peers Stock History'!D1498/'Peers Stock History'!D$1833*100</f>
        <v>119.66712898751734</v>
      </c>
      <c r="D1495" s="871">
        <f>'Peers Stock History'!E1498/'Peers Stock History'!E$1833*100</f>
        <v>201.93577981651379</v>
      </c>
      <c r="E1495" s="871">
        <f>'Peers Stock History'!F1498/'Peers Stock History'!F$1833*100</f>
        <v>89.548872180451127</v>
      </c>
      <c r="F1495" s="871">
        <f>'Peers Stock History'!G1498/'Peers Stock History'!G$1833*100</f>
        <v>132.45735990014168</v>
      </c>
      <c r="G1495" s="871">
        <f>'Peers Stock History'!H1498/'Peers Stock History'!H$1833*100</f>
        <v>127.79746589640273</v>
      </c>
      <c r="H1495" s="871">
        <f>'Peers Stock History'!I1498/'Peers Stock History'!I$1833*100</f>
        <v>186.44656820156388</v>
      </c>
      <c r="I1495" s="871">
        <f>'Peers Stock History'!J1498/'Peers Stock History'!J$1833*100</f>
        <v>118.18324997339577</v>
      </c>
      <c r="J1495" s="871">
        <f>'Peers Stock History'!K1498/'Peers Stock History'!K$1833*100</f>
        <v>124.13024277250047</v>
      </c>
    </row>
    <row r="1496" spans="2:10">
      <c r="B1496" s="873">
        <v>43115</v>
      </c>
      <c r="C1496" s="871">
        <f>'Peers Stock History'!D1499/'Peers Stock History'!D$1833*100</f>
        <v>119.94452149791957</v>
      </c>
      <c r="D1496" s="871">
        <f>'Peers Stock History'!E1499/'Peers Stock History'!E$1833*100</f>
        <v>204.56880733944951</v>
      </c>
      <c r="E1496" s="871">
        <f>'Peers Stock History'!F1499/'Peers Stock History'!F$1833*100</f>
        <v>90.375939849624061</v>
      </c>
      <c r="F1496" s="871">
        <f>'Peers Stock History'!G1499/'Peers Stock History'!G$1833*100</f>
        <v>132.24466445792916</v>
      </c>
      <c r="G1496" s="871">
        <f>'Peers Stock History'!H1499/'Peers Stock History'!H$1833*100</f>
        <v>128.30234477401817</v>
      </c>
      <c r="H1496" s="871">
        <f>'Peers Stock History'!I1499/'Peers Stock History'!I$1833*100</f>
        <v>185.96872284969592</v>
      </c>
      <c r="I1496" s="871">
        <f>'Peers Stock History'!J1499/'Peers Stock History'!J$1833*100</f>
        <v>118.6012557199106</v>
      </c>
      <c r="J1496" s="871">
        <f>'Peers Stock History'!K1499/'Peers Stock History'!K$1833*100</f>
        <v>124.7725210673192</v>
      </c>
    </row>
    <row r="1497" spans="2:10">
      <c r="B1497" s="873">
        <v>43114</v>
      </c>
      <c r="C1497" s="871">
        <f>'Peers Stock History'!D1500/'Peers Stock History'!D$1833*100</f>
        <v>119.94452149791957</v>
      </c>
      <c r="D1497" s="871">
        <f>'Peers Stock History'!E1500/'Peers Stock History'!E$1833*100</f>
        <v>204.56880733944951</v>
      </c>
      <c r="E1497" s="871">
        <f>'Peers Stock History'!F1500/'Peers Stock History'!F$1833*100</f>
        <v>90.375939849624061</v>
      </c>
      <c r="F1497" s="871">
        <f>'Peers Stock History'!G1500/'Peers Stock History'!G$1833*100</f>
        <v>130.31351687765419</v>
      </c>
      <c r="G1497" s="871">
        <f>'Peers Stock History'!H1500/'Peers Stock History'!H$1833*100</f>
        <v>128.30234477401817</v>
      </c>
      <c r="H1497" s="871">
        <f>'Peers Stock History'!I1500/'Peers Stock History'!I$1833*100</f>
        <v>185.96872284969592</v>
      </c>
      <c r="I1497" s="871">
        <f>'Peers Stock History'!J1500/'Peers Stock History'!J$1833*100</f>
        <v>118.6012557199106</v>
      </c>
      <c r="J1497" s="871">
        <f>'Peers Stock History'!K1500/'Peers Stock History'!K$1833*100</f>
        <v>124.7725210673192</v>
      </c>
    </row>
    <row r="1498" spans="2:10">
      <c r="B1498" s="873">
        <v>43113</v>
      </c>
      <c r="C1498" s="871">
        <f>'Peers Stock History'!D1501/'Peers Stock History'!D$1833*100</f>
        <v>119.94452149791957</v>
      </c>
      <c r="D1498" s="871">
        <f>'Peers Stock History'!E1501/'Peers Stock History'!E$1833*100</f>
        <v>204.56880733944951</v>
      </c>
      <c r="E1498" s="871">
        <f>'Peers Stock History'!F1501/'Peers Stock History'!F$1833*100</f>
        <v>90.375939849624061</v>
      </c>
      <c r="F1498" s="871">
        <f>'Peers Stock History'!G1501/'Peers Stock History'!G$1833*100</f>
        <v>130.31351687765419</v>
      </c>
      <c r="G1498" s="871">
        <f>'Peers Stock History'!H1501/'Peers Stock History'!H$1833*100</f>
        <v>128.30234477401817</v>
      </c>
      <c r="H1498" s="871">
        <f>'Peers Stock History'!I1501/'Peers Stock History'!I$1833*100</f>
        <v>185.96872284969592</v>
      </c>
      <c r="I1498" s="871">
        <f>'Peers Stock History'!J1501/'Peers Stock History'!J$1833*100</f>
        <v>118.6012557199106</v>
      </c>
      <c r="J1498" s="871">
        <f>'Peers Stock History'!K1501/'Peers Stock History'!K$1833*100</f>
        <v>124.7725210673192</v>
      </c>
    </row>
    <row r="1499" spans="2:10">
      <c r="B1499" s="873">
        <v>43112</v>
      </c>
      <c r="C1499" s="871">
        <f>'Peers Stock History'!D1502/'Peers Stock History'!D$1833*100</f>
        <v>119.94452149791957</v>
      </c>
      <c r="D1499" s="871">
        <f>'Peers Stock History'!E1502/'Peers Stock History'!E$1833*100</f>
        <v>204.56880733944951</v>
      </c>
      <c r="E1499" s="871">
        <f>'Peers Stock History'!F1502/'Peers Stock History'!F$1833*100</f>
        <v>90.375939849624061</v>
      </c>
      <c r="F1499" s="871">
        <f>'Peers Stock History'!G1502/'Peers Stock History'!G$1833*100</f>
        <v>130.31351687765419</v>
      </c>
      <c r="G1499" s="871">
        <f>'Peers Stock History'!H1502/'Peers Stock History'!H$1833*100</f>
        <v>128.30234477401817</v>
      </c>
      <c r="H1499" s="871">
        <f>'Peers Stock History'!I1502/'Peers Stock History'!I$1833*100</f>
        <v>185.96872284969592</v>
      </c>
      <c r="I1499" s="871">
        <f>'Peers Stock History'!J1502/'Peers Stock History'!J$1833*100</f>
        <v>118.6012557199106</v>
      </c>
      <c r="J1499" s="871">
        <f>'Peers Stock History'!K1502/'Peers Stock History'!K$1833*100</f>
        <v>124.7725210673192</v>
      </c>
    </row>
    <row r="1500" spans="2:10">
      <c r="B1500" s="873">
        <v>43111</v>
      </c>
      <c r="C1500" s="871">
        <f>'Peers Stock History'!D1503/'Peers Stock History'!D$1833*100</f>
        <v>120.41608876560332</v>
      </c>
      <c r="D1500" s="871">
        <f>'Peers Stock History'!E1503/'Peers Stock History'!E$1833*100</f>
        <v>205.57798165137618</v>
      </c>
      <c r="E1500" s="871">
        <f>'Peers Stock History'!F1503/'Peers Stock History'!F$1833*100</f>
        <v>91.278195488721806</v>
      </c>
      <c r="F1500" s="871">
        <f>'Peers Stock History'!G1503/'Peers Stock History'!G$1833*100</f>
        <v>129.20072344501165</v>
      </c>
      <c r="G1500" s="871">
        <f>'Peers Stock History'!H1503/'Peers Stock History'!H$1833*100</f>
        <v>127.91883101121412</v>
      </c>
      <c r="H1500" s="871">
        <f>'Peers Stock History'!I1503/'Peers Stock History'!I$1833*100</f>
        <v>186.01216333622938</v>
      </c>
      <c r="I1500" s="871">
        <f>'Peers Stock History'!J1503/'Peers Stock History'!J$1833*100</f>
        <v>117.80610833244651</v>
      </c>
      <c r="J1500" s="871">
        <f>'Peers Stock History'!K1503/'Peers Stock History'!K$1833*100</f>
        <v>123.92561827254858</v>
      </c>
    </row>
    <row r="1501" spans="2:10">
      <c r="B1501" s="873">
        <v>43110</v>
      </c>
      <c r="C1501" s="871">
        <f>'Peers Stock History'!D1504/'Peers Stock History'!D$1833*100</f>
        <v>117.89181692094314</v>
      </c>
      <c r="D1501" s="871">
        <f>'Peers Stock History'!E1504/'Peers Stock History'!E$1833*100</f>
        <v>205.21100917431193</v>
      </c>
      <c r="E1501" s="871">
        <f>'Peers Stock History'!F1504/'Peers Stock History'!F$1833*100</f>
        <v>89.924812030075188</v>
      </c>
      <c r="F1501" s="871">
        <f>'Peers Stock History'!G1504/'Peers Stock History'!G$1833*100</f>
        <v>130.06057467686949</v>
      </c>
      <c r="G1501" s="871">
        <f>'Peers Stock History'!H1504/'Peers Stock History'!H$1833*100</f>
        <v>127.59357250351957</v>
      </c>
      <c r="H1501" s="871">
        <f>'Peers Stock History'!I1504/'Peers Stock History'!I$1833*100</f>
        <v>188.14074717636839</v>
      </c>
      <c r="I1501" s="871">
        <f>'Peers Stock History'!J1504/'Peers Stock History'!J$1833*100</f>
        <v>116.98329254017239</v>
      </c>
      <c r="J1501" s="871">
        <f>'Peers Stock History'!K1504/'Peers Stock History'!K$1833*100</f>
        <v>122.92543612443809</v>
      </c>
    </row>
    <row r="1502" spans="2:10">
      <c r="B1502" s="873">
        <v>43109</v>
      </c>
      <c r="C1502" s="871">
        <f>'Peers Stock History'!D1505/'Peers Stock History'!D$1833*100</f>
        <v>120.998613037448</v>
      </c>
      <c r="D1502" s="871">
        <f>'Peers Stock History'!E1505/'Peers Stock History'!E$1833*100</f>
        <v>203.61467889908255</v>
      </c>
      <c r="E1502" s="871">
        <f>'Peers Stock History'!F1505/'Peers Stock History'!F$1833*100</f>
        <v>88.872180451127818</v>
      </c>
      <c r="F1502" s="871">
        <f>'Peers Stock History'!G1505/'Peers Stock History'!G$1833*100</f>
        <v>133.31960768292385</v>
      </c>
      <c r="G1502" s="871">
        <f>'Peers Stock History'!H1505/'Peers Stock History'!H$1833*100</f>
        <v>130.3461333074421</v>
      </c>
      <c r="H1502" s="871">
        <f>'Peers Stock History'!I1505/'Peers Stock History'!I$1833*100</f>
        <v>186.6637706342311</v>
      </c>
      <c r="I1502" s="871">
        <f>'Peers Stock History'!J1505/'Peers Stock History'!J$1833*100</f>
        <v>117.11354687666275</v>
      </c>
      <c r="J1502" s="871">
        <f>'Peers Stock History'!K1505/'Peers Stock History'!K$1833*100</f>
        <v>123.09737706720922</v>
      </c>
    </row>
    <row r="1503" spans="2:10">
      <c r="B1503" s="873">
        <v>43108</v>
      </c>
      <c r="C1503" s="871">
        <f>'Peers Stock History'!D1506/'Peers Stock History'!D$1833*100</f>
        <v>124.10540915395285</v>
      </c>
      <c r="D1503" s="871">
        <f>'Peers Stock History'!E1506/'Peers Stock History'!E$1833*100</f>
        <v>203.66972477064218</v>
      </c>
      <c r="E1503" s="871">
        <f>'Peers Stock History'!F1506/'Peers Stock History'!F$1833*100</f>
        <v>92.330827067669162</v>
      </c>
      <c r="F1503" s="871">
        <f>'Peers Stock History'!G1506/'Peers Stock History'!G$1833*100</f>
        <v>133.38284799286365</v>
      </c>
      <c r="G1503" s="871">
        <f>'Peers Stock History'!H1506/'Peers Stock History'!H$1833*100</f>
        <v>132.17631923879799</v>
      </c>
      <c r="H1503" s="871">
        <f>'Peers Stock History'!I1506/'Peers Stock History'!I$1833*100</f>
        <v>197.87141615986098</v>
      </c>
      <c r="I1503" s="871">
        <f>'Peers Stock History'!J1506/'Peers Stock History'!J$1833*100</f>
        <v>116.96115781632437</v>
      </c>
      <c r="J1503" s="871">
        <f>'Peers Stock History'!K1506/'Peers Stock History'!K$1833*100</f>
        <v>122.9909750766397</v>
      </c>
    </row>
    <row r="1504" spans="2:10">
      <c r="B1504" s="873">
        <v>43107</v>
      </c>
      <c r="C1504" s="871">
        <f>'Peers Stock History'!D1507/'Peers Stock History'!D$1833*100</f>
        <v>124.10540915395285</v>
      </c>
      <c r="D1504" s="871">
        <f>'Peers Stock History'!E1507/'Peers Stock History'!E$1833*100</f>
        <v>197.61467889908258</v>
      </c>
      <c r="E1504" s="871">
        <f>'Peers Stock History'!F1507/'Peers Stock History'!F$1833*100</f>
        <v>89.323308270676691</v>
      </c>
      <c r="F1504" s="871">
        <f>'Peers Stock History'!G1507/'Peers Stock History'!G$1833*100</f>
        <v>132.60400054775437</v>
      </c>
      <c r="G1504" s="871">
        <f>'Peers Stock History'!H1507/'Peers Stock History'!H$1833*100</f>
        <v>131.86076994028838</v>
      </c>
      <c r="H1504" s="871">
        <f>'Peers Stock History'!I1507/'Peers Stock History'!I$1833*100</f>
        <v>198.95742832319721</v>
      </c>
      <c r="I1504" s="871">
        <f>'Peers Stock History'!J1507/'Peers Stock History'!J$1833*100</f>
        <v>116.76705331488773</v>
      </c>
      <c r="J1504" s="871">
        <f>'Peers Stock History'!K1507/'Peers Stock History'!K$1833*100</f>
        <v>122.63307122334797</v>
      </c>
    </row>
    <row r="1505" spans="2:10">
      <c r="B1505" s="873">
        <v>43106</v>
      </c>
      <c r="C1505" s="871">
        <f>'Peers Stock History'!D1508/'Peers Stock History'!D$1833*100</f>
        <v>124.10540915395285</v>
      </c>
      <c r="D1505" s="871">
        <f>'Peers Stock History'!E1508/'Peers Stock History'!E$1833*100</f>
        <v>197.61467889908258</v>
      </c>
      <c r="E1505" s="871">
        <f>'Peers Stock History'!F1508/'Peers Stock History'!F$1833*100</f>
        <v>89.323308270676691</v>
      </c>
      <c r="F1505" s="871">
        <f>'Peers Stock History'!G1508/'Peers Stock History'!G$1833*100</f>
        <v>132.60400054775437</v>
      </c>
      <c r="G1505" s="871">
        <f>'Peers Stock History'!H1508/'Peers Stock History'!H$1833*100</f>
        <v>131.86076994028838</v>
      </c>
      <c r="H1505" s="871">
        <f>'Peers Stock History'!I1508/'Peers Stock History'!I$1833*100</f>
        <v>198.95742832319721</v>
      </c>
      <c r="I1505" s="871">
        <f>'Peers Stock History'!J1508/'Peers Stock History'!J$1833*100</f>
        <v>116.76705331488773</v>
      </c>
      <c r="J1505" s="871">
        <f>'Peers Stock History'!K1508/'Peers Stock History'!K$1833*100</f>
        <v>122.63307122334797</v>
      </c>
    </row>
    <row r="1506" spans="2:10">
      <c r="B1506" s="873">
        <v>43105</v>
      </c>
      <c r="C1506" s="871">
        <f>'Peers Stock History'!D1509/'Peers Stock History'!D$1833*100</f>
        <v>124.10540915395285</v>
      </c>
      <c r="D1506" s="871">
        <f>'Peers Stock History'!E1509/'Peers Stock History'!E$1833*100</f>
        <v>197.61467889908258</v>
      </c>
      <c r="E1506" s="871">
        <f>'Peers Stock History'!F1509/'Peers Stock History'!F$1833*100</f>
        <v>89.323308270676691</v>
      </c>
      <c r="F1506" s="871">
        <f>'Peers Stock History'!G1509/'Peers Stock History'!G$1833*100</f>
        <v>132.60400054775437</v>
      </c>
      <c r="G1506" s="871">
        <f>'Peers Stock History'!H1509/'Peers Stock History'!H$1833*100</f>
        <v>131.86076994028838</v>
      </c>
      <c r="H1506" s="871">
        <f>'Peers Stock History'!I1509/'Peers Stock History'!I$1833*100</f>
        <v>198.95742832319721</v>
      </c>
      <c r="I1506" s="871">
        <f>'Peers Stock History'!J1509/'Peers Stock History'!J$1833*100</f>
        <v>116.76705331488773</v>
      </c>
      <c r="J1506" s="871">
        <f>'Peers Stock History'!K1509/'Peers Stock History'!K$1833*100</f>
        <v>122.63307122334797</v>
      </c>
    </row>
    <row r="1507" spans="2:10">
      <c r="B1507" s="873">
        <v>43104</v>
      </c>
      <c r="C1507" s="871">
        <f>'Peers Stock History'!D1510/'Peers Stock History'!D$1833*100</f>
        <v>123.24549237170596</v>
      </c>
      <c r="D1507" s="871">
        <f>'Peers Stock History'!E1510/'Peers Stock History'!E$1833*100</f>
        <v>195.95412844036696</v>
      </c>
      <c r="E1507" s="871">
        <f>'Peers Stock History'!F1510/'Peers Stock History'!F$1833*100</f>
        <v>91.127819548872168</v>
      </c>
      <c r="F1507" s="871">
        <f>'Peers Stock History'!G1510/'Peers Stock History'!G$1833*100</f>
        <v>131.71039169179812</v>
      </c>
      <c r="G1507" s="871">
        <f>'Peers Stock History'!H1510/'Peers Stock History'!H$1833*100</f>
        <v>131.08403320549539</v>
      </c>
      <c r="H1507" s="871">
        <f>'Peers Stock History'!I1510/'Peers Stock History'!I$1833*100</f>
        <v>203.64900086880974</v>
      </c>
      <c r="I1507" s="871">
        <f>'Peers Stock History'!J1510/'Peers Stock History'!J$1833*100</f>
        <v>115.95147387464084</v>
      </c>
      <c r="J1507" s="871">
        <f>'Peers Stock History'!K1510/'Peers Stock History'!K$1833*100</f>
        <v>121.62536257784255</v>
      </c>
    </row>
    <row r="1508" spans="2:10">
      <c r="B1508" s="873">
        <v>43103</v>
      </c>
      <c r="C1508" s="871">
        <f>'Peers Stock History'!D1511/'Peers Stock History'!D$1833*100</f>
        <v>125.54785020804439</v>
      </c>
      <c r="D1508" s="871">
        <f>'Peers Stock History'!E1511/'Peers Stock History'!E$1833*100</f>
        <v>194.92660550458714</v>
      </c>
      <c r="E1508" s="871">
        <f>'Peers Stock History'!F1511/'Peers Stock History'!F$1833*100</f>
        <v>86.842105263157904</v>
      </c>
      <c r="F1508" s="871">
        <f>'Peers Stock History'!G1511/'Peers Stock History'!G$1833*100</f>
        <v>130.34435718525242</v>
      </c>
      <c r="G1508" s="871">
        <f>'Peers Stock History'!H1511/'Peers Stock History'!H$1833*100</f>
        <v>131.04034176416332</v>
      </c>
      <c r="H1508" s="871">
        <f>'Peers Stock History'!I1511/'Peers Stock History'!I$1833*100</f>
        <v>195.39530842745438</v>
      </c>
      <c r="I1508" s="871">
        <f>'Peers Stock History'!J1511/'Peers Stock History'!J$1833*100</f>
        <v>115.48621900606577</v>
      </c>
      <c r="J1508" s="871">
        <f>'Peers Stock History'!K1511/'Peers Stock History'!K$1833*100</f>
        <v>121.41255859670348</v>
      </c>
    </row>
    <row r="1509" spans="2:10">
      <c r="B1509" s="873">
        <v>43102</v>
      </c>
      <c r="C1509" s="871">
        <f>'Peers Stock History'!D1512/'Peers Stock History'!D$1833*100</f>
        <v>129.95839112343967</v>
      </c>
      <c r="D1509" s="871">
        <f>'Peers Stock History'!E1512/'Peers Stock History'!E$1833*100</f>
        <v>182.88990825688072</v>
      </c>
      <c r="E1509" s="871">
        <f>'Peers Stock History'!F1512/'Peers Stock History'!F$1833*100</f>
        <v>82.556390977443613</v>
      </c>
      <c r="F1509" s="871">
        <f>'Peers Stock History'!G1512/'Peers Stock History'!G$1833*100</f>
        <v>127.69677276902615</v>
      </c>
      <c r="G1509" s="871">
        <f>'Peers Stock History'!H1512/'Peers Stock History'!H$1833*100</f>
        <v>129.62279722316617</v>
      </c>
      <c r="H1509" s="871">
        <f>'Peers Stock History'!I1512/'Peers Stock History'!I$1833*100</f>
        <v>189.70460469157254</v>
      </c>
      <c r="I1509" s="871">
        <f>'Peers Stock History'!J1512/'Peers Stock History'!J$1833*100</f>
        <v>114.75194210918377</v>
      </c>
      <c r="J1509" s="871">
        <f>'Peers Stock History'!K1512/'Peers Stock History'!K$1833*100</f>
        <v>120.40502178903813</v>
      </c>
    </row>
    <row r="1510" spans="2:10">
      <c r="B1510" s="873">
        <v>43101</v>
      </c>
      <c r="C1510" s="871">
        <f>'Peers Stock History'!D1513/'Peers Stock History'!D$1833*100</f>
        <v>128.04438280166434</v>
      </c>
      <c r="D1510" s="871">
        <f>'Peers Stock History'!E1513/'Peers Stock History'!E$1833*100</f>
        <v>177.52293577981649</v>
      </c>
      <c r="E1510" s="871">
        <f>'Peers Stock History'!F1513/'Peers Stock History'!F$1833*100</f>
        <v>77.293233082706763</v>
      </c>
      <c r="F1510" s="871">
        <f>'Peers Stock History'!G1513/'Peers Stock History'!G$1833*100</f>
        <v>125.86209387672534</v>
      </c>
      <c r="G1510" s="871">
        <f>'Peers Stock History'!H1513/'Peers Stock History'!H$1833*100</f>
        <v>124.7147919801932</v>
      </c>
      <c r="H1510" s="871">
        <f>'Peers Stock History'!I1513/'Peers Stock History'!I$1833*100</f>
        <v>178.62728062554299</v>
      </c>
      <c r="I1510" s="871">
        <f>'Peers Stock History'!J1513/'Peers Stock History'!J$1833*100</f>
        <v>113.80695966797916</v>
      </c>
      <c r="J1510" s="871">
        <f>'Peers Stock History'!K1513/'Peers Stock History'!K$1833*100</f>
        <v>118.62634549028775</v>
      </c>
    </row>
    <row r="1511" spans="2:10">
      <c r="B1511" s="873">
        <v>43100</v>
      </c>
      <c r="C1511" s="871">
        <f>'Peers Stock History'!D1514/'Peers Stock History'!D$1833*100</f>
        <v>128.04438280166434</v>
      </c>
      <c r="D1511" s="871">
        <f>'Peers Stock History'!E1514/'Peers Stock History'!E$1833*100</f>
        <v>177.52293577981649</v>
      </c>
      <c r="E1511" s="871">
        <f>'Peers Stock History'!F1514/'Peers Stock History'!F$1833*100</f>
        <v>77.293233082706763</v>
      </c>
      <c r="F1511" s="871">
        <f>'Peers Stock History'!G1514/'Peers Stock History'!G$1833*100</f>
        <v>125.86209387672534</v>
      </c>
      <c r="G1511" s="871">
        <f>'Peers Stock History'!H1514/'Peers Stock History'!H$1833*100</f>
        <v>124.7147919801932</v>
      </c>
      <c r="H1511" s="871">
        <f>'Peers Stock History'!I1514/'Peers Stock History'!I$1833*100</f>
        <v>178.62728062554299</v>
      </c>
      <c r="I1511" s="871">
        <f>'Peers Stock History'!J1514/'Peers Stock History'!J$1833*100</f>
        <v>113.80695966797916</v>
      </c>
      <c r="J1511" s="871">
        <f>'Peers Stock History'!K1514/'Peers Stock History'!K$1833*100</f>
        <v>118.62634549028775</v>
      </c>
    </row>
    <row r="1512" spans="2:10">
      <c r="B1512" s="873">
        <v>43099</v>
      </c>
      <c r="C1512" s="871">
        <f>'Peers Stock History'!D1515/'Peers Stock History'!D$1833*100</f>
        <v>128.04438280166434</v>
      </c>
      <c r="D1512" s="871">
        <f>'Peers Stock History'!E1515/'Peers Stock History'!E$1833*100</f>
        <v>177.52293577981649</v>
      </c>
      <c r="E1512" s="871">
        <f>'Peers Stock History'!F1515/'Peers Stock History'!F$1833*100</f>
        <v>77.293233082706763</v>
      </c>
      <c r="F1512" s="871">
        <f>'Peers Stock History'!G1515/'Peers Stock History'!G$1833*100</f>
        <v>125.86209387672534</v>
      </c>
      <c r="G1512" s="871">
        <f>'Peers Stock History'!H1515/'Peers Stock History'!H$1833*100</f>
        <v>124.7147919801932</v>
      </c>
      <c r="H1512" s="871">
        <f>'Peers Stock History'!I1515/'Peers Stock History'!I$1833*100</f>
        <v>178.62728062554299</v>
      </c>
      <c r="I1512" s="871">
        <f>'Peers Stock History'!J1515/'Peers Stock History'!J$1833*100</f>
        <v>113.80695966797916</v>
      </c>
      <c r="J1512" s="871">
        <f>'Peers Stock History'!K1515/'Peers Stock History'!K$1833*100</f>
        <v>118.62634549028775</v>
      </c>
    </row>
    <row r="1513" spans="2:10">
      <c r="B1513" s="873">
        <v>43098</v>
      </c>
      <c r="C1513" s="871">
        <f>'Peers Stock History'!D1516/'Peers Stock History'!D$1833*100</f>
        <v>128.04438280166434</v>
      </c>
      <c r="D1513" s="871">
        <f>'Peers Stock History'!E1516/'Peers Stock History'!E$1833*100</f>
        <v>177.52293577981649</v>
      </c>
      <c r="E1513" s="871">
        <f>'Peers Stock History'!F1516/'Peers Stock History'!F$1833*100</f>
        <v>77.293233082706763</v>
      </c>
      <c r="F1513" s="871">
        <f>'Peers Stock History'!G1516/'Peers Stock History'!G$1833*100</f>
        <v>125.86209387672534</v>
      </c>
      <c r="G1513" s="871">
        <f>'Peers Stock History'!H1516/'Peers Stock History'!H$1833*100</f>
        <v>124.7147919801932</v>
      </c>
      <c r="H1513" s="871">
        <f>'Peers Stock History'!I1516/'Peers Stock History'!I$1833*100</f>
        <v>178.62728062554299</v>
      </c>
      <c r="I1513" s="871">
        <f>'Peers Stock History'!J1516/'Peers Stock History'!J$1833*100</f>
        <v>113.80695966797916</v>
      </c>
      <c r="J1513" s="871">
        <f>'Peers Stock History'!K1516/'Peers Stock History'!K$1833*100</f>
        <v>118.62634549028775</v>
      </c>
    </row>
    <row r="1514" spans="2:10">
      <c r="B1514" s="873">
        <v>43097</v>
      </c>
      <c r="C1514" s="871">
        <f>'Peers Stock History'!D1517/'Peers Stock History'!D$1833*100</f>
        <v>128.2108183079057</v>
      </c>
      <c r="D1514" s="871">
        <f>'Peers Stock History'!E1517/'Peers Stock History'!E$1833*100</f>
        <v>181.10091743119267</v>
      </c>
      <c r="E1514" s="871">
        <f>'Peers Stock History'!F1517/'Peers Stock History'!F$1833*100</f>
        <v>79.323308270676691</v>
      </c>
      <c r="F1514" s="871">
        <f>'Peers Stock History'!G1517/'Peers Stock History'!G$1833*100</f>
        <v>123.28592365480353</v>
      </c>
      <c r="G1514" s="871">
        <f>'Peers Stock History'!H1517/'Peers Stock History'!H$1833*100</f>
        <v>126.4236127967377</v>
      </c>
      <c r="H1514" s="871">
        <f>'Peers Stock History'!I1517/'Peers Stock History'!I$1833*100</f>
        <v>181.62467419635101</v>
      </c>
      <c r="I1514" s="871">
        <f>'Peers Stock History'!J1517/'Peers Stock History'!J$1833*100</f>
        <v>114.39991486644674</v>
      </c>
      <c r="J1514" s="871">
        <f>'Peers Stock History'!K1517/'Peers Stock History'!K$1833*100</f>
        <v>119.43004825206549</v>
      </c>
    </row>
    <row r="1515" spans="2:10">
      <c r="B1515" s="873">
        <v>43096</v>
      </c>
      <c r="C1515" s="871">
        <f>'Peers Stock History'!D1518/'Peers Stock History'!D$1833*100</f>
        <v>127.90568654646326</v>
      </c>
      <c r="D1515" s="871">
        <f>'Peers Stock History'!E1518/'Peers Stock History'!E$1833*100</f>
        <v>180.88990825688072</v>
      </c>
      <c r="E1515" s="871">
        <f>'Peers Stock History'!F1518/'Peers Stock History'!F$1833*100</f>
        <v>79.172932330827066</v>
      </c>
      <c r="F1515" s="871">
        <f>'Peers Stock History'!G1518/'Peers Stock History'!G$1833*100</f>
        <v>122.32200546818564</v>
      </c>
      <c r="G1515" s="871">
        <f>'Peers Stock History'!H1518/'Peers Stock History'!H$1833*100</f>
        <v>125.79251419971843</v>
      </c>
      <c r="H1515" s="871">
        <f>'Peers Stock History'!I1518/'Peers Stock History'!I$1833*100</f>
        <v>184.53518679409208</v>
      </c>
      <c r="I1515" s="871">
        <f>'Peers Stock History'!J1518/'Peers Stock History'!J$1833*100</f>
        <v>114.19048632542301</v>
      </c>
      <c r="J1515" s="871">
        <f>'Peers Stock History'!K1518/'Peers Stock History'!K$1833*100</f>
        <v>119.2440509739769</v>
      </c>
    </row>
    <row r="1516" spans="2:10">
      <c r="B1516" s="873">
        <v>43095</v>
      </c>
      <c r="C1516" s="871">
        <f>'Peers Stock History'!D1519/'Peers Stock History'!D$1833*100</f>
        <v>127.82246879334258</v>
      </c>
      <c r="D1516" s="871">
        <f>'Peers Stock History'!E1519/'Peers Stock History'!E$1833*100</f>
        <v>181.13761467889907</v>
      </c>
      <c r="E1516" s="871">
        <f>'Peers Stock History'!F1519/'Peers Stock History'!F$1833*100</f>
        <v>78.646616541353382</v>
      </c>
      <c r="F1516" s="871">
        <f>'Peers Stock History'!G1519/'Peers Stock History'!G$1833*100</f>
        <v>122.80819893727428</v>
      </c>
      <c r="G1516" s="871">
        <f>'Peers Stock History'!H1519/'Peers Stock History'!H$1833*100</f>
        <v>125.29734453128793</v>
      </c>
      <c r="H1516" s="871">
        <f>'Peers Stock History'!I1519/'Peers Stock History'!I$1833*100</f>
        <v>183.53605560382275</v>
      </c>
      <c r="I1516" s="871">
        <f>'Peers Stock History'!J1519/'Peers Stock History'!J$1833*100</f>
        <v>114.10024475896563</v>
      </c>
      <c r="J1516" s="871">
        <f>'Peers Stock History'!K1519/'Peers Stock History'!K$1833*100</f>
        <v>119.19100463274816</v>
      </c>
    </row>
    <row r="1517" spans="2:10">
      <c r="B1517" s="873">
        <v>43094</v>
      </c>
      <c r="C1517" s="871">
        <f>'Peers Stock History'!D1520/'Peers Stock History'!D$1833*100</f>
        <v>129.54230235783635</v>
      </c>
      <c r="D1517" s="871">
        <f>'Peers Stock History'!E1520/'Peers Stock History'!E$1833*100</f>
        <v>179.14678899082571</v>
      </c>
      <c r="E1517" s="871">
        <f>'Peers Stock History'!F1520/'Peers Stock History'!F$1833*100</f>
        <v>79.248120300751864</v>
      </c>
      <c r="F1517" s="871">
        <f>'Peers Stock History'!G1520/'Peers Stock History'!G$1833*100</f>
        <v>124.32451109787385</v>
      </c>
      <c r="G1517" s="871">
        <f>'Peers Stock History'!H1520/'Peers Stock History'!H$1833*100</f>
        <v>127.36055148308172</v>
      </c>
      <c r="H1517" s="871">
        <f>'Peers Stock History'!I1520/'Peers Stock History'!I$1833*100</f>
        <v>191.65942658557776</v>
      </c>
      <c r="I1517" s="871">
        <f>'Peers Stock History'!J1520/'Peers Stock History'!J$1833*100</f>
        <v>114.22113440459722</v>
      </c>
      <c r="J1517" s="871">
        <f>'Peers Stock History'!K1520/'Peers Stock History'!K$1833*100</f>
        <v>119.59844933533124</v>
      </c>
    </row>
    <row r="1518" spans="2:10">
      <c r="B1518" s="873">
        <v>43093</v>
      </c>
      <c r="C1518" s="871">
        <f>'Peers Stock History'!D1521/'Peers Stock History'!D$1833*100</f>
        <v>129.54230235783635</v>
      </c>
      <c r="D1518" s="871">
        <f>'Peers Stock History'!E1521/'Peers Stock History'!E$1833*100</f>
        <v>179.14678899082571</v>
      </c>
      <c r="E1518" s="871">
        <f>'Peers Stock History'!F1521/'Peers Stock History'!F$1833*100</f>
        <v>79.248120300751864</v>
      </c>
      <c r="F1518" s="871">
        <f>'Peers Stock History'!G1521/'Peers Stock History'!G$1833*100</f>
        <v>123.8218360893014</v>
      </c>
      <c r="G1518" s="871">
        <f>'Peers Stock History'!H1521/'Peers Stock History'!H$1833*100</f>
        <v>127.36055148308172</v>
      </c>
      <c r="H1518" s="871">
        <f>'Peers Stock History'!I1521/'Peers Stock History'!I$1833*100</f>
        <v>191.65942658557776</v>
      </c>
      <c r="I1518" s="871">
        <f>'Peers Stock History'!J1521/'Peers Stock History'!J$1833*100</f>
        <v>114.22113440459722</v>
      </c>
      <c r="J1518" s="871">
        <f>'Peers Stock History'!K1521/'Peers Stock History'!K$1833*100</f>
        <v>119.59844933533124</v>
      </c>
    </row>
    <row r="1519" spans="2:10">
      <c r="B1519" s="873">
        <v>43092</v>
      </c>
      <c r="C1519" s="871">
        <f>'Peers Stock History'!D1522/'Peers Stock History'!D$1833*100</f>
        <v>129.54230235783635</v>
      </c>
      <c r="D1519" s="871">
        <f>'Peers Stock History'!E1522/'Peers Stock History'!E$1833*100</f>
        <v>179.14678899082571</v>
      </c>
      <c r="E1519" s="871">
        <f>'Peers Stock History'!F1522/'Peers Stock History'!F$1833*100</f>
        <v>79.248120300751864</v>
      </c>
      <c r="F1519" s="871">
        <f>'Peers Stock History'!G1522/'Peers Stock History'!G$1833*100</f>
        <v>123.8218360893014</v>
      </c>
      <c r="G1519" s="871">
        <f>'Peers Stock History'!H1522/'Peers Stock History'!H$1833*100</f>
        <v>127.36055148308172</v>
      </c>
      <c r="H1519" s="871">
        <f>'Peers Stock History'!I1522/'Peers Stock History'!I$1833*100</f>
        <v>191.65942658557776</v>
      </c>
      <c r="I1519" s="871">
        <f>'Peers Stock History'!J1522/'Peers Stock History'!J$1833*100</f>
        <v>114.22113440459722</v>
      </c>
      <c r="J1519" s="871">
        <f>'Peers Stock History'!K1522/'Peers Stock History'!K$1833*100</f>
        <v>119.59844933533124</v>
      </c>
    </row>
    <row r="1520" spans="2:10">
      <c r="B1520" s="873">
        <v>43091</v>
      </c>
      <c r="C1520" s="871">
        <f>'Peers Stock History'!D1523/'Peers Stock History'!D$1833*100</f>
        <v>129.54230235783635</v>
      </c>
      <c r="D1520" s="871">
        <f>'Peers Stock History'!E1523/'Peers Stock History'!E$1833*100</f>
        <v>179.14678899082571</v>
      </c>
      <c r="E1520" s="871">
        <f>'Peers Stock History'!F1523/'Peers Stock History'!F$1833*100</f>
        <v>79.248120300751864</v>
      </c>
      <c r="F1520" s="871">
        <f>'Peers Stock History'!G1523/'Peers Stock History'!G$1833*100</f>
        <v>123.8218360893014</v>
      </c>
      <c r="G1520" s="871">
        <f>'Peers Stock History'!H1523/'Peers Stock History'!H$1833*100</f>
        <v>127.36055148308172</v>
      </c>
      <c r="H1520" s="871">
        <f>'Peers Stock History'!I1523/'Peers Stock History'!I$1833*100</f>
        <v>191.65942658557776</v>
      </c>
      <c r="I1520" s="871">
        <f>'Peers Stock History'!J1523/'Peers Stock History'!J$1833*100</f>
        <v>114.22113440459722</v>
      </c>
      <c r="J1520" s="871">
        <f>'Peers Stock History'!K1523/'Peers Stock History'!K$1833*100</f>
        <v>119.59844933533124</v>
      </c>
    </row>
    <row r="1521" spans="2:10">
      <c r="B1521" s="873">
        <v>43090</v>
      </c>
      <c r="C1521" s="871">
        <f>'Peers Stock History'!D1524/'Peers Stock History'!D$1833*100</f>
        <v>129.70873786407768</v>
      </c>
      <c r="D1521" s="871">
        <f>'Peers Stock History'!E1524/'Peers Stock History'!E$1833*100</f>
        <v>179.71559633027522</v>
      </c>
      <c r="E1521" s="871">
        <f>'Peers Stock History'!F1524/'Peers Stock History'!F$1833*100</f>
        <v>81.879699248120303</v>
      </c>
      <c r="F1521" s="871">
        <f>'Peers Stock History'!G1524/'Peers Stock History'!G$1833*100</f>
        <v>122.15462562557322</v>
      </c>
      <c r="G1521" s="871">
        <f>'Peers Stock History'!H1524/'Peers Stock History'!H$1833*100</f>
        <v>126.96247390650031</v>
      </c>
      <c r="H1521" s="871">
        <f>'Peers Stock History'!I1524/'Peers Stock History'!I$1833*100</f>
        <v>192.96264118158123</v>
      </c>
      <c r="I1521" s="871">
        <f>'Peers Stock History'!J1524/'Peers Stock History'!J$1833*100</f>
        <v>114.27349153985315</v>
      </c>
      <c r="J1521" s="871">
        <f>'Peers Stock History'!K1524/'Peers Stock History'!K$1833*100</f>
        <v>119.69125895275148</v>
      </c>
    </row>
    <row r="1522" spans="2:10">
      <c r="B1522" s="873">
        <v>43089</v>
      </c>
      <c r="C1522" s="871">
        <f>'Peers Stock History'!D1525/'Peers Stock History'!D$1833*100</f>
        <v>131.92787794729543</v>
      </c>
      <c r="D1522" s="871">
        <f>'Peers Stock History'!E1525/'Peers Stock History'!E$1833*100</f>
        <v>180.55045871559633</v>
      </c>
      <c r="E1522" s="871">
        <f>'Peers Stock History'!F1525/'Peers Stock History'!F$1833*100</f>
        <v>82.556390977443613</v>
      </c>
      <c r="F1522" s="871">
        <f>'Peers Stock History'!G1525/'Peers Stock History'!G$1833*100</f>
        <v>121.83031257457471</v>
      </c>
      <c r="G1522" s="871">
        <f>'Peers Stock History'!H1525/'Peers Stock History'!H$1833*100</f>
        <v>128.95771639399968</v>
      </c>
      <c r="H1522" s="871">
        <f>'Peers Stock History'!I1525/'Peers Stock History'!I$1833*100</f>
        <v>198.74022589052998</v>
      </c>
      <c r="I1522" s="871">
        <f>'Peers Stock History'!J1525/'Peers Stock History'!J$1833*100</f>
        <v>114.04703628817707</v>
      </c>
      <c r="J1522" s="871">
        <f>'Peers Stock History'!K1525/'Peers Stock History'!K$1833*100</f>
        <v>119.61561593555395</v>
      </c>
    </row>
    <row r="1523" spans="2:10">
      <c r="B1523" s="873">
        <v>43088</v>
      </c>
      <c r="C1523" s="871">
        <f>'Peers Stock History'!D1526/'Peers Stock History'!D$1833*100</f>
        <v>130.48543689320388</v>
      </c>
      <c r="D1523" s="871">
        <f>'Peers Stock History'!E1526/'Peers Stock History'!E$1833*100</f>
        <v>179.91743119266056</v>
      </c>
      <c r="E1523" s="871">
        <f>'Peers Stock History'!F1526/'Peers Stock History'!F$1833*100</f>
        <v>82.330827067669162</v>
      </c>
      <c r="F1523" s="871">
        <f>'Peers Stock History'!G1526/'Peers Stock History'!G$1833*100</f>
        <v>122.15054891266345</v>
      </c>
      <c r="G1523" s="871">
        <f>'Peers Stock History'!H1526/'Peers Stock History'!H$1833*100</f>
        <v>128.01592310306324</v>
      </c>
      <c r="H1523" s="871">
        <f>'Peers Stock History'!I1526/'Peers Stock History'!I$1833*100</f>
        <v>191.05125977410947</v>
      </c>
      <c r="I1523" s="871">
        <f>'Peers Stock History'!J1526/'Peers Stock History'!J$1833*100</f>
        <v>114.14153453229754</v>
      </c>
      <c r="J1523" s="871">
        <f>'Peers Stock History'!K1526/'Peers Stock History'!K$1833*100</f>
        <v>119.66531143890134</v>
      </c>
    </row>
    <row r="1524" spans="2:10">
      <c r="B1524" s="873">
        <v>43087</v>
      </c>
      <c r="C1524" s="871">
        <f>'Peers Stock History'!D1527/'Peers Stock History'!D$1833*100</f>
        <v>128.32177531206659</v>
      </c>
      <c r="D1524" s="871">
        <f>'Peers Stock History'!E1527/'Peers Stock History'!E$1833*100</f>
        <v>181.55963302752295</v>
      </c>
      <c r="E1524" s="871">
        <f>'Peers Stock History'!F1527/'Peers Stock History'!F$1833*100</f>
        <v>82.556390977443613</v>
      </c>
      <c r="F1524" s="871">
        <f>'Peers Stock History'!G1527/'Peers Stock History'!G$1833*100</f>
        <v>123.1335969573323</v>
      </c>
      <c r="G1524" s="871">
        <f>'Peers Stock History'!H1527/'Peers Stock History'!H$1833*100</f>
        <v>128.35089081994272</v>
      </c>
      <c r="H1524" s="871">
        <f>'Peers Stock History'!I1527/'Peers Stock History'!I$1833*100</f>
        <v>189.87836663770634</v>
      </c>
      <c r="I1524" s="871">
        <f>'Peers Stock History'!J1527/'Peers Stock History'!J$1833*100</f>
        <v>114.51143982121954</v>
      </c>
      <c r="J1524" s="871">
        <f>'Peers Stock History'!K1527/'Peers Stock History'!K$1833*100</f>
        <v>120.1964278349807</v>
      </c>
    </row>
    <row r="1525" spans="2:10">
      <c r="B1525" s="873">
        <v>43086</v>
      </c>
      <c r="C1525" s="871">
        <f>'Peers Stock History'!D1528/'Peers Stock History'!D$1833*100</f>
        <v>123.60610263522886</v>
      </c>
      <c r="D1525" s="871">
        <f>'Peers Stock History'!E1528/'Peers Stock History'!E$1833*100</f>
        <v>175.74311926605506</v>
      </c>
      <c r="E1525" s="871">
        <f>'Peers Stock History'!F1528/'Peers Stock History'!F$1833*100</f>
        <v>77.368421052631561</v>
      </c>
      <c r="F1525" s="871">
        <f>'Peers Stock History'!G1528/'Peers Stock History'!G$1833*100</f>
        <v>124.93171585598458</v>
      </c>
      <c r="G1525" s="871">
        <f>'Peers Stock History'!H1528/'Peers Stock History'!H$1833*100</f>
        <v>129.0014078353318</v>
      </c>
      <c r="H1525" s="871">
        <f>'Peers Stock History'!I1528/'Peers Stock History'!I$1833*100</f>
        <v>184.1876629018245</v>
      </c>
      <c r="I1525" s="871">
        <f>'Peers Stock History'!J1528/'Peers Stock History'!J$1833*100</f>
        <v>113.90060657656697</v>
      </c>
      <c r="J1525" s="871">
        <f>'Peers Stock History'!K1528/'Peers Stock History'!K$1833*100</f>
        <v>119.1967440166064</v>
      </c>
    </row>
    <row r="1526" spans="2:10">
      <c r="B1526" s="873">
        <v>43085</v>
      </c>
      <c r="C1526" s="871">
        <f>'Peers Stock History'!D1529/'Peers Stock History'!D$1833*100</f>
        <v>123.60610263522886</v>
      </c>
      <c r="D1526" s="871">
        <f>'Peers Stock History'!E1529/'Peers Stock History'!E$1833*100</f>
        <v>175.74311926605506</v>
      </c>
      <c r="E1526" s="871">
        <f>'Peers Stock History'!F1529/'Peers Stock History'!F$1833*100</f>
        <v>77.368421052631561</v>
      </c>
      <c r="F1526" s="871">
        <f>'Peers Stock History'!G1529/'Peers Stock History'!G$1833*100</f>
        <v>124.93171585598458</v>
      </c>
      <c r="G1526" s="871">
        <f>'Peers Stock History'!H1529/'Peers Stock History'!H$1833*100</f>
        <v>129.0014078353318</v>
      </c>
      <c r="H1526" s="871">
        <f>'Peers Stock History'!I1529/'Peers Stock History'!I$1833*100</f>
        <v>184.1876629018245</v>
      </c>
      <c r="I1526" s="871">
        <f>'Peers Stock History'!J1529/'Peers Stock History'!J$1833*100</f>
        <v>113.90060657656697</v>
      </c>
      <c r="J1526" s="871">
        <f>'Peers Stock History'!K1529/'Peers Stock History'!K$1833*100</f>
        <v>119.1967440166064</v>
      </c>
    </row>
    <row r="1527" spans="2:10">
      <c r="B1527" s="873">
        <v>43084</v>
      </c>
      <c r="C1527" s="871">
        <f>'Peers Stock History'!D1530/'Peers Stock History'!D$1833*100</f>
        <v>123.60610263522886</v>
      </c>
      <c r="D1527" s="871">
        <f>'Peers Stock History'!E1530/'Peers Stock History'!E$1833*100</f>
        <v>175.74311926605506</v>
      </c>
      <c r="E1527" s="871">
        <f>'Peers Stock History'!F1530/'Peers Stock History'!F$1833*100</f>
        <v>77.368421052631561</v>
      </c>
      <c r="F1527" s="871">
        <f>'Peers Stock History'!G1530/'Peers Stock History'!G$1833*100</f>
        <v>124.93171585598458</v>
      </c>
      <c r="G1527" s="871">
        <f>'Peers Stock History'!H1530/'Peers Stock History'!H$1833*100</f>
        <v>129.0014078353318</v>
      </c>
      <c r="H1527" s="871">
        <f>'Peers Stock History'!I1530/'Peers Stock History'!I$1833*100</f>
        <v>184.1876629018245</v>
      </c>
      <c r="I1527" s="871">
        <f>'Peers Stock History'!J1530/'Peers Stock History'!J$1833*100</f>
        <v>113.90060657656697</v>
      </c>
      <c r="J1527" s="871">
        <f>'Peers Stock History'!K1530/'Peers Stock History'!K$1833*100</f>
        <v>119.1967440166064</v>
      </c>
    </row>
    <row r="1528" spans="2:10">
      <c r="B1528" s="873">
        <v>43083</v>
      </c>
      <c r="C1528" s="871">
        <f>'Peers Stock History'!D1531/'Peers Stock History'!D$1833*100</f>
        <v>120</v>
      </c>
      <c r="D1528" s="871">
        <f>'Peers Stock History'!E1531/'Peers Stock History'!E$1833*100</f>
        <v>171.07339449541283</v>
      </c>
      <c r="E1528" s="871">
        <f>'Peers Stock History'!F1531/'Peers Stock History'!F$1833*100</f>
        <v>76.165413533834595</v>
      </c>
      <c r="F1528" s="871">
        <f>'Peers Stock History'!G1531/'Peers Stock History'!G$1833*100</f>
        <v>125.0279634657761</v>
      </c>
      <c r="G1528" s="871">
        <f>'Peers Stock History'!H1531/'Peers Stock History'!H$1833*100</f>
        <v>125.89931550075244</v>
      </c>
      <c r="H1528" s="871">
        <f>'Peers Stock History'!I1531/'Peers Stock History'!I$1833*100</f>
        <v>183.49261511728932</v>
      </c>
      <c r="I1528" s="871">
        <f>'Peers Stock History'!J1531/'Peers Stock History'!J$1833*100</f>
        <v>112.88751729275302</v>
      </c>
      <c r="J1528" s="871">
        <f>'Peers Stock History'!K1531/'Peers Stock History'!K$1833*100</f>
        <v>117.82106182038135</v>
      </c>
    </row>
    <row r="1529" spans="2:10">
      <c r="B1529" s="873">
        <v>43082</v>
      </c>
      <c r="C1529" s="871">
        <f>'Peers Stock History'!D1532/'Peers Stock History'!D$1833*100</f>
        <v>120.22191400832179</v>
      </c>
      <c r="D1529" s="871">
        <f>'Peers Stock History'!E1532/'Peers Stock History'!E$1833*100</f>
        <v>170.8073394495413</v>
      </c>
      <c r="E1529" s="871">
        <f>'Peers Stock History'!F1532/'Peers Stock History'!F$1833*100</f>
        <v>76.015037593984957</v>
      </c>
      <c r="F1529" s="871">
        <f>'Peers Stock History'!G1532/'Peers Stock History'!G$1833*100</f>
        <v>123.05563313627823</v>
      </c>
      <c r="G1529" s="871">
        <f>'Peers Stock History'!H1532/'Peers Stock History'!H$1833*100</f>
        <v>127.20520413612309</v>
      </c>
      <c r="H1529" s="871">
        <f>'Peers Stock History'!I1532/'Peers Stock History'!I$1833*100</f>
        <v>182.66724587315377</v>
      </c>
      <c r="I1529" s="871">
        <f>'Peers Stock History'!J1532/'Peers Stock History'!J$1833*100</f>
        <v>113.3489411514313</v>
      </c>
      <c r="J1529" s="871">
        <f>'Peers Stock History'!K1532/'Peers Stock History'!K$1833*100</f>
        <v>118.15224488954263</v>
      </c>
    </row>
    <row r="1530" spans="2:10">
      <c r="B1530" s="873">
        <v>43081</v>
      </c>
      <c r="C1530" s="871">
        <f>'Peers Stock History'!D1533/'Peers Stock History'!D$1833*100</f>
        <v>120.19417475728156</v>
      </c>
      <c r="D1530" s="871">
        <f>'Peers Stock History'!E1533/'Peers Stock History'!E$1833*100</f>
        <v>175.08256880733944</v>
      </c>
      <c r="E1530" s="871">
        <f>'Peers Stock History'!F1533/'Peers Stock History'!F$1833*100</f>
        <v>74.436090225563916</v>
      </c>
      <c r="F1530" s="871">
        <f>'Peers Stock History'!G1533/'Peers Stock History'!G$1833*100</f>
        <v>123.35545605269948</v>
      </c>
      <c r="G1530" s="871">
        <f>'Peers Stock History'!H1533/'Peers Stock History'!H$1833*100</f>
        <v>125.58862080683528</v>
      </c>
      <c r="H1530" s="871">
        <f>'Peers Stock History'!I1533/'Peers Stock History'!I$1833*100</f>
        <v>181.84187662901826</v>
      </c>
      <c r="I1530" s="871">
        <f>'Peers Stock History'!J1533/'Peers Stock History'!J$1833*100</f>
        <v>113.40257528998616</v>
      </c>
      <c r="J1530" s="871">
        <f>'Peers Stock History'!K1533/'Peers Stock History'!K$1833*100</f>
        <v>117.9205731135642</v>
      </c>
    </row>
    <row r="1531" spans="2:10">
      <c r="B1531" s="873">
        <v>43080</v>
      </c>
      <c r="C1531" s="871">
        <f>'Peers Stock History'!D1534/'Peers Stock History'!D$1833*100</f>
        <v>121.10957004160888</v>
      </c>
      <c r="D1531" s="871">
        <f>'Peers Stock History'!E1534/'Peers Stock History'!E$1833*100</f>
        <v>178.58715596330273</v>
      </c>
      <c r="E1531" s="871">
        <f>'Peers Stock History'!F1534/'Peers Stock History'!F$1833*100</f>
        <v>76.390977443609017</v>
      </c>
      <c r="F1531" s="871">
        <f>'Peers Stock History'!G1534/'Peers Stock History'!G$1833*100</f>
        <v>123.33901139933469</v>
      </c>
      <c r="G1531" s="871">
        <f>'Peers Stock History'!H1534/'Peers Stock History'!H$1833*100</f>
        <v>126.19544638089226</v>
      </c>
      <c r="H1531" s="871">
        <f>'Peers Stock History'!I1534/'Peers Stock History'!I$1833*100</f>
        <v>186.83753258036489</v>
      </c>
      <c r="I1531" s="871">
        <f>'Peers Stock History'!J1534/'Peers Stock History'!J$1833*100</f>
        <v>113.22720017026711</v>
      </c>
      <c r="J1531" s="871">
        <f>'Peers Stock History'!K1534/'Peers Stock History'!K$1833*100</f>
        <v>118.1398553812738</v>
      </c>
    </row>
    <row r="1532" spans="2:10">
      <c r="B1532" s="873">
        <v>43079</v>
      </c>
      <c r="C1532" s="871">
        <f>'Peers Stock History'!D1535/'Peers Stock History'!D$1833*100</f>
        <v>120.24965325936201</v>
      </c>
      <c r="D1532" s="871">
        <f>'Peers Stock History'!E1535/'Peers Stock History'!E$1833*100</f>
        <v>175.67889908256882</v>
      </c>
      <c r="E1532" s="871">
        <f>'Peers Stock History'!F1535/'Peers Stock History'!F$1833*100</f>
        <v>74.73684210526315</v>
      </c>
      <c r="F1532" s="871">
        <f>'Peers Stock History'!G1535/'Peers Stock History'!G$1833*100</f>
        <v>123.03103348948625</v>
      </c>
      <c r="G1532" s="871">
        <f>'Peers Stock History'!H1535/'Peers Stock History'!H$1833*100</f>
        <v>126.17602796252245</v>
      </c>
      <c r="H1532" s="871">
        <f>'Peers Stock History'!I1535/'Peers Stock History'!I$1833*100</f>
        <v>187.70634231103389</v>
      </c>
      <c r="I1532" s="871">
        <f>'Peers Stock History'!J1535/'Peers Stock History'!J$1833*100</f>
        <v>112.86580823667127</v>
      </c>
      <c r="J1532" s="871">
        <f>'Peers Stock History'!K1535/'Peers Stock History'!K$1833*100</f>
        <v>117.53847449239103</v>
      </c>
    </row>
    <row r="1533" spans="2:10">
      <c r="B1533" s="873">
        <v>43078</v>
      </c>
      <c r="C1533" s="871">
        <f>'Peers Stock History'!D1536/'Peers Stock History'!D$1833*100</f>
        <v>120.24965325936201</v>
      </c>
      <c r="D1533" s="871">
        <f>'Peers Stock History'!E1536/'Peers Stock History'!E$1833*100</f>
        <v>175.67889908256882</v>
      </c>
      <c r="E1533" s="871">
        <f>'Peers Stock History'!F1536/'Peers Stock History'!F$1833*100</f>
        <v>74.73684210526315</v>
      </c>
      <c r="F1533" s="871">
        <f>'Peers Stock History'!G1536/'Peers Stock History'!G$1833*100</f>
        <v>123.03103348948625</v>
      </c>
      <c r="G1533" s="871">
        <f>'Peers Stock History'!H1536/'Peers Stock History'!H$1833*100</f>
        <v>126.17602796252245</v>
      </c>
      <c r="H1533" s="871">
        <f>'Peers Stock History'!I1536/'Peers Stock History'!I$1833*100</f>
        <v>187.70634231103389</v>
      </c>
      <c r="I1533" s="871">
        <f>'Peers Stock History'!J1536/'Peers Stock History'!J$1833*100</f>
        <v>112.86580823667127</v>
      </c>
      <c r="J1533" s="871">
        <f>'Peers Stock History'!K1536/'Peers Stock History'!K$1833*100</f>
        <v>117.53847449239103</v>
      </c>
    </row>
    <row r="1534" spans="2:10">
      <c r="B1534" s="873">
        <v>43077</v>
      </c>
      <c r="C1534" s="871">
        <f>'Peers Stock History'!D1537/'Peers Stock History'!D$1833*100</f>
        <v>120.24965325936201</v>
      </c>
      <c r="D1534" s="871">
        <f>'Peers Stock History'!E1537/'Peers Stock History'!E$1833*100</f>
        <v>175.67889908256882</v>
      </c>
      <c r="E1534" s="871">
        <f>'Peers Stock History'!F1537/'Peers Stock History'!F$1833*100</f>
        <v>74.73684210526315</v>
      </c>
      <c r="F1534" s="871">
        <f>'Peers Stock History'!G1537/'Peers Stock History'!G$1833*100</f>
        <v>123.03103348948625</v>
      </c>
      <c r="G1534" s="871">
        <f>'Peers Stock History'!H1537/'Peers Stock History'!H$1833*100</f>
        <v>126.17602796252245</v>
      </c>
      <c r="H1534" s="871">
        <f>'Peers Stock History'!I1537/'Peers Stock History'!I$1833*100</f>
        <v>187.70634231103389</v>
      </c>
      <c r="I1534" s="871">
        <f>'Peers Stock History'!J1537/'Peers Stock History'!J$1833*100</f>
        <v>112.86580823667127</v>
      </c>
      <c r="J1534" s="871">
        <f>'Peers Stock History'!K1537/'Peers Stock History'!K$1833*100</f>
        <v>117.53847449239103</v>
      </c>
    </row>
    <row r="1535" spans="2:10">
      <c r="B1535" s="873">
        <v>43076</v>
      </c>
      <c r="C1535" s="871">
        <f>'Peers Stock History'!D1538/'Peers Stock History'!D$1833*100</f>
        <v>119.50069348127602</v>
      </c>
      <c r="D1535" s="871">
        <f>'Peers Stock History'!E1538/'Peers Stock History'!E$1833*100</f>
        <v>176.1376146788991</v>
      </c>
      <c r="E1535" s="871">
        <f>'Peers Stock History'!F1538/'Peers Stock History'!F$1833*100</f>
        <v>75.488721804511272</v>
      </c>
      <c r="F1535" s="871">
        <f>'Peers Stock History'!G1538/'Peers Stock History'!G$1833*100</f>
        <v>122.7273280017934</v>
      </c>
      <c r="G1535" s="871">
        <f>'Peers Stock History'!H1538/'Peers Stock History'!H$1833*100</f>
        <v>128.1081605903199</v>
      </c>
      <c r="H1535" s="871">
        <f>'Peers Stock History'!I1538/'Peers Stock History'!I$1833*100</f>
        <v>187.66290182450044</v>
      </c>
      <c r="I1535" s="871">
        <f>'Peers Stock History'!J1538/'Peers Stock History'!J$1833*100</f>
        <v>112.2477386399915</v>
      </c>
      <c r="J1535" s="871">
        <f>'Peers Stock History'!K1538/'Peers Stock History'!K$1833*100</f>
        <v>117.07038821604829</v>
      </c>
    </row>
    <row r="1536" spans="2:10">
      <c r="B1536" s="873">
        <v>43075</v>
      </c>
      <c r="C1536" s="871">
        <f>'Peers Stock History'!D1539/'Peers Stock History'!D$1833*100</f>
        <v>120.52704576976423</v>
      </c>
      <c r="D1536" s="871">
        <f>'Peers Stock History'!E1539/'Peers Stock History'!E$1833*100</f>
        <v>173.63302752293578</v>
      </c>
      <c r="E1536" s="871">
        <f>'Peers Stock History'!F1539/'Peers Stock History'!F$1833*100</f>
        <v>75.187969924812023</v>
      </c>
      <c r="F1536" s="871">
        <f>'Peers Stock History'!G1539/'Peers Stock History'!G$1833*100</f>
        <v>123.0638352047404</v>
      </c>
      <c r="G1536" s="871">
        <f>'Peers Stock History'!H1539/'Peers Stock History'!H$1833*100</f>
        <v>128.1081605903199</v>
      </c>
      <c r="H1536" s="871">
        <f>'Peers Stock History'!I1539/'Peers Stock History'!I$1833*100</f>
        <v>180.62554300608167</v>
      </c>
      <c r="I1536" s="871">
        <f>'Peers Stock History'!J1539/'Peers Stock History'!J$1833*100</f>
        <v>111.91954879216772</v>
      </c>
      <c r="J1536" s="871">
        <f>'Peers Stock History'!K1539/'Peers Stock History'!K$1833*100</f>
        <v>116.44376434845964</v>
      </c>
    </row>
    <row r="1537" spans="2:10">
      <c r="B1537" s="873">
        <v>43074</v>
      </c>
      <c r="C1537" s="871">
        <f>'Peers Stock History'!D1540/'Peers Stock History'!D$1833*100</f>
        <v>120.499306518724</v>
      </c>
      <c r="D1537" s="871">
        <f>'Peers Stock History'!E1540/'Peers Stock History'!E$1833*100</f>
        <v>172.23853211009174</v>
      </c>
      <c r="E1537" s="871">
        <f>'Peers Stock History'!F1540/'Peers Stock History'!F$1833*100</f>
        <v>74.511278195488714</v>
      </c>
      <c r="F1537" s="871">
        <f>'Peers Stock History'!G1540/'Peers Stock History'!G$1833*100</f>
        <v>124.5478374836174</v>
      </c>
      <c r="G1537" s="871">
        <f>'Peers Stock History'!H1540/'Peers Stock History'!H$1833*100</f>
        <v>127.02072916160978</v>
      </c>
      <c r="H1537" s="871">
        <f>'Peers Stock History'!I1540/'Peers Stock History'!I$1833*100</f>
        <v>179.01824500434404</v>
      </c>
      <c r="I1537" s="871">
        <f>'Peers Stock History'!J1540/'Peers Stock History'!J$1833*100</f>
        <v>111.93231882515697</v>
      </c>
      <c r="J1537" s="871">
        <f>'Peers Stock History'!K1540/'Peers Stock History'!K$1833*100</f>
        <v>116.20040759935664</v>
      </c>
    </row>
    <row r="1538" spans="2:10">
      <c r="B1538" s="873">
        <v>43073</v>
      </c>
      <c r="C1538" s="871">
        <f>'Peers Stock History'!D1541/'Peers Stock History'!D$1833*100</f>
        <v>123.41192787794731</v>
      </c>
      <c r="D1538" s="871">
        <f>'Peers Stock History'!E1541/'Peers Stock History'!E$1833*100</f>
        <v>171.24770642201835</v>
      </c>
      <c r="E1538" s="871">
        <f>'Peers Stock History'!F1541/'Peers Stock History'!F$1833*100</f>
        <v>75.41353383458646</v>
      </c>
      <c r="F1538" s="871">
        <f>'Peers Stock History'!G1541/'Peers Stock History'!G$1833*100</f>
        <v>126.81649152198197</v>
      </c>
      <c r="G1538" s="871">
        <f>'Peers Stock History'!H1541/'Peers Stock History'!H$1833*100</f>
        <v>127.97223166173114</v>
      </c>
      <c r="H1538" s="871">
        <f>'Peers Stock History'!I1541/'Peers Stock History'!I$1833*100</f>
        <v>173.3275412684622</v>
      </c>
      <c r="I1538" s="871">
        <f>'Peers Stock History'!J1541/'Peers Stock History'!J$1833*100</f>
        <v>112.35245291050336</v>
      </c>
      <c r="J1538" s="871">
        <f>'Peers Stock History'!K1541/'Peers Stock History'!K$1833*100</f>
        <v>116.42642591039689</v>
      </c>
    </row>
    <row r="1539" spans="2:10">
      <c r="B1539" s="873">
        <v>43072</v>
      </c>
      <c r="C1539" s="871">
        <f>'Peers Stock History'!D1542/'Peers Stock History'!D$1833*100</f>
        <v>123.93897364771152</v>
      </c>
      <c r="D1539" s="871">
        <f>'Peers Stock History'!E1542/'Peers Stock History'!E$1833*100</f>
        <v>181.35779816513761</v>
      </c>
      <c r="E1539" s="871">
        <f>'Peers Stock History'!F1542/'Peers Stock History'!F$1833*100</f>
        <v>80.676691729323295</v>
      </c>
      <c r="F1539" s="871">
        <f>'Peers Stock History'!G1542/'Peers Stock History'!G$1833*100</f>
        <v>125.39534228391982</v>
      </c>
      <c r="G1539" s="871">
        <f>'Peers Stock History'!H1542/'Peers Stock History'!H$1833*100</f>
        <v>131.83164231273363</v>
      </c>
      <c r="H1539" s="871">
        <f>'Peers Stock History'!I1542/'Peers Stock History'!I$1833*100</f>
        <v>182.4066029539531</v>
      </c>
      <c r="I1539" s="871">
        <f>'Peers Stock History'!J1542/'Peers Stock History'!J$1833*100</f>
        <v>112.47078854953708</v>
      </c>
      <c r="J1539" s="871">
        <f>'Peers Stock History'!K1542/'Peers Stock History'!K$1833*100</f>
        <v>117.66743879136139</v>
      </c>
    </row>
    <row r="1540" spans="2:10">
      <c r="B1540" s="873">
        <v>43071</v>
      </c>
      <c r="C1540" s="871">
        <f>'Peers Stock History'!D1543/'Peers Stock History'!D$1833*100</f>
        <v>123.93897364771152</v>
      </c>
      <c r="D1540" s="871">
        <f>'Peers Stock History'!E1543/'Peers Stock History'!E$1833*100</f>
        <v>181.35779816513761</v>
      </c>
      <c r="E1540" s="871">
        <f>'Peers Stock History'!F1543/'Peers Stock History'!F$1833*100</f>
        <v>80.676691729323295</v>
      </c>
      <c r="F1540" s="871">
        <f>'Peers Stock History'!G1543/'Peers Stock History'!G$1833*100</f>
        <v>125.39534228391982</v>
      </c>
      <c r="G1540" s="871">
        <f>'Peers Stock History'!H1543/'Peers Stock History'!H$1833*100</f>
        <v>131.83164231273363</v>
      </c>
      <c r="H1540" s="871">
        <f>'Peers Stock History'!I1543/'Peers Stock History'!I$1833*100</f>
        <v>182.4066029539531</v>
      </c>
      <c r="I1540" s="871">
        <f>'Peers Stock History'!J1543/'Peers Stock History'!J$1833*100</f>
        <v>112.47078854953708</v>
      </c>
      <c r="J1540" s="871">
        <f>'Peers Stock History'!K1543/'Peers Stock History'!K$1833*100</f>
        <v>117.66743879136139</v>
      </c>
    </row>
    <row r="1541" spans="2:10">
      <c r="B1541" s="873">
        <v>43070</v>
      </c>
      <c r="C1541" s="871">
        <f>'Peers Stock History'!D1544/'Peers Stock History'!D$1833*100</f>
        <v>123.93897364771152</v>
      </c>
      <c r="D1541" s="871">
        <f>'Peers Stock History'!E1544/'Peers Stock History'!E$1833*100</f>
        <v>181.35779816513761</v>
      </c>
      <c r="E1541" s="871">
        <f>'Peers Stock History'!F1544/'Peers Stock History'!F$1833*100</f>
        <v>80.676691729323295</v>
      </c>
      <c r="F1541" s="871">
        <f>'Peers Stock History'!G1544/'Peers Stock History'!G$1833*100</f>
        <v>125.39534228391982</v>
      </c>
      <c r="G1541" s="871">
        <f>'Peers Stock History'!H1544/'Peers Stock History'!H$1833*100</f>
        <v>131.83164231273363</v>
      </c>
      <c r="H1541" s="871">
        <f>'Peers Stock History'!I1544/'Peers Stock History'!I$1833*100</f>
        <v>182.4066029539531</v>
      </c>
      <c r="I1541" s="871">
        <f>'Peers Stock History'!J1544/'Peers Stock History'!J$1833*100</f>
        <v>112.47078854953708</v>
      </c>
      <c r="J1541" s="871">
        <f>'Peers Stock History'!K1544/'Peers Stock History'!K$1833*100</f>
        <v>117.66743879136139</v>
      </c>
    </row>
    <row r="1542" spans="2:10">
      <c r="B1542" s="873">
        <v>43069</v>
      </c>
      <c r="C1542" s="871">
        <f>'Peers Stock History'!D1545/'Peers Stock History'!D$1833*100</f>
        <v>124.38280166435509</v>
      </c>
      <c r="D1542" s="871">
        <f>'Peers Stock History'!E1545/'Peers Stock History'!E$1833*100</f>
        <v>184.1376146788991</v>
      </c>
      <c r="E1542" s="871">
        <f>'Peers Stock History'!F1545/'Peers Stock History'!F$1833*100</f>
        <v>81.879699248120303</v>
      </c>
      <c r="F1542" s="871">
        <f>'Peers Stock History'!G1545/'Peers Stock History'!G$1833*100</f>
        <v>122.61160096672373</v>
      </c>
      <c r="G1542" s="871">
        <f>'Peers Stock History'!H1545/'Peers Stock History'!H$1833*100</f>
        <v>134.92888004272052</v>
      </c>
      <c r="H1542" s="871">
        <f>'Peers Stock History'!I1545/'Peers Stock History'!I$1833*100</f>
        <v>184.14422241529104</v>
      </c>
      <c r="I1542" s="871">
        <f>'Peers Stock History'!J1545/'Peers Stock History'!J$1833*100</f>
        <v>112.69894647227838</v>
      </c>
      <c r="J1542" s="871">
        <f>'Peers Stock History'!K1545/'Peers Stock History'!K$1833*100</f>
        <v>118.1208672999464</v>
      </c>
    </row>
    <row r="1543" spans="2:10">
      <c r="B1543" s="873">
        <v>43068</v>
      </c>
      <c r="C1543" s="871">
        <f>'Peers Stock History'!D1546/'Peers Stock History'!D$1833*100</f>
        <v>121.91400832177533</v>
      </c>
      <c r="D1543" s="871">
        <f>'Peers Stock History'!E1546/'Peers Stock History'!E$1833*100</f>
        <v>180.20183486238531</v>
      </c>
      <c r="E1543" s="871">
        <f>'Peers Stock History'!F1546/'Peers Stock History'!F$1833*100</f>
        <v>81.428571428571431</v>
      </c>
      <c r="F1543" s="871">
        <f>'Peers Stock History'!G1546/'Peers Stock History'!G$1833*100</f>
        <v>127.252807399253</v>
      </c>
      <c r="G1543" s="871">
        <f>'Peers Stock History'!H1546/'Peers Stock History'!H$1833*100</f>
        <v>131.80251468517889</v>
      </c>
      <c r="H1543" s="871">
        <f>'Peers Stock History'!I1546/'Peers Stock History'!I$1833*100</f>
        <v>190.0086880973067</v>
      </c>
      <c r="I1543" s="871">
        <f>'Peers Stock History'!J1546/'Peers Stock History'!J$1833*100</f>
        <v>111.78333510694902</v>
      </c>
      <c r="J1543" s="871">
        <f>'Peers Stock History'!K1546/'Peers Stock History'!K$1833*100</f>
        <v>117.26882655375776</v>
      </c>
    </row>
    <row r="1544" spans="2:10">
      <c r="B1544" s="873">
        <v>43067</v>
      </c>
      <c r="C1544" s="871">
        <f>'Peers Stock History'!D1547/'Peers Stock History'!D$1833*100</f>
        <v>124.07766990291262</v>
      </c>
      <c r="D1544" s="871">
        <f>'Peers Stock History'!E1547/'Peers Stock History'!E$1833*100</f>
        <v>193.3119266055046</v>
      </c>
      <c r="E1544" s="871">
        <f>'Peers Stock History'!F1547/'Peers Stock History'!F$1833*100</f>
        <v>83.984962406015029</v>
      </c>
      <c r="F1544" s="871">
        <f>'Peers Stock History'!G1547/'Peers Stock History'!G$1833*100</f>
        <v>126.9645378581038</v>
      </c>
      <c r="G1544" s="871">
        <f>'Peers Stock History'!H1547/'Peers Stock History'!H$1833*100</f>
        <v>134.66673139472789</v>
      </c>
      <c r="H1544" s="871">
        <f>'Peers Stock History'!I1547/'Peers Stock History'!I$1833*100</f>
        <v>208.2102519548219</v>
      </c>
      <c r="I1544" s="871">
        <f>'Peers Stock History'!J1547/'Peers Stock History'!J$1833*100</f>
        <v>111.82462488028094</v>
      </c>
      <c r="J1544" s="871">
        <f>'Peers Stock History'!K1547/'Peers Stock History'!K$1833*100</f>
        <v>118.7804668490439</v>
      </c>
    </row>
    <row r="1545" spans="2:10">
      <c r="B1545" s="873">
        <v>43066</v>
      </c>
      <c r="C1545" s="871">
        <f>'Peers Stock History'!D1548/'Peers Stock History'!D$1833*100</f>
        <v>123.41192787794731</v>
      </c>
      <c r="D1545" s="871">
        <f>'Peers Stock History'!E1548/'Peers Stock History'!E$1833*100</f>
        <v>196.45871559633025</v>
      </c>
      <c r="E1545" s="871">
        <f>'Peers Stock History'!F1548/'Peers Stock History'!F$1833*100</f>
        <v>86.842105263157904</v>
      </c>
      <c r="F1545" s="871">
        <f>'Peers Stock History'!G1548/'Peers Stock History'!G$1833*100</f>
        <v>128.57513412791047</v>
      </c>
      <c r="G1545" s="871">
        <f>'Peers Stock History'!H1548/'Peers Stock History'!H$1833*100</f>
        <v>138.1717559104811</v>
      </c>
      <c r="H1545" s="871">
        <f>'Peers Stock History'!I1548/'Peers Stock History'!I$1833*100</f>
        <v>208.73153779322328</v>
      </c>
      <c r="I1545" s="871">
        <f>'Peers Stock History'!J1548/'Peers Stock History'!J$1833*100</f>
        <v>110.73406406299884</v>
      </c>
      <c r="J1545" s="871">
        <f>'Peers Stock History'!K1548/'Peers Stock History'!K$1833*100</f>
        <v>118.19901914960892</v>
      </c>
    </row>
    <row r="1546" spans="2:10">
      <c r="B1546" s="873">
        <v>43065</v>
      </c>
      <c r="C1546" s="871">
        <f>'Peers Stock History'!D1549/'Peers Stock History'!D$1833*100</f>
        <v>124.13314840499308</v>
      </c>
      <c r="D1546" s="871">
        <f>'Peers Stock History'!E1549/'Peers Stock History'!E$1833*100</f>
        <v>199.04587155963301</v>
      </c>
      <c r="E1546" s="871">
        <f>'Peers Stock History'!F1549/'Peers Stock History'!F$1833*100</f>
        <v>85.563909774436084</v>
      </c>
      <c r="F1546" s="871">
        <f>'Peers Stock History'!G1549/'Peers Stock History'!G$1833*100</f>
        <v>132.50528349843989</v>
      </c>
      <c r="G1546" s="871">
        <f>'Peers Stock History'!H1549/'Peers Stock History'!H$1833*100</f>
        <v>137.08432448177095</v>
      </c>
      <c r="H1546" s="871">
        <f>'Peers Stock History'!I1549/'Peers Stock History'!I$1833*100</f>
        <v>215.81233709817548</v>
      </c>
      <c r="I1546" s="871">
        <f>'Peers Stock History'!J1549/'Peers Stock History'!J$1833*100</f>
        <v>110.77663083962968</v>
      </c>
      <c r="J1546" s="871">
        <f>'Peers Stock History'!K1549/'Peers Stock History'!K$1833*100</f>
        <v>118.38183742765627</v>
      </c>
    </row>
    <row r="1547" spans="2:10">
      <c r="B1547" s="873">
        <v>43064</v>
      </c>
      <c r="C1547" s="871">
        <f>'Peers Stock History'!D1550/'Peers Stock History'!D$1833*100</f>
        <v>124.13314840499308</v>
      </c>
      <c r="D1547" s="871">
        <f>'Peers Stock History'!E1550/'Peers Stock History'!E$1833*100</f>
        <v>199.04587155963301</v>
      </c>
      <c r="E1547" s="871">
        <f>'Peers Stock History'!F1550/'Peers Stock History'!F$1833*100</f>
        <v>85.563909774436084</v>
      </c>
      <c r="F1547" s="871">
        <f>'Peers Stock History'!G1550/'Peers Stock History'!G$1833*100</f>
        <v>132.50528349843989</v>
      </c>
      <c r="G1547" s="871">
        <f>'Peers Stock History'!H1550/'Peers Stock History'!H$1833*100</f>
        <v>137.08432448177095</v>
      </c>
      <c r="H1547" s="871">
        <f>'Peers Stock History'!I1550/'Peers Stock History'!I$1833*100</f>
        <v>215.81233709817548</v>
      </c>
      <c r="I1547" s="871">
        <f>'Peers Stock History'!J1550/'Peers Stock History'!J$1833*100</f>
        <v>110.77663083962968</v>
      </c>
      <c r="J1547" s="871">
        <f>'Peers Stock History'!K1550/'Peers Stock History'!K$1833*100</f>
        <v>118.38183742765627</v>
      </c>
    </row>
    <row r="1548" spans="2:10">
      <c r="B1548" s="873">
        <v>43063</v>
      </c>
      <c r="C1548" s="871">
        <f>'Peers Stock History'!D1551/'Peers Stock History'!D$1833*100</f>
        <v>124.13314840499308</v>
      </c>
      <c r="D1548" s="871">
        <f>'Peers Stock History'!E1551/'Peers Stock History'!E$1833*100</f>
        <v>199.04587155963301</v>
      </c>
      <c r="E1548" s="871">
        <f>'Peers Stock History'!F1551/'Peers Stock History'!F$1833*100</f>
        <v>85.563909774436084</v>
      </c>
      <c r="F1548" s="871">
        <f>'Peers Stock History'!G1551/'Peers Stock History'!G$1833*100</f>
        <v>132.50528349843989</v>
      </c>
      <c r="G1548" s="871">
        <f>'Peers Stock History'!H1551/'Peers Stock History'!H$1833*100</f>
        <v>137.08432448177095</v>
      </c>
      <c r="H1548" s="871">
        <f>'Peers Stock History'!I1551/'Peers Stock History'!I$1833*100</f>
        <v>215.81233709817548</v>
      </c>
      <c r="I1548" s="871">
        <f>'Peers Stock History'!J1551/'Peers Stock History'!J$1833*100</f>
        <v>110.77663083962968</v>
      </c>
      <c r="J1548" s="871">
        <f>'Peers Stock History'!K1551/'Peers Stock History'!K$1833*100</f>
        <v>118.38183742765627</v>
      </c>
    </row>
    <row r="1549" spans="2:10">
      <c r="B1549" s="873">
        <v>43062</v>
      </c>
      <c r="C1549" s="871">
        <f>'Peers Stock History'!D1552/'Peers Stock History'!D$1833*100</f>
        <v>123.85575589459086</v>
      </c>
      <c r="D1549" s="871">
        <f>'Peers Stock History'!E1552/'Peers Stock History'!E$1833*100</f>
        <v>197.18348623853211</v>
      </c>
      <c r="E1549" s="871">
        <f>'Peers Stock History'!F1552/'Peers Stock History'!F$1833*100</f>
        <v>85.488721804511272</v>
      </c>
      <c r="F1549" s="871">
        <f>'Peers Stock History'!G1552/'Peers Stock History'!G$1833*100</f>
        <v>131.54139763063043</v>
      </c>
      <c r="G1549" s="871">
        <f>'Peers Stock History'!H1552/'Peers Stock History'!H$1833*100</f>
        <v>133.68124666245933</v>
      </c>
      <c r="H1549" s="871">
        <f>'Peers Stock History'!I1552/'Peers Stock History'!I$1833*100</f>
        <v>213.46655082536924</v>
      </c>
      <c r="I1549" s="871">
        <f>'Peers Stock History'!J1552/'Peers Stock History'!J$1833*100</f>
        <v>110.54932425242099</v>
      </c>
      <c r="J1549" s="871">
        <f>'Peers Stock History'!K1552/'Peers Stock History'!K$1833*100</f>
        <v>118.00724812009405</v>
      </c>
    </row>
    <row r="1550" spans="2:10">
      <c r="B1550" s="873">
        <v>43061</v>
      </c>
      <c r="C1550" s="871">
        <f>'Peers Stock History'!D1553/'Peers Stock History'!D$1833*100</f>
        <v>123.85575589459086</v>
      </c>
      <c r="D1550" s="871">
        <f>'Peers Stock History'!E1553/'Peers Stock History'!E$1833*100</f>
        <v>197.18348623853211</v>
      </c>
      <c r="E1550" s="871">
        <f>'Peers Stock History'!F1553/'Peers Stock History'!F$1833*100</f>
        <v>85.488721804511272</v>
      </c>
      <c r="F1550" s="871">
        <f>'Peers Stock History'!G1553/'Peers Stock History'!G$1833*100</f>
        <v>131.48062441673221</v>
      </c>
      <c r="G1550" s="871">
        <f>'Peers Stock History'!H1553/'Peers Stock History'!H$1833*100</f>
        <v>133.68124666245933</v>
      </c>
      <c r="H1550" s="871">
        <f>'Peers Stock History'!I1553/'Peers Stock History'!I$1833*100</f>
        <v>213.46655082536924</v>
      </c>
      <c r="I1550" s="871">
        <f>'Peers Stock History'!J1553/'Peers Stock History'!J$1833*100</f>
        <v>110.54932425242099</v>
      </c>
      <c r="J1550" s="871">
        <f>'Peers Stock History'!K1553/'Peers Stock History'!K$1833*100</f>
        <v>118.00724812009405</v>
      </c>
    </row>
    <row r="1551" spans="2:10">
      <c r="B1551" s="873">
        <v>43060</v>
      </c>
      <c r="C1551" s="871">
        <f>'Peers Stock History'!D1554/'Peers Stock History'!D$1833*100</f>
        <v>124.66019417475729</v>
      </c>
      <c r="D1551" s="871">
        <f>'Peers Stock History'!E1554/'Peers Stock History'!E$1833*100</f>
        <v>198.21100917431193</v>
      </c>
      <c r="E1551" s="871">
        <f>'Peers Stock History'!F1554/'Peers Stock History'!F$1833*100</f>
        <v>85.714285714285708</v>
      </c>
      <c r="F1551" s="871">
        <f>'Peers Stock History'!G1554/'Peers Stock History'!G$1833*100</f>
        <v>131.78625008930069</v>
      </c>
      <c r="G1551" s="871">
        <f>'Peers Stock History'!H1554/'Peers Stock History'!H$1833*100</f>
        <v>134.27350842273896</v>
      </c>
      <c r="H1551" s="871">
        <f>'Peers Stock History'!I1554/'Peers Stock History'!I$1833*100</f>
        <v>214.59600347523892</v>
      </c>
      <c r="I1551" s="871">
        <f>'Peers Stock History'!J1554/'Peers Stock History'!J$1833*100</f>
        <v>110.63232946685113</v>
      </c>
      <c r="J1551" s="871">
        <f>'Peers Stock History'!K1554/'Peers Stock History'!K$1833*100</f>
        <v>117.92332251900528</v>
      </c>
    </row>
    <row r="1552" spans="2:10">
      <c r="B1552" s="873">
        <v>43059</v>
      </c>
      <c r="C1552" s="871">
        <f>'Peers Stock History'!D1555/'Peers Stock History'!D$1833*100</f>
        <v>123.77253814147018</v>
      </c>
      <c r="D1552" s="871">
        <f>'Peers Stock History'!E1555/'Peers Stock History'!E$1833*100</f>
        <v>196.40366972477065</v>
      </c>
      <c r="E1552" s="871">
        <f>'Peers Stock History'!F1555/'Peers Stock History'!F$1833*100</f>
        <v>85.263157894736835</v>
      </c>
      <c r="F1552" s="871">
        <f>'Peers Stock History'!G1555/'Peers Stock History'!G$1833*100</f>
        <v>128.99312399761243</v>
      </c>
      <c r="G1552" s="871">
        <f>'Peers Stock History'!H1555/'Peers Stock History'!H$1833*100</f>
        <v>133.44337103742902</v>
      </c>
      <c r="H1552" s="871">
        <f>'Peers Stock History'!I1555/'Peers Stock History'!I$1833*100</f>
        <v>206.95047784535188</v>
      </c>
      <c r="I1552" s="871">
        <f>'Peers Stock History'!J1555/'Peers Stock History'!J$1833*100</f>
        <v>109.91337660955625</v>
      </c>
      <c r="J1552" s="871">
        <f>'Peers Stock History'!K1555/'Peers Stock History'!K$1833*100</f>
        <v>116.69016262733184</v>
      </c>
    </row>
    <row r="1553" spans="2:10">
      <c r="B1553" s="873">
        <v>43058</v>
      </c>
      <c r="C1553" s="871">
        <f>'Peers Stock History'!D1556/'Peers Stock History'!D$1833*100</f>
        <v>123.80027739251042</v>
      </c>
      <c r="D1553" s="871">
        <f>'Peers Stock History'!E1556/'Peers Stock History'!E$1833*100</f>
        <v>193.90825688073397</v>
      </c>
      <c r="E1553" s="871">
        <f>'Peers Stock History'!F1556/'Peers Stock History'!F$1833*100</f>
        <v>85.563909774436084</v>
      </c>
      <c r="F1553" s="871">
        <f>'Peers Stock History'!G1556/'Peers Stock History'!G$1833*100</f>
        <v>130.73303753004259</v>
      </c>
      <c r="G1553" s="871">
        <f>'Peers Stock History'!H1556/'Peers Stock History'!H$1833*100</f>
        <v>131.97728045050732</v>
      </c>
      <c r="H1553" s="871">
        <f>'Peers Stock History'!I1556/'Peers Stock History'!I$1833*100</f>
        <v>200.52128583840138</v>
      </c>
      <c r="I1553" s="871">
        <f>'Peers Stock History'!J1556/'Peers Stock History'!J$1833*100</f>
        <v>109.77333191444079</v>
      </c>
      <c r="J1553" s="871">
        <f>'Peers Stock History'!K1556/'Peers Stock History'!K$1833*100</f>
        <v>116.55401550664671</v>
      </c>
    </row>
    <row r="1554" spans="2:10">
      <c r="B1554" s="873">
        <v>43057</v>
      </c>
      <c r="C1554" s="871">
        <f>'Peers Stock History'!D1557/'Peers Stock History'!D$1833*100</f>
        <v>123.80027739251042</v>
      </c>
      <c r="D1554" s="871">
        <f>'Peers Stock History'!E1557/'Peers Stock History'!E$1833*100</f>
        <v>193.90825688073397</v>
      </c>
      <c r="E1554" s="871">
        <f>'Peers Stock History'!F1557/'Peers Stock History'!F$1833*100</f>
        <v>85.563909774436084</v>
      </c>
      <c r="F1554" s="871">
        <f>'Peers Stock History'!G1557/'Peers Stock History'!G$1833*100</f>
        <v>130.73303753004259</v>
      </c>
      <c r="G1554" s="871">
        <f>'Peers Stock History'!H1557/'Peers Stock History'!H$1833*100</f>
        <v>131.97728045050732</v>
      </c>
      <c r="H1554" s="871">
        <f>'Peers Stock History'!I1557/'Peers Stock History'!I$1833*100</f>
        <v>200.52128583840138</v>
      </c>
      <c r="I1554" s="871">
        <f>'Peers Stock History'!J1557/'Peers Stock History'!J$1833*100</f>
        <v>109.77333191444079</v>
      </c>
      <c r="J1554" s="871">
        <f>'Peers Stock History'!K1557/'Peers Stock History'!K$1833*100</f>
        <v>116.55401550664671</v>
      </c>
    </row>
    <row r="1555" spans="2:10">
      <c r="B1555" s="873">
        <v>43056</v>
      </c>
      <c r="C1555" s="871">
        <f>'Peers Stock History'!D1558/'Peers Stock History'!D$1833*100</f>
        <v>123.80027739251042</v>
      </c>
      <c r="D1555" s="871">
        <f>'Peers Stock History'!E1558/'Peers Stock History'!E$1833*100</f>
        <v>193.90825688073397</v>
      </c>
      <c r="E1555" s="871">
        <f>'Peers Stock History'!F1558/'Peers Stock History'!F$1833*100</f>
        <v>85.563909774436084</v>
      </c>
      <c r="F1555" s="871">
        <f>'Peers Stock History'!G1558/'Peers Stock History'!G$1833*100</f>
        <v>130.73303753004259</v>
      </c>
      <c r="G1555" s="871">
        <f>'Peers Stock History'!H1558/'Peers Stock History'!H$1833*100</f>
        <v>131.97728045050732</v>
      </c>
      <c r="H1555" s="871">
        <f>'Peers Stock History'!I1558/'Peers Stock History'!I$1833*100</f>
        <v>200.52128583840138</v>
      </c>
      <c r="I1555" s="871">
        <f>'Peers Stock History'!J1558/'Peers Stock History'!J$1833*100</f>
        <v>109.77333191444079</v>
      </c>
      <c r="J1555" s="871">
        <f>'Peers Stock History'!K1558/'Peers Stock History'!K$1833*100</f>
        <v>116.55401550664671</v>
      </c>
    </row>
    <row r="1556" spans="2:10">
      <c r="B1556" s="873">
        <v>43055</v>
      </c>
      <c r="C1556" s="871">
        <f>'Peers Stock History'!D1559/'Peers Stock History'!D$1833*100</f>
        <v>126.62968099861305</v>
      </c>
      <c r="D1556" s="871">
        <f>'Peers Stock History'!E1559/'Peers Stock History'!E$1833*100</f>
        <v>194.1376146788991</v>
      </c>
      <c r="E1556" s="871">
        <f>'Peers Stock History'!F1559/'Peers Stock History'!F$1833*100</f>
        <v>84.586466165413526</v>
      </c>
      <c r="F1556" s="871">
        <f>'Peers Stock History'!G1559/'Peers Stock History'!G$1833*100</f>
        <v>128.80406522698095</v>
      </c>
      <c r="G1556" s="871">
        <f>'Peers Stock History'!H1559/'Peers Stock History'!H$1833*100</f>
        <v>132.09864556531869</v>
      </c>
      <c r="H1556" s="871">
        <f>'Peers Stock History'!I1559/'Peers Stock History'!I$1833*100</f>
        <v>200.60816681146827</v>
      </c>
      <c r="I1556" s="871">
        <f>'Peers Stock History'!J1559/'Peers Stock History'!J$1833*100</f>
        <v>110.06236032776417</v>
      </c>
      <c r="J1556" s="871">
        <f>'Peers Stock History'!K1559/'Peers Stock History'!K$1833*100</f>
        <v>116.73444523871714</v>
      </c>
    </row>
    <row r="1557" spans="2:10">
      <c r="B1557" s="873">
        <v>43054</v>
      </c>
      <c r="C1557" s="871">
        <f>'Peers Stock History'!D1560/'Peers Stock History'!D$1833*100</f>
        <v>126.10263522884884</v>
      </c>
      <c r="D1557" s="871">
        <f>'Peers Stock History'!E1560/'Peers Stock History'!E$1833*100</f>
        <v>192.64220183486239</v>
      </c>
      <c r="E1557" s="871">
        <f>'Peers Stock History'!F1560/'Peers Stock History'!F$1833*100</f>
        <v>83.233082706766908</v>
      </c>
      <c r="F1557" s="871">
        <f>'Peers Stock History'!G1560/'Peers Stock History'!G$1833*100</f>
        <v>128.45654324740647</v>
      </c>
      <c r="G1557" s="871">
        <f>'Peers Stock History'!H1560/'Peers Stock History'!H$1833*100</f>
        <v>128.93829797562989</v>
      </c>
      <c r="H1557" s="871">
        <f>'Peers Stock History'!I1560/'Peers Stock History'!I$1833*100</f>
        <v>197.04604691572544</v>
      </c>
      <c r="I1557" s="871">
        <f>'Peers Stock History'!J1560/'Peers Stock History'!J$1833*100</f>
        <v>109.16760668298393</v>
      </c>
      <c r="J1557" s="871">
        <f>'Peers Stock History'!K1560/'Peers Stock History'!K$1833*100</f>
        <v>115.23802977606093</v>
      </c>
    </row>
    <row r="1558" spans="2:10">
      <c r="B1558" s="873">
        <v>43053</v>
      </c>
      <c r="C1558" s="871">
        <f>'Peers Stock History'!D1561/'Peers Stock History'!D$1833*100</f>
        <v>127.21220527045772</v>
      </c>
      <c r="D1558" s="871">
        <f>'Peers Stock History'!E1561/'Peers Stock History'!E$1833*100</f>
        <v>196.49541284403671</v>
      </c>
      <c r="E1558" s="871">
        <f>'Peers Stock History'!F1561/'Peers Stock History'!F$1833*100</f>
        <v>83.609022556390968</v>
      </c>
      <c r="F1558" s="871">
        <f>'Peers Stock History'!G1561/'Peers Stock History'!G$1833*100</f>
        <v>129.71814413818598</v>
      </c>
      <c r="G1558" s="871">
        <f>'Peers Stock History'!H1561/'Peers Stock History'!H$1833*100</f>
        <v>127.80232050099518</v>
      </c>
      <c r="H1558" s="871">
        <f>'Peers Stock History'!I1561/'Peers Stock History'!I$1833*100</f>
        <v>198.95742832319721</v>
      </c>
      <c r="I1558" s="871">
        <f>'Peers Stock History'!J1561/'Peers Stock History'!J$1833*100</f>
        <v>109.77418324997339</v>
      </c>
      <c r="J1558" s="871">
        <f>'Peers Stock History'!K1561/'Peers Stock History'!K$1833*100</f>
        <v>115.78213711284937</v>
      </c>
    </row>
    <row r="1559" spans="2:10">
      <c r="B1559" s="873">
        <v>43052</v>
      </c>
      <c r="C1559" s="871">
        <f>'Peers Stock History'!D1562/'Peers Stock History'!D$1833*100</f>
        <v>126.90707350901526</v>
      </c>
      <c r="D1559" s="871">
        <f>'Peers Stock History'!E1562/'Peers Stock History'!E$1833*100</f>
        <v>195.07339449541283</v>
      </c>
      <c r="E1559" s="871">
        <f>'Peers Stock History'!F1562/'Peers Stock History'!F$1833*100</f>
        <v>83.383458646616532</v>
      </c>
      <c r="F1559" s="871">
        <f>'Peers Stock History'!G1562/'Peers Stock History'!G$1833*100</f>
        <v>129.11756433497007</v>
      </c>
      <c r="G1559" s="871">
        <f>'Peers Stock History'!H1562/'Peers Stock History'!H$1833*100</f>
        <v>128.65187630467497</v>
      </c>
      <c r="H1559" s="871">
        <f>'Peers Stock History'!I1562/'Peers Stock History'!I$1833*100</f>
        <v>198.08861859252823</v>
      </c>
      <c r="I1559" s="871">
        <f>'Peers Stock History'!J1562/'Peers Stock History'!J$1833*100</f>
        <v>110.02830690645951</v>
      </c>
      <c r="J1559" s="871">
        <f>'Peers Stock History'!K1562/'Peers Stock History'!K$1833*100</f>
        <v>116.12105288481366</v>
      </c>
    </row>
    <row r="1560" spans="2:10">
      <c r="B1560" s="873">
        <v>43051</v>
      </c>
      <c r="C1560" s="871">
        <f>'Peers Stock History'!D1563/'Peers Stock History'!D$1833*100</f>
        <v>126.43550624133148</v>
      </c>
      <c r="D1560" s="871">
        <f>'Peers Stock History'!E1563/'Peers Stock History'!E$1833*100</f>
        <v>198.29357798165137</v>
      </c>
      <c r="E1560" s="871">
        <f>'Peers Stock History'!F1563/'Peers Stock History'!F$1833*100</f>
        <v>84.661654135338338</v>
      </c>
      <c r="F1560" s="871">
        <f>'Peers Stock History'!G1563/'Peers Stock History'!G$1833*100</f>
        <v>129.75558296609009</v>
      </c>
      <c r="G1560" s="871">
        <f>'Peers Stock History'!H1563/'Peers Stock History'!H$1833*100</f>
        <v>128.62760328171271</v>
      </c>
      <c r="H1560" s="871">
        <f>'Peers Stock History'!I1563/'Peers Stock History'!I$1833*100</f>
        <v>194.52649869678541</v>
      </c>
      <c r="I1560" s="871">
        <f>'Peers Stock History'!J1563/'Peers Stock History'!J$1833*100</f>
        <v>109.92018729381718</v>
      </c>
      <c r="J1560" s="871">
        <f>'Peers Stock History'!K1563/'Peers Stock History'!K$1833*100</f>
        <v>116.00667761846502</v>
      </c>
    </row>
    <row r="1561" spans="2:10">
      <c r="B1561" s="873">
        <v>43050</v>
      </c>
      <c r="C1561" s="871">
        <f>'Peers Stock History'!D1564/'Peers Stock History'!D$1833*100</f>
        <v>126.43550624133148</v>
      </c>
      <c r="D1561" s="871">
        <f>'Peers Stock History'!E1564/'Peers Stock History'!E$1833*100</f>
        <v>198.29357798165137</v>
      </c>
      <c r="E1561" s="871">
        <f>'Peers Stock History'!F1564/'Peers Stock History'!F$1833*100</f>
        <v>84.661654135338338</v>
      </c>
      <c r="F1561" s="871">
        <f>'Peers Stock History'!G1564/'Peers Stock History'!G$1833*100</f>
        <v>129.75558296609009</v>
      </c>
      <c r="G1561" s="871">
        <f>'Peers Stock History'!H1564/'Peers Stock History'!H$1833*100</f>
        <v>128.62760328171271</v>
      </c>
      <c r="H1561" s="871">
        <f>'Peers Stock History'!I1564/'Peers Stock History'!I$1833*100</f>
        <v>194.52649869678541</v>
      </c>
      <c r="I1561" s="871">
        <f>'Peers Stock History'!J1564/'Peers Stock History'!J$1833*100</f>
        <v>109.92018729381718</v>
      </c>
      <c r="J1561" s="871">
        <f>'Peers Stock History'!K1564/'Peers Stock History'!K$1833*100</f>
        <v>116.00667761846502</v>
      </c>
    </row>
    <row r="1562" spans="2:10">
      <c r="B1562" s="873">
        <v>43049</v>
      </c>
      <c r="C1562" s="871">
        <f>'Peers Stock History'!D1565/'Peers Stock History'!D$1833*100</f>
        <v>126.43550624133148</v>
      </c>
      <c r="D1562" s="871">
        <f>'Peers Stock History'!E1565/'Peers Stock History'!E$1833*100</f>
        <v>198.29357798165137</v>
      </c>
      <c r="E1562" s="871">
        <f>'Peers Stock History'!F1565/'Peers Stock History'!F$1833*100</f>
        <v>84.661654135338338</v>
      </c>
      <c r="F1562" s="871">
        <f>'Peers Stock History'!G1565/'Peers Stock History'!G$1833*100</f>
        <v>129.75558296609009</v>
      </c>
      <c r="G1562" s="871">
        <f>'Peers Stock History'!H1565/'Peers Stock History'!H$1833*100</f>
        <v>128.62760328171271</v>
      </c>
      <c r="H1562" s="871">
        <f>'Peers Stock History'!I1565/'Peers Stock History'!I$1833*100</f>
        <v>194.52649869678541</v>
      </c>
      <c r="I1562" s="871">
        <f>'Peers Stock History'!J1565/'Peers Stock History'!J$1833*100</f>
        <v>109.92018729381718</v>
      </c>
      <c r="J1562" s="871">
        <f>'Peers Stock History'!K1565/'Peers Stock History'!K$1833*100</f>
        <v>116.00667761846502</v>
      </c>
    </row>
    <row r="1563" spans="2:10">
      <c r="B1563" s="873">
        <v>43048</v>
      </c>
      <c r="C1563" s="871">
        <f>'Peers Stock History'!D1566/'Peers Stock History'!D$1833*100</f>
        <v>128.43273231622746</v>
      </c>
      <c r="D1563" s="871">
        <f>'Peers Stock History'!E1566/'Peers Stock History'!E$1833*100</f>
        <v>188.36697247706422</v>
      </c>
      <c r="E1563" s="871">
        <f>'Peers Stock History'!F1566/'Peers Stock History'!F$1833*100</f>
        <v>83.609022556390968</v>
      </c>
      <c r="F1563" s="871">
        <f>'Peers Stock History'!G1566/'Peers Stock History'!G$1833*100</f>
        <v>129.82727356671793</v>
      </c>
      <c r="G1563" s="871">
        <f>'Peers Stock History'!H1566/'Peers Stock History'!H$1833*100</f>
        <v>128.95771639399968</v>
      </c>
      <c r="H1563" s="871">
        <f>'Peers Stock History'!I1566/'Peers Stock History'!I$1833*100</f>
        <v>188.96611642050391</v>
      </c>
      <c r="I1563" s="871">
        <f>'Peers Stock History'!J1566/'Peers Stock History'!J$1833*100</f>
        <v>110.01894221560072</v>
      </c>
      <c r="J1563" s="871">
        <f>'Peers Stock History'!K1566/'Peers Stock History'!K$1833*100</f>
        <v>115.99145278583507</v>
      </c>
    </row>
    <row r="1564" spans="2:10">
      <c r="B1564" s="873">
        <v>43047</v>
      </c>
      <c r="C1564" s="871">
        <f>'Peers Stock History'!D1567/'Peers Stock History'!D$1833*100</f>
        <v>129.54230235783635</v>
      </c>
      <c r="D1564" s="871">
        <f>'Peers Stock History'!E1567/'Peers Stock History'!E$1833*100</f>
        <v>191.88990825688072</v>
      </c>
      <c r="E1564" s="871">
        <f>'Peers Stock History'!F1567/'Peers Stock History'!F$1833*100</f>
        <v>88.045112781954899</v>
      </c>
      <c r="F1564" s="871">
        <f>'Peers Stock History'!G1567/'Peers Stock History'!G$1833*100</f>
        <v>130.76523928613955</v>
      </c>
      <c r="G1564" s="871">
        <f>'Peers Stock History'!H1567/'Peers Stock History'!H$1833*100</f>
        <v>132.2394290984999</v>
      </c>
      <c r="H1564" s="871">
        <f>'Peers Stock History'!I1567/'Peers Stock History'!I$1833*100</f>
        <v>191.52910512597742</v>
      </c>
      <c r="I1564" s="871">
        <f>'Peers Stock History'!J1567/'Peers Stock History'!J$1833*100</f>
        <v>110.43439395551773</v>
      </c>
      <c r="J1564" s="871">
        <f>'Peers Stock History'!K1567/'Peers Stock History'!K$1833*100</f>
        <v>116.66273730805715</v>
      </c>
    </row>
    <row r="1565" spans="2:10">
      <c r="B1565" s="873">
        <v>43046</v>
      </c>
      <c r="C1565" s="871">
        <f>'Peers Stock History'!D1568/'Peers Stock History'!D$1833*100</f>
        <v>129.76421636615814</v>
      </c>
      <c r="D1565" s="871">
        <f>'Peers Stock History'!E1568/'Peers Stock History'!E$1833*100</f>
        <v>194.52293577981652</v>
      </c>
      <c r="E1565" s="871">
        <f>'Peers Stock History'!F1568/'Peers Stock History'!F$1833*100</f>
        <v>90.601503759398497</v>
      </c>
      <c r="F1565" s="871">
        <f>'Peers Stock History'!G1568/'Peers Stock History'!G$1833*100</f>
        <v>131.62645555283598</v>
      </c>
      <c r="G1565" s="871">
        <f>'Peers Stock History'!H1568/'Peers Stock History'!H$1833*100</f>
        <v>131.71513180251469</v>
      </c>
      <c r="H1565" s="871">
        <f>'Peers Stock History'!I1568/'Peers Stock History'!I$1833*100</f>
        <v>190.92093831450913</v>
      </c>
      <c r="I1565" s="871">
        <f>'Peers Stock History'!J1568/'Peers Stock History'!J$1833*100</f>
        <v>110.27519421091839</v>
      </c>
      <c r="J1565" s="871">
        <f>'Peers Stock History'!K1568/'Peers Stock History'!K$1833*100</f>
        <v>116.29612127627402</v>
      </c>
    </row>
    <row r="1566" spans="2:10">
      <c r="B1566" s="873">
        <v>43045</v>
      </c>
      <c r="C1566" s="871">
        <f>'Peers Stock History'!D1569/'Peers Stock History'!D$1833*100</f>
        <v>129.54230235783635</v>
      </c>
      <c r="D1566" s="871">
        <f>'Peers Stock History'!E1569/'Peers Stock History'!E$1833*100</f>
        <v>192.32110091743121</v>
      </c>
      <c r="E1566" s="871">
        <f>'Peers Stock History'!F1569/'Peers Stock History'!F$1833*100</f>
        <v>89.699248120300751</v>
      </c>
      <c r="F1566" s="871">
        <f>'Peers Stock History'!G1569/'Peers Stock History'!G$1833*100</f>
        <v>129.08761758203465</v>
      </c>
      <c r="G1566" s="871">
        <f>'Peers Stock History'!H1569/'Peers Stock History'!H$1833*100</f>
        <v>134.72498664983738</v>
      </c>
      <c r="H1566" s="871">
        <f>'Peers Stock History'!I1569/'Peers Stock History'!I$1833*100</f>
        <v>187.88010425716769</v>
      </c>
      <c r="I1566" s="871">
        <f>'Peers Stock History'!J1569/'Peers Stock History'!J$1833*100</f>
        <v>110.2960519314675</v>
      </c>
      <c r="J1566" s="871">
        <f>'Peers Stock History'!K1569/'Peers Stock History'!K$1833*100</f>
        <v>116.61665039935114</v>
      </c>
    </row>
    <row r="1567" spans="2:10">
      <c r="B1567" s="873">
        <v>43044</v>
      </c>
      <c r="C1567" s="871">
        <f>'Peers Stock History'!D1570/'Peers Stock History'!D$1833*100</f>
        <v>128.54368932038838</v>
      </c>
      <c r="D1567" s="871">
        <f>'Peers Stock History'!E1570/'Peers Stock History'!E$1833*100</f>
        <v>191.45871559633028</v>
      </c>
      <c r="E1567" s="871">
        <f>'Peers Stock History'!F1570/'Peers Stock History'!F$1833*100</f>
        <v>83.609022556390968</v>
      </c>
      <c r="F1567" s="871">
        <f>'Peers Stock History'!G1570/'Peers Stock History'!G$1833*100</f>
        <v>128.92491671175853</v>
      </c>
      <c r="G1567" s="871">
        <f>'Peers Stock History'!H1570/'Peers Stock History'!H$1833*100</f>
        <v>132.836545463372</v>
      </c>
      <c r="H1567" s="871">
        <f>'Peers Stock History'!I1570/'Peers Stock History'!I$1833*100</f>
        <v>189.87836663770634</v>
      </c>
      <c r="I1567" s="871">
        <f>'Peers Stock History'!J1570/'Peers Stock History'!J$1833*100</f>
        <v>110.15600723635204</v>
      </c>
      <c r="J1567" s="871">
        <f>'Peers Stock History'!K1570/'Peers Stock History'!K$1833*100</f>
        <v>116.23858996741956</v>
      </c>
    </row>
    <row r="1568" spans="2:10">
      <c r="B1568" s="873">
        <v>43043</v>
      </c>
      <c r="C1568" s="871">
        <f>'Peers Stock History'!D1571/'Peers Stock History'!D$1833*100</f>
        <v>128.54368932038838</v>
      </c>
      <c r="D1568" s="871">
        <f>'Peers Stock History'!E1571/'Peers Stock History'!E$1833*100</f>
        <v>191.45871559633028</v>
      </c>
      <c r="E1568" s="871">
        <f>'Peers Stock History'!F1571/'Peers Stock History'!F$1833*100</f>
        <v>83.609022556390968</v>
      </c>
      <c r="F1568" s="871">
        <f>'Peers Stock History'!G1571/'Peers Stock History'!G$1833*100</f>
        <v>128.92491671175853</v>
      </c>
      <c r="G1568" s="871">
        <f>'Peers Stock History'!H1571/'Peers Stock History'!H$1833*100</f>
        <v>132.836545463372</v>
      </c>
      <c r="H1568" s="871">
        <f>'Peers Stock History'!I1571/'Peers Stock History'!I$1833*100</f>
        <v>189.87836663770634</v>
      </c>
      <c r="I1568" s="871">
        <f>'Peers Stock History'!J1571/'Peers Stock History'!J$1833*100</f>
        <v>110.15600723635204</v>
      </c>
      <c r="J1568" s="871">
        <f>'Peers Stock History'!K1571/'Peers Stock History'!K$1833*100</f>
        <v>116.23858996741956</v>
      </c>
    </row>
    <row r="1569" spans="2:10">
      <c r="B1569" s="873">
        <v>43042</v>
      </c>
      <c r="C1569" s="871">
        <f>'Peers Stock History'!D1572/'Peers Stock History'!D$1833*100</f>
        <v>128.54368932038838</v>
      </c>
      <c r="D1569" s="871">
        <f>'Peers Stock History'!E1572/'Peers Stock History'!E$1833*100</f>
        <v>191.45871559633028</v>
      </c>
      <c r="E1569" s="871">
        <f>'Peers Stock History'!F1572/'Peers Stock History'!F$1833*100</f>
        <v>83.609022556390968</v>
      </c>
      <c r="F1569" s="871">
        <f>'Peers Stock History'!G1572/'Peers Stock History'!G$1833*100</f>
        <v>128.92491671175853</v>
      </c>
      <c r="G1569" s="871">
        <f>'Peers Stock History'!H1572/'Peers Stock History'!H$1833*100</f>
        <v>132.836545463372</v>
      </c>
      <c r="H1569" s="871">
        <f>'Peers Stock History'!I1572/'Peers Stock History'!I$1833*100</f>
        <v>189.87836663770634</v>
      </c>
      <c r="I1569" s="871">
        <f>'Peers Stock History'!J1572/'Peers Stock History'!J$1833*100</f>
        <v>110.15600723635204</v>
      </c>
      <c r="J1569" s="871">
        <f>'Peers Stock History'!K1572/'Peers Stock History'!K$1833*100</f>
        <v>116.23858996741956</v>
      </c>
    </row>
    <row r="1570" spans="2:10">
      <c r="B1570" s="873">
        <v>43041</v>
      </c>
      <c r="C1570" s="871">
        <f>'Peers Stock History'!D1573/'Peers Stock History'!D$1833*100</f>
        <v>130.65187239944521</v>
      </c>
      <c r="D1570" s="871">
        <f>'Peers Stock History'!E1573/'Peers Stock History'!E$1833*100</f>
        <v>188.93577981651376</v>
      </c>
      <c r="E1570" s="871">
        <f>'Peers Stock History'!F1573/'Peers Stock History'!F$1833*100</f>
        <v>81.578947368421055</v>
      </c>
      <c r="F1570" s="871">
        <f>'Peers Stock History'!G1573/'Peers Stock History'!G$1833*100</f>
        <v>129.96499850469681</v>
      </c>
      <c r="G1570" s="871">
        <f>'Peers Stock History'!H1573/'Peers Stock History'!H$1833*100</f>
        <v>125.97698917423175</v>
      </c>
      <c r="H1570" s="871">
        <f>'Peers Stock History'!I1573/'Peers Stock History'!I$1833*100</f>
        <v>192.61511728931367</v>
      </c>
      <c r="I1570" s="871">
        <f>'Peers Stock History'!J1573/'Peers Stock History'!J$1833*100</f>
        <v>109.81589869107162</v>
      </c>
      <c r="J1570" s="871">
        <f>'Peers Stock History'!K1573/'Peers Stock History'!K$1833*100</f>
        <v>115.38813012935954</v>
      </c>
    </row>
    <row r="1571" spans="2:10">
      <c r="B1571" s="873">
        <v>43040</v>
      </c>
      <c r="C1571" s="871">
        <f>'Peers Stock History'!D1574/'Peers Stock History'!D$1833*100</f>
        <v>129.57004160887658</v>
      </c>
      <c r="D1571" s="871">
        <f>'Peers Stock History'!E1574/'Peers Stock History'!E$1833*100</f>
        <v>190.09174311926606</v>
      </c>
      <c r="E1571" s="871">
        <f>'Peers Stock History'!F1574/'Peers Stock History'!F$1833*100</f>
        <v>81.203007518796994</v>
      </c>
      <c r="F1571" s="871">
        <f>'Peers Stock History'!G1574/'Peers Stock History'!G$1833*100</f>
        <v>130.92582056239542</v>
      </c>
      <c r="G1571" s="871">
        <f>'Peers Stock History'!H1574/'Peers Stock History'!H$1833*100</f>
        <v>125.87504247779017</v>
      </c>
      <c r="H1571" s="871">
        <f>'Peers Stock History'!I1574/'Peers Stock History'!I$1833*100</f>
        <v>192.78887923544744</v>
      </c>
      <c r="I1571" s="871">
        <f>'Peers Stock History'!J1574/'Peers Stock History'!J$1833*100</f>
        <v>109.79504097052251</v>
      </c>
      <c r="J1571" s="871">
        <f>'Peers Stock History'!K1574/'Peers Stock History'!K$1833*100</f>
        <v>115.41545234593021</v>
      </c>
    </row>
    <row r="1572" spans="2:10">
      <c r="B1572" s="873">
        <v>43039</v>
      </c>
      <c r="C1572" s="871">
        <f>'Peers Stock History'!D1575/'Peers Stock History'!D$1833*100</f>
        <v>126.18585298196949</v>
      </c>
      <c r="D1572" s="871">
        <f>'Peers Stock History'!E1575/'Peers Stock History'!E$1833*100</f>
        <v>189.73394495412845</v>
      </c>
      <c r="E1572" s="871">
        <f>'Peers Stock History'!F1575/'Peers Stock History'!F$1833*100</f>
        <v>82.593984962406012</v>
      </c>
      <c r="F1572" s="871">
        <f>'Peers Stock History'!G1575/'Peers Stock History'!G$1833*100</f>
        <v>131.09569765623897</v>
      </c>
      <c r="G1572" s="871">
        <f>'Peers Stock History'!H1575/'Peers Stock History'!H$1833*100</f>
        <v>128.11786979950483</v>
      </c>
      <c r="H1572" s="871">
        <f>'Peers Stock History'!I1575/'Peers Stock History'!I$1833*100</f>
        <v>192.48479582971331</v>
      </c>
      <c r="I1572" s="871">
        <f>'Peers Stock History'!J1575/'Peers Stock History'!J$1833*100</f>
        <v>109.62051718633607</v>
      </c>
      <c r="J1572" s="871">
        <f>'Peers Stock History'!K1575/'Peers Stock History'!K$1833*100</f>
        <v>115.60681096462891</v>
      </c>
    </row>
    <row r="1573" spans="2:10">
      <c r="B1573" s="873">
        <v>43038</v>
      </c>
      <c r="C1573" s="871">
        <f>'Peers Stock History'!D1576/'Peers Stock History'!D$1833*100</f>
        <v>123.07905686546464</v>
      </c>
      <c r="D1573" s="871">
        <f>'Peers Stock History'!E1576/'Peers Stock History'!E$1833*100</f>
        <v>187.00917431192661</v>
      </c>
      <c r="E1573" s="871">
        <f>'Peers Stock History'!F1576/'Peers Stock History'!F$1833*100</f>
        <v>81.879699248120303</v>
      </c>
      <c r="F1573" s="871">
        <f>'Peers Stock History'!G1576/'Peers Stock History'!G$1833*100</f>
        <v>130.96539679384321</v>
      </c>
      <c r="G1573" s="871">
        <f>'Peers Stock History'!H1576/'Peers Stock History'!H$1833*100</f>
        <v>126.81683576872665</v>
      </c>
      <c r="H1573" s="871">
        <f>'Peers Stock History'!I1576/'Peers Stock History'!I$1833*100</f>
        <v>180.9296264118158</v>
      </c>
      <c r="I1573" s="871">
        <f>'Peers Stock History'!J1576/'Peers Stock History'!J$1833*100</f>
        <v>109.51707991912312</v>
      </c>
      <c r="J1573" s="871">
        <f>'Peers Stock History'!K1576/'Peers Stock History'!K$1833*100</f>
        <v>115.11353326093231</v>
      </c>
    </row>
    <row r="1574" spans="2:10">
      <c r="B1574" s="873">
        <v>43037</v>
      </c>
      <c r="C1574" s="871">
        <f>'Peers Stock History'!D1577/'Peers Stock History'!D$1833*100</f>
        <v>123.16227461858531</v>
      </c>
      <c r="D1574" s="871">
        <f>'Peers Stock History'!E1577/'Peers Stock History'!E$1833*100</f>
        <v>185.19266055045873</v>
      </c>
      <c r="E1574" s="871">
        <f>'Peers Stock History'!F1577/'Peers Stock History'!F$1833*100</f>
        <v>89.022556390977442</v>
      </c>
      <c r="F1574" s="871">
        <f>'Peers Stock History'!G1577/'Peers Stock History'!G$1833*100</f>
        <v>129.00619797457577</v>
      </c>
      <c r="G1574" s="871">
        <f>'Peers Stock History'!H1577/'Peers Stock History'!H$1833*100</f>
        <v>122.77295014321083</v>
      </c>
      <c r="H1574" s="871">
        <f>'Peers Stock History'!I1577/'Peers Stock History'!I$1833*100</f>
        <v>177.45438748913989</v>
      </c>
      <c r="I1574" s="871">
        <f>'Peers Stock History'!J1577/'Peers Stock History'!J$1833*100</f>
        <v>109.86783015856125</v>
      </c>
      <c r="J1574" s="871">
        <f>'Peers Stock History'!K1577/'Peers Stock History'!K$1833*100</f>
        <v>115.15305596414775</v>
      </c>
    </row>
    <row r="1575" spans="2:10">
      <c r="B1575" s="873">
        <v>43036</v>
      </c>
      <c r="C1575" s="871">
        <f>'Peers Stock History'!D1578/'Peers Stock History'!D$1833*100</f>
        <v>123.16227461858531</v>
      </c>
      <c r="D1575" s="871">
        <f>'Peers Stock History'!E1578/'Peers Stock History'!E$1833*100</f>
        <v>185.19266055045873</v>
      </c>
      <c r="E1575" s="871">
        <f>'Peers Stock History'!F1578/'Peers Stock History'!F$1833*100</f>
        <v>89.022556390977442</v>
      </c>
      <c r="F1575" s="871">
        <f>'Peers Stock History'!G1578/'Peers Stock History'!G$1833*100</f>
        <v>129.00619797457577</v>
      </c>
      <c r="G1575" s="871">
        <f>'Peers Stock History'!H1578/'Peers Stock History'!H$1833*100</f>
        <v>122.77295014321083</v>
      </c>
      <c r="H1575" s="871">
        <f>'Peers Stock History'!I1578/'Peers Stock History'!I$1833*100</f>
        <v>177.45438748913989</v>
      </c>
      <c r="I1575" s="871">
        <f>'Peers Stock History'!J1578/'Peers Stock History'!J$1833*100</f>
        <v>109.86783015856125</v>
      </c>
      <c r="J1575" s="871">
        <f>'Peers Stock History'!K1578/'Peers Stock History'!K$1833*100</f>
        <v>115.15305596414775</v>
      </c>
    </row>
    <row r="1576" spans="2:10">
      <c r="B1576" s="873">
        <v>43035</v>
      </c>
      <c r="C1576" s="871">
        <f>'Peers Stock History'!D1579/'Peers Stock History'!D$1833*100</f>
        <v>123.16227461858531</v>
      </c>
      <c r="D1576" s="871">
        <f>'Peers Stock History'!E1579/'Peers Stock History'!E$1833*100</f>
        <v>185.19266055045873</v>
      </c>
      <c r="E1576" s="871">
        <f>'Peers Stock History'!F1579/'Peers Stock History'!F$1833*100</f>
        <v>89.022556390977442</v>
      </c>
      <c r="F1576" s="871">
        <f>'Peers Stock History'!G1579/'Peers Stock History'!G$1833*100</f>
        <v>129.00619797457577</v>
      </c>
      <c r="G1576" s="871">
        <f>'Peers Stock History'!H1579/'Peers Stock History'!H$1833*100</f>
        <v>122.77295014321083</v>
      </c>
      <c r="H1576" s="871">
        <f>'Peers Stock History'!I1579/'Peers Stock History'!I$1833*100</f>
        <v>177.45438748913989</v>
      </c>
      <c r="I1576" s="871">
        <f>'Peers Stock History'!J1579/'Peers Stock History'!J$1833*100</f>
        <v>109.86783015856125</v>
      </c>
      <c r="J1576" s="871">
        <f>'Peers Stock History'!K1579/'Peers Stock History'!K$1833*100</f>
        <v>115.15305596414775</v>
      </c>
    </row>
    <row r="1577" spans="2:10">
      <c r="B1577" s="873">
        <v>43034</v>
      </c>
      <c r="C1577" s="871">
        <f>'Peers Stock History'!D1580/'Peers Stock History'!D$1833*100</f>
        <v>114.70180305131763</v>
      </c>
      <c r="D1577" s="871">
        <f>'Peers Stock History'!E1580/'Peers Stock History'!E$1833*100</f>
        <v>179.53211009174314</v>
      </c>
      <c r="E1577" s="871">
        <f>'Peers Stock History'!F1580/'Peers Stock History'!F$1833*100</f>
        <v>90.26315789473685</v>
      </c>
      <c r="F1577" s="871">
        <f>'Peers Stock History'!G1580/'Peers Stock History'!G$1833*100</f>
        <v>127.06643501334536</v>
      </c>
      <c r="G1577" s="871">
        <f>'Peers Stock History'!H1580/'Peers Stock History'!H$1833*100</f>
        <v>118.33584154570609</v>
      </c>
      <c r="H1577" s="871">
        <f>'Peers Stock History'!I1580/'Peers Stock History'!I$1833*100</f>
        <v>176.36837532580364</v>
      </c>
      <c r="I1577" s="871">
        <f>'Peers Stock History'!J1580/'Peers Stock History'!J$1833*100</f>
        <v>108.98797488560179</v>
      </c>
      <c r="J1577" s="871">
        <f>'Peers Stock History'!K1580/'Peers Stock History'!K$1833*100</f>
        <v>112.67018819680246</v>
      </c>
    </row>
    <row r="1578" spans="2:10">
      <c r="B1578" s="873">
        <v>43033</v>
      </c>
      <c r="C1578" s="871">
        <f>'Peers Stock History'!D1581/'Peers Stock History'!D$1833*100</f>
        <v>113.12066574202497</v>
      </c>
      <c r="D1578" s="871">
        <f>'Peers Stock History'!E1581/'Peers Stock History'!E$1833*100</f>
        <v>177.6697247706422</v>
      </c>
      <c r="E1578" s="871">
        <f>'Peers Stock History'!F1581/'Peers Stock History'!F$1833*100</f>
        <v>92.706766917293223</v>
      </c>
      <c r="F1578" s="871">
        <f>'Peers Stock History'!G1581/'Peers Stock History'!G$1833*100</f>
        <v>127.95692212025627</v>
      </c>
      <c r="G1578" s="871">
        <f>'Peers Stock History'!H1581/'Peers Stock History'!H$1833*100</f>
        <v>119.33589009175203</v>
      </c>
      <c r="H1578" s="871">
        <f>'Peers Stock History'!I1581/'Peers Stock History'!I$1833*100</f>
        <v>178.36663770634235</v>
      </c>
      <c r="I1578" s="871">
        <f>'Peers Stock History'!J1581/'Peers Stock History'!J$1833*100</f>
        <v>108.84963286155156</v>
      </c>
      <c r="J1578" s="871">
        <f>'Peers Stock History'!K1581/'Peers Stock History'!K$1833*100</f>
        <v>112.79248518757818</v>
      </c>
    </row>
    <row r="1579" spans="2:10">
      <c r="B1579" s="873">
        <v>43032</v>
      </c>
      <c r="C1579" s="871">
        <f>'Peers Stock History'!D1582/'Peers Stock History'!D$1833*100</f>
        <v>113.59223300970875</v>
      </c>
      <c r="D1579" s="871">
        <f>'Peers Stock History'!E1582/'Peers Stock History'!E$1833*100</f>
        <v>182.27522935779817</v>
      </c>
      <c r="E1579" s="871">
        <f>'Peers Stock History'!F1582/'Peers Stock History'!F$1833*100</f>
        <v>107.14285714285714</v>
      </c>
      <c r="F1579" s="871">
        <f>'Peers Stock History'!G1582/'Peers Stock History'!G$1833*100</f>
        <v>127.97384036599982</v>
      </c>
      <c r="G1579" s="871">
        <f>'Peers Stock History'!H1582/'Peers Stock History'!H$1833*100</f>
        <v>120.23884654594883</v>
      </c>
      <c r="H1579" s="871">
        <f>'Peers Stock History'!I1582/'Peers Stock History'!I$1833*100</f>
        <v>180.71242397914858</v>
      </c>
      <c r="I1579" s="871">
        <f>'Peers Stock History'!J1582/'Peers Stock History'!J$1833*100</f>
        <v>109.35958284558902</v>
      </c>
      <c r="J1579" s="871">
        <f>'Peers Stock History'!K1582/'Peers Stock History'!K$1833*100</f>
        <v>113.38599590338592</v>
      </c>
    </row>
    <row r="1580" spans="2:10">
      <c r="B1580" s="873">
        <v>43031</v>
      </c>
      <c r="C1580" s="871">
        <f>'Peers Stock History'!D1583/'Peers Stock History'!D$1833*100</f>
        <v>113.25936199722608</v>
      </c>
      <c r="D1580" s="871">
        <f>'Peers Stock History'!E1583/'Peers Stock History'!E$1833*100</f>
        <v>180.38532110091742</v>
      </c>
      <c r="E1580" s="871">
        <f>'Peers Stock History'!F1583/'Peers Stock History'!F$1833*100</f>
        <v>106.01503759398496</v>
      </c>
      <c r="F1580" s="871">
        <f>'Peers Stock History'!G1583/'Peers Stock History'!G$1833*100</f>
        <v>128.55828941074628</v>
      </c>
      <c r="G1580" s="871">
        <f>'Peers Stock History'!H1583/'Peers Stock History'!H$1833*100</f>
        <v>118.58342637992136</v>
      </c>
      <c r="H1580" s="871">
        <f>'Peers Stock History'!I1583/'Peers Stock History'!I$1833*100</f>
        <v>180.53866203301479</v>
      </c>
      <c r="I1580" s="871">
        <f>'Peers Stock History'!J1583/'Peers Stock History'!J$1833*100</f>
        <v>109.18293072257103</v>
      </c>
      <c r="J1580" s="871">
        <f>'Peers Stock History'!K1583/'Peers Stock History'!K$1833*100</f>
        <v>113.18659527377206</v>
      </c>
    </row>
    <row r="1581" spans="2:10">
      <c r="B1581" s="873">
        <v>43030</v>
      </c>
      <c r="C1581" s="871">
        <f>'Peers Stock History'!D1584/'Peers Stock History'!D$1833*100</f>
        <v>112.1497919556172</v>
      </c>
      <c r="D1581" s="871">
        <f>'Peers Stock History'!E1584/'Peers Stock History'!E$1833*100</f>
        <v>180.64220183486239</v>
      </c>
      <c r="E1581" s="871">
        <f>'Peers Stock History'!F1584/'Peers Stock History'!F$1833*100</f>
        <v>103.83458646616542</v>
      </c>
      <c r="F1581" s="871">
        <f>'Peers Stock History'!G1584/'Peers Stock History'!G$1833*100</f>
        <v>127.8359802365494</v>
      </c>
      <c r="G1581" s="871">
        <f>'Peers Stock History'!H1584/'Peers Stock History'!H$1833*100</f>
        <v>118.56886256614399</v>
      </c>
      <c r="H1581" s="871">
        <f>'Peers Stock History'!I1584/'Peers Stock History'!I$1833*100</f>
        <v>180.27801911381408</v>
      </c>
      <c r="I1581" s="871">
        <f>'Peers Stock History'!J1584/'Peers Stock History'!J$1833*100</f>
        <v>109.61838884750452</v>
      </c>
      <c r="J1581" s="871">
        <f>'Peers Stock History'!K1584/'Peers Stock History'!K$1833*100</f>
        <v>113.91221492102332</v>
      </c>
    </row>
    <row r="1582" spans="2:10">
      <c r="B1582" s="873">
        <v>43029</v>
      </c>
      <c r="C1582" s="871">
        <f>'Peers Stock History'!D1585/'Peers Stock History'!D$1833*100</f>
        <v>112.1497919556172</v>
      </c>
      <c r="D1582" s="871">
        <f>'Peers Stock History'!E1585/'Peers Stock History'!E$1833*100</f>
        <v>180.64220183486239</v>
      </c>
      <c r="E1582" s="871">
        <f>'Peers Stock History'!F1585/'Peers Stock History'!F$1833*100</f>
        <v>103.83458646616542</v>
      </c>
      <c r="F1582" s="871">
        <f>'Peers Stock History'!G1585/'Peers Stock History'!G$1833*100</f>
        <v>127.8359802365494</v>
      </c>
      <c r="G1582" s="871">
        <f>'Peers Stock History'!H1585/'Peers Stock History'!H$1833*100</f>
        <v>118.56886256614399</v>
      </c>
      <c r="H1582" s="871">
        <f>'Peers Stock History'!I1585/'Peers Stock History'!I$1833*100</f>
        <v>180.27801911381408</v>
      </c>
      <c r="I1582" s="871">
        <f>'Peers Stock History'!J1585/'Peers Stock History'!J$1833*100</f>
        <v>109.61838884750452</v>
      </c>
      <c r="J1582" s="871">
        <f>'Peers Stock History'!K1585/'Peers Stock History'!K$1833*100</f>
        <v>113.91221492102332</v>
      </c>
    </row>
    <row r="1583" spans="2:10">
      <c r="B1583" s="873">
        <v>43028</v>
      </c>
      <c r="C1583" s="871">
        <f>'Peers Stock History'!D1586/'Peers Stock History'!D$1833*100</f>
        <v>112.1497919556172</v>
      </c>
      <c r="D1583" s="871">
        <f>'Peers Stock History'!E1586/'Peers Stock History'!E$1833*100</f>
        <v>180.64220183486239</v>
      </c>
      <c r="E1583" s="871">
        <f>'Peers Stock History'!F1586/'Peers Stock History'!F$1833*100</f>
        <v>103.83458646616542</v>
      </c>
      <c r="F1583" s="871">
        <f>'Peers Stock History'!G1586/'Peers Stock History'!G$1833*100</f>
        <v>127.8359802365494</v>
      </c>
      <c r="G1583" s="871">
        <f>'Peers Stock History'!H1586/'Peers Stock History'!H$1833*100</f>
        <v>118.56886256614399</v>
      </c>
      <c r="H1583" s="871">
        <f>'Peers Stock History'!I1586/'Peers Stock History'!I$1833*100</f>
        <v>180.27801911381408</v>
      </c>
      <c r="I1583" s="871">
        <f>'Peers Stock History'!J1586/'Peers Stock History'!J$1833*100</f>
        <v>109.61838884750452</v>
      </c>
      <c r="J1583" s="871">
        <f>'Peers Stock History'!K1586/'Peers Stock History'!K$1833*100</f>
        <v>113.91221492102332</v>
      </c>
    </row>
    <row r="1584" spans="2:10">
      <c r="B1584" s="873">
        <v>43027</v>
      </c>
      <c r="C1584" s="871">
        <f>'Peers Stock History'!D1587/'Peers Stock History'!D$1833*100</f>
        <v>111.20665742024967</v>
      </c>
      <c r="D1584" s="871">
        <f>'Peers Stock History'!E1587/'Peers Stock History'!E$1833*100</f>
        <v>181.46788990825689</v>
      </c>
      <c r="E1584" s="871">
        <f>'Peers Stock History'!F1587/'Peers Stock History'!F$1833*100</f>
        <v>104.88721804511276</v>
      </c>
      <c r="F1584" s="871">
        <f>'Peers Stock History'!G1587/'Peers Stock History'!G$1833*100</f>
        <v>128.69872516004472</v>
      </c>
      <c r="G1584" s="871">
        <f>'Peers Stock History'!H1587/'Peers Stock History'!H$1833*100</f>
        <v>118.59313558910627</v>
      </c>
      <c r="H1584" s="871">
        <f>'Peers Stock History'!I1587/'Peers Stock History'!I$1833*100</f>
        <v>179.45264986967854</v>
      </c>
      <c r="I1584" s="871">
        <f>'Peers Stock History'!J1587/'Peers Stock History'!J$1833*100</f>
        <v>109.06033840587422</v>
      </c>
      <c r="J1584" s="871">
        <f>'Peers Stock History'!K1587/'Peers Stock History'!K$1833*100</f>
        <v>113.50004467783843</v>
      </c>
    </row>
    <row r="1585" spans="2:10">
      <c r="B1585" s="873">
        <v>43026</v>
      </c>
      <c r="C1585" s="871">
        <f>'Peers Stock History'!D1588/'Peers Stock History'!D$1833*100</f>
        <v>111.65048543689322</v>
      </c>
      <c r="D1585" s="871">
        <f>'Peers Stock History'!E1588/'Peers Stock History'!E$1833*100</f>
        <v>181.26605504587155</v>
      </c>
      <c r="E1585" s="871">
        <f>'Peers Stock History'!F1588/'Peers Stock History'!F$1833*100</f>
        <v>105.78947368421052</v>
      </c>
      <c r="F1585" s="871">
        <f>'Peers Stock History'!G1588/'Peers Stock History'!G$1833*100</f>
        <v>127.97571945771634</v>
      </c>
      <c r="G1585" s="871">
        <f>'Peers Stock History'!H1588/'Peers Stock History'!H$1833*100</f>
        <v>118.45235205592503</v>
      </c>
      <c r="H1585" s="871">
        <f>'Peers Stock History'!I1588/'Peers Stock History'!I$1833*100</f>
        <v>180.9296264118158</v>
      </c>
      <c r="I1585" s="871">
        <f>'Peers Stock History'!J1588/'Peers Stock History'!J$1833*100</f>
        <v>109.02458231350431</v>
      </c>
      <c r="J1585" s="871">
        <f>'Peers Stock History'!K1588/'Peers Stock History'!K$1833*100</f>
        <v>113.82916569291892</v>
      </c>
    </row>
    <row r="1586" spans="2:10">
      <c r="B1586" s="873">
        <v>43025</v>
      </c>
      <c r="C1586" s="871">
        <f>'Peers Stock History'!D1589/'Peers Stock History'!D$1833*100</f>
        <v>110.37447988904302</v>
      </c>
      <c r="D1586" s="871">
        <f>'Peers Stock History'!E1589/'Peers Stock History'!E$1833*100</f>
        <v>181.42201834862385</v>
      </c>
      <c r="E1586" s="871">
        <f>'Peers Stock History'!F1589/'Peers Stock History'!F$1833*100</f>
        <v>106.46616541353382</v>
      </c>
      <c r="F1586" s="871">
        <f>'Peers Stock History'!G1589/'Peers Stock History'!G$1833*100</f>
        <v>126.93166572262702</v>
      </c>
      <c r="G1586" s="871">
        <f>'Peers Stock History'!H1589/'Peers Stock History'!H$1833*100</f>
        <v>117.78241662216612</v>
      </c>
      <c r="H1586" s="871">
        <f>'Peers Stock History'!I1589/'Peers Stock History'!I$1833*100</f>
        <v>175.45612510860121</v>
      </c>
      <c r="I1586" s="871">
        <f>'Peers Stock History'!J1589/'Peers Stock History'!J$1833*100</f>
        <v>108.94370543790572</v>
      </c>
      <c r="J1586" s="871">
        <f>'Peers Stock History'!K1589/'Peers Stock History'!K$1833*100</f>
        <v>113.81949122252315</v>
      </c>
    </row>
    <row r="1587" spans="2:10">
      <c r="B1587" s="873">
        <v>43024</v>
      </c>
      <c r="C1587" s="871">
        <f>'Peers Stock History'!D1590/'Peers Stock History'!D$1833*100</f>
        <v>110.29126213592232</v>
      </c>
      <c r="D1587" s="871">
        <f>'Peers Stock History'!E1590/'Peers Stock History'!E$1833*100</f>
        <v>181.58715596330273</v>
      </c>
      <c r="E1587" s="871">
        <f>'Peers Stock History'!F1590/'Peers Stock History'!F$1833*100</f>
        <v>107.21804511278195</v>
      </c>
      <c r="F1587" s="871">
        <f>'Peers Stock History'!G1590/'Peers Stock History'!G$1833*100</f>
        <v>128.44511288542867</v>
      </c>
      <c r="G1587" s="871">
        <f>'Peers Stock History'!H1590/'Peers Stock History'!H$1833*100</f>
        <v>119.74853148211078</v>
      </c>
      <c r="H1587" s="871">
        <f>'Peers Stock History'!I1590/'Peers Stock History'!I$1833*100</f>
        <v>180.23457862728063</v>
      </c>
      <c r="I1587" s="871">
        <f>'Peers Stock History'!J1590/'Peers Stock History'!J$1833*100</f>
        <v>108.87049058210066</v>
      </c>
      <c r="J1587" s="871">
        <f>'Peers Stock History'!K1590/'Peers Stock History'!K$1833*100</f>
        <v>113.82547117935748</v>
      </c>
    </row>
    <row r="1588" spans="2:10">
      <c r="B1588" s="873">
        <v>43023</v>
      </c>
      <c r="C1588" s="871">
        <f>'Peers Stock History'!D1591/'Peers Stock History'!D$1833*100</f>
        <v>110.04160887656033</v>
      </c>
      <c r="D1588" s="871">
        <f>'Peers Stock History'!E1591/'Peers Stock History'!E$1833*100</f>
        <v>178.52293577981652</v>
      </c>
      <c r="E1588" s="871">
        <f>'Peers Stock History'!F1591/'Peers Stock History'!F$1833*100</f>
        <v>106.9172932330827</v>
      </c>
      <c r="F1588" s="871">
        <f>'Peers Stock History'!G1591/'Peers Stock History'!G$1833*100</f>
        <v>128.32427657053162</v>
      </c>
      <c r="G1588" s="871">
        <f>'Peers Stock History'!H1591/'Peers Stock History'!H$1833*100</f>
        <v>120.37477547453759</v>
      </c>
      <c r="H1588" s="871">
        <f>'Peers Stock History'!I1591/'Peers Stock History'!I$1833*100</f>
        <v>175.49956559513467</v>
      </c>
      <c r="I1588" s="871">
        <f>'Peers Stock History'!J1591/'Peers Stock History'!J$1833*100</f>
        <v>108.68021709056082</v>
      </c>
      <c r="J1588" s="871">
        <f>'Peers Stock History'!K1591/'Peers Stock History'!K$1833*100</f>
        <v>113.51265757529936</v>
      </c>
    </row>
    <row r="1589" spans="2:10">
      <c r="B1589" s="873">
        <v>43022</v>
      </c>
      <c r="C1589" s="871">
        <f>'Peers Stock History'!D1592/'Peers Stock History'!D$1833*100</f>
        <v>110.04160887656033</v>
      </c>
      <c r="D1589" s="871">
        <f>'Peers Stock History'!E1592/'Peers Stock History'!E$1833*100</f>
        <v>178.52293577981652</v>
      </c>
      <c r="E1589" s="871">
        <f>'Peers Stock History'!F1592/'Peers Stock History'!F$1833*100</f>
        <v>106.9172932330827</v>
      </c>
      <c r="F1589" s="871">
        <f>'Peers Stock History'!G1592/'Peers Stock History'!G$1833*100</f>
        <v>128.32427657053162</v>
      </c>
      <c r="G1589" s="871">
        <f>'Peers Stock History'!H1592/'Peers Stock History'!H$1833*100</f>
        <v>120.37477547453759</v>
      </c>
      <c r="H1589" s="871">
        <f>'Peers Stock History'!I1592/'Peers Stock History'!I$1833*100</f>
        <v>175.49956559513467</v>
      </c>
      <c r="I1589" s="871">
        <f>'Peers Stock History'!J1592/'Peers Stock History'!J$1833*100</f>
        <v>108.68021709056082</v>
      </c>
      <c r="J1589" s="871">
        <f>'Peers Stock History'!K1592/'Peers Stock History'!K$1833*100</f>
        <v>113.51265757529936</v>
      </c>
    </row>
    <row r="1590" spans="2:10">
      <c r="B1590" s="873">
        <v>43021</v>
      </c>
      <c r="C1590" s="871">
        <f>'Peers Stock History'!D1593/'Peers Stock History'!D$1833*100</f>
        <v>110.04160887656033</v>
      </c>
      <c r="D1590" s="871">
        <f>'Peers Stock History'!E1593/'Peers Stock History'!E$1833*100</f>
        <v>178.52293577981652</v>
      </c>
      <c r="E1590" s="871">
        <f>'Peers Stock History'!F1593/'Peers Stock History'!F$1833*100</f>
        <v>106.9172932330827</v>
      </c>
      <c r="F1590" s="871">
        <f>'Peers Stock History'!G1593/'Peers Stock History'!G$1833*100</f>
        <v>128.32427657053162</v>
      </c>
      <c r="G1590" s="871">
        <f>'Peers Stock History'!H1593/'Peers Stock History'!H$1833*100</f>
        <v>120.37477547453759</v>
      </c>
      <c r="H1590" s="871">
        <f>'Peers Stock History'!I1593/'Peers Stock History'!I$1833*100</f>
        <v>175.49956559513467</v>
      </c>
      <c r="I1590" s="871">
        <f>'Peers Stock History'!J1593/'Peers Stock History'!J$1833*100</f>
        <v>108.68021709056082</v>
      </c>
      <c r="J1590" s="871">
        <f>'Peers Stock History'!K1593/'Peers Stock History'!K$1833*100</f>
        <v>113.51265757529936</v>
      </c>
    </row>
    <row r="1591" spans="2:10">
      <c r="B1591" s="873">
        <v>43020</v>
      </c>
      <c r="C1591" s="871">
        <f>'Peers Stock History'!D1594/'Peers Stock History'!D$1833*100</f>
        <v>108.71012482662967</v>
      </c>
      <c r="D1591" s="871">
        <f>'Peers Stock History'!E1594/'Peers Stock History'!E$1833*100</f>
        <v>175.25688073394497</v>
      </c>
      <c r="E1591" s="871">
        <f>'Peers Stock History'!F1594/'Peers Stock History'!F$1833*100</f>
        <v>106.76691729323306</v>
      </c>
      <c r="F1591" s="871">
        <f>'Peers Stock History'!G1594/'Peers Stock History'!G$1833*100</f>
        <v>127.96724171802845</v>
      </c>
      <c r="G1591" s="871">
        <f>'Peers Stock History'!H1594/'Peers Stock History'!H$1833*100</f>
        <v>120.75343463274916</v>
      </c>
      <c r="H1591" s="871">
        <f>'Peers Stock History'!I1594/'Peers Stock History'!I$1833*100</f>
        <v>176.28149435273676</v>
      </c>
      <c r="I1591" s="871">
        <f>'Peers Stock History'!J1594/'Peers Stock History'!J$1833*100</f>
        <v>108.58486751090773</v>
      </c>
      <c r="J1591" s="871">
        <f>'Peers Stock History'!K1594/'Peers Stock History'!K$1833*100</f>
        <v>113.26708411805949</v>
      </c>
    </row>
    <row r="1592" spans="2:10">
      <c r="B1592" s="873">
        <v>43019</v>
      </c>
      <c r="C1592" s="871">
        <f>'Peers Stock History'!D1595/'Peers Stock History'!D$1833*100</f>
        <v>109.01525658807212</v>
      </c>
      <c r="D1592" s="871">
        <f>'Peers Stock History'!E1595/'Peers Stock History'!E$1833*100</f>
        <v>175.1743119266055</v>
      </c>
      <c r="E1592" s="871">
        <f>'Peers Stock History'!F1595/'Peers Stock History'!F$1833*100</f>
        <v>104.3609022556391</v>
      </c>
      <c r="F1592" s="871">
        <f>'Peers Stock History'!G1595/'Peers Stock History'!G$1833*100</f>
        <v>125.45118372080275</v>
      </c>
      <c r="G1592" s="871">
        <f>'Peers Stock History'!H1595/'Peers Stock History'!H$1833*100</f>
        <v>121.55929899509685</v>
      </c>
      <c r="H1592" s="871">
        <f>'Peers Stock History'!I1595/'Peers Stock History'!I$1833*100</f>
        <v>180.75586446568201</v>
      </c>
      <c r="I1592" s="871">
        <f>'Peers Stock History'!J1595/'Peers Stock History'!J$1833*100</f>
        <v>108.76833031818664</v>
      </c>
      <c r="J1592" s="871">
        <f>'Peers Stock History'!K1595/'Peers Stock History'!K$1833*100</f>
        <v>113.47394250993223</v>
      </c>
    </row>
    <row r="1593" spans="2:10">
      <c r="B1593" s="873">
        <v>43018</v>
      </c>
      <c r="C1593" s="871">
        <f>'Peers Stock History'!D1596/'Peers Stock History'!D$1833*100</f>
        <v>109.98613037447988</v>
      </c>
      <c r="D1593" s="871">
        <f>'Peers Stock History'!E1596/'Peers Stock History'!E$1833*100</f>
        <v>173.3302752293578</v>
      </c>
      <c r="E1593" s="871">
        <f>'Peers Stock History'!F1596/'Peers Stock History'!F$1833*100</f>
        <v>103.00751879699249</v>
      </c>
      <c r="F1593" s="871">
        <f>'Peers Stock History'!G1596/'Peers Stock History'!G$1833*100</f>
        <v>120.2497678543119</v>
      </c>
      <c r="G1593" s="871">
        <f>'Peers Stock History'!H1596/'Peers Stock History'!H$1833*100</f>
        <v>119.41841836982378</v>
      </c>
      <c r="H1593" s="871">
        <f>'Peers Stock History'!I1596/'Peers Stock History'!I$1833*100</f>
        <v>182.36316246741961</v>
      </c>
      <c r="I1593" s="871">
        <f>'Peers Stock History'!J1596/'Peers Stock History'!J$1833*100</f>
        <v>108.5725231456848</v>
      </c>
      <c r="J1593" s="871">
        <f>'Peers Stock History'!K1596/'Peers Stock History'!K$1833*100</f>
        <v>113.19391556575893</v>
      </c>
    </row>
    <row r="1594" spans="2:10">
      <c r="B1594" s="873">
        <v>43017</v>
      </c>
      <c r="C1594" s="871">
        <f>'Peers Stock History'!D1597/'Peers Stock History'!D$1833*100</f>
        <v>110.56865464632455</v>
      </c>
      <c r="D1594" s="871">
        <f>'Peers Stock History'!E1597/'Peers Stock History'!E$1833*100</f>
        <v>170.08256880733944</v>
      </c>
      <c r="E1594" s="871">
        <f>'Peers Stock History'!F1597/'Peers Stock History'!F$1833*100</f>
        <v>101.27819548872181</v>
      </c>
      <c r="F1594" s="871">
        <f>'Peers Stock History'!G1597/'Peers Stock History'!G$1833*100</f>
        <v>120.2497678543119</v>
      </c>
      <c r="G1594" s="871">
        <f>'Peers Stock History'!H1597/'Peers Stock History'!H$1833*100</f>
        <v>119.62716636729938</v>
      </c>
      <c r="H1594" s="871">
        <f>'Peers Stock History'!I1597/'Peers Stock History'!I$1833*100</f>
        <v>177.93223284100782</v>
      </c>
      <c r="I1594" s="871">
        <f>'Peers Stock History'!J1597/'Peers Stock History'!J$1833*100</f>
        <v>108.32095349579653</v>
      </c>
      <c r="J1594" s="871">
        <f>'Peers Stock History'!K1597/'Peers Stock History'!K$1833*100</f>
        <v>113.06467632624447</v>
      </c>
    </row>
    <row r="1595" spans="2:10">
      <c r="B1595" s="873">
        <v>43016</v>
      </c>
      <c r="C1595" s="871">
        <f>'Peers Stock History'!D1598/'Peers Stock History'!D$1833*100</f>
        <v>109.93065187239945</v>
      </c>
      <c r="D1595" s="871">
        <f>'Peers Stock History'!E1598/'Peers Stock History'!E$1833*100</f>
        <v>166.33027522935782</v>
      </c>
      <c r="E1595" s="871">
        <f>'Peers Stock History'!F1598/'Peers Stock History'!F$1833*100</f>
        <v>99.473684210526315</v>
      </c>
      <c r="F1595" s="871">
        <f>'Peers Stock History'!G1598/'Peers Stock History'!G$1833*100</f>
        <v>120.2497678543119</v>
      </c>
      <c r="G1595" s="871">
        <f>'Peers Stock History'!H1598/'Peers Stock History'!H$1833*100</f>
        <v>119.29705325501239</v>
      </c>
      <c r="H1595" s="871">
        <f>'Peers Stock History'!I1598/'Peers Stock History'!I$1833*100</f>
        <v>172.32841007819289</v>
      </c>
      <c r="I1595" s="871">
        <f>'Peers Stock History'!J1598/'Peers Stock History'!J$1833*100</f>
        <v>108.51676066829839</v>
      </c>
      <c r="J1595" s="871">
        <f>'Peers Stock History'!K1598/'Peers Stock History'!K$1833*100</f>
        <v>113.24422968533057</v>
      </c>
    </row>
    <row r="1596" spans="2:10">
      <c r="B1596" s="873">
        <v>43015</v>
      </c>
      <c r="C1596" s="871">
        <f>'Peers Stock History'!D1599/'Peers Stock History'!D$1833*100</f>
        <v>109.93065187239945</v>
      </c>
      <c r="D1596" s="871">
        <f>'Peers Stock History'!E1599/'Peers Stock History'!E$1833*100</f>
        <v>166.33027522935782</v>
      </c>
      <c r="E1596" s="871">
        <f>'Peers Stock History'!F1599/'Peers Stock History'!F$1833*100</f>
        <v>99.473684210526315</v>
      </c>
      <c r="F1596" s="871">
        <f>'Peers Stock History'!G1599/'Peers Stock History'!G$1833*100</f>
        <v>120.2497678543119</v>
      </c>
      <c r="G1596" s="871">
        <f>'Peers Stock History'!H1599/'Peers Stock History'!H$1833*100</f>
        <v>119.29705325501239</v>
      </c>
      <c r="H1596" s="871">
        <f>'Peers Stock History'!I1599/'Peers Stock History'!I$1833*100</f>
        <v>172.32841007819289</v>
      </c>
      <c r="I1596" s="871">
        <f>'Peers Stock History'!J1599/'Peers Stock History'!J$1833*100</f>
        <v>108.51676066829839</v>
      </c>
      <c r="J1596" s="871">
        <f>'Peers Stock History'!K1599/'Peers Stock History'!K$1833*100</f>
        <v>113.24422968533057</v>
      </c>
    </row>
    <row r="1597" spans="2:10">
      <c r="B1597" s="873">
        <v>43014</v>
      </c>
      <c r="C1597" s="871">
        <f>'Peers Stock History'!D1600/'Peers Stock History'!D$1833*100</f>
        <v>109.93065187239945</v>
      </c>
      <c r="D1597" s="871">
        <f>'Peers Stock History'!E1600/'Peers Stock History'!E$1833*100</f>
        <v>166.33027522935782</v>
      </c>
      <c r="E1597" s="871">
        <f>'Peers Stock History'!F1600/'Peers Stock History'!F$1833*100</f>
        <v>99.473684210526315</v>
      </c>
      <c r="F1597" s="871">
        <f>'Peers Stock History'!G1600/'Peers Stock History'!G$1833*100</f>
        <v>120.2497678543119</v>
      </c>
      <c r="G1597" s="871">
        <f>'Peers Stock History'!H1600/'Peers Stock History'!H$1833*100</f>
        <v>119.29705325501239</v>
      </c>
      <c r="H1597" s="871">
        <f>'Peers Stock History'!I1600/'Peers Stock History'!I$1833*100</f>
        <v>172.32841007819289</v>
      </c>
      <c r="I1597" s="871">
        <f>'Peers Stock History'!J1600/'Peers Stock History'!J$1833*100</f>
        <v>108.51676066829839</v>
      </c>
      <c r="J1597" s="871">
        <f>'Peers Stock History'!K1600/'Peers Stock History'!K$1833*100</f>
        <v>113.24422968533057</v>
      </c>
    </row>
    <row r="1598" spans="2:10">
      <c r="B1598" s="873">
        <v>43013</v>
      </c>
      <c r="C1598" s="871">
        <f>'Peers Stock History'!D1601/'Peers Stock History'!D$1833*100</f>
        <v>109.65325936199723</v>
      </c>
      <c r="D1598" s="871">
        <f>'Peers Stock History'!E1601/'Peers Stock History'!E$1833*100</f>
        <v>165.84403669724773</v>
      </c>
      <c r="E1598" s="871">
        <f>'Peers Stock History'!F1601/'Peers Stock History'!F$1833*100</f>
        <v>100.30075187969925</v>
      </c>
      <c r="F1598" s="871">
        <f>'Peers Stock History'!G1601/'Peers Stock History'!G$1833*100</f>
        <v>120.35280285181416</v>
      </c>
      <c r="G1598" s="871">
        <f>'Peers Stock History'!H1601/'Peers Stock History'!H$1833*100</f>
        <v>118.29215010437399</v>
      </c>
      <c r="H1598" s="871">
        <f>'Peers Stock History'!I1601/'Peers Stock History'!I$1833*100</f>
        <v>171.02519548218939</v>
      </c>
      <c r="I1598" s="871">
        <f>'Peers Stock History'!J1601/'Peers Stock History'!J$1833*100</f>
        <v>108.6333936362669</v>
      </c>
      <c r="J1598" s="871">
        <f>'Peers Stock History'!K1601/'Peers Stock History'!K$1833*100</f>
        <v>113.16133511128218</v>
      </c>
    </row>
    <row r="1599" spans="2:10">
      <c r="B1599" s="873">
        <v>43012</v>
      </c>
      <c r="C1599" s="871">
        <f>'Peers Stock History'!D1602/'Peers Stock History'!D$1833*100</f>
        <v>109.12621359223303</v>
      </c>
      <c r="D1599" s="871">
        <f>'Peers Stock History'!E1602/'Peers Stock History'!E$1833*100</f>
        <v>165.93577981651379</v>
      </c>
      <c r="E1599" s="871">
        <f>'Peers Stock History'!F1602/'Peers Stock History'!F$1833*100</f>
        <v>100.07518796992481</v>
      </c>
      <c r="F1599" s="871">
        <f>'Peers Stock History'!G1602/'Peers Stock History'!G$1833*100</f>
        <v>118.95132963721105</v>
      </c>
      <c r="G1599" s="871">
        <f>'Peers Stock History'!H1602/'Peers Stock History'!H$1833*100</f>
        <v>117.48143113743386</v>
      </c>
      <c r="H1599" s="871">
        <f>'Peers Stock History'!I1602/'Peers Stock History'!I$1833*100</f>
        <v>171.85056472632493</v>
      </c>
      <c r="I1599" s="871">
        <f>'Peers Stock History'!J1602/'Peers Stock History'!J$1833*100</f>
        <v>108.02341172714695</v>
      </c>
      <c r="J1599" s="871">
        <f>'Peers Stock History'!K1602/'Peers Stock History'!K$1833*100</f>
        <v>112.28961893240587</v>
      </c>
    </row>
    <row r="1600" spans="2:10">
      <c r="B1600" s="873">
        <v>43011</v>
      </c>
      <c r="C1600" s="871">
        <f>'Peers Stock History'!D1603/'Peers Stock History'!D$1833*100</f>
        <v>109.23717059639391</v>
      </c>
      <c r="D1600" s="871">
        <f>'Peers Stock History'!E1603/'Peers Stock History'!E$1833*100</f>
        <v>164.55963302752295</v>
      </c>
      <c r="E1600" s="871">
        <f>'Peers Stock History'!F1603/'Peers Stock History'!F$1833*100</f>
        <v>100.90225563909773</v>
      </c>
      <c r="F1600" s="871">
        <f>'Peers Stock History'!G1603/'Peers Stock History'!G$1833*100</f>
        <v>118.95132963721105</v>
      </c>
      <c r="G1600" s="871">
        <f>'Peers Stock History'!H1603/'Peers Stock History'!H$1833*100</f>
        <v>116.26777998931988</v>
      </c>
      <c r="H1600" s="871">
        <f>'Peers Stock History'!I1603/'Peers Stock History'!I$1833*100</f>
        <v>175.36924413553433</v>
      </c>
      <c r="I1600" s="871">
        <f>'Peers Stock History'!J1603/'Peers Stock History'!J$1833*100</f>
        <v>107.8889007129935</v>
      </c>
      <c r="J1600" s="871">
        <f>'Peers Stock History'!K1603/'Peers Stock History'!K$1833*100</f>
        <v>112.23956256959433</v>
      </c>
    </row>
    <row r="1601" spans="2:10">
      <c r="B1601" s="873">
        <v>43010</v>
      </c>
      <c r="C1601" s="871">
        <f>'Peers Stock History'!D1604/'Peers Stock History'!D$1833*100</f>
        <v>108.29403606102636</v>
      </c>
      <c r="D1601" s="871">
        <f>'Peers Stock History'!E1604/'Peers Stock History'!E$1833*100</f>
        <v>164.22018348623851</v>
      </c>
      <c r="E1601" s="871">
        <f>'Peers Stock History'!F1604/'Peers Stock History'!F$1833*100</f>
        <v>95.563909774436098</v>
      </c>
      <c r="F1601" s="871">
        <f>'Peers Stock History'!G1604/'Peers Stock History'!G$1833*100</f>
        <v>118.00620695705572</v>
      </c>
      <c r="G1601" s="871">
        <f>'Peers Stock History'!H1604/'Peers Stock History'!H$1833*100</f>
        <v>116.73867663478809</v>
      </c>
      <c r="H1601" s="871">
        <f>'Peers Stock History'!I1604/'Peers Stock History'!I$1833*100</f>
        <v>173.80538662033013</v>
      </c>
      <c r="I1601" s="871">
        <f>'Peers Stock History'!J1604/'Peers Stock History'!J$1833*100</f>
        <v>107.65648611258911</v>
      </c>
      <c r="J1601" s="871">
        <f>'Peers Stock History'!K1604/'Peers Stock History'!K$1833*100</f>
        <v>111.98187454462973</v>
      </c>
    </row>
    <row r="1602" spans="2:10">
      <c r="B1602" s="873">
        <v>43009</v>
      </c>
      <c r="C1602" s="871">
        <f>'Peers Stock History'!D1605/'Peers Stock History'!D$1833*100</f>
        <v>105.63106796116506</v>
      </c>
      <c r="D1602" s="871">
        <f>'Peers Stock History'!E1605/'Peers Stock History'!E$1833*100</f>
        <v>164.00917431192661</v>
      </c>
      <c r="E1602" s="871">
        <f>'Peers Stock History'!F1605/'Peers Stock History'!F$1833*100</f>
        <v>95.864661654135332</v>
      </c>
      <c r="F1602" s="871">
        <f>'Peers Stock History'!G1605/'Peers Stock History'!G$1833*100</f>
        <v>116.18275603199559</v>
      </c>
      <c r="G1602" s="871">
        <f>'Peers Stock History'!H1605/'Peers Stock History'!H$1833*100</f>
        <v>117.74357978542646</v>
      </c>
      <c r="H1602" s="871">
        <f>'Peers Stock History'!I1605/'Peers Stock History'!I$1833*100</f>
        <v>170.85143353605559</v>
      </c>
      <c r="I1602" s="871">
        <f>'Peers Stock History'!J1605/'Peers Stock History'!J$1833*100</f>
        <v>107.24103437267215</v>
      </c>
      <c r="J1602" s="871">
        <f>'Peers Stock History'!K1605/'Peers Stock History'!K$1833*100</f>
        <v>111.62515637243446</v>
      </c>
    </row>
    <row r="1603" spans="2:10">
      <c r="B1603" s="873">
        <v>43008</v>
      </c>
      <c r="C1603" s="871">
        <f>'Peers Stock History'!D1606/'Peers Stock History'!D$1833*100</f>
        <v>105.63106796116506</v>
      </c>
      <c r="D1603" s="871">
        <f>'Peers Stock History'!E1606/'Peers Stock History'!E$1833*100</f>
        <v>164.00917431192661</v>
      </c>
      <c r="E1603" s="871">
        <f>'Peers Stock History'!F1606/'Peers Stock History'!F$1833*100</f>
        <v>95.864661654135332</v>
      </c>
      <c r="F1603" s="871">
        <f>'Peers Stock History'!G1606/'Peers Stock History'!G$1833*100</f>
        <v>116.18275603199559</v>
      </c>
      <c r="G1603" s="871">
        <f>'Peers Stock History'!H1606/'Peers Stock History'!H$1833*100</f>
        <v>117.74357978542646</v>
      </c>
      <c r="H1603" s="871">
        <f>'Peers Stock History'!I1606/'Peers Stock History'!I$1833*100</f>
        <v>170.85143353605559</v>
      </c>
      <c r="I1603" s="871">
        <f>'Peers Stock History'!J1606/'Peers Stock History'!J$1833*100</f>
        <v>107.24103437267215</v>
      </c>
      <c r="J1603" s="871">
        <f>'Peers Stock History'!K1606/'Peers Stock History'!K$1833*100</f>
        <v>111.62515637243446</v>
      </c>
    </row>
    <row r="1604" spans="2:10">
      <c r="B1604" s="873">
        <v>43007</v>
      </c>
      <c r="C1604" s="871">
        <f>'Peers Stock History'!D1607/'Peers Stock History'!D$1833*100</f>
        <v>105.63106796116506</v>
      </c>
      <c r="D1604" s="871">
        <f>'Peers Stock History'!E1607/'Peers Stock History'!E$1833*100</f>
        <v>164.00917431192661</v>
      </c>
      <c r="E1604" s="871">
        <f>'Peers Stock History'!F1607/'Peers Stock History'!F$1833*100</f>
        <v>95.864661654135332</v>
      </c>
      <c r="F1604" s="871">
        <f>'Peers Stock History'!G1607/'Peers Stock History'!G$1833*100</f>
        <v>116.16742697489468</v>
      </c>
      <c r="G1604" s="871">
        <f>'Peers Stock History'!H1607/'Peers Stock History'!H$1833*100</f>
        <v>117.74357978542646</v>
      </c>
      <c r="H1604" s="871">
        <f>'Peers Stock History'!I1607/'Peers Stock History'!I$1833*100</f>
        <v>170.85143353605559</v>
      </c>
      <c r="I1604" s="871">
        <f>'Peers Stock History'!J1607/'Peers Stock History'!J$1833*100</f>
        <v>107.24103437267215</v>
      </c>
      <c r="J1604" s="871">
        <f>'Peers Stock History'!K1607/'Peers Stock History'!K$1833*100</f>
        <v>111.62515637243446</v>
      </c>
    </row>
    <row r="1605" spans="2:10">
      <c r="B1605" s="873">
        <v>43006</v>
      </c>
      <c r="C1605" s="871">
        <f>'Peers Stock History'!D1608/'Peers Stock History'!D$1833*100</f>
        <v>104.93758668515952</v>
      </c>
      <c r="D1605" s="871">
        <f>'Peers Stock History'!E1608/'Peers Stock History'!E$1833*100</f>
        <v>161.17431192660553</v>
      </c>
      <c r="E1605" s="871">
        <f>'Peers Stock History'!F1608/'Peers Stock History'!F$1833*100</f>
        <v>95.78947368421052</v>
      </c>
      <c r="F1605" s="871">
        <f>'Peers Stock History'!G1608/'Peers Stock History'!G$1833*100</f>
        <v>114.53887060112189</v>
      </c>
      <c r="G1605" s="871">
        <f>'Peers Stock History'!H1608/'Peers Stock History'!H$1833*100</f>
        <v>117.9377639691247</v>
      </c>
      <c r="H1605" s="871">
        <f>'Peers Stock History'!I1608/'Peers Stock History'!I$1833*100</f>
        <v>164.90008688097308</v>
      </c>
      <c r="I1605" s="871">
        <f>'Peers Stock History'!J1608/'Peers Stock History'!J$1833*100</f>
        <v>106.84516335000531</v>
      </c>
      <c r="J1605" s="871">
        <f>'Peers Stock History'!K1608/'Peers Stock History'!K$1833*100</f>
        <v>110.8947080818773</v>
      </c>
    </row>
    <row r="1606" spans="2:10">
      <c r="B1606" s="873">
        <v>43005</v>
      </c>
      <c r="C1606" s="871">
        <f>'Peers Stock History'!D1609/'Peers Stock History'!D$1833*100</f>
        <v>104.13314840499308</v>
      </c>
      <c r="D1606" s="871">
        <f>'Peers Stock History'!E1609/'Peers Stock History'!E$1833*100</f>
        <v>161.22018348623851</v>
      </c>
      <c r="E1606" s="871">
        <f>'Peers Stock History'!F1609/'Peers Stock History'!F$1833*100</f>
        <v>95.78947368421052</v>
      </c>
      <c r="F1606" s="871">
        <f>'Peers Stock History'!G1609/'Peers Stock History'!G$1833*100</f>
        <v>115.4158693841233</v>
      </c>
      <c r="G1606" s="871">
        <f>'Peers Stock History'!H1609/'Peers Stock History'!H$1833*100</f>
        <v>116.79207728530511</v>
      </c>
      <c r="H1606" s="871">
        <f>'Peers Stock History'!I1609/'Peers Stock History'!I$1833*100</f>
        <v>161.120764552563</v>
      </c>
      <c r="I1606" s="871">
        <f>'Peers Stock History'!J1609/'Peers Stock History'!J$1833*100</f>
        <v>106.71661168458017</v>
      </c>
      <c r="J1606" s="871">
        <f>'Peers Stock History'!K1609/'Peers Stock History'!K$1833*100</f>
        <v>110.89147753048402</v>
      </c>
    </row>
    <row r="1607" spans="2:10">
      <c r="B1607" s="873">
        <v>43004</v>
      </c>
      <c r="C1607" s="871">
        <f>'Peers Stock History'!D1610/'Peers Stock History'!D$1833*100</f>
        <v>103.93897364771152</v>
      </c>
      <c r="D1607" s="871">
        <f>'Peers Stock History'!E1610/'Peers Stock History'!E$1833*100</f>
        <v>157.76146788990826</v>
      </c>
      <c r="E1607" s="871">
        <f>'Peers Stock History'!F1610/'Peers Stock History'!F$1833*100</f>
        <v>93.609022556390968</v>
      </c>
      <c r="F1607" s="871">
        <f>'Peers Stock History'!G1610/'Peers Stock History'!G$1833*100</f>
        <v>115.04609848904114</v>
      </c>
      <c r="G1607" s="871">
        <f>'Peers Stock History'!H1610/'Peers Stock History'!H$1833*100</f>
        <v>115.1852031652022</v>
      </c>
      <c r="H1607" s="871">
        <f>'Peers Stock History'!I1610/'Peers Stock History'!I$1833*100</f>
        <v>148.47958297132928</v>
      </c>
      <c r="I1607" s="871">
        <f>'Peers Stock History'!J1610/'Peers Stock History'!J$1833*100</f>
        <v>106.28243056294562</v>
      </c>
      <c r="J1607" s="871">
        <f>'Peers Stock History'!K1610/'Peers Stock History'!K$1833*100</f>
        <v>109.63536010337765</v>
      </c>
    </row>
    <row r="1608" spans="2:10">
      <c r="B1608" s="873">
        <v>43003</v>
      </c>
      <c r="C1608" s="871">
        <f>'Peers Stock History'!D1611/'Peers Stock History'!D$1833*100</f>
        <v>103.07905686546464</v>
      </c>
      <c r="D1608" s="871">
        <f>'Peers Stock History'!E1611/'Peers Stock History'!E$1833*100</f>
        <v>156.88073394495413</v>
      </c>
      <c r="E1608" s="871">
        <f>'Peers Stock History'!F1611/'Peers Stock History'!F$1833*100</f>
        <v>94.812030075187963</v>
      </c>
      <c r="F1608" s="871">
        <f>'Peers Stock History'!G1611/'Peers Stock History'!G$1833*100</f>
        <v>116.94101508916323</v>
      </c>
      <c r="G1608" s="871">
        <f>'Peers Stock History'!H1611/'Peers Stock History'!H$1833*100</f>
        <v>114.33079275692994</v>
      </c>
      <c r="H1608" s="871">
        <f>'Peers Stock History'!I1611/'Peers Stock History'!I$1833*100</f>
        <v>151.47697654213727</v>
      </c>
      <c r="I1608" s="871">
        <f>'Peers Stock History'!J1611/'Peers Stock History'!J$1833*100</f>
        <v>106.27476854315205</v>
      </c>
      <c r="J1608" s="871">
        <f>'Peers Stock History'!K1611/'Peers Stock History'!K$1833*100</f>
        <v>109.47089410664945</v>
      </c>
    </row>
    <row r="1609" spans="2:10">
      <c r="B1609" s="873">
        <v>43002</v>
      </c>
      <c r="C1609" s="871">
        <f>'Peers Stock History'!D1612/'Peers Stock History'!D$1833*100</f>
        <v>103.13453536754508</v>
      </c>
      <c r="D1609" s="871">
        <f>'Peers Stock History'!E1612/'Peers Stock History'!E$1833*100</f>
        <v>164.22018348623851</v>
      </c>
      <c r="E1609" s="871">
        <f>'Peers Stock History'!F1612/'Peers Stock History'!F$1833*100</f>
        <v>100</v>
      </c>
      <c r="F1609" s="871">
        <f>'Peers Stock History'!G1612/'Peers Stock History'!G$1833*100</f>
        <v>117.82352488256294</v>
      </c>
      <c r="G1609" s="871">
        <f>'Peers Stock History'!H1612/'Peers Stock History'!H$1833*100</f>
        <v>116.14156026991603</v>
      </c>
      <c r="H1609" s="871">
        <f>'Peers Stock History'!I1612/'Peers Stock History'!I$1833*100</f>
        <v>156.68983492615118</v>
      </c>
      <c r="I1609" s="871">
        <f>'Peers Stock History'!J1612/'Peers Stock History'!J$1833*100</f>
        <v>106.51143982121954</v>
      </c>
      <c r="J1609" s="871">
        <f>'Peers Stock History'!K1612/'Peers Stock History'!K$1833*100</f>
        <v>110.43883947596331</v>
      </c>
    </row>
    <row r="1610" spans="2:10">
      <c r="B1610" s="873">
        <v>43001</v>
      </c>
      <c r="C1610" s="871">
        <f>'Peers Stock History'!D1613/'Peers Stock History'!D$1833*100</f>
        <v>103.13453536754508</v>
      </c>
      <c r="D1610" s="871">
        <f>'Peers Stock History'!E1613/'Peers Stock History'!E$1833*100</f>
        <v>164.22018348623851</v>
      </c>
      <c r="E1610" s="871">
        <f>'Peers Stock History'!F1613/'Peers Stock History'!F$1833*100</f>
        <v>100</v>
      </c>
      <c r="F1610" s="871">
        <f>'Peers Stock History'!G1613/'Peers Stock History'!G$1833*100</f>
        <v>117.82352488256294</v>
      </c>
      <c r="G1610" s="871">
        <f>'Peers Stock History'!H1613/'Peers Stock History'!H$1833*100</f>
        <v>116.14156026991603</v>
      </c>
      <c r="H1610" s="871">
        <f>'Peers Stock History'!I1613/'Peers Stock History'!I$1833*100</f>
        <v>156.68983492615118</v>
      </c>
      <c r="I1610" s="871">
        <f>'Peers Stock History'!J1613/'Peers Stock History'!J$1833*100</f>
        <v>106.51143982121954</v>
      </c>
      <c r="J1610" s="871">
        <f>'Peers Stock History'!K1613/'Peers Stock History'!K$1833*100</f>
        <v>110.43883947596331</v>
      </c>
    </row>
    <row r="1611" spans="2:10">
      <c r="B1611" s="873">
        <v>43000</v>
      </c>
      <c r="C1611" s="871">
        <f>'Peers Stock History'!D1614/'Peers Stock History'!D$1833*100</f>
        <v>103.13453536754508</v>
      </c>
      <c r="D1611" s="871">
        <f>'Peers Stock History'!E1614/'Peers Stock History'!E$1833*100</f>
        <v>164.22018348623851</v>
      </c>
      <c r="E1611" s="871">
        <f>'Peers Stock History'!F1614/'Peers Stock History'!F$1833*100</f>
        <v>100</v>
      </c>
      <c r="F1611" s="871">
        <f>'Peers Stock History'!G1614/'Peers Stock History'!G$1833*100</f>
        <v>117.82352488256294</v>
      </c>
      <c r="G1611" s="871">
        <f>'Peers Stock History'!H1614/'Peers Stock History'!H$1833*100</f>
        <v>116.14156026991603</v>
      </c>
      <c r="H1611" s="871">
        <f>'Peers Stock History'!I1614/'Peers Stock History'!I$1833*100</f>
        <v>156.68983492615118</v>
      </c>
      <c r="I1611" s="871">
        <f>'Peers Stock History'!J1614/'Peers Stock History'!J$1833*100</f>
        <v>106.51143982121954</v>
      </c>
      <c r="J1611" s="871">
        <f>'Peers Stock History'!K1614/'Peers Stock History'!K$1833*100</f>
        <v>110.43883947596331</v>
      </c>
    </row>
    <row r="1612" spans="2:10">
      <c r="B1612" s="873">
        <v>42999</v>
      </c>
      <c r="C1612" s="871">
        <f>'Peers Stock History'!D1615/'Peers Stock History'!D$1833*100</f>
        <v>103.19001386962555</v>
      </c>
      <c r="D1612" s="871">
        <f>'Peers Stock History'!E1615/'Peers Stock History'!E$1833*100</f>
        <v>165.83486238532112</v>
      </c>
      <c r="E1612" s="871">
        <f>'Peers Stock History'!F1615/'Peers Stock History'!F$1833*100</f>
        <v>100.82706766917293</v>
      </c>
      <c r="F1612" s="871">
        <f>'Peers Stock History'!G1615/'Peers Stock History'!G$1833*100</f>
        <v>119.07688597761805</v>
      </c>
      <c r="G1612" s="871">
        <f>'Peers Stock History'!H1615/'Peers Stock History'!H$1833*100</f>
        <v>116.69498519345598</v>
      </c>
      <c r="H1612" s="871">
        <f>'Peers Stock History'!I1615/'Peers Stock History'!I$1833*100</f>
        <v>155.99478714161597</v>
      </c>
      <c r="I1612" s="871">
        <f>'Peers Stock History'!J1615/'Peers Stock History'!J$1833*100</f>
        <v>106.44248164307757</v>
      </c>
      <c r="J1612" s="871">
        <f>'Peers Stock History'!K1615/'Peers Stock History'!K$1833*100</f>
        <v>110.36616925339897</v>
      </c>
    </row>
    <row r="1613" spans="2:10">
      <c r="B1613" s="873">
        <v>42998</v>
      </c>
      <c r="C1613" s="871">
        <f>'Peers Stock History'!D1616/'Peers Stock History'!D$1833*100</f>
        <v>102.82940360610264</v>
      </c>
      <c r="D1613" s="871">
        <f>'Peers Stock History'!E1616/'Peers Stock History'!E$1833*100</f>
        <v>170.49541284403671</v>
      </c>
      <c r="E1613" s="871">
        <f>'Peers Stock History'!F1616/'Peers Stock History'!F$1833*100</f>
        <v>103.30827067669173</v>
      </c>
      <c r="F1613" s="871">
        <f>'Peers Stock History'!G1616/'Peers Stock History'!G$1833*100</f>
        <v>119.65542664078193</v>
      </c>
      <c r="G1613" s="871">
        <f>'Peers Stock History'!H1616/'Peers Stock History'!H$1833*100</f>
        <v>117.92320015534735</v>
      </c>
      <c r="H1613" s="871">
        <f>'Peers Stock History'!I1616/'Peers Stock History'!I$1833*100</f>
        <v>156.25543006081668</v>
      </c>
      <c r="I1613" s="871">
        <f>'Peers Stock History'!J1616/'Peers Stock History'!J$1833*100</f>
        <v>106.76769181653718</v>
      </c>
      <c r="J1613" s="871">
        <f>'Peers Stock History'!K1616/'Peers Stock History'!K$1833*100</f>
        <v>110.9392656338067</v>
      </c>
    </row>
    <row r="1614" spans="2:10">
      <c r="B1614" s="873">
        <v>42997</v>
      </c>
      <c r="C1614" s="871">
        <f>'Peers Stock History'!D1617/'Peers Stock History'!D$1833*100</f>
        <v>103.27323162274618</v>
      </c>
      <c r="D1614" s="871">
        <f>'Peers Stock History'!E1617/'Peers Stock History'!E$1833*100</f>
        <v>171.88073394495413</v>
      </c>
      <c r="E1614" s="871">
        <f>'Peers Stock History'!F1617/'Peers Stock History'!F$1833*100</f>
        <v>98.646616541353367</v>
      </c>
      <c r="F1614" s="871">
        <f>'Peers Stock History'!G1617/'Peers Stock History'!G$1833*100</f>
        <v>119.87437162931209</v>
      </c>
      <c r="G1614" s="871">
        <f>'Peers Stock History'!H1617/'Peers Stock History'!H$1833*100</f>
        <v>121.24860430117965</v>
      </c>
      <c r="H1614" s="871">
        <f>'Peers Stock History'!I1617/'Peers Stock History'!I$1833*100</f>
        <v>156.1685490877498</v>
      </c>
      <c r="I1614" s="871">
        <f>'Peers Stock History'!J1617/'Peers Stock History'!J$1833*100</f>
        <v>106.70001064169416</v>
      </c>
      <c r="J1614" s="871">
        <f>'Peers Stock History'!K1617/'Peers Stock History'!K$1833*100</f>
        <v>111.02997882957813</v>
      </c>
    </row>
    <row r="1615" spans="2:10">
      <c r="B1615" s="873">
        <v>42996</v>
      </c>
      <c r="C1615" s="871">
        <f>'Peers Stock History'!D1618/'Peers Stock History'!D$1833*100</f>
        <v>102.63522884882109</v>
      </c>
      <c r="D1615" s="871">
        <f>'Peers Stock History'!E1618/'Peers Stock History'!E$1833*100</f>
        <v>172.06422018348624</v>
      </c>
      <c r="E1615" s="871">
        <f>'Peers Stock History'!F1618/'Peers Stock History'!F$1833*100</f>
        <v>98.345864661654119</v>
      </c>
      <c r="F1615" s="871">
        <f>'Peers Stock History'!G1618/'Peers Stock History'!G$1833*100</f>
        <v>118.66959589549249</v>
      </c>
      <c r="G1615" s="871">
        <f>'Peers Stock History'!H1618/'Peers Stock History'!H$1833*100</f>
        <v>121.27773192873438</v>
      </c>
      <c r="H1615" s="871">
        <f>'Peers Stock History'!I1618/'Peers Stock History'!I$1833*100</f>
        <v>153.90964378801041</v>
      </c>
      <c r="I1615" s="871">
        <f>'Peers Stock History'!J1618/'Peers Stock History'!J$1833*100</f>
        <v>106.58167500266043</v>
      </c>
      <c r="J1615" s="871">
        <f>'Peers Stock History'!K1618/'Peers Stock History'!K$1833*100</f>
        <v>110.91512241727727</v>
      </c>
    </row>
    <row r="1616" spans="2:10">
      <c r="B1616" s="873">
        <v>42995</v>
      </c>
      <c r="C1616" s="871">
        <f>'Peers Stock History'!D1619/'Peers Stock History'!D$1833*100</f>
        <v>102.63522884882109</v>
      </c>
      <c r="D1616" s="871">
        <f>'Peers Stock History'!E1619/'Peers Stock History'!E$1833*100</f>
        <v>165.23853211009177</v>
      </c>
      <c r="E1616" s="871">
        <f>'Peers Stock History'!F1619/'Peers Stock History'!F$1833*100</f>
        <v>94.135338345864653</v>
      </c>
      <c r="F1616" s="871">
        <f>'Peers Stock History'!G1619/'Peers Stock History'!G$1833*100</f>
        <v>118.22719116326095</v>
      </c>
      <c r="G1616" s="871">
        <f>'Peers Stock History'!H1619/'Peers Stock History'!H$1833*100</f>
        <v>121.63211806398368</v>
      </c>
      <c r="H1616" s="871">
        <f>'Peers Stock History'!I1619/'Peers Stock History'!I$1833*100</f>
        <v>150.52128583840138</v>
      </c>
      <c r="I1616" s="871">
        <f>'Peers Stock History'!J1619/'Peers Stock History'!J$1833*100</f>
        <v>106.42673193572416</v>
      </c>
      <c r="J1616" s="871">
        <f>'Peers Stock History'!K1619/'Peers Stock History'!K$1833*100</f>
        <v>110.80906410238786</v>
      </c>
    </row>
    <row r="1617" spans="2:10">
      <c r="B1617" s="873">
        <v>42994</v>
      </c>
      <c r="C1617" s="871">
        <f>'Peers Stock History'!D1620/'Peers Stock History'!D$1833*100</f>
        <v>102.63522884882109</v>
      </c>
      <c r="D1617" s="871">
        <f>'Peers Stock History'!E1620/'Peers Stock History'!E$1833*100</f>
        <v>165.23853211009177</v>
      </c>
      <c r="E1617" s="871">
        <f>'Peers Stock History'!F1620/'Peers Stock History'!F$1833*100</f>
        <v>94.135338345864653</v>
      </c>
      <c r="F1617" s="871">
        <f>'Peers Stock History'!G1620/'Peers Stock History'!G$1833*100</f>
        <v>118.22719116326095</v>
      </c>
      <c r="G1617" s="871">
        <f>'Peers Stock History'!H1620/'Peers Stock History'!H$1833*100</f>
        <v>121.63211806398368</v>
      </c>
      <c r="H1617" s="871">
        <f>'Peers Stock History'!I1620/'Peers Stock History'!I$1833*100</f>
        <v>150.52128583840138</v>
      </c>
      <c r="I1617" s="871">
        <f>'Peers Stock History'!J1620/'Peers Stock History'!J$1833*100</f>
        <v>106.42673193572416</v>
      </c>
      <c r="J1617" s="871">
        <f>'Peers Stock History'!K1620/'Peers Stock History'!K$1833*100</f>
        <v>110.80906410238786</v>
      </c>
    </row>
    <row r="1618" spans="2:10">
      <c r="B1618" s="873">
        <v>42993</v>
      </c>
      <c r="C1618" s="871">
        <f>'Peers Stock History'!D1621/'Peers Stock History'!D$1833*100</f>
        <v>102.63522884882109</v>
      </c>
      <c r="D1618" s="871">
        <f>'Peers Stock History'!E1621/'Peers Stock History'!E$1833*100</f>
        <v>165.23853211009177</v>
      </c>
      <c r="E1618" s="871">
        <f>'Peers Stock History'!F1621/'Peers Stock History'!F$1833*100</f>
        <v>94.135338345864653</v>
      </c>
      <c r="F1618" s="871">
        <f>'Peers Stock History'!G1621/'Peers Stock History'!G$1833*100</f>
        <v>118.22719116326095</v>
      </c>
      <c r="G1618" s="871">
        <f>'Peers Stock History'!H1621/'Peers Stock History'!H$1833*100</f>
        <v>121.63211806398368</v>
      </c>
      <c r="H1618" s="871">
        <f>'Peers Stock History'!I1621/'Peers Stock History'!I$1833*100</f>
        <v>150.52128583840138</v>
      </c>
      <c r="I1618" s="871">
        <f>'Peers Stock History'!J1621/'Peers Stock History'!J$1833*100</f>
        <v>106.42673193572416</v>
      </c>
      <c r="J1618" s="871">
        <f>'Peers Stock History'!K1621/'Peers Stock History'!K$1833*100</f>
        <v>110.80906410238786</v>
      </c>
    </row>
    <row r="1619" spans="2:10">
      <c r="B1619" s="873">
        <v>42992</v>
      </c>
      <c r="C1619" s="871">
        <f>'Peers Stock History'!D1622/'Peers Stock History'!D$1833*100</f>
        <v>101.19278779472953</v>
      </c>
      <c r="D1619" s="871">
        <f>'Peers Stock History'!E1622/'Peers Stock History'!E$1833*100</f>
        <v>155.41284403669727</v>
      </c>
      <c r="E1619" s="871">
        <f>'Peers Stock History'!F1622/'Peers Stock History'!F$1833*100</f>
        <v>92.180451127819538</v>
      </c>
      <c r="F1619" s="871">
        <f>'Peers Stock History'!G1622/'Peers Stock History'!G$1833*100</f>
        <v>118.12895992330341</v>
      </c>
      <c r="G1619" s="871">
        <f>'Peers Stock History'!H1622/'Peers Stock History'!H$1833*100</f>
        <v>119.88446041069953</v>
      </c>
      <c r="H1619" s="871">
        <f>'Peers Stock History'!I1622/'Peers Stock History'!I$1833*100</f>
        <v>150.21720243266725</v>
      </c>
      <c r="I1619" s="871">
        <f>'Peers Stock History'!J1622/'Peers Stock History'!J$1833*100</f>
        <v>106.23049909545598</v>
      </c>
      <c r="J1619" s="871">
        <f>'Peers Stock History'!K1622/'Peers Stock History'!K$1833*100</f>
        <v>110.47599081698583</v>
      </c>
    </row>
    <row r="1620" spans="2:10">
      <c r="B1620" s="873">
        <v>42991</v>
      </c>
      <c r="C1620" s="871">
        <f>'Peers Stock History'!D1623/'Peers Stock History'!D$1833*100</f>
        <v>100.77669902912622</v>
      </c>
      <c r="D1620" s="871">
        <f>'Peers Stock History'!E1623/'Peers Stock History'!E$1833*100</f>
        <v>156.30275229357801</v>
      </c>
      <c r="E1620" s="871">
        <f>'Peers Stock History'!F1623/'Peers Stock History'!F$1833*100</f>
        <v>91.879699248120303</v>
      </c>
      <c r="F1620" s="871">
        <f>'Peers Stock History'!G1623/'Peers Stock History'!G$1833*100</f>
        <v>118.06267860467685</v>
      </c>
      <c r="G1620" s="871">
        <f>'Peers Stock History'!H1623/'Peers Stock History'!H$1833*100</f>
        <v>119.53978348463517</v>
      </c>
      <c r="H1620" s="871">
        <f>'Peers Stock History'!I1623/'Peers Stock History'!I$1833*100</f>
        <v>150.26064291920071</v>
      </c>
      <c r="I1620" s="871">
        <f>'Peers Stock History'!J1623/'Peers Stock History'!J$1833*100</f>
        <v>106.3475577311908</v>
      </c>
      <c r="J1620" s="871">
        <f>'Peers Stock History'!K1623/'Peers Stock History'!K$1833*100</f>
        <v>111.01047523473049</v>
      </c>
    </row>
    <row r="1621" spans="2:10">
      <c r="B1621" s="873">
        <v>42990</v>
      </c>
      <c r="C1621" s="871">
        <f>'Peers Stock History'!D1624/'Peers Stock History'!D$1833*100</f>
        <v>100.11095700416091</v>
      </c>
      <c r="D1621" s="871">
        <f>'Peers Stock History'!E1624/'Peers Stock History'!E$1833*100</f>
        <v>155.60550458715599</v>
      </c>
      <c r="E1621" s="871">
        <f>'Peers Stock History'!F1624/'Peers Stock History'!F$1833*100</f>
        <v>92.481203007518801</v>
      </c>
      <c r="F1621" s="871">
        <f>'Peers Stock History'!G1624/'Peers Stock History'!G$1833*100</f>
        <v>118.72282710753743</v>
      </c>
      <c r="G1621" s="871">
        <f>'Peers Stock History'!H1624/'Peers Stock History'!H$1833*100</f>
        <v>119.9766978979562</v>
      </c>
      <c r="H1621" s="871">
        <f>'Peers Stock History'!I1624/'Peers Stock History'!I$1833*100</f>
        <v>148.95742832319723</v>
      </c>
      <c r="I1621" s="871">
        <f>'Peers Stock History'!J1624/'Peers Stock History'!J$1833*100</f>
        <v>106.26710652335851</v>
      </c>
      <c r="J1621" s="871">
        <f>'Peers Stock History'!K1624/'Peers Stock History'!K$1833*100</f>
        <v>110.90898780638688</v>
      </c>
    </row>
    <row r="1622" spans="2:10">
      <c r="B1622" s="873">
        <v>42989</v>
      </c>
      <c r="C1622" s="871">
        <f>'Peers Stock History'!D1625/'Peers Stock History'!D$1833*100</f>
        <v>99.223300970873808</v>
      </c>
      <c r="D1622" s="871">
        <f>'Peers Stock History'!E1625/'Peers Stock History'!E$1833*100</f>
        <v>155.04587155963304</v>
      </c>
      <c r="E1622" s="871">
        <f>'Peers Stock History'!F1625/'Peers Stock History'!F$1833*100</f>
        <v>94.360902255639104</v>
      </c>
      <c r="F1622" s="871">
        <f>'Peers Stock History'!G1625/'Peers Stock History'!G$1833*100</f>
        <v>117.63468013468021</v>
      </c>
      <c r="G1622" s="871">
        <f>'Peers Stock History'!H1625/'Peers Stock History'!H$1833*100</f>
        <v>120.26797417350356</v>
      </c>
      <c r="H1622" s="871">
        <f>'Peers Stock History'!I1625/'Peers Stock History'!I$1833*100</f>
        <v>145.26498696785404</v>
      </c>
      <c r="I1622" s="871">
        <f>'Peers Stock History'!J1625/'Peers Stock History'!J$1833*100</f>
        <v>105.91082260295839</v>
      </c>
      <c r="J1622" s="871">
        <f>'Peers Stock History'!K1625/'Peers Stock History'!K$1833*100</f>
        <v>110.53063525012716</v>
      </c>
    </row>
    <row r="1623" spans="2:10">
      <c r="B1623" s="873">
        <v>42988</v>
      </c>
      <c r="C1623" s="871">
        <f>'Peers Stock History'!D1626/'Peers Stock History'!D$1833*100</f>
        <v>97.614424410540906</v>
      </c>
      <c r="D1623" s="871">
        <f>'Peers Stock History'!E1626/'Peers Stock History'!E$1833*100</f>
        <v>150.1743119266055</v>
      </c>
      <c r="E1623" s="871">
        <f>'Peers Stock History'!F1626/'Peers Stock History'!F$1833*100</f>
        <v>92.10526315789474</v>
      </c>
      <c r="F1623" s="871">
        <f>'Peers Stock History'!G1626/'Peers Stock History'!G$1833*100</f>
        <v>118.2437623703336</v>
      </c>
      <c r="G1623" s="871">
        <f>'Peers Stock History'!H1626/'Peers Stock History'!H$1833*100</f>
        <v>118.50575270644205</v>
      </c>
      <c r="H1623" s="871">
        <f>'Peers Stock History'!I1626/'Peers Stock History'!I$1833*100</f>
        <v>140.96437880104259</v>
      </c>
      <c r="I1623" s="871">
        <f>'Peers Stock History'!J1626/'Peers Stock History'!J$1833*100</f>
        <v>104.77514100244758</v>
      </c>
      <c r="J1623" s="871">
        <f>'Peers Stock History'!K1626/'Peers Stock History'!K$1833*100</f>
        <v>109.29216556919567</v>
      </c>
    </row>
    <row r="1624" spans="2:10">
      <c r="B1624" s="873">
        <v>42987</v>
      </c>
      <c r="C1624" s="871">
        <f>'Peers Stock History'!D1627/'Peers Stock History'!D$1833*100</f>
        <v>97.614424410540906</v>
      </c>
      <c r="D1624" s="871">
        <f>'Peers Stock History'!E1627/'Peers Stock History'!E$1833*100</f>
        <v>150.1743119266055</v>
      </c>
      <c r="E1624" s="871">
        <f>'Peers Stock History'!F1627/'Peers Stock History'!F$1833*100</f>
        <v>92.10526315789474</v>
      </c>
      <c r="F1624" s="871">
        <f>'Peers Stock History'!G1627/'Peers Stock History'!G$1833*100</f>
        <v>118.2437623703336</v>
      </c>
      <c r="G1624" s="871">
        <f>'Peers Stock History'!H1627/'Peers Stock History'!H$1833*100</f>
        <v>118.50575270644205</v>
      </c>
      <c r="H1624" s="871">
        <f>'Peers Stock History'!I1627/'Peers Stock History'!I$1833*100</f>
        <v>140.96437880104259</v>
      </c>
      <c r="I1624" s="871">
        <f>'Peers Stock History'!J1627/'Peers Stock History'!J$1833*100</f>
        <v>104.77514100244758</v>
      </c>
      <c r="J1624" s="871">
        <f>'Peers Stock History'!K1627/'Peers Stock History'!K$1833*100</f>
        <v>109.29216556919567</v>
      </c>
    </row>
    <row r="1625" spans="2:10">
      <c r="B1625" s="873">
        <v>42986</v>
      </c>
      <c r="C1625" s="871">
        <f>'Peers Stock History'!D1628/'Peers Stock History'!D$1833*100</f>
        <v>97.614424410540906</v>
      </c>
      <c r="D1625" s="871">
        <f>'Peers Stock History'!E1628/'Peers Stock History'!E$1833*100</f>
        <v>150.1743119266055</v>
      </c>
      <c r="E1625" s="871">
        <f>'Peers Stock History'!F1628/'Peers Stock History'!F$1833*100</f>
        <v>92.10526315789474</v>
      </c>
      <c r="F1625" s="871">
        <f>'Peers Stock History'!G1628/'Peers Stock History'!G$1833*100</f>
        <v>118.2437623703336</v>
      </c>
      <c r="G1625" s="871">
        <f>'Peers Stock History'!H1628/'Peers Stock History'!H$1833*100</f>
        <v>118.50575270644205</v>
      </c>
      <c r="H1625" s="871">
        <f>'Peers Stock History'!I1628/'Peers Stock History'!I$1833*100</f>
        <v>140.96437880104259</v>
      </c>
      <c r="I1625" s="871">
        <f>'Peers Stock History'!J1628/'Peers Stock History'!J$1833*100</f>
        <v>104.77514100244758</v>
      </c>
      <c r="J1625" s="871">
        <f>'Peers Stock History'!K1628/'Peers Stock History'!K$1833*100</f>
        <v>109.29216556919567</v>
      </c>
    </row>
    <row r="1626" spans="2:10">
      <c r="B1626" s="873">
        <v>42985</v>
      </c>
      <c r="C1626" s="871">
        <f>'Peers Stock History'!D1629/'Peers Stock History'!D$1833*100</f>
        <v>98.585298196948685</v>
      </c>
      <c r="D1626" s="871">
        <f>'Peers Stock History'!E1629/'Peers Stock History'!E$1833*100</f>
        <v>152.82568807339453</v>
      </c>
      <c r="E1626" s="871">
        <f>'Peers Stock History'!F1629/'Peers Stock History'!F$1833*100</f>
        <v>94.962406015037587</v>
      </c>
      <c r="F1626" s="871">
        <f>'Peers Stock History'!G1629/'Peers Stock History'!G$1833*100</f>
        <v>117.89397773967949</v>
      </c>
      <c r="G1626" s="871">
        <f>'Peers Stock History'!H1629/'Peers Stock History'!H$1833*100</f>
        <v>119.69027622700131</v>
      </c>
      <c r="H1626" s="871">
        <f>'Peers Stock History'!I1629/'Peers Stock History'!I$1833*100</f>
        <v>142.44135534317982</v>
      </c>
      <c r="I1626" s="871">
        <f>'Peers Stock History'!J1629/'Peers Stock History'!J$1833*100</f>
        <v>104.93136107268278</v>
      </c>
      <c r="J1626" s="871">
        <f>'Peers Stock History'!K1629/'Peers Stock History'!K$1833*100</f>
        <v>109.93959899921641</v>
      </c>
    </row>
    <row r="1627" spans="2:10">
      <c r="B1627" s="873">
        <v>42984</v>
      </c>
      <c r="C1627" s="871">
        <f>'Peers Stock History'!D1630/'Peers Stock History'!D$1833*100</f>
        <v>99.195561719833563</v>
      </c>
      <c r="D1627" s="871">
        <f>'Peers Stock History'!E1630/'Peers Stock History'!E$1833*100</f>
        <v>152.11926605504587</v>
      </c>
      <c r="E1627" s="871">
        <f>'Peers Stock History'!F1630/'Peers Stock History'!F$1833*100</f>
        <v>96.691729323308266</v>
      </c>
      <c r="F1627" s="871">
        <f>'Peers Stock History'!G1630/'Peers Stock History'!G$1833*100</f>
        <v>117.34920652509835</v>
      </c>
      <c r="G1627" s="871">
        <f>'Peers Stock History'!H1630/'Peers Stock History'!H$1833*100</f>
        <v>121.06412932666632</v>
      </c>
      <c r="H1627" s="871">
        <f>'Peers Stock History'!I1630/'Peers Stock History'!I$1833*100</f>
        <v>140.09556907037359</v>
      </c>
      <c r="I1627" s="871">
        <f>'Peers Stock History'!J1630/'Peers Stock History'!J$1833*100</f>
        <v>104.95009045440034</v>
      </c>
      <c r="J1627" s="871">
        <f>'Peers Stock History'!K1630/'Peers Stock History'!K$1833*100</f>
        <v>109.86132686306587</v>
      </c>
    </row>
    <row r="1628" spans="2:10">
      <c r="B1628" s="873">
        <v>42983</v>
      </c>
      <c r="C1628" s="871">
        <f>'Peers Stock History'!D1631/'Peers Stock History'!D$1833*100</f>
        <v>97.142857142857167</v>
      </c>
      <c r="D1628" s="871">
        <f>'Peers Stock History'!E1631/'Peers Stock History'!E$1833*100</f>
        <v>152.21100917431193</v>
      </c>
      <c r="E1628" s="871">
        <f>'Peers Stock History'!F1631/'Peers Stock History'!F$1833*100</f>
        <v>97.142857142857139</v>
      </c>
      <c r="F1628" s="871">
        <f>'Peers Stock History'!G1631/'Peers Stock History'!G$1833*100</f>
        <v>117.99197062880312</v>
      </c>
      <c r="G1628" s="871">
        <f>'Peers Stock History'!H1631/'Peers Stock History'!H$1833*100</f>
        <v>120.9039273751153</v>
      </c>
      <c r="H1628" s="871">
        <f>'Peers Stock History'!I1631/'Peers Stock History'!I$1833*100</f>
        <v>139.31364031277153</v>
      </c>
      <c r="I1628" s="871">
        <f>'Peers Stock History'!J1631/'Peers Stock History'!J$1833*100</f>
        <v>104.62275194210918</v>
      </c>
      <c r="J1628" s="871">
        <f>'Peers Stock History'!K1631/'Peers Stock History'!K$1833*100</f>
        <v>109.55648653478684</v>
      </c>
    </row>
    <row r="1629" spans="2:10">
      <c r="B1629" s="873">
        <v>42982</v>
      </c>
      <c r="C1629" s="871">
        <f>'Peers Stock History'!D1632/'Peers Stock History'!D$1833*100</f>
        <v>97.337031900138712</v>
      </c>
      <c r="D1629" s="871">
        <f>'Peers Stock History'!E1632/'Peers Stock History'!E$1833*100</f>
        <v>156.38532110091742</v>
      </c>
      <c r="E1629" s="871">
        <f>'Peers Stock History'!F1632/'Peers Stock History'!F$1833*100</f>
        <v>99.172932330827052</v>
      </c>
      <c r="F1629" s="871">
        <f>'Peers Stock History'!G1632/'Peers Stock History'!G$1833*100</f>
        <v>117.64306165802432</v>
      </c>
      <c r="G1629" s="871">
        <f>'Peers Stock History'!H1632/'Peers Stock History'!H$1833*100</f>
        <v>122.69042186513907</v>
      </c>
      <c r="H1629" s="871">
        <f>'Peers Stock History'!I1632/'Peers Stock History'!I$1833*100</f>
        <v>141.61598609904431</v>
      </c>
      <c r="I1629" s="871">
        <f>'Peers Stock History'!J1632/'Peers Stock History'!J$1833*100</f>
        <v>105.41875066510589</v>
      </c>
      <c r="J1629" s="871">
        <f>'Peers Stock History'!K1632/'Peers Stock History'!K$1833*100</f>
        <v>110.58333791567574</v>
      </c>
    </row>
    <row r="1630" spans="2:10">
      <c r="B1630" s="873">
        <v>42981</v>
      </c>
      <c r="C1630" s="871">
        <f>'Peers Stock History'!D1633/'Peers Stock History'!D$1833*100</f>
        <v>97.337031900138712</v>
      </c>
      <c r="D1630" s="871">
        <f>'Peers Stock History'!E1633/'Peers Stock History'!E$1833*100</f>
        <v>156.38532110091742</v>
      </c>
      <c r="E1630" s="871">
        <f>'Peers Stock History'!F1633/'Peers Stock History'!F$1833*100</f>
        <v>99.172932330827052</v>
      </c>
      <c r="F1630" s="871">
        <f>'Peers Stock History'!G1633/'Peers Stock History'!G$1833*100</f>
        <v>116.98936631669822</v>
      </c>
      <c r="G1630" s="871">
        <f>'Peers Stock History'!H1633/'Peers Stock History'!H$1833*100</f>
        <v>122.69042186513907</v>
      </c>
      <c r="H1630" s="871">
        <f>'Peers Stock History'!I1633/'Peers Stock History'!I$1833*100</f>
        <v>141.61598609904431</v>
      </c>
      <c r="I1630" s="871">
        <f>'Peers Stock History'!J1633/'Peers Stock History'!J$1833*100</f>
        <v>105.41875066510589</v>
      </c>
      <c r="J1630" s="871">
        <f>'Peers Stock History'!K1633/'Peers Stock History'!K$1833*100</f>
        <v>110.58333791567574</v>
      </c>
    </row>
    <row r="1631" spans="2:10">
      <c r="B1631" s="873">
        <v>42980</v>
      </c>
      <c r="C1631" s="871">
        <f>'Peers Stock History'!D1634/'Peers Stock History'!D$1833*100</f>
        <v>97.337031900138712</v>
      </c>
      <c r="D1631" s="871">
        <f>'Peers Stock History'!E1634/'Peers Stock History'!E$1833*100</f>
        <v>156.38532110091742</v>
      </c>
      <c r="E1631" s="871">
        <f>'Peers Stock History'!F1634/'Peers Stock History'!F$1833*100</f>
        <v>99.172932330827052</v>
      </c>
      <c r="F1631" s="871">
        <f>'Peers Stock History'!G1634/'Peers Stock History'!G$1833*100</f>
        <v>116.98936631669822</v>
      </c>
      <c r="G1631" s="871">
        <f>'Peers Stock History'!H1634/'Peers Stock History'!H$1833*100</f>
        <v>122.69042186513907</v>
      </c>
      <c r="H1631" s="871">
        <f>'Peers Stock History'!I1634/'Peers Stock History'!I$1833*100</f>
        <v>141.61598609904431</v>
      </c>
      <c r="I1631" s="871">
        <f>'Peers Stock History'!J1634/'Peers Stock History'!J$1833*100</f>
        <v>105.41875066510589</v>
      </c>
      <c r="J1631" s="871">
        <f>'Peers Stock History'!K1634/'Peers Stock History'!K$1833*100</f>
        <v>110.58333791567574</v>
      </c>
    </row>
    <row r="1632" spans="2:10">
      <c r="B1632" s="873">
        <v>42979</v>
      </c>
      <c r="C1632" s="871">
        <f>'Peers Stock History'!D1635/'Peers Stock History'!D$1833*100</f>
        <v>97.337031900138712</v>
      </c>
      <c r="D1632" s="871">
        <f>'Peers Stock History'!E1635/'Peers Stock History'!E$1833*100</f>
        <v>156.38532110091742</v>
      </c>
      <c r="E1632" s="871">
        <f>'Peers Stock History'!F1635/'Peers Stock History'!F$1833*100</f>
        <v>99.172932330827052</v>
      </c>
      <c r="F1632" s="871">
        <f>'Peers Stock History'!G1635/'Peers Stock History'!G$1833*100</f>
        <v>116.98936631669822</v>
      </c>
      <c r="G1632" s="871">
        <f>'Peers Stock History'!H1635/'Peers Stock History'!H$1833*100</f>
        <v>122.69042186513907</v>
      </c>
      <c r="H1632" s="871">
        <f>'Peers Stock History'!I1635/'Peers Stock History'!I$1833*100</f>
        <v>141.61598609904431</v>
      </c>
      <c r="I1632" s="871">
        <f>'Peers Stock History'!J1635/'Peers Stock History'!J$1833*100</f>
        <v>105.41875066510589</v>
      </c>
      <c r="J1632" s="871">
        <f>'Peers Stock History'!K1635/'Peers Stock History'!K$1833*100</f>
        <v>110.58333791567574</v>
      </c>
    </row>
    <row r="1633" spans="2:10">
      <c r="B1633" s="873">
        <v>42978</v>
      </c>
      <c r="C1633" s="871">
        <f>'Peers Stock History'!D1636/'Peers Stock History'!D$1833*100</f>
        <v>97.281553398058264</v>
      </c>
      <c r="D1633" s="871">
        <f>'Peers Stock History'!E1636/'Peers Stock History'!E$1833*100</f>
        <v>155.44954128440367</v>
      </c>
      <c r="E1633" s="871">
        <f>'Peers Stock History'!F1636/'Peers Stock History'!F$1833*100</f>
        <v>97.744360902255636</v>
      </c>
      <c r="F1633" s="871">
        <f>'Peers Stock History'!G1636/'Peers Stock History'!G$1833*100</f>
        <v>116.6986276416675</v>
      </c>
      <c r="G1633" s="871">
        <f>'Peers Stock History'!H1636/'Peers Stock History'!H$1833*100</f>
        <v>122.370017962037</v>
      </c>
      <c r="H1633" s="871">
        <f>'Peers Stock History'!I1636/'Peers Stock History'!I$1833*100</f>
        <v>138.879235447437</v>
      </c>
      <c r="I1633" s="871">
        <f>'Peers Stock History'!J1636/'Peers Stock History'!J$1833*100</f>
        <v>105.21017345961477</v>
      </c>
      <c r="J1633" s="871">
        <f>'Peers Stock History'!K1636/'Peers Stock History'!K$1833*100</f>
        <v>110.46873926013501</v>
      </c>
    </row>
    <row r="1634" spans="2:10">
      <c r="B1634" s="873">
        <v>42977</v>
      </c>
      <c r="C1634" s="871">
        <f>'Peers Stock History'!D1637/'Peers Stock History'!D$1833*100</f>
        <v>96.782246879334267</v>
      </c>
      <c r="D1634" s="871">
        <f>'Peers Stock History'!E1637/'Peers Stock History'!E$1833*100</f>
        <v>152</v>
      </c>
      <c r="E1634" s="871">
        <f>'Peers Stock History'!F1637/'Peers Stock History'!F$1833*100</f>
        <v>95.263157894736835</v>
      </c>
      <c r="F1634" s="871">
        <f>'Peers Stock History'!G1637/'Peers Stock History'!G$1833*100</f>
        <v>117.40882957906349</v>
      </c>
      <c r="G1634" s="871">
        <f>'Peers Stock History'!H1637/'Peers Stock History'!H$1833*100</f>
        <v>119.43298218360114</v>
      </c>
      <c r="H1634" s="871">
        <f>'Peers Stock History'!I1637/'Peers Stock History'!I$1833*100</f>
        <v>137.31537793223285</v>
      </c>
      <c r="I1634" s="871">
        <f>'Peers Stock History'!J1637/'Peers Stock History'!J$1833*100</f>
        <v>104.61168458018517</v>
      </c>
      <c r="J1634" s="871">
        <f>'Peers Stock History'!K1637/'Peers Stock History'!K$1833*100</f>
        <v>109.43164634397813</v>
      </c>
    </row>
    <row r="1635" spans="2:10">
      <c r="B1635" s="873">
        <v>42976</v>
      </c>
      <c r="C1635" s="871">
        <f>'Peers Stock History'!D1638/'Peers Stock History'!D$1833*100</f>
        <v>96.338418862690716</v>
      </c>
      <c r="D1635" s="871">
        <f>'Peers Stock History'!E1638/'Peers Stock History'!E$1833*100</f>
        <v>151.10091743119264</v>
      </c>
      <c r="E1635" s="871">
        <f>'Peers Stock History'!F1638/'Peers Stock History'!F$1833*100</f>
        <v>91.353383458646618</v>
      </c>
      <c r="F1635" s="871">
        <f>'Peers Stock History'!G1638/'Peers Stock History'!G$1833*100</f>
        <v>116.42140040801448</v>
      </c>
      <c r="G1635" s="871">
        <f>'Peers Stock History'!H1638/'Peers Stock History'!H$1833*100</f>
        <v>117.35035681343753</v>
      </c>
      <c r="H1635" s="871">
        <f>'Peers Stock History'!I1638/'Peers Stock History'!I$1833*100</f>
        <v>136.75065160729801</v>
      </c>
      <c r="I1635" s="871">
        <f>'Peers Stock History'!J1638/'Peers Stock History'!J$1833*100</f>
        <v>104.131105672023</v>
      </c>
      <c r="J1635" s="871">
        <f>'Peers Stock History'!K1638/'Peers Stock History'!K$1833*100</f>
        <v>108.29024785890053</v>
      </c>
    </row>
    <row r="1636" spans="2:10">
      <c r="B1636" s="873">
        <v>42975</v>
      </c>
      <c r="C1636" s="871">
        <f>'Peers Stock History'!D1639/'Peers Stock History'!D$1833*100</f>
        <v>96.116504854368941</v>
      </c>
      <c r="D1636" s="871">
        <f>'Peers Stock History'!E1639/'Peers Stock History'!E$1833*100</f>
        <v>151.34862385321102</v>
      </c>
      <c r="E1636" s="871">
        <f>'Peers Stock History'!F1639/'Peers Stock History'!F$1833*100</f>
        <v>91.954887218045116</v>
      </c>
      <c r="F1636" s="871">
        <f>'Peers Stock History'!G1639/'Peers Stock History'!G$1833*100</f>
        <v>116.67267517978115</v>
      </c>
      <c r="G1636" s="871">
        <f>'Peers Stock History'!H1639/'Peers Stock History'!H$1833*100</f>
        <v>118.08825671149083</v>
      </c>
      <c r="H1636" s="871">
        <f>'Peers Stock History'!I1639/'Peers Stock History'!I$1833*100</f>
        <v>135.01303214596004</v>
      </c>
      <c r="I1636" s="871">
        <f>'Peers Stock History'!J1639/'Peers Stock History'!J$1833*100</f>
        <v>104.04341811216344</v>
      </c>
      <c r="J1636" s="871">
        <f>'Peers Stock History'!K1639/'Peers Stock History'!K$1833*100</f>
        <v>107.96597267090992</v>
      </c>
    </row>
    <row r="1637" spans="2:10">
      <c r="B1637" s="873">
        <v>42974</v>
      </c>
      <c r="C1637" s="871">
        <f>'Peers Stock History'!D1640/'Peers Stock History'!D$1833*100</f>
        <v>96.171983356449388</v>
      </c>
      <c r="D1637" s="871">
        <f>'Peers Stock History'!E1640/'Peers Stock History'!E$1833*100</f>
        <v>150.28440366972478</v>
      </c>
      <c r="E1637" s="871">
        <f>'Peers Stock History'!F1640/'Peers Stock History'!F$1833*100</f>
        <v>93.458646616541344</v>
      </c>
      <c r="F1637" s="871">
        <f>'Peers Stock History'!G1640/'Peers Stock History'!G$1833*100</f>
        <v>117.58050843657834</v>
      </c>
      <c r="G1637" s="871">
        <f>'Peers Stock History'!H1640/'Peers Stock History'!H$1833*100</f>
        <v>119.22423418612553</v>
      </c>
      <c r="H1637" s="871">
        <f>'Peers Stock History'!I1640/'Peers Stock History'!I$1833*100</f>
        <v>131.58123370981755</v>
      </c>
      <c r="I1637" s="871">
        <f>'Peers Stock History'!J1640/'Peers Stock History'!J$1833*100</f>
        <v>103.99276364797277</v>
      </c>
      <c r="J1637" s="871">
        <f>'Peers Stock History'!K1640/'Peers Stock History'!K$1833*100</f>
        <v>107.66745597514537</v>
      </c>
    </row>
    <row r="1638" spans="2:10">
      <c r="B1638" s="873">
        <v>42973</v>
      </c>
      <c r="C1638" s="871">
        <f>'Peers Stock History'!D1641/'Peers Stock History'!D$1833*100</f>
        <v>96.171983356449388</v>
      </c>
      <c r="D1638" s="871">
        <f>'Peers Stock History'!E1641/'Peers Stock History'!E$1833*100</f>
        <v>150.28440366972478</v>
      </c>
      <c r="E1638" s="871">
        <f>'Peers Stock History'!F1641/'Peers Stock History'!F$1833*100</f>
        <v>93.458646616541344</v>
      </c>
      <c r="F1638" s="871">
        <f>'Peers Stock History'!G1641/'Peers Stock History'!G$1833*100</f>
        <v>117.58050843657834</v>
      </c>
      <c r="G1638" s="871">
        <f>'Peers Stock History'!H1641/'Peers Stock History'!H$1833*100</f>
        <v>119.22423418612553</v>
      </c>
      <c r="H1638" s="871">
        <f>'Peers Stock History'!I1641/'Peers Stock History'!I$1833*100</f>
        <v>131.58123370981755</v>
      </c>
      <c r="I1638" s="871">
        <f>'Peers Stock History'!J1641/'Peers Stock History'!J$1833*100</f>
        <v>103.99276364797277</v>
      </c>
      <c r="J1638" s="871">
        <f>'Peers Stock History'!K1641/'Peers Stock History'!K$1833*100</f>
        <v>107.66745597514537</v>
      </c>
    </row>
    <row r="1639" spans="2:10">
      <c r="B1639" s="873">
        <v>42972</v>
      </c>
      <c r="C1639" s="871">
        <f>'Peers Stock History'!D1642/'Peers Stock History'!D$1833*100</f>
        <v>96.171983356449388</v>
      </c>
      <c r="D1639" s="871">
        <f>'Peers Stock History'!E1642/'Peers Stock History'!E$1833*100</f>
        <v>150.28440366972478</v>
      </c>
      <c r="E1639" s="871">
        <f>'Peers Stock History'!F1642/'Peers Stock History'!F$1833*100</f>
        <v>93.458646616541344</v>
      </c>
      <c r="F1639" s="871">
        <f>'Peers Stock History'!G1642/'Peers Stock History'!G$1833*100</f>
        <v>117.58050843657834</v>
      </c>
      <c r="G1639" s="871">
        <f>'Peers Stock History'!H1642/'Peers Stock History'!H$1833*100</f>
        <v>119.22423418612553</v>
      </c>
      <c r="H1639" s="871">
        <f>'Peers Stock History'!I1642/'Peers Stock History'!I$1833*100</f>
        <v>131.58123370981755</v>
      </c>
      <c r="I1639" s="871">
        <f>'Peers Stock History'!J1642/'Peers Stock History'!J$1833*100</f>
        <v>103.99276364797277</v>
      </c>
      <c r="J1639" s="871">
        <f>'Peers Stock History'!K1642/'Peers Stock History'!K$1833*100</f>
        <v>107.66745597514537</v>
      </c>
    </row>
    <row r="1640" spans="2:10">
      <c r="B1640" s="873">
        <v>42971</v>
      </c>
      <c r="C1640" s="871">
        <f>'Peers Stock History'!D1643/'Peers Stock History'!D$1833*100</f>
        <v>96.282940360610269</v>
      </c>
      <c r="D1640" s="871">
        <f>'Peers Stock History'!E1643/'Peers Stock History'!E$1833*100</f>
        <v>151.55045871559633</v>
      </c>
      <c r="E1640" s="871">
        <f>'Peers Stock History'!F1643/'Peers Stock History'!F$1833*100</f>
        <v>93.984962406015043</v>
      </c>
      <c r="F1640" s="871">
        <f>'Peers Stock History'!G1643/'Peers Stock History'!G$1833*100</f>
        <v>116.72833178405088</v>
      </c>
      <c r="G1640" s="871">
        <f>'Peers Stock History'!H1643/'Peers Stock History'!H$1833*100</f>
        <v>123.81669013058887</v>
      </c>
      <c r="H1640" s="871">
        <f>'Peers Stock History'!I1643/'Peers Stock History'!I$1833*100</f>
        <v>131.27715030408339</v>
      </c>
      <c r="I1640" s="871">
        <f>'Peers Stock History'!J1643/'Peers Stock History'!J$1833*100</f>
        <v>103.81909119931892</v>
      </c>
      <c r="J1640" s="871">
        <f>'Peers Stock History'!K1643/'Peers Stock History'!K$1833*100</f>
        <v>107.7651114196555</v>
      </c>
    </row>
    <row r="1641" spans="2:10">
      <c r="B1641" s="873">
        <v>42970</v>
      </c>
      <c r="C1641" s="871">
        <f>'Peers Stock History'!D1644/'Peers Stock History'!D$1833*100</f>
        <v>96.144244105409143</v>
      </c>
      <c r="D1641" s="871">
        <f>'Peers Stock History'!E1644/'Peers Stock History'!E$1833*100</f>
        <v>152.11009174311926</v>
      </c>
      <c r="E1641" s="871">
        <f>'Peers Stock History'!F1644/'Peers Stock History'!F$1833*100</f>
        <v>93.834586466165419</v>
      </c>
      <c r="F1641" s="871">
        <f>'Peers Stock History'!G1644/'Peers Stock History'!G$1833*100</f>
        <v>115.81039603008554</v>
      </c>
      <c r="G1641" s="871">
        <f>'Peers Stock History'!H1644/'Peers Stock History'!H$1833*100</f>
        <v>124.72450118937812</v>
      </c>
      <c r="H1641" s="871">
        <f>'Peers Stock History'!I1644/'Peers Stock History'!I$1833*100</f>
        <v>132.27628149435273</v>
      </c>
      <c r="I1641" s="871">
        <f>'Peers Stock History'!J1644/'Peers Stock History'!J$1833*100</f>
        <v>104.03490475683728</v>
      </c>
      <c r="J1641" s="871">
        <f>'Peers Stock History'!K1644/'Peers Stock History'!K$1833*100</f>
        <v>107.88677261042301</v>
      </c>
    </row>
    <row r="1642" spans="2:10">
      <c r="B1642" s="873">
        <v>42969</v>
      </c>
      <c r="C1642" s="871">
        <f>'Peers Stock History'!D1645/'Peers Stock History'!D$1833*100</f>
        <v>96.116504854368941</v>
      </c>
      <c r="D1642" s="871">
        <f>'Peers Stock History'!E1645/'Peers Stock History'!E$1833*100</f>
        <v>149.12844036697248</v>
      </c>
      <c r="E1642" s="871">
        <f>'Peers Stock History'!F1645/'Peers Stock History'!F$1833*100</f>
        <v>91.503759398496229</v>
      </c>
      <c r="F1642" s="871">
        <f>'Peers Stock History'!G1645/'Peers Stock History'!G$1833*100</f>
        <v>115.25395514660586</v>
      </c>
      <c r="G1642" s="871">
        <f>'Peers Stock History'!H1645/'Peers Stock History'!H$1833*100</f>
        <v>123.88465459488324</v>
      </c>
      <c r="H1642" s="871">
        <f>'Peers Stock History'!I1645/'Peers Stock History'!I$1833*100</f>
        <v>132.27628149435273</v>
      </c>
      <c r="I1642" s="871">
        <f>'Peers Stock History'!J1645/'Peers Stock History'!J$1833*100</f>
        <v>104.3954453549005</v>
      </c>
      <c r="J1642" s="871">
        <f>'Peers Stock History'!K1645/'Peers Stock History'!K$1833*100</f>
        <v>108.21450173899896</v>
      </c>
    </row>
    <row r="1643" spans="2:10">
      <c r="B1643" s="873">
        <v>42968</v>
      </c>
      <c r="C1643" s="871">
        <f>'Peers Stock History'!D1646/'Peers Stock History'!D$1833*100</f>
        <v>96.86546463245493</v>
      </c>
      <c r="D1643" s="871">
        <f>'Peers Stock History'!E1646/'Peers Stock History'!E$1833*100</f>
        <v>146.00917431192661</v>
      </c>
      <c r="E1643" s="871">
        <f>'Peers Stock History'!F1646/'Peers Stock History'!F$1833*100</f>
        <v>90.601503759398497</v>
      </c>
      <c r="F1643" s="871">
        <f>'Peers Stock History'!G1646/'Peers Stock History'!G$1833*100</f>
        <v>113.52202147232997</v>
      </c>
      <c r="G1643" s="871">
        <f>'Peers Stock History'!H1646/'Peers Stock History'!H$1833*100</f>
        <v>121.18063983688528</v>
      </c>
      <c r="H1643" s="871">
        <f>'Peers Stock History'!I1646/'Peers Stock History'!I$1833*100</f>
        <v>128.41007819287574</v>
      </c>
      <c r="I1643" s="871">
        <f>'Peers Stock History'!J1646/'Peers Stock History'!J$1833*100</f>
        <v>103.36788336703202</v>
      </c>
      <c r="J1643" s="871">
        <f>'Peers Stock History'!K1646/'Peers Stock History'!K$1833*100</f>
        <v>106.76503237424907</v>
      </c>
    </row>
    <row r="1644" spans="2:10">
      <c r="B1644" s="873">
        <v>42967</v>
      </c>
      <c r="C1644" s="871">
        <f>'Peers Stock History'!D1647/'Peers Stock History'!D$1833*100</f>
        <v>97.115117891816922</v>
      </c>
      <c r="D1644" s="871">
        <f>'Peers Stock History'!E1647/'Peers Stock History'!E$1833*100</f>
        <v>148.16513761467891</v>
      </c>
      <c r="E1644" s="871">
        <f>'Peers Stock History'!F1647/'Peers Stock History'!F$1833*100</f>
        <v>93.007518796992471</v>
      </c>
      <c r="F1644" s="871">
        <f>'Peers Stock History'!G1647/'Peers Stock History'!G$1833*100</f>
        <v>114.05500529659164</v>
      </c>
      <c r="G1644" s="871">
        <f>'Peers Stock History'!H1647/'Peers Stock History'!H$1833*100</f>
        <v>121.05927472207387</v>
      </c>
      <c r="H1644" s="871">
        <f>'Peers Stock History'!I1647/'Peers Stock History'!I$1833*100</f>
        <v>131.9721980886186</v>
      </c>
      <c r="I1644" s="871">
        <f>'Peers Stock History'!J1647/'Peers Stock History'!J$1833*100</f>
        <v>103.24784505693307</v>
      </c>
      <c r="J1644" s="871">
        <f>'Peers Stock History'!K1647/'Peers Stock History'!K$1833*100</f>
        <v>106.82345723987187</v>
      </c>
    </row>
    <row r="1645" spans="2:10">
      <c r="B1645" s="873">
        <v>42966</v>
      </c>
      <c r="C1645" s="871">
        <f>'Peers Stock History'!D1648/'Peers Stock History'!D$1833*100</f>
        <v>97.115117891816922</v>
      </c>
      <c r="D1645" s="871">
        <f>'Peers Stock History'!E1648/'Peers Stock History'!E$1833*100</f>
        <v>148.16513761467891</v>
      </c>
      <c r="E1645" s="871">
        <f>'Peers Stock History'!F1648/'Peers Stock History'!F$1833*100</f>
        <v>93.007518796992471</v>
      </c>
      <c r="F1645" s="871">
        <f>'Peers Stock History'!G1648/'Peers Stock History'!G$1833*100</f>
        <v>114.05500529659164</v>
      </c>
      <c r="G1645" s="871">
        <f>'Peers Stock History'!H1648/'Peers Stock History'!H$1833*100</f>
        <v>121.05927472207387</v>
      </c>
      <c r="H1645" s="871">
        <f>'Peers Stock History'!I1648/'Peers Stock History'!I$1833*100</f>
        <v>131.9721980886186</v>
      </c>
      <c r="I1645" s="871">
        <f>'Peers Stock History'!J1648/'Peers Stock History'!J$1833*100</f>
        <v>103.24784505693307</v>
      </c>
      <c r="J1645" s="871">
        <f>'Peers Stock History'!K1648/'Peers Stock History'!K$1833*100</f>
        <v>106.82345723987187</v>
      </c>
    </row>
    <row r="1646" spans="2:10">
      <c r="B1646" s="873">
        <v>42965</v>
      </c>
      <c r="C1646" s="871">
        <f>'Peers Stock History'!D1649/'Peers Stock History'!D$1833*100</f>
        <v>97.115117891816922</v>
      </c>
      <c r="D1646" s="871">
        <f>'Peers Stock History'!E1649/'Peers Stock History'!E$1833*100</f>
        <v>148.16513761467891</v>
      </c>
      <c r="E1646" s="871">
        <f>'Peers Stock History'!F1649/'Peers Stock History'!F$1833*100</f>
        <v>93.007518796992471</v>
      </c>
      <c r="F1646" s="871">
        <f>'Peers Stock History'!G1649/'Peers Stock History'!G$1833*100</f>
        <v>114.05500529659164</v>
      </c>
      <c r="G1646" s="871">
        <f>'Peers Stock History'!H1649/'Peers Stock History'!H$1833*100</f>
        <v>121.05927472207387</v>
      </c>
      <c r="H1646" s="871">
        <f>'Peers Stock History'!I1649/'Peers Stock History'!I$1833*100</f>
        <v>131.9721980886186</v>
      </c>
      <c r="I1646" s="871">
        <f>'Peers Stock History'!J1649/'Peers Stock History'!J$1833*100</f>
        <v>103.24784505693307</v>
      </c>
      <c r="J1646" s="871">
        <f>'Peers Stock History'!K1649/'Peers Stock History'!K$1833*100</f>
        <v>106.82345723987187</v>
      </c>
    </row>
    <row r="1647" spans="2:10">
      <c r="B1647" s="873">
        <v>42964</v>
      </c>
      <c r="C1647" s="871">
        <f>'Peers Stock History'!D1650/'Peers Stock History'!D$1833*100</f>
        <v>97.558945908460487</v>
      </c>
      <c r="D1647" s="871">
        <f>'Peers Stock History'!E1650/'Peers Stock History'!E$1833*100</f>
        <v>148.13761467889907</v>
      </c>
      <c r="E1647" s="871">
        <f>'Peers Stock History'!F1650/'Peers Stock History'!F$1833*100</f>
        <v>92.781954887218049</v>
      </c>
      <c r="F1647" s="871">
        <f>'Peers Stock History'!G1650/'Peers Stock History'!G$1833*100</f>
        <v>114.8752604996006</v>
      </c>
      <c r="G1647" s="871">
        <f>'Peers Stock History'!H1650/'Peers Stock History'!H$1833*100</f>
        <v>119.88446041069953</v>
      </c>
      <c r="H1647" s="871">
        <f>'Peers Stock History'!I1650/'Peers Stock History'!I$1833*100</f>
        <v>128.67072111207648</v>
      </c>
      <c r="I1647" s="871">
        <f>'Peers Stock History'!J1650/'Peers Stock History'!J$1833*100</f>
        <v>103.43769288070661</v>
      </c>
      <c r="J1647" s="871">
        <f>'Peers Stock History'!K1650/'Peers Stock History'!K$1833*100</f>
        <v>106.91602628431602</v>
      </c>
    </row>
    <row r="1648" spans="2:10">
      <c r="B1648" s="873">
        <v>42963</v>
      </c>
      <c r="C1648" s="871">
        <f>'Peers Stock History'!D1651/'Peers Stock History'!D$1833*100</f>
        <v>99.334257975034689</v>
      </c>
      <c r="D1648" s="871">
        <f>'Peers Stock History'!E1651/'Peers Stock History'!E$1833*100</f>
        <v>151.51376146788991</v>
      </c>
      <c r="E1648" s="871">
        <f>'Peers Stock History'!F1651/'Peers Stock History'!F$1833*100</f>
        <v>94.962406015037587</v>
      </c>
      <c r="F1648" s="871">
        <f>'Peers Stock History'!G1651/'Peers Stock History'!G$1833*100</f>
        <v>114.31959808679592</v>
      </c>
      <c r="G1648" s="871">
        <f>'Peers Stock History'!H1651/'Peers Stock History'!H$1833*100</f>
        <v>123.02538958201853</v>
      </c>
      <c r="H1648" s="871">
        <f>'Peers Stock History'!I1651/'Peers Stock History'!I$1833*100</f>
        <v>133.31885317115552</v>
      </c>
      <c r="I1648" s="871">
        <f>'Peers Stock History'!J1651/'Peers Stock History'!J$1833*100</f>
        <v>105.0594870703416</v>
      </c>
      <c r="J1648" s="871">
        <f>'Peers Stock History'!K1651/'Peers Stock History'!K$1833*100</f>
        <v>109.0329825550225</v>
      </c>
    </row>
    <row r="1649" spans="2:10">
      <c r="B1649" s="873">
        <v>42962</v>
      </c>
      <c r="C1649" s="871">
        <f>'Peers Stock History'!D1652/'Peers Stock History'!D$1833*100</f>
        <v>99.861303744798903</v>
      </c>
      <c r="D1649" s="871">
        <f>'Peers Stock History'!E1652/'Peers Stock History'!E$1833*100</f>
        <v>153.1926605504587</v>
      </c>
      <c r="E1649" s="871">
        <f>'Peers Stock History'!F1652/'Peers Stock History'!F$1833*100</f>
        <v>97.89473684210526</v>
      </c>
      <c r="F1649" s="871">
        <f>'Peers Stock History'!G1652/'Peers Stock History'!G$1833*100</f>
        <v>114.9435347744798</v>
      </c>
      <c r="G1649" s="871">
        <f>'Peers Stock History'!H1652/'Peers Stock History'!H$1833*100</f>
        <v>123.15646390601485</v>
      </c>
      <c r="H1649" s="871">
        <f>'Peers Stock History'!I1652/'Peers Stock History'!I$1833*100</f>
        <v>128.93136403127716</v>
      </c>
      <c r="I1649" s="871">
        <f>'Peers Stock History'!J1652/'Peers Stock History'!J$1833*100</f>
        <v>104.91050335213366</v>
      </c>
      <c r="J1649" s="871">
        <f>'Peers Stock History'!K1652/'Peers Stock History'!K$1833*100</f>
        <v>108.82512750367735</v>
      </c>
    </row>
    <row r="1650" spans="2:10">
      <c r="B1650" s="873">
        <v>42961</v>
      </c>
      <c r="C1650" s="871">
        <f>'Peers Stock History'!D1653/'Peers Stock History'!D$1833*100</f>
        <v>100.80443828016645</v>
      </c>
      <c r="D1650" s="871">
        <f>'Peers Stock History'!E1653/'Peers Stock History'!E$1833*100</f>
        <v>154.49541284403671</v>
      </c>
      <c r="E1650" s="871">
        <f>'Peers Stock History'!F1653/'Peers Stock History'!F$1833*100</f>
        <v>95.939849624060145</v>
      </c>
      <c r="F1650" s="871">
        <f>'Peers Stock History'!G1653/'Peers Stock History'!G$1833*100</f>
        <v>113.34340411710554</v>
      </c>
      <c r="G1650" s="871">
        <f>'Peers Stock History'!H1653/'Peers Stock History'!H$1833*100</f>
        <v>121.80688382931208</v>
      </c>
      <c r="H1650" s="871">
        <f>'Peers Stock History'!I1653/'Peers Stock History'!I$1833*100</f>
        <v>127.01998262380539</v>
      </c>
      <c r="I1650" s="871">
        <f>'Peers Stock History'!J1653/'Peers Stock History'!J$1833*100</f>
        <v>104.96286048738961</v>
      </c>
      <c r="J1650" s="871">
        <f>'Peers Stock History'!K1653/'Peers Stock History'!K$1833*100</f>
        <v>108.94917724042176</v>
      </c>
    </row>
    <row r="1651" spans="2:10">
      <c r="B1651" s="873">
        <v>42960</v>
      </c>
      <c r="C1651" s="871">
        <f>'Peers Stock History'!D1654/'Peers Stock History'!D$1833*100</f>
        <v>99.500693481276002</v>
      </c>
      <c r="D1651" s="871">
        <f>'Peers Stock History'!E1654/'Peers Stock History'!E$1833*100</f>
        <v>143.08256880733944</v>
      </c>
      <c r="E1651" s="871">
        <f>'Peers Stock History'!F1654/'Peers Stock History'!F$1833*100</f>
        <v>91.954887218045116</v>
      </c>
      <c r="F1651" s="871">
        <f>'Peers Stock History'!G1654/'Peers Stock History'!G$1833*100</f>
        <v>113.96476000689375</v>
      </c>
      <c r="G1651" s="871">
        <f>'Peers Stock History'!H1654/'Peers Stock History'!H$1833*100</f>
        <v>118.5348803339968</v>
      </c>
      <c r="H1651" s="871">
        <f>'Peers Stock History'!I1654/'Peers Stock History'!I$1833*100</f>
        <v>121.67680278019115</v>
      </c>
      <c r="I1651" s="871">
        <f>'Peers Stock History'!J1654/'Peers Stock History'!J$1833*100</f>
        <v>103.91912312440141</v>
      </c>
      <c r="J1651" s="871">
        <f>'Peers Stock History'!K1654/'Peers Stock History'!K$1833*100</f>
        <v>107.51128974609242</v>
      </c>
    </row>
    <row r="1652" spans="2:10">
      <c r="B1652" s="873">
        <v>42959</v>
      </c>
      <c r="C1652" s="871">
        <f>'Peers Stock History'!D1655/'Peers Stock History'!D$1833*100</f>
        <v>99.500693481276002</v>
      </c>
      <c r="D1652" s="871">
        <f>'Peers Stock History'!E1655/'Peers Stock History'!E$1833*100</f>
        <v>143.08256880733944</v>
      </c>
      <c r="E1652" s="871">
        <f>'Peers Stock History'!F1655/'Peers Stock History'!F$1833*100</f>
        <v>91.954887218045116</v>
      </c>
      <c r="F1652" s="871">
        <f>'Peers Stock History'!G1655/'Peers Stock History'!G$1833*100</f>
        <v>113.96476000689375</v>
      </c>
      <c r="G1652" s="871">
        <f>'Peers Stock History'!H1655/'Peers Stock History'!H$1833*100</f>
        <v>118.5348803339968</v>
      </c>
      <c r="H1652" s="871">
        <f>'Peers Stock History'!I1655/'Peers Stock History'!I$1833*100</f>
        <v>121.67680278019115</v>
      </c>
      <c r="I1652" s="871">
        <f>'Peers Stock History'!J1655/'Peers Stock History'!J$1833*100</f>
        <v>103.91912312440141</v>
      </c>
      <c r="J1652" s="871">
        <f>'Peers Stock History'!K1655/'Peers Stock History'!K$1833*100</f>
        <v>107.51128974609242</v>
      </c>
    </row>
    <row r="1653" spans="2:10">
      <c r="B1653" s="873">
        <v>42958</v>
      </c>
      <c r="C1653" s="871">
        <f>'Peers Stock History'!D1656/'Peers Stock History'!D$1833*100</f>
        <v>99.500693481276002</v>
      </c>
      <c r="D1653" s="871">
        <f>'Peers Stock History'!E1656/'Peers Stock History'!E$1833*100</f>
        <v>143.08256880733944</v>
      </c>
      <c r="E1653" s="871">
        <f>'Peers Stock History'!F1656/'Peers Stock History'!F$1833*100</f>
        <v>91.954887218045116</v>
      </c>
      <c r="F1653" s="871">
        <f>'Peers Stock History'!G1656/'Peers Stock History'!G$1833*100</f>
        <v>113.96476000689375</v>
      </c>
      <c r="G1653" s="871">
        <f>'Peers Stock History'!H1656/'Peers Stock History'!H$1833*100</f>
        <v>118.5348803339968</v>
      </c>
      <c r="H1653" s="871">
        <f>'Peers Stock History'!I1656/'Peers Stock History'!I$1833*100</f>
        <v>121.67680278019115</v>
      </c>
      <c r="I1653" s="871">
        <f>'Peers Stock History'!J1656/'Peers Stock History'!J$1833*100</f>
        <v>103.91912312440141</v>
      </c>
      <c r="J1653" s="871">
        <f>'Peers Stock History'!K1656/'Peers Stock History'!K$1833*100</f>
        <v>107.51128974609242</v>
      </c>
    </row>
    <row r="1654" spans="2:10">
      <c r="B1654" s="873">
        <v>42957</v>
      </c>
      <c r="C1654" s="871">
        <f>'Peers Stock History'!D1657/'Peers Stock History'!D$1833*100</f>
        <v>100.24965325936202</v>
      </c>
      <c r="D1654" s="871">
        <f>'Peers Stock History'!E1657/'Peers Stock History'!E$1833*100</f>
        <v>151.1376146788991</v>
      </c>
      <c r="E1654" s="871">
        <f>'Peers Stock History'!F1657/'Peers Stock History'!F$1833*100</f>
        <v>91.127819548872168</v>
      </c>
      <c r="F1654" s="871">
        <f>'Peers Stock History'!G1657/'Peers Stock History'!G$1833*100</f>
        <v>114.79192422937068</v>
      </c>
      <c r="G1654" s="871">
        <f>'Peers Stock History'!H1657/'Peers Stock History'!H$1833*100</f>
        <v>116.85518714500705</v>
      </c>
      <c r="H1654" s="871">
        <f>'Peers Stock History'!I1657/'Peers Stock History'!I$1833*100</f>
        <v>119.41789748045177</v>
      </c>
      <c r="I1654" s="871">
        <f>'Peers Stock History'!J1657/'Peers Stock History'!J$1833*100</f>
        <v>103.7867404490795</v>
      </c>
      <c r="J1654" s="871">
        <f>'Peers Stock History'!K1657/'Peers Stock History'!K$1833*100</f>
        <v>106.82938564535421</v>
      </c>
    </row>
    <row r="1655" spans="2:10">
      <c r="B1655" s="873">
        <v>42956</v>
      </c>
      <c r="C1655" s="871">
        <f>'Peers Stock History'!D1658/'Peers Stock History'!D$1833*100</f>
        <v>101.49791955617201</v>
      </c>
      <c r="D1655" s="871">
        <f>'Peers Stock History'!E1658/'Peers Stock History'!E$1833*100</f>
        <v>157.89908256880736</v>
      </c>
      <c r="E1655" s="871">
        <f>'Peers Stock History'!F1658/'Peers Stock History'!F$1833*100</f>
        <v>96.46616541353383</v>
      </c>
      <c r="F1655" s="871">
        <f>'Peers Stock History'!G1658/'Peers Stock History'!G$1833*100</f>
        <v>115.52105585378226</v>
      </c>
      <c r="G1655" s="871">
        <f>'Peers Stock History'!H1658/'Peers Stock History'!H$1833*100</f>
        <v>120.96218263022476</v>
      </c>
      <c r="H1655" s="871">
        <f>'Peers Stock History'!I1658/'Peers Stock History'!I$1833*100</f>
        <v>124.15291051259774</v>
      </c>
      <c r="I1655" s="871">
        <f>'Peers Stock History'!J1658/'Peers Stock History'!J$1833*100</f>
        <v>105.31105672022987</v>
      </c>
      <c r="J1655" s="871">
        <f>'Peers Stock History'!K1658/'Peers Stock History'!K$1833*100</f>
        <v>109.15710102690295</v>
      </c>
    </row>
    <row r="1656" spans="2:10">
      <c r="B1656" s="873">
        <v>42955</v>
      </c>
      <c r="C1656" s="871">
        <f>'Peers Stock History'!D1659/'Peers Stock History'!D$1833*100</f>
        <v>100.998613037448</v>
      </c>
      <c r="D1656" s="871">
        <f>'Peers Stock History'!E1659/'Peers Stock History'!E$1833*100</f>
        <v>156.23853211009177</v>
      </c>
      <c r="E1656" s="871">
        <f>'Peers Stock History'!F1659/'Peers Stock History'!F$1833*100</f>
        <v>98.571428571428569</v>
      </c>
      <c r="F1656" s="871">
        <f>'Peers Stock History'!G1659/'Peers Stock History'!G$1833*100</f>
        <v>117.24153619739806</v>
      </c>
      <c r="G1656" s="871">
        <f>'Peers Stock History'!H1659/'Peers Stock History'!H$1833*100</f>
        <v>122.02534103597262</v>
      </c>
      <c r="H1656" s="871">
        <f>'Peers Stock History'!I1659/'Peers Stock History'!I$1833*100</f>
        <v>125.28236316246742</v>
      </c>
      <c r="I1656" s="871">
        <f>'Peers Stock History'!J1659/'Peers Stock History'!J$1833*100</f>
        <v>105.34936681919763</v>
      </c>
      <c r="J1656" s="871">
        <f>'Peers Stock History'!K1659/'Peers Stock History'!K$1833*100</f>
        <v>109.46860866337656</v>
      </c>
    </row>
    <row r="1657" spans="2:10">
      <c r="B1657" s="873">
        <v>42954</v>
      </c>
      <c r="C1657" s="871">
        <f>'Peers Stock History'!D1660/'Peers Stock History'!D$1833*100</f>
        <v>101.05409153952844</v>
      </c>
      <c r="D1657" s="871">
        <f>'Peers Stock History'!E1660/'Peers Stock History'!E$1833*100</f>
        <v>158.11926605504587</v>
      </c>
      <c r="E1657" s="871">
        <f>'Peers Stock History'!F1660/'Peers Stock History'!F$1833*100</f>
        <v>100.97744360902254</v>
      </c>
      <c r="F1657" s="871">
        <f>'Peers Stock History'!G1660/'Peers Stock History'!G$1833*100</f>
        <v>116.29424391720011</v>
      </c>
      <c r="G1657" s="871">
        <f>'Peers Stock History'!H1660/'Peers Stock History'!H$1833*100</f>
        <v>122.54963833195787</v>
      </c>
      <c r="H1657" s="871">
        <f>'Peers Stock History'!I1660/'Peers Stock History'!I$1833*100</f>
        <v>124.1963509991312</v>
      </c>
      <c r="I1657" s="871">
        <f>'Peers Stock History'!J1660/'Peers Stock History'!J$1833*100</f>
        <v>105.60434181121634</v>
      </c>
      <c r="J1657" s="871">
        <f>'Peers Stock History'!K1660/'Peers Stock History'!K$1833*100</f>
        <v>109.69735919607386</v>
      </c>
    </row>
    <row r="1658" spans="2:10">
      <c r="B1658" s="873">
        <v>42953</v>
      </c>
      <c r="C1658" s="871">
        <f>'Peers Stock History'!D1661/'Peers Stock History'!D$1833*100</f>
        <v>100.69348127600554</v>
      </c>
      <c r="D1658" s="871">
        <f>'Peers Stock History'!E1661/'Peers Stock History'!E$1833*100</f>
        <v>153.40366972477065</v>
      </c>
      <c r="E1658" s="871">
        <f>'Peers Stock History'!F1661/'Peers Stock History'!F$1833*100</f>
        <v>98.646616541353367</v>
      </c>
      <c r="F1658" s="871">
        <f>'Peers Stock History'!G1661/'Peers Stock History'!G$1833*100</f>
        <v>114.74360692826112</v>
      </c>
      <c r="G1658" s="871">
        <f>'Peers Stock History'!H1661/'Peers Stock History'!H$1833*100</f>
        <v>120.96218263022476</v>
      </c>
      <c r="H1658" s="871">
        <f>'Peers Stock History'!I1661/'Peers Stock History'!I$1833*100</f>
        <v>121.28583840139011</v>
      </c>
      <c r="I1658" s="871">
        <f>'Peers Stock History'!J1661/'Peers Stock History'!J$1833*100</f>
        <v>105.43066936256251</v>
      </c>
      <c r="J1658" s="871">
        <f>'Peers Stock History'!K1661/'Peers Stock History'!K$1833*100</f>
        <v>109.14390388078579</v>
      </c>
    </row>
    <row r="1659" spans="2:10">
      <c r="B1659" s="873">
        <v>42952</v>
      </c>
      <c r="C1659" s="871">
        <f>'Peers Stock History'!D1662/'Peers Stock History'!D$1833*100</f>
        <v>100.69348127600554</v>
      </c>
      <c r="D1659" s="871">
        <f>'Peers Stock History'!E1662/'Peers Stock History'!E$1833*100</f>
        <v>153.40366972477065</v>
      </c>
      <c r="E1659" s="871">
        <f>'Peers Stock History'!F1662/'Peers Stock History'!F$1833*100</f>
        <v>98.646616541353367</v>
      </c>
      <c r="F1659" s="871">
        <f>'Peers Stock History'!G1662/'Peers Stock History'!G$1833*100</f>
        <v>114.74360692826112</v>
      </c>
      <c r="G1659" s="871">
        <f>'Peers Stock History'!H1662/'Peers Stock History'!H$1833*100</f>
        <v>120.96218263022476</v>
      </c>
      <c r="H1659" s="871">
        <f>'Peers Stock History'!I1662/'Peers Stock History'!I$1833*100</f>
        <v>121.28583840139011</v>
      </c>
      <c r="I1659" s="871">
        <f>'Peers Stock History'!J1662/'Peers Stock History'!J$1833*100</f>
        <v>105.43066936256251</v>
      </c>
      <c r="J1659" s="871">
        <f>'Peers Stock History'!K1662/'Peers Stock History'!K$1833*100</f>
        <v>109.14390388078579</v>
      </c>
    </row>
    <row r="1660" spans="2:10">
      <c r="B1660" s="873">
        <v>42951</v>
      </c>
      <c r="C1660" s="871">
        <f>'Peers Stock History'!D1663/'Peers Stock History'!D$1833*100</f>
        <v>100.69348127600554</v>
      </c>
      <c r="D1660" s="871">
        <f>'Peers Stock History'!E1663/'Peers Stock History'!E$1833*100</f>
        <v>153.40366972477065</v>
      </c>
      <c r="E1660" s="871">
        <f>'Peers Stock History'!F1663/'Peers Stock History'!F$1833*100</f>
        <v>98.646616541353367</v>
      </c>
      <c r="F1660" s="871">
        <f>'Peers Stock History'!G1663/'Peers Stock History'!G$1833*100</f>
        <v>114.74360692826112</v>
      </c>
      <c r="G1660" s="871">
        <f>'Peers Stock History'!H1663/'Peers Stock History'!H$1833*100</f>
        <v>120.96218263022476</v>
      </c>
      <c r="H1660" s="871">
        <f>'Peers Stock History'!I1663/'Peers Stock History'!I$1833*100</f>
        <v>121.28583840139011</v>
      </c>
      <c r="I1660" s="871">
        <f>'Peers Stock History'!J1663/'Peers Stock History'!J$1833*100</f>
        <v>105.43066936256251</v>
      </c>
      <c r="J1660" s="871">
        <f>'Peers Stock History'!K1663/'Peers Stock History'!K$1833*100</f>
        <v>109.14390388078579</v>
      </c>
    </row>
    <row r="1661" spans="2:10">
      <c r="B1661" s="873">
        <v>42950</v>
      </c>
      <c r="C1661" s="871">
        <f>'Peers Stock History'!D1664/'Peers Stock History'!D$1833*100</f>
        <v>101.22052704576978</v>
      </c>
      <c r="D1661" s="871">
        <f>'Peers Stock History'!E1664/'Peers Stock History'!E$1833*100</f>
        <v>152.73394495412842</v>
      </c>
      <c r="E1661" s="871">
        <f>'Peers Stock History'!F1664/'Peers Stock History'!F$1833*100</f>
        <v>99.548872180451127</v>
      </c>
      <c r="F1661" s="871">
        <f>'Peers Stock History'!G1664/'Peers Stock History'!G$1833*100</f>
        <v>114.98249615283214</v>
      </c>
      <c r="G1661" s="871">
        <f>'Peers Stock History'!H1664/'Peers Stock History'!H$1833*100</f>
        <v>121.50589834457983</v>
      </c>
      <c r="H1661" s="871">
        <f>'Peers Stock History'!I1664/'Peers Stock History'!I$1833*100</f>
        <v>120.89487402258905</v>
      </c>
      <c r="I1661" s="871">
        <f>'Peers Stock History'!J1664/'Peers Stock History'!J$1833*100</f>
        <v>105.23188251569648</v>
      </c>
      <c r="J1661" s="871">
        <f>'Peers Stock History'!K1664/'Peers Stock History'!K$1833*100</f>
        <v>108.9510502728785</v>
      </c>
    </row>
    <row r="1662" spans="2:10">
      <c r="B1662" s="873">
        <v>42949</v>
      </c>
      <c r="C1662" s="871">
        <f>'Peers Stock History'!D1665/'Peers Stock History'!D$1833*100</f>
        <v>101.6366158113731</v>
      </c>
      <c r="D1662" s="871">
        <f>'Peers Stock History'!E1665/'Peers Stock History'!E$1833*100</f>
        <v>150.81651376146789</v>
      </c>
      <c r="E1662" s="871">
        <f>'Peers Stock History'!F1665/'Peers Stock History'!F$1833*100</f>
        <v>100.52631578947367</v>
      </c>
      <c r="F1662" s="871">
        <f>'Peers Stock History'!G1665/'Peers Stock History'!G$1833*100</f>
        <v>116.23653728916881</v>
      </c>
      <c r="G1662" s="871">
        <f>'Peers Stock History'!H1665/'Peers Stock History'!H$1833*100</f>
        <v>122.9962619544638</v>
      </c>
      <c r="H1662" s="871">
        <f>'Peers Stock History'!I1665/'Peers Stock History'!I$1833*100</f>
        <v>124.37011294526499</v>
      </c>
      <c r="I1662" s="871">
        <f>'Peers Stock History'!J1665/'Peers Stock History'!J$1833*100</f>
        <v>105.46216877726935</v>
      </c>
      <c r="J1662" s="871">
        <f>'Peers Stock History'!K1665/'Peers Stock History'!K$1833*100</f>
        <v>109.33431739136412</v>
      </c>
    </row>
    <row r="1663" spans="2:10">
      <c r="B1663" s="873">
        <v>42948</v>
      </c>
      <c r="C1663" s="871">
        <f>'Peers Stock History'!D1666/'Peers Stock History'!D$1833*100</f>
        <v>100.83217753120668</v>
      </c>
      <c r="D1663" s="871">
        <f>'Peers Stock History'!E1666/'Peers Stock History'!E$1833*100</f>
        <v>150.90825688073394</v>
      </c>
      <c r="E1663" s="871">
        <f>'Peers Stock History'!F1666/'Peers Stock History'!F$1833*100</f>
        <v>103.08270676691728</v>
      </c>
      <c r="F1663" s="871">
        <f>'Peers Stock History'!G1666/'Peers Stock History'!G$1833*100</f>
        <v>114.053824871697</v>
      </c>
      <c r="G1663" s="871">
        <f>'Peers Stock History'!H1666/'Peers Stock History'!H$1833*100</f>
        <v>120.5835234720132</v>
      </c>
      <c r="H1663" s="871">
        <f>'Peers Stock History'!I1666/'Peers Stock History'!I$1833*100</f>
        <v>123.11033883579496</v>
      </c>
      <c r="I1663" s="871">
        <f>'Peers Stock History'!J1666/'Peers Stock History'!J$1833*100</f>
        <v>105.41023730977972</v>
      </c>
      <c r="J1663" s="871">
        <f>'Peers Stock History'!K1666/'Peers Stock History'!K$1833*100</f>
        <v>109.33935224007809</v>
      </c>
    </row>
    <row r="1664" spans="2:10">
      <c r="B1664" s="873">
        <v>42947</v>
      </c>
      <c r="C1664" s="871">
        <f>'Peers Stock History'!D1667/'Peers Stock History'!D$1833*100</f>
        <v>98.39112343966714</v>
      </c>
      <c r="D1664" s="871">
        <f>'Peers Stock History'!E1667/'Peers Stock History'!E$1833*100</f>
        <v>149.09174311926606</v>
      </c>
      <c r="E1664" s="871">
        <f>'Peers Stock History'!F1667/'Peers Stock History'!F$1833*100</f>
        <v>102.33082706766916</v>
      </c>
      <c r="F1664" s="871">
        <f>'Peers Stock History'!G1667/'Peers Stock History'!G$1833*100</f>
        <v>115.54400781693073</v>
      </c>
      <c r="G1664" s="871">
        <f>'Peers Stock History'!H1667/'Peers Stock History'!H$1833*100</f>
        <v>119.74367687751833</v>
      </c>
      <c r="H1664" s="871">
        <f>'Peers Stock History'!I1667/'Peers Stock History'!I$1833*100</f>
        <v>122.15464813205909</v>
      </c>
      <c r="I1664" s="871">
        <f>'Peers Stock History'!J1667/'Peers Stock History'!J$1833*100</f>
        <v>105.15270831116314</v>
      </c>
      <c r="J1664" s="871">
        <f>'Peers Stock History'!K1667/'Peers Stock History'!K$1833*100</f>
        <v>109.08477448001869</v>
      </c>
    </row>
    <row r="1665" spans="2:10">
      <c r="B1665" s="873">
        <v>42946</v>
      </c>
      <c r="C1665" s="871">
        <f>'Peers Stock History'!D1668/'Peers Stock History'!D$1833*100</f>
        <v>97.94729542302359</v>
      </c>
      <c r="D1665" s="871">
        <f>'Peers Stock History'!E1668/'Peers Stock History'!E$1833*100</f>
        <v>150.81651376146789</v>
      </c>
      <c r="E1665" s="871">
        <f>'Peers Stock History'!F1668/'Peers Stock History'!F$1833*100</f>
        <v>104.88721804511276</v>
      </c>
      <c r="F1665" s="871">
        <f>'Peers Stock History'!G1668/'Peers Stock History'!G$1833*100</f>
        <v>114.4328643090162</v>
      </c>
      <c r="G1665" s="871">
        <f>'Peers Stock History'!H1668/'Peers Stock History'!H$1833*100</f>
        <v>121.54473518131948</v>
      </c>
      <c r="H1665" s="871">
        <f>'Peers Stock History'!I1668/'Peers Stock History'!I$1833*100</f>
        <v>127.1937445699392</v>
      </c>
      <c r="I1665" s="871">
        <f>'Peers Stock History'!J1668/'Peers Stock History'!J$1833*100</f>
        <v>105.22932850909865</v>
      </c>
      <c r="J1665" s="871">
        <f>'Peers Stock History'!K1668/'Peers Stock History'!K$1833*100</f>
        <v>109.54107268053284</v>
      </c>
    </row>
    <row r="1666" spans="2:10">
      <c r="B1666" s="873">
        <v>42945</v>
      </c>
      <c r="C1666" s="871">
        <f>'Peers Stock History'!D1669/'Peers Stock History'!D$1833*100</f>
        <v>97.94729542302359</v>
      </c>
      <c r="D1666" s="871">
        <f>'Peers Stock History'!E1669/'Peers Stock History'!E$1833*100</f>
        <v>150.81651376146789</v>
      </c>
      <c r="E1666" s="871">
        <f>'Peers Stock History'!F1669/'Peers Stock History'!F$1833*100</f>
        <v>104.88721804511276</v>
      </c>
      <c r="F1666" s="871">
        <f>'Peers Stock History'!G1669/'Peers Stock History'!G$1833*100</f>
        <v>114.4328643090162</v>
      </c>
      <c r="G1666" s="871">
        <f>'Peers Stock History'!H1669/'Peers Stock History'!H$1833*100</f>
        <v>121.54473518131948</v>
      </c>
      <c r="H1666" s="871">
        <f>'Peers Stock History'!I1669/'Peers Stock History'!I$1833*100</f>
        <v>127.1937445699392</v>
      </c>
      <c r="I1666" s="871">
        <f>'Peers Stock History'!J1669/'Peers Stock History'!J$1833*100</f>
        <v>105.22932850909865</v>
      </c>
      <c r="J1666" s="871">
        <f>'Peers Stock History'!K1669/'Peers Stock History'!K$1833*100</f>
        <v>109.54107268053284</v>
      </c>
    </row>
    <row r="1667" spans="2:10">
      <c r="B1667" s="873">
        <v>42944</v>
      </c>
      <c r="C1667" s="871">
        <f>'Peers Stock History'!D1670/'Peers Stock History'!D$1833*100</f>
        <v>97.94729542302359</v>
      </c>
      <c r="D1667" s="871">
        <f>'Peers Stock History'!E1670/'Peers Stock History'!E$1833*100</f>
        <v>150.81651376146789</v>
      </c>
      <c r="E1667" s="871">
        <f>'Peers Stock History'!F1670/'Peers Stock History'!F$1833*100</f>
        <v>104.88721804511276</v>
      </c>
      <c r="F1667" s="871">
        <f>'Peers Stock History'!G1670/'Peers Stock History'!G$1833*100</f>
        <v>114.4328643090162</v>
      </c>
      <c r="G1667" s="871">
        <f>'Peers Stock History'!H1670/'Peers Stock History'!H$1833*100</f>
        <v>121.54473518131948</v>
      </c>
      <c r="H1667" s="871">
        <f>'Peers Stock History'!I1670/'Peers Stock History'!I$1833*100</f>
        <v>127.1937445699392</v>
      </c>
      <c r="I1667" s="871">
        <f>'Peers Stock History'!J1670/'Peers Stock History'!J$1833*100</f>
        <v>105.22932850909865</v>
      </c>
      <c r="J1667" s="871">
        <f>'Peers Stock History'!K1670/'Peers Stock History'!K$1833*100</f>
        <v>109.54107268053284</v>
      </c>
    </row>
    <row r="1668" spans="2:10">
      <c r="B1668" s="873">
        <v>42943</v>
      </c>
      <c r="C1668" s="871">
        <f>'Peers Stock History'!D1671/'Peers Stock History'!D$1833*100</f>
        <v>97.004160887656028</v>
      </c>
      <c r="D1668" s="871">
        <f>'Peers Stock History'!E1671/'Peers Stock History'!E$1833*100</f>
        <v>148.38532110091745</v>
      </c>
      <c r="E1668" s="871">
        <f>'Peers Stock History'!F1671/'Peers Stock History'!F$1833*100</f>
        <v>106.16541353383457</v>
      </c>
      <c r="F1668" s="871">
        <f>'Peers Stock History'!G1671/'Peers Stock History'!G$1833*100</f>
        <v>115.91762078667711</v>
      </c>
      <c r="G1668" s="871">
        <f>'Peers Stock History'!H1671/'Peers Stock History'!H$1833*100</f>
        <v>121.82630224768192</v>
      </c>
      <c r="H1668" s="871">
        <f>'Peers Stock History'!I1671/'Peers Stock History'!I$1833*100</f>
        <v>131.3640312771503</v>
      </c>
      <c r="I1668" s="871">
        <f>'Peers Stock History'!J1671/'Peers Stock History'!J$1833*100</f>
        <v>105.37065020751304</v>
      </c>
      <c r="J1668" s="871">
        <f>'Peers Stock History'!K1671/'Peers Stock History'!K$1833*100</f>
        <v>109.67010571463922</v>
      </c>
    </row>
    <row r="1669" spans="2:10">
      <c r="B1669" s="873">
        <v>42942</v>
      </c>
      <c r="C1669" s="871">
        <f>'Peers Stock History'!D1672/'Peers Stock History'!D$1833*100</f>
        <v>96.393897364771163</v>
      </c>
      <c r="D1669" s="871">
        <f>'Peers Stock History'!E1672/'Peers Stock History'!E$1833*100</f>
        <v>153.44954128440367</v>
      </c>
      <c r="E1669" s="871">
        <f>'Peers Stock History'!F1672/'Peers Stock History'!F$1833*100</f>
        <v>110.97744360902256</v>
      </c>
      <c r="F1669" s="871">
        <f>'Peers Stock History'!G1672/'Peers Stock History'!G$1833*100</f>
        <v>114.66386585520871</v>
      </c>
      <c r="G1669" s="871">
        <f>'Peers Stock History'!H1672/'Peers Stock History'!H$1833*100</f>
        <v>124.76819263071022</v>
      </c>
      <c r="H1669" s="871">
        <f>'Peers Stock History'!I1672/'Peers Stock History'!I$1833*100</f>
        <v>129.49609035621199</v>
      </c>
      <c r="I1669" s="871">
        <f>'Peers Stock History'!J1672/'Peers Stock History'!J$1833*100</f>
        <v>105.47323613919335</v>
      </c>
      <c r="J1669" s="871">
        <f>'Peers Stock History'!K1672/'Peers Stock History'!K$1833*100</f>
        <v>110.36709717773532</v>
      </c>
    </row>
    <row r="1670" spans="2:10">
      <c r="B1670" s="873">
        <v>42941</v>
      </c>
      <c r="C1670" s="871">
        <f>'Peers Stock History'!D1673/'Peers Stock History'!D$1833*100</f>
        <v>96.171983356449388</v>
      </c>
      <c r="D1670" s="871">
        <f>'Peers Stock History'!E1673/'Peers Stock History'!E$1833*100</f>
        <v>151.69724770642202</v>
      </c>
      <c r="E1670" s="871">
        <f>'Peers Stock History'!F1673/'Peers Stock History'!F$1833*100</f>
        <v>106.09022556390977</v>
      </c>
      <c r="F1670" s="871">
        <f>'Peers Stock History'!G1673/'Peers Stock History'!G$1833*100</f>
        <v>114.75786695829559</v>
      </c>
      <c r="G1670" s="871">
        <f>'Peers Stock History'!H1673/'Peers Stock History'!H$1833*100</f>
        <v>123.45259478615466</v>
      </c>
      <c r="H1670" s="871">
        <f>'Peers Stock History'!I1673/'Peers Stock History'!I$1833*100</f>
        <v>129.88705473501304</v>
      </c>
      <c r="I1670" s="871">
        <f>'Peers Stock History'!J1673/'Peers Stock History'!J$1833*100</f>
        <v>105.44343939555179</v>
      </c>
      <c r="J1670" s="871">
        <f>'Peers Stock History'!K1673/'Peers Stock History'!K$1833*100</f>
        <v>110.18541302943238</v>
      </c>
    </row>
    <row r="1671" spans="2:10">
      <c r="B1671" s="873">
        <v>42940</v>
      </c>
      <c r="C1671" s="871">
        <f>'Peers Stock History'!D1674/'Peers Stock History'!D$1833*100</f>
        <v>95.700416088765621</v>
      </c>
      <c r="D1671" s="871">
        <f>'Peers Stock History'!E1674/'Peers Stock History'!E$1833*100</f>
        <v>152.43119266055047</v>
      </c>
      <c r="E1671" s="871">
        <f>'Peers Stock History'!F1674/'Peers Stock History'!F$1833*100</f>
        <v>106.46616541353382</v>
      </c>
      <c r="F1671" s="871">
        <f>'Peers Stock History'!G1674/'Peers Stock History'!G$1833*100</f>
        <v>115.03357703041226</v>
      </c>
      <c r="G1671" s="871">
        <f>'Peers Stock History'!H1674/'Peers Stock History'!H$1833*100</f>
        <v>122.83606000291276</v>
      </c>
      <c r="H1671" s="871">
        <f>'Peers Stock History'!I1674/'Peers Stock History'!I$1833*100</f>
        <v>137.57602085143355</v>
      </c>
      <c r="I1671" s="871">
        <f>'Peers Stock History'!J1674/'Peers Stock History'!J$1833*100</f>
        <v>105.13610726827712</v>
      </c>
      <c r="J1671" s="871">
        <f>'Peers Stock History'!K1674/'Peers Stock History'!K$1833*100</f>
        <v>110.16193998047923</v>
      </c>
    </row>
    <row r="1672" spans="2:10">
      <c r="B1672" s="873">
        <v>42939</v>
      </c>
      <c r="C1672" s="871">
        <f>'Peers Stock History'!D1675/'Peers Stock History'!D$1833*100</f>
        <v>96.338418862690716</v>
      </c>
      <c r="D1672" s="871">
        <f>'Peers Stock History'!E1675/'Peers Stock History'!E$1833*100</f>
        <v>154.22018348623854</v>
      </c>
      <c r="E1672" s="871">
        <f>'Peers Stock History'!F1675/'Peers Stock History'!F$1833*100</f>
        <v>104.3609022556391</v>
      </c>
      <c r="F1672" s="871">
        <f>'Peers Stock History'!G1675/'Peers Stock History'!G$1833*100</f>
        <v>114.39208379928682</v>
      </c>
      <c r="G1672" s="871">
        <f>'Peers Stock History'!H1675/'Peers Stock History'!H$1833*100</f>
        <v>122.87489683965241</v>
      </c>
      <c r="H1672" s="871">
        <f>'Peers Stock History'!I1675/'Peers Stock History'!I$1833*100</f>
        <v>139.05299739357079</v>
      </c>
      <c r="I1672" s="871">
        <f>'Peers Stock History'!J1675/'Peers Stock History'!J$1833*100</f>
        <v>105.24805789081621</v>
      </c>
      <c r="J1672" s="871">
        <f>'Peers Stock History'!K1675/'Peers Stock History'!K$1833*100</f>
        <v>109.76578502398857</v>
      </c>
    </row>
    <row r="1673" spans="2:10">
      <c r="B1673" s="873">
        <v>42938</v>
      </c>
      <c r="C1673" s="871">
        <f>'Peers Stock History'!D1676/'Peers Stock History'!D$1833*100</f>
        <v>96.338418862690716</v>
      </c>
      <c r="D1673" s="871">
        <f>'Peers Stock History'!E1676/'Peers Stock History'!E$1833*100</f>
        <v>154.22018348623854</v>
      </c>
      <c r="E1673" s="871">
        <f>'Peers Stock History'!F1676/'Peers Stock History'!F$1833*100</f>
        <v>104.3609022556391</v>
      </c>
      <c r="F1673" s="871">
        <f>'Peers Stock History'!G1676/'Peers Stock History'!G$1833*100</f>
        <v>114.39208379928682</v>
      </c>
      <c r="G1673" s="871">
        <f>'Peers Stock History'!H1676/'Peers Stock History'!H$1833*100</f>
        <v>122.87489683965241</v>
      </c>
      <c r="H1673" s="871">
        <f>'Peers Stock History'!I1676/'Peers Stock History'!I$1833*100</f>
        <v>139.05299739357079</v>
      </c>
      <c r="I1673" s="871">
        <f>'Peers Stock History'!J1676/'Peers Stock History'!J$1833*100</f>
        <v>105.24805789081621</v>
      </c>
      <c r="J1673" s="871">
        <f>'Peers Stock History'!K1676/'Peers Stock History'!K$1833*100</f>
        <v>109.76578502398857</v>
      </c>
    </row>
    <row r="1674" spans="2:10">
      <c r="B1674" s="873">
        <v>42937</v>
      </c>
      <c r="C1674" s="871">
        <f>'Peers Stock History'!D1677/'Peers Stock History'!D$1833*100</f>
        <v>96.338418862690716</v>
      </c>
      <c r="D1674" s="871">
        <f>'Peers Stock History'!E1677/'Peers Stock History'!E$1833*100</f>
        <v>154.22018348623854</v>
      </c>
      <c r="E1674" s="871">
        <f>'Peers Stock History'!F1677/'Peers Stock History'!F$1833*100</f>
        <v>104.3609022556391</v>
      </c>
      <c r="F1674" s="871">
        <f>'Peers Stock History'!G1677/'Peers Stock History'!G$1833*100</f>
        <v>114.39208379928682</v>
      </c>
      <c r="G1674" s="871">
        <f>'Peers Stock History'!H1677/'Peers Stock History'!H$1833*100</f>
        <v>122.87489683965241</v>
      </c>
      <c r="H1674" s="871">
        <f>'Peers Stock History'!I1677/'Peers Stock History'!I$1833*100</f>
        <v>139.05299739357079</v>
      </c>
      <c r="I1674" s="871">
        <f>'Peers Stock History'!J1677/'Peers Stock History'!J$1833*100</f>
        <v>105.24805789081621</v>
      </c>
      <c r="J1674" s="871">
        <f>'Peers Stock History'!K1677/'Peers Stock History'!K$1833*100</f>
        <v>109.76578502398857</v>
      </c>
    </row>
    <row r="1675" spans="2:10">
      <c r="B1675" s="873">
        <v>42936</v>
      </c>
      <c r="C1675" s="871">
        <f>'Peers Stock History'!D1678/'Peers Stock History'!D$1833*100</f>
        <v>96.393897364771163</v>
      </c>
      <c r="D1675" s="871">
        <f>'Peers Stock History'!E1678/'Peers Stock History'!E$1833*100</f>
        <v>153.6697247706422</v>
      </c>
      <c r="E1675" s="871">
        <f>'Peers Stock History'!F1678/'Peers Stock History'!F$1833*100</f>
        <v>103.75939849624061</v>
      </c>
      <c r="F1675" s="871">
        <f>'Peers Stock History'!G1678/'Peers Stock History'!G$1833*100</f>
        <v>115.1674065452443</v>
      </c>
      <c r="G1675" s="871">
        <f>'Peers Stock History'!H1678/'Peers Stock History'!H$1833*100</f>
        <v>123.03024418661099</v>
      </c>
      <c r="H1675" s="871">
        <f>'Peers Stock History'!I1678/'Peers Stock History'!I$1833*100</f>
        <v>139.00955690703736</v>
      </c>
      <c r="I1675" s="871">
        <f>'Peers Stock History'!J1678/'Peers Stock History'!J$1833*100</f>
        <v>105.28679365755028</v>
      </c>
      <c r="J1675" s="871">
        <f>'Peers Stock History'!K1678/'Peers Stock History'!K$1833*100</f>
        <v>109.80441417043565</v>
      </c>
    </row>
    <row r="1676" spans="2:10">
      <c r="B1676" s="873">
        <v>42935</v>
      </c>
      <c r="C1676" s="871">
        <f>'Peers Stock History'!D1679/'Peers Stock History'!D$1833*100</f>
        <v>95.866851595006949</v>
      </c>
      <c r="D1676" s="871">
        <f>'Peers Stock History'!E1679/'Peers Stock History'!E$1833*100</f>
        <v>151.46788990825689</v>
      </c>
      <c r="E1676" s="871">
        <f>'Peers Stock History'!F1679/'Peers Stock History'!F$1833*100</f>
        <v>101.8796992481203</v>
      </c>
      <c r="F1676" s="871">
        <f>'Peers Stock History'!G1679/'Peers Stock History'!G$1833*100</f>
        <v>114.87451825723436</v>
      </c>
      <c r="G1676" s="871">
        <f>'Peers Stock History'!H1679/'Peers Stock History'!H$1833*100</f>
        <v>123.50114083207922</v>
      </c>
      <c r="H1676" s="871">
        <f>'Peers Stock History'!I1679/'Peers Stock History'!I$1833*100</f>
        <v>138.22762814943528</v>
      </c>
      <c r="I1676" s="871">
        <f>'Peers Stock History'!J1679/'Peers Stock History'!J$1833*100</f>
        <v>105.30296903267001</v>
      </c>
      <c r="J1676" s="871">
        <f>'Peers Stock History'!K1679/'Peers Stock History'!K$1833*100</f>
        <v>109.71918260176238</v>
      </c>
    </row>
    <row r="1677" spans="2:10">
      <c r="B1677" s="873">
        <v>42934</v>
      </c>
      <c r="C1677" s="871">
        <f>'Peers Stock History'!D1680/'Peers Stock History'!D$1833*100</f>
        <v>95.783633841886285</v>
      </c>
      <c r="D1677" s="871">
        <f>'Peers Stock History'!E1680/'Peers Stock History'!E$1833*100</f>
        <v>152.25688073394497</v>
      </c>
      <c r="E1677" s="871">
        <f>'Peers Stock History'!F1680/'Peers Stock History'!F$1833*100</f>
        <v>101.35338345864662</v>
      </c>
      <c r="F1677" s="871">
        <f>'Peers Stock History'!G1680/'Peers Stock History'!G$1833*100</f>
        <v>114.70492913044568</v>
      </c>
      <c r="G1677" s="871">
        <f>'Peers Stock History'!H1680/'Peers Stock History'!H$1833*100</f>
        <v>121.79232001553473</v>
      </c>
      <c r="H1677" s="871">
        <f>'Peers Stock History'!I1680/'Peers Stock History'!I$1833*100</f>
        <v>138.57515204170286</v>
      </c>
      <c r="I1677" s="871">
        <f>'Peers Stock History'!J1680/'Peers Stock History'!J$1833*100</f>
        <v>104.7402362456103</v>
      </c>
      <c r="J1677" s="871">
        <f>'Peers Stock History'!K1680/'Peers Stock History'!K$1833*100</f>
        <v>109.01916679268109</v>
      </c>
    </row>
    <row r="1678" spans="2:10">
      <c r="B1678" s="873">
        <v>42933</v>
      </c>
      <c r="C1678" s="871">
        <f>'Peers Stock History'!D1681/'Peers Stock History'!D$1833*100</f>
        <v>95.617198335644943</v>
      </c>
      <c r="D1678" s="871">
        <f>'Peers Stock History'!E1681/'Peers Stock History'!E$1833*100</f>
        <v>150.6880733944954</v>
      </c>
      <c r="E1678" s="871">
        <f>'Peers Stock History'!F1681/'Peers Stock History'!F$1833*100</f>
        <v>103.75939849624061</v>
      </c>
      <c r="F1678" s="871">
        <f>'Peers Stock History'!G1681/'Peers Stock History'!G$1833*100</f>
        <v>113.98114077478527</v>
      </c>
      <c r="G1678" s="871">
        <f>'Peers Stock History'!H1681/'Peers Stock History'!H$1833*100</f>
        <v>120.88936356133793</v>
      </c>
      <c r="H1678" s="871">
        <f>'Peers Stock History'!I1681/'Peers Stock History'!I$1833*100</f>
        <v>137.79322328410078</v>
      </c>
      <c r="I1678" s="871">
        <f>'Peers Stock History'!J1681/'Peers Stock History'!J$1833*100</f>
        <v>104.67766308396295</v>
      </c>
      <c r="J1678" s="871">
        <f>'Peers Stock History'!K1681/'Peers Stock History'!K$1833*100</f>
        <v>108.50581842926468</v>
      </c>
    </row>
    <row r="1679" spans="2:10">
      <c r="B1679" s="873">
        <v>42932</v>
      </c>
      <c r="C1679" s="871">
        <f>'Peers Stock History'!D1682/'Peers Stock History'!D$1833*100</f>
        <v>96.199722607489605</v>
      </c>
      <c r="D1679" s="871">
        <f>'Peers Stock History'!E1682/'Peers Stock History'!E$1833*100</f>
        <v>151.33027522935777</v>
      </c>
      <c r="E1679" s="871">
        <f>'Peers Stock History'!F1682/'Peers Stock History'!F$1833*100</f>
        <v>104.66165413533834</v>
      </c>
      <c r="F1679" s="871">
        <f>'Peers Stock History'!G1682/'Peers Stock History'!G$1833*100</f>
        <v>114.5160689563638</v>
      </c>
      <c r="G1679" s="871">
        <f>'Peers Stock History'!H1682/'Peers Stock History'!H$1833*100</f>
        <v>121.50589834457983</v>
      </c>
      <c r="H1679" s="871">
        <f>'Peers Stock History'!I1682/'Peers Stock History'!I$1833*100</f>
        <v>138.09730668983494</v>
      </c>
      <c r="I1679" s="871">
        <f>'Peers Stock History'!J1682/'Peers Stock History'!J$1833*100</f>
        <v>104.68319676492497</v>
      </c>
      <c r="J1679" s="871">
        <f>'Peers Stock History'!K1682/'Peers Stock History'!K$1833*100</f>
        <v>108.47203510990748</v>
      </c>
    </row>
    <row r="1680" spans="2:10">
      <c r="B1680" s="873">
        <v>42931</v>
      </c>
      <c r="C1680" s="871">
        <f>'Peers Stock History'!D1683/'Peers Stock History'!D$1833*100</f>
        <v>96.199722607489605</v>
      </c>
      <c r="D1680" s="871">
        <f>'Peers Stock History'!E1683/'Peers Stock History'!E$1833*100</f>
        <v>151.33027522935777</v>
      </c>
      <c r="E1680" s="871">
        <f>'Peers Stock History'!F1683/'Peers Stock History'!F$1833*100</f>
        <v>104.66165413533834</v>
      </c>
      <c r="F1680" s="871">
        <f>'Peers Stock History'!G1683/'Peers Stock History'!G$1833*100</f>
        <v>114.5160689563638</v>
      </c>
      <c r="G1680" s="871">
        <f>'Peers Stock History'!H1683/'Peers Stock History'!H$1833*100</f>
        <v>121.50589834457983</v>
      </c>
      <c r="H1680" s="871">
        <f>'Peers Stock History'!I1683/'Peers Stock History'!I$1833*100</f>
        <v>138.09730668983494</v>
      </c>
      <c r="I1680" s="871">
        <f>'Peers Stock History'!J1683/'Peers Stock History'!J$1833*100</f>
        <v>104.68319676492497</v>
      </c>
      <c r="J1680" s="871">
        <f>'Peers Stock History'!K1683/'Peers Stock History'!K$1833*100</f>
        <v>108.47203510990748</v>
      </c>
    </row>
    <row r="1681" spans="2:10">
      <c r="B1681" s="873">
        <v>42930</v>
      </c>
      <c r="C1681" s="871">
        <f>'Peers Stock History'!D1684/'Peers Stock History'!D$1833*100</f>
        <v>96.199722607489605</v>
      </c>
      <c r="D1681" s="871">
        <f>'Peers Stock History'!E1684/'Peers Stock History'!E$1833*100</f>
        <v>151.33027522935777</v>
      </c>
      <c r="E1681" s="871">
        <f>'Peers Stock History'!F1684/'Peers Stock History'!F$1833*100</f>
        <v>104.66165413533834</v>
      </c>
      <c r="F1681" s="871">
        <f>'Peers Stock History'!G1684/'Peers Stock History'!G$1833*100</f>
        <v>114.5160689563638</v>
      </c>
      <c r="G1681" s="871">
        <f>'Peers Stock History'!H1684/'Peers Stock History'!H$1833*100</f>
        <v>121.50589834457983</v>
      </c>
      <c r="H1681" s="871">
        <f>'Peers Stock History'!I1684/'Peers Stock History'!I$1833*100</f>
        <v>138.09730668983494</v>
      </c>
      <c r="I1681" s="871">
        <f>'Peers Stock History'!J1684/'Peers Stock History'!J$1833*100</f>
        <v>104.68319676492497</v>
      </c>
      <c r="J1681" s="871">
        <f>'Peers Stock History'!K1684/'Peers Stock History'!K$1833*100</f>
        <v>108.47203510990748</v>
      </c>
    </row>
    <row r="1682" spans="2:10">
      <c r="B1682" s="873">
        <v>42929</v>
      </c>
      <c r="C1682" s="871">
        <f>'Peers Stock History'!D1685/'Peers Stock History'!D$1833*100</f>
        <v>94.979195561719848</v>
      </c>
      <c r="D1682" s="871">
        <f>'Peers Stock History'!E1685/'Peers Stock History'!E$1833*100</f>
        <v>147.36697247706419</v>
      </c>
      <c r="E1682" s="871">
        <f>'Peers Stock History'!F1685/'Peers Stock History'!F$1833*100</f>
        <v>101.72932330827066</v>
      </c>
      <c r="F1682" s="871">
        <f>'Peers Stock History'!G1685/'Peers Stock History'!G$1833*100</f>
        <v>114.92748895173067</v>
      </c>
      <c r="G1682" s="871">
        <f>'Peers Stock History'!H1685/'Peers Stock History'!H$1833*100</f>
        <v>120.05922617602795</v>
      </c>
      <c r="H1682" s="871">
        <f>'Peers Stock History'!I1685/'Peers Stock History'!I$1833*100</f>
        <v>135.23023457862729</v>
      </c>
      <c r="I1682" s="871">
        <f>'Peers Stock History'!J1685/'Peers Stock History'!J$1833*100</f>
        <v>104.19623284026818</v>
      </c>
      <c r="J1682" s="871">
        <f>'Peers Stock History'!K1685/'Peers Stock History'!K$1833*100</f>
        <v>107.81857017170037</v>
      </c>
    </row>
    <row r="1683" spans="2:10">
      <c r="B1683" s="873">
        <v>42928</v>
      </c>
      <c r="C1683" s="871">
        <f>'Peers Stock History'!D1686/'Peers Stock History'!D$1833*100</f>
        <v>95.006934812760051</v>
      </c>
      <c r="D1683" s="871">
        <f>'Peers Stock History'!E1686/'Peers Stock History'!E$1833*100</f>
        <v>149.09174311926606</v>
      </c>
      <c r="E1683" s="871">
        <f>'Peers Stock History'!F1686/'Peers Stock History'!F$1833*100</f>
        <v>107.44360902255639</v>
      </c>
      <c r="F1683" s="871">
        <f>'Peers Stock History'!G1686/'Peers Stock History'!G$1833*100</f>
        <v>112.8958725065019</v>
      </c>
      <c r="G1683" s="871">
        <f>'Peers Stock History'!H1686/'Peers Stock History'!H$1833*100</f>
        <v>119.62716636729938</v>
      </c>
      <c r="H1683" s="871">
        <f>'Peers Stock History'!I1686/'Peers Stock History'!I$1833*100</f>
        <v>136.62033014769764</v>
      </c>
      <c r="I1683" s="871">
        <f>'Peers Stock History'!J1686/'Peers Stock History'!J$1833*100</f>
        <v>104.00127700329892</v>
      </c>
      <c r="J1683" s="871">
        <f>'Peers Stock History'!K1686/'Peers Stock History'!K$1833*100</f>
        <v>107.59061009306738</v>
      </c>
    </row>
    <row r="1684" spans="2:10">
      <c r="B1684" s="873">
        <v>42927</v>
      </c>
      <c r="C1684" s="871">
        <f>'Peers Stock History'!D1687/'Peers Stock History'!D$1833*100</f>
        <v>94.091539528432747</v>
      </c>
      <c r="D1684" s="871">
        <f>'Peers Stock History'!E1687/'Peers Stock History'!E$1833*100</f>
        <v>143.00917431192661</v>
      </c>
      <c r="E1684" s="871">
        <f>'Peers Stock History'!F1687/'Peers Stock History'!F$1833*100</f>
        <v>104.4360902255639</v>
      </c>
      <c r="F1684" s="871">
        <f>'Peers Stock History'!G1687/'Peers Stock History'!G$1833*100</f>
        <v>112.96663727219278</v>
      </c>
      <c r="G1684" s="871">
        <f>'Peers Stock History'!H1687/'Peers Stock History'!H$1833*100</f>
        <v>116.94257002767124</v>
      </c>
      <c r="H1684" s="871">
        <f>'Peers Stock History'!I1687/'Peers Stock History'!I$1833*100</f>
        <v>136.27280625543005</v>
      </c>
      <c r="I1684" s="871">
        <f>'Peers Stock History'!J1687/'Peers Stock History'!J$1833*100</f>
        <v>103.24699372140044</v>
      </c>
      <c r="J1684" s="871">
        <f>'Peers Stock History'!K1687/'Peers Stock History'!K$1833*100</f>
        <v>106.42441540766809</v>
      </c>
    </row>
    <row r="1685" spans="2:10">
      <c r="B1685" s="873">
        <v>42926</v>
      </c>
      <c r="C1685" s="871">
        <f>'Peers Stock History'!D1688/'Peers Stock History'!D$1833*100</f>
        <v>93.342579750346744</v>
      </c>
      <c r="D1685" s="871">
        <f>'Peers Stock History'!E1688/'Peers Stock History'!E$1833*100</f>
        <v>141.00917431192659</v>
      </c>
      <c r="E1685" s="871">
        <f>'Peers Stock History'!F1688/'Peers Stock History'!F$1833*100</f>
        <v>103.83458646616542</v>
      </c>
      <c r="F1685" s="871">
        <f>'Peers Stock History'!G1688/'Peers Stock History'!G$1833*100</f>
        <v>109.76946829279117</v>
      </c>
      <c r="G1685" s="871">
        <f>'Peers Stock History'!H1688/'Peers Stock History'!H$1833*100</f>
        <v>117.36977523180737</v>
      </c>
      <c r="H1685" s="871">
        <f>'Peers Stock History'!I1688/'Peers Stock History'!I$1833*100</f>
        <v>132.49348392701998</v>
      </c>
      <c r="I1685" s="871">
        <f>'Peers Stock History'!J1688/'Peers Stock History'!J$1833*100</f>
        <v>103.32787059699903</v>
      </c>
      <c r="J1685" s="871">
        <f>'Peers Stock History'!K1688/'Peers Stock History'!K$1833*100</f>
        <v>106.13380325254664</v>
      </c>
    </row>
    <row r="1686" spans="2:10">
      <c r="B1686" s="873">
        <v>42925</v>
      </c>
      <c r="C1686" s="871">
        <f>'Peers Stock History'!D1689/'Peers Stock History'!D$1833*100</f>
        <v>93.980582524271867</v>
      </c>
      <c r="D1686" s="871">
        <f>'Peers Stock History'!E1689/'Peers Stock History'!E$1833*100</f>
        <v>134.64220183486236</v>
      </c>
      <c r="E1686" s="871">
        <f>'Peers Stock History'!F1689/'Peers Stock History'!F$1833*100</f>
        <v>100.45112781954886</v>
      </c>
      <c r="F1686" s="871">
        <f>'Peers Stock History'!G1689/'Peers Stock History'!G$1833*100</f>
        <v>109.70478386834053</v>
      </c>
      <c r="G1686" s="871">
        <f>'Peers Stock History'!H1689/'Peers Stock History'!H$1833*100</f>
        <v>116.32603524442935</v>
      </c>
      <c r="H1686" s="871">
        <f>'Peers Stock History'!I1689/'Peers Stock History'!I$1833*100</f>
        <v>131.19026933101651</v>
      </c>
      <c r="I1686" s="871">
        <f>'Peers Stock History'!J1689/'Peers Stock History'!J$1833*100</f>
        <v>103.23209534957965</v>
      </c>
      <c r="J1686" s="871">
        <f>'Peers Stock History'!K1689/'Peers Stock History'!K$1833*100</f>
        <v>105.73318051221423</v>
      </c>
    </row>
    <row r="1687" spans="2:10">
      <c r="B1687" s="873">
        <v>42924</v>
      </c>
      <c r="C1687" s="871">
        <f>'Peers Stock History'!D1690/'Peers Stock History'!D$1833*100</f>
        <v>93.980582524271867</v>
      </c>
      <c r="D1687" s="871">
        <f>'Peers Stock History'!E1690/'Peers Stock History'!E$1833*100</f>
        <v>134.64220183486236</v>
      </c>
      <c r="E1687" s="871">
        <f>'Peers Stock History'!F1690/'Peers Stock History'!F$1833*100</f>
        <v>100.45112781954886</v>
      </c>
      <c r="F1687" s="871">
        <f>'Peers Stock History'!G1690/'Peers Stock History'!G$1833*100</f>
        <v>109.70478386834053</v>
      </c>
      <c r="G1687" s="871">
        <f>'Peers Stock History'!H1690/'Peers Stock History'!H$1833*100</f>
        <v>116.32603524442935</v>
      </c>
      <c r="H1687" s="871">
        <f>'Peers Stock History'!I1690/'Peers Stock History'!I$1833*100</f>
        <v>131.19026933101651</v>
      </c>
      <c r="I1687" s="871">
        <f>'Peers Stock History'!J1690/'Peers Stock History'!J$1833*100</f>
        <v>103.23209534957965</v>
      </c>
      <c r="J1687" s="871">
        <f>'Peers Stock History'!K1690/'Peers Stock History'!K$1833*100</f>
        <v>105.73318051221423</v>
      </c>
    </row>
    <row r="1688" spans="2:10">
      <c r="B1688" s="873">
        <v>42923</v>
      </c>
      <c r="C1688" s="871">
        <f>'Peers Stock History'!D1691/'Peers Stock History'!D$1833*100</f>
        <v>93.980582524271867</v>
      </c>
      <c r="D1688" s="871">
        <f>'Peers Stock History'!E1691/'Peers Stock History'!E$1833*100</f>
        <v>134.64220183486236</v>
      </c>
      <c r="E1688" s="871">
        <f>'Peers Stock History'!F1691/'Peers Stock History'!F$1833*100</f>
        <v>100.45112781954886</v>
      </c>
      <c r="F1688" s="871">
        <f>'Peers Stock History'!G1691/'Peers Stock History'!G$1833*100</f>
        <v>109.70478386834053</v>
      </c>
      <c r="G1688" s="871">
        <f>'Peers Stock History'!H1691/'Peers Stock History'!H$1833*100</f>
        <v>116.32603524442935</v>
      </c>
      <c r="H1688" s="871">
        <f>'Peers Stock History'!I1691/'Peers Stock History'!I$1833*100</f>
        <v>131.19026933101651</v>
      </c>
      <c r="I1688" s="871">
        <f>'Peers Stock History'!J1691/'Peers Stock History'!J$1833*100</f>
        <v>103.23209534957965</v>
      </c>
      <c r="J1688" s="871">
        <f>'Peers Stock History'!K1691/'Peers Stock History'!K$1833*100</f>
        <v>105.73318051221423</v>
      </c>
    </row>
    <row r="1689" spans="2:10">
      <c r="B1689" s="873">
        <v>42922</v>
      </c>
      <c r="C1689" s="871">
        <f>'Peers Stock History'!D1692/'Peers Stock History'!D$1833*100</f>
        <v>93.28710124826631</v>
      </c>
      <c r="D1689" s="871">
        <f>'Peers Stock History'!E1692/'Peers Stock History'!E$1833*100</f>
        <v>131.63302752293578</v>
      </c>
      <c r="E1689" s="871">
        <f>'Peers Stock History'!F1692/'Peers Stock History'!F$1833*100</f>
        <v>97.89473684210526</v>
      </c>
      <c r="F1689" s="871">
        <f>'Peers Stock History'!G1692/'Peers Stock History'!G$1833*100</f>
        <v>110.39157280613283</v>
      </c>
      <c r="G1689" s="871">
        <f>'Peers Stock History'!H1692/'Peers Stock History'!H$1833*100</f>
        <v>114.1026263410845</v>
      </c>
      <c r="H1689" s="871">
        <f>'Peers Stock History'!I1692/'Peers Stock History'!I$1833*100</f>
        <v>130.75586446568201</v>
      </c>
      <c r="I1689" s="871">
        <f>'Peers Stock History'!J1692/'Peers Stock History'!J$1833*100</f>
        <v>102.57528998616581</v>
      </c>
      <c r="J1689" s="871">
        <f>'Peers Stock History'!K1692/'Peers Stock History'!K$1833*100</f>
        <v>104.64003409262747</v>
      </c>
    </row>
    <row r="1690" spans="2:10">
      <c r="B1690" s="873">
        <v>42921</v>
      </c>
      <c r="C1690" s="871">
        <f>'Peers Stock History'!D1693/'Peers Stock History'!D$1833*100</f>
        <v>95.256588072122071</v>
      </c>
      <c r="D1690" s="871">
        <f>'Peers Stock History'!E1693/'Peers Stock History'!E$1833*100</f>
        <v>131.23853211009177</v>
      </c>
      <c r="E1690" s="871">
        <f>'Peers Stock History'!F1693/'Peers Stock History'!F$1833*100</f>
        <v>99.172932330827052</v>
      </c>
      <c r="F1690" s="871">
        <f>'Peers Stock History'!G1693/'Peers Stock History'!G$1833*100</f>
        <v>111.26563387659742</v>
      </c>
      <c r="G1690" s="871">
        <f>'Peers Stock History'!H1693/'Peers Stock History'!H$1833*100</f>
        <v>112.43749696587213</v>
      </c>
      <c r="H1690" s="871">
        <f>'Peers Stock History'!I1693/'Peers Stock History'!I$1833*100</f>
        <v>132.53692441355344</v>
      </c>
      <c r="I1690" s="871">
        <f>'Peers Stock History'!J1693/'Peers Stock History'!J$1833*100</f>
        <v>103.54538682558263</v>
      </c>
      <c r="J1690" s="871">
        <f>'Peers Stock History'!K1693/'Peers Stock History'!K$1833*100</f>
        <v>105.69496377658332</v>
      </c>
    </row>
    <row r="1691" spans="2:10">
      <c r="B1691" s="873">
        <v>42920</v>
      </c>
      <c r="C1691" s="871">
        <f>'Peers Stock History'!D1694/'Peers Stock History'!D$1833*100</f>
        <v>92.815533980582529</v>
      </c>
      <c r="D1691" s="871">
        <f>'Peers Stock History'!E1694/'Peers Stock History'!E$1833*100</f>
        <v>127.82568807339452</v>
      </c>
      <c r="E1691" s="871">
        <f>'Peers Stock History'!F1694/'Peers Stock History'!F$1833*100</f>
        <v>91.353383458646618</v>
      </c>
      <c r="F1691" s="871">
        <f>'Peers Stock History'!G1694/'Peers Stock History'!G$1833*100</f>
        <v>110.37464021927113</v>
      </c>
      <c r="G1691" s="871">
        <f>'Peers Stock History'!H1694/'Peers Stock History'!H$1833*100</f>
        <v>111.53939511626778</v>
      </c>
      <c r="H1691" s="871">
        <f>'Peers Stock History'!I1694/'Peers Stock History'!I$1833*100</f>
        <v>126.5855777584709</v>
      </c>
      <c r="I1691" s="871">
        <f>'Peers Stock History'!J1694/'Peers Stock History'!J$1833*100</f>
        <v>103.39512610407577</v>
      </c>
      <c r="J1691" s="871">
        <f>'Peers Stock History'!K1694/'Peers Stock History'!K$1833*100</f>
        <v>104.99395130802964</v>
      </c>
    </row>
    <row r="1692" spans="2:10">
      <c r="B1692" s="873">
        <v>42919</v>
      </c>
      <c r="C1692" s="871">
        <f>'Peers Stock History'!D1695/'Peers Stock History'!D$1833*100</f>
        <v>92.815533980582529</v>
      </c>
      <c r="D1692" s="871">
        <f>'Peers Stock History'!E1695/'Peers Stock History'!E$1833*100</f>
        <v>127.82568807339452</v>
      </c>
      <c r="E1692" s="871">
        <f>'Peers Stock History'!F1695/'Peers Stock History'!F$1833*100</f>
        <v>91.353383458646618</v>
      </c>
      <c r="F1692" s="871">
        <f>'Peers Stock History'!G1695/'Peers Stock History'!G$1833*100</f>
        <v>111.40089502748829</v>
      </c>
      <c r="G1692" s="871">
        <f>'Peers Stock History'!H1695/'Peers Stock History'!H$1833*100</f>
        <v>111.53939511626778</v>
      </c>
      <c r="H1692" s="871">
        <f>'Peers Stock History'!I1695/'Peers Stock History'!I$1833*100</f>
        <v>126.5855777584709</v>
      </c>
      <c r="I1692" s="871">
        <f>'Peers Stock History'!J1695/'Peers Stock History'!J$1833*100</f>
        <v>103.39512610407577</v>
      </c>
      <c r="J1692" s="871">
        <f>'Peers Stock History'!K1695/'Peers Stock History'!K$1833*100</f>
        <v>104.99395130802964</v>
      </c>
    </row>
    <row r="1693" spans="2:10">
      <c r="B1693" s="873">
        <v>42918</v>
      </c>
      <c r="C1693" s="871">
        <f>'Peers Stock History'!D1696/'Peers Stock History'!D$1833*100</f>
        <v>93.59223300970875</v>
      </c>
      <c r="D1693" s="871">
        <f>'Peers Stock History'!E1696/'Peers Stock History'!E$1833*100</f>
        <v>132.62385321100919</v>
      </c>
      <c r="E1693" s="871">
        <f>'Peers Stock History'!F1696/'Peers Stock History'!F$1833*100</f>
        <v>93.834586466165419</v>
      </c>
      <c r="F1693" s="871">
        <f>'Peers Stock History'!G1696/'Peers Stock History'!G$1833*100</f>
        <v>111.50706241444979</v>
      </c>
      <c r="G1693" s="871">
        <f>'Peers Stock History'!H1696/'Peers Stock History'!H$1833*100</f>
        <v>113.13656002718579</v>
      </c>
      <c r="H1693" s="871">
        <f>'Peers Stock History'!I1696/'Peers Stock History'!I$1833*100</f>
        <v>129.71329278887924</v>
      </c>
      <c r="I1693" s="871">
        <f>'Peers Stock History'!J1696/'Peers Stock History'!J$1833*100</f>
        <v>103.15675215494306</v>
      </c>
      <c r="J1693" s="871">
        <f>'Peers Stock History'!K1696/'Peers Stock History'!K$1833*100</f>
        <v>105.5156509904733</v>
      </c>
    </row>
    <row r="1694" spans="2:10">
      <c r="B1694" s="873">
        <v>42917</v>
      </c>
      <c r="C1694" s="871">
        <f>'Peers Stock History'!D1697/'Peers Stock History'!D$1833*100</f>
        <v>93.59223300970875</v>
      </c>
      <c r="D1694" s="871">
        <f>'Peers Stock History'!E1697/'Peers Stock History'!E$1833*100</f>
        <v>132.62385321100919</v>
      </c>
      <c r="E1694" s="871">
        <f>'Peers Stock History'!F1697/'Peers Stock History'!F$1833*100</f>
        <v>93.834586466165419</v>
      </c>
      <c r="F1694" s="871">
        <f>'Peers Stock History'!G1697/'Peers Stock History'!G$1833*100</f>
        <v>111.50706241444979</v>
      </c>
      <c r="G1694" s="871">
        <f>'Peers Stock History'!H1697/'Peers Stock History'!H$1833*100</f>
        <v>113.13656002718579</v>
      </c>
      <c r="H1694" s="871">
        <f>'Peers Stock History'!I1697/'Peers Stock History'!I$1833*100</f>
        <v>129.71329278887924</v>
      </c>
      <c r="I1694" s="871">
        <f>'Peers Stock History'!J1697/'Peers Stock History'!J$1833*100</f>
        <v>103.15675215494306</v>
      </c>
      <c r="J1694" s="871">
        <f>'Peers Stock History'!K1697/'Peers Stock History'!K$1833*100</f>
        <v>105.5156509904733</v>
      </c>
    </row>
    <row r="1695" spans="2:10">
      <c r="B1695" s="873">
        <v>42916</v>
      </c>
      <c r="C1695" s="871">
        <f>'Peers Stock History'!D1698/'Peers Stock History'!D$1833*100</f>
        <v>93.59223300970875</v>
      </c>
      <c r="D1695" s="871">
        <f>'Peers Stock History'!E1698/'Peers Stock History'!E$1833*100</f>
        <v>132.62385321100919</v>
      </c>
      <c r="E1695" s="871">
        <f>'Peers Stock History'!F1698/'Peers Stock History'!F$1833*100</f>
        <v>93.834586466165419</v>
      </c>
      <c r="F1695" s="871">
        <f>'Peers Stock History'!G1698/'Peers Stock History'!G$1833*100</f>
        <v>111.50706241444979</v>
      </c>
      <c r="G1695" s="871">
        <f>'Peers Stock History'!H1698/'Peers Stock History'!H$1833*100</f>
        <v>113.13656002718579</v>
      </c>
      <c r="H1695" s="871">
        <f>'Peers Stock History'!I1698/'Peers Stock History'!I$1833*100</f>
        <v>129.71329278887924</v>
      </c>
      <c r="I1695" s="871">
        <f>'Peers Stock History'!J1698/'Peers Stock History'!J$1833*100</f>
        <v>103.15675215494306</v>
      </c>
      <c r="J1695" s="871">
        <f>'Peers Stock History'!K1698/'Peers Stock History'!K$1833*100</f>
        <v>105.5156509904733</v>
      </c>
    </row>
    <row r="1696" spans="2:10">
      <c r="B1696" s="873">
        <v>42915</v>
      </c>
      <c r="C1696" s="871">
        <f>'Peers Stock History'!D1699/'Peers Stock History'!D$1833*100</f>
        <v>93.037447988904304</v>
      </c>
      <c r="D1696" s="871">
        <f>'Peers Stock History'!E1699/'Peers Stock History'!E$1833*100</f>
        <v>134.56880733944953</v>
      </c>
      <c r="E1696" s="871">
        <f>'Peers Stock History'!F1699/'Peers Stock History'!F$1833*100</f>
        <v>94.73684210526315</v>
      </c>
      <c r="F1696" s="871">
        <f>'Peers Stock History'!G1699/'Peers Stock History'!G$1833*100</f>
        <v>112.44975513055438</v>
      </c>
      <c r="G1696" s="871">
        <f>'Peers Stock History'!H1699/'Peers Stock History'!H$1833*100</f>
        <v>113.61716588183893</v>
      </c>
      <c r="H1696" s="871">
        <f>'Peers Stock History'!I1699/'Peers Stock History'!I$1833*100</f>
        <v>136.70721112076455</v>
      </c>
      <c r="I1696" s="871">
        <f>'Peers Stock History'!J1699/'Peers Stock History'!J$1833*100</f>
        <v>102.99882941364264</v>
      </c>
      <c r="J1696" s="871">
        <f>'Peers Stock History'!K1699/'Peers Stock History'!K$1833*100</f>
        <v>105.58320044540368</v>
      </c>
    </row>
    <row r="1697" spans="2:10">
      <c r="B1697" s="873">
        <v>42914</v>
      </c>
      <c r="C1697" s="871">
        <f>'Peers Stock History'!D1700/'Peers Stock History'!D$1833*100</f>
        <v>94.868238557558954</v>
      </c>
      <c r="D1697" s="871">
        <f>'Peers Stock History'!E1700/'Peers Stock History'!E$1833*100</f>
        <v>139.22018348623851</v>
      </c>
      <c r="E1697" s="871">
        <f>'Peers Stock History'!F1700/'Peers Stock History'!F$1833*100</f>
        <v>99.473684210526315</v>
      </c>
      <c r="F1697" s="871">
        <f>'Peers Stock History'!G1700/'Peers Stock History'!G$1833*100</f>
        <v>111.51439478745091</v>
      </c>
      <c r="G1697" s="871">
        <f>'Peers Stock History'!H1700/'Peers Stock History'!H$1833*100</f>
        <v>117.02024370115053</v>
      </c>
      <c r="H1697" s="871">
        <f>'Peers Stock History'!I1700/'Peers Stock History'!I$1833*100</f>
        <v>140.05212858384016</v>
      </c>
      <c r="I1697" s="871">
        <f>'Peers Stock History'!J1700/'Peers Stock History'!J$1833*100</f>
        <v>103.89230605512398</v>
      </c>
      <c r="J1697" s="871">
        <f>'Peers Stock History'!K1700/'Peers Stock History'!K$1833*100</f>
        <v>107.13082358439988</v>
      </c>
    </row>
    <row r="1698" spans="2:10">
      <c r="B1698" s="873">
        <v>42913</v>
      </c>
      <c r="C1698" s="871">
        <f>'Peers Stock History'!D1701/'Peers Stock History'!D$1833*100</f>
        <v>93.342579750346744</v>
      </c>
      <c r="D1698" s="871">
        <f>'Peers Stock History'!E1701/'Peers Stock History'!E$1833*100</f>
        <v>134.47706422018351</v>
      </c>
      <c r="E1698" s="871">
        <f>'Peers Stock History'!F1701/'Peers Stock History'!F$1833*100</f>
        <v>100.75187969924812</v>
      </c>
      <c r="F1698" s="871">
        <f>'Peers Stock History'!G1701/'Peers Stock History'!G$1833*100</f>
        <v>113.30145243897462</v>
      </c>
      <c r="G1698" s="871">
        <f>'Peers Stock History'!H1701/'Peers Stock History'!H$1833*100</f>
        <v>114.24340987426574</v>
      </c>
      <c r="H1698" s="871">
        <f>'Peers Stock History'!I1701/'Peers Stock History'!I$1833*100</f>
        <v>137.53258036490007</v>
      </c>
      <c r="I1698" s="871">
        <f>'Peers Stock History'!J1701/'Peers Stock History'!J$1833*100</f>
        <v>102.98520804512079</v>
      </c>
      <c r="J1698" s="871">
        <f>'Peers Stock History'!K1701/'Peers Stock History'!K$1833*100</f>
        <v>105.62224200266692</v>
      </c>
    </row>
    <row r="1699" spans="2:10">
      <c r="B1699" s="873">
        <v>42912</v>
      </c>
      <c r="C1699" s="871">
        <f>'Peers Stock History'!D1702/'Peers Stock History'!D$1833*100</f>
        <v>94.507628294036067</v>
      </c>
      <c r="D1699" s="871">
        <f>'Peers Stock History'!E1702/'Peers Stock History'!E$1833*100</f>
        <v>139.58715596330276</v>
      </c>
      <c r="E1699" s="871">
        <f>'Peers Stock History'!F1702/'Peers Stock History'!F$1833*100</f>
        <v>105.86466165413533</v>
      </c>
      <c r="F1699" s="871">
        <f>'Peers Stock History'!G1702/'Peers Stock History'!G$1833*100</f>
        <v>115.37779467380638</v>
      </c>
      <c r="G1699" s="871">
        <f>'Peers Stock History'!H1702/'Peers Stock History'!H$1833*100</f>
        <v>117.84552648186806</v>
      </c>
      <c r="H1699" s="871">
        <f>'Peers Stock History'!I1702/'Peers Stock History'!I$1833*100</f>
        <v>141.18158123370984</v>
      </c>
      <c r="I1699" s="871">
        <f>'Peers Stock History'!J1702/'Peers Stock History'!J$1833*100</f>
        <v>103.82334787698201</v>
      </c>
      <c r="J1699" s="871">
        <f>'Peers Stock History'!K1702/'Peers Stock History'!K$1833*100</f>
        <v>107.34965907372531</v>
      </c>
    </row>
    <row r="1700" spans="2:10">
      <c r="B1700" s="873">
        <v>42911</v>
      </c>
      <c r="C1700" s="871">
        <f>'Peers Stock History'!D1703/'Peers Stock History'!D$1833*100</f>
        <v>94.840499306518723</v>
      </c>
      <c r="D1700" s="871">
        <f>'Peers Stock History'!E1703/'Peers Stock History'!E$1833*100</f>
        <v>141.12844036697248</v>
      </c>
      <c r="E1700" s="871">
        <f>'Peers Stock History'!F1703/'Peers Stock History'!F$1833*100</f>
        <v>106.54135338345864</v>
      </c>
      <c r="F1700" s="871">
        <f>'Peers Stock History'!G1703/'Peers Stock History'!G$1833*100</f>
        <v>116.19425547996973</v>
      </c>
      <c r="G1700" s="871">
        <f>'Peers Stock History'!H1703/'Peers Stock History'!H$1833*100</f>
        <v>119.06403223457448</v>
      </c>
      <c r="H1700" s="871">
        <f>'Peers Stock History'!I1703/'Peers Stock History'!I$1833*100</f>
        <v>137.83666377063423</v>
      </c>
      <c r="I1700" s="871">
        <f>'Peers Stock History'!J1703/'Peers Stock History'!J$1833*100</f>
        <v>103.79057145897627</v>
      </c>
      <c r="J1700" s="871">
        <f>'Peers Stock History'!K1703/'Peers Stock History'!K$1833*100</f>
        <v>107.66070274803074</v>
      </c>
    </row>
    <row r="1701" spans="2:10">
      <c r="B1701" s="873">
        <v>42910</v>
      </c>
      <c r="C1701" s="871">
        <f>'Peers Stock History'!D1704/'Peers Stock History'!D$1833*100</f>
        <v>94.840499306518723</v>
      </c>
      <c r="D1701" s="871">
        <f>'Peers Stock History'!E1704/'Peers Stock History'!E$1833*100</f>
        <v>141.12844036697248</v>
      </c>
      <c r="E1701" s="871">
        <f>'Peers Stock History'!F1704/'Peers Stock History'!F$1833*100</f>
        <v>106.54135338345864</v>
      </c>
      <c r="F1701" s="871">
        <f>'Peers Stock History'!G1704/'Peers Stock History'!G$1833*100</f>
        <v>116.19425547996973</v>
      </c>
      <c r="G1701" s="871">
        <f>'Peers Stock History'!H1704/'Peers Stock History'!H$1833*100</f>
        <v>119.06403223457448</v>
      </c>
      <c r="H1701" s="871">
        <f>'Peers Stock History'!I1704/'Peers Stock History'!I$1833*100</f>
        <v>137.83666377063423</v>
      </c>
      <c r="I1701" s="871">
        <f>'Peers Stock History'!J1704/'Peers Stock History'!J$1833*100</f>
        <v>103.79057145897627</v>
      </c>
      <c r="J1701" s="871">
        <f>'Peers Stock History'!K1704/'Peers Stock History'!K$1833*100</f>
        <v>107.66070274803074</v>
      </c>
    </row>
    <row r="1702" spans="2:10">
      <c r="B1702" s="873">
        <v>42909</v>
      </c>
      <c r="C1702" s="871">
        <f>'Peers Stock History'!D1705/'Peers Stock History'!D$1833*100</f>
        <v>94.840499306518723</v>
      </c>
      <c r="D1702" s="871">
        <f>'Peers Stock History'!E1705/'Peers Stock History'!E$1833*100</f>
        <v>141.12844036697248</v>
      </c>
      <c r="E1702" s="871">
        <f>'Peers Stock History'!F1705/'Peers Stock History'!F$1833*100</f>
        <v>106.54135338345864</v>
      </c>
      <c r="F1702" s="871">
        <f>'Peers Stock History'!G1705/'Peers Stock History'!G$1833*100</f>
        <v>116.19425547996973</v>
      </c>
      <c r="G1702" s="871">
        <f>'Peers Stock History'!H1705/'Peers Stock History'!H$1833*100</f>
        <v>119.06403223457448</v>
      </c>
      <c r="H1702" s="871">
        <f>'Peers Stock History'!I1705/'Peers Stock History'!I$1833*100</f>
        <v>137.83666377063423</v>
      </c>
      <c r="I1702" s="871">
        <f>'Peers Stock History'!J1705/'Peers Stock History'!J$1833*100</f>
        <v>103.79057145897627</v>
      </c>
      <c r="J1702" s="871">
        <f>'Peers Stock History'!K1705/'Peers Stock History'!K$1833*100</f>
        <v>107.66070274803074</v>
      </c>
    </row>
    <row r="1703" spans="2:10">
      <c r="B1703" s="873">
        <v>42908</v>
      </c>
      <c r="C1703" s="871">
        <f>'Peers Stock History'!D1706/'Peers Stock History'!D$1833*100</f>
        <v>95.312066574202504</v>
      </c>
      <c r="D1703" s="871">
        <f>'Peers Stock History'!E1706/'Peers Stock History'!E$1833*100</f>
        <v>145.2935779816514</v>
      </c>
      <c r="E1703" s="871">
        <f>'Peers Stock History'!F1706/'Peers Stock History'!F$1833*100</f>
        <v>108.12030075187971</v>
      </c>
      <c r="F1703" s="871">
        <f>'Peers Stock History'!G1706/'Peers Stock History'!G$1833*100</f>
        <v>116.54940274258645</v>
      </c>
      <c r="G1703" s="871">
        <f>'Peers Stock History'!H1706/'Peers Stock History'!H$1833*100</f>
        <v>118.47177047429487</v>
      </c>
      <c r="H1703" s="871">
        <f>'Peers Stock History'!I1706/'Peers Stock History'!I$1833*100</f>
        <v>138.53171155516941</v>
      </c>
      <c r="I1703" s="871">
        <f>'Peers Stock History'!J1706/'Peers Stock History'!J$1833*100</f>
        <v>103.62881770777908</v>
      </c>
      <c r="J1703" s="871">
        <f>'Peers Stock History'!K1706/'Peers Stock History'!K$1833*100</f>
        <v>107.16984795787911</v>
      </c>
    </row>
    <row r="1704" spans="2:10">
      <c r="B1704" s="873">
        <v>42907</v>
      </c>
      <c r="C1704" s="871">
        <f>'Peers Stock History'!D1707/'Peers Stock History'!D$1833*100</f>
        <v>95.922330097087382</v>
      </c>
      <c r="D1704" s="871">
        <f>'Peers Stock History'!E1707/'Peers Stock History'!E$1833*100</f>
        <v>146.30275229357798</v>
      </c>
      <c r="E1704" s="871">
        <f>'Peers Stock History'!F1707/'Peers Stock History'!F$1833*100</f>
        <v>105.11278195488723</v>
      </c>
      <c r="F1704" s="871">
        <f>'Peers Stock History'!G1707/'Peers Stock History'!G$1833*100</f>
        <v>115.15227434322135</v>
      </c>
      <c r="G1704" s="871">
        <f>'Peers Stock History'!H1707/'Peers Stock History'!H$1833*100</f>
        <v>118.99606777028011</v>
      </c>
      <c r="H1704" s="871">
        <f>'Peers Stock History'!I1707/'Peers Stock History'!I$1833*100</f>
        <v>139.05299739357079</v>
      </c>
      <c r="I1704" s="871">
        <f>'Peers Stock History'!J1707/'Peers Stock History'!J$1833*100</f>
        <v>103.67606682983931</v>
      </c>
      <c r="J1704" s="871">
        <f>'Peers Stock History'!K1707/'Peers Stock History'!K$1833*100</f>
        <v>107.1229018599728</v>
      </c>
    </row>
    <row r="1705" spans="2:10">
      <c r="B1705" s="873">
        <v>42906</v>
      </c>
      <c r="C1705" s="871">
        <f>'Peers Stock History'!D1708/'Peers Stock History'!D$1833*100</f>
        <v>96.699029126213603</v>
      </c>
      <c r="D1705" s="871">
        <f>'Peers Stock History'!E1708/'Peers Stock History'!E$1833*100</f>
        <v>144.11926605504587</v>
      </c>
      <c r="E1705" s="871">
        <f>'Peers Stock History'!F1708/'Peers Stock History'!F$1833*100</f>
        <v>95.037593984962413</v>
      </c>
      <c r="F1705" s="871">
        <f>'Peers Stock History'!G1708/'Peers Stock History'!G$1833*100</f>
        <v>115.66002901799295</v>
      </c>
      <c r="G1705" s="871">
        <f>'Peers Stock History'!H1708/'Peers Stock History'!H$1833*100</f>
        <v>116.5056556143502</v>
      </c>
      <c r="H1705" s="871">
        <f>'Peers Stock History'!I1708/'Peers Stock History'!I$1833*100</f>
        <v>133.92701998262379</v>
      </c>
      <c r="I1705" s="871">
        <f>'Peers Stock History'!J1708/'Peers Stock History'!J$1833*100</f>
        <v>103.73651165265511</v>
      </c>
      <c r="J1705" s="871">
        <f>'Peers Stock History'!K1708/'Peers Stock History'!K$1833*100</f>
        <v>106.33378813081671</v>
      </c>
    </row>
    <row r="1706" spans="2:10">
      <c r="B1706" s="873">
        <v>42905</v>
      </c>
      <c r="C1706" s="871">
        <f>'Peers Stock History'!D1709/'Peers Stock History'!D$1833*100</f>
        <v>98.502080443828021</v>
      </c>
      <c r="D1706" s="871">
        <f>'Peers Stock History'!E1709/'Peers Stock History'!E$1833*100</f>
        <v>144.3302752293578</v>
      </c>
      <c r="E1706" s="871">
        <f>'Peers Stock History'!F1709/'Peers Stock History'!F$1833*100</f>
        <v>89.699248120300751</v>
      </c>
      <c r="F1706" s="871">
        <f>'Peers Stock History'!G1709/'Peers Stock History'!G$1833*100</f>
        <v>114.19150045851435</v>
      </c>
      <c r="G1706" s="871">
        <f>'Peers Stock History'!H1709/'Peers Stock History'!H$1833*100</f>
        <v>117.0687897470751</v>
      </c>
      <c r="H1706" s="871">
        <f>'Peers Stock History'!I1709/'Peers Stock History'!I$1833*100</f>
        <v>135.53431798436142</v>
      </c>
      <c r="I1706" s="871">
        <f>'Peers Stock History'!J1709/'Peers Stock History'!J$1833*100</f>
        <v>104.4358837926998</v>
      </c>
      <c r="J1706" s="871">
        <f>'Peers Stock History'!K1709/'Peers Stock History'!K$1833*100</f>
        <v>107.20985180704675</v>
      </c>
    </row>
    <row r="1707" spans="2:10">
      <c r="B1707" s="873">
        <v>42904</v>
      </c>
      <c r="C1707" s="871">
        <f>'Peers Stock History'!D1710/'Peers Stock History'!D$1833*100</f>
        <v>97.669902912621367</v>
      </c>
      <c r="D1707" s="871">
        <f>'Peers Stock History'!E1710/'Peers Stock History'!E$1833*100</f>
        <v>139.10091743119267</v>
      </c>
      <c r="E1707" s="871">
        <f>'Peers Stock History'!F1710/'Peers Stock History'!F$1833*100</f>
        <v>86.015037593984957</v>
      </c>
      <c r="F1707" s="871">
        <f>'Peers Stock History'!G1710/'Peers Stock History'!G$1833*100</f>
        <v>113.33130986105495</v>
      </c>
      <c r="G1707" s="871">
        <f>'Peers Stock History'!H1710/'Peers Stock History'!H$1833*100</f>
        <v>114.69003349677169</v>
      </c>
      <c r="H1707" s="871">
        <f>'Peers Stock History'!I1710/'Peers Stock History'!I$1833*100</f>
        <v>129.71329278887924</v>
      </c>
      <c r="I1707" s="871">
        <f>'Peers Stock History'!J1710/'Peers Stock History'!J$1833*100</f>
        <v>103.57135255932745</v>
      </c>
      <c r="J1707" s="871">
        <f>'Peers Stock History'!K1710/'Peers Stock History'!K$1833*100</f>
        <v>105.71048073354137</v>
      </c>
    </row>
    <row r="1708" spans="2:10">
      <c r="B1708" s="873">
        <v>42903</v>
      </c>
      <c r="C1708" s="871">
        <f>'Peers Stock History'!D1711/'Peers Stock History'!D$1833*100</f>
        <v>97.669902912621367</v>
      </c>
      <c r="D1708" s="871">
        <f>'Peers Stock History'!E1711/'Peers Stock History'!E$1833*100</f>
        <v>139.10091743119267</v>
      </c>
      <c r="E1708" s="871">
        <f>'Peers Stock History'!F1711/'Peers Stock History'!F$1833*100</f>
        <v>86.015037593984957</v>
      </c>
      <c r="F1708" s="871">
        <f>'Peers Stock History'!G1711/'Peers Stock History'!G$1833*100</f>
        <v>113.33130986105495</v>
      </c>
      <c r="G1708" s="871">
        <f>'Peers Stock History'!H1711/'Peers Stock History'!H$1833*100</f>
        <v>114.69003349677169</v>
      </c>
      <c r="H1708" s="871">
        <f>'Peers Stock History'!I1711/'Peers Stock History'!I$1833*100</f>
        <v>129.71329278887924</v>
      </c>
      <c r="I1708" s="871">
        <f>'Peers Stock History'!J1711/'Peers Stock History'!J$1833*100</f>
        <v>103.57135255932745</v>
      </c>
      <c r="J1708" s="871">
        <f>'Peers Stock History'!K1711/'Peers Stock History'!K$1833*100</f>
        <v>105.71048073354137</v>
      </c>
    </row>
    <row r="1709" spans="2:10">
      <c r="B1709" s="873">
        <v>42902</v>
      </c>
      <c r="C1709" s="871">
        <f>'Peers Stock History'!D1712/'Peers Stock History'!D$1833*100</f>
        <v>97.669902912621367</v>
      </c>
      <c r="D1709" s="871">
        <f>'Peers Stock History'!E1712/'Peers Stock History'!E$1833*100</f>
        <v>139.10091743119267</v>
      </c>
      <c r="E1709" s="871">
        <f>'Peers Stock History'!F1712/'Peers Stock History'!F$1833*100</f>
        <v>86.015037593984957</v>
      </c>
      <c r="F1709" s="871">
        <f>'Peers Stock History'!G1712/'Peers Stock History'!G$1833*100</f>
        <v>113.33130986105495</v>
      </c>
      <c r="G1709" s="871">
        <f>'Peers Stock History'!H1712/'Peers Stock History'!H$1833*100</f>
        <v>114.69003349677169</v>
      </c>
      <c r="H1709" s="871">
        <f>'Peers Stock History'!I1712/'Peers Stock History'!I$1833*100</f>
        <v>129.71329278887924</v>
      </c>
      <c r="I1709" s="871">
        <f>'Peers Stock History'!J1712/'Peers Stock History'!J$1833*100</f>
        <v>103.57135255932745</v>
      </c>
      <c r="J1709" s="871">
        <f>'Peers Stock History'!K1712/'Peers Stock History'!K$1833*100</f>
        <v>105.71048073354137</v>
      </c>
    </row>
    <row r="1710" spans="2:10">
      <c r="B1710" s="873">
        <v>42901</v>
      </c>
      <c r="C1710" s="871">
        <f>'Peers Stock History'!D1713/'Peers Stock History'!D$1833*100</f>
        <v>97.94729542302359</v>
      </c>
      <c r="D1710" s="871">
        <f>'Peers Stock History'!E1713/'Peers Stock History'!E$1833*100</f>
        <v>139.78899082568807</v>
      </c>
      <c r="E1710" s="871">
        <f>'Peers Stock History'!F1713/'Peers Stock History'!F$1833*100</f>
        <v>86.46616541353383</v>
      </c>
      <c r="F1710" s="871">
        <f>'Peers Stock History'!G1713/'Peers Stock History'!G$1833*100</f>
        <v>111.83529068176237</v>
      </c>
      <c r="G1710" s="871">
        <f>'Peers Stock History'!H1713/'Peers Stock History'!H$1833*100</f>
        <v>115.53473469585902</v>
      </c>
      <c r="H1710" s="871">
        <f>'Peers Stock History'!I1713/'Peers Stock History'!I$1833*100</f>
        <v>132.75412684622069</v>
      </c>
      <c r="I1710" s="871">
        <f>'Peers Stock History'!J1713/'Peers Stock History'!J$1833*100</f>
        <v>103.54198148345218</v>
      </c>
      <c r="J1710" s="871">
        <f>'Peers Stock History'!K1713/'Peers Stock History'!K$1833*100</f>
        <v>105.94663747714559</v>
      </c>
    </row>
    <row r="1711" spans="2:10">
      <c r="B1711" s="873">
        <v>42900</v>
      </c>
      <c r="C1711" s="871">
        <f>'Peers Stock History'!D1714/'Peers Stock History'!D$1833*100</f>
        <v>98.557558945908468</v>
      </c>
      <c r="D1711" s="871">
        <f>'Peers Stock History'!E1714/'Peers Stock History'!E$1833*100</f>
        <v>139.19266055045873</v>
      </c>
      <c r="E1711" s="871">
        <f>'Peers Stock History'!F1714/'Peers Stock History'!F$1833*100</f>
        <v>88.496240601503757</v>
      </c>
      <c r="F1711" s="871">
        <f>'Peers Stock History'!G1714/'Peers Stock History'!G$1833*100</f>
        <v>111.63708927525529</v>
      </c>
      <c r="G1711" s="871">
        <f>'Peers Stock History'!H1714/'Peers Stock History'!H$1833*100</f>
        <v>116.77265886693529</v>
      </c>
      <c r="H1711" s="871">
        <f>'Peers Stock History'!I1714/'Peers Stock History'!I$1833*100</f>
        <v>134.92615117289313</v>
      </c>
      <c r="I1711" s="871">
        <f>'Peers Stock History'!J1714/'Peers Stock History'!J$1833*100</f>
        <v>103.77439608385654</v>
      </c>
      <c r="J1711" s="871">
        <f>'Peers Stock History'!K1714/'Peers Stock History'!K$1833*100</f>
        <v>106.45168607288676</v>
      </c>
    </row>
    <row r="1712" spans="2:10">
      <c r="B1712" s="873">
        <v>42899</v>
      </c>
      <c r="C1712" s="871">
        <f>'Peers Stock History'!D1715/'Peers Stock History'!D$1833*100</f>
        <v>99.528432732316247</v>
      </c>
      <c r="D1712" s="871">
        <f>'Peers Stock History'!E1715/'Peers Stock History'!E$1833*100</f>
        <v>138.89908256880733</v>
      </c>
      <c r="E1712" s="871">
        <f>'Peers Stock History'!F1715/'Peers Stock History'!F$1833*100</f>
        <v>89.924812030075188</v>
      </c>
      <c r="F1712" s="871">
        <f>'Peers Stock History'!G1715/'Peers Stock History'!G$1833*100</f>
        <v>112.02412659173358</v>
      </c>
      <c r="G1712" s="871">
        <f>'Peers Stock History'!H1715/'Peers Stock History'!H$1833*100</f>
        <v>117.9377639691247</v>
      </c>
      <c r="H1712" s="871">
        <f>'Peers Stock History'!I1715/'Peers Stock History'!I$1833*100</f>
        <v>137.01129452649869</v>
      </c>
      <c r="I1712" s="871">
        <f>'Peers Stock History'!J1715/'Peers Stock History'!J$1833*100</f>
        <v>103.87783335106948</v>
      </c>
      <c r="J1712" s="871">
        <f>'Peers Stock History'!K1715/'Peers Stock History'!K$1833*100</f>
        <v>106.88947733802566</v>
      </c>
    </row>
    <row r="1713" spans="2:10">
      <c r="B1713" s="873">
        <v>42898</v>
      </c>
      <c r="C1713" s="871">
        <f>'Peers Stock History'!D1716/'Peers Stock History'!D$1833*100</f>
        <v>99.112343966712899</v>
      </c>
      <c r="D1713" s="871">
        <f>'Peers Stock History'!E1716/'Peers Stock History'!E$1833*100</f>
        <v>137.58715596330276</v>
      </c>
      <c r="E1713" s="871">
        <f>'Peers Stock History'!F1716/'Peers Stock History'!F$1833*100</f>
        <v>90.902255639097746</v>
      </c>
      <c r="F1713" s="871">
        <f>'Peers Stock History'!G1716/'Peers Stock History'!G$1833*100</f>
        <v>111.9290089098094</v>
      </c>
      <c r="G1713" s="871">
        <f>'Peers Stock History'!H1716/'Peers Stock History'!H$1833*100</f>
        <v>117.80668964512839</v>
      </c>
      <c r="H1713" s="871">
        <f>'Peers Stock History'!I1716/'Peers Stock History'!I$1833*100</f>
        <v>135.53431798436142</v>
      </c>
      <c r="I1713" s="871">
        <f>'Peers Stock History'!J1716/'Peers Stock History'!J$1833*100</f>
        <v>103.41130147919549</v>
      </c>
      <c r="J1713" s="871">
        <f>'Peers Stock History'!K1716/'Peers Stock History'!K$1833*100</f>
        <v>106.11785670098841</v>
      </c>
    </row>
    <row r="1714" spans="2:10">
      <c r="B1714" s="873">
        <v>42897</v>
      </c>
      <c r="C1714" s="871">
        <f>'Peers Stock History'!D1717/'Peers Stock History'!D$1833*100</f>
        <v>99.056865464632466</v>
      </c>
      <c r="D1714" s="871">
        <f>'Peers Stock History'!E1717/'Peers Stock History'!E$1833*100</f>
        <v>137.24770642201833</v>
      </c>
      <c r="E1714" s="871">
        <f>'Peers Stock History'!F1717/'Peers Stock History'!F$1833*100</f>
        <v>92.330827067669162</v>
      </c>
      <c r="F1714" s="871">
        <f>'Peers Stock History'!G1717/'Peers Stock History'!G$1833*100</f>
        <v>114.62244499769008</v>
      </c>
      <c r="G1714" s="871">
        <f>'Peers Stock History'!H1717/'Peers Stock History'!H$1833*100</f>
        <v>118.13194815282296</v>
      </c>
      <c r="H1714" s="871">
        <f>'Peers Stock History'!I1717/'Peers Stock History'!I$1833*100</f>
        <v>132.92788879235448</v>
      </c>
      <c r="I1714" s="871">
        <f>'Peers Stock History'!J1717/'Peers Stock History'!J$1833*100</f>
        <v>103.51261040757689</v>
      </c>
      <c r="J1714" s="871">
        <f>'Peers Stock History'!K1717/'Peers Stock History'!K$1833*100</f>
        <v>106.67552204335813</v>
      </c>
    </row>
    <row r="1715" spans="2:10">
      <c r="B1715" s="873">
        <v>42896</v>
      </c>
      <c r="C1715" s="871">
        <f>'Peers Stock History'!D1718/'Peers Stock History'!D$1833*100</f>
        <v>99.056865464632466</v>
      </c>
      <c r="D1715" s="871">
        <f>'Peers Stock History'!E1718/'Peers Stock History'!E$1833*100</f>
        <v>137.24770642201833</v>
      </c>
      <c r="E1715" s="871">
        <f>'Peers Stock History'!F1718/'Peers Stock History'!F$1833*100</f>
        <v>92.330827067669162</v>
      </c>
      <c r="F1715" s="871">
        <f>'Peers Stock History'!G1718/'Peers Stock History'!G$1833*100</f>
        <v>114.62244499769008</v>
      </c>
      <c r="G1715" s="871">
        <f>'Peers Stock History'!H1718/'Peers Stock History'!H$1833*100</f>
        <v>118.13194815282296</v>
      </c>
      <c r="H1715" s="871">
        <f>'Peers Stock History'!I1718/'Peers Stock History'!I$1833*100</f>
        <v>132.92788879235448</v>
      </c>
      <c r="I1715" s="871">
        <f>'Peers Stock History'!J1718/'Peers Stock History'!J$1833*100</f>
        <v>103.51261040757689</v>
      </c>
      <c r="J1715" s="871">
        <f>'Peers Stock History'!K1718/'Peers Stock History'!K$1833*100</f>
        <v>106.67552204335813</v>
      </c>
    </row>
    <row r="1716" spans="2:10">
      <c r="B1716" s="873">
        <v>42895</v>
      </c>
      <c r="C1716" s="871">
        <f>'Peers Stock History'!D1719/'Peers Stock History'!D$1833*100</f>
        <v>99.056865464632466</v>
      </c>
      <c r="D1716" s="871">
        <f>'Peers Stock History'!E1719/'Peers Stock History'!E$1833*100</f>
        <v>137.24770642201833</v>
      </c>
      <c r="E1716" s="871">
        <f>'Peers Stock History'!F1719/'Peers Stock History'!F$1833*100</f>
        <v>92.330827067669162</v>
      </c>
      <c r="F1716" s="871">
        <f>'Peers Stock History'!G1719/'Peers Stock History'!G$1833*100</f>
        <v>114.62244499769008</v>
      </c>
      <c r="G1716" s="871">
        <f>'Peers Stock History'!H1719/'Peers Stock History'!H$1833*100</f>
        <v>118.13194815282296</v>
      </c>
      <c r="H1716" s="871">
        <f>'Peers Stock History'!I1719/'Peers Stock History'!I$1833*100</f>
        <v>132.92788879235448</v>
      </c>
      <c r="I1716" s="871">
        <f>'Peers Stock History'!J1719/'Peers Stock History'!J$1833*100</f>
        <v>103.51261040757689</v>
      </c>
      <c r="J1716" s="871">
        <f>'Peers Stock History'!K1719/'Peers Stock History'!K$1833*100</f>
        <v>106.67552204335813</v>
      </c>
    </row>
    <row r="1717" spans="2:10">
      <c r="B1717" s="873">
        <v>42894</v>
      </c>
      <c r="C1717" s="871">
        <f>'Peers Stock History'!D1720/'Peers Stock History'!D$1833*100</f>
        <v>101.19278779472953</v>
      </c>
      <c r="D1717" s="871">
        <f>'Peers Stock History'!E1720/'Peers Stock History'!E$1833*100</f>
        <v>146.73394495412845</v>
      </c>
      <c r="E1717" s="871">
        <f>'Peers Stock History'!F1720/'Peers Stock History'!F$1833*100</f>
        <v>96.992481203007515</v>
      </c>
      <c r="F1717" s="871">
        <f>'Peers Stock History'!G1720/'Peers Stock History'!G$1833*100</f>
        <v>115.12102792254298</v>
      </c>
      <c r="G1717" s="871">
        <f>'Peers Stock History'!H1720/'Peers Stock History'!H$1833*100</f>
        <v>123.7681440846643</v>
      </c>
      <c r="H1717" s="871">
        <f>'Peers Stock History'!I1720/'Peers Stock History'!I$1833*100</f>
        <v>140.96437880104259</v>
      </c>
      <c r="I1717" s="871">
        <f>'Peers Stock History'!J1720/'Peers Stock History'!J$1833*100</f>
        <v>103.59859529637119</v>
      </c>
      <c r="J1717" s="871">
        <f>'Peers Stock History'!K1720/'Peers Stock History'!K$1833*100</f>
        <v>108.63182711738588</v>
      </c>
    </row>
    <row r="1718" spans="2:10">
      <c r="B1718" s="873">
        <v>42893</v>
      </c>
      <c r="C1718" s="871">
        <f>'Peers Stock History'!D1721/'Peers Stock History'!D$1833*100</f>
        <v>100.58252427184466</v>
      </c>
      <c r="D1718" s="871">
        <f>'Peers Stock History'!E1721/'Peers Stock History'!E$1833*100</f>
        <v>136.80733944954127</v>
      </c>
      <c r="E1718" s="871">
        <f>'Peers Stock History'!F1721/'Peers Stock History'!F$1833*100</f>
        <v>93.082706766917283</v>
      </c>
      <c r="F1718" s="871">
        <f>'Peers Stock History'!G1721/'Peers Stock History'!G$1833*100</f>
        <v>114.08667655144431</v>
      </c>
      <c r="G1718" s="871">
        <f>'Peers Stock History'!H1721/'Peers Stock History'!H$1833*100</f>
        <v>123.44288557696974</v>
      </c>
      <c r="H1718" s="871">
        <f>'Peers Stock History'!I1721/'Peers Stock History'!I$1833*100</f>
        <v>141.18158123370984</v>
      </c>
      <c r="I1718" s="871">
        <f>'Peers Stock History'!J1721/'Peers Stock History'!J$1833*100</f>
        <v>103.57092689156113</v>
      </c>
      <c r="J1718" s="871">
        <f>'Peers Stock History'!K1721/'Peers Stock History'!K$1833*100</f>
        <v>108.21281772816629</v>
      </c>
    </row>
    <row r="1719" spans="2:10">
      <c r="B1719" s="873">
        <v>42892</v>
      </c>
      <c r="C1719" s="871">
        <f>'Peers Stock History'!D1722/'Peers Stock History'!D$1833*100</f>
        <v>100.22191400832179</v>
      </c>
      <c r="D1719" s="871">
        <f>'Peers Stock History'!E1722/'Peers Stock History'!E$1833*100</f>
        <v>135.17431192660553</v>
      </c>
      <c r="E1719" s="871">
        <f>'Peers Stock History'!F1722/'Peers Stock History'!F$1833*100</f>
        <v>90.451127819548859</v>
      </c>
      <c r="F1719" s="871">
        <f>'Peers Stock History'!G1722/'Peers Stock History'!G$1833*100</f>
        <v>113.8644202106444</v>
      </c>
      <c r="G1719" s="871">
        <f>'Peers Stock History'!H1722/'Peers Stock History'!H$1833*100</f>
        <v>123.2389921840866</v>
      </c>
      <c r="H1719" s="871">
        <f>'Peers Stock History'!I1722/'Peers Stock History'!I$1833*100</f>
        <v>137.14161598609905</v>
      </c>
      <c r="I1719" s="871">
        <f>'Peers Stock History'!J1722/'Peers Stock History'!J$1833*100</f>
        <v>103.40874747259763</v>
      </c>
      <c r="J1719" s="871">
        <f>'Peers Stock History'!K1722/'Peers Stock History'!K$1833*100</f>
        <v>107.82924130156854</v>
      </c>
    </row>
    <row r="1720" spans="2:10">
      <c r="B1720" s="873">
        <v>42891</v>
      </c>
      <c r="C1720" s="871">
        <f>'Peers Stock History'!D1723/'Peers Stock History'!D$1833*100</f>
        <v>100.80443828016645</v>
      </c>
      <c r="D1720" s="871">
        <f>'Peers Stock History'!E1723/'Peers Stock History'!E$1833*100</f>
        <v>135.78899082568807</v>
      </c>
      <c r="E1720" s="871">
        <f>'Peers Stock History'!F1723/'Peers Stock History'!F$1833*100</f>
        <v>84.511278195488714</v>
      </c>
      <c r="F1720" s="871">
        <f>'Peers Stock History'!G1723/'Peers Stock History'!G$1833*100</f>
        <v>114.67961900257724</v>
      </c>
      <c r="G1720" s="871">
        <f>'Peers Stock History'!H1723/'Peers Stock History'!H$1833*100</f>
        <v>122.43798242633137</v>
      </c>
      <c r="H1720" s="871">
        <f>'Peers Stock History'!I1723/'Peers Stock History'!I$1833*100</f>
        <v>135.57775847089488</v>
      </c>
      <c r="I1720" s="871">
        <f>'Peers Stock History'!J1723/'Peers Stock History'!J$1833*100</f>
        <v>103.69692455038842</v>
      </c>
      <c r="J1720" s="871">
        <f>'Peers Stock History'!K1723/'Peers Stock History'!K$1833*100</f>
        <v>108.18367403049092</v>
      </c>
    </row>
    <row r="1721" spans="2:10">
      <c r="B1721" s="873">
        <v>42890</v>
      </c>
      <c r="C1721" s="871">
        <f>'Peers Stock History'!D1724/'Peers Stock History'!D$1833*100</f>
        <v>100.748959778086</v>
      </c>
      <c r="D1721" s="871">
        <f>'Peers Stock History'!E1724/'Peers Stock History'!E$1833*100</f>
        <v>131.77981651376146</v>
      </c>
      <c r="E1721" s="871">
        <f>'Peers Stock History'!F1724/'Peers Stock History'!F$1833*100</f>
        <v>81.954887218045116</v>
      </c>
      <c r="F1721" s="871">
        <f>'Peers Stock History'!G1724/'Peers Stock History'!G$1833*100</f>
        <v>113.00794134432168</v>
      </c>
      <c r="G1721" s="871">
        <f>'Peers Stock History'!H1724/'Peers Stock History'!H$1833*100</f>
        <v>123.56425069178114</v>
      </c>
      <c r="H1721" s="871">
        <f>'Peers Stock History'!I1724/'Peers Stock History'!I$1833*100</f>
        <v>135.57775847089488</v>
      </c>
      <c r="I1721" s="871">
        <f>'Peers Stock History'!J1724/'Peers Stock History'!J$1833*100</f>
        <v>103.82334787698201</v>
      </c>
      <c r="J1721" s="871">
        <f>'Peers Stock History'!K1724/'Peers Stock History'!K$1833*100</f>
        <v>108.35743645436675</v>
      </c>
    </row>
    <row r="1722" spans="2:10">
      <c r="B1722" s="873">
        <v>42889</v>
      </c>
      <c r="C1722" s="871">
        <f>'Peers Stock History'!D1725/'Peers Stock History'!D$1833*100</f>
        <v>100.748959778086</v>
      </c>
      <c r="D1722" s="871">
        <f>'Peers Stock History'!E1725/'Peers Stock History'!E$1833*100</f>
        <v>131.77981651376146</v>
      </c>
      <c r="E1722" s="871">
        <f>'Peers Stock History'!F1725/'Peers Stock History'!F$1833*100</f>
        <v>81.954887218045116</v>
      </c>
      <c r="F1722" s="871">
        <f>'Peers Stock History'!G1725/'Peers Stock History'!G$1833*100</f>
        <v>113.00794134432168</v>
      </c>
      <c r="G1722" s="871">
        <f>'Peers Stock History'!H1725/'Peers Stock History'!H$1833*100</f>
        <v>123.56425069178114</v>
      </c>
      <c r="H1722" s="871">
        <f>'Peers Stock History'!I1725/'Peers Stock History'!I$1833*100</f>
        <v>135.57775847089488</v>
      </c>
      <c r="I1722" s="871">
        <f>'Peers Stock History'!J1725/'Peers Stock History'!J$1833*100</f>
        <v>103.82334787698201</v>
      </c>
      <c r="J1722" s="871">
        <f>'Peers Stock History'!K1725/'Peers Stock History'!K$1833*100</f>
        <v>108.35743645436675</v>
      </c>
    </row>
    <row r="1723" spans="2:10">
      <c r="B1723" s="873">
        <v>42888</v>
      </c>
      <c r="C1723" s="871">
        <f>'Peers Stock History'!D1726/'Peers Stock History'!D$1833*100</f>
        <v>100.748959778086</v>
      </c>
      <c r="D1723" s="871">
        <f>'Peers Stock History'!E1726/'Peers Stock History'!E$1833*100</f>
        <v>131.77981651376146</v>
      </c>
      <c r="E1723" s="871">
        <f>'Peers Stock History'!F1726/'Peers Stock History'!F$1833*100</f>
        <v>81.954887218045116</v>
      </c>
      <c r="F1723" s="871">
        <f>'Peers Stock History'!G1726/'Peers Stock History'!G$1833*100</f>
        <v>113.00794134432168</v>
      </c>
      <c r="G1723" s="871">
        <f>'Peers Stock History'!H1726/'Peers Stock History'!H$1833*100</f>
        <v>123.56425069178114</v>
      </c>
      <c r="H1723" s="871">
        <f>'Peers Stock History'!I1726/'Peers Stock History'!I$1833*100</f>
        <v>135.57775847089488</v>
      </c>
      <c r="I1723" s="871">
        <f>'Peers Stock History'!J1726/'Peers Stock History'!J$1833*100</f>
        <v>103.82334787698201</v>
      </c>
      <c r="J1723" s="871">
        <f>'Peers Stock History'!K1726/'Peers Stock History'!K$1833*100</f>
        <v>108.35743645436675</v>
      </c>
    </row>
    <row r="1724" spans="2:10">
      <c r="B1724" s="873">
        <v>42887</v>
      </c>
      <c r="C1724" s="871">
        <f>'Peers Stock History'!D1727/'Peers Stock History'!D$1833*100</f>
        <v>100.19417475728156</v>
      </c>
      <c r="D1724" s="871">
        <f>'Peers Stock History'!E1727/'Peers Stock History'!E$1833*100</f>
        <v>132.44036697247708</v>
      </c>
      <c r="E1724" s="871">
        <f>'Peers Stock History'!F1727/'Peers Stock History'!F$1833*100</f>
        <v>82.180451127819538</v>
      </c>
      <c r="F1724" s="871">
        <f>'Peers Stock History'!G1727/'Peers Stock History'!G$1833*100</f>
        <v>111.90420802929526</v>
      </c>
      <c r="G1724" s="871">
        <f>'Peers Stock History'!H1727/'Peers Stock History'!H$1833*100</f>
        <v>113.88416913442401</v>
      </c>
      <c r="H1724" s="871">
        <f>'Peers Stock History'!I1727/'Peers Stock History'!I$1833*100</f>
        <v>133.62293657688966</v>
      </c>
      <c r="I1724" s="871">
        <f>'Peers Stock History'!J1727/'Peers Stock History'!J$1833*100</f>
        <v>103.43982121953815</v>
      </c>
      <c r="J1724" s="871">
        <f>'Peers Stock History'!K1727/'Peers Stock History'!K$1833*100</f>
        <v>107.34417744662717</v>
      </c>
    </row>
    <row r="1725" spans="2:10">
      <c r="B1725" s="873">
        <v>42886</v>
      </c>
      <c r="C1725" s="871">
        <f>'Peers Stock History'!D1728/'Peers Stock History'!D$1833*100</f>
        <v>100.16643550624134</v>
      </c>
      <c r="D1725" s="871">
        <f>'Peers Stock History'!E1728/'Peers Stock History'!E$1833*100</f>
        <v>132.43119266055047</v>
      </c>
      <c r="E1725" s="871">
        <f>'Peers Stock History'!F1728/'Peers Stock History'!F$1833*100</f>
        <v>84.135338345864653</v>
      </c>
      <c r="F1725" s="871">
        <f>'Peers Stock History'!G1728/'Peers Stock History'!G$1833*100</f>
        <v>109.77828997509202</v>
      </c>
      <c r="G1725" s="871">
        <f>'Peers Stock History'!H1728/'Peers Stock History'!H$1833*100</f>
        <v>116.25807078013494</v>
      </c>
      <c r="H1725" s="871">
        <f>'Peers Stock History'!I1728/'Peers Stock History'!I$1833*100</f>
        <v>133.66637706342311</v>
      </c>
      <c r="I1725" s="871">
        <f>'Peers Stock History'!J1728/'Peers Stock History'!J$1833*100</f>
        <v>102.66255187825904</v>
      </c>
      <c r="J1725" s="871">
        <f>'Peers Stock History'!K1728/'Peers Stock History'!K$1833*100</f>
        <v>106.51397728991105</v>
      </c>
    </row>
    <row r="1726" spans="2:10">
      <c r="B1726" s="873">
        <v>42885</v>
      </c>
      <c r="C1726" s="871">
        <f>'Peers Stock History'!D1729/'Peers Stock History'!D$1833*100</f>
        <v>100.3606102635229</v>
      </c>
      <c r="D1726" s="871">
        <f>'Peers Stock History'!E1729/'Peers Stock History'!E$1833*100</f>
        <v>132.90825688073394</v>
      </c>
      <c r="E1726" s="871">
        <f>'Peers Stock History'!F1729/'Peers Stock History'!F$1833*100</f>
        <v>83.609022556390968</v>
      </c>
      <c r="F1726" s="871">
        <f>'Peers Stock History'!G1729/'Peers Stock History'!G$1833*100</f>
        <v>111.88561681982736</v>
      </c>
      <c r="G1726" s="871">
        <f>'Peers Stock History'!H1729/'Peers Stock History'!H$1833*100</f>
        <v>116.42312733627844</v>
      </c>
      <c r="H1726" s="871">
        <f>'Peers Stock History'!I1729/'Peers Stock History'!I$1833*100</f>
        <v>133.36229365768898</v>
      </c>
      <c r="I1726" s="871">
        <f>'Peers Stock History'!J1729/'Peers Stock History'!J$1833*100</f>
        <v>102.70980100031923</v>
      </c>
      <c r="J1726" s="871">
        <f>'Peers Stock History'!K1729/'Peers Stock History'!K$1833*100</f>
        <v>106.59425992879041</v>
      </c>
    </row>
    <row r="1727" spans="2:10">
      <c r="B1727" s="873">
        <v>42884</v>
      </c>
      <c r="C1727" s="871">
        <f>'Peers Stock History'!D1730/'Peers Stock History'!D$1833*100</f>
        <v>100.58252427184466</v>
      </c>
      <c r="D1727" s="871">
        <f>'Peers Stock History'!E1730/'Peers Stock History'!E$1833*100</f>
        <v>130.12844036697248</v>
      </c>
      <c r="E1727" s="871">
        <f>'Peers Stock History'!F1730/'Peers Stock History'!F$1833*100</f>
        <v>82.706766917293223</v>
      </c>
      <c r="F1727" s="871">
        <f>'Peers Stock History'!G1730/'Peers Stock History'!G$1833*100</f>
        <v>111.88561681982736</v>
      </c>
      <c r="G1727" s="871">
        <f>'Peers Stock History'!H1730/'Peers Stock History'!H$1833*100</f>
        <v>117.09791737462984</v>
      </c>
      <c r="H1727" s="871">
        <f>'Peers Stock History'!I1730/'Peers Stock History'!I$1833*100</f>
        <v>129.27888792354477</v>
      </c>
      <c r="I1727" s="871">
        <f>'Peers Stock History'!J1730/'Peers Stock History'!J$1833*100</f>
        <v>102.83367032031501</v>
      </c>
      <c r="J1727" s="871">
        <f>'Peers Stock History'!K1730/'Peers Stock History'!K$1833*100</f>
        <v>106.7146323357574</v>
      </c>
    </row>
    <row r="1728" spans="2:10">
      <c r="B1728" s="873">
        <v>42883</v>
      </c>
      <c r="C1728" s="871">
        <f>'Peers Stock History'!D1731/'Peers Stock History'!D$1833*100</f>
        <v>100.58252427184466</v>
      </c>
      <c r="D1728" s="871">
        <f>'Peers Stock History'!E1731/'Peers Stock History'!E$1833*100</f>
        <v>130.12844036697248</v>
      </c>
      <c r="E1728" s="871">
        <f>'Peers Stock History'!F1731/'Peers Stock History'!F$1833*100</f>
        <v>82.706766917293223</v>
      </c>
      <c r="F1728" s="871">
        <f>'Peers Stock History'!G1731/'Peers Stock History'!G$1833*100</f>
        <v>111.88561681982736</v>
      </c>
      <c r="G1728" s="871">
        <f>'Peers Stock History'!H1731/'Peers Stock History'!H$1833*100</f>
        <v>117.09791737462984</v>
      </c>
      <c r="H1728" s="871">
        <f>'Peers Stock History'!I1731/'Peers Stock History'!I$1833*100</f>
        <v>129.27888792354477</v>
      </c>
      <c r="I1728" s="871">
        <f>'Peers Stock History'!J1731/'Peers Stock History'!J$1833*100</f>
        <v>102.83367032031501</v>
      </c>
      <c r="J1728" s="871">
        <f>'Peers Stock History'!K1731/'Peers Stock History'!K$1833*100</f>
        <v>106.7146323357574</v>
      </c>
    </row>
    <row r="1729" spans="2:10">
      <c r="B1729" s="873">
        <v>42882</v>
      </c>
      <c r="C1729" s="871">
        <f>'Peers Stock History'!D1732/'Peers Stock History'!D$1833*100</f>
        <v>100.58252427184466</v>
      </c>
      <c r="D1729" s="871">
        <f>'Peers Stock History'!E1732/'Peers Stock History'!E$1833*100</f>
        <v>130.12844036697248</v>
      </c>
      <c r="E1729" s="871">
        <f>'Peers Stock History'!F1732/'Peers Stock History'!F$1833*100</f>
        <v>82.706766917293223</v>
      </c>
      <c r="F1729" s="871">
        <f>'Peers Stock History'!G1732/'Peers Stock History'!G$1833*100</f>
        <v>111.88561681982736</v>
      </c>
      <c r="G1729" s="871">
        <f>'Peers Stock History'!H1732/'Peers Stock History'!H$1833*100</f>
        <v>117.09791737462984</v>
      </c>
      <c r="H1729" s="871">
        <f>'Peers Stock History'!I1732/'Peers Stock History'!I$1833*100</f>
        <v>129.27888792354477</v>
      </c>
      <c r="I1729" s="871">
        <f>'Peers Stock History'!J1732/'Peers Stock History'!J$1833*100</f>
        <v>102.83367032031501</v>
      </c>
      <c r="J1729" s="871">
        <f>'Peers Stock History'!K1732/'Peers Stock History'!K$1833*100</f>
        <v>106.7146323357574</v>
      </c>
    </row>
    <row r="1730" spans="2:10">
      <c r="B1730" s="873">
        <v>42881</v>
      </c>
      <c r="C1730" s="871">
        <f>'Peers Stock History'!D1733/'Peers Stock History'!D$1833*100</f>
        <v>100.58252427184466</v>
      </c>
      <c r="D1730" s="871">
        <f>'Peers Stock History'!E1733/'Peers Stock History'!E$1833*100</f>
        <v>130.12844036697248</v>
      </c>
      <c r="E1730" s="871">
        <f>'Peers Stock History'!F1733/'Peers Stock History'!F$1833*100</f>
        <v>82.706766917293223</v>
      </c>
      <c r="F1730" s="871">
        <f>'Peers Stock History'!G1733/'Peers Stock History'!G$1833*100</f>
        <v>111.88561681982736</v>
      </c>
      <c r="G1730" s="871">
        <f>'Peers Stock History'!H1733/'Peers Stock History'!H$1833*100</f>
        <v>117.09791737462984</v>
      </c>
      <c r="H1730" s="871">
        <f>'Peers Stock History'!I1733/'Peers Stock History'!I$1833*100</f>
        <v>129.27888792354477</v>
      </c>
      <c r="I1730" s="871">
        <f>'Peers Stock History'!J1733/'Peers Stock History'!J$1833*100</f>
        <v>102.83367032031501</v>
      </c>
      <c r="J1730" s="871">
        <f>'Peers Stock History'!K1733/'Peers Stock History'!K$1833*100</f>
        <v>106.7146323357574</v>
      </c>
    </row>
    <row r="1731" spans="2:10">
      <c r="B1731" s="873">
        <v>42880</v>
      </c>
      <c r="C1731" s="871">
        <f>'Peers Stock History'!D1734/'Peers Stock History'!D$1833*100</f>
        <v>100.58252427184466</v>
      </c>
      <c r="D1731" s="871">
        <f>'Peers Stock History'!E1734/'Peers Stock History'!E$1833*100</f>
        <v>126.8440366972477</v>
      </c>
      <c r="E1731" s="871">
        <f>'Peers Stock History'!F1734/'Peers Stock History'!F$1833*100</f>
        <v>82.556390977443613</v>
      </c>
      <c r="F1731" s="871">
        <f>'Peers Stock History'!G1734/'Peers Stock History'!G$1833*100</f>
        <v>111.97491100723349</v>
      </c>
      <c r="G1731" s="871">
        <f>'Peers Stock History'!H1734/'Peers Stock History'!H$1833*100</f>
        <v>116.92800621389388</v>
      </c>
      <c r="H1731" s="871">
        <f>'Peers Stock History'!I1734/'Peers Stock History'!I$1833*100</f>
        <v>127.84535186794092</v>
      </c>
      <c r="I1731" s="871">
        <f>'Peers Stock History'!J1734/'Peers Stock History'!J$1833*100</f>
        <v>102.80174523784187</v>
      </c>
      <c r="J1731" s="871">
        <f>'Peers Stock History'!K1734/'Peers Stock History'!K$1833*100</f>
        <v>106.62979599411628</v>
      </c>
    </row>
    <row r="1732" spans="2:10">
      <c r="B1732" s="873">
        <v>42879</v>
      </c>
      <c r="C1732" s="871">
        <f>'Peers Stock History'!D1735/'Peers Stock History'!D$1833*100</f>
        <v>100.19417475728156</v>
      </c>
      <c r="D1732" s="871">
        <f>'Peers Stock History'!E1735/'Peers Stock History'!E$1833*100</f>
        <v>127.12844036697246</v>
      </c>
      <c r="E1732" s="871">
        <f>'Peers Stock History'!F1735/'Peers Stock History'!F$1833*100</f>
        <v>81.879699248120303</v>
      </c>
      <c r="F1732" s="871">
        <f>'Peers Stock History'!G1735/'Peers Stock History'!G$1833*100</f>
        <v>110.85017508899202</v>
      </c>
      <c r="G1732" s="871">
        <f>'Peers Stock History'!H1735/'Peers Stock History'!H$1833*100</f>
        <v>116.31632603524442</v>
      </c>
      <c r="H1732" s="871">
        <f>'Peers Stock History'!I1735/'Peers Stock History'!I$1833*100</f>
        <v>125.93397046046914</v>
      </c>
      <c r="I1732" s="871">
        <f>'Peers Stock History'!J1735/'Peers Stock History'!J$1833*100</f>
        <v>102.3471320634245</v>
      </c>
      <c r="J1732" s="871">
        <f>'Peers Stock History'!K1735/'Peers Stock History'!K$1833*100</f>
        <v>105.90407324416095</v>
      </c>
    </row>
    <row r="1733" spans="2:10">
      <c r="B1733" s="873">
        <v>42878</v>
      </c>
      <c r="C1733" s="871">
        <f>'Peers Stock History'!D1736/'Peers Stock History'!D$1833*100</f>
        <v>99.472954230235786</v>
      </c>
      <c r="D1733" s="871">
        <f>'Peers Stock History'!E1736/'Peers Stock History'!E$1833*100</f>
        <v>125.71559633027522</v>
      </c>
      <c r="E1733" s="871">
        <f>'Peers Stock History'!F1736/'Peers Stock History'!F$1833*100</f>
        <v>81.879699248120303</v>
      </c>
      <c r="F1733" s="871">
        <f>'Peers Stock History'!G1736/'Peers Stock History'!G$1833*100</f>
        <v>110.66119569520927</v>
      </c>
      <c r="G1733" s="871">
        <f>'Peers Stock History'!H1736/'Peers Stock History'!H$1833*100</f>
        <v>114.8308170299529</v>
      </c>
      <c r="H1733" s="871">
        <f>'Peers Stock History'!I1736/'Peers Stock History'!I$1833*100</f>
        <v>122.89313640312771</v>
      </c>
      <c r="I1733" s="871">
        <f>'Peers Stock History'!J1736/'Peers Stock History'!J$1833*100</f>
        <v>102.09300840693838</v>
      </c>
      <c r="J1733" s="871">
        <f>'Peers Stock History'!K1736/'Peers Stock History'!K$1833*100</f>
        <v>105.48630108738988</v>
      </c>
    </row>
    <row r="1734" spans="2:10">
      <c r="B1734" s="873">
        <v>42877</v>
      </c>
      <c r="C1734" s="871">
        <f>'Peers Stock History'!D1737/'Peers Stock History'!D$1833*100</f>
        <v>99.223300970873808</v>
      </c>
      <c r="D1734" s="871">
        <f>'Peers Stock History'!E1737/'Peers Stock History'!E$1833*100</f>
        <v>127.43119266055048</v>
      </c>
      <c r="E1734" s="871">
        <f>'Peers Stock History'!F1737/'Peers Stock History'!F$1833*100</f>
        <v>83.007518796992471</v>
      </c>
      <c r="F1734" s="871">
        <f>'Peers Stock History'!G1737/'Peers Stock History'!G$1833*100</f>
        <v>111.25188097665162</v>
      </c>
      <c r="G1734" s="871">
        <f>'Peers Stock History'!H1737/'Peers Stock History'!H$1833*100</f>
        <v>115.7240642749648</v>
      </c>
      <c r="H1734" s="871">
        <f>'Peers Stock History'!I1737/'Peers Stock History'!I$1833*100</f>
        <v>121.89400521285837</v>
      </c>
      <c r="I1734" s="871">
        <f>'Peers Stock History'!J1737/'Peers Stock History'!J$1833*100</f>
        <v>101.9057145897627</v>
      </c>
      <c r="J1734" s="871">
        <f>'Peers Stock History'!K1737/'Peers Stock History'!K$1833*100</f>
        <v>105.3987668916597</v>
      </c>
    </row>
    <row r="1735" spans="2:10">
      <c r="B1735" s="873">
        <v>42876</v>
      </c>
      <c r="C1735" s="871">
        <f>'Peers Stock History'!D1738/'Peers Stock History'!D$1833*100</f>
        <v>98.196948682385582</v>
      </c>
      <c r="D1735" s="871">
        <f>'Peers Stock History'!E1738/'Peers Stock History'!E$1833*100</f>
        <v>124.77064220183487</v>
      </c>
      <c r="E1735" s="871">
        <f>'Peers Stock History'!F1738/'Peers Stock History'!F$1833*100</f>
        <v>85.78947368421052</v>
      </c>
      <c r="F1735" s="871">
        <f>'Peers Stock History'!G1738/'Peers Stock History'!G$1833*100</f>
        <v>110.10772367512722</v>
      </c>
      <c r="G1735" s="871">
        <f>'Peers Stock History'!H1738/'Peers Stock History'!H$1833*100</f>
        <v>113.64629350939366</v>
      </c>
      <c r="H1735" s="871">
        <f>'Peers Stock History'!I1738/'Peers Stock History'!I$1833*100</f>
        <v>120.85143353605561</v>
      </c>
      <c r="I1735" s="871">
        <f>'Peers Stock History'!J1738/'Peers Stock History'!J$1833*100</f>
        <v>101.38256890496966</v>
      </c>
      <c r="J1735" s="871">
        <f>'Peers Stock History'!K1738/'Peers Stock History'!K$1833*100</f>
        <v>104.54103831296484</v>
      </c>
    </row>
    <row r="1736" spans="2:10">
      <c r="B1736" s="873">
        <v>42875</v>
      </c>
      <c r="C1736" s="871">
        <f>'Peers Stock History'!D1739/'Peers Stock History'!D$1833*100</f>
        <v>98.196948682385582</v>
      </c>
      <c r="D1736" s="871">
        <f>'Peers Stock History'!E1739/'Peers Stock History'!E$1833*100</f>
        <v>124.77064220183487</v>
      </c>
      <c r="E1736" s="871">
        <f>'Peers Stock History'!F1739/'Peers Stock History'!F$1833*100</f>
        <v>85.78947368421052</v>
      </c>
      <c r="F1736" s="871">
        <f>'Peers Stock History'!G1739/'Peers Stock History'!G$1833*100</f>
        <v>110.10772367512722</v>
      </c>
      <c r="G1736" s="871">
        <f>'Peers Stock History'!H1739/'Peers Stock History'!H$1833*100</f>
        <v>113.64629350939366</v>
      </c>
      <c r="H1736" s="871">
        <f>'Peers Stock History'!I1739/'Peers Stock History'!I$1833*100</f>
        <v>120.85143353605561</v>
      </c>
      <c r="I1736" s="871">
        <f>'Peers Stock History'!J1739/'Peers Stock History'!J$1833*100</f>
        <v>101.38256890496966</v>
      </c>
      <c r="J1736" s="871">
        <f>'Peers Stock History'!K1739/'Peers Stock History'!K$1833*100</f>
        <v>104.54103831296484</v>
      </c>
    </row>
    <row r="1737" spans="2:10">
      <c r="B1737" s="873">
        <v>42874</v>
      </c>
      <c r="C1737" s="871">
        <f>'Peers Stock History'!D1740/'Peers Stock History'!D$1833*100</f>
        <v>98.196948682385582</v>
      </c>
      <c r="D1737" s="871">
        <f>'Peers Stock History'!E1740/'Peers Stock History'!E$1833*100</f>
        <v>124.77064220183487</v>
      </c>
      <c r="E1737" s="871">
        <f>'Peers Stock History'!F1740/'Peers Stock History'!F$1833*100</f>
        <v>85.78947368421052</v>
      </c>
      <c r="F1737" s="871">
        <f>'Peers Stock History'!G1740/'Peers Stock History'!G$1833*100</f>
        <v>110.10772367512722</v>
      </c>
      <c r="G1737" s="871">
        <f>'Peers Stock History'!H1740/'Peers Stock History'!H$1833*100</f>
        <v>113.64629350939366</v>
      </c>
      <c r="H1737" s="871">
        <f>'Peers Stock History'!I1740/'Peers Stock History'!I$1833*100</f>
        <v>120.85143353605561</v>
      </c>
      <c r="I1737" s="871">
        <f>'Peers Stock History'!J1740/'Peers Stock History'!J$1833*100</f>
        <v>101.38256890496966</v>
      </c>
      <c r="J1737" s="871">
        <f>'Peers Stock History'!K1740/'Peers Stock History'!K$1833*100</f>
        <v>104.54103831296484</v>
      </c>
    </row>
    <row r="1738" spans="2:10">
      <c r="B1738" s="873">
        <v>42873</v>
      </c>
      <c r="C1738" s="871">
        <f>'Peers Stock History'!D1741/'Peers Stock History'!D$1833*100</f>
        <v>97.697642163661584</v>
      </c>
      <c r="D1738" s="871">
        <f>'Peers Stock History'!E1741/'Peers Stock History'!E$1833*100</f>
        <v>122.08256880733946</v>
      </c>
      <c r="E1738" s="871">
        <f>'Peers Stock History'!F1741/'Peers Stock History'!F$1833*100</f>
        <v>84.774436090225564</v>
      </c>
      <c r="F1738" s="871">
        <f>'Peers Stock History'!G1741/'Peers Stock History'!G$1833*100</f>
        <v>109.6186740827293</v>
      </c>
      <c r="G1738" s="871">
        <f>'Peers Stock History'!H1741/'Peers Stock History'!H$1833*100</f>
        <v>115.37453274430798</v>
      </c>
      <c r="H1738" s="871">
        <f>'Peers Stock History'!I1741/'Peers Stock History'!I$1833*100</f>
        <v>119.37445699391833</v>
      </c>
      <c r="I1738" s="871">
        <f>'Peers Stock History'!J1741/'Peers Stock History'!J$1833*100</f>
        <v>100.70107481110992</v>
      </c>
      <c r="J1738" s="871">
        <f>'Peers Stock History'!K1741/'Peers Stock History'!K$1833*100</f>
        <v>104.05004605254116</v>
      </c>
    </row>
    <row r="1739" spans="2:10">
      <c r="B1739" s="873">
        <v>42872</v>
      </c>
      <c r="C1739" s="871">
        <f>'Peers Stock History'!D1742/'Peers Stock History'!D$1833*100</f>
        <v>97.1983356449376</v>
      </c>
      <c r="D1739" s="871">
        <f>'Peers Stock History'!E1742/'Peers Stock History'!E$1833*100</f>
        <v>117.1743119266055</v>
      </c>
      <c r="E1739" s="871">
        <f>'Peers Stock History'!F1742/'Peers Stock History'!F$1833*100</f>
        <v>84.210526315789465</v>
      </c>
      <c r="F1739" s="871">
        <f>'Peers Stock History'!G1742/'Peers Stock History'!G$1833*100</f>
        <v>110.1798843423732</v>
      </c>
      <c r="G1739" s="871">
        <f>'Peers Stock History'!H1742/'Peers Stock History'!H$1833*100</f>
        <v>112.22874896839652</v>
      </c>
      <c r="H1739" s="871">
        <f>'Peers Stock History'!I1742/'Peers Stock History'!I$1833*100</f>
        <v>117.28931364031277</v>
      </c>
      <c r="I1739" s="871">
        <f>'Peers Stock History'!J1742/'Peers Stock History'!J$1833*100</f>
        <v>100.33116952218795</v>
      </c>
      <c r="J1739" s="871">
        <f>'Peers Stock History'!K1742/'Peers Stock History'!K$1833*100</f>
        <v>103.29578103735069</v>
      </c>
    </row>
    <row r="1740" spans="2:10">
      <c r="B1740" s="873">
        <v>42871</v>
      </c>
      <c r="C1740" s="871">
        <f>'Peers Stock History'!D1743/'Peers Stock History'!D$1833*100</f>
        <v>99.361997226074905</v>
      </c>
      <c r="D1740" s="871">
        <f>'Peers Stock History'!E1743/'Peers Stock History'!E$1833*100</f>
        <v>125.51376146788991</v>
      </c>
      <c r="E1740" s="871">
        <f>'Peers Stock History'!F1743/'Peers Stock History'!F$1833*100</f>
        <v>95.864661654135332</v>
      </c>
      <c r="F1740" s="871">
        <f>'Peers Stock History'!G1743/'Peers Stock History'!G$1833*100</f>
        <v>110.55270793232313</v>
      </c>
      <c r="G1740" s="871">
        <f>'Peers Stock History'!H1743/'Peers Stock History'!H$1833*100</f>
        <v>116.84062333122966</v>
      </c>
      <c r="H1740" s="871">
        <f>'Peers Stock History'!I1743/'Peers Stock History'!I$1833*100</f>
        <v>126.06429192006952</v>
      </c>
      <c r="I1740" s="871">
        <f>'Peers Stock History'!J1743/'Peers Stock History'!J$1833*100</f>
        <v>102.18878365435778</v>
      </c>
      <c r="J1740" s="871">
        <f>'Peers Stock History'!K1743/'Peers Stock History'!K$1833*100</f>
        <v>106.02171342947089</v>
      </c>
    </row>
    <row r="1741" spans="2:10">
      <c r="B1741" s="873">
        <v>42870</v>
      </c>
      <c r="C1741" s="871">
        <f>'Peers Stock History'!D1744/'Peers Stock History'!D$1833*100</f>
        <v>98.834951456310691</v>
      </c>
      <c r="D1741" s="871">
        <f>'Peers Stock History'!E1744/'Peers Stock History'!E$1833*100</f>
        <v>123.22018348623854</v>
      </c>
      <c r="E1741" s="871">
        <f>'Peers Stock History'!F1744/'Peers Stock History'!F$1833*100</f>
        <v>85.864661654135332</v>
      </c>
      <c r="F1741" s="871">
        <f>'Peers Stock History'!G1744/'Peers Stock History'!G$1833*100</f>
        <v>111.58610529260862</v>
      </c>
      <c r="G1741" s="871">
        <f>'Peers Stock History'!H1744/'Peers Stock History'!H$1833*100</f>
        <v>116.03961357347443</v>
      </c>
      <c r="H1741" s="871">
        <f>'Peers Stock History'!I1744/'Peers Stock History'!I$1833*100</f>
        <v>125.23892267593398</v>
      </c>
      <c r="I1741" s="871">
        <f>'Peers Stock History'!J1744/'Peers Stock History'!J$1833*100</f>
        <v>102.25901883579867</v>
      </c>
      <c r="J1741" s="871">
        <f>'Peers Stock History'!K1744/'Peers Stock History'!K$1833*100</f>
        <v>105.67466972767139</v>
      </c>
    </row>
    <row r="1742" spans="2:10">
      <c r="B1742" s="873">
        <v>42869</v>
      </c>
      <c r="C1742" s="871">
        <f>'Peers Stock History'!D1745/'Peers Stock History'!D$1833*100</f>
        <v>98.557558945908468</v>
      </c>
      <c r="D1742" s="871">
        <f>'Peers Stock History'!E1745/'Peers Stock History'!E$1833*100</f>
        <v>117.3302752293578</v>
      </c>
      <c r="E1742" s="871">
        <f>'Peers Stock History'!F1745/'Peers Stock History'!F$1833*100</f>
        <v>84.661654135338338</v>
      </c>
      <c r="F1742" s="871">
        <f>'Peers Stock History'!G1745/'Peers Stock History'!G$1833*100</f>
        <v>111.05359827812198</v>
      </c>
      <c r="G1742" s="871">
        <f>'Peers Stock History'!H1745/'Peers Stock History'!H$1833*100</f>
        <v>114.54924996359046</v>
      </c>
      <c r="H1742" s="871">
        <f>'Peers Stock History'!I1745/'Peers Stock History'!I$1833*100</f>
        <v>125.67332754126845</v>
      </c>
      <c r="I1742" s="871">
        <f>'Peers Stock History'!J1745/'Peers Stock History'!J$1833*100</f>
        <v>101.77290624667448</v>
      </c>
      <c r="J1742" s="871">
        <f>'Peers Stock History'!K1745/'Peers Stock History'!K$1833*100</f>
        <v>105.1859285429526</v>
      </c>
    </row>
    <row r="1743" spans="2:10">
      <c r="B1743" s="873">
        <v>42868</v>
      </c>
      <c r="C1743" s="871">
        <f>'Peers Stock History'!D1746/'Peers Stock History'!D$1833*100</f>
        <v>98.557558945908468</v>
      </c>
      <c r="D1743" s="871">
        <f>'Peers Stock History'!E1746/'Peers Stock History'!E$1833*100</f>
        <v>117.3302752293578</v>
      </c>
      <c r="E1743" s="871">
        <f>'Peers Stock History'!F1746/'Peers Stock History'!F$1833*100</f>
        <v>84.661654135338338</v>
      </c>
      <c r="F1743" s="871">
        <f>'Peers Stock History'!G1746/'Peers Stock History'!G$1833*100</f>
        <v>111.05359827812198</v>
      </c>
      <c r="G1743" s="871">
        <f>'Peers Stock History'!H1746/'Peers Stock History'!H$1833*100</f>
        <v>114.54924996359046</v>
      </c>
      <c r="H1743" s="871">
        <f>'Peers Stock History'!I1746/'Peers Stock History'!I$1833*100</f>
        <v>125.67332754126845</v>
      </c>
      <c r="I1743" s="871">
        <f>'Peers Stock History'!J1746/'Peers Stock History'!J$1833*100</f>
        <v>101.77290624667448</v>
      </c>
      <c r="J1743" s="871">
        <f>'Peers Stock History'!K1746/'Peers Stock History'!K$1833*100</f>
        <v>105.1859285429526</v>
      </c>
    </row>
    <row r="1744" spans="2:10">
      <c r="B1744" s="873">
        <v>42867</v>
      </c>
      <c r="C1744" s="871">
        <f>'Peers Stock History'!D1747/'Peers Stock History'!D$1833*100</f>
        <v>98.557558945908468</v>
      </c>
      <c r="D1744" s="871">
        <f>'Peers Stock History'!E1747/'Peers Stock History'!E$1833*100</f>
        <v>117.3302752293578</v>
      </c>
      <c r="E1744" s="871">
        <f>'Peers Stock History'!F1747/'Peers Stock History'!F$1833*100</f>
        <v>84.661654135338338</v>
      </c>
      <c r="F1744" s="871">
        <f>'Peers Stock History'!G1747/'Peers Stock History'!G$1833*100</f>
        <v>111.05359827812198</v>
      </c>
      <c r="G1744" s="871">
        <f>'Peers Stock History'!H1747/'Peers Stock History'!H$1833*100</f>
        <v>114.54924996359046</v>
      </c>
      <c r="H1744" s="871">
        <f>'Peers Stock History'!I1747/'Peers Stock History'!I$1833*100</f>
        <v>125.67332754126845</v>
      </c>
      <c r="I1744" s="871">
        <f>'Peers Stock History'!J1747/'Peers Stock History'!J$1833*100</f>
        <v>101.77290624667448</v>
      </c>
      <c r="J1744" s="871">
        <f>'Peers Stock History'!K1747/'Peers Stock History'!K$1833*100</f>
        <v>105.1859285429526</v>
      </c>
    </row>
    <row r="1745" spans="2:10">
      <c r="B1745" s="873">
        <v>42866</v>
      </c>
      <c r="C1745" s="871">
        <f>'Peers Stock History'!D1748/'Peers Stock History'!D$1833*100</f>
        <v>99.001386962552004</v>
      </c>
      <c r="D1745" s="871">
        <f>'Peers Stock History'!E1748/'Peers Stock History'!E$1833*100</f>
        <v>116.05504587155964</v>
      </c>
      <c r="E1745" s="871">
        <f>'Peers Stock History'!F1748/'Peers Stock History'!F$1833*100</f>
        <v>83.233082706766908</v>
      </c>
      <c r="F1745" s="871">
        <f>'Peers Stock History'!G1748/'Peers Stock History'!G$1833*100</f>
        <v>112.07766781861149</v>
      </c>
      <c r="G1745" s="871">
        <f>'Peers Stock History'!H1748/'Peers Stock History'!H$1833*100</f>
        <v>112.18505752706443</v>
      </c>
      <c r="H1745" s="871">
        <f>'Peers Stock History'!I1748/'Peers Stock History'!I$1833*100</f>
        <v>126.10773240660296</v>
      </c>
      <c r="I1745" s="871">
        <f>'Peers Stock History'!J1748/'Peers Stock History'!J$1833*100</f>
        <v>101.92359263594764</v>
      </c>
      <c r="J1745" s="871">
        <f>'Peers Stock History'!K1748/'Peers Stock History'!K$1833*100</f>
        <v>105.09540436880525</v>
      </c>
    </row>
    <row r="1746" spans="2:10">
      <c r="B1746" s="873">
        <v>42865</v>
      </c>
      <c r="C1746" s="871">
        <f>'Peers Stock History'!D1749/'Peers Stock History'!D$1833*100</f>
        <v>99.889042995839119</v>
      </c>
      <c r="D1746" s="871">
        <f>'Peers Stock History'!E1749/'Peers Stock History'!E$1833*100</f>
        <v>111.27522935779817</v>
      </c>
      <c r="E1746" s="871">
        <f>'Peers Stock History'!F1749/'Peers Stock History'!F$1833*100</f>
        <v>81.127819548872168</v>
      </c>
      <c r="F1746" s="871">
        <f>'Peers Stock History'!G1749/'Peers Stock History'!G$1833*100</f>
        <v>110.53495784673252</v>
      </c>
      <c r="G1746" s="871">
        <f>'Peers Stock History'!H1749/'Peers Stock History'!H$1833*100</f>
        <v>112.30156803728337</v>
      </c>
      <c r="H1746" s="871">
        <f>'Peers Stock History'!I1749/'Peers Stock History'!I$1833*100</f>
        <v>127.36750651607298</v>
      </c>
      <c r="I1746" s="871">
        <f>'Peers Stock History'!J1749/'Peers Stock History'!J$1833*100</f>
        <v>102.14451420666171</v>
      </c>
      <c r="J1746" s="871">
        <f>'Peers Stock History'!K1749/'Peers Stock History'!K$1833*100</f>
        <v>105.32186945822966</v>
      </c>
    </row>
    <row r="1747" spans="2:10">
      <c r="B1747" s="873">
        <v>42864</v>
      </c>
      <c r="C1747" s="871">
        <f>'Peers Stock History'!D1750/'Peers Stock History'!D$1833*100</f>
        <v>100.88765603328712</v>
      </c>
      <c r="D1747" s="871">
        <f>'Peers Stock History'!E1750/'Peers Stock History'!E$1833*100</f>
        <v>94.440366972477065</v>
      </c>
      <c r="E1747" s="871">
        <f>'Peers Stock History'!F1750/'Peers Stock History'!F$1833*100</f>
        <v>76.541353383458642</v>
      </c>
      <c r="F1747" s="871">
        <f>'Peers Stock History'!G1750/'Peers Stock History'!G$1833*100</f>
        <v>109.49901887484586</v>
      </c>
      <c r="G1747" s="871">
        <f>'Peers Stock History'!H1750/'Peers Stock History'!H$1833*100</f>
        <v>110.90829651924852</v>
      </c>
      <c r="H1747" s="871">
        <f>'Peers Stock History'!I1750/'Peers Stock History'!I$1833*100</f>
        <v>125.15204170286707</v>
      </c>
      <c r="I1747" s="871">
        <f>'Peers Stock History'!J1750/'Peers Stock History'!J$1833*100</f>
        <v>102.02915824199212</v>
      </c>
      <c r="J1747" s="871">
        <f>'Peers Stock History'!K1750/'Peers Stock History'!K$1833*100</f>
        <v>105.17484500226828</v>
      </c>
    </row>
    <row r="1748" spans="2:10">
      <c r="B1748" s="873">
        <v>42863</v>
      </c>
      <c r="C1748" s="871">
        <f>'Peers Stock History'!D1751/'Peers Stock History'!D$1833*100</f>
        <v>101.35922330097087</v>
      </c>
      <c r="D1748" s="871">
        <f>'Peers Stock History'!E1751/'Peers Stock History'!E$1833*100</f>
        <v>94.284403669724767</v>
      </c>
      <c r="E1748" s="871">
        <f>'Peers Stock History'!F1751/'Peers Stock History'!F$1833*100</f>
        <v>75.488721804511272</v>
      </c>
      <c r="F1748" s="871">
        <f>'Peers Stock History'!G1751/'Peers Stock History'!G$1833*100</f>
        <v>109.26090891429709</v>
      </c>
      <c r="G1748" s="871">
        <f>'Peers Stock History'!H1751/'Peers Stock History'!H$1833*100</f>
        <v>109.26744016699841</v>
      </c>
      <c r="H1748" s="871">
        <f>'Peers Stock History'!I1751/'Peers Stock History'!I$1833*100</f>
        <v>121.89400521285837</v>
      </c>
      <c r="I1748" s="871">
        <f>'Peers Stock History'!J1751/'Peers Stock History'!J$1833*100</f>
        <v>102.13387251250398</v>
      </c>
      <c r="J1748" s="871">
        <f>'Peers Stock History'!K1751/'Peers Stock History'!K$1833*100</f>
        <v>104.86679130637999</v>
      </c>
    </row>
    <row r="1749" spans="2:10">
      <c r="B1749" s="873">
        <v>42862</v>
      </c>
      <c r="C1749" s="871">
        <f>'Peers Stock History'!D1752/'Peers Stock History'!D$1833*100</f>
        <v>102.13592233009709</v>
      </c>
      <c r="D1749" s="871">
        <f>'Peers Stock History'!E1752/'Peers Stock History'!E$1833*100</f>
        <v>95.284403669724767</v>
      </c>
      <c r="E1749" s="871">
        <f>'Peers Stock History'!F1752/'Peers Stock History'!F$1833*100</f>
        <v>76.616541353383454</v>
      </c>
      <c r="F1749" s="871">
        <f>'Peers Stock History'!G1752/'Peers Stock History'!G$1833*100</f>
        <v>106.48893483663132</v>
      </c>
      <c r="G1749" s="871">
        <f>'Peers Stock History'!H1752/'Peers Stock History'!H$1833*100</f>
        <v>109.93252099616487</v>
      </c>
      <c r="H1749" s="871">
        <f>'Peers Stock History'!I1752/'Peers Stock History'!I$1833*100</f>
        <v>122.50217202432667</v>
      </c>
      <c r="I1749" s="871">
        <f>'Peers Stock History'!J1752/'Peers Stock History'!J$1833*100</f>
        <v>102.1300415026072</v>
      </c>
      <c r="J1749" s="871">
        <f>'Peers Stock History'!K1752/'Peers Stock History'!K$1833*100</f>
        <v>104.83410774919923</v>
      </c>
    </row>
    <row r="1750" spans="2:10">
      <c r="B1750" s="873">
        <v>42861</v>
      </c>
      <c r="C1750" s="871">
        <f>'Peers Stock History'!D1753/'Peers Stock History'!D$1833*100</f>
        <v>102.13592233009709</v>
      </c>
      <c r="D1750" s="871">
        <f>'Peers Stock History'!E1753/'Peers Stock History'!E$1833*100</f>
        <v>95.284403669724767</v>
      </c>
      <c r="E1750" s="871">
        <f>'Peers Stock History'!F1753/'Peers Stock History'!F$1833*100</f>
        <v>76.616541353383454</v>
      </c>
      <c r="F1750" s="871">
        <f>'Peers Stock History'!G1753/'Peers Stock History'!G$1833*100</f>
        <v>106.48893483663132</v>
      </c>
      <c r="G1750" s="871">
        <f>'Peers Stock History'!H1753/'Peers Stock History'!H$1833*100</f>
        <v>109.93252099616487</v>
      </c>
      <c r="H1750" s="871">
        <f>'Peers Stock History'!I1753/'Peers Stock History'!I$1833*100</f>
        <v>122.50217202432667</v>
      </c>
      <c r="I1750" s="871">
        <f>'Peers Stock History'!J1753/'Peers Stock History'!J$1833*100</f>
        <v>102.1300415026072</v>
      </c>
      <c r="J1750" s="871">
        <f>'Peers Stock History'!K1753/'Peers Stock History'!K$1833*100</f>
        <v>104.83410774919923</v>
      </c>
    </row>
    <row r="1751" spans="2:10">
      <c r="B1751" s="873">
        <v>42860</v>
      </c>
      <c r="C1751" s="871">
        <f>'Peers Stock History'!D1754/'Peers Stock History'!D$1833*100</f>
        <v>102.13592233009709</v>
      </c>
      <c r="D1751" s="871">
        <f>'Peers Stock History'!E1754/'Peers Stock History'!E$1833*100</f>
        <v>95.284403669724767</v>
      </c>
      <c r="E1751" s="871">
        <f>'Peers Stock History'!F1754/'Peers Stock History'!F$1833*100</f>
        <v>76.616541353383454</v>
      </c>
      <c r="F1751" s="871">
        <f>'Peers Stock History'!G1754/'Peers Stock History'!G$1833*100</f>
        <v>106.48893483663132</v>
      </c>
      <c r="G1751" s="871">
        <f>'Peers Stock History'!H1754/'Peers Stock History'!H$1833*100</f>
        <v>109.93252099616487</v>
      </c>
      <c r="H1751" s="871">
        <f>'Peers Stock History'!I1754/'Peers Stock History'!I$1833*100</f>
        <v>122.50217202432667</v>
      </c>
      <c r="I1751" s="871">
        <f>'Peers Stock History'!J1754/'Peers Stock History'!J$1833*100</f>
        <v>102.1300415026072</v>
      </c>
      <c r="J1751" s="871">
        <f>'Peers Stock History'!K1754/'Peers Stock History'!K$1833*100</f>
        <v>104.83410774919923</v>
      </c>
    </row>
    <row r="1752" spans="2:10">
      <c r="B1752" s="873">
        <v>42859</v>
      </c>
      <c r="C1752" s="871">
        <f>'Peers Stock History'!D1755/'Peers Stock History'!D$1833*100</f>
        <v>102.21914008321778</v>
      </c>
      <c r="D1752" s="871">
        <f>'Peers Stock History'!E1755/'Peers Stock History'!E$1833*100</f>
        <v>95.275229357798167</v>
      </c>
      <c r="E1752" s="871">
        <f>'Peers Stock History'!F1755/'Peers Stock History'!F$1833*100</f>
        <v>75.939849624060145</v>
      </c>
      <c r="F1752" s="871">
        <f>'Peers Stock History'!G1755/'Peers Stock History'!G$1833*100</f>
        <v>106.94640109920519</v>
      </c>
      <c r="G1752" s="871">
        <f>'Peers Stock History'!H1755/'Peers Stock History'!H$1833*100</f>
        <v>108.4518665954658</v>
      </c>
      <c r="H1752" s="871">
        <f>'Peers Stock History'!I1755/'Peers Stock History'!I$1833*100</f>
        <v>120.72111207645526</v>
      </c>
      <c r="I1752" s="871">
        <f>'Peers Stock History'!J1755/'Peers Stock History'!J$1833*100</f>
        <v>101.71416409492392</v>
      </c>
      <c r="J1752" s="871">
        <f>'Peers Stock History'!K1755/'Peers Stock History'!K$1833*100</f>
        <v>104.39727877596472</v>
      </c>
    </row>
    <row r="1753" spans="2:10">
      <c r="B1753" s="873">
        <v>42858</v>
      </c>
      <c r="C1753" s="871">
        <f>'Peers Stock History'!D1756/'Peers Stock History'!D$1833*100</f>
        <v>102.57975034674062</v>
      </c>
      <c r="D1753" s="871">
        <f>'Peers Stock History'!E1756/'Peers Stock History'!E$1833*100</f>
        <v>95.642201834862391</v>
      </c>
      <c r="E1753" s="871">
        <f>'Peers Stock History'!F1756/'Peers Stock History'!F$1833*100</f>
        <v>78.120300751879697</v>
      </c>
      <c r="F1753" s="871">
        <f>'Peers Stock History'!G1756/'Peers Stock History'!G$1833*100</f>
        <v>107.22767034771836</v>
      </c>
      <c r="G1753" s="871">
        <f>'Peers Stock History'!H1756/'Peers Stock History'!H$1833*100</f>
        <v>109.1800572843342</v>
      </c>
      <c r="H1753" s="871">
        <f>'Peers Stock History'!I1756/'Peers Stock History'!I$1833*100</f>
        <v>121.63336229365768</v>
      </c>
      <c r="I1753" s="871">
        <f>'Peers Stock History'!J1756/'Peers Stock History'!J$1833*100</f>
        <v>101.65499627540704</v>
      </c>
      <c r="J1753" s="871">
        <f>'Peers Stock History'!K1756/'Peers Stock History'!K$1833*100</f>
        <v>104.34938756993802</v>
      </c>
    </row>
    <row r="1754" spans="2:10">
      <c r="B1754" s="873">
        <v>42857</v>
      </c>
      <c r="C1754" s="871">
        <f>'Peers Stock History'!D1757/'Peers Stock History'!D$1833*100</f>
        <v>102.55201109570042</v>
      </c>
      <c r="D1754" s="871">
        <f>'Peers Stock History'!E1757/'Peers Stock History'!E$1833*100</f>
        <v>94.935779816513772</v>
      </c>
      <c r="E1754" s="871">
        <f>'Peers Stock History'!F1757/'Peers Stock History'!F$1833*100</f>
        <v>77.593984962406012</v>
      </c>
      <c r="F1754" s="871">
        <f>'Peers Stock History'!G1757/'Peers Stock History'!G$1833*100</f>
        <v>106.41888232027065</v>
      </c>
      <c r="G1754" s="871">
        <f>'Peers Stock History'!H1757/'Peers Stock History'!H$1833*100</f>
        <v>109.44706053691927</v>
      </c>
      <c r="H1754" s="871">
        <f>'Peers Stock History'!I1757/'Peers Stock History'!I$1833*100</f>
        <v>120.63423110338836</v>
      </c>
      <c r="I1754" s="871">
        <f>'Peers Stock History'!J1757/'Peers Stock History'!J$1833*100</f>
        <v>101.78439927636479</v>
      </c>
      <c r="J1754" s="871">
        <f>'Peers Stock History'!K1757/'Peers Stock History'!K$1833*100</f>
        <v>104.74145278583507</v>
      </c>
    </row>
    <row r="1755" spans="2:10">
      <c r="B1755" s="873">
        <v>42856</v>
      </c>
      <c r="C1755" s="871">
        <f>'Peers Stock History'!D1758/'Peers Stock History'!D$1833*100</f>
        <v>100.72122052704577</v>
      </c>
      <c r="D1755" s="871">
        <f>'Peers Stock History'!E1758/'Peers Stock History'!E$1833*100</f>
        <v>97.834862385321102</v>
      </c>
      <c r="E1755" s="871">
        <f>'Peers Stock History'!F1758/'Peers Stock History'!F$1833*100</f>
        <v>102.40601503759396</v>
      </c>
      <c r="F1755" s="871">
        <f>'Peers Stock History'!G1758/'Peers Stock History'!G$1833*100</f>
        <v>104.78455296305937</v>
      </c>
      <c r="G1755" s="871">
        <f>'Peers Stock History'!H1758/'Peers Stock History'!H$1833*100</f>
        <v>107.44210884023495</v>
      </c>
      <c r="H1755" s="871">
        <f>'Peers Stock History'!I1758/'Peers Stock History'!I$1833*100</f>
        <v>122.89313640312771</v>
      </c>
      <c r="I1755" s="871">
        <f>'Peers Stock History'!J1758/'Peers Stock History'!J$1833*100</f>
        <v>101.6635096307332</v>
      </c>
      <c r="J1755" s="871">
        <f>'Peers Stock History'!K1758/'Peers Stock History'!K$1833*100</f>
        <v>104.67677302283383</v>
      </c>
    </row>
    <row r="1756" spans="2:10">
      <c r="B1756" s="873">
        <v>42855</v>
      </c>
      <c r="C1756" s="871">
        <f>'Peers Stock History'!D1759/'Peers Stock History'!D$1833*100</f>
        <v>100.27739251040222</v>
      </c>
      <c r="D1756" s="871">
        <f>'Peers Stock History'!E1759/'Peers Stock History'!E$1833*100</f>
        <v>95.688073394495405</v>
      </c>
      <c r="E1756" s="871">
        <f>'Peers Stock History'!F1759/'Peers Stock History'!F$1833*100</f>
        <v>100</v>
      </c>
      <c r="F1756" s="871">
        <f>'Peers Stock History'!G1759/'Peers Stock History'!G$1833*100</f>
        <v>104.91658907449613</v>
      </c>
      <c r="G1756" s="871">
        <f>'Peers Stock History'!H1759/'Peers Stock History'!H$1833*100</f>
        <v>107.19452400601969</v>
      </c>
      <c r="H1756" s="871">
        <f>'Peers Stock History'!I1759/'Peers Stock History'!I$1833*100</f>
        <v>120.19982623805387</v>
      </c>
      <c r="I1756" s="871">
        <f>'Peers Stock History'!J1759/'Peers Stock History'!J$1833*100</f>
        <v>101.48770884324784</v>
      </c>
      <c r="J1756" s="871">
        <f>'Peers Stock History'!K1759/'Peers Stock History'!K$1833*100</f>
        <v>103.92075526167466</v>
      </c>
    </row>
    <row r="1757" spans="2:10">
      <c r="B1757" s="873">
        <v>42854</v>
      </c>
      <c r="C1757" s="871">
        <f>'Peers Stock History'!D1760/'Peers Stock History'!D$1833*100</f>
        <v>100.27739251040222</v>
      </c>
      <c r="D1757" s="871">
        <f>'Peers Stock History'!E1760/'Peers Stock History'!E$1833*100</f>
        <v>95.688073394495405</v>
      </c>
      <c r="E1757" s="871">
        <f>'Peers Stock History'!F1760/'Peers Stock History'!F$1833*100</f>
        <v>100</v>
      </c>
      <c r="F1757" s="871">
        <f>'Peers Stock History'!G1760/'Peers Stock History'!G$1833*100</f>
        <v>104.91658907449613</v>
      </c>
      <c r="G1757" s="871">
        <f>'Peers Stock History'!H1760/'Peers Stock History'!H$1833*100</f>
        <v>107.19452400601969</v>
      </c>
      <c r="H1757" s="871">
        <f>'Peers Stock History'!I1760/'Peers Stock History'!I$1833*100</f>
        <v>120.19982623805387</v>
      </c>
      <c r="I1757" s="871">
        <f>'Peers Stock History'!J1760/'Peers Stock History'!J$1833*100</f>
        <v>101.48770884324784</v>
      </c>
      <c r="J1757" s="871">
        <f>'Peers Stock History'!K1760/'Peers Stock History'!K$1833*100</f>
        <v>103.92075526167466</v>
      </c>
    </row>
    <row r="1758" spans="2:10">
      <c r="B1758" s="873">
        <v>42853</v>
      </c>
      <c r="C1758" s="871">
        <f>'Peers Stock History'!D1761/'Peers Stock History'!D$1833*100</f>
        <v>100.27739251040222</v>
      </c>
      <c r="D1758" s="871">
        <f>'Peers Stock History'!E1761/'Peers Stock History'!E$1833*100</f>
        <v>95.688073394495405</v>
      </c>
      <c r="E1758" s="871">
        <f>'Peers Stock History'!F1761/'Peers Stock History'!F$1833*100</f>
        <v>100</v>
      </c>
      <c r="F1758" s="871">
        <f>'Peers Stock History'!G1761/'Peers Stock History'!G$1833*100</f>
        <v>104.91658907449613</v>
      </c>
      <c r="G1758" s="871">
        <f>'Peers Stock History'!H1761/'Peers Stock History'!H$1833*100</f>
        <v>107.19452400601969</v>
      </c>
      <c r="H1758" s="871">
        <f>'Peers Stock History'!I1761/'Peers Stock History'!I$1833*100</f>
        <v>120.19982623805387</v>
      </c>
      <c r="I1758" s="871">
        <f>'Peers Stock History'!J1761/'Peers Stock History'!J$1833*100</f>
        <v>101.48770884324784</v>
      </c>
      <c r="J1758" s="871">
        <f>'Peers Stock History'!K1761/'Peers Stock History'!K$1833*100</f>
        <v>103.92075526167466</v>
      </c>
    </row>
    <row r="1759" spans="2:10">
      <c r="B1759" s="873">
        <v>42852</v>
      </c>
      <c r="C1759" s="871">
        <f>'Peers Stock History'!D1762/'Peers Stock History'!D$1833*100</f>
        <v>103.82801664355064</v>
      </c>
      <c r="D1759" s="871">
        <f>'Peers Stock History'!E1762/'Peers Stock History'!E$1833*100</f>
        <v>96.917431192660558</v>
      </c>
      <c r="E1759" s="871">
        <f>'Peers Stock History'!F1762/'Peers Stock History'!F$1833*100</f>
        <v>102.40601503759396</v>
      </c>
      <c r="F1759" s="871">
        <f>'Peers Stock History'!G1762/'Peers Stock History'!G$1833*100</f>
        <v>104.13854262534106</v>
      </c>
      <c r="G1759" s="871">
        <f>'Peers Stock History'!H1762/'Peers Stock History'!H$1833*100</f>
        <v>108.30137385309966</v>
      </c>
      <c r="H1759" s="871">
        <f>'Peers Stock History'!I1762/'Peers Stock History'!I$1833*100</f>
        <v>120.02606429192006</v>
      </c>
      <c r="I1759" s="871">
        <f>'Peers Stock History'!J1762/'Peers Stock History'!J$1833*100</f>
        <v>101.68223901245079</v>
      </c>
      <c r="J1759" s="871">
        <f>'Peers Stock History'!K1762/'Peers Stock History'!K$1833*100</f>
        <v>103.94362687818759</v>
      </c>
    </row>
    <row r="1760" spans="2:10">
      <c r="B1760" s="873">
        <v>42851</v>
      </c>
      <c r="C1760" s="871">
        <f>'Peers Stock History'!D1763/'Peers Stock History'!D$1833*100</f>
        <v>102.44105409153954</v>
      </c>
      <c r="D1760" s="871">
        <f>'Peers Stock History'!E1763/'Peers Stock History'!E$1833*100</f>
        <v>95.431192660550451</v>
      </c>
      <c r="E1760" s="871">
        <f>'Peers Stock History'!F1763/'Peers Stock History'!F$1833*100</f>
        <v>100.82706766917293</v>
      </c>
      <c r="F1760" s="871">
        <f>'Peers Stock History'!G1763/'Peers Stock History'!G$1833*100</f>
        <v>103.1928789243878</v>
      </c>
      <c r="G1760" s="871">
        <f>'Peers Stock History'!H1763/'Peers Stock History'!H$1833*100</f>
        <v>107.61687460556337</v>
      </c>
      <c r="H1760" s="871">
        <f>'Peers Stock History'!I1763/'Peers Stock History'!I$1833*100</f>
        <v>116.37706342311034</v>
      </c>
      <c r="I1760" s="871">
        <f>'Peers Stock History'!J1763/'Peers Stock History'!J$1833*100</f>
        <v>101.62605086729806</v>
      </c>
      <c r="J1760" s="871">
        <f>'Peers Stock History'!K1763/'Peers Stock History'!K$1833*100</f>
        <v>103.53616499182053</v>
      </c>
    </row>
    <row r="1761" spans="2:10">
      <c r="B1761" s="873">
        <v>42850</v>
      </c>
      <c r="C1761" s="871">
        <f>'Peers Stock History'!D1764/'Peers Stock History'!D$1833*100</f>
        <v>102.2746185852982</v>
      </c>
      <c r="D1761" s="871">
        <f>'Peers Stock History'!E1764/'Peers Stock History'!E$1833*100</f>
        <v>96.091743119266056</v>
      </c>
      <c r="E1761" s="871">
        <f>'Peers Stock History'!F1764/'Peers Stock History'!F$1833*100</f>
        <v>101.42857142857142</v>
      </c>
      <c r="F1761" s="871">
        <f>'Peers Stock History'!G1764/'Peers Stock History'!G$1833*100</f>
        <v>103.64021725848114</v>
      </c>
      <c r="G1761" s="871">
        <f>'Peers Stock History'!H1764/'Peers Stock History'!H$1833*100</f>
        <v>108.35477450361668</v>
      </c>
      <c r="H1761" s="871">
        <f>'Peers Stock History'!I1764/'Peers Stock History'!I$1833*100</f>
        <v>117.24587315377933</v>
      </c>
      <c r="I1761" s="871">
        <f>'Peers Stock History'!J1764/'Peers Stock History'!J$1833*100</f>
        <v>101.67542832818985</v>
      </c>
      <c r="J1761" s="871">
        <f>'Peers Stock History'!K1764/'Peers Stock History'!K$1833*100</f>
        <v>103.54075306215032</v>
      </c>
    </row>
    <row r="1762" spans="2:10">
      <c r="B1762" s="873">
        <v>42849</v>
      </c>
      <c r="C1762" s="871">
        <f>'Peers Stock History'!D1765/'Peers Stock History'!D$1833*100</f>
        <v>101.94174757281553</v>
      </c>
      <c r="D1762" s="871">
        <f>'Peers Stock History'!E1765/'Peers Stock History'!E$1833*100</f>
        <v>94.449541284403665</v>
      </c>
      <c r="E1762" s="871">
        <f>'Peers Stock History'!F1765/'Peers Stock History'!F$1833*100</f>
        <v>98.721804511278194</v>
      </c>
      <c r="F1762" s="871">
        <f>'Peers Stock History'!G1765/'Peers Stock History'!G$1833*100</f>
        <v>102.16736730686216</v>
      </c>
      <c r="G1762" s="871">
        <f>'Peers Stock History'!H1765/'Peers Stock History'!H$1833*100</f>
        <v>107.4032720034953</v>
      </c>
      <c r="H1762" s="871">
        <f>'Peers Stock History'!I1765/'Peers Stock History'!I$1833*100</f>
        <v>115.42137271937447</v>
      </c>
      <c r="I1762" s="871">
        <f>'Peers Stock History'!J1765/'Peers Stock History'!J$1833*100</f>
        <v>101.0599127381079</v>
      </c>
      <c r="J1762" s="871">
        <f>'Peers Stock History'!K1765/'Peers Stock History'!K$1833*100</f>
        <v>102.82465323123876</v>
      </c>
    </row>
    <row r="1763" spans="2:10">
      <c r="B1763" s="873">
        <v>42848</v>
      </c>
      <c r="C1763" s="871">
        <f>'Peers Stock History'!D1766/'Peers Stock History'!D$1833*100</f>
        <v>100.748959778086</v>
      </c>
      <c r="D1763" s="871">
        <f>'Peers Stock History'!E1766/'Peers Stock History'!E$1833*100</f>
        <v>93.284403669724782</v>
      </c>
      <c r="E1763" s="871">
        <f>'Peers Stock History'!F1766/'Peers Stock History'!F$1833*100</f>
        <v>97.744360902255636</v>
      </c>
      <c r="F1763" s="871">
        <f>'Peers Stock History'!G1766/'Peers Stock History'!G$1833*100</f>
        <v>101.78716271257025</v>
      </c>
      <c r="G1763" s="871">
        <f>'Peers Stock History'!H1766/'Peers Stock History'!H$1833*100</f>
        <v>105.66532355939609</v>
      </c>
      <c r="H1763" s="871">
        <f>'Peers Stock History'!I1766/'Peers Stock History'!I$1833*100</f>
        <v>118.67940920938315</v>
      </c>
      <c r="I1763" s="871">
        <f>'Peers Stock History'!J1766/'Peers Stock History'!J$1833*100</f>
        <v>99.976162605086728</v>
      </c>
      <c r="J1763" s="871">
        <f>'Peers Stock History'!K1766/'Peers Stock History'!K$1833*100</f>
        <v>101.56513341489904</v>
      </c>
    </row>
    <row r="1764" spans="2:10">
      <c r="B1764" s="873">
        <v>42847</v>
      </c>
      <c r="C1764" s="871">
        <f>'Peers Stock History'!D1767/'Peers Stock History'!D$1833*100</f>
        <v>100.748959778086</v>
      </c>
      <c r="D1764" s="871">
        <f>'Peers Stock History'!E1767/'Peers Stock History'!E$1833*100</f>
        <v>93.284403669724782</v>
      </c>
      <c r="E1764" s="871">
        <f>'Peers Stock History'!F1767/'Peers Stock History'!F$1833*100</f>
        <v>97.744360902255636</v>
      </c>
      <c r="F1764" s="871">
        <f>'Peers Stock History'!G1767/'Peers Stock History'!G$1833*100</f>
        <v>101.78716271257025</v>
      </c>
      <c r="G1764" s="871">
        <f>'Peers Stock History'!H1767/'Peers Stock History'!H$1833*100</f>
        <v>105.66532355939609</v>
      </c>
      <c r="H1764" s="871">
        <f>'Peers Stock History'!I1767/'Peers Stock History'!I$1833*100</f>
        <v>118.67940920938315</v>
      </c>
      <c r="I1764" s="871">
        <f>'Peers Stock History'!J1767/'Peers Stock History'!J$1833*100</f>
        <v>99.976162605086728</v>
      </c>
      <c r="J1764" s="871">
        <f>'Peers Stock History'!K1767/'Peers Stock History'!K$1833*100</f>
        <v>101.56513341489904</v>
      </c>
    </row>
    <row r="1765" spans="2:10">
      <c r="B1765" s="873">
        <v>42846</v>
      </c>
      <c r="C1765" s="871">
        <f>'Peers Stock History'!D1768/'Peers Stock History'!D$1833*100</f>
        <v>100.748959778086</v>
      </c>
      <c r="D1765" s="871">
        <f>'Peers Stock History'!E1768/'Peers Stock History'!E$1833*100</f>
        <v>93.284403669724782</v>
      </c>
      <c r="E1765" s="871">
        <f>'Peers Stock History'!F1768/'Peers Stock History'!F$1833*100</f>
        <v>97.744360902255636</v>
      </c>
      <c r="F1765" s="871">
        <f>'Peers Stock History'!G1768/'Peers Stock History'!G$1833*100</f>
        <v>101.78716271257025</v>
      </c>
      <c r="G1765" s="871">
        <f>'Peers Stock History'!H1768/'Peers Stock History'!H$1833*100</f>
        <v>105.66532355939609</v>
      </c>
      <c r="H1765" s="871">
        <f>'Peers Stock History'!I1768/'Peers Stock History'!I$1833*100</f>
        <v>118.67940920938315</v>
      </c>
      <c r="I1765" s="871">
        <f>'Peers Stock History'!J1768/'Peers Stock History'!J$1833*100</f>
        <v>99.976162605086728</v>
      </c>
      <c r="J1765" s="871">
        <f>'Peers Stock History'!K1768/'Peers Stock History'!K$1833*100</f>
        <v>101.56513341489904</v>
      </c>
    </row>
    <row r="1766" spans="2:10">
      <c r="B1766" s="873">
        <v>42845</v>
      </c>
      <c r="C1766" s="871">
        <f>'Peers Stock History'!D1769/'Peers Stock History'!D$1833*100</f>
        <v>100.3606102635229</v>
      </c>
      <c r="D1766" s="871">
        <f>'Peers Stock History'!E1769/'Peers Stock History'!E$1833*100</f>
        <v>92.899082568807344</v>
      </c>
      <c r="E1766" s="871">
        <f>'Peers Stock History'!F1769/'Peers Stock History'!F$1833*100</f>
        <v>98.571428571428569</v>
      </c>
      <c r="F1766" s="871">
        <f>'Peers Stock History'!G1769/'Peers Stock History'!G$1833*100</f>
        <v>100.10087888596557</v>
      </c>
      <c r="G1766" s="871">
        <f>'Peers Stock History'!H1769/'Peers Stock History'!H$1833*100</f>
        <v>105.93232681198117</v>
      </c>
      <c r="H1766" s="871">
        <f>'Peers Stock History'!I1769/'Peers Stock History'!I$1833*100</f>
        <v>121.4596003475239</v>
      </c>
      <c r="I1766" s="871">
        <f>'Peers Stock History'!J1769/'Peers Stock History'!J$1833*100</f>
        <v>100.28051505799725</v>
      </c>
      <c r="J1766" s="871">
        <f>'Peers Stock History'!K1769/'Peers Stock History'!K$1833*100</f>
        <v>101.672617983861</v>
      </c>
    </row>
    <row r="1767" spans="2:10">
      <c r="B1767" s="873">
        <v>42844</v>
      </c>
      <c r="C1767" s="871">
        <f>'Peers Stock History'!D1770/'Peers Stock History'!D$1833*100</f>
        <v>99.611650485436883</v>
      </c>
      <c r="D1767" s="871">
        <f>'Peers Stock History'!E1770/'Peers Stock History'!E$1833*100</f>
        <v>91.449541284403679</v>
      </c>
      <c r="E1767" s="871">
        <f>'Peers Stock History'!F1770/'Peers Stock History'!F$1833*100</f>
        <v>96.541353383458642</v>
      </c>
      <c r="F1767" s="871">
        <f>'Peers Stock History'!G1770/'Peers Stock History'!G$1833*100</f>
        <v>99.797105611250345</v>
      </c>
      <c r="G1767" s="871">
        <f>'Peers Stock History'!H1770/'Peers Stock History'!H$1833*100</f>
        <v>103.70891790863635</v>
      </c>
      <c r="H1767" s="871">
        <f>'Peers Stock History'!I1770/'Peers Stock History'!I$1833*100</f>
        <v>118.41876629018246</v>
      </c>
      <c r="I1767" s="871">
        <f>'Peers Stock History'!J1770/'Peers Stock History'!J$1833*100</f>
        <v>99.528360114930308</v>
      </c>
      <c r="J1767" s="871">
        <f>'Peers Stock History'!K1770/'Peers Stock History'!K$1833*100</f>
        <v>100.74910987998847</v>
      </c>
    </row>
    <row r="1768" spans="2:10">
      <c r="B1768" s="873">
        <v>42843</v>
      </c>
      <c r="C1768" s="871">
        <f>'Peers Stock History'!D1771/'Peers Stock History'!D$1833*100</f>
        <v>99.209431345353678</v>
      </c>
      <c r="D1768" s="871">
        <f>'Peers Stock History'!E1771/'Peers Stock History'!E$1833*100</f>
        <v>91.091743119266056</v>
      </c>
      <c r="E1768" s="871">
        <f>'Peers Stock History'!F1771/'Peers Stock History'!F$1833*100</f>
        <v>97.368421052631575</v>
      </c>
      <c r="F1768" s="871">
        <f>'Peers Stock History'!G1771/'Peers Stock History'!G$1833*100</f>
        <v>100.6494258427778</v>
      </c>
      <c r="G1768" s="871">
        <f>'Peers Stock History'!H1771/'Peers Stock History'!H$1833*100</f>
        <v>103.45162386523616</v>
      </c>
      <c r="H1768" s="871">
        <f>'Peers Stock History'!I1771/'Peers Stock History'!I$1833*100</f>
        <v>117.89748045178105</v>
      </c>
      <c r="I1768" s="871">
        <f>'Peers Stock History'!J1771/'Peers Stock History'!J$1833*100</f>
        <v>99.699478556986278</v>
      </c>
      <c r="J1768" s="871">
        <f>'Peers Stock History'!K1771/'Peers Stock History'!K$1833*100</f>
        <v>100.51604621750548</v>
      </c>
    </row>
    <row r="1769" spans="2:10">
      <c r="B1769" s="873">
        <v>42842</v>
      </c>
      <c r="C1769" s="871">
        <f>'Peers Stock History'!D1772/'Peers Stock History'!D$1833*100</f>
        <v>98.418862690707357</v>
      </c>
      <c r="D1769" s="871">
        <f>'Peers Stock History'!E1772/'Peers Stock History'!E$1833*100</f>
        <v>91.036697247706428</v>
      </c>
      <c r="E1769" s="871">
        <f>'Peers Stock History'!F1772/'Peers Stock History'!F$1833*100</f>
        <v>96.165413533834581</v>
      </c>
      <c r="F1769" s="871">
        <f>'Peers Stock History'!G1772/'Peers Stock History'!G$1833*100</f>
        <v>100.56377205239716</v>
      </c>
      <c r="G1769" s="871">
        <f>'Peers Stock History'!H1772/'Peers Stock History'!H$1833*100</f>
        <v>103.8254284188553</v>
      </c>
      <c r="H1769" s="871">
        <f>'Peers Stock History'!I1772/'Peers Stock History'!I$1833*100</f>
        <v>117.85403996524761</v>
      </c>
      <c r="I1769" s="871">
        <f>'Peers Stock History'!J1772/'Peers Stock History'!J$1833*100</f>
        <v>99.98978397360861</v>
      </c>
      <c r="J1769" s="871">
        <f>'Peers Stock History'!K1772/'Peers Stock History'!K$1833*100</f>
        <v>100.64177996508255</v>
      </c>
    </row>
    <row r="1770" spans="2:10">
      <c r="B1770" s="873">
        <v>42841</v>
      </c>
      <c r="C1770" s="871">
        <f>'Peers Stock History'!D1773/'Peers Stock History'!D$1833*100</f>
        <v>97.780859916782262</v>
      </c>
      <c r="D1770" s="871">
        <f>'Peers Stock History'!E1773/'Peers Stock History'!E$1833*100</f>
        <v>87.605504587155963</v>
      </c>
      <c r="E1770" s="871">
        <f>'Peers Stock History'!F1773/'Peers Stock History'!F$1833*100</f>
        <v>92.556390977443598</v>
      </c>
      <c r="F1770" s="871">
        <f>'Peers Stock History'!G1773/'Peers Stock History'!G$1833*100</f>
        <v>101.22477200144861</v>
      </c>
      <c r="G1770" s="871">
        <f>'Peers Stock History'!H1773/'Peers Stock History'!H$1833*100</f>
        <v>102.58750424777901</v>
      </c>
      <c r="H1770" s="871">
        <f>'Peers Stock History'!I1773/'Peers Stock History'!I$1833*100</f>
        <v>116.15986099044309</v>
      </c>
      <c r="I1770" s="871">
        <f>'Peers Stock History'!J1773/'Peers Stock History'!J$1833*100</f>
        <v>99.135894434393947</v>
      </c>
      <c r="J1770" s="871">
        <f>'Peers Stock History'!K1773/'Peers Stock History'!K$1833*100</f>
        <v>99.754443726544139</v>
      </c>
    </row>
    <row r="1771" spans="2:10">
      <c r="B1771" s="873">
        <v>42840</v>
      </c>
      <c r="C1771" s="871">
        <f>'Peers Stock History'!D1774/'Peers Stock History'!D$1833*100</f>
        <v>97.780859916782262</v>
      </c>
      <c r="D1771" s="871">
        <f>'Peers Stock History'!E1774/'Peers Stock History'!E$1833*100</f>
        <v>87.605504587155963</v>
      </c>
      <c r="E1771" s="871">
        <f>'Peers Stock History'!F1774/'Peers Stock History'!F$1833*100</f>
        <v>92.556390977443598</v>
      </c>
      <c r="F1771" s="871">
        <f>'Peers Stock History'!G1774/'Peers Stock History'!G$1833*100</f>
        <v>101.22477200144861</v>
      </c>
      <c r="G1771" s="871">
        <f>'Peers Stock History'!H1774/'Peers Stock History'!H$1833*100</f>
        <v>102.58750424777901</v>
      </c>
      <c r="H1771" s="871">
        <f>'Peers Stock History'!I1774/'Peers Stock History'!I$1833*100</f>
        <v>116.15986099044309</v>
      </c>
      <c r="I1771" s="871">
        <f>'Peers Stock History'!J1774/'Peers Stock History'!J$1833*100</f>
        <v>99.135894434393947</v>
      </c>
      <c r="J1771" s="871">
        <f>'Peers Stock History'!K1774/'Peers Stock History'!K$1833*100</f>
        <v>99.754443726544139</v>
      </c>
    </row>
    <row r="1772" spans="2:10">
      <c r="B1772" s="873">
        <v>42839</v>
      </c>
      <c r="C1772" s="871">
        <f>'Peers Stock History'!D1775/'Peers Stock History'!D$1833*100</f>
        <v>97.780859916782262</v>
      </c>
      <c r="D1772" s="871">
        <f>'Peers Stock History'!E1775/'Peers Stock History'!E$1833*100</f>
        <v>87.605504587155963</v>
      </c>
      <c r="E1772" s="871">
        <f>'Peers Stock History'!F1775/'Peers Stock History'!F$1833*100</f>
        <v>92.556390977443598</v>
      </c>
      <c r="F1772" s="871">
        <f>'Peers Stock History'!G1775/'Peers Stock History'!G$1833*100</f>
        <v>101.22477200144861</v>
      </c>
      <c r="G1772" s="871">
        <f>'Peers Stock History'!H1775/'Peers Stock History'!H$1833*100</f>
        <v>102.58750424777901</v>
      </c>
      <c r="H1772" s="871">
        <f>'Peers Stock History'!I1775/'Peers Stock History'!I$1833*100</f>
        <v>116.15986099044309</v>
      </c>
      <c r="I1772" s="871">
        <f>'Peers Stock History'!J1775/'Peers Stock History'!J$1833*100</f>
        <v>99.135894434393947</v>
      </c>
      <c r="J1772" s="871">
        <f>'Peers Stock History'!K1775/'Peers Stock History'!K$1833*100</f>
        <v>99.754443726544139</v>
      </c>
    </row>
    <row r="1773" spans="2:10">
      <c r="B1773" s="873">
        <v>42838</v>
      </c>
      <c r="C1773" s="871">
        <f>'Peers Stock History'!D1776/'Peers Stock History'!D$1833*100</f>
        <v>97.780859916782262</v>
      </c>
      <c r="D1773" s="871">
        <f>'Peers Stock History'!E1776/'Peers Stock History'!E$1833*100</f>
        <v>87.605504587155963</v>
      </c>
      <c r="E1773" s="871">
        <f>'Peers Stock History'!F1776/'Peers Stock History'!F$1833*100</f>
        <v>92.556390977443598</v>
      </c>
      <c r="F1773" s="871">
        <f>'Peers Stock History'!G1776/'Peers Stock History'!G$1833*100</f>
        <v>102.79386204976039</v>
      </c>
      <c r="G1773" s="871">
        <f>'Peers Stock History'!H1776/'Peers Stock History'!H$1833*100</f>
        <v>102.58750424777901</v>
      </c>
      <c r="H1773" s="871">
        <f>'Peers Stock History'!I1776/'Peers Stock History'!I$1833*100</f>
        <v>116.15986099044309</v>
      </c>
      <c r="I1773" s="871">
        <f>'Peers Stock History'!J1776/'Peers Stock History'!J$1833*100</f>
        <v>99.135894434393947</v>
      </c>
      <c r="J1773" s="871">
        <f>'Peers Stock History'!K1776/'Peers Stock History'!K$1833*100</f>
        <v>99.754443726544139</v>
      </c>
    </row>
    <row r="1774" spans="2:10">
      <c r="B1774" s="873">
        <v>42837</v>
      </c>
      <c r="C1774" s="871">
        <f>'Peers Stock History'!D1777/'Peers Stock History'!D$1833*100</f>
        <v>98.834951456310691</v>
      </c>
      <c r="D1774" s="871">
        <f>'Peers Stock History'!E1777/'Peers Stock History'!E$1833*100</f>
        <v>89.275229357798167</v>
      </c>
      <c r="E1774" s="871">
        <f>'Peers Stock History'!F1777/'Peers Stock History'!F$1833*100</f>
        <v>95.939849624060145</v>
      </c>
      <c r="F1774" s="871">
        <f>'Peers Stock History'!G1777/'Peers Stock History'!G$1833*100</f>
        <v>102.24880348617471</v>
      </c>
      <c r="G1774" s="871">
        <f>'Peers Stock History'!H1777/'Peers Stock History'!H$1833*100</f>
        <v>101.55832807417835</v>
      </c>
      <c r="H1774" s="871">
        <f>'Peers Stock History'!I1777/'Peers Stock History'!I$1833*100</f>
        <v>115.94265855777586</v>
      </c>
      <c r="I1774" s="871">
        <f>'Peers Stock History'!J1777/'Peers Stock History'!J$1833*100</f>
        <v>99.816111524954763</v>
      </c>
      <c r="J1774" s="871">
        <f>'Peers Stock History'!K1777/'Peers Stock History'!K$1833*100</f>
        <v>100.28731286859218</v>
      </c>
    </row>
    <row r="1775" spans="2:10">
      <c r="B1775" s="873">
        <v>42836</v>
      </c>
      <c r="C1775" s="871">
        <f>'Peers Stock History'!D1778/'Peers Stock History'!D$1833*100</f>
        <v>99.140083217753144</v>
      </c>
      <c r="D1775" s="871">
        <f>'Peers Stock History'!E1778/'Peers Stock History'!E$1833*100</f>
        <v>90.018348623853214</v>
      </c>
      <c r="E1775" s="871">
        <f>'Peers Stock History'!F1778/'Peers Stock History'!F$1833*100</f>
        <v>98.496240601503743</v>
      </c>
      <c r="F1775" s="871">
        <f>'Peers Stock History'!G1778/'Peers Stock History'!G$1833*100</f>
        <v>101.39789803323526</v>
      </c>
      <c r="G1775" s="871">
        <f>'Peers Stock History'!H1778/'Peers Stock History'!H$1833*100</f>
        <v>105.61192290887907</v>
      </c>
      <c r="H1775" s="871">
        <f>'Peers Stock History'!I1778/'Peers Stock History'!I$1833*100</f>
        <v>118.07124239791487</v>
      </c>
      <c r="I1775" s="871">
        <f>'Peers Stock History'!J1778/'Peers Stock History'!J$1833*100</f>
        <v>100.19282749813772</v>
      </c>
      <c r="J1775" s="871">
        <f>'Peers Stock History'!K1778/'Peers Stock History'!K$1833*100</f>
        <v>100.81334286460553</v>
      </c>
    </row>
    <row r="1776" spans="2:10">
      <c r="B1776" s="873">
        <v>42835</v>
      </c>
      <c r="C1776" s="871">
        <f>'Peers Stock History'!D1779/'Peers Stock History'!D$1833*100</f>
        <v>99.306518723994458</v>
      </c>
      <c r="D1776" s="871">
        <f>'Peers Stock History'!E1779/'Peers Stock History'!E$1833*100</f>
        <v>89.697247706422019</v>
      </c>
      <c r="E1776" s="871">
        <f>'Peers Stock History'!F1779/'Peers Stock History'!F$1833*100</f>
        <v>98.496240601503743</v>
      </c>
      <c r="F1776" s="871">
        <f>'Peers Stock History'!G1779/'Peers Stock History'!G$1833*100</f>
        <v>100.90983041454815</v>
      </c>
      <c r="G1776" s="871">
        <f>'Peers Stock History'!H1779/'Peers Stock History'!H$1833*100</f>
        <v>105.8400893247245</v>
      </c>
      <c r="H1776" s="871">
        <f>'Peers Stock History'!I1779/'Peers Stock History'!I$1833*100</f>
        <v>120.06950477845353</v>
      </c>
      <c r="I1776" s="871">
        <f>'Peers Stock History'!J1779/'Peers Stock History'!J$1833*100</f>
        <v>100.33670320314994</v>
      </c>
      <c r="J1776" s="871">
        <f>'Peers Stock History'!K1779/'Peers Stock History'!K$1833*100</f>
        <v>101.05656214343651</v>
      </c>
    </row>
    <row r="1777" spans="2:10">
      <c r="B1777" s="873">
        <v>42834</v>
      </c>
      <c r="C1777" s="871">
        <f>'Peers Stock History'!D1780/'Peers Stock History'!D$1833*100</f>
        <v>99.944521497919567</v>
      </c>
      <c r="D1777" s="871">
        <f>'Peers Stock History'!E1780/'Peers Stock History'!E$1833*100</f>
        <v>92.045871559633028</v>
      </c>
      <c r="E1777" s="871">
        <f>'Peers Stock History'!F1780/'Peers Stock History'!F$1833*100</f>
        <v>101.65413533834587</v>
      </c>
      <c r="F1777" s="871">
        <f>'Peers Stock History'!G1780/'Peers Stock History'!G$1833*100</f>
        <v>101.53043564258523</v>
      </c>
      <c r="G1777" s="871">
        <f>'Peers Stock History'!H1780/'Peers Stock History'!H$1833*100</f>
        <v>105.95174523035098</v>
      </c>
      <c r="H1777" s="871">
        <f>'Peers Stock History'!I1780/'Peers Stock History'!I$1833*100</f>
        <v>123.89226759339704</v>
      </c>
      <c r="I1777" s="871">
        <f>'Peers Stock History'!J1780/'Peers Stock History'!J$1833*100</f>
        <v>100.26774502500797</v>
      </c>
      <c r="J1777" s="871">
        <f>'Peers Stock History'!K1780/'Peers Stock History'!K$1833*100</f>
        <v>101.00305184003959</v>
      </c>
    </row>
    <row r="1778" spans="2:10">
      <c r="B1778" s="873">
        <v>42833</v>
      </c>
      <c r="C1778" s="871">
        <f>'Peers Stock History'!D1781/'Peers Stock History'!D$1833*100</f>
        <v>99.944521497919567</v>
      </c>
      <c r="D1778" s="871">
        <f>'Peers Stock History'!E1781/'Peers Stock History'!E$1833*100</f>
        <v>92.045871559633028</v>
      </c>
      <c r="E1778" s="871">
        <f>'Peers Stock History'!F1781/'Peers Stock History'!F$1833*100</f>
        <v>101.65413533834587</v>
      </c>
      <c r="F1778" s="871">
        <f>'Peers Stock History'!G1781/'Peers Stock History'!G$1833*100</f>
        <v>101.53043564258523</v>
      </c>
      <c r="G1778" s="871">
        <f>'Peers Stock History'!H1781/'Peers Stock History'!H$1833*100</f>
        <v>105.95174523035098</v>
      </c>
      <c r="H1778" s="871">
        <f>'Peers Stock History'!I1781/'Peers Stock History'!I$1833*100</f>
        <v>123.89226759339704</v>
      </c>
      <c r="I1778" s="871">
        <f>'Peers Stock History'!J1781/'Peers Stock History'!J$1833*100</f>
        <v>100.26774502500797</v>
      </c>
      <c r="J1778" s="871">
        <f>'Peers Stock History'!K1781/'Peers Stock History'!K$1833*100</f>
        <v>101.00305184003959</v>
      </c>
    </row>
    <row r="1779" spans="2:10">
      <c r="B1779" s="873">
        <v>42832</v>
      </c>
      <c r="C1779" s="871">
        <f>'Peers Stock History'!D1782/'Peers Stock History'!D$1833*100</f>
        <v>99.944521497919567</v>
      </c>
      <c r="D1779" s="871">
        <f>'Peers Stock History'!E1782/'Peers Stock History'!E$1833*100</f>
        <v>92.045871559633028</v>
      </c>
      <c r="E1779" s="871">
        <f>'Peers Stock History'!F1782/'Peers Stock History'!F$1833*100</f>
        <v>101.65413533834587</v>
      </c>
      <c r="F1779" s="871">
        <f>'Peers Stock History'!G1782/'Peers Stock History'!G$1833*100</f>
        <v>101.53043564258523</v>
      </c>
      <c r="G1779" s="871">
        <f>'Peers Stock History'!H1782/'Peers Stock History'!H$1833*100</f>
        <v>105.95174523035098</v>
      </c>
      <c r="H1779" s="871">
        <f>'Peers Stock History'!I1782/'Peers Stock History'!I$1833*100</f>
        <v>123.89226759339704</v>
      </c>
      <c r="I1779" s="871">
        <f>'Peers Stock History'!J1782/'Peers Stock History'!J$1833*100</f>
        <v>100.26774502500797</v>
      </c>
      <c r="J1779" s="871">
        <f>'Peers Stock History'!K1782/'Peers Stock History'!K$1833*100</f>
        <v>101.00305184003959</v>
      </c>
    </row>
    <row r="1780" spans="2:10">
      <c r="B1780" s="873">
        <v>42831</v>
      </c>
      <c r="C1780" s="871">
        <f>'Peers Stock History'!D1783/'Peers Stock History'!D$1833*100</f>
        <v>99.944521497919567</v>
      </c>
      <c r="D1780" s="871">
        <f>'Peers Stock History'!E1783/'Peers Stock History'!E$1833*100</f>
        <v>92.440366972477079</v>
      </c>
      <c r="E1780" s="871">
        <f>'Peers Stock History'!F1783/'Peers Stock History'!F$1833*100</f>
        <v>99.774436090225564</v>
      </c>
      <c r="F1780" s="871">
        <f>'Peers Stock History'!G1783/'Peers Stock History'!G$1833*100</f>
        <v>102.00622120626053</v>
      </c>
      <c r="G1780" s="871">
        <f>'Peers Stock History'!H1783/'Peers Stock History'!H$1833*100</f>
        <v>105.58764988591678</v>
      </c>
      <c r="H1780" s="871">
        <f>'Peers Stock History'!I1783/'Peers Stock History'!I$1833*100</f>
        <v>124.32667245873155</v>
      </c>
      <c r="I1780" s="871">
        <f>'Peers Stock History'!J1783/'Peers Stock History'!J$1833*100</f>
        <v>100.35075023943811</v>
      </c>
      <c r="J1780" s="871">
        <f>'Peers Stock History'!K1783/'Peers Stock History'!K$1833*100</f>
        <v>101.02260698623924</v>
      </c>
    </row>
    <row r="1781" spans="2:10">
      <c r="B1781" s="873">
        <v>42830</v>
      </c>
      <c r="C1781" s="871">
        <f>'Peers Stock History'!D1784/'Peers Stock History'!D$1833*100</f>
        <v>100.47156726768378</v>
      </c>
      <c r="D1781" s="871">
        <f>'Peers Stock History'!E1784/'Peers Stock History'!E$1833*100</f>
        <v>91.77064220183486</v>
      </c>
      <c r="E1781" s="871">
        <f>'Peers Stock History'!F1784/'Peers Stock History'!F$1833*100</f>
        <v>106.54135338345864</v>
      </c>
      <c r="F1781" s="871">
        <f>'Peers Stock History'!G1784/'Peers Stock History'!G$1833*100</f>
        <v>103.36028915452793</v>
      </c>
      <c r="G1781" s="871">
        <f>'Peers Stock History'!H1784/'Peers Stock History'!H$1833*100</f>
        <v>105.40802951599591</v>
      </c>
      <c r="H1781" s="871">
        <f>'Peers Stock History'!I1784/'Peers Stock History'!I$1833*100</f>
        <v>122.76281494352739</v>
      </c>
      <c r="I1781" s="871">
        <f>'Peers Stock History'!J1784/'Peers Stock History'!J$1833*100</f>
        <v>100.1574970735341</v>
      </c>
      <c r="J1781" s="871">
        <f>'Peers Stock History'!K1784/'Peers Stock History'!K$1833*100</f>
        <v>100.77390608031014</v>
      </c>
    </row>
    <row r="1782" spans="2:10">
      <c r="B1782" s="873">
        <v>42829</v>
      </c>
      <c r="C1782" s="871">
        <f>'Peers Stock History'!D1785/'Peers Stock History'!D$1833*100</f>
        <v>100.63800277392512</v>
      </c>
      <c r="D1782" s="871">
        <f>'Peers Stock History'!E1785/'Peers Stock History'!E$1833*100</f>
        <v>92.458715596330279</v>
      </c>
      <c r="E1782" s="871">
        <f>'Peers Stock History'!F1785/'Peers Stock History'!F$1833*100</f>
        <v>106.46616541353382</v>
      </c>
      <c r="F1782" s="871">
        <f>'Peers Stock History'!G1785/'Peers Stock History'!G$1833*100</f>
        <v>101.41843971631207</v>
      </c>
      <c r="G1782" s="871">
        <f>'Peers Stock History'!H1785/'Peers Stock History'!H$1833*100</f>
        <v>106.29642215641535</v>
      </c>
      <c r="H1782" s="871">
        <f>'Peers Stock History'!I1785/'Peers Stock History'!I$1833*100</f>
        <v>124.1963509991312</v>
      </c>
      <c r="I1782" s="871">
        <f>'Peers Stock History'!J1785/'Peers Stock History'!J$1833*100</f>
        <v>100.46440353304244</v>
      </c>
      <c r="J1782" s="871">
        <f>'Peers Stock History'!K1785/'Peers Stock History'!K$1833*100</f>
        <v>101.3604058122431</v>
      </c>
    </row>
    <row r="1783" spans="2:10">
      <c r="B1783" s="873">
        <v>42828</v>
      </c>
      <c r="C1783" s="871">
        <f>'Peers Stock History'!D1786/'Peers Stock History'!D$1833*100</f>
        <v>100.30513176144244</v>
      </c>
      <c r="D1783" s="871">
        <f>'Peers Stock History'!E1786/'Peers Stock History'!E$1833*100</f>
        <v>99.431192660550451</v>
      </c>
      <c r="E1783" s="871">
        <f>'Peers Stock History'!F1786/'Peers Stock History'!F$1833*100</f>
        <v>110.07518796992481</v>
      </c>
      <c r="F1783" s="871">
        <f>'Peers Stock History'!G1786/'Peers Stock History'!G$1833*100</f>
        <v>101.41843971631207</v>
      </c>
      <c r="G1783" s="871">
        <f>'Peers Stock History'!H1786/'Peers Stock History'!H$1833*100</f>
        <v>106.21874848293606</v>
      </c>
      <c r="H1783" s="871">
        <f>'Peers Stock History'!I1786/'Peers Stock History'!I$1833*100</f>
        <v>124.41355343179845</v>
      </c>
      <c r="I1783" s="871">
        <f>'Peers Stock History'!J1786/'Peers Stock History'!J$1833*100</f>
        <v>100.40821538788975</v>
      </c>
      <c r="J1783" s="871">
        <f>'Peers Stock History'!K1786/'Peers Stock History'!K$1833*100</f>
        <v>101.29294227623278</v>
      </c>
    </row>
    <row r="1784" spans="2:10">
      <c r="B1784" s="873">
        <v>42827</v>
      </c>
      <c r="C1784" s="871">
        <f>'Peers Stock History'!D1787/'Peers Stock History'!D$1833*100</f>
        <v>100.05547850208045</v>
      </c>
      <c r="D1784" s="871">
        <f>'Peers Stock History'!E1787/'Peers Stock History'!E$1833*100</f>
        <v>99.935779816513772</v>
      </c>
      <c r="E1784" s="871">
        <f>'Peers Stock History'!F1787/'Peers Stock History'!F$1833*100</f>
        <v>109.39849624060149</v>
      </c>
      <c r="F1784" s="871">
        <f>'Peers Stock History'!G1787/'Peers Stock History'!G$1833*100</f>
        <v>101.41843971631207</v>
      </c>
      <c r="G1784" s="871">
        <f>'Peers Stock History'!H1787/'Peers Stock History'!H$1833*100</f>
        <v>106.29642215641535</v>
      </c>
      <c r="H1784" s="871">
        <f>'Peers Stock History'!I1787/'Peers Stock History'!I$1833*100</f>
        <v>125.54300608166811</v>
      </c>
      <c r="I1784" s="871">
        <f>'Peers Stock History'!J1787/'Peers Stock History'!J$1833*100</f>
        <v>100.5733744812174</v>
      </c>
      <c r="J1784" s="871">
        <f>'Peers Stock History'!K1787/'Peers Stock History'!K$1833*100</f>
        <v>101.58602889625119</v>
      </c>
    </row>
    <row r="1785" spans="2:10">
      <c r="B1785" s="873">
        <v>42826</v>
      </c>
      <c r="C1785" s="871">
        <f>'Peers Stock History'!D1788/'Peers Stock History'!D$1833*100</f>
        <v>100.05547850208045</v>
      </c>
      <c r="D1785" s="871">
        <f>'Peers Stock History'!E1788/'Peers Stock History'!E$1833*100</f>
        <v>99.935779816513772</v>
      </c>
      <c r="E1785" s="871">
        <f>'Peers Stock History'!F1788/'Peers Stock History'!F$1833*100</f>
        <v>109.39849624060149</v>
      </c>
      <c r="F1785" s="871">
        <f>'Peers Stock History'!G1788/'Peers Stock History'!G$1833*100</f>
        <v>101.41843971631207</v>
      </c>
      <c r="G1785" s="871">
        <f>'Peers Stock History'!H1788/'Peers Stock History'!H$1833*100</f>
        <v>106.29642215641535</v>
      </c>
      <c r="H1785" s="871">
        <f>'Peers Stock History'!I1788/'Peers Stock History'!I$1833*100</f>
        <v>125.54300608166811</v>
      </c>
      <c r="I1785" s="871">
        <f>'Peers Stock History'!J1788/'Peers Stock History'!J$1833*100</f>
        <v>100.5733744812174</v>
      </c>
      <c r="J1785" s="871">
        <f>'Peers Stock History'!K1788/'Peers Stock History'!K$1833*100</f>
        <v>101.58602889625119</v>
      </c>
    </row>
    <row r="1786" spans="2:10">
      <c r="B1786" s="873">
        <v>42825</v>
      </c>
      <c r="C1786" s="871">
        <f>'Peers Stock History'!D1789/'Peers Stock History'!D$1833*100</f>
        <v>100.05547850208045</v>
      </c>
      <c r="D1786" s="871">
        <f>'Peers Stock History'!E1789/'Peers Stock History'!E$1833*100</f>
        <v>99.935779816513772</v>
      </c>
      <c r="E1786" s="871">
        <f>'Peers Stock History'!F1789/'Peers Stock History'!F$1833*100</f>
        <v>109.39849624060149</v>
      </c>
      <c r="F1786" s="871">
        <f>'Peers Stock History'!G1789/'Peers Stock History'!G$1833*100</f>
        <v>101.41843971631207</v>
      </c>
      <c r="G1786" s="871">
        <f>'Peers Stock History'!H1789/'Peers Stock History'!H$1833*100</f>
        <v>106.29642215641535</v>
      </c>
      <c r="H1786" s="871">
        <f>'Peers Stock History'!I1789/'Peers Stock History'!I$1833*100</f>
        <v>125.54300608166811</v>
      </c>
      <c r="I1786" s="871">
        <f>'Peers Stock History'!J1789/'Peers Stock History'!J$1833*100</f>
        <v>100.5733744812174</v>
      </c>
      <c r="J1786" s="871">
        <f>'Peers Stock History'!K1789/'Peers Stock History'!K$1833*100</f>
        <v>101.58602889625119</v>
      </c>
    </row>
    <row r="1787" spans="2:10">
      <c r="B1787" s="873">
        <v>42824</v>
      </c>
      <c r="C1787" s="871">
        <f>'Peers Stock History'!D1790/'Peers Stock History'!D$1833*100</f>
        <v>99.167822468793361</v>
      </c>
      <c r="D1787" s="871">
        <f>'Peers Stock History'!E1790/'Peers Stock History'!E$1833*100</f>
        <v>100.36697247706424</v>
      </c>
      <c r="E1787" s="871">
        <f>'Peers Stock History'!F1790/'Peers Stock History'!F$1833*100</f>
        <v>105.63909774436091</v>
      </c>
      <c r="F1787" s="871">
        <f>'Peers Stock History'!G1790/'Peers Stock History'!G$1833*100</f>
        <v>102.78368712610498</v>
      </c>
      <c r="G1787" s="871">
        <f>'Peers Stock History'!H1790/'Peers Stock History'!H$1833*100</f>
        <v>106.8207194524006</v>
      </c>
      <c r="H1787" s="871">
        <f>'Peers Stock History'!I1790/'Peers Stock History'!I$1833*100</f>
        <v>125.84708948740226</v>
      </c>
      <c r="I1787" s="871">
        <f>'Peers Stock History'!J1790/'Peers Stock History'!J$1833*100</f>
        <v>100.8006810684261</v>
      </c>
      <c r="J1787" s="871">
        <f>'Peers Stock History'!K1790/'Peers Stock History'!K$1833*100</f>
        <v>101.63080983737267</v>
      </c>
    </row>
    <row r="1788" spans="2:10">
      <c r="B1788" s="873">
        <v>42823</v>
      </c>
      <c r="C1788" s="871">
        <f>'Peers Stock History'!D1791/'Peers Stock History'!D$1833*100</f>
        <v>98.668515950069363</v>
      </c>
      <c r="D1788" s="871">
        <f>'Peers Stock History'!E1791/'Peers Stock History'!E$1833*100</f>
        <v>98.477064220183479</v>
      </c>
      <c r="E1788" s="871">
        <f>'Peers Stock History'!F1791/'Peers Stock History'!F$1833*100</f>
        <v>103.08270676691728</v>
      </c>
      <c r="F1788" s="871">
        <f>'Peers Stock History'!G1791/'Peers Stock History'!G$1833*100</f>
        <v>103.2846387526273</v>
      </c>
      <c r="G1788" s="871">
        <f>'Peers Stock History'!H1791/'Peers Stock History'!H$1833*100</f>
        <v>107.4372542356425</v>
      </c>
      <c r="H1788" s="871">
        <f>'Peers Stock History'!I1791/'Peers Stock History'!I$1833*100</f>
        <v>123.80538662033015</v>
      </c>
      <c r="I1788" s="871">
        <f>'Peers Stock History'!J1791/'Peers Stock History'!J$1833*100</f>
        <v>100.50569330637438</v>
      </c>
      <c r="J1788" s="871">
        <f>'Peers Stock History'!K1791/'Peers Stock History'!K$1833*100</f>
        <v>101.34217381741198</v>
      </c>
    </row>
    <row r="1789" spans="2:10">
      <c r="B1789" s="873">
        <v>42822</v>
      </c>
      <c r="C1789" s="871">
        <f>'Peers Stock History'!D1792/'Peers Stock History'!D$1833*100</f>
        <v>98.751733703190027</v>
      </c>
      <c r="D1789" s="871">
        <f>'Peers Stock History'!E1792/'Peers Stock History'!E$1833*100</f>
        <v>98.798165137614674</v>
      </c>
      <c r="E1789" s="871">
        <f>'Peers Stock History'!F1792/'Peers Stock History'!F$1833*100</f>
        <v>102.93233082706766</v>
      </c>
      <c r="F1789" s="871">
        <f>'Peers Stock History'!G1792/'Peers Stock History'!G$1833*100</f>
        <v>104.59749336241131</v>
      </c>
      <c r="G1789" s="871">
        <f>'Peers Stock History'!H1792/'Peers Stock History'!H$1833*100</f>
        <v>107.26248847031408</v>
      </c>
      <c r="H1789" s="871">
        <f>'Peers Stock History'!I1792/'Peers Stock History'!I$1833*100</f>
        <v>124.63075586446568</v>
      </c>
      <c r="I1789" s="871">
        <f>'Peers Stock History'!J1792/'Peers Stock History'!J$1833*100</f>
        <v>100.39672235819943</v>
      </c>
      <c r="J1789" s="871">
        <f>'Peers Stock History'!K1792/'Peers Stock History'!K$1833*100</f>
        <v>100.95713676917369</v>
      </c>
    </row>
    <row r="1790" spans="2:10">
      <c r="B1790" s="873">
        <v>42821</v>
      </c>
      <c r="C1790" s="871">
        <f>'Peers Stock History'!D1793/'Peers Stock History'!D$1833*100</f>
        <v>98.169209431345365</v>
      </c>
      <c r="D1790" s="871">
        <f>'Peers Stock History'!E1793/'Peers Stock History'!E$1833*100</f>
        <v>99.311926605504581</v>
      </c>
      <c r="E1790" s="871">
        <f>'Peers Stock History'!F1793/'Peers Stock History'!F$1833*100</f>
        <v>103.00751879699249</v>
      </c>
      <c r="F1790" s="871">
        <f>'Peers Stock History'!G1793/'Peers Stock History'!G$1833*100</f>
        <v>103.85949859634064</v>
      </c>
      <c r="G1790" s="871">
        <f>'Peers Stock History'!H1793/'Peers Stock History'!H$1833*100</f>
        <v>106.34011359774746</v>
      </c>
      <c r="H1790" s="871">
        <f>'Peers Stock History'!I1793/'Peers Stock History'!I$1833*100</f>
        <v>124.93483927019983</v>
      </c>
      <c r="I1790" s="871">
        <f>'Peers Stock History'!J1793/'Peers Stock History'!J$1833*100</f>
        <v>99.673938491007775</v>
      </c>
      <c r="J1790" s="871">
        <f>'Peers Stock History'!K1793/'Peers Stock History'!K$1833*100</f>
        <v>100.35972533439643</v>
      </c>
    </row>
    <row r="1791" spans="2:10">
      <c r="B1791" s="873">
        <v>42820</v>
      </c>
      <c r="C1791" s="871">
        <f>'Peers Stock History'!D1794/'Peers Stock History'!D$1833*100</f>
        <v>97.531206657420242</v>
      </c>
      <c r="D1791" s="871">
        <f>'Peers Stock History'!E1794/'Peers Stock History'!E$1833*100</f>
        <v>98.596330275229363</v>
      </c>
      <c r="E1791" s="871">
        <f>'Peers Stock History'!F1794/'Peers Stock History'!F$1833*100</f>
        <v>103.00751879699249</v>
      </c>
      <c r="F1791" s="871">
        <f>'Peers Stock History'!G1794/'Peers Stock History'!G$1833*100</f>
        <v>103.12986382509499</v>
      </c>
      <c r="G1791" s="871">
        <f>'Peers Stock History'!H1794/'Peers Stock History'!H$1833*100</f>
        <v>106.3012767610078</v>
      </c>
      <c r="H1791" s="871">
        <f>'Peers Stock History'!I1794/'Peers Stock History'!I$1833*100</f>
        <v>123.50130321459601</v>
      </c>
      <c r="I1791" s="871">
        <f>'Peers Stock History'!J1794/'Peers Stock History'!J$1833*100</f>
        <v>99.775673087155482</v>
      </c>
      <c r="J1791" s="871">
        <f>'Peers Stock History'!K1794/'Peers Stock History'!K$1833*100</f>
        <v>100.15977482369438</v>
      </c>
    </row>
    <row r="1792" spans="2:10">
      <c r="B1792" s="873">
        <v>42819</v>
      </c>
      <c r="C1792" s="871">
        <f>'Peers Stock History'!D1795/'Peers Stock History'!D$1833*100</f>
        <v>97.531206657420242</v>
      </c>
      <c r="D1792" s="871">
        <f>'Peers Stock History'!E1795/'Peers Stock History'!E$1833*100</f>
        <v>98.596330275229363</v>
      </c>
      <c r="E1792" s="871">
        <f>'Peers Stock History'!F1795/'Peers Stock History'!F$1833*100</f>
        <v>103.00751879699249</v>
      </c>
      <c r="F1792" s="871">
        <f>'Peers Stock History'!G1795/'Peers Stock History'!G$1833*100</f>
        <v>103.12986382509499</v>
      </c>
      <c r="G1792" s="871">
        <f>'Peers Stock History'!H1795/'Peers Stock History'!H$1833*100</f>
        <v>106.3012767610078</v>
      </c>
      <c r="H1792" s="871">
        <f>'Peers Stock History'!I1795/'Peers Stock History'!I$1833*100</f>
        <v>123.50130321459601</v>
      </c>
      <c r="I1792" s="871">
        <f>'Peers Stock History'!J1795/'Peers Stock History'!J$1833*100</f>
        <v>99.775673087155482</v>
      </c>
      <c r="J1792" s="871">
        <f>'Peers Stock History'!K1795/'Peers Stock History'!K$1833*100</f>
        <v>100.15977482369438</v>
      </c>
    </row>
    <row r="1793" spans="2:10">
      <c r="B1793" s="873">
        <v>42818</v>
      </c>
      <c r="C1793" s="871">
        <f>'Peers Stock History'!D1796/'Peers Stock History'!D$1833*100</f>
        <v>97.531206657420242</v>
      </c>
      <c r="D1793" s="871">
        <f>'Peers Stock History'!E1796/'Peers Stock History'!E$1833*100</f>
        <v>98.596330275229363</v>
      </c>
      <c r="E1793" s="871">
        <f>'Peers Stock History'!F1796/'Peers Stock History'!F$1833*100</f>
        <v>103.00751879699249</v>
      </c>
      <c r="F1793" s="871">
        <f>'Peers Stock History'!G1796/'Peers Stock History'!G$1833*100</f>
        <v>103.12986382509499</v>
      </c>
      <c r="G1793" s="871">
        <f>'Peers Stock History'!H1796/'Peers Stock History'!H$1833*100</f>
        <v>106.3012767610078</v>
      </c>
      <c r="H1793" s="871">
        <f>'Peers Stock History'!I1796/'Peers Stock History'!I$1833*100</f>
        <v>123.50130321459601</v>
      </c>
      <c r="I1793" s="871">
        <f>'Peers Stock History'!J1796/'Peers Stock History'!J$1833*100</f>
        <v>99.775673087155482</v>
      </c>
      <c r="J1793" s="871">
        <f>'Peers Stock History'!K1796/'Peers Stock History'!K$1833*100</f>
        <v>100.15977482369438</v>
      </c>
    </row>
    <row r="1794" spans="2:10">
      <c r="B1794" s="873">
        <v>42817</v>
      </c>
      <c r="C1794" s="871">
        <f>'Peers Stock History'!D1797/'Peers Stock History'!D$1833*100</f>
        <v>97.836338418862709</v>
      </c>
      <c r="D1794" s="871">
        <f>'Peers Stock History'!E1797/'Peers Stock History'!E$1833*100</f>
        <v>98.247706422018354</v>
      </c>
      <c r="E1794" s="871">
        <f>'Peers Stock History'!F1797/'Peers Stock History'!F$1833*100</f>
        <v>103.68421052631578</v>
      </c>
      <c r="F1794" s="871">
        <f>'Peers Stock History'!G1797/'Peers Stock History'!G$1833*100</f>
        <v>103.3320983833097</v>
      </c>
      <c r="G1794" s="871">
        <f>'Peers Stock History'!H1797/'Peers Stock History'!H$1833*100</f>
        <v>105.27695519199962</v>
      </c>
      <c r="H1794" s="871">
        <f>'Peers Stock History'!I1797/'Peers Stock History'!I$1833*100</f>
        <v>114.98696785403996</v>
      </c>
      <c r="I1794" s="871">
        <f>'Peers Stock History'!J1797/'Peers Stock History'!J$1833*100</f>
        <v>99.859955304884537</v>
      </c>
      <c r="J1794" s="871">
        <f>'Peers Stock History'!K1797/'Peers Stock History'!K$1833*100</f>
        <v>99.969979929340298</v>
      </c>
    </row>
    <row r="1795" spans="2:10">
      <c r="B1795" s="873">
        <v>42816</v>
      </c>
      <c r="C1795" s="871">
        <f>'Peers Stock History'!D1798/'Peers Stock History'!D$1833*100</f>
        <v>98.113730929264904</v>
      </c>
      <c r="D1795" s="871">
        <f>'Peers Stock History'!E1798/'Peers Stock History'!E$1833*100</f>
        <v>99.146788990825684</v>
      </c>
      <c r="E1795" s="871">
        <f>'Peers Stock History'!F1798/'Peers Stock History'!F$1833*100</f>
        <v>106.01503759398496</v>
      </c>
      <c r="F1795" s="871">
        <f>'Peers Stock History'!G1798/'Peers Stock History'!G$1833*100</f>
        <v>103.27107549056365</v>
      </c>
      <c r="G1795" s="871">
        <f>'Peers Stock History'!H1798/'Peers Stock History'!H$1833*100</f>
        <v>105.54881304917714</v>
      </c>
      <c r="H1795" s="871">
        <f>'Peers Stock History'!I1798/'Peers Stock History'!I$1833*100</f>
        <v>113.20590790616853</v>
      </c>
      <c r="I1795" s="871">
        <f>'Peers Stock History'!J1798/'Peers Stock History'!J$1833*100</f>
        <v>99.965946578695323</v>
      </c>
      <c r="J1795" s="871">
        <f>'Peers Stock History'!K1798/'Peers Stock History'!K$1833*100</f>
        <v>100.03782150859877</v>
      </c>
    </row>
    <row r="1796" spans="2:10">
      <c r="B1796" s="873">
        <v>42815</v>
      </c>
      <c r="C1796" s="871">
        <f>'Peers Stock History'!D1799/'Peers Stock History'!D$1833*100</f>
        <v>97.1983356449376</v>
      </c>
      <c r="D1796" s="871">
        <f>'Peers Stock History'!E1799/'Peers Stock History'!E$1833*100</f>
        <v>97.165137614678898</v>
      </c>
      <c r="E1796" s="871">
        <f>'Peers Stock History'!F1799/'Peers Stock History'!F$1833*100</f>
        <v>103.90977443609022</v>
      </c>
      <c r="F1796" s="871">
        <f>'Peers Stock History'!G1799/'Peers Stock History'!G$1833*100</f>
        <v>104.02043530425227</v>
      </c>
      <c r="G1796" s="871">
        <f>'Peers Stock History'!H1799/'Peers Stock History'!H$1833*100</f>
        <v>104.8691684062333</v>
      </c>
      <c r="H1796" s="871">
        <f>'Peers Stock History'!I1799/'Peers Stock History'!I$1833*100</f>
        <v>110.8601216333623</v>
      </c>
      <c r="I1796" s="871">
        <f>'Peers Stock History'!J1799/'Peers Stock History'!J$1833*100</f>
        <v>99.777375758220714</v>
      </c>
      <c r="J1796" s="871">
        <f>'Peers Stock History'!K1799/'Peers Stock History'!K$1833*100</f>
        <v>99.55983737266817</v>
      </c>
    </row>
    <row r="1797" spans="2:10">
      <c r="B1797" s="873">
        <v>42814</v>
      </c>
      <c r="C1797" s="871">
        <f>'Peers Stock History'!D1800/'Peers Stock History'!D$1833*100</f>
        <v>98.280166435506246</v>
      </c>
      <c r="D1797" s="871">
        <f>'Peers Stock History'!E1800/'Peers Stock History'!E$1833*100</f>
        <v>100.41284403669725</v>
      </c>
      <c r="E1797" s="871">
        <f>'Peers Stock History'!F1800/'Peers Stock History'!F$1833*100</f>
        <v>108.27067669172932</v>
      </c>
      <c r="F1797" s="871">
        <f>'Peers Stock History'!G1800/'Peers Stock History'!G$1833*100</f>
        <v>102.58061082119296</v>
      </c>
      <c r="G1797" s="871">
        <f>'Peers Stock History'!H1800/'Peers Stock History'!H$1833*100</f>
        <v>107.4032720034953</v>
      </c>
      <c r="H1797" s="871">
        <f>'Peers Stock History'!I1800/'Peers Stock History'!I$1833*100</f>
        <v>113.85751520417028</v>
      </c>
      <c r="I1797" s="871">
        <f>'Peers Stock History'!J1800/'Peers Stock History'!J$1833*100</f>
        <v>101.03096732999892</v>
      </c>
      <c r="J1797" s="871">
        <f>'Peers Stock History'!K1800/'Peers Stock History'!K$1833*100</f>
        <v>101.4105996453267</v>
      </c>
    </row>
    <row r="1798" spans="2:10">
      <c r="B1798" s="873">
        <v>42813</v>
      </c>
      <c r="C1798" s="871">
        <f>'Peers Stock History'!D1801/'Peers Stock History'!D$1833*100</f>
        <v>97.836338418862709</v>
      </c>
      <c r="D1798" s="871">
        <f>'Peers Stock History'!E1801/'Peers Stock History'!E$1833*100</f>
        <v>97.311926605504581</v>
      </c>
      <c r="E1798" s="871">
        <f>'Peers Stock History'!F1801/'Peers Stock History'!F$1833*100</f>
        <v>101.42857142857142</v>
      </c>
      <c r="F1798" s="871">
        <f>'Peers Stock History'!G1801/'Peers Stock History'!G$1833*100</f>
        <v>102.07641357290747</v>
      </c>
      <c r="G1798" s="871">
        <f>'Peers Stock History'!H1801/'Peers Stock History'!H$1833*100</f>
        <v>107.37414437594057</v>
      </c>
      <c r="H1798" s="871">
        <f>'Peers Stock History'!I1801/'Peers Stock History'!I$1833*100</f>
        <v>112.07645525629889</v>
      </c>
      <c r="I1798" s="871">
        <f>'Peers Stock History'!J1801/'Peers Stock History'!J$1833*100</f>
        <v>101.23443652229436</v>
      </c>
      <c r="J1798" s="871">
        <f>'Peers Stock History'!K1801/'Peers Stock History'!K$1833*100</f>
        <v>101.40144068845115</v>
      </c>
    </row>
    <row r="1799" spans="2:10">
      <c r="B1799" s="873">
        <v>42812</v>
      </c>
      <c r="C1799" s="871">
        <f>'Peers Stock History'!D1802/'Peers Stock History'!D$1833*100</f>
        <v>97.836338418862709</v>
      </c>
      <c r="D1799" s="871">
        <f>'Peers Stock History'!E1802/'Peers Stock History'!E$1833*100</f>
        <v>97.311926605504581</v>
      </c>
      <c r="E1799" s="871">
        <f>'Peers Stock History'!F1802/'Peers Stock History'!F$1833*100</f>
        <v>101.42857142857142</v>
      </c>
      <c r="F1799" s="871">
        <f>'Peers Stock History'!G1802/'Peers Stock History'!G$1833*100</f>
        <v>102.07641357290747</v>
      </c>
      <c r="G1799" s="871">
        <f>'Peers Stock History'!H1802/'Peers Stock History'!H$1833*100</f>
        <v>107.37414437594057</v>
      </c>
      <c r="H1799" s="871">
        <f>'Peers Stock History'!I1802/'Peers Stock History'!I$1833*100</f>
        <v>112.07645525629889</v>
      </c>
      <c r="I1799" s="871">
        <f>'Peers Stock History'!J1802/'Peers Stock History'!J$1833*100</f>
        <v>101.23443652229436</v>
      </c>
      <c r="J1799" s="871">
        <f>'Peers Stock History'!K1802/'Peers Stock History'!K$1833*100</f>
        <v>101.40144068845115</v>
      </c>
    </row>
    <row r="1800" spans="2:10">
      <c r="B1800" s="873">
        <v>42811</v>
      </c>
      <c r="C1800" s="871">
        <f>'Peers Stock History'!D1803/'Peers Stock History'!D$1833*100</f>
        <v>97.836338418862709</v>
      </c>
      <c r="D1800" s="871">
        <f>'Peers Stock History'!E1803/'Peers Stock History'!E$1833*100</f>
        <v>97.311926605504581</v>
      </c>
      <c r="E1800" s="871">
        <f>'Peers Stock History'!F1803/'Peers Stock History'!F$1833*100</f>
        <v>101.42857142857142</v>
      </c>
      <c r="F1800" s="871">
        <f>'Peers Stock History'!G1803/'Peers Stock History'!G$1833*100</f>
        <v>102.07641357290747</v>
      </c>
      <c r="G1800" s="871">
        <f>'Peers Stock History'!H1803/'Peers Stock History'!H$1833*100</f>
        <v>107.37414437594057</v>
      </c>
      <c r="H1800" s="871">
        <f>'Peers Stock History'!I1803/'Peers Stock History'!I$1833*100</f>
        <v>112.07645525629889</v>
      </c>
      <c r="I1800" s="871">
        <f>'Peers Stock History'!J1803/'Peers Stock History'!J$1833*100</f>
        <v>101.23443652229436</v>
      </c>
      <c r="J1800" s="871">
        <f>'Peers Stock History'!K1803/'Peers Stock History'!K$1833*100</f>
        <v>101.40144068845115</v>
      </c>
    </row>
    <row r="1801" spans="2:10">
      <c r="B1801" s="873">
        <v>42810</v>
      </c>
      <c r="C1801" s="871">
        <f>'Peers Stock History'!D1804/'Peers Stock History'!D$1833*100</f>
        <v>97.475728155339809</v>
      </c>
      <c r="D1801" s="871">
        <f>'Peers Stock History'!E1804/'Peers Stock History'!E$1833*100</f>
        <v>95.238532110091739</v>
      </c>
      <c r="E1801" s="871">
        <f>'Peers Stock History'!F1804/'Peers Stock History'!F$1833*100</f>
        <v>102.63157894736842</v>
      </c>
      <c r="F1801" s="871">
        <f>'Peers Stock History'!G1804/'Peers Stock History'!G$1833*100</f>
        <v>101.37319019210858</v>
      </c>
      <c r="G1801" s="871">
        <f>'Peers Stock History'!H1804/'Peers Stock History'!H$1833*100</f>
        <v>107.94698771785039</v>
      </c>
      <c r="H1801" s="871">
        <f>'Peers Stock History'!I1804/'Peers Stock History'!I$1833*100</f>
        <v>113.11902693310165</v>
      </c>
      <c r="I1801" s="871">
        <f>'Peers Stock History'!J1804/'Peers Stock History'!J$1833*100</f>
        <v>101.36767053314888</v>
      </c>
      <c r="J1801" s="871">
        <f>'Peers Stock History'!K1804/'Peers Stock History'!K$1833*100</f>
        <v>101.39738531542555</v>
      </c>
    </row>
    <row r="1802" spans="2:10">
      <c r="B1802" s="873">
        <v>42809</v>
      </c>
      <c r="C1802" s="871">
        <f>'Peers Stock History'!D1805/'Peers Stock History'!D$1833*100</f>
        <v>97.364771151178928</v>
      </c>
      <c r="D1802" s="871">
        <f>'Peers Stock History'!E1805/'Peers Stock History'!E$1833*100</f>
        <v>94.082568807339456</v>
      </c>
      <c r="E1802" s="871">
        <f>'Peers Stock History'!F1805/'Peers Stock History'!F$1833*100</f>
        <v>105.11278195488723</v>
      </c>
      <c r="F1802" s="871">
        <f>'Peers Stock History'!G1805/'Peers Stock History'!G$1833*100</f>
        <v>99.482948930417507</v>
      </c>
      <c r="G1802" s="871">
        <f>'Peers Stock History'!H1805/'Peers Stock History'!H$1833*100</f>
        <v>109.68008155735716</v>
      </c>
      <c r="H1802" s="871">
        <f>'Peers Stock History'!I1805/'Peers Stock History'!I$1833*100</f>
        <v>113.46655082536925</v>
      </c>
      <c r="I1802" s="871">
        <f>'Peers Stock History'!J1805/'Peers Stock History'!J$1833*100</f>
        <v>101.53282962647654</v>
      </c>
      <c r="J1802" s="871">
        <f>'Peers Stock History'!K1805/'Peers Stock History'!K$1833*100</f>
        <v>101.38513327742875</v>
      </c>
    </row>
    <row r="1803" spans="2:10">
      <c r="B1803" s="873">
        <v>42808</v>
      </c>
      <c r="C1803" s="871">
        <f>'Peers Stock History'!D1806/'Peers Stock History'!D$1833*100</f>
        <v>97.586685159500703</v>
      </c>
      <c r="D1803" s="871">
        <f>'Peers Stock History'!E1806/'Peers Stock History'!E$1833*100</f>
        <v>93.376146788990823</v>
      </c>
      <c r="E1803" s="871">
        <f>'Peers Stock History'!F1806/'Peers Stock History'!F$1833*100</f>
        <v>106.01503759398496</v>
      </c>
      <c r="F1803" s="871">
        <f>'Peers Stock History'!G1806/'Peers Stock History'!G$1833*100</f>
        <v>97.767171148326582</v>
      </c>
      <c r="G1803" s="871">
        <f>'Peers Stock History'!H1806/'Peers Stock History'!H$1833*100</f>
        <v>108.91305403174911</v>
      </c>
      <c r="H1803" s="871">
        <f>'Peers Stock History'!I1806/'Peers Stock History'!I$1833*100</f>
        <v>111.12076455256299</v>
      </c>
      <c r="I1803" s="871">
        <f>'Peers Stock History'!J1806/'Peers Stock History'!J$1833*100</f>
        <v>100.68958178141961</v>
      </c>
      <c r="J1803" s="871">
        <f>'Peers Stock History'!K1806/'Peers Stock History'!K$1833*100</f>
        <v>100.64226111103474</v>
      </c>
    </row>
    <row r="1804" spans="2:10">
      <c r="B1804" s="873">
        <v>42807</v>
      </c>
      <c r="C1804" s="871">
        <f>'Peers Stock History'!D1807/'Peers Stock History'!D$1833*100</f>
        <v>97.531206657420242</v>
      </c>
      <c r="D1804" s="871">
        <f>'Peers Stock History'!E1807/'Peers Stock History'!E$1833*100</f>
        <v>93.440366972477065</v>
      </c>
      <c r="E1804" s="871">
        <f>'Peers Stock History'!F1807/'Peers Stock History'!F$1833*100</f>
        <v>107.36842105263156</v>
      </c>
      <c r="F1804" s="871">
        <f>'Peers Stock History'!G1807/'Peers Stock History'!G$1833*100</f>
        <v>98.128279282660316</v>
      </c>
      <c r="G1804" s="871">
        <f>'Peers Stock History'!H1807/'Peers Stock History'!H$1833*100</f>
        <v>109.93252099616487</v>
      </c>
      <c r="H1804" s="871">
        <f>'Peers Stock History'!I1807/'Peers Stock History'!I$1833*100</f>
        <v>111.64205039096437</v>
      </c>
      <c r="I1804" s="871">
        <f>'Peers Stock History'!J1807/'Peers Stock History'!J$1833*100</f>
        <v>101.03096732999892</v>
      </c>
      <c r="J1804" s="871">
        <f>'Peers Stock History'!K1807/'Peers Stock History'!K$1833*100</f>
        <v>100.968203126074</v>
      </c>
    </row>
    <row r="1805" spans="2:10">
      <c r="B1805" s="873">
        <v>42806</v>
      </c>
      <c r="C1805" s="871">
        <f>'Peers Stock History'!D1808/'Peers Stock History'!D$1833*100</f>
        <v>99.611650485436883</v>
      </c>
      <c r="D1805" s="871">
        <f>'Peers Stock History'!E1808/'Peers Stock History'!E$1833*100</f>
        <v>90.935779816513758</v>
      </c>
      <c r="E1805" s="871">
        <f>'Peers Stock History'!F1808/'Peers Stock History'!F$1833*100</f>
        <v>104.58646616541354</v>
      </c>
      <c r="F1805" s="871">
        <f>'Peers Stock History'!G1808/'Peers Stock History'!G$1833*100</f>
        <v>96.20130920366185</v>
      </c>
      <c r="G1805" s="871">
        <f>'Peers Stock History'!H1808/'Peers Stock History'!H$1833*100</f>
        <v>109.88397495024029</v>
      </c>
      <c r="H1805" s="871">
        <f>'Peers Stock History'!I1808/'Peers Stock History'!I$1833*100</f>
        <v>109.38314509122502</v>
      </c>
      <c r="I1805" s="871">
        <f>'Peers Stock History'!J1808/'Peers Stock History'!J$1833*100</f>
        <v>100.9939342343301</v>
      </c>
      <c r="J1805" s="871">
        <f>'Peers Stock History'!K1808/'Peers Stock History'!K$1833*100</f>
        <v>100.72661630672368</v>
      </c>
    </row>
    <row r="1806" spans="2:10">
      <c r="B1806" s="873">
        <v>42805</v>
      </c>
      <c r="C1806" s="871">
        <f>'Peers Stock History'!D1809/'Peers Stock History'!D$1833*100</f>
        <v>99.611650485436883</v>
      </c>
      <c r="D1806" s="871">
        <f>'Peers Stock History'!E1809/'Peers Stock History'!E$1833*100</f>
        <v>90.935779816513758</v>
      </c>
      <c r="E1806" s="871">
        <f>'Peers Stock History'!F1809/'Peers Stock History'!F$1833*100</f>
        <v>104.58646616541354</v>
      </c>
      <c r="F1806" s="871">
        <f>'Peers Stock History'!G1809/'Peers Stock History'!G$1833*100</f>
        <v>96.20130920366185</v>
      </c>
      <c r="G1806" s="871">
        <f>'Peers Stock History'!H1809/'Peers Stock History'!H$1833*100</f>
        <v>109.88397495024029</v>
      </c>
      <c r="H1806" s="871">
        <f>'Peers Stock History'!I1809/'Peers Stock History'!I$1833*100</f>
        <v>109.38314509122502</v>
      </c>
      <c r="I1806" s="871">
        <f>'Peers Stock History'!J1809/'Peers Stock History'!J$1833*100</f>
        <v>100.9939342343301</v>
      </c>
      <c r="J1806" s="871">
        <f>'Peers Stock History'!K1809/'Peers Stock History'!K$1833*100</f>
        <v>100.72661630672368</v>
      </c>
    </row>
    <row r="1807" spans="2:10">
      <c r="B1807" s="873">
        <v>42804</v>
      </c>
      <c r="C1807" s="871">
        <f>'Peers Stock History'!D1810/'Peers Stock History'!D$1833*100</f>
        <v>99.611650485436883</v>
      </c>
      <c r="D1807" s="871">
        <f>'Peers Stock History'!E1810/'Peers Stock History'!E$1833*100</f>
        <v>90.935779816513758</v>
      </c>
      <c r="E1807" s="871">
        <f>'Peers Stock History'!F1810/'Peers Stock History'!F$1833*100</f>
        <v>104.58646616541354</v>
      </c>
      <c r="F1807" s="871">
        <f>'Peers Stock History'!G1810/'Peers Stock History'!G$1833*100</f>
        <v>96.20130920366185</v>
      </c>
      <c r="G1807" s="871">
        <f>'Peers Stock History'!H1810/'Peers Stock History'!H$1833*100</f>
        <v>109.88397495024029</v>
      </c>
      <c r="H1807" s="871">
        <f>'Peers Stock History'!I1810/'Peers Stock History'!I$1833*100</f>
        <v>109.38314509122502</v>
      </c>
      <c r="I1807" s="871">
        <f>'Peers Stock History'!J1810/'Peers Stock History'!J$1833*100</f>
        <v>100.9939342343301</v>
      </c>
      <c r="J1807" s="871">
        <f>'Peers Stock History'!K1810/'Peers Stock History'!K$1833*100</f>
        <v>100.72661630672368</v>
      </c>
    </row>
    <row r="1808" spans="2:10">
      <c r="B1808" s="873">
        <v>42803</v>
      </c>
      <c r="C1808" s="871">
        <f>'Peers Stock History'!D1811/'Peers Stock History'!D$1833*100</f>
        <v>99.361997226074905</v>
      </c>
      <c r="D1808" s="871">
        <f>'Peers Stock History'!E1811/'Peers Stock History'!E$1833*100</f>
        <v>90.403669724770651</v>
      </c>
      <c r="E1808" s="871">
        <f>'Peers Stock History'!F1811/'Peers Stock History'!F$1833*100</f>
        <v>100.22556390977444</v>
      </c>
      <c r="F1808" s="871">
        <f>'Peers Stock History'!G1811/'Peers Stock History'!G$1833*100</f>
        <v>96.794195473525974</v>
      </c>
      <c r="G1808" s="871">
        <f>'Peers Stock History'!H1811/'Peers Stock History'!H$1833*100</f>
        <v>107.77707655711441</v>
      </c>
      <c r="H1808" s="871">
        <f>'Peers Stock History'!I1811/'Peers Stock History'!I$1833*100</f>
        <v>109.25282363162468</v>
      </c>
      <c r="I1808" s="871">
        <f>'Peers Stock History'!J1811/'Peers Stock History'!J$1833*100</f>
        <v>100.6648930509737</v>
      </c>
      <c r="J1808" s="871">
        <f>'Peers Stock History'!K1811/'Peers Stock History'!K$1833*100</f>
        <v>100.33279834485793</v>
      </c>
    </row>
    <row r="1809" spans="2:10">
      <c r="B1809" s="873">
        <v>42802</v>
      </c>
      <c r="C1809" s="871">
        <f>'Peers Stock History'!D1812/'Peers Stock History'!D$1833*100</f>
        <v>98.80721220527046</v>
      </c>
      <c r="D1809" s="871">
        <f>'Peers Stock History'!E1812/'Peers Stock History'!E$1833*100</f>
        <v>90.422018348623851</v>
      </c>
      <c r="E1809" s="871">
        <f>'Peers Stock History'!F1812/'Peers Stock History'!F$1833*100</f>
        <v>99.398496240601503</v>
      </c>
      <c r="F1809" s="871">
        <f>'Peers Stock History'!G1812/'Peers Stock History'!G$1833*100</f>
        <v>98.461421215912253</v>
      </c>
      <c r="G1809" s="871">
        <f>'Peers Stock History'!H1812/'Peers Stock History'!H$1833*100</f>
        <v>106.6216806641099</v>
      </c>
      <c r="H1809" s="871">
        <f>'Peers Stock History'!I1812/'Peers Stock History'!I$1833*100</f>
        <v>110.251954821894</v>
      </c>
      <c r="I1809" s="871">
        <f>'Peers Stock History'!J1812/'Peers Stock History'!J$1833*100</f>
        <v>100.58444184314143</v>
      </c>
      <c r="J1809" s="871">
        <f>'Peers Stock History'!K1812/'Peers Stock History'!K$1833*100</f>
        <v>100.3112326959295</v>
      </c>
    </row>
    <row r="1810" spans="2:10">
      <c r="B1810" s="873">
        <v>42801</v>
      </c>
      <c r="C1810" s="871">
        <f>'Peers Stock History'!D1813/'Peers Stock History'!D$1833*100</f>
        <v>99.306518723994458</v>
      </c>
      <c r="D1810" s="871">
        <f>'Peers Stock History'!E1813/'Peers Stock History'!E$1833*100</f>
        <v>90.587155963302749</v>
      </c>
      <c r="E1810" s="871">
        <f>'Peers Stock History'!F1813/'Peers Stock History'!F$1833*100</f>
        <v>98.120300751879697</v>
      </c>
      <c r="F1810" s="871">
        <f>'Peers Stock History'!G1813/'Peers Stock History'!G$1833*100</f>
        <v>97.798243876675272</v>
      </c>
      <c r="G1810" s="871">
        <f>'Peers Stock History'!H1813/'Peers Stock History'!H$1833*100</f>
        <v>106.43720568959658</v>
      </c>
      <c r="H1810" s="871">
        <f>'Peers Stock History'!I1813/'Peers Stock History'!I$1833*100</f>
        <v>111.38140747176368</v>
      </c>
      <c r="I1810" s="871">
        <f>'Peers Stock History'!J1813/'Peers Stock History'!J$1833*100</f>
        <v>100.81472810471426</v>
      </c>
      <c r="J1810" s="871">
        <f>'Peers Stock History'!K1813/'Peers Stock History'!K$1833*100</f>
        <v>100.24897584647321</v>
      </c>
    </row>
    <row r="1811" spans="2:10">
      <c r="B1811" s="873">
        <v>42800</v>
      </c>
      <c r="C1811" s="871">
        <f>'Peers Stock History'!D1814/'Peers Stock History'!D$1833*100</f>
        <v>98.668515950069363</v>
      </c>
      <c r="D1811" s="871">
        <f>'Peers Stock History'!E1814/'Peers Stock History'!E$1833*100</f>
        <v>89.605504587155963</v>
      </c>
      <c r="E1811" s="871">
        <f>'Peers Stock History'!F1814/'Peers Stock History'!F$1833*100</f>
        <v>98.045112781954884</v>
      </c>
      <c r="F1811" s="871">
        <f>'Peers Stock History'!G1814/'Peers Stock History'!G$1833*100</f>
        <v>96.400142847745002</v>
      </c>
      <c r="G1811" s="871">
        <f>'Peers Stock History'!H1814/'Peers Stock History'!H$1833*100</f>
        <v>105.80125248798484</v>
      </c>
      <c r="H1811" s="871">
        <f>'Peers Stock History'!I1814/'Peers Stock History'!I$1833*100</f>
        <v>111.68549087749784</v>
      </c>
      <c r="I1811" s="871">
        <f>'Peers Stock History'!J1814/'Peers Stock History'!J$1833*100</f>
        <v>101.10929019899967</v>
      </c>
      <c r="J1811" s="871">
        <f>'Peers Stock History'!K1814/'Peers Stock History'!K$1833*100</f>
        <v>100.5109598174395</v>
      </c>
    </row>
    <row r="1812" spans="2:10">
      <c r="B1812" s="873">
        <v>42799</v>
      </c>
      <c r="C1812" s="871">
        <f>'Peers Stock History'!D1815/'Peers Stock History'!D$1833*100</f>
        <v>99.583911234396666</v>
      </c>
      <c r="D1812" s="871">
        <f>'Peers Stock History'!E1815/'Peers Stock History'!E$1833*100</f>
        <v>90.302752293577996</v>
      </c>
      <c r="E1812" s="871">
        <f>'Peers Stock History'!F1815/'Peers Stock History'!F$1833*100</f>
        <v>97.969924812030058</v>
      </c>
      <c r="F1812" s="871">
        <f>'Peers Stock History'!G1815/'Peers Stock History'!G$1833*100</f>
        <v>96.816018280632022</v>
      </c>
      <c r="G1812" s="871">
        <f>'Peers Stock History'!H1815/'Peers Stock History'!H$1833*100</f>
        <v>105.98572746249818</v>
      </c>
      <c r="H1812" s="871">
        <f>'Peers Stock History'!I1815/'Peers Stock History'!I$1833*100</f>
        <v>111.07732406602955</v>
      </c>
      <c r="I1812" s="871">
        <f>'Peers Stock History'!J1815/'Peers Stock History'!J$1833*100</f>
        <v>101.44173672448653</v>
      </c>
      <c r="J1812" s="871">
        <f>'Peers Stock History'!K1815/'Peers Stock History'!K$1833*100</f>
        <v>100.88175150873624</v>
      </c>
    </row>
    <row r="1813" spans="2:10">
      <c r="B1813" s="873">
        <v>42798</v>
      </c>
      <c r="C1813" s="871">
        <f>'Peers Stock History'!D1816/'Peers Stock History'!D$1833*100</f>
        <v>99.583911234396666</v>
      </c>
      <c r="D1813" s="871">
        <f>'Peers Stock History'!E1816/'Peers Stock History'!E$1833*100</f>
        <v>90.302752293577996</v>
      </c>
      <c r="E1813" s="871">
        <f>'Peers Stock History'!F1816/'Peers Stock History'!F$1833*100</f>
        <v>97.969924812030058</v>
      </c>
      <c r="F1813" s="871">
        <f>'Peers Stock History'!G1816/'Peers Stock History'!G$1833*100</f>
        <v>96.816018280632022</v>
      </c>
      <c r="G1813" s="871">
        <f>'Peers Stock History'!H1816/'Peers Stock History'!H$1833*100</f>
        <v>105.98572746249818</v>
      </c>
      <c r="H1813" s="871">
        <f>'Peers Stock History'!I1816/'Peers Stock History'!I$1833*100</f>
        <v>111.07732406602955</v>
      </c>
      <c r="I1813" s="871">
        <f>'Peers Stock History'!J1816/'Peers Stock History'!J$1833*100</f>
        <v>101.44173672448653</v>
      </c>
      <c r="J1813" s="871">
        <f>'Peers Stock History'!K1816/'Peers Stock History'!K$1833*100</f>
        <v>100.88175150873624</v>
      </c>
    </row>
    <row r="1814" spans="2:10">
      <c r="B1814" s="873">
        <v>42797</v>
      </c>
      <c r="C1814" s="871">
        <f>'Peers Stock History'!D1817/'Peers Stock History'!D$1833*100</f>
        <v>99.583911234396666</v>
      </c>
      <c r="D1814" s="871">
        <f>'Peers Stock History'!E1817/'Peers Stock History'!E$1833*100</f>
        <v>90.302752293577996</v>
      </c>
      <c r="E1814" s="871">
        <f>'Peers Stock History'!F1817/'Peers Stock History'!F$1833*100</f>
        <v>97.969924812030058</v>
      </c>
      <c r="F1814" s="871">
        <f>'Peers Stock History'!G1817/'Peers Stock History'!G$1833*100</f>
        <v>96.816018280632022</v>
      </c>
      <c r="G1814" s="871">
        <f>'Peers Stock History'!H1817/'Peers Stock History'!H$1833*100</f>
        <v>105.98572746249818</v>
      </c>
      <c r="H1814" s="871">
        <f>'Peers Stock History'!I1817/'Peers Stock History'!I$1833*100</f>
        <v>111.07732406602955</v>
      </c>
      <c r="I1814" s="871">
        <f>'Peers Stock History'!J1817/'Peers Stock History'!J$1833*100</f>
        <v>101.44173672448653</v>
      </c>
      <c r="J1814" s="871">
        <f>'Peers Stock History'!K1817/'Peers Stock History'!K$1833*100</f>
        <v>100.88175150873624</v>
      </c>
    </row>
    <row r="1815" spans="2:10">
      <c r="B1815" s="873">
        <v>42796</v>
      </c>
      <c r="C1815" s="871">
        <f>'Peers Stock History'!D1818/'Peers Stock History'!D$1833*100</f>
        <v>99.611650485436883</v>
      </c>
      <c r="D1815" s="871">
        <f>'Peers Stock History'!E1818/'Peers Stock History'!E$1833*100</f>
        <v>90.825688073394488</v>
      </c>
      <c r="E1815" s="871">
        <f>'Peers Stock History'!F1818/'Peers Stock History'!F$1833*100</f>
        <v>104.51127819548871</v>
      </c>
      <c r="F1815" s="871">
        <f>'Peers Stock History'!G1818/'Peers Stock History'!G$1833*100</f>
        <v>97.928550108373415</v>
      </c>
      <c r="G1815" s="871">
        <f>'Peers Stock History'!H1818/'Peers Stock History'!H$1833*100</f>
        <v>105.48570318947522</v>
      </c>
      <c r="H1815" s="871">
        <f>'Peers Stock History'!I1818/'Peers Stock History'!I$1833*100</f>
        <v>107.29800173761946</v>
      </c>
      <c r="I1815" s="871">
        <f>'Peers Stock History'!J1818/'Peers Stock History'!J$1833*100</f>
        <v>101.39065659252952</v>
      </c>
      <c r="J1815" s="871">
        <f>'Peers Stock History'!K1818/'Peers Stock History'!K$1833*100</f>
        <v>100.7179728633683</v>
      </c>
    </row>
    <row r="1816" spans="2:10">
      <c r="B1816" s="873">
        <v>42795</v>
      </c>
      <c r="C1816" s="871">
        <f>'Peers Stock History'!D1819/'Peers Stock History'!D$1833*100</f>
        <v>99.667128987517344</v>
      </c>
      <c r="D1816" s="871">
        <f>'Peers Stock History'!E1819/'Peers Stock History'!E$1833*100</f>
        <v>94.302752293577981</v>
      </c>
      <c r="E1816" s="871">
        <f>'Peers Stock History'!F1819/'Peers Stock History'!F$1833*100</f>
        <v>112.4812030075188</v>
      </c>
      <c r="F1816" s="871">
        <f>'Peers Stock History'!G1819/'Peers Stock History'!G$1833*100</f>
        <v>98.37750073801584</v>
      </c>
      <c r="G1816" s="871">
        <f>'Peers Stock History'!H1819/'Peers Stock History'!H$1833*100</f>
        <v>104.44196320209717</v>
      </c>
      <c r="H1816" s="871">
        <f>'Peers Stock History'!I1819/'Peers Stock History'!I$1833*100</f>
        <v>106.64639443961772</v>
      </c>
      <c r="I1816" s="871">
        <f>'Peers Stock History'!J1819/'Peers Stock History'!J$1833*100</f>
        <v>101.98829413642652</v>
      </c>
      <c r="J1816" s="871">
        <f>'Peers Stock History'!K1819/'Peers Stock History'!K$1833*100</f>
        <v>101.45355910534349</v>
      </c>
    </row>
    <row r="1817" spans="2:10">
      <c r="B1817" s="873">
        <v>42794</v>
      </c>
      <c r="C1817" s="871">
        <f>'Peers Stock History'!D1820/'Peers Stock History'!D$1833*100</f>
        <v>100.41608876560335</v>
      </c>
      <c r="D1817" s="871">
        <f>'Peers Stock History'!E1820/'Peers Stock History'!E$1833*100</f>
        <v>93.10091743119267</v>
      </c>
      <c r="E1817" s="871">
        <f>'Peers Stock History'!F1820/'Peers Stock History'!F$1833*100</f>
        <v>108.72180451127819</v>
      </c>
      <c r="F1817" s="871">
        <f>'Peers Stock History'!G1820/'Peers Stock History'!G$1833*100</f>
        <v>100.30995106035883</v>
      </c>
      <c r="G1817" s="871">
        <f>'Peers Stock History'!H1820/'Peers Stock History'!H$1833*100</f>
        <v>102.39817466867322</v>
      </c>
      <c r="H1817" s="871">
        <f>'Peers Stock History'!I1820/'Peers Stock History'!I$1833*100</f>
        <v>101.82450043440487</v>
      </c>
      <c r="I1817" s="871">
        <f>'Peers Stock History'!J1820/'Peers Stock History'!J$1833*100</f>
        <v>100.61253591571777</v>
      </c>
      <c r="J1817" s="871">
        <f>'Peers Stock History'!K1820/'Peers Stock History'!K$1833*100</f>
        <v>100.10306833647225</v>
      </c>
    </row>
    <row r="1818" spans="2:10">
      <c r="B1818" s="873">
        <v>42793</v>
      </c>
      <c r="C1818" s="871">
        <f>'Peers Stock History'!D1821/'Peers Stock History'!D$1833*100</f>
        <v>101.27600554785022</v>
      </c>
      <c r="D1818" s="871">
        <f>'Peers Stock History'!E1821/'Peers Stock History'!E$1833*100</f>
        <v>95.788990825688074</v>
      </c>
      <c r="E1818" s="871">
        <f>'Peers Stock History'!F1821/'Peers Stock History'!F$1833*100</f>
        <v>114.28571428571428</v>
      </c>
      <c r="F1818" s="871">
        <f>'Peers Stock History'!G1821/'Peers Stock History'!G$1833*100</f>
        <v>100.30995106035883</v>
      </c>
      <c r="G1818" s="871">
        <f>'Peers Stock History'!H1821/'Peers Stock History'!H$1833*100</f>
        <v>103.53900674790037</v>
      </c>
      <c r="H1818" s="871">
        <f>'Peers Stock History'!I1821/'Peers Stock History'!I$1833*100</f>
        <v>103.21459600347525</v>
      </c>
      <c r="I1818" s="871">
        <f>'Peers Stock History'!J1821/'Peers Stock History'!J$1833*100</f>
        <v>100.87261892093223</v>
      </c>
      <c r="J1818" s="871">
        <f>'Peers Stock History'!K1821/'Peers Stock History'!K$1833*100</f>
        <v>100.72960628514085</v>
      </c>
    </row>
    <row r="1819" spans="2:10">
      <c r="B1819" s="873">
        <v>42792</v>
      </c>
      <c r="C1819" s="871">
        <f>'Peers Stock History'!D1822/'Peers Stock History'!D$1833*100</f>
        <v>101.33148404993067</v>
      </c>
      <c r="D1819" s="871">
        <f>'Peers Stock History'!E1822/'Peers Stock History'!E$1833*100</f>
        <v>93.082568807339442</v>
      </c>
      <c r="E1819" s="871">
        <f>'Peers Stock History'!F1822/'Peers Stock History'!F$1833*100</f>
        <v>106.16541353383457</v>
      </c>
      <c r="F1819" s="871">
        <f>'Peers Stock History'!G1822/'Peers Stock History'!G$1833*100</f>
        <v>100.30995106035883</v>
      </c>
      <c r="G1819" s="871">
        <f>'Peers Stock History'!H1822/'Peers Stock History'!H$1833*100</f>
        <v>102.12631681149571</v>
      </c>
      <c r="H1819" s="871">
        <f>'Peers Stock History'!I1822/'Peers Stock History'!I$1833*100</f>
        <v>100.95569070373587</v>
      </c>
      <c r="I1819" s="871">
        <f>'Peers Stock History'!J1822/'Peers Stock History'!J$1833*100</f>
        <v>100.77003298925189</v>
      </c>
      <c r="J1819" s="871">
        <f>'Peers Stock History'!K1822/'Peers Stock History'!K$1833*100</f>
        <v>100.44447575711753</v>
      </c>
    </row>
    <row r="1820" spans="2:10">
      <c r="B1820" s="873">
        <v>42791</v>
      </c>
      <c r="C1820" s="871">
        <f>'Peers Stock History'!D1823/'Peers Stock History'!D$1833*100</f>
        <v>101.33148404993067</v>
      </c>
      <c r="D1820" s="871">
        <f>'Peers Stock History'!E1823/'Peers Stock History'!E$1833*100</f>
        <v>93.082568807339442</v>
      </c>
      <c r="E1820" s="871">
        <f>'Peers Stock History'!F1823/'Peers Stock History'!F$1833*100</f>
        <v>106.16541353383457</v>
      </c>
      <c r="F1820" s="871">
        <f>'Peers Stock History'!G1823/'Peers Stock History'!G$1833*100</f>
        <v>100.30995106035883</v>
      </c>
      <c r="G1820" s="871">
        <f>'Peers Stock History'!H1823/'Peers Stock History'!H$1833*100</f>
        <v>102.12631681149571</v>
      </c>
      <c r="H1820" s="871">
        <f>'Peers Stock History'!I1823/'Peers Stock History'!I$1833*100</f>
        <v>100.95569070373587</v>
      </c>
      <c r="I1820" s="871">
        <f>'Peers Stock History'!J1823/'Peers Stock History'!J$1833*100</f>
        <v>100.77003298925189</v>
      </c>
      <c r="J1820" s="871">
        <f>'Peers Stock History'!K1823/'Peers Stock History'!K$1833*100</f>
        <v>100.44447575711753</v>
      </c>
    </row>
    <row r="1821" spans="2:10">
      <c r="B1821" s="873">
        <v>42790</v>
      </c>
      <c r="C1821" s="871">
        <f>'Peers Stock History'!D1824/'Peers Stock History'!D$1833*100</f>
        <v>101.33148404993067</v>
      </c>
      <c r="D1821" s="871">
        <f>'Peers Stock History'!E1824/'Peers Stock History'!E$1833*100</f>
        <v>93.082568807339442</v>
      </c>
      <c r="E1821" s="871">
        <f>'Peers Stock History'!F1824/'Peers Stock History'!F$1833*100</f>
        <v>106.16541353383457</v>
      </c>
      <c r="F1821" s="871">
        <f>'Peers Stock History'!G1824/'Peers Stock History'!G$1833*100</f>
        <v>100.30995106035883</v>
      </c>
      <c r="G1821" s="871">
        <f>'Peers Stock History'!H1824/'Peers Stock History'!H$1833*100</f>
        <v>102.12631681149571</v>
      </c>
      <c r="H1821" s="871">
        <f>'Peers Stock History'!I1824/'Peers Stock History'!I$1833*100</f>
        <v>100.95569070373587</v>
      </c>
      <c r="I1821" s="871">
        <f>'Peers Stock History'!J1824/'Peers Stock History'!J$1833*100</f>
        <v>100.77003298925189</v>
      </c>
      <c r="J1821" s="871">
        <f>'Peers Stock History'!K1824/'Peers Stock History'!K$1833*100</f>
        <v>100.44447575711753</v>
      </c>
    </row>
    <row r="1822" spans="2:10">
      <c r="B1822" s="873">
        <v>42789</v>
      </c>
      <c r="C1822" s="871">
        <f>'Peers Stock History'!D1825/'Peers Stock History'!D$1833*100</f>
        <v>100.3606102635229</v>
      </c>
      <c r="D1822" s="871">
        <f>'Peers Stock History'!E1825/'Peers Stock History'!E$1833*100</f>
        <v>92.192660550458712</v>
      </c>
      <c r="E1822" s="871">
        <f>'Peers Stock History'!F1825/'Peers Stock History'!F$1833*100</f>
        <v>107.66917293233082</v>
      </c>
      <c r="F1822" s="871">
        <f>'Peers Stock History'!G1825/'Peers Stock History'!G$1833*100</f>
        <v>99.816614652226605</v>
      </c>
      <c r="G1822" s="871">
        <f>'Peers Stock History'!H1825/'Peers Stock History'!H$1833*100</f>
        <v>102.22826350793727</v>
      </c>
      <c r="H1822" s="871">
        <f>'Peers Stock History'!I1825/'Peers Stock History'!I$1833*100</f>
        <v>101.99826238053866</v>
      </c>
      <c r="I1822" s="871">
        <f>'Peers Stock History'!J1825/'Peers Stock History'!J$1833*100</f>
        <v>100.61977226774503</v>
      </c>
      <c r="J1822" s="871">
        <f>'Peers Stock History'!K1825/'Peers Stock History'!K$1833*100</f>
        <v>100.27609185763579</v>
      </c>
    </row>
    <row r="1823" spans="2:10">
      <c r="B1823" s="873">
        <v>42788</v>
      </c>
      <c r="C1823" s="871">
        <f>'Peers Stock History'!D1826/'Peers Stock History'!D$1833*100</f>
        <v>100.05547850208045</v>
      </c>
      <c r="D1823" s="871">
        <f>'Peers Stock History'!E1826/'Peers Stock History'!E$1833*100</f>
        <v>101.61467889908258</v>
      </c>
      <c r="E1823" s="871">
        <f>'Peers Stock History'!F1826/'Peers Stock History'!F$1833*100</f>
        <v>107.36842105263156</v>
      </c>
      <c r="F1823" s="871">
        <f>'Peers Stock History'!G1826/'Peers Stock History'!G$1833*100</f>
        <v>99.664133718477743</v>
      </c>
      <c r="G1823" s="871">
        <f>'Peers Stock History'!H1826/'Peers Stock History'!H$1833*100</f>
        <v>103.9662119520365</v>
      </c>
      <c r="H1823" s="871">
        <f>'Peers Stock History'!I1826/'Peers Stock History'!I$1833*100</f>
        <v>103.17115551694178</v>
      </c>
      <c r="I1823" s="871">
        <f>'Peers Stock History'!J1826/'Peers Stock History'!J$1833*100</f>
        <v>100.57763115888049</v>
      </c>
      <c r="J1823" s="871">
        <f>'Peers Stock History'!K1826/'Peers Stock History'!K$1833*100</f>
        <v>100.70773132810031</v>
      </c>
    </row>
    <row r="1824" spans="2:10">
      <c r="B1824" s="873">
        <v>42787</v>
      </c>
      <c r="C1824" s="871">
        <f>'Peers Stock History'!D1827/'Peers Stock History'!D$1833*100</f>
        <v>101.30374479889043</v>
      </c>
      <c r="D1824" s="871">
        <f>'Peers Stock History'!E1827/'Peers Stock History'!E$1833*100</f>
        <v>101.89908256880733</v>
      </c>
      <c r="E1824" s="871">
        <f>'Peers Stock History'!F1827/'Peers Stock History'!F$1833*100</f>
        <v>105.26315789473684</v>
      </c>
      <c r="F1824" s="871">
        <f>'Peers Stock History'!G1827/'Peers Stock History'!G$1833*100</f>
        <v>100.42457665682802</v>
      </c>
      <c r="G1824" s="871">
        <f>'Peers Stock History'!H1827/'Peers Stock History'!H$1833*100</f>
        <v>103.28171270450022</v>
      </c>
      <c r="H1824" s="871">
        <f>'Peers Stock History'!I1827/'Peers Stock History'!I$1833*100</f>
        <v>103.25803649000869</v>
      </c>
      <c r="I1824" s="871">
        <f>'Peers Stock History'!J1827/'Peers Stock History'!J$1833*100</f>
        <v>100.68660210705545</v>
      </c>
      <c r="J1824" s="871">
        <f>'Peers Stock History'!K1827/'Peers Stock History'!K$1833*100</f>
        <v>100.799200610368</v>
      </c>
    </row>
    <row r="1825" spans="2:10">
      <c r="B1825" s="873">
        <v>42786</v>
      </c>
      <c r="C1825" s="871">
        <f>'Peers Stock History'!D1828/'Peers Stock History'!D$1833*100</f>
        <v>101.19278779472953</v>
      </c>
      <c r="D1825" s="871">
        <f>'Peers Stock History'!E1828/'Peers Stock History'!E$1833*100</f>
        <v>98.376146788990823</v>
      </c>
      <c r="E1825" s="871">
        <f>'Peers Stock History'!F1828/'Peers Stock History'!F$1833*100</f>
        <v>98.721804511278194</v>
      </c>
      <c r="F1825" s="871">
        <f>'Peers Stock History'!G1828/'Peers Stock History'!G$1833*100</f>
        <v>100.40500262375973</v>
      </c>
      <c r="G1825" s="871">
        <f>'Peers Stock History'!H1828/'Peers Stock History'!H$1833*100</f>
        <v>102.14573522986552</v>
      </c>
      <c r="H1825" s="871">
        <f>'Peers Stock History'!I1828/'Peers Stock History'!I$1833*100</f>
        <v>101.43353605560384</v>
      </c>
      <c r="I1825" s="871">
        <f>'Peers Stock History'!J1828/'Peers Stock History'!J$1833*100</f>
        <v>100.0813025433649</v>
      </c>
      <c r="J1825" s="871">
        <f>'Peers Stock History'!K1828/'Peers Stock History'!K$1833*100</f>
        <v>100.3288632583204</v>
      </c>
    </row>
    <row r="1826" spans="2:10">
      <c r="B1826" s="873">
        <v>42785</v>
      </c>
      <c r="C1826" s="871">
        <f>'Peers Stock History'!D1829/'Peers Stock History'!D$1833*100</f>
        <v>101.19278779472953</v>
      </c>
      <c r="D1826" s="871">
        <f>'Peers Stock History'!E1829/'Peers Stock History'!E$1833*100</f>
        <v>98.376146788990823</v>
      </c>
      <c r="E1826" s="871">
        <f>'Peers Stock History'!F1829/'Peers Stock History'!F$1833*100</f>
        <v>98.721804511278194</v>
      </c>
      <c r="F1826" s="871">
        <f>'Peers Stock History'!G1829/'Peers Stock History'!G$1833*100</f>
        <v>99.790670353293763</v>
      </c>
      <c r="G1826" s="871">
        <f>'Peers Stock History'!H1829/'Peers Stock History'!H$1833*100</f>
        <v>102.14573522986552</v>
      </c>
      <c r="H1826" s="871">
        <f>'Peers Stock History'!I1829/'Peers Stock History'!I$1833*100</f>
        <v>101.43353605560384</v>
      </c>
      <c r="I1826" s="871">
        <f>'Peers Stock History'!J1829/'Peers Stock History'!J$1833*100</f>
        <v>100.0813025433649</v>
      </c>
      <c r="J1826" s="871">
        <f>'Peers Stock History'!K1829/'Peers Stock History'!K$1833*100</f>
        <v>100.3288632583204</v>
      </c>
    </row>
    <row r="1827" spans="2:10">
      <c r="B1827" s="873">
        <v>42784</v>
      </c>
      <c r="C1827" s="871">
        <f>'Peers Stock History'!D1830/'Peers Stock History'!D$1833*100</f>
        <v>101.19278779472953</v>
      </c>
      <c r="D1827" s="871">
        <f>'Peers Stock History'!E1830/'Peers Stock History'!E$1833*100</f>
        <v>98.376146788990823</v>
      </c>
      <c r="E1827" s="871">
        <f>'Peers Stock History'!F1830/'Peers Stock History'!F$1833*100</f>
        <v>98.721804511278194</v>
      </c>
      <c r="F1827" s="871">
        <f>'Peers Stock History'!G1830/'Peers Stock History'!G$1833*100</f>
        <v>99.790670353293763</v>
      </c>
      <c r="G1827" s="871">
        <f>'Peers Stock History'!H1830/'Peers Stock History'!H$1833*100</f>
        <v>102.14573522986552</v>
      </c>
      <c r="H1827" s="871">
        <f>'Peers Stock History'!I1830/'Peers Stock History'!I$1833*100</f>
        <v>101.43353605560384</v>
      </c>
      <c r="I1827" s="871">
        <f>'Peers Stock History'!J1830/'Peers Stock History'!J$1833*100</f>
        <v>100.0813025433649</v>
      </c>
      <c r="J1827" s="871">
        <f>'Peers Stock History'!K1830/'Peers Stock History'!K$1833*100</f>
        <v>100.3288632583204</v>
      </c>
    </row>
    <row r="1828" spans="2:10">
      <c r="B1828" s="873">
        <v>42783</v>
      </c>
      <c r="C1828" s="871">
        <f>'Peers Stock History'!D1831/'Peers Stock History'!D$1833*100</f>
        <v>101.19278779472953</v>
      </c>
      <c r="D1828" s="871">
        <f>'Peers Stock History'!E1831/'Peers Stock History'!E$1833*100</f>
        <v>98.376146788990823</v>
      </c>
      <c r="E1828" s="871">
        <f>'Peers Stock History'!F1831/'Peers Stock History'!F$1833*100</f>
        <v>98.721804511278194</v>
      </c>
      <c r="F1828" s="871">
        <f>'Peers Stock History'!G1831/'Peers Stock History'!G$1833*100</f>
        <v>99.790670353293763</v>
      </c>
      <c r="G1828" s="871">
        <f>'Peers Stock History'!H1831/'Peers Stock History'!H$1833*100</f>
        <v>102.14573522986552</v>
      </c>
      <c r="H1828" s="871">
        <f>'Peers Stock History'!I1831/'Peers Stock History'!I$1833*100</f>
        <v>101.43353605560384</v>
      </c>
      <c r="I1828" s="871">
        <f>'Peers Stock History'!J1831/'Peers Stock History'!J$1833*100</f>
        <v>100.0813025433649</v>
      </c>
      <c r="J1828" s="871">
        <f>'Peers Stock History'!K1831/'Peers Stock History'!K$1833*100</f>
        <v>100.3288632583204</v>
      </c>
    </row>
    <row r="1829" spans="2:10">
      <c r="B1829" s="873">
        <v>42782</v>
      </c>
      <c r="C1829" s="871">
        <f>'Peers Stock History'!D1832/'Peers Stock History'!D$1833*100</f>
        <v>100.998613037448</v>
      </c>
      <c r="D1829" s="871">
        <f>'Peers Stock History'!E1832/'Peers Stock History'!E$1833*100</f>
        <v>98.394495412844037</v>
      </c>
      <c r="E1829" s="871">
        <f>'Peers Stock History'!F1832/'Peers Stock History'!F$1833*100</f>
        <v>97.518796992481199</v>
      </c>
      <c r="F1829" s="871">
        <f>'Peers Stock History'!G1832/'Peers Stock History'!G$1833*100</f>
        <v>99.889535072614535</v>
      </c>
      <c r="G1829" s="871">
        <f>'Peers Stock History'!H1832/'Peers Stock History'!H$1833*100</f>
        <v>101.06315840574784</v>
      </c>
      <c r="H1829" s="871">
        <f>'Peers Stock History'!I1832/'Peers Stock History'!I$1833*100</f>
        <v>99.826238053866206</v>
      </c>
      <c r="I1829" s="871">
        <f>'Peers Stock History'!J1832/'Peers Stock History'!J$1833*100</f>
        <v>99.913589443439392</v>
      </c>
      <c r="J1829" s="871">
        <f>'Peers Stock History'!K1832/'Peers Stock History'!K$1833*100</f>
        <v>99.921985620609547</v>
      </c>
    </row>
    <row r="1830" spans="2:10">
      <c r="B1830" s="873">
        <v>42781</v>
      </c>
      <c r="C1830" s="871">
        <f>'Peers Stock History'!D1833/'Peers Stock History'!D$1833*100</f>
        <v>100</v>
      </c>
      <c r="D1830" s="871">
        <f>'Peers Stock History'!E1833/'Peers Stock History'!E$1833*100</f>
        <v>100</v>
      </c>
      <c r="E1830" s="871">
        <f>'Peers Stock History'!F1833/'Peers Stock History'!F$1833*100</f>
        <v>100</v>
      </c>
      <c r="F1830" s="871">
        <f>'Peers Stock History'!G1833/'Peers Stock History'!G$1833*100</f>
        <v>100</v>
      </c>
      <c r="G1830" s="871">
        <f>'Peers Stock History'!H1833/'Peers Stock History'!H$1833*100</f>
        <v>100</v>
      </c>
      <c r="H1830" s="871">
        <f>'Peers Stock History'!I1833/'Peers Stock History'!I$1833*100</f>
        <v>100</v>
      </c>
      <c r="I1830" s="871">
        <f>'Peers Stock History'!J1833/'Peers Stock History'!J$1833*100</f>
        <v>100</v>
      </c>
      <c r="J1830" s="871">
        <f>'Peers Stock History'!K1833/'Peers Stock History'!K$1833*100</f>
        <v>100</v>
      </c>
    </row>
    <row r="1831" spans="2:10">
      <c r="B1831" s="873"/>
      <c r="C1831" s="874"/>
      <c r="D1831" s="874"/>
      <c r="E1831" s="874"/>
      <c r="F1831" s="874"/>
      <c r="G1831" s="874"/>
      <c r="H1831" s="874"/>
      <c r="I1831" s="874"/>
      <c r="J1831" s="874"/>
    </row>
    <row r="1832" spans="2:10">
      <c r="B1832" s="873"/>
      <c r="C1832" s="874"/>
      <c r="D1832" s="874"/>
      <c r="E1832" s="874"/>
      <c r="F1832" s="874"/>
      <c r="G1832" s="874"/>
      <c r="H1832" s="874"/>
      <c r="I1832" s="874"/>
      <c r="J1832" s="874"/>
    </row>
    <row r="1833" spans="2:10">
      <c r="B1833" s="873"/>
      <c r="C1833" s="874"/>
      <c r="D1833" s="874"/>
      <c r="E1833" s="874"/>
      <c r="F1833" s="874"/>
      <c r="G1833" s="874"/>
      <c r="H1833" s="874"/>
      <c r="I1833" s="874"/>
      <c r="J1833" s="874"/>
    </row>
    <row r="1834" spans="2:10">
      <c r="B1834" s="873"/>
      <c r="C1834" s="874"/>
      <c r="D1834" s="874"/>
      <c r="E1834" s="874"/>
      <c r="F1834" s="874"/>
      <c r="G1834" s="874"/>
      <c r="H1834" s="874"/>
      <c r="I1834" s="874"/>
      <c r="J1834" s="874"/>
    </row>
    <row r="1835" spans="2:10">
      <c r="B1835" s="873"/>
      <c r="C1835" s="874"/>
      <c r="D1835" s="874"/>
      <c r="E1835" s="874"/>
      <c r="F1835" s="874"/>
      <c r="G1835" s="874"/>
      <c r="H1835" s="874"/>
      <c r="I1835" s="874"/>
      <c r="J1835" s="874"/>
    </row>
    <row r="1836" spans="2:10">
      <c r="B1836" s="873"/>
      <c r="C1836" s="874"/>
      <c r="D1836" s="874"/>
      <c r="E1836" s="874"/>
      <c r="F1836" s="874"/>
      <c r="G1836" s="874"/>
      <c r="H1836" s="874"/>
      <c r="I1836" s="874"/>
      <c r="J1836" s="874"/>
    </row>
    <row r="1837" spans="2:10">
      <c r="B1837" s="873"/>
      <c r="C1837" s="874"/>
      <c r="D1837" s="874"/>
      <c r="E1837" s="874"/>
      <c r="F1837" s="874"/>
      <c r="G1837" s="874"/>
      <c r="H1837" s="874"/>
      <c r="I1837" s="874"/>
      <c r="J1837" s="874"/>
    </row>
    <row r="1838" spans="2:10">
      <c r="B1838" s="873"/>
      <c r="C1838" s="874"/>
      <c r="D1838" s="874"/>
      <c r="E1838" s="874"/>
      <c r="F1838" s="874"/>
      <c r="G1838" s="874"/>
      <c r="H1838" s="874"/>
      <c r="I1838" s="874"/>
      <c r="J1838" s="874"/>
    </row>
    <row r="1839" spans="2:10">
      <c r="B1839" s="873"/>
      <c r="C1839" s="874"/>
      <c r="D1839" s="874"/>
      <c r="E1839" s="874"/>
      <c r="F1839" s="874"/>
      <c r="G1839" s="874"/>
      <c r="H1839" s="874"/>
      <c r="I1839" s="874"/>
      <c r="J1839" s="874"/>
    </row>
    <row r="1840" spans="2:10">
      <c r="B1840" s="873"/>
      <c r="C1840" s="874"/>
      <c r="D1840" s="874"/>
      <c r="E1840" s="874"/>
      <c r="F1840" s="874"/>
      <c r="G1840" s="874"/>
      <c r="H1840" s="874"/>
      <c r="I1840" s="874"/>
      <c r="J1840" s="874"/>
    </row>
    <row r="1841" spans="2:10">
      <c r="B1841" s="873"/>
      <c r="C1841" s="874"/>
      <c r="D1841" s="874"/>
      <c r="E1841" s="874"/>
      <c r="F1841" s="874"/>
      <c r="G1841" s="874"/>
      <c r="H1841" s="874"/>
      <c r="I1841" s="874"/>
      <c r="J1841" s="874"/>
    </row>
    <row r="1842" spans="2:10">
      <c r="B1842" s="873"/>
      <c r="C1842" s="874"/>
      <c r="D1842" s="874"/>
      <c r="E1842" s="874"/>
      <c r="F1842" s="874"/>
      <c r="G1842" s="874"/>
      <c r="H1842" s="874"/>
      <c r="I1842" s="874"/>
      <c r="J1842" s="874"/>
    </row>
    <row r="1843" spans="2:10">
      <c r="B1843" s="873"/>
      <c r="C1843" s="874"/>
      <c r="D1843" s="874"/>
      <c r="E1843" s="874"/>
      <c r="F1843" s="874"/>
      <c r="G1843" s="874"/>
      <c r="H1843" s="874"/>
      <c r="I1843" s="874"/>
      <c r="J1843" s="874"/>
    </row>
    <row r="1844" spans="2:10">
      <c r="B1844" s="873"/>
      <c r="C1844" s="874"/>
      <c r="D1844" s="874"/>
      <c r="E1844" s="874"/>
      <c r="F1844" s="874"/>
      <c r="G1844" s="874"/>
      <c r="H1844" s="874"/>
      <c r="I1844" s="874"/>
      <c r="J1844" s="874"/>
    </row>
    <row r="1845" spans="2:10">
      <c r="B1845" s="873"/>
      <c r="C1845" s="874"/>
      <c r="D1845" s="874"/>
      <c r="E1845" s="874"/>
      <c r="F1845" s="874"/>
      <c r="G1845" s="874"/>
      <c r="H1845" s="874"/>
      <c r="I1845" s="874"/>
      <c r="J1845" s="874"/>
    </row>
    <row r="1846" spans="2:10">
      <c r="B1846" s="873"/>
      <c r="C1846" s="874"/>
      <c r="D1846" s="874"/>
      <c r="E1846" s="874"/>
      <c r="F1846" s="874"/>
      <c r="G1846" s="874"/>
      <c r="H1846" s="874"/>
      <c r="I1846" s="874"/>
      <c r="J1846" s="874"/>
    </row>
    <row r="1847" spans="2:10">
      <c r="B1847" s="873"/>
      <c r="C1847" s="874"/>
      <c r="D1847" s="874"/>
      <c r="E1847" s="874"/>
      <c r="F1847" s="874"/>
      <c r="G1847" s="874"/>
      <c r="H1847" s="874"/>
      <c r="I1847" s="874"/>
      <c r="J1847" s="874"/>
    </row>
    <row r="1848" spans="2:10">
      <c r="B1848" s="873"/>
      <c r="C1848" s="874"/>
      <c r="D1848" s="874"/>
      <c r="E1848" s="874"/>
      <c r="F1848" s="874"/>
      <c r="G1848" s="874"/>
      <c r="H1848" s="874"/>
      <c r="I1848" s="874"/>
      <c r="J1848" s="874"/>
    </row>
    <row r="1849" spans="2:10">
      <c r="B1849" s="873"/>
      <c r="C1849" s="874"/>
      <c r="D1849" s="874"/>
      <c r="E1849" s="874"/>
      <c r="F1849" s="874"/>
      <c r="G1849" s="874"/>
      <c r="H1849" s="874"/>
      <c r="I1849" s="874"/>
      <c r="J1849" s="874"/>
    </row>
    <row r="1850" spans="2:10">
      <c r="B1850" s="873"/>
      <c r="C1850" s="874"/>
      <c r="D1850" s="874"/>
      <c r="E1850" s="874"/>
      <c r="F1850" s="874"/>
      <c r="G1850" s="874"/>
      <c r="H1850" s="874"/>
      <c r="I1850" s="874"/>
      <c r="J1850" s="874"/>
    </row>
    <row r="1851" spans="2:10">
      <c r="B1851" s="873"/>
      <c r="C1851" s="874"/>
      <c r="D1851" s="874"/>
      <c r="E1851" s="874"/>
      <c r="F1851" s="874"/>
      <c r="G1851" s="874"/>
      <c r="H1851" s="874"/>
      <c r="I1851" s="874"/>
      <c r="J1851" s="874"/>
    </row>
    <row r="1852" spans="2:10">
      <c r="B1852" s="873"/>
      <c r="C1852" s="874"/>
      <c r="D1852" s="874"/>
      <c r="E1852" s="874"/>
      <c r="F1852" s="874"/>
      <c r="G1852" s="874"/>
      <c r="H1852" s="874"/>
      <c r="I1852" s="874"/>
      <c r="J1852" s="874"/>
    </row>
    <row r="1853" spans="2:10">
      <c r="B1853" s="873"/>
      <c r="C1853" s="874"/>
      <c r="D1853" s="874"/>
      <c r="E1853" s="874"/>
      <c r="F1853" s="874"/>
      <c r="G1853" s="874"/>
      <c r="H1853" s="874"/>
      <c r="I1853" s="874"/>
      <c r="J1853" s="874"/>
    </row>
    <row r="1854" spans="2:10">
      <c r="B1854" s="873"/>
      <c r="C1854" s="874"/>
      <c r="D1854" s="874"/>
      <c r="E1854" s="874"/>
      <c r="F1854" s="874"/>
      <c r="G1854" s="874"/>
      <c r="H1854" s="874"/>
      <c r="I1854" s="874"/>
      <c r="J1854" s="874"/>
    </row>
    <row r="1855" spans="2:10">
      <c r="B1855" s="873"/>
      <c r="C1855" s="874"/>
      <c r="D1855" s="874"/>
      <c r="E1855" s="874"/>
      <c r="F1855" s="874"/>
      <c r="G1855" s="874"/>
      <c r="H1855" s="874"/>
      <c r="I1855" s="874"/>
      <c r="J1855" s="874"/>
    </row>
    <row r="1856" spans="2:10">
      <c r="B1856" s="873"/>
      <c r="C1856" s="874"/>
      <c r="D1856" s="874"/>
      <c r="E1856" s="874"/>
      <c r="F1856" s="874"/>
      <c r="G1856" s="874"/>
      <c r="H1856" s="874"/>
      <c r="I1856" s="874"/>
      <c r="J1856" s="874"/>
    </row>
    <row r="1857" spans="2:10">
      <c r="B1857" s="873"/>
      <c r="C1857" s="874"/>
      <c r="D1857" s="874"/>
      <c r="E1857" s="874"/>
      <c r="F1857" s="874"/>
      <c r="G1857" s="874"/>
      <c r="H1857" s="874"/>
      <c r="I1857" s="874"/>
      <c r="J1857" s="874"/>
    </row>
    <row r="1858" spans="2:10">
      <c r="B1858" s="873"/>
      <c r="C1858" s="874"/>
      <c r="D1858" s="874"/>
      <c r="E1858" s="874"/>
      <c r="F1858" s="874"/>
      <c r="G1858" s="874"/>
      <c r="H1858" s="874"/>
      <c r="I1858" s="874"/>
      <c r="J1858" s="874"/>
    </row>
    <row r="1859" spans="2:10">
      <c r="B1859" s="873"/>
      <c r="C1859" s="874"/>
      <c r="D1859" s="874"/>
      <c r="E1859" s="874"/>
      <c r="F1859" s="874"/>
      <c r="G1859" s="874"/>
      <c r="H1859" s="874"/>
      <c r="I1859" s="874"/>
      <c r="J1859" s="874"/>
    </row>
    <row r="1860" spans="2:10">
      <c r="B1860" s="873"/>
      <c r="C1860" s="874"/>
      <c r="D1860" s="874"/>
      <c r="E1860" s="874"/>
      <c r="F1860" s="874"/>
      <c r="G1860" s="874"/>
      <c r="H1860" s="874"/>
      <c r="I1860" s="874"/>
      <c r="J1860" s="874"/>
    </row>
    <row r="1861" spans="2:10">
      <c r="B1861" s="873"/>
      <c r="C1861" s="874"/>
      <c r="D1861" s="874"/>
      <c r="E1861" s="874"/>
      <c r="F1861" s="874"/>
      <c r="G1861" s="874"/>
      <c r="H1861" s="874"/>
      <c r="I1861" s="874"/>
      <c r="J1861" s="874"/>
    </row>
    <row r="1862" spans="2:10">
      <c r="B1862" s="873"/>
      <c r="C1862" s="874"/>
      <c r="D1862" s="874"/>
      <c r="E1862" s="874"/>
      <c r="F1862" s="874"/>
      <c r="G1862" s="874"/>
      <c r="H1862" s="874"/>
      <c r="I1862" s="874"/>
      <c r="J1862" s="874"/>
    </row>
    <row r="1863" spans="2:10">
      <c r="B1863" s="873"/>
      <c r="C1863" s="874"/>
      <c r="D1863" s="874"/>
      <c r="E1863" s="874"/>
      <c r="F1863" s="874"/>
      <c r="G1863" s="874"/>
      <c r="H1863" s="874"/>
      <c r="I1863" s="874"/>
      <c r="J1863" s="874"/>
    </row>
    <row r="1864" spans="2:10">
      <c r="B1864" s="873"/>
      <c r="C1864" s="874"/>
      <c r="D1864" s="874"/>
      <c r="E1864" s="874"/>
      <c r="F1864" s="874"/>
      <c r="G1864" s="874"/>
      <c r="H1864" s="874"/>
      <c r="I1864" s="874"/>
      <c r="J1864" s="874"/>
    </row>
    <row r="1865" spans="2:10">
      <c r="B1865" s="873"/>
      <c r="C1865" s="874"/>
      <c r="D1865" s="874"/>
      <c r="E1865" s="874"/>
      <c r="F1865" s="874"/>
      <c r="G1865" s="874"/>
      <c r="H1865" s="874"/>
      <c r="I1865" s="874"/>
      <c r="J1865" s="874"/>
    </row>
    <row r="1866" spans="2:10">
      <c r="B1866" s="873"/>
      <c r="C1866" s="874"/>
      <c r="D1866" s="874"/>
      <c r="E1866" s="874"/>
      <c r="F1866" s="874"/>
      <c r="G1866" s="874"/>
      <c r="H1866" s="874"/>
      <c r="I1866" s="874"/>
      <c r="J1866" s="874"/>
    </row>
    <row r="1867" spans="2:10">
      <c r="B1867" s="873"/>
      <c r="C1867" s="874"/>
      <c r="D1867" s="874"/>
      <c r="E1867" s="874"/>
      <c r="F1867" s="874"/>
      <c r="G1867" s="874"/>
      <c r="H1867" s="874"/>
      <c r="I1867" s="874"/>
      <c r="J1867" s="874"/>
    </row>
    <row r="1868" spans="2:10">
      <c r="B1868" s="873"/>
      <c r="C1868" s="874"/>
      <c r="D1868" s="874"/>
      <c r="E1868" s="874"/>
      <c r="F1868" s="874"/>
      <c r="G1868" s="874"/>
      <c r="H1868" s="874"/>
      <c r="I1868" s="874"/>
      <c r="J1868" s="874"/>
    </row>
    <row r="1869" spans="2:10">
      <c r="B1869" s="873"/>
      <c r="C1869" s="874"/>
      <c r="D1869" s="874"/>
      <c r="E1869" s="874"/>
      <c r="F1869" s="874"/>
      <c r="G1869" s="874"/>
      <c r="H1869" s="874"/>
      <c r="I1869" s="874"/>
      <c r="J1869" s="874"/>
    </row>
    <row r="1870" spans="2:10">
      <c r="B1870" s="873"/>
      <c r="C1870" s="874"/>
      <c r="D1870" s="874"/>
      <c r="E1870" s="874"/>
      <c r="F1870" s="874"/>
      <c r="G1870" s="874"/>
      <c r="H1870" s="874"/>
      <c r="I1870" s="874"/>
      <c r="J1870" s="874"/>
    </row>
    <row r="1871" spans="2:10">
      <c r="B1871" s="873"/>
      <c r="C1871" s="874"/>
      <c r="D1871" s="874"/>
      <c r="E1871" s="874"/>
      <c r="F1871" s="874"/>
      <c r="G1871" s="874"/>
      <c r="H1871" s="874"/>
      <c r="I1871" s="874"/>
      <c r="J1871" s="874"/>
    </row>
    <row r="1872" spans="2:10">
      <c r="B1872" s="873"/>
      <c r="C1872" s="874"/>
      <c r="D1872" s="874"/>
      <c r="E1872" s="874"/>
      <c r="F1872" s="874"/>
      <c r="G1872" s="874"/>
      <c r="H1872" s="874"/>
      <c r="I1872" s="874"/>
      <c r="J1872" s="874"/>
    </row>
    <row r="1873" spans="2:10">
      <c r="B1873" s="873"/>
      <c r="C1873" s="874"/>
      <c r="D1873" s="874"/>
      <c r="E1873" s="874"/>
      <c r="F1873" s="874"/>
      <c r="G1873" s="874"/>
      <c r="H1873" s="874"/>
      <c r="I1873" s="874"/>
      <c r="J1873" s="874"/>
    </row>
    <row r="1874" spans="2:10">
      <c r="B1874" s="873"/>
      <c r="C1874" s="874"/>
      <c r="D1874" s="874"/>
      <c r="E1874" s="874"/>
      <c r="F1874" s="874"/>
      <c r="G1874" s="874"/>
      <c r="H1874" s="874"/>
      <c r="I1874" s="874"/>
      <c r="J1874" s="874"/>
    </row>
    <row r="1875" spans="2:10">
      <c r="B1875" s="873"/>
      <c r="C1875" s="874"/>
      <c r="D1875" s="874"/>
      <c r="E1875" s="874"/>
      <c r="F1875" s="874"/>
      <c r="G1875" s="874"/>
      <c r="H1875" s="874"/>
      <c r="I1875" s="874"/>
      <c r="J1875" s="874"/>
    </row>
    <row r="1876" spans="2:10">
      <c r="B1876" s="873"/>
      <c r="C1876" s="874"/>
      <c r="D1876" s="874"/>
      <c r="E1876" s="874"/>
      <c r="F1876" s="874"/>
      <c r="G1876" s="874"/>
      <c r="H1876" s="874"/>
      <c r="I1876" s="874"/>
      <c r="J1876" s="874"/>
    </row>
    <row r="1877" spans="2:10">
      <c r="B1877" s="873"/>
      <c r="C1877" s="874"/>
      <c r="D1877" s="874"/>
      <c r="E1877" s="874"/>
      <c r="F1877" s="874"/>
      <c r="G1877" s="874"/>
      <c r="H1877" s="874"/>
      <c r="I1877" s="874"/>
      <c r="J1877" s="874"/>
    </row>
    <row r="1878" spans="2:10">
      <c r="B1878" s="873"/>
      <c r="C1878" s="874"/>
      <c r="D1878" s="874"/>
      <c r="E1878" s="874"/>
      <c r="F1878" s="874"/>
      <c r="G1878" s="874"/>
      <c r="H1878" s="874"/>
      <c r="I1878" s="874"/>
      <c r="J1878" s="874"/>
    </row>
    <row r="1879" spans="2:10">
      <c r="B1879" s="873"/>
      <c r="C1879" s="874"/>
      <c r="D1879" s="874"/>
      <c r="E1879" s="874"/>
      <c r="F1879" s="874"/>
      <c r="G1879" s="874"/>
      <c r="H1879" s="874"/>
      <c r="I1879" s="874"/>
      <c r="J1879" s="874"/>
    </row>
    <row r="1880" spans="2:10">
      <c r="B1880" s="873"/>
      <c r="C1880" s="874"/>
      <c r="D1880" s="874"/>
      <c r="E1880" s="874"/>
      <c r="F1880" s="874"/>
      <c r="G1880" s="874"/>
      <c r="H1880" s="874"/>
      <c r="I1880" s="874"/>
      <c r="J1880" s="874"/>
    </row>
    <row r="1881" spans="2:10">
      <c r="B1881" s="873"/>
      <c r="C1881" s="874"/>
      <c r="D1881" s="874"/>
      <c r="E1881" s="874"/>
      <c r="F1881" s="874"/>
      <c r="G1881" s="874"/>
      <c r="H1881" s="874"/>
      <c r="I1881" s="874"/>
      <c r="J1881" s="874"/>
    </row>
    <row r="1882" spans="2:10">
      <c r="B1882" s="873"/>
      <c r="C1882" s="874"/>
      <c r="D1882" s="874"/>
      <c r="E1882" s="874"/>
      <c r="F1882" s="874"/>
      <c r="G1882" s="874"/>
      <c r="H1882" s="874"/>
      <c r="I1882" s="874"/>
      <c r="J1882" s="874"/>
    </row>
    <row r="1883" spans="2:10">
      <c r="B1883" s="873"/>
      <c r="C1883" s="874"/>
      <c r="D1883" s="874"/>
      <c r="E1883" s="874"/>
      <c r="F1883" s="874"/>
      <c r="G1883" s="874"/>
      <c r="H1883" s="874"/>
      <c r="I1883" s="874"/>
      <c r="J1883" s="874"/>
    </row>
    <row r="1884" spans="2:10">
      <c r="B1884" s="873"/>
      <c r="C1884" s="874"/>
      <c r="D1884" s="874"/>
      <c r="E1884" s="874"/>
      <c r="F1884" s="874"/>
      <c r="G1884" s="874"/>
      <c r="H1884" s="874"/>
      <c r="I1884" s="874"/>
      <c r="J1884" s="874"/>
    </row>
    <row r="1885" spans="2:10">
      <c r="B1885" s="873"/>
      <c r="C1885" s="874"/>
      <c r="D1885" s="874"/>
      <c r="E1885" s="874"/>
      <c r="F1885" s="874"/>
      <c r="G1885" s="874"/>
      <c r="H1885" s="874"/>
      <c r="I1885" s="874"/>
      <c r="J1885" s="874"/>
    </row>
    <row r="1886" spans="2:10">
      <c r="B1886" s="873"/>
      <c r="C1886" s="874"/>
      <c r="D1886" s="874"/>
      <c r="E1886" s="874"/>
      <c r="F1886" s="874"/>
      <c r="G1886" s="874"/>
      <c r="H1886" s="874"/>
      <c r="I1886" s="874"/>
      <c r="J1886" s="874"/>
    </row>
    <row r="1887" spans="2:10">
      <c r="B1887" s="873"/>
      <c r="C1887" s="874"/>
      <c r="D1887" s="874"/>
      <c r="E1887" s="874"/>
      <c r="F1887" s="874"/>
      <c r="G1887" s="874"/>
      <c r="H1887" s="874"/>
      <c r="I1887" s="874"/>
      <c r="J1887" s="874"/>
    </row>
    <row r="1888" spans="2:10">
      <c r="B1888" s="873"/>
      <c r="C1888" s="874"/>
      <c r="D1888" s="874"/>
      <c r="E1888" s="874"/>
      <c r="F1888" s="874"/>
      <c r="G1888" s="874"/>
      <c r="H1888" s="874"/>
      <c r="I1888" s="874"/>
      <c r="J1888" s="874"/>
    </row>
    <row r="1889" spans="2:10">
      <c r="B1889" s="873"/>
      <c r="C1889" s="874"/>
      <c r="D1889" s="874"/>
      <c r="E1889" s="874"/>
      <c r="F1889" s="874"/>
      <c r="G1889" s="874"/>
      <c r="H1889" s="874"/>
      <c r="I1889" s="874"/>
      <c r="J1889" s="874"/>
    </row>
    <row r="1890" spans="2:10">
      <c r="B1890" s="873"/>
      <c r="C1890" s="874"/>
      <c r="D1890" s="874"/>
      <c r="E1890" s="874"/>
      <c r="F1890" s="874"/>
      <c r="G1890" s="874"/>
      <c r="H1890" s="874"/>
      <c r="I1890" s="874"/>
      <c r="J1890" s="874"/>
    </row>
    <row r="1891" spans="2:10">
      <c r="B1891" s="873"/>
      <c r="C1891" s="874"/>
      <c r="D1891" s="874"/>
      <c r="E1891" s="874"/>
      <c r="F1891" s="874"/>
      <c r="G1891" s="874"/>
      <c r="H1891" s="874"/>
      <c r="I1891" s="874"/>
      <c r="J1891" s="874"/>
    </row>
    <row r="1892" spans="2:10">
      <c r="B1892" s="873"/>
      <c r="C1892" s="874"/>
      <c r="D1892" s="874"/>
      <c r="E1892" s="874"/>
      <c r="F1892" s="874"/>
      <c r="G1892" s="874"/>
      <c r="H1892" s="874"/>
      <c r="I1892" s="874"/>
      <c r="J1892" s="874"/>
    </row>
    <row r="1893" spans="2:10">
      <c r="B1893" s="873"/>
      <c r="C1893" s="874"/>
      <c r="D1893" s="874"/>
      <c r="E1893" s="874"/>
      <c r="F1893" s="874"/>
      <c r="G1893" s="874"/>
      <c r="H1893" s="874"/>
      <c r="I1893" s="874"/>
      <c r="J1893" s="874"/>
    </row>
    <row r="1894" spans="2:10">
      <c r="B1894" s="873"/>
      <c r="C1894" s="874"/>
      <c r="D1894" s="874"/>
      <c r="E1894" s="874"/>
      <c r="F1894" s="874"/>
      <c r="G1894" s="874"/>
      <c r="H1894" s="874"/>
      <c r="I1894" s="874"/>
      <c r="J1894" s="874"/>
    </row>
    <row r="1895" spans="2:10">
      <c r="B1895" s="873"/>
      <c r="C1895" s="874"/>
      <c r="D1895" s="874"/>
      <c r="E1895" s="874"/>
      <c r="F1895" s="874"/>
      <c r="G1895" s="874"/>
      <c r="H1895" s="874"/>
      <c r="I1895" s="874"/>
      <c r="J1895" s="874"/>
    </row>
    <row r="1896" spans="2:10">
      <c r="B1896" s="873"/>
      <c r="C1896" s="874"/>
      <c r="D1896" s="874"/>
      <c r="E1896" s="874"/>
      <c r="F1896" s="874"/>
      <c r="G1896" s="874"/>
      <c r="H1896" s="874"/>
      <c r="I1896" s="874"/>
      <c r="J1896" s="874"/>
    </row>
    <row r="1897" spans="2:10">
      <c r="B1897" s="873"/>
      <c r="C1897" s="874"/>
      <c r="D1897" s="874"/>
      <c r="E1897" s="874"/>
      <c r="F1897" s="874"/>
      <c r="G1897" s="874"/>
      <c r="H1897" s="874"/>
      <c r="I1897" s="874"/>
      <c r="J1897" s="874"/>
    </row>
    <row r="1898" spans="2:10">
      <c r="B1898" s="873"/>
      <c r="C1898" s="874"/>
      <c r="D1898" s="874"/>
      <c r="E1898" s="874"/>
      <c r="F1898" s="874"/>
      <c r="G1898" s="874"/>
      <c r="H1898" s="874"/>
      <c r="I1898" s="874"/>
      <c r="J1898" s="874"/>
    </row>
    <row r="1899" spans="2:10">
      <c r="B1899" s="873"/>
      <c r="C1899" s="874"/>
      <c r="D1899" s="874"/>
      <c r="E1899" s="874"/>
      <c r="F1899" s="874"/>
      <c r="G1899" s="874"/>
      <c r="H1899" s="874"/>
      <c r="I1899" s="874"/>
      <c r="J1899" s="874"/>
    </row>
    <row r="1900" spans="2:10">
      <c r="B1900" s="873"/>
      <c r="C1900" s="874"/>
      <c r="D1900" s="874"/>
      <c r="E1900" s="874"/>
      <c r="F1900" s="874"/>
      <c r="G1900" s="874"/>
      <c r="H1900" s="874"/>
      <c r="I1900" s="874"/>
      <c r="J1900" s="874"/>
    </row>
    <row r="1901" spans="2:10">
      <c r="B1901" s="873"/>
      <c r="C1901" s="874"/>
      <c r="D1901" s="874"/>
      <c r="E1901" s="874"/>
      <c r="F1901" s="874"/>
      <c r="G1901" s="874"/>
      <c r="H1901" s="874"/>
      <c r="I1901" s="874"/>
      <c r="J1901" s="874"/>
    </row>
    <row r="1902" spans="2:10">
      <c r="B1902" s="873"/>
      <c r="C1902" s="874"/>
      <c r="D1902" s="874"/>
      <c r="E1902" s="874"/>
      <c r="F1902" s="874"/>
      <c r="G1902" s="874"/>
      <c r="H1902" s="874"/>
      <c r="I1902" s="874"/>
      <c r="J1902" s="874"/>
    </row>
    <row r="1903" spans="2:10">
      <c r="B1903" s="873"/>
      <c r="C1903" s="874"/>
      <c r="D1903" s="874"/>
      <c r="E1903" s="874"/>
      <c r="F1903" s="874"/>
      <c r="G1903" s="874"/>
      <c r="H1903" s="874"/>
      <c r="I1903" s="874"/>
      <c r="J1903" s="874"/>
    </row>
    <row r="1904" spans="2:10">
      <c r="B1904" s="873"/>
      <c r="C1904" s="874"/>
      <c r="D1904" s="874"/>
      <c r="E1904" s="874"/>
      <c r="F1904" s="874"/>
      <c r="G1904" s="874"/>
      <c r="H1904" s="874"/>
      <c r="I1904" s="874"/>
      <c r="J1904" s="874"/>
    </row>
    <row r="1905" spans="2:10">
      <c r="B1905" s="873"/>
      <c r="C1905" s="874"/>
      <c r="D1905" s="874"/>
      <c r="E1905" s="874"/>
      <c r="F1905" s="874"/>
      <c r="G1905" s="874"/>
      <c r="H1905" s="874"/>
      <c r="I1905" s="874"/>
      <c r="J1905" s="874"/>
    </row>
    <row r="1906" spans="2:10">
      <c r="B1906" s="873"/>
      <c r="C1906" s="874"/>
      <c r="D1906" s="874"/>
      <c r="E1906" s="874"/>
      <c r="F1906" s="874"/>
      <c r="G1906" s="874"/>
      <c r="H1906" s="874"/>
      <c r="I1906" s="874"/>
      <c r="J1906" s="874"/>
    </row>
    <row r="1907" spans="2:10">
      <c r="B1907" s="873"/>
      <c r="C1907" s="874"/>
      <c r="D1907" s="874"/>
      <c r="E1907" s="874"/>
      <c r="F1907" s="874"/>
      <c r="G1907" s="874"/>
      <c r="H1907" s="874"/>
      <c r="I1907" s="874"/>
      <c r="J1907" s="874"/>
    </row>
    <row r="1908" spans="2:10">
      <c r="B1908" s="873"/>
      <c r="C1908" s="874"/>
      <c r="D1908" s="874"/>
      <c r="E1908" s="874"/>
      <c r="F1908" s="874"/>
      <c r="G1908" s="874"/>
      <c r="H1908" s="874"/>
      <c r="I1908" s="874"/>
      <c r="J1908" s="874"/>
    </row>
    <row r="1909" spans="2:10">
      <c r="B1909" s="873"/>
      <c r="C1909" s="874"/>
      <c r="D1909" s="874"/>
      <c r="E1909" s="874"/>
      <c r="F1909" s="874"/>
      <c r="G1909" s="874"/>
      <c r="H1909" s="874"/>
      <c r="I1909" s="874"/>
      <c r="J1909" s="874"/>
    </row>
    <row r="1910" spans="2:10">
      <c r="B1910" s="873"/>
      <c r="C1910" s="874"/>
      <c r="D1910" s="874"/>
      <c r="E1910" s="874"/>
      <c r="F1910" s="874"/>
      <c r="G1910" s="874"/>
      <c r="H1910" s="874"/>
      <c r="I1910" s="874"/>
      <c r="J1910" s="874"/>
    </row>
    <row r="1911" spans="2:10">
      <c r="B1911" s="873"/>
      <c r="C1911" s="874"/>
      <c r="D1911" s="874"/>
      <c r="E1911" s="874"/>
      <c r="F1911" s="874"/>
      <c r="G1911" s="874"/>
      <c r="H1911" s="874"/>
      <c r="I1911" s="874"/>
      <c r="J1911" s="874"/>
    </row>
    <row r="1912" spans="2:10">
      <c r="B1912" s="873"/>
      <c r="C1912" s="874"/>
      <c r="D1912" s="874"/>
      <c r="E1912" s="874"/>
      <c r="F1912" s="874"/>
      <c r="G1912" s="874"/>
      <c r="H1912" s="874"/>
      <c r="I1912" s="874"/>
      <c r="J1912" s="874"/>
    </row>
    <row r="1913" spans="2:10">
      <c r="B1913" s="873"/>
      <c r="C1913" s="874"/>
      <c r="D1913" s="874"/>
      <c r="E1913" s="874"/>
      <c r="F1913" s="874"/>
      <c r="G1913" s="874"/>
      <c r="H1913" s="874"/>
      <c r="I1913" s="874"/>
      <c r="J1913" s="874"/>
    </row>
    <row r="1914" spans="2:10">
      <c r="B1914" s="873"/>
      <c r="C1914" s="874"/>
      <c r="D1914" s="874"/>
      <c r="E1914" s="874"/>
      <c r="F1914" s="874"/>
      <c r="G1914" s="874"/>
      <c r="H1914" s="874"/>
      <c r="I1914" s="874"/>
      <c r="J1914" s="874"/>
    </row>
    <row r="1915" spans="2:10">
      <c r="B1915" s="873"/>
      <c r="C1915" s="874"/>
      <c r="D1915" s="874"/>
      <c r="E1915" s="874"/>
      <c r="F1915" s="874"/>
      <c r="G1915" s="874"/>
      <c r="H1915" s="874"/>
      <c r="I1915" s="874"/>
      <c r="J1915" s="874"/>
    </row>
    <row r="1916" spans="2:10">
      <c r="B1916" s="873"/>
      <c r="C1916" s="874"/>
      <c r="D1916" s="874"/>
      <c r="E1916" s="874"/>
      <c r="F1916" s="874"/>
      <c r="G1916" s="874"/>
      <c r="H1916" s="874"/>
      <c r="I1916" s="874"/>
      <c r="J1916" s="874"/>
    </row>
    <row r="1917" spans="2:10">
      <c r="B1917" s="873"/>
      <c r="C1917" s="874"/>
      <c r="D1917" s="874"/>
      <c r="E1917" s="874"/>
      <c r="F1917" s="874"/>
      <c r="G1917" s="874"/>
      <c r="H1917" s="874"/>
      <c r="I1917" s="874"/>
      <c r="J1917" s="874"/>
    </row>
    <row r="1918" spans="2:10">
      <c r="B1918" s="873"/>
      <c r="C1918" s="874"/>
      <c r="D1918" s="874"/>
      <c r="E1918" s="874"/>
      <c r="F1918" s="874"/>
      <c r="G1918" s="874"/>
      <c r="H1918" s="874"/>
      <c r="I1918" s="874"/>
      <c r="J1918" s="874"/>
    </row>
    <row r="1919" spans="2:10">
      <c r="B1919" s="873"/>
      <c r="C1919" s="874"/>
      <c r="D1919" s="874"/>
      <c r="E1919" s="874"/>
      <c r="F1919" s="874"/>
      <c r="G1919" s="874"/>
      <c r="H1919" s="874"/>
      <c r="I1919" s="874"/>
      <c r="J1919" s="874"/>
    </row>
    <row r="1920" spans="2:10">
      <c r="B1920" s="873"/>
      <c r="C1920" s="874"/>
      <c r="D1920" s="874"/>
      <c r="E1920" s="874"/>
      <c r="F1920" s="874"/>
      <c r="G1920" s="874"/>
      <c r="H1920" s="874"/>
      <c r="I1920" s="874"/>
      <c r="J1920" s="874"/>
    </row>
    <row r="1921" spans="2:10">
      <c r="B1921" s="873"/>
      <c r="C1921" s="874"/>
      <c r="D1921" s="874"/>
      <c r="E1921" s="874"/>
      <c r="F1921" s="874"/>
      <c r="G1921" s="874"/>
      <c r="H1921" s="874"/>
      <c r="I1921" s="874"/>
      <c r="J1921" s="874"/>
    </row>
    <row r="1922" spans="2:10">
      <c r="B1922" s="873"/>
      <c r="C1922" s="874"/>
      <c r="D1922" s="874"/>
      <c r="E1922" s="874"/>
      <c r="F1922" s="874"/>
      <c r="G1922" s="874"/>
      <c r="H1922" s="874"/>
      <c r="I1922" s="874"/>
      <c r="J1922" s="874"/>
    </row>
    <row r="1923" spans="2:10">
      <c r="B1923" s="873"/>
      <c r="C1923" s="874"/>
      <c r="D1923" s="874"/>
      <c r="E1923" s="874"/>
      <c r="F1923" s="874"/>
      <c r="G1923" s="874"/>
      <c r="H1923" s="874"/>
      <c r="I1923" s="874"/>
      <c r="J1923" s="874"/>
    </row>
    <row r="1924" spans="2:10">
      <c r="B1924" s="873"/>
      <c r="C1924" s="874"/>
      <c r="D1924" s="874"/>
      <c r="E1924" s="874"/>
      <c r="F1924" s="874"/>
      <c r="G1924" s="874"/>
      <c r="H1924" s="874"/>
      <c r="I1924" s="874"/>
      <c r="J1924" s="874"/>
    </row>
    <row r="1925" spans="2:10">
      <c r="B1925" s="873"/>
      <c r="C1925" s="874"/>
      <c r="D1925" s="874"/>
      <c r="E1925" s="874"/>
      <c r="F1925" s="874"/>
      <c r="G1925" s="874"/>
      <c r="H1925" s="874"/>
      <c r="I1925" s="874"/>
      <c r="J1925" s="874"/>
    </row>
    <row r="1926" spans="2:10">
      <c r="B1926" s="873"/>
      <c r="C1926" s="874"/>
      <c r="D1926" s="874"/>
      <c r="E1926" s="874"/>
      <c r="F1926" s="874"/>
      <c r="G1926" s="874"/>
      <c r="H1926" s="874"/>
      <c r="I1926" s="874"/>
      <c r="J1926" s="874"/>
    </row>
    <row r="1927" spans="2:10">
      <c r="B1927" s="873"/>
      <c r="C1927" s="874"/>
      <c r="D1927" s="874"/>
      <c r="E1927" s="874"/>
      <c r="F1927" s="874"/>
      <c r="G1927" s="874"/>
      <c r="H1927" s="874"/>
      <c r="I1927" s="874"/>
      <c r="J1927" s="874"/>
    </row>
    <row r="1928" spans="2:10">
      <c r="B1928" s="873"/>
      <c r="C1928" s="874"/>
      <c r="D1928" s="874"/>
      <c r="E1928" s="874"/>
      <c r="F1928" s="874"/>
      <c r="G1928" s="874"/>
      <c r="H1928" s="874"/>
      <c r="I1928" s="874"/>
      <c r="J1928" s="874"/>
    </row>
    <row r="1929" spans="2:10">
      <c r="B1929" s="873"/>
      <c r="C1929" s="874"/>
      <c r="D1929" s="874"/>
      <c r="E1929" s="874"/>
      <c r="F1929" s="874"/>
      <c r="G1929" s="874"/>
      <c r="H1929" s="874"/>
      <c r="I1929" s="874"/>
      <c r="J1929" s="874"/>
    </row>
    <row r="1930" spans="2:10">
      <c r="B1930" s="873"/>
      <c r="C1930" s="874"/>
      <c r="D1930" s="874"/>
      <c r="E1930" s="874"/>
      <c r="F1930" s="874"/>
      <c r="G1930" s="874"/>
      <c r="H1930" s="874"/>
      <c r="I1930" s="874"/>
      <c r="J1930" s="874"/>
    </row>
    <row r="1931" spans="2:10">
      <c r="B1931" s="873"/>
      <c r="C1931" s="874"/>
      <c r="D1931" s="874"/>
      <c r="E1931" s="874"/>
      <c r="F1931" s="874"/>
      <c r="G1931" s="874"/>
      <c r="H1931" s="874"/>
      <c r="I1931" s="874"/>
      <c r="J1931" s="874"/>
    </row>
    <row r="1932" spans="2:10">
      <c r="B1932" s="873"/>
      <c r="C1932" s="874"/>
      <c r="D1932" s="874"/>
      <c r="E1932" s="874"/>
      <c r="F1932" s="874"/>
      <c r="G1932" s="874"/>
      <c r="H1932" s="874"/>
      <c r="I1932" s="874"/>
      <c r="J1932" s="874"/>
    </row>
    <row r="1933" spans="2:10">
      <c r="B1933" s="873"/>
      <c r="C1933" s="874"/>
      <c r="D1933" s="874"/>
      <c r="E1933" s="874"/>
      <c r="F1933" s="874"/>
      <c r="G1933" s="874"/>
      <c r="H1933" s="874"/>
      <c r="I1933" s="874"/>
      <c r="J1933" s="874"/>
    </row>
    <row r="1934" spans="2:10">
      <c r="B1934" s="873"/>
      <c r="C1934" s="874"/>
      <c r="D1934" s="874"/>
      <c r="E1934" s="874"/>
      <c r="F1934" s="874"/>
      <c r="G1934" s="874"/>
      <c r="H1934" s="874"/>
      <c r="I1934" s="874"/>
      <c r="J1934" s="874"/>
    </row>
    <row r="1935" spans="2:10">
      <c r="B1935" s="873"/>
      <c r="C1935" s="874"/>
      <c r="D1935" s="874"/>
      <c r="E1935" s="874"/>
      <c r="F1935" s="874"/>
      <c r="G1935" s="874"/>
      <c r="H1935" s="874"/>
      <c r="I1935" s="874"/>
      <c r="J1935" s="874"/>
    </row>
    <row r="1936" spans="2:10">
      <c r="B1936" s="873"/>
      <c r="C1936" s="874"/>
      <c r="D1936" s="874"/>
      <c r="E1936" s="874"/>
      <c r="F1936" s="874"/>
      <c r="G1936" s="874"/>
      <c r="H1936" s="874"/>
      <c r="I1936" s="874"/>
      <c r="J1936" s="874"/>
    </row>
    <row r="1937" spans="2:10">
      <c r="B1937" s="873"/>
      <c r="C1937" s="874"/>
      <c r="D1937" s="874"/>
      <c r="E1937" s="874"/>
      <c r="F1937" s="874"/>
      <c r="G1937" s="874"/>
      <c r="H1937" s="874"/>
      <c r="I1937" s="874"/>
      <c r="J1937" s="874"/>
    </row>
    <row r="1938" spans="2:10">
      <c r="B1938" s="873"/>
      <c r="C1938" s="874"/>
      <c r="D1938" s="874"/>
      <c r="E1938" s="874"/>
      <c r="F1938" s="874"/>
      <c r="G1938" s="874"/>
      <c r="H1938" s="874"/>
      <c r="I1938" s="874"/>
      <c r="J1938" s="874"/>
    </row>
    <row r="1939" spans="2:10">
      <c r="B1939" s="873"/>
      <c r="C1939" s="874"/>
      <c r="D1939" s="874"/>
      <c r="E1939" s="874"/>
      <c r="F1939" s="874"/>
      <c r="G1939" s="874"/>
      <c r="H1939" s="874"/>
      <c r="I1939" s="874"/>
      <c r="J1939" s="874"/>
    </row>
    <row r="1940" spans="2:10">
      <c r="B1940" s="873"/>
      <c r="C1940" s="874"/>
      <c r="D1940" s="874"/>
      <c r="E1940" s="874"/>
      <c r="F1940" s="874"/>
      <c r="G1940" s="874"/>
      <c r="H1940" s="874"/>
      <c r="I1940" s="874"/>
      <c r="J1940" s="874"/>
    </row>
    <row r="1941" spans="2:10">
      <c r="B1941" s="873"/>
      <c r="C1941" s="874"/>
      <c r="D1941" s="874"/>
      <c r="E1941" s="874"/>
      <c r="F1941" s="874"/>
      <c r="G1941" s="874"/>
      <c r="H1941" s="874"/>
      <c r="I1941" s="874"/>
      <c r="J1941" s="874"/>
    </row>
    <row r="1942" spans="2:10">
      <c r="B1942" s="873"/>
      <c r="C1942" s="874"/>
      <c r="D1942" s="874"/>
      <c r="E1942" s="874"/>
      <c r="F1942" s="874"/>
      <c r="G1942" s="874"/>
      <c r="H1942" s="874"/>
      <c r="I1942" s="874"/>
      <c r="J1942" s="874"/>
    </row>
    <row r="1943" spans="2:10">
      <c r="B1943" s="873"/>
      <c r="C1943" s="874"/>
      <c r="D1943" s="874"/>
      <c r="E1943" s="874"/>
      <c r="F1943" s="874"/>
      <c r="G1943" s="874"/>
      <c r="H1943" s="874"/>
      <c r="I1943" s="874"/>
      <c r="J1943" s="874"/>
    </row>
    <row r="1944" spans="2:10">
      <c r="B1944" s="873"/>
      <c r="C1944" s="874"/>
      <c r="D1944" s="874"/>
      <c r="E1944" s="874"/>
      <c r="F1944" s="874"/>
      <c r="G1944" s="874"/>
      <c r="H1944" s="874"/>
      <c r="I1944" s="874"/>
      <c r="J1944" s="874"/>
    </row>
    <row r="1945" spans="2:10">
      <c r="B1945" s="873"/>
      <c r="C1945" s="874"/>
      <c r="D1945" s="874"/>
      <c r="E1945" s="874"/>
      <c r="F1945" s="874"/>
      <c r="G1945" s="874"/>
      <c r="H1945" s="874"/>
      <c r="I1945" s="874"/>
      <c r="J1945" s="874"/>
    </row>
    <row r="1946" spans="2:10">
      <c r="B1946" s="873"/>
      <c r="C1946" s="874"/>
      <c r="D1946" s="874"/>
      <c r="E1946" s="874"/>
      <c r="F1946" s="874"/>
      <c r="G1946" s="874"/>
      <c r="H1946" s="874"/>
      <c r="I1946" s="874"/>
      <c r="J1946" s="874"/>
    </row>
    <row r="1947" spans="2:10">
      <c r="B1947" s="873"/>
      <c r="C1947" s="874"/>
      <c r="D1947" s="874"/>
      <c r="E1947" s="874"/>
      <c r="F1947" s="874"/>
      <c r="G1947" s="874"/>
      <c r="H1947" s="874"/>
      <c r="I1947" s="874"/>
      <c r="J1947" s="874"/>
    </row>
    <row r="1948" spans="2:10">
      <c r="B1948" s="873"/>
      <c r="C1948" s="874"/>
      <c r="D1948" s="874"/>
      <c r="E1948" s="874"/>
      <c r="F1948" s="874"/>
      <c r="G1948" s="874"/>
      <c r="H1948" s="874"/>
      <c r="I1948" s="874"/>
      <c r="J1948" s="874"/>
    </row>
    <row r="1949" spans="2:10">
      <c r="B1949" s="873"/>
      <c r="C1949" s="874"/>
      <c r="D1949" s="874"/>
      <c r="E1949" s="874"/>
      <c r="F1949" s="874"/>
      <c r="G1949" s="874"/>
      <c r="H1949" s="874"/>
      <c r="I1949" s="874"/>
      <c r="J1949" s="874"/>
    </row>
    <row r="1950" spans="2:10">
      <c r="B1950" s="873"/>
      <c r="C1950" s="874"/>
      <c r="D1950" s="874"/>
      <c r="E1950" s="874"/>
      <c r="F1950" s="874"/>
      <c r="G1950" s="874"/>
      <c r="H1950" s="874"/>
      <c r="I1950" s="874"/>
      <c r="J1950" s="874"/>
    </row>
    <row r="1951" spans="2:10">
      <c r="B1951" s="873"/>
      <c r="C1951" s="874"/>
      <c r="D1951" s="874"/>
      <c r="E1951" s="874"/>
      <c r="F1951" s="874"/>
      <c r="G1951" s="874"/>
      <c r="H1951" s="874"/>
      <c r="I1951" s="874"/>
      <c r="J1951" s="874"/>
    </row>
    <row r="1952" spans="2:10">
      <c r="B1952" s="873"/>
      <c r="C1952" s="874"/>
      <c r="D1952" s="874"/>
      <c r="E1952" s="874"/>
      <c r="F1952" s="874"/>
      <c r="G1952" s="874"/>
      <c r="H1952" s="874"/>
      <c r="I1952" s="874"/>
      <c r="J1952" s="874"/>
    </row>
    <row r="1953" spans="2:10">
      <c r="B1953" s="873"/>
      <c r="C1953" s="874"/>
      <c r="D1953" s="874"/>
      <c r="E1953" s="874"/>
      <c r="F1953" s="874"/>
      <c r="G1953" s="874"/>
      <c r="H1953" s="874"/>
      <c r="I1953" s="874"/>
      <c r="J1953" s="874"/>
    </row>
    <row r="1954" spans="2:10">
      <c r="B1954" s="873"/>
      <c r="C1954" s="874"/>
      <c r="D1954" s="874"/>
      <c r="E1954" s="874"/>
      <c r="F1954" s="874"/>
      <c r="G1954" s="874"/>
      <c r="H1954" s="874"/>
      <c r="I1954" s="874"/>
      <c r="J1954" s="874"/>
    </row>
    <row r="1955" spans="2:10">
      <c r="B1955" s="873"/>
      <c r="C1955" s="874"/>
      <c r="D1955" s="874"/>
      <c r="E1955" s="874"/>
      <c r="F1955" s="874"/>
      <c r="G1955" s="874"/>
      <c r="H1955" s="874"/>
      <c r="I1955" s="874"/>
      <c r="J1955" s="874"/>
    </row>
    <row r="1956" spans="2:10">
      <c r="B1956" s="873"/>
      <c r="C1956" s="874"/>
      <c r="D1956" s="874"/>
      <c r="E1956" s="874"/>
      <c r="F1956" s="874"/>
      <c r="G1956" s="874"/>
      <c r="H1956" s="874"/>
      <c r="I1956" s="874"/>
      <c r="J1956" s="874"/>
    </row>
    <row r="1957" spans="2:10">
      <c r="B1957" s="873"/>
      <c r="C1957" s="874"/>
      <c r="D1957" s="874"/>
      <c r="E1957" s="874"/>
      <c r="F1957" s="874"/>
      <c r="G1957" s="874"/>
      <c r="H1957" s="874"/>
      <c r="I1957" s="874"/>
      <c r="J1957" s="874"/>
    </row>
    <row r="1958" spans="2:10">
      <c r="B1958" s="873"/>
      <c r="C1958" s="874"/>
      <c r="D1958" s="874"/>
      <c r="E1958" s="874"/>
      <c r="F1958" s="874"/>
      <c r="G1958" s="874"/>
      <c r="H1958" s="874"/>
      <c r="I1958" s="874"/>
      <c r="J1958" s="874"/>
    </row>
    <row r="1959" spans="2:10">
      <c r="B1959" s="873"/>
      <c r="C1959" s="874"/>
      <c r="D1959" s="874"/>
      <c r="E1959" s="874"/>
      <c r="F1959" s="874"/>
      <c r="G1959" s="874"/>
      <c r="H1959" s="874"/>
      <c r="I1959" s="874"/>
      <c r="J1959" s="874"/>
    </row>
    <row r="1960" spans="2:10">
      <c r="B1960" s="873"/>
      <c r="C1960" s="874"/>
      <c r="D1960" s="874"/>
      <c r="E1960" s="874"/>
      <c r="F1960" s="874"/>
      <c r="G1960" s="874"/>
      <c r="H1960" s="874"/>
      <c r="I1960" s="874"/>
      <c r="J1960" s="874"/>
    </row>
    <row r="1961" spans="2:10">
      <c r="B1961" s="873"/>
      <c r="C1961" s="874"/>
      <c r="D1961" s="874"/>
      <c r="E1961" s="874"/>
      <c r="F1961" s="874"/>
      <c r="G1961" s="874"/>
      <c r="H1961" s="874"/>
      <c r="I1961" s="874"/>
      <c r="J1961" s="874"/>
    </row>
    <row r="1962" spans="2:10">
      <c r="B1962" s="873"/>
      <c r="C1962" s="874"/>
      <c r="D1962" s="874"/>
      <c r="E1962" s="874"/>
      <c r="F1962" s="874"/>
      <c r="G1962" s="874"/>
      <c r="H1962" s="874"/>
      <c r="I1962" s="874"/>
      <c r="J1962" s="874"/>
    </row>
    <row r="1963" spans="2:10">
      <c r="B1963" s="873"/>
      <c r="C1963" s="874"/>
      <c r="D1963" s="874"/>
      <c r="E1963" s="874"/>
      <c r="F1963" s="874"/>
      <c r="G1963" s="874"/>
      <c r="H1963" s="874"/>
      <c r="I1963" s="874"/>
      <c r="J1963" s="874"/>
    </row>
    <row r="1964" spans="2:10">
      <c r="B1964" s="873"/>
      <c r="C1964" s="874"/>
      <c r="D1964" s="874"/>
      <c r="E1964" s="874"/>
      <c r="F1964" s="874"/>
      <c r="G1964" s="874"/>
      <c r="H1964" s="874"/>
      <c r="I1964" s="874"/>
      <c r="J1964" s="874"/>
    </row>
    <row r="1965" spans="2:10">
      <c r="B1965" s="873"/>
      <c r="C1965" s="874"/>
      <c r="D1965" s="874"/>
      <c r="E1965" s="874"/>
      <c r="F1965" s="874"/>
      <c r="G1965" s="874"/>
      <c r="H1965" s="874"/>
      <c r="I1965" s="874"/>
      <c r="J1965" s="874"/>
    </row>
    <row r="1966" spans="2:10">
      <c r="B1966" s="873"/>
      <c r="C1966" s="874"/>
      <c r="D1966" s="874"/>
      <c r="E1966" s="874"/>
      <c r="F1966" s="874"/>
      <c r="G1966" s="874"/>
      <c r="H1966" s="874"/>
      <c r="I1966" s="874"/>
      <c r="J1966" s="874"/>
    </row>
    <row r="1967" spans="2:10">
      <c r="B1967" s="873"/>
      <c r="C1967" s="874"/>
      <c r="D1967" s="874"/>
      <c r="E1967" s="874"/>
      <c r="F1967" s="874"/>
      <c r="G1967" s="874"/>
      <c r="H1967" s="874"/>
      <c r="I1967" s="874"/>
      <c r="J1967" s="874"/>
    </row>
    <row r="1968" spans="2:10">
      <c r="B1968" s="873"/>
      <c r="C1968" s="874"/>
      <c r="D1968" s="874"/>
      <c r="E1968" s="874"/>
      <c r="F1968" s="874"/>
      <c r="G1968" s="874"/>
      <c r="H1968" s="874"/>
      <c r="I1968" s="874"/>
      <c r="J1968" s="874"/>
    </row>
    <row r="1969" spans="2:10">
      <c r="B1969" s="873"/>
      <c r="C1969" s="874"/>
      <c r="D1969" s="874"/>
      <c r="E1969" s="874"/>
      <c r="F1969" s="874"/>
      <c r="G1969" s="874"/>
      <c r="H1969" s="874"/>
      <c r="I1969" s="874"/>
      <c r="J1969" s="874"/>
    </row>
    <row r="1970" spans="2:10">
      <c r="B1970" s="873"/>
      <c r="C1970" s="874"/>
      <c r="D1970" s="874"/>
      <c r="E1970" s="874"/>
      <c r="F1970" s="874"/>
      <c r="G1970" s="874"/>
      <c r="H1970" s="874"/>
      <c r="I1970" s="874"/>
      <c r="J1970" s="874"/>
    </row>
    <row r="1971" spans="2:10">
      <c r="B1971" s="873"/>
      <c r="C1971" s="874"/>
      <c r="D1971" s="874"/>
      <c r="E1971" s="874"/>
      <c r="F1971" s="874"/>
      <c r="G1971" s="874"/>
      <c r="H1971" s="874"/>
      <c r="I1971" s="874"/>
      <c r="J1971" s="874"/>
    </row>
    <row r="1972" spans="2:10">
      <c r="B1972" s="873"/>
      <c r="C1972" s="874"/>
      <c r="D1972" s="874"/>
      <c r="E1972" s="874"/>
      <c r="F1972" s="874"/>
      <c r="G1972" s="874"/>
      <c r="H1972" s="874"/>
      <c r="I1972" s="874"/>
      <c r="J1972" s="874"/>
    </row>
    <row r="1973" spans="2:10">
      <c r="B1973" s="873"/>
      <c r="C1973" s="874"/>
      <c r="D1973" s="874"/>
      <c r="E1973" s="874"/>
      <c r="F1973" s="874"/>
      <c r="G1973" s="874"/>
      <c r="H1973" s="874"/>
      <c r="I1973" s="874"/>
      <c r="J1973" s="874"/>
    </row>
    <row r="1974" spans="2:10">
      <c r="B1974" s="873"/>
      <c r="C1974" s="874"/>
      <c r="D1974" s="874"/>
      <c r="E1974" s="874"/>
      <c r="F1974" s="874"/>
      <c r="G1974" s="874"/>
      <c r="H1974" s="874"/>
      <c r="I1974" s="874"/>
      <c r="J1974" s="874"/>
    </row>
    <row r="1975" spans="2:10">
      <c r="B1975" s="873"/>
      <c r="C1975" s="874"/>
      <c r="D1975" s="874"/>
      <c r="E1975" s="874"/>
      <c r="F1975" s="874"/>
      <c r="G1975" s="874"/>
      <c r="H1975" s="874"/>
      <c r="I1975" s="874"/>
      <c r="J1975" s="874"/>
    </row>
    <row r="1976" spans="2:10">
      <c r="B1976" s="873"/>
      <c r="C1976" s="874"/>
      <c r="D1976" s="874"/>
      <c r="E1976" s="874"/>
      <c r="F1976" s="874"/>
      <c r="G1976" s="874"/>
      <c r="H1976" s="874"/>
      <c r="I1976" s="874"/>
      <c r="J1976" s="874"/>
    </row>
    <row r="1977" spans="2:10">
      <c r="B1977" s="873"/>
      <c r="C1977" s="874"/>
      <c r="D1977" s="874"/>
      <c r="E1977" s="874"/>
      <c r="F1977" s="874"/>
      <c r="G1977" s="874"/>
      <c r="H1977" s="874"/>
      <c r="I1977" s="874"/>
      <c r="J1977" s="874"/>
    </row>
    <row r="1978" spans="2:10">
      <c r="B1978" s="873"/>
      <c r="C1978" s="874"/>
      <c r="D1978" s="874"/>
      <c r="E1978" s="874"/>
      <c r="F1978" s="874"/>
      <c r="G1978" s="874"/>
      <c r="H1978" s="874"/>
      <c r="I1978" s="874"/>
      <c r="J1978" s="874"/>
    </row>
    <row r="1979" spans="2:10">
      <c r="B1979" s="873"/>
      <c r="C1979" s="874"/>
      <c r="D1979" s="874"/>
      <c r="E1979" s="874"/>
      <c r="F1979" s="874"/>
      <c r="G1979" s="874"/>
      <c r="H1979" s="874"/>
      <c r="I1979" s="874"/>
      <c r="J1979" s="874"/>
    </row>
    <row r="1980" spans="2:10">
      <c r="B1980" s="873"/>
      <c r="C1980" s="874"/>
      <c r="D1980" s="874"/>
      <c r="E1980" s="874"/>
      <c r="F1980" s="874"/>
      <c r="G1980" s="874"/>
      <c r="H1980" s="874"/>
      <c r="I1980" s="874"/>
      <c r="J1980" s="874"/>
    </row>
    <row r="1981" spans="2:10">
      <c r="B1981" s="873"/>
      <c r="C1981" s="874"/>
      <c r="D1981" s="874"/>
      <c r="E1981" s="874"/>
      <c r="F1981" s="874"/>
      <c r="G1981" s="874"/>
      <c r="H1981" s="874"/>
      <c r="I1981" s="874"/>
      <c r="J1981" s="874"/>
    </row>
    <row r="1982" spans="2:10">
      <c r="B1982" s="873"/>
      <c r="C1982" s="874"/>
      <c r="D1982" s="874"/>
      <c r="E1982" s="874"/>
      <c r="F1982" s="874"/>
      <c r="G1982" s="874"/>
      <c r="H1982" s="874"/>
      <c r="I1982" s="874"/>
      <c r="J1982" s="874"/>
    </row>
    <row r="1983" spans="2:10">
      <c r="B1983" s="873"/>
      <c r="C1983" s="874"/>
      <c r="D1983" s="874"/>
      <c r="E1983" s="874"/>
      <c r="F1983" s="874"/>
      <c r="G1983" s="874"/>
      <c r="H1983" s="874"/>
      <c r="I1983" s="874"/>
      <c r="J1983" s="874"/>
    </row>
    <row r="1984" spans="2:10">
      <c r="B1984" s="873"/>
      <c r="C1984" s="874"/>
      <c r="D1984" s="874"/>
      <c r="E1984" s="874"/>
      <c r="F1984" s="874"/>
      <c r="G1984" s="874"/>
      <c r="H1984" s="874"/>
      <c r="I1984" s="874"/>
      <c r="J1984" s="874"/>
    </row>
    <row r="1985" spans="2:10">
      <c r="B1985" s="873"/>
      <c r="C1985" s="874"/>
      <c r="D1985" s="874"/>
      <c r="E1985" s="874"/>
      <c r="F1985" s="874"/>
      <c r="G1985" s="874"/>
      <c r="H1985" s="874"/>
      <c r="I1985" s="874"/>
      <c r="J1985" s="874"/>
    </row>
    <row r="1986" spans="2:10">
      <c r="B1986" s="873"/>
      <c r="C1986" s="874"/>
      <c r="D1986" s="874"/>
      <c r="E1986" s="874"/>
      <c r="F1986" s="874"/>
      <c r="G1986" s="874"/>
      <c r="H1986" s="874"/>
      <c r="I1986" s="874"/>
      <c r="J1986" s="874"/>
    </row>
    <row r="1987" spans="2:10">
      <c r="B1987" s="873"/>
      <c r="C1987" s="874"/>
      <c r="D1987" s="874"/>
      <c r="E1987" s="874"/>
      <c r="F1987" s="874"/>
      <c r="G1987" s="874"/>
      <c r="H1987" s="874"/>
      <c r="I1987" s="874"/>
      <c r="J1987" s="874"/>
    </row>
    <row r="1988" spans="2:10">
      <c r="B1988" s="873"/>
      <c r="C1988" s="874"/>
      <c r="D1988" s="874"/>
      <c r="E1988" s="874"/>
      <c r="F1988" s="874"/>
      <c r="G1988" s="874"/>
      <c r="H1988" s="874"/>
      <c r="I1988" s="874"/>
      <c r="J1988" s="874"/>
    </row>
    <row r="1989" spans="2:10">
      <c r="B1989" s="873"/>
      <c r="C1989" s="874"/>
      <c r="D1989" s="874"/>
      <c r="E1989" s="874"/>
      <c r="F1989" s="874"/>
      <c r="G1989" s="874"/>
      <c r="H1989" s="874"/>
      <c r="I1989" s="874"/>
      <c r="J1989" s="874"/>
    </row>
    <row r="1990" spans="2:10">
      <c r="B1990" s="873"/>
      <c r="C1990" s="874"/>
      <c r="D1990" s="874"/>
      <c r="E1990" s="874"/>
      <c r="F1990" s="874"/>
      <c r="G1990" s="874"/>
      <c r="H1990" s="874"/>
      <c r="I1990" s="874"/>
      <c r="J1990" s="874"/>
    </row>
    <row r="1991" spans="2:10">
      <c r="B1991" s="873"/>
      <c r="C1991" s="874"/>
      <c r="D1991" s="874"/>
      <c r="E1991" s="874"/>
      <c r="F1991" s="874"/>
      <c r="G1991" s="874"/>
      <c r="H1991" s="874"/>
      <c r="I1991" s="874"/>
      <c r="J1991" s="874"/>
    </row>
    <row r="1992" spans="2:10">
      <c r="B1992" s="873"/>
      <c r="C1992" s="874"/>
      <c r="D1992" s="874"/>
      <c r="E1992" s="874"/>
      <c r="F1992" s="874"/>
      <c r="G1992" s="874"/>
      <c r="H1992" s="874"/>
      <c r="I1992" s="874"/>
      <c r="J1992" s="874"/>
    </row>
    <row r="1993" spans="2:10">
      <c r="B1993" s="873"/>
      <c r="C1993" s="874"/>
      <c r="D1993" s="874"/>
      <c r="E1993" s="874"/>
      <c r="F1993" s="874"/>
      <c r="G1993" s="874"/>
      <c r="H1993" s="874"/>
      <c r="I1993" s="874"/>
      <c r="J1993" s="874"/>
    </row>
    <row r="1994" spans="2:10">
      <c r="B1994" s="873"/>
      <c r="C1994" s="874"/>
      <c r="D1994" s="874"/>
      <c r="E1994" s="874"/>
      <c r="F1994" s="874"/>
      <c r="G1994" s="874"/>
      <c r="H1994" s="874"/>
      <c r="I1994" s="874"/>
      <c r="J1994" s="874"/>
    </row>
    <row r="1995" spans="2:10">
      <c r="B1995" s="873"/>
      <c r="C1995" s="874"/>
      <c r="D1995" s="874"/>
      <c r="E1995" s="874"/>
      <c r="F1995" s="874"/>
      <c r="G1995" s="874"/>
      <c r="H1995" s="874"/>
      <c r="I1995" s="874"/>
      <c r="J1995" s="874"/>
    </row>
    <row r="1996" spans="2:10">
      <c r="B1996" s="873"/>
      <c r="C1996" s="874"/>
      <c r="D1996" s="874"/>
      <c r="E1996" s="874"/>
      <c r="F1996" s="874"/>
      <c r="G1996" s="874"/>
      <c r="H1996" s="874"/>
      <c r="I1996" s="874"/>
      <c r="J1996" s="874"/>
    </row>
    <row r="1997" spans="2:10">
      <c r="B1997" s="873"/>
      <c r="C1997" s="874"/>
      <c r="D1997" s="874"/>
      <c r="E1997" s="874"/>
      <c r="F1997" s="874"/>
      <c r="G1997" s="874"/>
      <c r="H1997" s="874"/>
      <c r="I1997" s="874"/>
      <c r="J1997" s="874"/>
    </row>
    <row r="1998" spans="2:10">
      <c r="B1998" s="873"/>
      <c r="C1998" s="874"/>
      <c r="D1998" s="874"/>
      <c r="E1998" s="874"/>
      <c r="F1998" s="874"/>
      <c r="G1998" s="874"/>
      <c r="H1998" s="874"/>
      <c r="I1998" s="874"/>
      <c r="J1998" s="874"/>
    </row>
    <row r="1999" spans="2:10">
      <c r="B1999" s="873"/>
      <c r="C1999" s="874"/>
      <c r="D1999" s="874"/>
      <c r="E1999" s="874"/>
      <c r="F1999" s="874"/>
      <c r="G1999" s="874"/>
      <c r="H1999" s="874"/>
      <c r="I1999" s="874"/>
      <c r="J1999" s="874"/>
    </row>
    <row r="2000" spans="2:10">
      <c r="B2000" s="873"/>
      <c r="C2000" s="874"/>
      <c r="D2000" s="874"/>
      <c r="E2000" s="874"/>
      <c r="F2000" s="874"/>
      <c r="G2000" s="874"/>
      <c r="H2000" s="874"/>
      <c r="I2000" s="874"/>
      <c r="J2000" s="874"/>
    </row>
    <row r="2001" spans="2:10">
      <c r="B2001" s="873"/>
      <c r="C2001" s="874"/>
      <c r="D2001" s="874"/>
      <c r="E2001" s="874"/>
      <c r="F2001" s="874"/>
      <c r="G2001" s="874"/>
      <c r="H2001" s="874"/>
      <c r="I2001" s="874"/>
      <c r="J2001" s="874"/>
    </row>
    <row r="2002" spans="2:10">
      <c r="B2002" s="873"/>
      <c r="C2002" s="874"/>
      <c r="D2002" s="874"/>
      <c r="E2002" s="874"/>
      <c r="F2002" s="874"/>
      <c r="G2002" s="874"/>
      <c r="H2002" s="874"/>
      <c r="I2002" s="874"/>
      <c r="J2002" s="874"/>
    </row>
    <row r="2003" spans="2:10">
      <c r="B2003" s="873"/>
      <c r="C2003" s="874"/>
      <c r="D2003" s="874"/>
      <c r="E2003" s="874"/>
      <c r="F2003" s="874"/>
      <c r="G2003" s="874"/>
      <c r="H2003" s="874"/>
      <c r="I2003" s="874"/>
      <c r="J2003" s="874"/>
    </row>
    <row r="2004" spans="2:10">
      <c r="B2004" s="873"/>
      <c r="C2004" s="874"/>
      <c r="D2004" s="874"/>
      <c r="E2004" s="874"/>
      <c r="F2004" s="874"/>
      <c r="G2004" s="874"/>
      <c r="H2004" s="874"/>
      <c r="I2004" s="874"/>
      <c r="J2004" s="874"/>
    </row>
    <row r="2005" spans="2:10">
      <c r="B2005" s="873"/>
      <c r="C2005" s="874"/>
      <c r="D2005" s="874"/>
      <c r="E2005" s="874"/>
      <c r="F2005" s="874"/>
      <c r="G2005" s="874"/>
      <c r="H2005" s="874"/>
      <c r="I2005" s="874"/>
      <c r="J2005" s="874"/>
    </row>
    <row r="2006" spans="2:10">
      <c r="B2006" s="873"/>
      <c r="C2006" s="874"/>
      <c r="D2006" s="874"/>
      <c r="E2006" s="874"/>
      <c r="F2006" s="874"/>
      <c r="G2006" s="874"/>
      <c r="H2006" s="874"/>
      <c r="I2006" s="874"/>
      <c r="J2006" s="874"/>
    </row>
    <row r="2007" spans="2:10">
      <c r="B2007" s="873"/>
      <c r="C2007" s="874"/>
      <c r="D2007" s="874"/>
      <c r="E2007" s="874"/>
      <c r="F2007" s="874"/>
      <c r="G2007" s="874"/>
      <c r="H2007" s="874"/>
      <c r="I2007" s="874"/>
      <c r="J2007" s="874"/>
    </row>
    <row r="2008" spans="2:10">
      <c r="B2008" s="873"/>
      <c r="C2008" s="874"/>
      <c r="D2008" s="874"/>
      <c r="E2008" s="874"/>
      <c r="F2008" s="874"/>
      <c r="G2008" s="874"/>
      <c r="H2008" s="874"/>
      <c r="I2008" s="874"/>
      <c r="J2008" s="874"/>
    </row>
    <row r="2009" spans="2:10">
      <c r="B2009" s="873"/>
      <c r="C2009" s="874"/>
      <c r="D2009" s="874"/>
      <c r="E2009" s="874"/>
      <c r="F2009" s="874"/>
      <c r="G2009" s="874"/>
      <c r="H2009" s="874"/>
      <c r="I2009" s="874"/>
      <c r="J2009" s="874"/>
    </row>
    <row r="2010" spans="2:10">
      <c r="B2010" s="873"/>
      <c r="C2010" s="874"/>
      <c r="D2010" s="874"/>
      <c r="E2010" s="874"/>
      <c r="F2010" s="874"/>
      <c r="G2010" s="874"/>
      <c r="H2010" s="874"/>
      <c r="I2010" s="874"/>
      <c r="J2010" s="874"/>
    </row>
    <row r="2011" spans="2:10">
      <c r="B2011" s="873"/>
      <c r="C2011" s="874"/>
      <c r="D2011" s="874"/>
      <c r="E2011" s="874"/>
      <c r="F2011" s="874"/>
      <c r="G2011" s="874"/>
      <c r="H2011" s="874"/>
      <c r="I2011" s="874"/>
      <c r="J2011" s="874"/>
    </row>
    <row r="2012" spans="2:10">
      <c r="B2012" s="873"/>
      <c r="C2012" s="874"/>
      <c r="D2012" s="874"/>
      <c r="E2012" s="874"/>
      <c r="F2012" s="874"/>
      <c r="G2012" s="874"/>
      <c r="H2012" s="874"/>
      <c r="I2012" s="874"/>
      <c r="J2012" s="874"/>
    </row>
    <row r="2013" spans="2:10">
      <c r="B2013" s="873"/>
      <c r="C2013" s="874"/>
      <c r="D2013" s="874"/>
      <c r="E2013" s="874"/>
      <c r="F2013" s="874"/>
      <c r="G2013" s="874"/>
      <c r="H2013" s="874"/>
      <c r="I2013" s="874"/>
      <c r="J2013" s="874"/>
    </row>
    <row r="2014" spans="2:10">
      <c r="B2014" s="873"/>
      <c r="C2014" s="874"/>
      <c r="D2014" s="874"/>
      <c r="E2014" s="874"/>
      <c r="F2014" s="874"/>
      <c r="G2014" s="874"/>
      <c r="H2014" s="874"/>
      <c r="I2014" s="874"/>
      <c r="J2014" s="874"/>
    </row>
    <row r="2015" spans="2:10">
      <c r="B2015" s="873"/>
      <c r="C2015" s="874"/>
      <c r="D2015" s="874"/>
      <c r="E2015" s="874"/>
      <c r="F2015" s="874"/>
      <c r="G2015" s="874"/>
      <c r="H2015" s="874"/>
      <c r="I2015" s="874"/>
      <c r="J2015" s="874"/>
    </row>
    <row r="2016" spans="2:10">
      <c r="B2016" s="873"/>
      <c r="C2016" s="874"/>
      <c r="D2016" s="874"/>
      <c r="E2016" s="874"/>
      <c r="F2016" s="874"/>
      <c r="G2016" s="874"/>
      <c r="H2016" s="874"/>
      <c r="I2016" s="874"/>
      <c r="J2016" s="874"/>
    </row>
    <row r="2017" spans="2:10">
      <c r="B2017" s="873"/>
      <c r="C2017" s="874"/>
      <c r="D2017" s="874"/>
      <c r="E2017" s="874"/>
      <c r="F2017" s="874"/>
      <c r="G2017" s="874"/>
      <c r="H2017" s="874"/>
      <c r="I2017" s="874"/>
      <c r="J2017" s="874"/>
    </row>
    <row r="2018" spans="2:10">
      <c r="B2018" s="873"/>
      <c r="C2018" s="874"/>
      <c r="D2018" s="874"/>
      <c r="E2018" s="874"/>
      <c r="F2018" s="874"/>
      <c r="G2018" s="874"/>
      <c r="H2018" s="874"/>
      <c r="I2018" s="874"/>
      <c r="J2018" s="874"/>
    </row>
    <row r="2019" spans="2:10">
      <c r="B2019" s="873"/>
      <c r="C2019" s="874"/>
      <c r="D2019" s="874"/>
      <c r="E2019" s="874"/>
      <c r="F2019" s="874"/>
      <c r="G2019" s="874"/>
      <c r="H2019" s="874"/>
      <c r="I2019" s="874"/>
      <c r="J2019" s="874"/>
    </row>
    <row r="2020" spans="2:10">
      <c r="B2020" s="873"/>
      <c r="C2020" s="874"/>
      <c r="D2020" s="874"/>
      <c r="E2020" s="874"/>
      <c r="F2020" s="874"/>
      <c r="G2020" s="874"/>
      <c r="H2020" s="874"/>
      <c r="I2020" s="874"/>
      <c r="J2020" s="874"/>
    </row>
    <row r="2021" spans="2:10">
      <c r="B2021" s="873"/>
      <c r="C2021" s="874"/>
      <c r="D2021" s="874"/>
      <c r="E2021" s="874"/>
      <c r="F2021" s="874"/>
      <c r="G2021" s="874"/>
      <c r="H2021" s="874"/>
      <c r="I2021" s="874"/>
      <c r="J2021" s="874"/>
    </row>
    <row r="2022" spans="2:10">
      <c r="B2022" s="873"/>
      <c r="C2022" s="874"/>
      <c r="D2022" s="874"/>
      <c r="E2022" s="874"/>
      <c r="F2022" s="874"/>
      <c r="G2022" s="874"/>
      <c r="H2022" s="874"/>
      <c r="I2022" s="874"/>
      <c r="J2022" s="874"/>
    </row>
    <row r="2023" spans="2:10">
      <c r="B2023" s="873"/>
      <c r="C2023" s="874"/>
      <c r="D2023" s="874"/>
      <c r="E2023" s="874"/>
      <c r="F2023" s="874"/>
      <c r="G2023" s="874"/>
      <c r="H2023" s="874"/>
      <c r="I2023" s="874"/>
      <c r="J2023" s="874"/>
    </row>
    <row r="2024" spans="2:10">
      <c r="B2024" s="873"/>
      <c r="C2024" s="874"/>
      <c r="D2024" s="874"/>
      <c r="E2024" s="874"/>
      <c r="F2024" s="874"/>
      <c r="G2024" s="874"/>
      <c r="H2024" s="874"/>
      <c r="I2024" s="874"/>
      <c r="J2024" s="874"/>
    </row>
    <row r="2025" spans="2:10">
      <c r="B2025" s="873"/>
      <c r="C2025" s="874"/>
      <c r="D2025" s="874"/>
      <c r="E2025" s="874"/>
      <c r="F2025" s="874"/>
      <c r="G2025" s="874"/>
      <c r="H2025" s="874"/>
      <c r="I2025" s="874"/>
      <c r="J2025" s="874"/>
    </row>
    <row r="2026" spans="2:10">
      <c r="B2026" s="873"/>
      <c r="C2026" s="874"/>
      <c r="D2026" s="874"/>
      <c r="E2026" s="874"/>
      <c r="F2026" s="874"/>
      <c r="G2026" s="874"/>
      <c r="H2026" s="874"/>
      <c r="I2026" s="874"/>
      <c r="J2026" s="874"/>
    </row>
    <row r="2027" spans="2:10">
      <c r="B2027" s="873"/>
      <c r="C2027" s="874"/>
      <c r="D2027" s="874"/>
      <c r="E2027" s="874"/>
      <c r="F2027" s="874"/>
      <c r="G2027" s="874"/>
      <c r="H2027" s="874"/>
      <c r="I2027" s="874"/>
      <c r="J2027" s="874"/>
    </row>
    <row r="2028" spans="2:10">
      <c r="B2028" s="873"/>
      <c r="C2028" s="874"/>
      <c r="D2028" s="874"/>
      <c r="E2028" s="874"/>
      <c r="F2028" s="874"/>
      <c r="G2028" s="874"/>
      <c r="H2028" s="874"/>
      <c r="I2028" s="874"/>
      <c r="J2028" s="874"/>
    </row>
    <row r="2029" spans="2:10">
      <c r="B2029" s="873"/>
      <c r="C2029" s="874"/>
      <c r="D2029" s="874"/>
      <c r="E2029" s="874"/>
      <c r="F2029" s="874"/>
      <c r="G2029" s="874"/>
      <c r="H2029" s="874"/>
      <c r="I2029" s="874"/>
      <c r="J2029" s="874"/>
    </row>
    <row r="2030" spans="2:10">
      <c r="B2030" s="873"/>
      <c r="C2030" s="874"/>
      <c r="D2030" s="874"/>
      <c r="E2030" s="874"/>
      <c r="F2030" s="874"/>
      <c r="G2030" s="874"/>
      <c r="H2030" s="874"/>
      <c r="I2030" s="874"/>
      <c r="J2030" s="874"/>
    </row>
    <row r="2031" spans="2:10">
      <c r="B2031" s="873"/>
      <c r="C2031" s="874"/>
      <c r="D2031" s="874"/>
      <c r="E2031" s="874"/>
      <c r="F2031" s="874"/>
      <c r="G2031" s="874"/>
      <c r="H2031" s="874"/>
      <c r="I2031" s="874"/>
      <c r="J2031" s="874"/>
    </row>
    <row r="2032" spans="2:10">
      <c r="B2032" s="873"/>
      <c r="C2032" s="874"/>
      <c r="D2032" s="874"/>
      <c r="E2032" s="874"/>
      <c r="F2032" s="874"/>
      <c r="G2032" s="874"/>
      <c r="H2032" s="874"/>
      <c r="I2032" s="874"/>
      <c r="J2032" s="874"/>
    </row>
    <row r="2033" spans="2:10">
      <c r="B2033" s="873"/>
      <c r="C2033" s="874"/>
      <c r="D2033" s="874"/>
      <c r="E2033" s="874"/>
      <c r="F2033" s="874"/>
      <c r="G2033" s="874"/>
      <c r="H2033" s="874"/>
      <c r="I2033" s="874"/>
      <c r="J2033" s="874"/>
    </row>
    <row r="2034" spans="2:10">
      <c r="B2034" s="873"/>
      <c r="C2034" s="874"/>
      <c r="D2034" s="874"/>
      <c r="E2034" s="874"/>
      <c r="F2034" s="874"/>
      <c r="G2034" s="874"/>
      <c r="H2034" s="874"/>
      <c r="I2034" s="874"/>
      <c r="J2034" s="874"/>
    </row>
    <row r="2035" spans="2:10">
      <c r="B2035" s="873"/>
      <c r="C2035" s="874"/>
      <c r="D2035" s="874"/>
      <c r="E2035" s="874"/>
      <c r="F2035" s="874"/>
      <c r="G2035" s="874"/>
      <c r="H2035" s="874"/>
      <c r="I2035" s="874"/>
      <c r="J2035" s="874"/>
    </row>
    <row r="2036" spans="2:10">
      <c r="B2036" s="873"/>
      <c r="C2036" s="874"/>
      <c r="D2036" s="874"/>
      <c r="E2036" s="874"/>
      <c r="F2036" s="874"/>
      <c r="G2036" s="874"/>
      <c r="H2036" s="874"/>
      <c r="I2036" s="874"/>
      <c r="J2036" s="874"/>
    </row>
    <row r="2037" spans="2:10">
      <c r="B2037" s="873"/>
      <c r="C2037" s="874"/>
      <c r="D2037" s="874"/>
      <c r="E2037" s="874"/>
      <c r="F2037" s="874"/>
      <c r="G2037" s="874"/>
      <c r="H2037" s="874"/>
      <c r="I2037" s="874"/>
      <c r="J2037" s="874"/>
    </row>
    <row r="2038" spans="2:10">
      <c r="B2038" s="873"/>
      <c r="C2038" s="874"/>
      <c r="D2038" s="874"/>
      <c r="E2038" s="874"/>
      <c r="F2038" s="874"/>
      <c r="G2038" s="874"/>
      <c r="H2038" s="874"/>
      <c r="I2038" s="874"/>
      <c r="J2038" s="874"/>
    </row>
    <row r="2039" spans="2:10">
      <c r="B2039" s="873"/>
      <c r="C2039" s="874"/>
      <c r="D2039" s="874"/>
      <c r="E2039" s="874"/>
      <c r="F2039" s="874"/>
      <c r="G2039" s="874"/>
      <c r="H2039" s="874"/>
      <c r="I2039" s="874"/>
      <c r="J2039" s="874"/>
    </row>
    <row r="2040" spans="2:10">
      <c r="B2040" s="873"/>
      <c r="C2040" s="874"/>
      <c r="D2040" s="874"/>
      <c r="E2040" s="874"/>
      <c r="F2040" s="874"/>
      <c r="G2040" s="874"/>
      <c r="H2040" s="874"/>
      <c r="I2040" s="874"/>
      <c r="J2040" s="874"/>
    </row>
    <row r="2041" spans="2:10">
      <c r="B2041" s="873"/>
      <c r="C2041" s="874"/>
      <c r="D2041" s="874"/>
      <c r="E2041" s="874"/>
      <c r="F2041" s="874"/>
      <c r="G2041" s="874"/>
      <c r="H2041" s="874"/>
      <c r="I2041" s="874"/>
      <c r="J2041" s="874"/>
    </row>
    <row r="2042" spans="2:10">
      <c r="B2042" s="873"/>
      <c r="C2042" s="874"/>
      <c r="D2042" s="874"/>
      <c r="E2042" s="874"/>
      <c r="F2042" s="874"/>
      <c r="G2042" s="874"/>
      <c r="H2042" s="874"/>
      <c r="I2042" s="874"/>
      <c r="J2042" s="874"/>
    </row>
    <row r="2043" spans="2:10">
      <c r="B2043" s="873"/>
      <c r="C2043" s="874"/>
      <c r="D2043" s="874"/>
      <c r="E2043" s="874"/>
      <c r="F2043" s="874"/>
      <c r="G2043" s="874"/>
      <c r="H2043" s="874"/>
      <c r="I2043" s="874"/>
      <c r="J2043" s="874"/>
    </row>
    <row r="2044" spans="2:10">
      <c r="B2044" s="873"/>
      <c r="C2044" s="874"/>
      <c r="D2044" s="874"/>
      <c r="E2044" s="874"/>
      <c r="F2044" s="874"/>
      <c r="G2044" s="874"/>
      <c r="H2044" s="874"/>
      <c r="I2044" s="874"/>
      <c r="J2044" s="874"/>
    </row>
    <row r="2045" spans="2:10">
      <c r="B2045" s="873"/>
      <c r="C2045" s="874"/>
      <c r="D2045" s="874"/>
      <c r="E2045" s="874"/>
      <c r="F2045" s="874"/>
      <c r="G2045" s="874"/>
      <c r="H2045" s="874"/>
      <c r="I2045" s="874"/>
      <c r="J2045" s="874"/>
    </row>
    <row r="2046" spans="2:10">
      <c r="B2046" s="873"/>
      <c r="C2046" s="874"/>
      <c r="D2046" s="874"/>
      <c r="E2046" s="874"/>
      <c r="F2046" s="874"/>
      <c r="G2046" s="874"/>
      <c r="H2046" s="874"/>
      <c r="I2046" s="874"/>
      <c r="J2046" s="874"/>
    </row>
    <row r="2047" spans="2:10">
      <c r="B2047" s="873"/>
      <c r="C2047" s="874"/>
      <c r="D2047" s="874"/>
      <c r="E2047" s="874"/>
      <c r="F2047" s="874"/>
      <c r="G2047" s="874"/>
      <c r="H2047" s="874"/>
      <c r="I2047" s="874"/>
      <c r="J2047" s="874"/>
    </row>
    <row r="2048" spans="2:10">
      <c r="B2048" s="873"/>
      <c r="C2048" s="874"/>
      <c r="D2048" s="874"/>
      <c r="E2048" s="874"/>
      <c r="F2048" s="874"/>
      <c r="G2048" s="874"/>
      <c r="H2048" s="874"/>
      <c r="I2048" s="874"/>
      <c r="J2048" s="874"/>
    </row>
    <row r="2049" spans="2:10">
      <c r="B2049" s="873"/>
      <c r="C2049" s="874"/>
      <c r="D2049" s="874"/>
      <c r="E2049" s="874"/>
      <c r="F2049" s="874"/>
      <c r="G2049" s="874"/>
      <c r="H2049" s="874"/>
      <c r="I2049" s="874"/>
      <c r="J2049" s="874"/>
    </row>
    <row r="2050" spans="2:10">
      <c r="B2050" s="873"/>
      <c r="C2050" s="874"/>
      <c r="D2050" s="874"/>
      <c r="E2050" s="874"/>
      <c r="F2050" s="874"/>
      <c r="G2050" s="874"/>
      <c r="H2050" s="874"/>
      <c r="I2050" s="874"/>
      <c r="J2050" s="874"/>
    </row>
    <row r="2051" spans="2:10">
      <c r="B2051" s="873"/>
      <c r="C2051" s="874"/>
      <c r="D2051" s="874"/>
      <c r="E2051" s="874"/>
      <c r="F2051" s="874"/>
      <c r="G2051" s="874"/>
      <c r="H2051" s="874"/>
      <c r="I2051" s="874"/>
      <c r="J2051" s="874"/>
    </row>
    <row r="2052" spans="2:10">
      <c r="B2052" s="873"/>
      <c r="C2052" s="874"/>
      <c r="D2052" s="874"/>
      <c r="E2052" s="874"/>
      <c r="F2052" s="874"/>
      <c r="G2052" s="874"/>
      <c r="H2052" s="874"/>
      <c r="I2052" s="874"/>
      <c r="J2052" s="874"/>
    </row>
    <row r="2053" spans="2:10">
      <c r="B2053" s="873"/>
      <c r="C2053" s="874"/>
      <c r="D2053" s="874"/>
      <c r="E2053" s="874"/>
      <c r="F2053" s="874"/>
      <c r="G2053" s="874"/>
      <c r="H2053" s="874"/>
      <c r="I2053" s="874"/>
      <c r="J2053" s="874"/>
    </row>
    <row r="2054" spans="2:10">
      <c r="B2054" s="873"/>
      <c r="C2054" s="874"/>
      <c r="D2054" s="874"/>
      <c r="E2054" s="874"/>
      <c r="F2054" s="874"/>
      <c r="G2054" s="874"/>
      <c r="H2054" s="874"/>
      <c r="I2054" s="874"/>
      <c r="J2054" s="874"/>
    </row>
    <row r="2055" spans="2:10">
      <c r="B2055" s="873"/>
      <c r="C2055" s="874"/>
      <c r="D2055" s="874"/>
      <c r="E2055" s="874"/>
      <c r="F2055" s="874"/>
      <c r="G2055" s="874"/>
      <c r="H2055" s="874"/>
      <c r="I2055" s="874"/>
      <c r="J2055" s="874"/>
    </row>
    <row r="2056" spans="2:10">
      <c r="B2056" s="873"/>
      <c r="C2056" s="874"/>
      <c r="D2056" s="874"/>
      <c r="E2056" s="874"/>
      <c r="F2056" s="874"/>
      <c r="G2056" s="874"/>
      <c r="H2056" s="874"/>
      <c r="I2056" s="874"/>
      <c r="J2056" s="874"/>
    </row>
    <row r="2057" spans="2:10">
      <c r="B2057" s="873"/>
      <c r="C2057" s="874"/>
      <c r="D2057" s="874"/>
      <c r="E2057" s="874"/>
      <c r="F2057" s="874"/>
      <c r="G2057" s="874"/>
      <c r="H2057" s="874"/>
      <c r="I2057" s="874"/>
      <c r="J2057" s="874"/>
    </row>
    <row r="2058" spans="2:10">
      <c r="B2058" s="873"/>
      <c r="C2058" s="874"/>
      <c r="D2058" s="874"/>
      <c r="E2058" s="874"/>
      <c r="F2058" s="874"/>
      <c r="G2058" s="874"/>
      <c r="H2058" s="874"/>
      <c r="I2058" s="874"/>
      <c r="J2058" s="874"/>
    </row>
    <row r="2059" spans="2:10">
      <c r="B2059" s="873"/>
      <c r="C2059" s="874"/>
      <c r="D2059" s="874"/>
      <c r="E2059" s="874"/>
      <c r="F2059" s="874"/>
      <c r="G2059" s="874"/>
      <c r="H2059" s="874"/>
      <c r="I2059" s="874"/>
      <c r="J2059" s="874"/>
    </row>
    <row r="2060" spans="2:10">
      <c r="B2060" s="873"/>
      <c r="C2060" s="874"/>
      <c r="D2060" s="874"/>
      <c r="E2060" s="874"/>
      <c r="F2060" s="874"/>
      <c r="G2060" s="874"/>
      <c r="H2060" s="874"/>
      <c r="I2060" s="874"/>
      <c r="J2060" s="874"/>
    </row>
    <row r="2061" spans="2:10">
      <c r="B2061" s="873"/>
      <c r="C2061" s="874"/>
      <c r="D2061" s="874"/>
      <c r="E2061" s="874"/>
      <c r="F2061" s="874"/>
      <c r="G2061" s="874"/>
      <c r="H2061" s="874"/>
      <c r="I2061" s="874"/>
      <c r="J2061" s="874"/>
    </row>
    <row r="2062" spans="2:10">
      <c r="B2062" s="873"/>
      <c r="C2062" s="874"/>
      <c r="D2062" s="874"/>
      <c r="E2062" s="874"/>
      <c r="F2062" s="874"/>
      <c r="G2062" s="874"/>
      <c r="H2062" s="874"/>
      <c r="I2062" s="874"/>
      <c r="J2062" s="874"/>
    </row>
    <row r="2063" spans="2:10">
      <c r="B2063" s="873"/>
      <c r="C2063" s="874"/>
      <c r="D2063" s="874"/>
      <c r="E2063" s="874"/>
      <c r="F2063" s="874"/>
      <c r="G2063" s="874"/>
      <c r="H2063" s="874"/>
      <c r="I2063" s="874"/>
      <c r="J2063" s="874"/>
    </row>
    <row r="2064" spans="2:10">
      <c r="B2064" s="873"/>
      <c r="C2064" s="874"/>
      <c r="D2064" s="874"/>
      <c r="E2064" s="874"/>
      <c r="F2064" s="874"/>
      <c r="G2064" s="874"/>
      <c r="H2064" s="874"/>
      <c r="I2064" s="874"/>
      <c r="J2064" s="874"/>
    </row>
    <row r="2065" spans="2:10">
      <c r="B2065" s="873"/>
      <c r="C2065" s="874"/>
      <c r="D2065" s="874"/>
      <c r="E2065" s="874"/>
      <c r="F2065" s="874"/>
      <c r="G2065" s="874"/>
      <c r="H2065" s="874"/>
      <c r="I2065" s="874"/>
      <c r="J2065" s="874"/>
    </row>
    <row r="2066" spans="2:10">
      <c r="B2066" s="873"/>
      <c r="C2066" s="874"/>
      <c r="D2066" s="874"/>
      <c r="E2066" s="874"/>
      <c r="F2066" s="874"/>
      <c r="G2066" s="874"/>
      <c r="H2066" s="874"/>
      <c r="I2066" s="874"/>
      <c r="J2066" s="874"/>
    </row>
    <row r="2067" spans="2:10">
      <c r="B2067" s="873"/>
      <c r="C2067" s="874"/>
      <c r="D2067" s="874"/>
      <c r="E2067" s="874"/>
      <c r="F2067" s="874"/>
      <c r="G2067" s="874"/>
      <c r="H2067" s="874"/>
      <c r="I2067" s="874"/>
      <c r="J2067" s="874"/>
    </row>
    <row r="2068" spans="2:10">
      <c r="B2068" s="873"/>
      <c r="C2068" s="874"/>
      <c r="D2068" s="874"/>
      <c r="E2068" s="874"/>
      <c r="F2068" s="874"/>
      <c r="G2068" s="874"/>
      <c r="H2068" s="874"/>
      <c r="I2068" s="874"/>
      <c r="J2068" s="874"/>
    </row>
    <row r="2069" spans="2:10">
      <c r="B2069" s="873"/>
      <c r="C2069" s="874"/>
      <c r="D2069" s="874"/>
      <c r="E2069" s="874"/>
      <c r="F2069" s="874"/>
      <c r="G2069" s="874"/>
      <c r="H2069" s="874"/>
      <c r="I2069" s="874"/>
      <c r="J2069" s="874"/>
    </row>
    <row r="2070" spans="2:10">
      <c r="B2070" s="873"/>
      <c r="C2070" s="874"/>
      <c r="D2070" s="874"/>
      <c r="E2070" s="874"/>
      <c r="F2070" s="874"/>
      <c r="G2070" s="874"/>
      <c r="H2070" s="874"/>
      <c r="I2070" s="874"/>
      <c r="J2070" s="874"/>
    </row>
    <row r="2071" spans="2:10">
      <c r="B2071" s="873"/>
      <c r="C2071" s="874"/>
      <c r="D2071" s="874"/>
      <c r="E2071" s="874"/>
      <c r="F2071" s="874"/>
      <c r="G2071" s="874"/>
      <c r="H2071" s="874"/>
      <c r="I2071" s="874"/>
      <c r="J2071" s="874"/>
    </row>
    <row r="2072" spans="2:10">
      <c r="B2072" s="873"/>
      <c r="C2072" s="874"/>
      <c r="D2072" s="874"/>
      <c r="E2072" s="874"/>
      <c r="F2072" s="874"/>
      <c r="G2072" s="874"/>
      <c r="H2072" s="874"/>
      <c r="I2072" s="874"/>
      <c r="J2072" s="874"/>
    </row>
    <row r="2073" spans="2:10">
      <c r="B2073" s="873"/>
      <c r="C2073" s="874"/>
      <c r="D2073" s="874"/>
      <c r="E2073" s="874"/>
      <c r="F2073" s="874"/>
      <c r="G2073" s="874"/>
      <c r="H2073" s="874"/>
      <c r="I2073" s="874"/>
      <c r="J2073" s="874"/>
    </row>
    <row r="2074" spans="2:10">
      <c r="B2074" s="873"/>
      <c r="C2074" s="874"/>
      <c r="D2074" s="874"/>
      <c r="E2074" s="874"/>
      <c r="F2074" s="874"/>
      <c r="G2074" s="874"/>
      <c r="H2074" s="874"/>
      <c r="I2074" s="874"/>
      <c r="J2074" s="874"/>
    </row>
    <row r="2075" spans="2:10">
      <c r="B2075" s="873"/>
      <c r="C2075" s="874"/>
      <c r="D2075" s="874"/>
      <c r="E2075" s="874"/>
      <c r="F2075" s="874"/>
      <c r="G2075" s="874"/>
      <c r="H2075" s="874"/>
      <c r="I2075" s="874"/>
      <c r="J2075" s="874"/>
    </row>
    <row r="2076" spans="2:10">
      <c r="B2076" s="873"/>
      <c r="C2076" s="874"/>
      <c r="D2076" s="874"/>
      <c r="E2076" s="874"/>
      <c r="F2076" s="874"/>
      <c r="G2076" s="874"/>
      <c r="H2076" s="874"/>
      <c r="I2076" s="874"/>
      <c r="J2076" s="874"/>
    </row>
    <row r="2077" spans="2:10">
      <c r="B2077" s="873"/>
      <c r="C2077" s="874"/>
      <c r="D2077" s="874"/>
      <c r="E2077" s="874"/>
      <c r="F2077" s="874"/>
      <c r="G2077" s="874"/>
      <c r="H2077" s="874"/>
      <c r="I2077" s="874"/>
      <c r="J2077" s="874"/>
    </row>
    <row r="2078" spans="2:10">
      <c r="B2078" s="873"/>
      <c r="C2078" s="874"/>
      <c r="D2078" s="874"/>
      <c r="E2078" s="874"/>
      <c r="F2078" s="874"/>
      <c r="G2078" s="874"/>
      <c r="H2078" s="874"/>
      <c r="I2078" s="874"/>
      <c r="J2078" s="874"/>
    </row>
    <row r="2079" spans="2:10">
      <c r="B2079" s="873"/>
      <c r="C2079" s="874"/>
      <c r="D2079" s="874"/>
      <c r="E2079" s="874"/>
      <c r="F2079" s="874"/>
      <c r="G2079" s="874"/>
      <c r="H2079" s="874"/>
      <c r="I2079" s="874"/>
      <c r="J2079" s="874"/>
    </row>
    <row r="2080" spans="2:10">
      <c r="B2080" s="873"/>
      <c r="C2080" s="874"/>
      <c r="D2080" s="874"/>
      <c r="E2080" s="874"/>
      <c r="F2080" s="874"/>
      <c r="G2080" s="874"/>
      <c r="H2080" s="874"/>
      <c r="I2080" s="874"/>
      <c r="J2080" s="874"/>
    </row>
    <row r="2081" spans="2:10">
      <c r="B2081" s="873"/>
      <c r="C2081" s="874"/>
      <c r="D2081" s="874"/>
      <c r="E2081" s="874"/>
      <c r="F2081" s="874"/>
      <c r="G2081" s="874"/>
      <c r="H2081" s="874"/>
      <c r="I2081" s="874"/>
      <c r="J2081" s="874"/>
    </row>
    <row r="2082" spans="2:10">
      <c r="B2082" s="873"/>
      <c r="C2082" s="874"/>
      <c r="D2082" s="874"/>
      <c r="E2082" s="874"/>
      <c r="F2082" s="874"/>
      <c r="G2082" s="874"/>
      <c r="H2082" s="874"/>
      <c r="I2082" s="874"/>
      <c r="J2082" s="874"/>
    </row>
    <row r="2083" spans="2:10">
      <c r="B2083" s="873"/>
      <c r="C2083" s="874"/>
      <c r="D2083" s="874"/>
      <c r="E2083" s="874"/>
      <c r="F2083" s="874"/>
      <c r="G2083" s="874"/>
      <c r="H2083" s="874"/>
      <c r="I2083" s="874"/>
      <c r="J2083" s="874"/>
    </row>
    <row r="2084" spans="2:10">
      <c r="B2084" s="873"/>
      <c r="C2084" s="874"/>
      <c r="D2084" s="874"/>
      <c r="E2084" s="874"/>
      <c r="F2084" s="874"/>
      <c r="G2084" s="874"/>
      <c r="H2084" s="874"/>
      <c r="I2084" s="874"/>
      <c r="J2084" s="874"/>
    </row>
    <row r="2085" spans="2:10">
      <c r="B2085" s="873"/>
      <c r="C2085" s="874"/>
      <c r="D2085" s="874"/>
      <c r="E2085" s="874"/>
      <c r="F2085" s="874"/>
      <c r="G2085" s="874"/>
      <c r="H2085" s="874"/>
      <c r="I2085" s="874"/>
      <c r="J2085" s="874"/>
    </row>
    <row r="2086" spans="2:10">
      <c r="B2086" s="873"/>
      <c r="C2086" s="874"/>
      <c r="D2086" s="874"/>
      <c r="E2086" s="874"/>
      <c r="F2086" s="874"/>
      <c r="G2086" s="874"/>
      <c r="H2086" s="874"/>
      <c r="I2086" s="874"/>
      <c r="J2086" s="874"/>
    </row>
    <row r="2087" spans="2:10">
      <c r="B2087" s="873"/>
      <c r="C2087" s="874"/>
      <c r="D2087" s="874"/>
      <c r="E2087" s="874"/>
      <c r="F2087" s="874"/>
      <c r="G2087" s="874"/>
      <c r="H2087" s="874"/>
      <c r="I2087" s="874"/>
      <c r="J2087" s="874"/>
    </row>
    <row r="2088" spans="2:10">
      <c r="B2088" s="873"/>
      <c r="C2088" s="874"/>
      <c r="D2088" s="874"/>
      <c r="E2088" s="874"/>
      <c r="F2088" s="874"/>
      <c r="G2088" s="874"/>
      <c r="H2088" s="874"/>
      <c r="I2088" s="874"/>
      <c r="J2088" s="874"/>
    </row>
    <row r="2089" spans="2:10">
      <c r="B2089" s="873"/>
      <c r="C2089" s="874"/>
      <c r="D2089" s="874"/>
      <c r="E2089" s="874"/>
      <c r="F2089" s="874"/>
      <c r="G2089" s="874"/>
      <c r="H2089" s="874"/>
      <c r="I2089" s="874"/>
      <c r="J2089" s="874"/>
    </row>
    <row r="2090" spans="2:10">
      <c r="B2090" s="873"/>
      <c r="C2090" s="874"/>
      <c r="D2090" s="874"/>
      <c r="E2090" s="874"/>
      <c r="F2090" s="874"/>
      <c r="G2090" s="874"/>
      <c r="H2090" s="874"/>
      <c r="I2090" s="874"/>
      <c r="J2090" s="874"/>
    </row>
    <row r="2091" spans="2:10">
      <c r="B2091" s="873"/>
      <c r="C2091" s="874"/>
      <c r="D2091" s="874"/>
      <c r="E2091" s="874"/>
      <c r="F2091" s="874"/>
      <c r="G2091" s="874"/>
      <c r="H2091" s="874"/>
      <c r="I2091" s="874"/>
      <c r="J2091" s="874"/>
    </row>
    <row r="2092" spans="2:10">
      <c r="B2092" s="873"/>
      <c r="C2092" s="874"/>
      <c r="D2092" s="874"/>
      <c r="E2092" s="874"/>
      <c r="F2092" s="874"/>
      <c r="G2092" s="874"/>
      <c r="H2092" s="874"/>
      <c r="I2092" s="874"/>
      <c r="J2092" s="874"/>
    </row>
    <row r="2093" spans="2:10">
      <c r="B2093" s="873"/>
      <c r="C2093" s="874"/>
      <c r="D2093" s="874"/>
      <c r="E2093" s="874"/>
      <c r="F2093" s="874"/>
      <c r="G2093" s="874"/>
      <c r="H2093" s="874"/>
      <c r="I2093" s="874"/>
      <c r="J2093" s="874"/>
    </row>
    <row r="2094" spans="2:10">
      <c r="B2094" s="873"/>
      <c r="C2094" s="874"/>
      <c r="D2094" s="874"/>
      <c r="E2094" s="874"/>
      <c r="F2094" s="874"/>
      <c r="G2094" s="874"/>
      <c r="H2094" s="874"/>
      <c r="I2094" s="874"/>
      <c r="J2094" s="874"/>
    </row>
    <row r="2095" spans="2:10">
      <c r="B2095" s="873"/>
      <c r="C2095" s="874"/>
      <c r="D2095" s="874"/>
      <c r="E2095" s="874"/>
      <c r="F2095" s="874"/>
      <c r="G2095" s="874"/>
      <c r="H2095" s="874"/>
      <c r="I2095" s="874"/>
      <c r="J2095" s="874"/>
    </row>
    <row r="2096" spans="2:10">
      <c r="B2096" s="873"/>
      <c r="C2096" s="874"/>
      <c r="D2096" s="874"/>
      <c r="E2096" s="874"/>
      <c r="F2096" s="874"/>
      <c r="G2096" s="874"/>
      <c r="H2096" s="874"/>
      <c r="I2096" s="874"/>
      <c r="J2096" s="874"/>
    </row>
    <row r="2097" spans="2:10">
      <c r="B2097" s="873"/>
      <c r="C2097" s="874"/>
      <c r="D2097" s="874"/>
      <c r="E2097" s="874"/>
      <c r="F2097" s="874"/>
      <c r="G2097" s="874"/>
      <c r="H2097" s="874"/>
      <c r="I2097" s="874"/>
      <c r="J2097" s="874"/>
    </row>
    <row r="2098" spans="2:10">
      <c r="B2098" s="873"/>
      <c r="C2098" s="874"/>
      <c r="D2098" s="874"/>
      <c r="E2098" s="874"/>
      <c r="F2098" s="874"/>
      <c r="G2098" s="874"/>
      <c r="H2098" s="874"/>
      <c r="I2098" s="874"/>
      <c r="J2098" s="874"/>
    </row>
    <row r="2099" spans="2:10">
      <c r="B2099" s="873"/>
      <c r="C2099" s="874"/>
      <c r="D2099" s="874"/>
      <c r="E2099" s="874"/>
      <c r="F2099" s="874"/>
      <c r="G2099" s="874"/>
      <c r="H2099" s="874"/>
      <c r="I2099" s="874"/>
      <c r="J2099" s="874"/>
    </row>
    <row r="2100" spans="2:10">
      <c r="B2100" s="873"/>
      <c r="C2100" s="874"/>
      <c r="D2100" s="874"/>
      <c r="E2100" s="874"/>
      <c r="F2100" s="874"/>
      <c r="G2100" s="874"/>
      <c r="H2100" s="874"/>
      <c r="I2100" s="874"/>
      <c r="J2100" s="874"/>
    </row>
    <row r="2101" spans="2:10">
      <c r="B2101" s="873"/>
      <c r="C2101" s="874"/>
      <c r="D2101" s="874"/>
      <c r="E2101" s="874"/>
      <c r="F2101" s="874"/>
      <c r="G2101" s="874"/>
      <c r="H2101" s="874"/>
      <c r="I2101" s="874"/>
      <c r="J2101" s="874"/>
    </row>
    <row r="2102" spans="2:10">
      <c r="B2102" s="873"/>
      <c r="C2102" s="874"/>
      <c r="D2102" s="874"/>
      <c r="E2102" s="874"/>
      <c r="F2102" s="874"/>
      <c r="G2102" s="874"/>
      <c r="H2102" s="874"/>
      <c r="I2102" s="874"/>
      <c r="J2102" s="874"/>
    </row>
    <row r="2103" spans="2:10">
      <c r="B2103" s="873"/>
      <c r="C2103" s="874"/>
      <c r="D2103" s="874"/>
      <c r="E2103" s="874"/>
      <c r="F2103" s="874"/>
      <c r="G2103" s="874"/>
      <c r="H2103" s="874"/>
      <c r="I2103" s="874"/>
      <c r="J2103" s="874"/>
    </row>
    <row r="2104" spans="2:10">
      <c r="B2104" s="873"/>
      <c r="C2104" s="874"/>
      <c r="D2104" s="874"/>
      <c r="E2104" s="874"/>
      <c r="F2104" s="874"/>
      <c r="G2104" s="874"/>
      <c r="H2104" s="874"/>
      <c r="I2104" s="874"/>
      <c r="J2104" s="874"/>
    </row>
    <row r="2105" spans="2:10">
      <c r="B2105" s="873"/>
      <c r="C2105" s="874"/>
      <c r="D2105" s="874"/>
      <c r="E2105" s="874"/>
      <c r="F2105" s="874"/>
      <c r="G2105" s="874"/>
      <c r="H2105" s="874"/>
      <c r="I2105" s="874"/>
      <c r="J2105" s="874"/>
    </row>
    <row r="2106" spans="2:10">
      <c r="B2106" s="873"/>
      <c r="C2106" s="874"/>
      <c r="D2106" s="874"/>
      <c r="E2106" s="874"/>
      <c r="F2106" s="874"/>
      <c r="G2106" s="874"/>
      <c r="H2106" s="874"/>
      <c r="I2106" s="874"/>
      <c r="J2106" s="874"/>
    </row>
    <row r="2107" spans="2:10">
      <c r="B2107" s="873"/>
      <c r="C2107" s="874"/>
      <c r="D2107" s="874"/>
      <c r="E2107" s="874"/>
      <c r="F2107" s="874"/>
      <c r="G2107" s="874"/>
      <c r="H2107" s="874"/>
      <c r="I2107" s="874"/>
      <c r="J2107" s="874"/>
    </row>
    <row r="2108" spans="2:10">
      <c r="B2108" s="873"/>
      <c r="C2108" s="874"/>
      <c r="D2108" s="874"/>
      <c r="E2108" s="874"/>
      <c r="F2108" s="874"/>
      <c r="G2108" s="874"/>
      <c r="H2108" s="874"/>
      <c r="I2108" s="874"/>
      <c r="J2108" s="874"/>
    </row>
    <row r="2109" spans="2:10">
      <c r="B2109" s="873"/>
      <c r="C2109" s="874"/>
      <c r="D2109" s="874"/>
      <c r="E2109" s="874"/>
      <c r="F2109" s="874"/>
      <c r="G2109" s="874"/>
      <c r="H2109" s="874"/>
      <c r="I2109" s="874"/>
      <c r="J2109" s="874"/>
    </row>
    <row r="2110" spans="2:10">
      <c r="B2110" s="873"/>
      <c r="C2110" s="874"/>
      <c r="D2110" s="874"/>
      <c r="E2110" s="874"/>
      <c r="F2110" s="874"/>
      <c r="G2110" s="874"/>
      <c r="H2110" s="874"/>
      <c r="I2110" s="874"/>
      <c r="J2110" s="874"/>
    </row>
    <row r="2111" spans="2:10">
      <c r="B2111" s="873"/>
      <c r="C2111" s="874"/>
      <c r="D2111" s="874"/>
      <c r="E2111" s="874"/>
      <c r="F2111" s="874"/>
      <c r="G2111" s="874"/>
      <c r="H2111" s="874"/>
      <c r="I2111" s="874"/>
      <c r="J2111" s="874"/>
    </row>
    <row r="2112" spans="2:10">
      <c r="B2112" s="873"/>
      <c r="C2112" s="874"/>
      <c r="D2112" s="874"/>
      <c r="E2112" s="874"/>
      <c r="F2112" s="874"/>
      <c r="G2112" s="874"/>
      <c r="H2112" s="874"/>
      <c r="I2112" s="874"/>
      <c r="J2112" s="874"/>
    </row>
    <row r="2113" spans="2:10">
      <c r="B2113" s="873"/>
      <c r="C2113" s="874"/>
      <c r="D2113" s="874"/>
      <c r="E2113" s="874"/>
      <c r="F2113" s="874"/>
      <c r="G2113" s="874"/>
      <c r="H2113" s="874"/>
      <c r="I2113" s="874"/>
      <c r="J2113" s="874"/>
    </row>
    <row r="2114" spans="2:10">
      <c r="B2114" s="873"/>
      <c r="C2114" s="874"/>
      <c r="D2114" s="874"/>
      <c r="E2114" s="874"/>
      <c r="F2114" s="874"/>
      <c r="G2114" s="874"/>
      <c r="H2114" s="874"/>
      <c r="I2114" s="874"/>
      <c r="J2114" s="874"/>
    </row>
    <row r="2115" spans="2:10">
      <c r="B2115" s="873"/>
      <c r="C2115" s="874"/>
      <c r="D2115" s="874"/>
      <c r="E2115" s="874"/>
      <c r="F2115" s="874"/>
      <c r="G2115" s="874"/>
      <c r="H2115" s="874"/>
      <c r="I2115" s="874"/>
      <c r="J2115" s="874"/>
    </row>
    <row r="2116" spans="2:10">
      <c r="B2116" s="873"/>
      <c r="C2116" s="874"/>
      <c r="D2116" s="874"/>
      <c r="E2116" s="874"/>
      <c r="F2116" s="874"/>
      <c r="G2116" s="874"/>
      <c r="H2116" s="874"/>
      <c r="I2116" s="874"/>
      <c r="J2116" s="874"/>
    </row>
    <row r="2117" spans="2:10">
      <c r="B2117" s="873"/>
      <c r="C2117" s="874"/>
      <c r="D2117" s="874"/>
      <c r="E2117" s="874"/>
      <c r="F2117" s="874"/>
      <c r="G2117" s="874"/>
      <c r="H2117" s="874"/>
      <c r="I2117" s="874"/>
      <c r="J2117" s="874"/>
    </row>
    <row r="2118" spans="2:10">
      <c r="B2118" s="873"/>
      <c r="C2118" s="874"/>
      <c r="D2118" s="874"/>
      <c r="E2118" s="874"/>
      <c r="F2118" s="874"/>
      <c r="G2118" s="874"/>
      <c r="H2118" s="874"/>
      <c r="I2118" s="874"/>
      <c r="J2118" s="874"/>
    </row>
    <row r="2119" spans="2:10">
      <c r="B2119" s="873"/>
      <c r="C2119" s="874"/>
      <c r="D2119" s="874"/>
      <c r="E2119" s="874"/>
      <c r="F2119" s="874"/>
      <c r="G2119" s="874"/>
      <c r="H2119" s="874"/>
      <c r="I2119" s="874"/>
      <c r="J2119" s="874"/>
    </row>
    <row r="2120" spans="2:10">
      <c r="B2120" s="873"/>
      <c r="C2120" s="874"/>
      <c r="D2120" s="874"/>
      <c r="E2120" s="874"/>
      <c r="F2120" s="874"/>
      <c r="G2120" s="874"/>
      <c r="H2120" s="874"/>
      <c r="I2120" s="874"/>
      <c r="J2120" s="874"/>
    </row>
    <row r="2121" spans="2:10">
      <c r="B2121" s="873"/>
      <c r="C2121" s="874"/>
      <c r="D2121" s="874"/>
      <c r="E2121" s="874"/>
      <c r="F2121" s="874"/>
      <c r="G2121" s="874"/>
      <c r="H2121" s="874"/>
      <c r="I2121" s="874"/>
      <c r="J2121" s="874"/>
    </row>
    <row r="2122" spans="2:10">
      <c r="B2122" s="873"/>
      <c r="C2122" s="874"/>
      <c r="D2122" s="874"/>
      <c r="E2122" s="874"/>
      <c r="F2122" s="874"/>
      <c r="G2122" s="874"/>
      <c r="H2122" s="874"/>
      <c r="I2122" s="874"/>
      <c r="J2122" s="874"/>
    </row>
    <row r="2123" spans="2:10">
      <c r="B2123" s="873"/>
      <c r="C2123" s="874"/>
      <c r="D2123" s="874"/>
      <c r="E2123" s="874"/>
      <c r="F2123" s="874"/>
      <c r="G2123" s="874"/>
      <c r="H2123" s="874"/>
      <c r="I2123" s="874"/>
      <c r="J2123" s="874"/>
    </row>
    <row r="2124" spans="2:10">
      <c r="B2124" s="873"/>
      <c r="C2124" s="874"/>
      <c r="D2124" s="874"/>
      <c r="E2124" s="874"/>
      <c r="F2124" s="874"/>
      <c r="G2124" s="874"/>
      <c r="H2124" s="874"/>
      <c r="I2124" s="874"/>
      <c r="J2124" s="874"/>
    </row>
    <row r="2125" spans="2:10">
      <c r="B2125" s="873"/>
      <c r="C2125" s="874"/>
      <c r="D2125" s="874"/>
      <c r="E2125" s="874"/>
      <c r="F2125" s="874"/>
      <c r="G2125" s="874"/>
      <c r="H2125" s="874"/>
      <c r="I2125" s="874"/>
      <c r="J2125" s="874"/>
    </row>
    <row r="2126" spans="2:10">
      <c r="B2126" s="873"/>
      <c r="C2126" s="874"/>
      <c r="D2126" s="874"/>
      <c r="E2126" s="874"/>
      <c r="F2126" s="874"/>
      <c r="G2126" s="874"/>
      <c r="H2126" s="874"/>
      <c r="I2126" s="874"/>
      <c r="J2126" s="874"/>
    </row>
    <row r="2127" spans="2:10">
      <c r="B2127" s="873"/>
      <c r="C2127" s="874"/>
      <c r="D2127" s="874"/>
      <c r="E2127" s="874"/>
      <c r="F2127" s="874"/>
      <c r="G2127" s="874"/>
      <c r="H2127" s="874"/>
      <c r="I2127" s="874"/>
      <c r="J2127" s="874"/>
    </row>
    <row r="2128" spans="2:10">
      <c r="B2128" s="873"/>
      <c r="C2128" s="874"/>
      <c r="D2128" s="874"/>
      <c r="E2128" s="874"/>
      <c r="F2128" s="874"/>
      <c r="G2128" s="874"/>
      <c r="H2128" s="874"/>
      <c r="I2128" s="874"/>
      <c r="J2128" s="874"/>
    </row>
    <row r="2129" spans="2:10">
      <c r="B2129" s="873"/>
      <c r="C2129" s="874"/>
      <c r="D2129" s="874"/>
      <c r="E2129" s="874"/>
      <c r="F2129" s="874"/>
      <c r="G2129" s="874"/>
      <c r="H2129" s="874"/>
      <c r="I2129" s="874"/>
      <c r="J2129" s="874"/>
    </row>
    <row r="2130" spans="2:10">
      <c r="B2130" s="873"/>
      <c r="C2130" s="874"/>
      <c r="D2130" s="874"/>
      <c r="E2130" s="874"/>
      <c r="F2130" s="874"/>
      <c r="G2130" s="874"/>
      <c r="H2130" s="874"/>
      <c r="I2130" s="874"/>
      <c r="J2130" s="874"/>
    </row>
    <row r="2131" spans="2:10">
      <c r="B2131" s="873"/>
      <c r="C2131" s="874"/>
      <c r="D2131" s="874"/>
      <c r="E2131" s="874"/>
      <c r="F2131" s="874"/>
      <c r="G2131" s="874"/>
      <c r="H2131" s="874"/>
      <c r="I2131" s="874"/>
      <c r="J2131" s="874"/>
    </row>
    <row r="2132" spans="2:10">
      <c r="B2132" s="873"/>
      <c r="C2132" s="874"/>
      <c r="D2132" s="874"/>
      <c r="E2132" s="874"/>
      <c r="F2132" s="874"/>
      <c r="G2132" s="874"/>
      <c r="H2132" s="874"/>
      <c r="I2132" s="874"/>
      <c r="J2132" s="874"/>
    </row>
    <row r="2133" spans="2:10">
      <c r="B2133" s="873"/>
      <c r="C2133" s="874"/>
      <c r="D2133" s="874"/>
      <c r="E2133" s="874"/>
      <c r="F2133" s="874"/>
      <c r="G2133" s="874"/>
      <c r="H2133" s="874"/>
      <c r="I2133" s="874"/>
      <c r="J2133" s="874"/>
    </row>
    <row r="2134" spans="2:10">
      <c r="B2134" s="873"/>
      <c r="C2134" s="874"/>
      <c r="D2134" s="874"/>
      <c r="E2134" s="874"/>
      <c r="F2134" s="874"/>
      <c r="G2134" s="874"/>
      <c r="H2134" s="874"/>
      <c r="I2134" s="874"/>
      <c r="J2134" s="874"/>
    </row>
    <row r="2135" spans="2:10">
      <c r="B2135" s="873"/>
      <c r="C2135" s="874"/>
      <c r="D2135" s="874"/>
      <c r="E2135" s="874"/>
      <c r="F2135" s="874"/>
      <c r="G2135" s="874"/>
      <c r="H2135" s="874"/>
      <c r="I2135" s="874"/>
      <c r="J2135" s="874"/>
    </row>
    <row r="2136" spans="2:10">
      <c r="B2136" s="873"/>
      <c r="C2136" s="874"/>
      <c r="D2136" s="874"/>
      <c r="E2136" s="874"/>
      <c r="F2136" s="874"/>
      <c r="G2136" s="874"/>
      <c r="H2136" s="874"/>
      <c r="I2136" s="874"/>
      <c r="J2136" s="874"/>
    </row>
    <row r="2137" spans="2:10">
      <c r="B2137" s="873"/>
      <c r="C2137" s="874"/>
      <c r="D2137" s="874"/>
      <c r="E2137" s="874"/>
      <c r="F2137" s="874"/>
      <c r="G2137" s="874"/>
      <c r="H2137" s="874"/>
      <c r="I2137" s="874"/>
      <c r="J2137" s="874"/>
    </row>
    <row r="2138" spans="2:10">
      <c r="B2138" s="873"/>
      <c r="C2138" s="874"/>
      <c r="D2138" s="874"/>
      <c r="E2138" s="874"/>
      <c r="F2138" s="874"/>
      <c r="G2138" s="874"/>
      <c r="H2138" s="874"/>
      <c r="I2138" s="874"/>
      <c r="J2138" s="874"/>
    </row>
    <row r="2139" spans="2:10">
      <c r="B2139" s="873"/>
      <c r="C2139" s="874"/>
      <c r="D2139" s="874"/>
      <c r="E2139" s="874"/>
      <c r="F2139" s="874"/>
      <c r="G2139" s="874"/>
      <c r="H2139" s="874"/>
      <c r="I2139" s="874"/>
      <c r="J2139" s="874"/>
    </row>
    <row r="2140" spans="2:10">
      <c r="B2140" s="873"/>
      <c r="C2140" s="874"/>
      <c r="D2140" s="874"/>
      <c r="E2140" s="874"/>
      <c r="F2140" s="874"/>
      <c r="G2140" s="874"/>
      <c r="H2140" s="874"/>
      <c r="I2140" s="874"/>
      <c r="J2140" s="874"/>
    </row>
    <row r="2141" spans="2:10">
      <c r="B2141" s="873"/>
      <c r="C2141" s="874"/>
      <c r="D2141" s="874"/>
      <c r="E2141" s="874"/>
      <c r="F2141" s="874"/>
      <c r="G2141" s="874"/>
      <c r="H2141" s="874"/>
      <c r="I2141" s="874"/>
      <c r="J2141" s="874"/>
    </row>
    <row r="2142" spans="2:10">
      <c r="B2142" s="873"/>
      <c r="C2142" s="874"/>
      <c r="D2142" s="874"/>
      <c r="E2142" s="874"/>
      <c r="F2142" s="874"/>
      <c r="G2142" s="874"/>
      <c r="H2142" s="874"/>
      <c r="I2142" s="874"/>
      <c r="J2142" s="874"/>
    </row>
    <row r="2143" spans="2:10">
      <c r="B2143" s="873"/>
      <c r="C2143" s="874"/>
      <c r="D2143" s="874"/>
      <c r="E2143" s="874"/>
      <c r="F2143" s="874"/>
      <c r="G2143" s="874"/>
      <c r="H2143" s="874"/>
      <c r="I2143" s="874"/>
      <c r="J2143" s="874"/>
    </row>
    <row r="2144" spans="2:10">
      <c r="B2144" s="873"/>
      <c r="C2144" s="874"/>
      <c r="D2144" s="874"/>
      <c r="E2144" s="874"/>
      <c r="F2144" s="874"/>
      <c r="G2144" s="874"/>
      <c r="H2144" s="874"/>
      <c r="I2144" s="874"/>
      <c r="J2144" s="874"/>
    </row>
    <row r="2145" spans="2:10">
      <c r="B2145" s="873"/>
      <c r="C2145" s="874"/>
      <c r="D2145" s="874"/>
      <c r="E2145" s="874"/>
      <c r="F2145" s="874"/>
      <c r="G2145" s="874"/>
      <c r="H2145" s="874"/>
      <c r="I2145" s="874"/>
      <c r="J2145" s="874"/>
    </row>
    <row r="2146" spans="2:10">
      <c r="B2146" s="873"/>
      <c r="C2146" s="874"/>
      <c r="D2146" s="874"/>
      <c r="E2146" s="874"/>
      <c r="F2146" s="874"/>
      <c r="G2146" s="874"/>
      <c r="H2146" s="874"/>
      <c r="I2146" s="874"/>
      <c r="J2146" s="874"/>
    </row>
    <row r="2147" spans="2:10">
      <c r="B2147" s="873"/>
      <c r="C2147" s="874"/>
      <c r="D2147" s="874"/>
      <c r="E2147" s="874"/>
      <c r="F2147" s="874"/>
      <c r="G2147" s="874"/>
      <c r="H2147" s="874"/>
      <c r="I2147" s="874"/>
      <c r="J2147" s="874"/>
    </row>
    <row r="2148" spans="2:10">
      <c r="B2148" s="873"/>
      <c r="C2148" s="874"/>
      <c r="D2148" s="874"/>
      <c r="E2148" s="874"/>
      <c r="F2148" s="874"/>
      <c r="G2148" s="874"/>
      <c r="H2148" s="874"/>
      <c r="I2148" s="874"/>
      <c r="J2148" s="874"/>
    </row>
    <row r="2149" spans="2:10">
      <c r="B2149" s="873"/>
      <c r="C2149" s="874"/>
      <c r="D2149" s="874"/>
      <c r="E2149" s="874"/>
      <c r="F2149" s="874"/>
      <c r="G2149" s="874"/>
      <c r="H2149" s="874"/>
      <c r="I2149" s="874"/>
      <c r="J2149" s="874"/>
    </row>
    <row r="2150" spans="2:10">
      <c r="B2150" s="873"/>
      <c r="C2150" s="874"/>
      <c r="D2150" s="874"/>
      <c r="E2150" s="874"/>
      <c r="F2150" s="874"/>
      <c r="G2150" s="874"/>
      <c r="H2150" s="874"/>
      <c r="I2150" s="874"/>
      <c r="J2150" s="874"/>
    </row>
    <row r="2151" spans="2:10">
      <c r="B2151" s="873"/>
      <c r="C2151" s="874"/>
      <c r="D2151" s="874"/>
      <c r="E2151" s="874"/>
      <c r="F2151" s="874"/>
      <c r="G2151" s="874"/>
      <c r="H2151" s="874"/>
      <c r="I2151" s="874"/>
      <c r="J2151" s="874"/>
    </row>
    <row r="2152" spans="2:10">
      <c r="B2152" s="873"/>
      <c r="C2152" s="874"/>
      <c r="D2152" s="874"/>
      <c r="E2152" s="874"/>
      <c r="F2152" s="874"/>
      <c r="G2152" s="874"/>
      <c r="H2152" s="874"/>
      <c r="I2152" s="874"/>
      <c r="J2152" s="874"/>
    </row>
    <row r="2153" spans="2:10">
      <c r="B2153" s="873"/>
      <c r="C2153" s="874"/>
      <c r="D2153" s="874"/>
      <c r="E2153" s="874"/>
      <c r="F2153" s="874"/>
      <c r="G2153" s="874"/>
      <c r="H2153" s="874"/>
      <c r="I2153" s="874"/>
      <c r="J2153" s="874"/>
    </row>
    <row r="2154" spans="2:10">
      <c r="B2154" s="873"/>
      <c r="C2154" s="874"/>
      <c r="D2154" s="874"/>
      <c r="E2154" s="874"/>
      <c r="F2154" s="874"/>
      <c r="G2154" s="874"/>
      <c r="H2154" s="874"/>
      <c r="I2154" s="874"/>
      <c r="J2154" s="874"/>
    </row>
    <row r="2155" spans="2:10">
      <c r="B2155" s="873"/>
      <c r="C2155" s="874"/>
      <c r="D2155" s="874"/>
      <c r="E2155" s="874"/>
      <c r="F2155" s="874"/>
      <c r="G2155" s="874"/>
      <c r="H2155" s="874"/>
      <c r="I2155" s="874"/>
      <c r="J2155" s="874"/>
    </row>
    <row r="2156" spans="2:10">
      <c r="B2156" s="873"/>
      <c r="C2156" s="874"/>
      <c r="D2156" s="874"/>
      <c r="E2156" s="874"/>
      <c r="F2156" s="874"/>
      <c r="G2156" s="874"/>
      <c r="H2156" s="874"/>
      <c r="I2156" s="874"/>
      <c r="J2156" s="874"/>
    </row>
    <row r="2157" spans="2:10">
      <c r="B2157" s="873"/>
      <c r="C2157" s="874"/>
      <c r="D2157" s="874"/>
      <c r="E2157" s="874"/>
      <c r="F2157" s="874"/>
      <c r="G2157" s="874"/>
      <c r="H2157" s="874"/>
      <c r="I2157" s="874"/>
      <c r="J2157" s="874"/>
    </row>
    <row r="2158" spans="2:10">
      <c r="B2158" s="873"/>
      <c r="C2158" s="874"/>
      <c r="D2158" s="874"/>
      <c r="E2158" s="874"/>
      <c r="F2158" s="874"/>
      <c r="G2158" s="874"/>
      <c r="H2158" s="874"/>
      <c r="I2158" s="874"/>
      <c r="J2158" s="874"/>
    </row>
    <row r="2159" spans="2:10">
      <c r="B2159" s="873"/>
      <c r="C2159" s="874"/>
      <c r="D2159" s="874"/>
      <c r="E2159" s="874"/>
      <c r="F2159" s="874"/>
      <c r="G2159" s="874"/>
      <c r="H2159" s="874"/>
      <c r="I2159" s="874"/>
      <c r="J2159" s="874"/>
    </row>
    <row r="2160" spans="2:10">
      <c r="B2160" s="873"/>
      <c r="C2160" s="874"/>
      <c r="D2160" s="874"/>
      <c r="E2160" s="874"/>
      <c r="F2160" s="874"/>
      <c r="G2160" s="874"/>
      <c r="H2160" s="874"/>
      <c r="I2160" s="874"/>
      <c r="J2160" s="874"/>
    </row>
    <row r="2161" spans="2:10">
      <c r="B2161" s="873"/>
      <c r="C2161" s="874"/>
      <c r="D2161" s="874"/>
      <c r="E2161" s="874"/>
      <c r="F2161" s="874"/>
      <c r="G2161" s="874"/>
      <c r="H2161" s="874"/>
      <c r="I2161" s="874"/>
      <c r="J2161" s="874"/>
    </row>
    <row r="2162" spans="2:10">
      <c r="B2162" s="873"/>
      <c r="C2162" s="874"/>
      <c r="D2162" s="874"/>
      <c r="E2162" s="874"/>
      <c r="F2162" s="874"/>
      <c r="G2162" s="874"/>
      <c r="H2162" s="874"/>
      <c r="I2162" s="874"/>
      <c r="J2162" s="874"/>
    </row>
    <row r="2163" spans="2:10">
      <c r="B2163" s="873"/>
      <c r="C2163" s="874"/>
      <c r="D2163" s="874"/>
      <c r="E2163" s="874"/>
      <c r="F2163" s="874"/>
      <c r="G2163" s="874"/>
      <c r="H2163" s="874"/>
      <c r="I2163" s="874"/>
      <c r="J2163" s="874"/>
    </row>
    <row r="2164" spans="2:10">
      <c r="B2164" s="873"/>
      <c r="C2164" s="874"/>
      <c r="D2164" s="874"/>
      <c r="E2164" s="874"/>
      <c r="F2164" s="874"/>
      <c r="G2164" s="874"/>
      <c r="H2164" s="874"/>
      <c r="I2164" s="874"/>
      <c r="J2164" s="874"/>
    </row>
    <row r="2165" spans="2:10">
      <c r="B2165" s="873"/>
      <c r="C2165" s="874"/>
      <c r="D2165" s="874"/>
      <c r="E2165" s="874"/>
      <c r="F2165" s="874"/>
      <c r="G2165" s="874"/>
      <c r="H2165" s="874"/>
      <c r="I2165" s="874"/>
      <c r="J2165" s="874"/>
    </row>
    <row r="2166" spans="2:10">
      <c r="B2166" s="873"/>
      <c r="C2166" s="874"/>
      <c r="D2166" s="874"/>
      <c r="E2166" s="874"/>
      <c r="F2166" s="874"/>
      <c r="G2166" s="874"/>
      <c r="H2166" s="874"/>
      <c r="I2166" s="874"/>
      <c r="J2166" s="874"/>
    </row>
    <row r="2167" spans="2:10">
      <c r="B2167" s="873"/>
      <c r="C2167" s="874"/>
      <c r="D2167" s="874"/>
      <c r="E2167" s="874"/>
      <c r="F2167" s="874"/>
      <c r="G2167" s="874"/>
      <c r="H2167" s="874"/>
      <c r="I2167" s="874"/>
      <c r="J2167" s="874"/>
    </row>
    <row r="2168" spans="2:10">
      <c r="B2168" s="873"/>
      <c r="C2168" s="874"/>
      <c r="D2168" s="874"/>
      <c r="E2168" s="874"/>
      <c r="F2168" s="874"/>
      <c r="G2168" s="874"/>
      <c r="H2168" s="874"/>
      <c r="I2168" s="874"/>
      <c r="J2168" s="874"/>
    </row>
    <row r="2169" spans="2:10">
      <c r="B2169" s="873"/>
      <c r="C2169" s="874"/>
      <c r="D2169" s="874"/>
      <c r="E2169" s="874"/>
      <c r="F2169" s="874"/>
      <c r="G2169" s="874"/>
      <c r="H2169" s="874"/>
      <c r="I2169" s="874"/>
      <c r="J2169" s="874"/>
    </row>
    <row r="2170" spans="2:10">
      <c r="B2170" s="873"/>
      <c r="C2170" s="874"/>
      <c r="D2170" s="874"/>
      <c r="E2170" s="874"/>
      <c r="F2170" s="874"/>
      <c r="G2170" s="874"/>
      <c r="H2170" s="874"/>
      <c r="I2170" s="874"/>
      <c r="J2170" s="874"/>
    </row>
    <row r="2171" spans="2:10">
      <c r="B2171" s="873"/>
      <c r="C2171" s="874"/>
      <c r="D2171" s="874"/>
      <c r="E2171" s="874"/>
      <c r="F2171" s="874"/>
      <c r="G2171" s="874"/>
      <c r="H2171" s="874"/>
      <c r="I2171" s="874"/>
      <c r="J2171" s="874"/>
    </row>
    <row r="2172" spans="2:10">
      <c r="B2172" s="873"/>
      <c r="C2172" s="874"/>
      <c r="D2172" s="874"/>
      <c r="E2172" s="874"/>
      <c r="F2172" s="874"/>
      <c r="G2172" s="874"/>
      <c r="H2172" s="874"/>
      <c r="I2172" s="874"/>
      <c r="J2172" s="874"/>
    </row>
    <row r="2173" spans="2:10">
      <c r="B2173" s="873"/>
      <c r="C2173" s="874"/>
      <c r="D2173" s="874"/>
      <c r="E2173" s="874"/>
      <c r="F2173" s="874"/>
      <c r="G2173" s="874"/>
      <c r="H2173" s="874"/>
      <c r="I2173" s="874"/>
      <c r="J2173" s="874"/>
    </row>
    <row r="2174" spans="2:10">
      <c r="B2174" s="873"/>
      <c r="C2174" s="874"/>
      <c r="D2174" s="874"/>
      <c r="E2174" s="874"/>
      <c r="F2174" s="874"/>
      <c r="G2174" s="874"/>
      <c r="H2174" s="874"/>
      <c r="I2174" s="874"/>
      <c r="J2174" s="874"/>
    </row>
    <row r="2175" spans="2:10">
      <c r="B2175" s="873"/>
      <c r="C2175" s="874"/>
      <c r="D2175" s="874"/>
      <c r="E2175" s="874"/>
      <c r="F2175" s="874"/>
      <c r="G2175" s="874"/>
      <c r="H2175" s="874"/>
      <c r="I2175" s="874"/>
      <c r="J2175" s="874"/>
    </row>
    <row r="2176" spans="2:10">
      <c r="B2176" s="873"/>
      <c r="C2176" s="874"/>
      <c r="D2176" s="874"/>
      <c r="E2176" s="874"/>
      <c r="F2176" s="874"/>
      <c r="G2176" s="874"/>
      <c r="H2176" s="874"/>
      <c r="I2176" s="874"/>
      <c r="J2176" s="874"/>
    </row>
    <row r="2177" spans="2:10">
      <c r="B2177" s="873"/>
      <c r="C2177" s="874"/>
      <c r="D2177" s="874"/>
      <c r="E2177" s="874"/>
      <c r="F2177" s="874"/>
      <c r="G2177" s="874"/>
      <c r="H2177" s="874"/>
      <c r="I2177" s="874"/>
      <c r="J2177" s="874"/>
    </row>
    <row r="2178" spans="2:10">
      <c r="B2178" s="873"/>
      <c r="C2178" s="874"/>
      <c r="D2178" s="874"/>
      <c r="E2178" s="874"/>
      <c r="F2178" s="874"/>
      <c r="G2178" s="874"/>
      <c r="H2178" s="874"/>
      <c r="I2178" s="874"/>
      <c r="J2178" s="874"/>
    </row>
    <row r="2179" spans="2:10">
      <c r="B2179" s="873"/>
      <c r="C2179" s="874"/>
      <c r="D2179" s="874"/>
      <c r="E2179" s="874"/>
      <c r="F2179" s="874"/>
      <c r="G2179" s="874"/>
      <c r="H2179" s="874"/>
      <c r="I2179" s="874"/>
      <c r="J2179" s="874"/>
    </row>
    <row r="2180" spans="2:10">
      <c r="B2180" s="873"/>
      <c r="C2180" s="874"/>
      <c r="D2180" s="874"/>
      <c r="E2180" s="874"/>
      <c r="F2180" s="874"/>
      <c r="G2180" s="874"/>
      <c r="H2180" s="874"/>
      <c r="I2180" s="874"/>
      <c r="J2180" s="874"/>
    </row>
    <row r="2181" spans="2:10">
      <c r="B2181" s="873"/>
      <c r="C2181" s="874"/>
      <c r="D2181" s="874"/>
      <c r="E2181" s="874"/>
      <c r="F2181" s="874"/>
      <c r="G2181" s="874"/>
      <c r="H2181" s="874"/>
      <c r="I2181" s="874"/>
      <c r="J2181" s="874"/>
    </row>
    <row r="2182" spans="2:10">
      <c r="B2182" s="873"/>
      <c r="C2182" s="874"/>
      <c r="D2182" s="874"/>
      <c r="E2182" s="874"/>
      <c r="F2182" s="874"/>
      <c r="G2182" s="874"/>
      <c r="H2182" s="874"/>
      <c r="I2182" s="874"/>
      <c r="J2182" s="874"/>
    </row>
    <row r="2183" spans="2:10">
      <c r="B2183" s="873"/>
      <c r="C2183" s="874"/>
      <c r="D2183" s="874"/>
      <c r="E2183" s="874"/>
      <c r="F2183" s="874"/>
      <c r="G2183" s="874"/>
      <c r="H2183" s="874"/>
      <c r="I2183" s="874"/>
      <c r="J2183" s="874"/>
    </row>
    <row r="2184" spans="2:10">
      <c r="B2184" s="873"/>
      <c r="C2184" s="874"/>
      <c r="D2184" s="874"/>
      <c r="E2184" s="874"/>
      <c r="F2184" s="874"/>
      <c r="G2184" s="874"/>
      <c r="H2184" s="874"/>
      <c r="I2184" s="874"/>
      <c r="J2184" s="874"/>
    </row>
    <row r="2185" spans="2:10">
      <c r="B2185" s="873"/>
      <c r="C2185" s="874"/>
      <c r="D2185" s="874"/>
      <c r="E2185" s="874"/>
      <c r="F2185" s="874"/>
      <c r="G2185" s="874"/>
      <c r="H2185" s="874"/>
      <c r="I2185" s="874"/>
      <c r="J2185" s="874"/>
    </row>
    <row r="2186" spans="2:10">
      <c r="B2186" s="873"/>
      <c r="C2186" s="874"/>
      <c r="D2186" s="874"/>
      <c r="E2186" s="874"/>
      <c r="F2186" s="874"/>
      <c r="G2186" s="874"/>
      <c r="H2186" s="874"/>
      <c r="I2186" s="874"/>
      <c r="J2186" s="874"/>
    </row>
    <row r="2187" spans="2:10">
      <c r="B2187" s="873"/>
      <c r="C2187" s="874"/>
      <c r="D2187" s="874"/>
      <c r="E2187" s="874"/>
      <c r="F2187" s="874"/>
      <c r="G2187" s="874"/>
      <c r="H2187" s="874"/>
      <c r="I2187" s="874"/>
      <c r="J2187" s="874"/>
    </row>
    <row r="2188" spans="2:10">
      <c r="B2188" s="873"/>
      <c r="C2188" s="874"/>
      <c r="D2188" s="874"/>
      <c r="E2188" s="874"/>
      <c r="F2188" s="874"/>
      <c r="G2188" s="874"/>
      <c r="H2188" s="874"/>
      <c r="I2188" s="874"/>
      <c r="J2188" s="874"/>
    </row>
    <row r="2189" spans="2:10">
      <c r="B2189" s="873"/>
      <c r="C2189" s="874"/>
      <c r="D2189" s="874"/>
      <c r="E2189" s="874"/>
      <c r="F2189" s="874"/>
      <c r="G2189" s="874"/>
      <c r="H2189" s="874"/>
      <c r="I2189" s="874"/>
      <c r="J2189" s="874"/>
    </row>
    <row r="2190" spans="2:10">
      <c r="B2190" s="873"/>
      <c r="C2190" s="874"/>
      <c r="D2190" s="874"/>
      <c r="E2190" s="874"/>
      <c r="F2190" s="874"/>
      <c r="G2190" s="874"/>
      <c r="H2190" s="874"/>
      <c r="I2190" s="874"/>
      <c r="J2190" s="874"/>
    </row>
    <row r="2191" spans="2:10">
      <c r="B2191" s="873"/>
      <c r="C2191" s="874"/>
      <c r="D2191" s="874"/>
      <c r="E2191" s="874"/>
      <c r="F2191" s="874"/>
      <c r="G2191" s="874"/>
      <c r="H2191" s="874"/>
      <c r="I2191" s="874"/>
      <c r="J2191" s="874"/>
    </row>
    <row r="2192" spans="2:10">
      <c r="B2192" s="873"/>
      <c r="C2192" s="874"/>
      <c r="D2192" s="874"/>
      <c r="E2192" s="874"/>
      <c r="F2192" s="874"/>
      <c r="G2192" s="874"/>
      <c r="H2192" s="874"/>
      <c r="I2192" s="874"/>
      <c r="J2192" s="874"/>
    </row>
    <row r="2193" spans="2:10">
      <c r="B2193" s="873"/>
      <c r="C2193" s="874"/>
      <c r="D2193" s="874"/>
      <c r="E2193" s="874"/>
      <c r="F2193" s="874"/>
      <c r="G2193" s="874"/>
      <c r="H2193" s="874"/>
      <c r="I2193" s="874"/>
      <c r="J2193" s="874"/>
    </row>
    <row r="2194" spans="2:10">
      <c r="B2194" s="873"/>
      <c r="C2194" s="874"/>
      <c r="D2194" s="874"/>
      <c r="E2194" s="874"/>
      <c r="F2194" s="874"/>
      <c r="G2194" s="874"/>
      <c r="H2194" s="874"/>
      <c r="I2194" s="874"/>
      <c r="J2194" s="874"/>
    </row>
    <row r="2195" spans="2:10">
      <c r="B2195" s="873"/>
      <c r="C2195" s="874"/>
      <c r="D2195" s="874"/>
      <c r="E2195" s="874"/>
      <c r="F2195" s="874"/>
      <c r="G2195" s="874"/>
      <c r="H2195" s="874"/>
      <c r="I2195" s="874"/>
      <c r="J2195" s="874"/>
    </row>
    <row r="2196" spans="2:10">
      <c r="B2196" s="873"/>
      <c r="C2196" s="874"/>
      <c r="D2196" s="874"/>
      <c r="E2196" s="874"/>
      <c r="F2196" s="874"/>
      <c r="G2196" s="874"/>
      <c r="H2196" s="874"/>
      <c r="I2196" s="874"/>
      <c r="J2196" s="874"/>
    </row>
    <row r="2197" spans="2:10">
      <c r="B2197" s="873"/>
      <c r="C2197" s="874"/>
      <c r="D2197" s="874"/>
      <c r="E2197" s="874"/>
      <c r="F2197" s="874"/>
      <c r="G2197" s="874"/>
      <c r="H2197" s="874"/>
      <c r="I2197" s="874"/>
      <c r="J2197" s="874"/>
    </row>
    <row r="2198" spans="2:10">
      <c r="B2198" s="873"/>
      <c r="C2198" s="874"/>
      <c r="D2198" s="874"/>
      <c r="E2198" s="874"/>
      <c r="F2198" s="874"/>
      <c r="G2198" s="874"/>
      <c r="H2198" s="874"/>
      <c r="I2198" s="874"/>
      <c r="J2198" s="874"/>
    </row>
    <row r="2199" spans="2:10">
      <c r="B2199" s="873"/>
      <c r="C2199" s="874"/>
      <c r="D2199" s="874"/>
      <c r="E2199" s="874"/>
      <c r="F2199" s="874"/>
      <c r="G2199" s="874"/>
      <c r="H2199" s="874"/>
      <c r="I2199" s="874"/>
      <c r="J2199" s="874"/>
    </row>
    <row r="2200" spans="2:10">
      <c r="B2200" s="873"/>
      <c r="C2200" s="874"/>
      <c r="D2200" s="874"/>
      <c r="E2200" s="874"/>
      <c r="F2200" s="874"/>
      <c r="G2200" s="874"/>
      <c r="H2200" s="874"/>
      <c r="I2200" s="874"/>
      <c r="J2200" s="874"/>
    </row>
    <row r="2201" spans="2:10">
      <c r="B2201" s="873"/>
      <c r="C2201" s="874"/>
      <c r="D2201" s="874"/>
      <c r="E2201" s="874"/>
      <c r="F2201" s="874"/>
      <c r="G2201" s="874"/>
      <c r="H2201" s="874"/>
      <c r="I2201" s="874"/>
      <c r="J2201" s="874"/>
    </row>
    <row r="2202" spans="2:10">
      <c r="B2202" s="873"/>
      <c r="C2202" s="874"/>
      <c r="D2202" s="874"/>
      <c r="E2202" s="874"/>
      <c r="F2202" s="874"/>
      <c r="G2202" s="874"/>
      <c r="H2202" s="874"/>
      <c r="I2202" s="874"/>
      <c r="J2202" s="874"/>
    </row>
    <row r="2203" spans="2:10">
      <c r="B2203" s="873"/>
      <c r="C2203" s="874"/>
      <c r="D2203" s="874"/>
      <c r="E2203" s="874"/>
      <c r="F2203" s="874"/>
      <c r="G2203" s="874"/>
      <c r="H2203" s="874"/>
      <c r="I2203" s="874"/>
      <c r="J2203" s="874"/>
    </row>
    <row r="2204" spans="2:10">
      <c r="B2204" s="873"/>
      <c r="C2204" s="874"/>
      <c r="D2204" s="874"/>
      <c r="E2204" s="874"/>
      <c r="F2204" s="874"/>
      <c r="G2204" s="874"/>
      <c r="H2204" s="874"/>
      <c r="I2204" s="874"/>
      <c r="J2204" s="874"/>
    </row>
    <row r="2205" spans="2:10">
      <c r="B2205" s="873"/>
      <c r="C2205" s="874"/>
      <c r="D2205" s="874"/>
      <c r="E2205" s="874"/>
      <c r="F2205" s="874"/>
      <c r="G2205" s="874"/>
      <c r="H2205" s="874"/>
      <c r="I2205" s="874"/>
      <c r="J2205" s="874"/>
    </row>
    <row r="2206" spans="2:10">
      <c r="B2206" s="873"/>
      <c r="C2206" s="874"/>
      <c r="D2206" s="874"/>
      <c r="E2206" s="874"/>
      <c r="F2206" s="874"/>
      <c r="G2206" s="874"/>
      <c r="H2206" s="874"/>
      <c r="I2206" s="874"/>
      <c r="J2206" s="874"/>
    </row>
    <row r="2207" spans="2:10">
      <c r="B2207" s="873"/>
      <c r="C2207" s="874"/>
      <c r="D2207" s="874"/>
      <c r="E2207" s="874"/>
      <c r="F2207" s="874"/>
      <c r="G2207" s="874"/>
      <c r="H2207" s="874"/>
      <c r="I2207" s="874"/>
      <c r="J2207" s="874"/>
    </row>
    <row r="2208" spans="2:10">
      <c r="B2208" s="873"/>
      <c r="C2208" s="874"/>
      <c r="D2208" s="874"/>
      <c r="E2208" s="874"/>
      <c r="F2208" s="874"/>
      <c r="G2208" s="874"/>
      <c r="H2208" s="874"/>
      <c r="I2208" s="874"/>
      <c r="J2208" s="874"/>
    </row>
    <row r="2209" spans="2:10">
      <c r="B2209" s="873"/>
      <c r="C2209" s="874"/>
      <c r="D2209" s="874"/>
      <c r="E2209" s="874"/>
      <c r="F2209" s="874"/>
      <c r="G2209" s="874"/>
      <c r="H2209" s="874"/>
      <c r="I2209" s="874"/>
      <c r="J2209" s="874"/>
    </row>
    <row r="2210" spans="2:10">
      <c r="B2210" s="873"/>
      <c r="C2210" s="874"/>
      <c r="D2210" s="874"/>
      <c r="E2210" s="874"/>
      <c r="F2210" s="874"/>
      <c r="G2210" s="874"/>
      <c r="H2210" s="874"/>
      <c r="I2210" s="874"/>
      <c r="J2210" s="874"/>
    </row>
    <row r="2211" spans="2:10">
      <c r="B2211" s="873"/>
      <c r="C2211" s="874"/>
      <c r="D2211" s="874"/>
      <c r="E2211" s="874"/>
      <c r="F2211" s="874"/>
      <c r="G2211" s="874"/>
      <c r="H2211" s="874"/>
      <c r="I2211" s="874"/>
      <c r="J2211" s="874"/>
    </row>
    <row r="2212" spans="2:10">
      <c r="B2212" s="873"/>
      <c r="C2212" s="874"/>
      <c r="D2212" s="874"/>
      <c r="E2212" s="874"/>
      <c r="F2212" s="874"/>
      <c r="G2212" s="874"/>
      <c r="H2212" s="874"/>
      <c r="I2212" s="874"/>
      <c r="J2212" s="874"/>
    </row>
    <row r="2213" spans="2:10">
      <c r="B2213" s="873"/>
      <c r="C2213" s="874"/>
      <c r="D2213" s="874"/>
      <c r="E2213" s="874"/>
      <c r="F2213" s="874"/>
      <c r="G2213" s="874"/>
      <c r="H2213" s="874"/>
      <c r="I2213" s="874"/>
      <c r="J2213" s="874"/>
    </row>
    <row r="2214" spans="2:10">
      <c r="B2214" s="873"/>
      <c r="C2214" s="874"/>
      <c r="D2214" s="874"/>
      <c r="E2214" s="874"/>
      <c r="F2214" s="874"/>
      <c r="G2214" s="874"/>
      <c r="H2214" s="874"/>
      <c r="I2214" s="874"/>
      <c r="J2214" s="874"/>
    </row>
    <row r="2215" spans="2:10">
      <c r="B2215" s="873"/>
      <c r="C2215" s="874"/>
      <c r="D2215" s="874"/>
      <c r="E2215" s="874"/>
      <c r="F2215" s="874"/>
      <c r="G2215" s="874"/>
      <c r="H2215" s="874"/>
      <c r="I2215" s="874"/>
      <c r="J2215" s="874"/>
    </row>
    <row r="2216" spans="2:10">
      <c r="B2216" s="873"/>
      <c r="C2216" s="874"/>
      <c r="D2216" s="874"/>
      <c r="E2216" s="874"/>
      <c r="F2216" s="874"/>
      <c r="G2216" s="874"/>
      <c r="H2216" s="874"/>
      <c r="I2216" s="874"/>
      <c r="J2216" s="874"/>
    </row>
    <row r="2217" spans="2:10">
      <c r="B2217" s="873"/>
      <c r="C2217" s="874"/>
      <c r="D2217" s="874"/>
      <c r="E2217" s="874"/>
      <c r="F2217" s="874"/>
      <c r="G2217" s="874"/>
      <c r="H2217" s="874"/>
      <c r="I2217" s="874"/>
      <c r="J2217" s="874"/>
    </row>
    <row r="2218" spans="2:10">
      <c r="B2218" s="873"/>
      <c r="C2218" s="874"/>
      <c r="D2218" s="874"/>
      <c r="E2218" s="874"/>
      <c r="F2218" s="874"/>
      <c r="G2218" s="874"/>
      <c r="H2218" s="874"/>
      <c r="I2218" s="874"/>
      <c r="J2218" s="874"/>
    </row>
    <row r="2219" spans="2:10">
      <c r="B2219" s="873"/>
      <c r="C2219" s="874"/>
      <c r="D2219" s="874"/>
      <c r="E2219" s="874"/>
      <c r="F2219" s="874"/>
      <c r="G2219" s="874"/>
      <c r="H2219" s="874"/>
      <c r="I2219" s="874"/>
      <c r="J2219" s="874"/>
    </row>
    <row r="2220" spans="2:10">
      <c r="B2220" s="873"/>
      <c r="C2220" s="874"/>
      <c r="D2220" s="874"/>
      <c r="E2220" s="874"/>
      <c r="F2220" s="874"/>
      <c r="G2220" s="874"/>
      <c r="H2220" s="874"/>
      <c r="I2220" s="874"/>
      <c r="J2220" s="874"/>
    </row>
    <row r="2221" spans="2:10">
      <c r="B2221" s="873"/>
      <c r="C2221" s="874"/>
      <c r="D2221" s="874"/>
      <c r="E2221" s="874"/>
      <c r="F2221" s="874"/>
      <c r="G2221" s="874"/>
      <c r="H2221" s="874"/>
      <c r="I2221" s="874"/>
      <c r="J2221" s="874"/>
    </row>
    <row r="2222" spans="2:10">
      <c r="B2222" s="873"/>
      <c r="C2222" s="874"/>
      <c r="D2222" s="874"/>
      <c r="E2222" s="874"/>
      <c r="F2222" s="874"/>
      <c r="G2222" s="874"/>
      <c r="H2222" s="874"/>
      <c r="I2222" s="874"/>
      <c r="J2222" s="874"/>
    </row>
    <row r="2223" spans="2:10">
      <c r="B2223" s="873"/>
      <c r="C2223" s="874"/>
      <c r="D2223" s="874"/>
      <c r="E2223" s="874"/>
      <c r="F2223" s="874"/>
      <c r="G2223" s="874"/>
      <c r="H2223" s="874"/>
      <c r="I2223" s="874"/>
      <c r="J2223" s="874"/>
    </row>
    <row r="2224" spans="2:10">
      <c r="B2224" s="873"/>
      <c r="C2224" s="874"/>
      <c r="D2224" s="874"/>
      <c r="E2224" s="874"/>
      <c r="F2224" s="874"/>
      <c r="G2224" s="874"/>
      <c r="H2224" s="874"/>
      <c r="I2224" s="874"/>
      <c r="J2224" s="874"/>
    </row>
    <row r="2225" spans="2:10">
      <c r="B2225" s="873"/>
      <c r="C2225" s="874"/>
      <c r="D2225" s="874"/>
      <c r="E2225" s="874"/>
      <c r="F2225" s="874"/>
      <c r="G2225" s="874"/>
      <c r="H2225" s="874"/>
      <c r="I2225" s="874"/>
      <c r="J2225" s="874"/>
    </row>
    <row r="2226" spans="2:10">
      <c r="B2226" s="873"/>
      <c r="C2226" s="874"/>
      <c r="D2226" s="874"/>
      <c r="E2226" s="874"/>
      <c r="F2226" s="874"/>
      <c r="G2226" s="874"/>
      <c r="H2226" s="874"/>
      <c r="I2226" s="874"/>
      <c r="J2226" s="874"/>
    </row>
    <row r="2227" spans="2:10">
      <c r="B2227" s="873"/>
      <c r="C2227" s="874"/>
      <c r="D2227" s="874"/>
      <c r="E2227" s="874"/>
      <c r="F2227" s="874"/>
      <c r="G2227" s="874"/>
      <c r="H2227" s="874"/>
      <c r="I2227" s="874"/>
      <c r="J2227" s="874"/>
    </row>
    <row r="2228" spans="2:10">
      <c r="B2228" s="873"/>
      <c r="C2228" s="874"/>
      <c r="D2228" s="874"/>
      <c r="E2228" s="874"/>
      <c r="F2228" s="874"/>
      <c r="G2228" s="874"/>
      <c r="H2228" s="874"/>
      <c r="I2228" s="874"/>
      <c r="J2228" s="874"/>
    </row>
    <row r="2229" spans="2:10">
      <c r="B2229" s="873"/>
      <c r="C2229" s="874"/>
      <c r="D2229" s="874"/>
      <c r="E2229" s="874"/>
      <c r="F2229" s="874"/>
      <c r="G2229" s="874"/>
      <c r="H2229" s="874"/>
      <c r="I2229" s="874"/>
      <c r="J2229" s="874"/>
    </row>
    <row r="2230" spans="2:10">
      <c r="B2230" s="873"/>
      <c r="C2230" s="874"/>
      <c r="D2230" s="874"/>
      <c r="E2230" s="874"/>
      <c r="F2230" s="874"/>
      <c r="G2230" s="874"/>
      <c r="H2230" s="874"/>
      <c r="I2230" s="874"/>
      <c r="J2230" s="874"/>
    </row>
    <row r="2231" spans="2:10">
      <c r="B2231" s="873"/>
      <c r="C2231" s="874"/>
      <c r="D2231" s="874"/>
      <c r="E2231" s="874"/>
      <c r="F2231" s="874"/>
      <c r="G2231" s="874"/>
      <c r="H2231" s="874"/>
      <c r="I2231" s="874"/>
      <c r="J2231" s="874"/>
    </row>
    <row r="2232" spans="2:10">
      <c r="B2232" s="873"/>
      <c r="C2232" s="874"/>
      <c r="D2232" s="874"/>
      <c r="E2232" s="874"/>
      <c r="F2232" s="874"/>
      <c r="G2232" s="874"/>
      <c r="H2232" s="874"/>
      <c r="I2232" s="874"/>
      <c r="J2232" s="874"/>
    </row>
    <row r="2233" spans="2:10">
      <c r="B2233" s="873"/>
      <c r="C2233" s="874"/>
      <c r="D2233" s="874"/>
      <c r="E2233" s="874"/>
      <c r="F2233" s="874"/>
      <c r="G2233" s="874"/>
      <c r="H2233" s="874"/>
      <c r="I2233" s="874"/>
      <c r="J2233" s="874"/>
    </row>
    <row r="2234" spans="2:10">
      <c r="B2234" s="873"/>
      <c r="C2234" s="874"/>
      <c r="D2234" s="874"/>
      <c r="E2234" s="874"/>
      <c r="F2234" s="874"/>
      <c r="G2234" s="874"/>
      <c r="H2234" s="874"/>
      <c r="I2234" s="874"/>
      <c r="J2234" s="874"/>
    </row>
    <row r="2235" spans="2:10">
      <c r="B2235" s="873"/>
      <c r="C2235" s="874"/>
      <c r="D2235" s="874"/>
      <c r="E2235" s="874"/>
      <c r="F2235" s="874"/>
      <c r="G2235" s="874"/>
      <c r="H2235" s="874"/>
      <c r="I2235" s="874"/>
      <c r="J2235" s="874"/>
    </row>
    <row r="2236" spans="2:10">
      <c r="B2236" s="873"/>
      <c r="C2236" s="874"/>
      <c r="D2236" s="874"/>
      <c r="E2236" s="874"/>
      <c r="F2236" s="874"/>
      <c r="G2236" s="874"/>
      <c r="H2236" s="874"/>
      <c r="I2236" s="874"/>
      <c r="J2236" s="874"/>
    </row>
    <row r="2237" spans="2:10">
      <c r="B2237" s="873"/>
      <c r="C2237" s="874"/>
      <c r="D2237" s="874"/>
      <c r="E2237" s="874"/>
      <c r="F2237" s="874"/>
      <c r="G2237" s="874"/>
      <c r="H2237" s="874"/>
      <c r="I2237" s="874"/>
      <c r="J2237" s="874"/>
    </row>
    <row r="2238" spans="2:10">
      <c r="B2238" s="873"/>
      <c r="C2238" s="874"/>
      <c r="D2238" s="874"/>
      <c r="E2238" s="874"/>
      <c r="F2238" s="874"/>
      <c r="G2238" s="874"/>
      <c r="H2238" s="874"/>
      <c r="I2238" s="874"/>
      <c r="J2238" s="874"/>
    </row>
    <row r="2239" spans="2:10">
      <c r="B2239" s="873"/>
      <c r="C2239" s="874"/>
      <c r="D2239" s="874"/>
      <c r="E2239" s="874"/>
      <c r="F2239" s="874"/>
      <c r="G2239" s="874"/>
      <c r="H2239" s="874"/>
      <c r="I2239" s="874"/>
      <c r="J2239" s="874"/>
    </row>
    <row r="2240" spans="2:10">
      <c r="B2240" s="873"/>
      <c r="C2240" s="874"/>
      <c r="D2240" s="874"/>
      <c r="E2240" s="874"/>
      <c r="F2240" s="874"/>
      <c r="G2240" s="874"/>
      <c r="H2240" s="874"/>
      <c r="I2240" s="874"/>
      <c r="J2240" s="874"/>
    </row>
    <row r="2241" spans="2:10">
      <c r="B2241" s="873"/>
      <c r="C2241" s="874"/>
      <c r="D2241" s="874"/>
      <c r="E2241" s="874"/>
      <c r="F2241" s="874"/>
      <c r="G2241" s="874"/>
      <c r="H2241" s="874"/>
      <c r="I2241" s="874"/>
      <c r="J2241" s="874"/>
    </row>
    <row r="2242" spans="2:10">
      <c r="B2242" s="873"/>
      <c r="C2242" s="874"/>
      <c r="D2242" s="874"/>
      <c r="E2242" s="874"/>
      <c r="F2242" s="874"/>
      <c r="G2242" s="874"/>
      <c r="H2242" s="874"/>
      <c r="I2242" s="874"/>
      <c r="J2242" s="874"/>
    </row>
    <row r="2243" spans="2:10">
      <c r="B2243" s="873"/>
      <c r="C2243" s="874"/>
      <c r="D2243" s="874"/>
      <c r="E2243" s="874"/>
      <c r="F2243" s="874"/>
      <c r="G2243" s="874"/>
      <c r="H2243" s="874"/>
      <c r="I2243" s="874"/>
      <c r="J2243" s="874"/>
    </row>
    <row r="2244" spans="2:10">
      <c r="B2244" s="873"/>
      <c r="C2244" s="874"/>
      <c r="D2244" s="874"/>
      <c r="E2244" s="874"/>
      <c r="F2244" s="874"/>
      <c r="G2244" s="874"/>
      <c r="H2244" s="874"/>
      <c r="I2244" s="874"/>
      <c r="J2244" s="874"/>
    </row>
    <row r="2245" spans="2:10">
      <c r="B2245" s="873"/>
      <c r="C2245" s="874"/>
      <c r="D2245" s="874"/>
      <c r="E2245" s="874"/>
      <c r="F2245" s="874"/>
      <c r="G2245" s="874"/>
      <c r="H2245" s="874"/>
      <c r="I2245" s="874"/>
      <c r="J2245" s="874"/>
    </row>
    <row r="2246" spans="2:10">
      <c r="B2246" s="873"/>
      <c r="C2246" s="874"/>
      <c r="D2246" s="874"/>
      <c r="E2246" s="874"/>
      <c r="F2246" s="874"/>
      <c r="G2246" s="874"/>
      <c r="H2246" s="874"/>
      <c r="I2246" s="874"/>
      <c r="J2246" s="874"/>
    </row>
    <row r="2247" spans="2:10">
      <c r="B2247" s="873"/>
      <c r="C2247" s="874"/>
      <c r="D2247" s="874"/>
      <c r="E2247" s="874"/>
      <c r="F2247" s="874"/>
      <c r="G2247" s="874"/>
      <c r="H2247" s="874"/>
      <c r="I2247" s="874"/>
      <c r="J2247" s="874"/>
    </row>
    <row r="2248" spans="2:10">
      <c r="B2248" s="873"/>
      <c r="C2248" s="874"/>
      <c r="D2248" s="874"/>
      <c r="E2248" s="874"/>
      <c r="F2248" s="874"/>
      <c r="G2248" s="874"/>
      <c r="H2248" s="874"/>
      <c r="I2248" s="874"/>
      <c r="J2248" s="874"/>
    </row>
    <row r="2249" spans="2:10">
      <c r="B2249" s="873"/>
      <c r="C2249" s="874"/>
      <c r="D2249" s="874"/>
      <c r="E2249" s="874"/>
      <c r="F2249" s="874"/>
      <c r="G2249" s="874"/>
      <c r="H2249" s="874"/>
      <c r="I2249" s="874"/>
      <c r="J2249" s="874"/>
    </row>
    <row r="2250" spans="2:10">
      <c r="B2250" s="873"/>
      <c r="C2250" s="874"/>
      <c r="D2250" s="874"/>
      <c r="E2250" s="874"/>
      <c r="F2250" s="874"/>
      <c r="G2250" s="874"/>
      <c r="H2250" s="874"/>
      <c r="I2250" s="874"/>
      <c r="J2250" s="874"/>
    </row>
    <row r="2251" spans="2:10">
      <c r="B2251" s="873"/>
      <c r="C2251" s="874"/>
      <c r="D2251" s="874"/>
      <c r="E2251" s="874"/>
      <c r="F2251" s="874"/>
      <c r="G2251" s="874"/>
      <c r="H2251" s="874"/>
      <c r="I2251" s="874"/>
      <c r="J2251" s="874"/>
    </row>
    <row r="2252" spans="2:10">
      <c r="B2252" s="873"/>
      <c r="C2252" s="874"/>
      <c r="D2252" s="874"/>
      <c r="E2252" s="874"/>
      <c r="F2252" s="874"/>
      <c r="G2252" s="874"/>
      <c r="H2252" s="874"/>
      <c r="I2252" s="874"/>
      <c r="J2252" s="874"/>
    </row>
    <row r="2253" spans="2:10">
      <c r="B2253" s="873"/>
      <c r="C2253" s="874"/>
      <c r="D2253" s="874"/>
      <c r="E2253" s="874"/>
      <c r="F2253" s="874"/>
      <c r="G2253" s="874"/>
      <c r="H2253" s="874"/>
      <c r="I2253" s="874"/>
      <c r="J2253" s="874"/>
    </row>
    <row r="2254" spans="2:10">
      <c r="B2254" s="873"/>
      <c r="C2254" s="874"/>
      <c r="D2254" s="874"/>
      <c r="E2254" s="874"/>
      <c r="F2254" s="874"/>
      <c r="G2254" s="874"/>
      <c r="H2254" s="874"/>
      <c r="I2254" s="874"/>
      <c r="J2254" s="874"/>
    </row>
    <row r="2255" spans="2:10">
      <c r="B2255" s="873"/>
      <c r="C2255" s="874"/>
      <c r="D2255" s="874"/>
      <c r="E2255" s="874"/>
      <c r="F2255" s="874"/>
      <c r="G2255" s="874"/>
      <c r="H2255" s="874"/>
      <c r="I2255" s="874"/>
      <c r="J2255" s="874"/>
    </row>
    <row r="2256" spans="2:10">
      <c r="B2256" s="873"/>
      <c r="C2256" s="874"/>
      <c r="D2256" s="874"/>
      <c r="E2256" s="874"/>
      <c r="F2256" s="874"/>
      <c r="G2256" s="874"/>
      <c r="H2256" s="874"/>
      <c r="I2256" s="874"/>
      <c r="J2256" s="874"/>
    </row>
    <row r="2257" spans="2:10">
      <c r="B2257" s="873"/>
      <c r="C2257" s="874"/>
      <c r="D2257" s="874"/>
      <c r="E2257" s="874"/>
      <c r="F2257" s="874"/>
      <c r="G2257" s="874"/>
      <c r="H2257" s="874"/>
      <c r="I2257" s="874"/>
      <c r="J2257" s="874"/>
    </row>
    <row r="2258" spans="2:10">
      <c r="B2258" s="873"/>
      <c r="C2258" s="874"/>
      <c r="D2258" s="874"/>
      <c r="E2258" s="874"/>
      <c r="F2258" s="874"/>
      <c r="G2258" s="874"/>
      <c r="H2258" s="874"/>
      <c r="I2258" s="874"/>
      <c r="J2258" s="874"/>
    </row>
    <row r="2259" spans="2:10">
      <c r="B2259" s="873"/>
      <c r="C2259" s="874"/>
      <c r="D2259" s="874"/>
      <c r="E2259" s="874"/>
      <c r="F2259" s="874"/>
      <c r="G2259" s="874"/>
      <c r="H2259" s="874"/>
      <c r="I2259" s="874"/>
      <c r="J2259" s="874"/>
    </row>
    <row r="2260" spans="2:10">
      <c r="B2260" s="873"/>
      <c r="C2260" s="874"/>
      <c r="D2260" s="874"/>
      <c r="E2260" s="874"/>
      <c r="F2260" s="874"/>
      <c r="G2260" s="874"/>
      <c r="H2260" s="874"/>
      <c r="I2260" s="874"/>
      <c r="J2260" s="874"/>
    </row>
    <row r="2261" spans="2:10">
      <c r="B2261" s="873"/>
      <c r="C2261" s="874"/>
      <c r="D2261" s="874"/>
      <c r="E2261" s="874"/>
      <c r="F2261" s="874"/>
      <c r="G2261" s="874"/>
      <c r="H2261" s="874"/>
      <c r="I2261" s="874"/>
      <c r="J2261" s="874"/>
    </row>
    <row r="2262" spans="2:10">
      <c r="B2262" s="873"/>
      <c r="C2262" s="874"/>
      <c r="D2262" s="874"/>
      <c r="E2262" s="874"/>
      <c r="F2262" s="874"/>
      <c r="G2262" s="874"/>
      <c r="H2262" s="874"/>
      <c r="I2262" s="874"/>
      <c r="J2262" s="874"/>
    </row>
    <row r="2263" spans="2:10">
      <c r="B2263" s="873"/>
      <c r="C2263" s="874"/>
      <c r="D2263" s="874"/>
      <c r="E2263" s="874"/>
      <c r="F2263" s="874"/>
      <c r="G2263" s="874"/>
      <c r="H2263" s="874"/>
      <c r="I2263" s="874"/>
      <c r="J2263" s="874"/>
    </row>
    <row r="2264" spans="2:10">
      <c r="B2264" s="873"/>
      <c r="C2264" s="874"/>
      <c r="D2264" s="874"/>
      <c r="E2264" s="874"/>
      <c r="F2264" s="874"/>
      <c r="G2264" s="874"/>
      <c r="H2264" s="874"/>
      <c r="I2264" s="874"/>
      <c r="J2264" s="874"/>
    </row>
    <row r="2265" spans="2:10">
      <c r="B2265" s="873"/>
      <c r="C2265" s="874"/>
      <c r="D2265" s="874"/>
      <c r="E2265" s="874"/>
      <c r="F2265" s="874"/>
      <c r="G2265" s="874"/>
      <c r="H2265" s="874"/>
      <c r="I2265" s="874"/>
      <c r="J2265" s="874"/>
    </row>
    <row r="2266" spans="2:10">
      <c r="B2266" s="873"/>
      <c r="C2266" s="874"/>
      <c r="D2266" s="874"/>
      <c r="E2266" s="874"/>
      <c r="F2266" s="874"/>
      <c r="G2266" s="874"/>
      <c r="H2266" s="874"/>
      <c r="I2266" s="874"/>
      <c r="J2266" s="874"/>
    </row>
    <row r="2267" spans="2:10">
      <c r="B2267" s="873"/>
      <c r="C2267" s="874"/>
      <c r="D2267" s="874"/>
      <c r="E2267" s="874"/>
      <c r="F2267" s="874"/>
      <c r="G2267" s="874"/>
      <c r="H2267" s="874"/>
      <c r="I2267" s="874"/>
      <c r="J2267" s="874"/>
    </row>
    <row r="2268" spans="2:10">
      <c r="B2268" s="873"/>
      <c r="C2268" s="874"/>
      <c r="D2268" s="874"/>
      <c r="E2268" s="874"/>
      <c r="F2268" s="874"/>
      <c r="G2268" s="874"/>
      <c r="H2268" s="874"/>
      <c r="I2268" s="874"/>
      <c r="J2268" s="874"/>
    </row>
    <row r="2269" spans="2:10">
      <c r="B2269" s="873"/>
      <c r="C2269" s="874"/>
      <c r="D2269" s="874"/>
      <c r="E2269" s="874"/>
      <c r="F2269" s="874"/>
      <c r="G2269" s="874"/>
      <c r="H2269" s="874"/>
      <c r="I2269" s="874"/>
      <c r="J2269" s="874"/>
    </row>
    <row r="2270" spans="2:10">
      <c r="B2270" s="873"/>
      <c r="C2270" s="874"/>
      <c r="D2270" s="874"/>
      <c r="E2270" s="874"/>
      <c r="F2270" s="874"/>
      <c r="G2270" s="874"/>
      <c r="H2270" s="874"/>
      <c r="I2270" s="874"/>
      <c r="J2270" s="874"/>
    </row>
    <row r="2271" spans="2:10">
      <c r="B2271" s="873"/>
      <c r="C2271" s="874"/>
      <c r="D2271" s="874"/>
      <c r="E2271" s="874"/>
      <c r="F2271" s="874"/>
      <c r="G2271" s="874"/>
      <c r="H2271" s="874"/>
      <c r="I2271" s="874"/>
      <c r="J2271" s="874"/>
    </row>
    <row r="2272" spans="2:10">
      <c r="B2272" s="873"/>
      <c r="C2272" s="874"/>
      <c r="D2272" s="874"/>
      <c r="E2272" s="874"/>
      <c r="F2272" s="874"/>
      <c r="G2272" s="874"/>
      <c r="H2272" s="874"/>
      <c r="I2272" s="874"/>
      <c r="J2272" s="874"/>
    </row>
    <row r="2273" spans="2:10">
      <c r="B2273" s="873"/>
      <c r="C2273" s="874"/>
      <c r="D2273" s="874"/>
      <c r="E2273" s="874"/>
      <c r="F2273" s="874"/>
      <c r="G2273" s="874"/>
      <c r="H2273" s="874"/>
      <c r="I2273" s="874"/>
      <c r="J2273" s="874"/>
    </row>
    <row r="2274" spans="2:10">
      <c r="B2274" s="873"/>
      <c r="C2274" s="874"/>
      <c r="D2274" s="874"/>
      <c r="E2274" s="874"/>
      <c r="F2274" s="874"/>
      <c r="G2274" s="874"/>
      <c r="H2274" s="874"/>
      <c r="I2274" s="874"/>
      <c r="J2274" s="874"/>
    </row>
    <row r="2275" spans="2:10">
      <c r="B2275" s="873"/>
      <c r="C2275" s="874"/>
      <c r="D2275" s="874"/>
      <c r="E2275" s="874"/>
      <c r="F2275" s="874"/>
      <c r="G2275" s="874"/>
      <c r="H2275" s="874"/>
      <c r="I2275" s="874"/>
      <c r="J2275" s="874"/>
    </row>
    <row r="2276" spans="2:10">
      <c r="B2276" s="873"/>
      <c r="C2276" s="874"/>
      <c r="D2276" s="874"/>
      <c r="E2276" s="874"/>
      <c r="F2276" s="874"/>
      <c r="G2276" s="874"/>
      <c r="H2276" s="874"/>
      <c r="I2276" s="874"/>
      <c r="J2276" s="874"/>
    </row>
    <row r="2277" spans="2:10">
      <c r="B2277" s="873"/>
      <c r="C2277" s="874"/>
      <c r="D2277" s="874"/>
      <c r="E2277" s="874"/>
      <c r="F2277" s="874"/>
      <c r="G2277" s="874"/>
      <c r="H2277" s="874"/>
      <c r="I2277" s="874"/>
      <c r="J2277" s="874"/>
    </row>
    <row r="2278" spans="2:10">
      <c r="B2278" s="873"/>
      <c r="C2278" s="874"/>
      <c r="D2278" s="874"/>
      <c r="E2278" s="874"/>
      <c r="F2278" s="874"/>
      <c r="G2278" s="874"/>
      <c r="H2278" s="874"/>
      <c r="I2278" s="874"/>
      <c r="J2278" s="874"/>
    </row>
    <row r="2279" spans="2:10">
      <c r="B2279" s="873"/>
      <c r="C2279" s="874"/>
      <c r="D2279" s="874"/>
      <c r="E2279" s="874"/>
      <c r="F2279" s="874"/>
      <c r="G2279" s="874"/>
      <c r="H2279" s="874"/>
      <c r="I2279" s="874"/>
      <c r="J2279" s="874"/>
    </row>
    <row r="2280" spans="2:10">
      <c r="B2280" s="873"/>
      <c r="C2280" s="874"/>
      <c r="D2280" s="874"/>
      <c r="E2280" s="874"/>
      <c r="F2280" s="874"/>
      <c r="G2280" s="874"/>
      <c r="H2280" s="874"/>
      <c r="I2280" s="874"/>
      <c r="J2280" s="874"/>
    </row>
    <row r="2281" spans="2:10">
      <c r="B2281" s="873"/>
      <c r="C2281" s="874"/>
      <c r="D2281" s="874"/>
      <c r="E2281" s="874"/>
      <c r="F2281" s="874"/>
      <c r="G2281" s="874"/>
      <c r="H2281" s="874"/>
      <c r="I2281" s="874"/>
      <c r="J2281" s="874"/>
    </row>
    <row r="2282" spans="2:10">
      <c r="B2282" s="873"/>
      <c r="C2282" s="874"/>
      <c r="D2282" s="874"/>
      <c r="E2282" s="874"/>
      <c r="F2282" s="874"/>
      <c r="G2282" s="874"/>
      <c r="H2282" s="874"/>
      <c r="I2282" s="874"/>
      <c r="J2282" s="874"/>
    </row>
    <row r="2283" spans="2:10">
      <c r="B2283" s="873"/>
      <c r="C2283" s="874"/>
      <c r="D2283" s="874"/>
      <c r="E2283" s="874"/>
      <c r="F2283" s="874"/>
      <c r="G2283" s="874"/>
      <c r="H2283" s="874"/>
      <c r="I2283" s="874"/>
      <c r="J2283" s="874"/>
    </row>
    <row r="2284" spans="2:10">
      <c r="B2284" s="873"/>
      <c r="C2284" s="874"/>
      <c r="D2284" s="874"/>
      <c r="E2284" s="874"/>
      <c r="F2284" s="874"/>
      <c r="G2284" s="874"/>
      <c r="H2284" s="874"/>
      <c r="I2284" s="874"/>
      <c r="J2284" s="874"/>
    </row>
    <row r="2285" spans="2:10">
      <c r="B2285" s="873"/>
      <c r="C2285" s="874"/>
      <c r="D2285" s="874"/>
      <c r="E2285" s="874"/>
      <c r="F2285" s="874"/>
      <c r="G2285" s="874"/>
      <c r="H2285" s="874"/>
      <c r="I2285" s="874"/>
      <c r="J2285" s="874"/>
    </row>
    <row r="2286" spans="2:10">
      <c r="B2286" s="873"/>
      <c r="C2286" s="874"/>
      <c r="D2286" s="874"/>
      <c r="E2286" s="874"/>
      <c r="F2286" s="874"/>
      <c r="G2286" s="874"/>
      <c r="H2286" s="874"/>
      <c r="I2286" s="874"/>
      <c r="J2286" s="874"/>
    </row>
    <row r="2287" spans="2:10">
      <c r="B2287" s="873"/>
      <c r="C2287" s="874"/>
      <c r="D2287" s="874"/>
      <c r="E2287" s="874"/>
      <c r="F2287" s="874"/>
      <c r="G2287" s="874"/>
      <c r="H2287" s="874"/>
      <c r="I2287" s="874"/>
      <c r="J2287" s="874"/>
    </row>
    <row r="2288" spans="2:10">
      <c r="B2288" s="873"/>
      <c r="C2288" s="874"/>
      <c r="D2288" s="874"/>
      <c r="E2288" s="874"/>
      <c r="F2288" s="874"/>
      <c r="G2288" s="874"/>
      <c r="H2288" s="874"/>
      <c r="I2288" s="874"/>
      <c r="J2288" s="874"/>
    </row>
    <row r="2289" spans="2:10">
      <c r="B2289" s="873"/>
      <c r="C2289" s="874"/>
      <c r="D2289" s="874"/>
      <c r="E2289" s="874"/>
      <c r="F2289" s="874"/>
      <c r="G2289" s="874"/>
      <c r="H2289" s="874"/>
      <c r="I2289" s="874"/>
      <c r="J2289" s="874"/>
    </row>
    <row r="2290" spans="2:10">
      <c r="B2290" s="873"/>
      <c r="C2290" s="874"/>
      <c r="D2290" s="874"/>
      <c r="E2290" s="874"/>
      <c r="F2290" s="874"/>
      <c r="G2290" s="874"/>
      <c r="H2290" s="874"/>
      <c r="I2290" s="874"/>
      <c r="J2290" s="874"/>
    </row>
    <row r="2291" spans="2:10">
      <c r="B2291" s="873"/>
      <c r="C2291" s="874"/>
      <c r="D2291" s="874"/>
      <c r="E2291" s="874"/>
      <c r="F2291" s="874"/>
      <c r="G2291" s="874"/>
      <c r="H2291" s="874"/>
      <c r="I2291" s="874"/>
      <c r="J2291" s="874"/>
    </row>
    <row r="2292" spans="2:10">
      <c r="B2292" s="873"/>
      <c r="C2292" s="874"/>
      <c r="D2292" s="874"/>
      <c r="E2292" s="874"/>
      <c r="F2292" s="874"/>
      <c r="G2292" s="874"/>
      <c r="H2292" s="874"/>
      <c r="I2292" s="874"/>
      <c r="J2292" s="874"/>
    </row>
    <row r="2293" spans="2:10">
      <c r="B2293" s="873"/>
      <c r="C2293" s="874"/>
      <c r="D2293" s="874"/>
      <c r="E2293" s="874"/>
      <c r="F2293" s="874"/>
      <c r="G2293" s="874"/>
      <c r="H2293" s="874"/>
      <c r="I2293" s="874"/>
      <c r="J2293" s="874"/>
    </row>
    <row r="2294" spans="2:10">
      <c r="B2294" s="873"/>
      <c r="C2294" s="874"/>
      <c r="D2294" s="874"/>
      <c r="E2294" s="874"/>
      <c r="F2294" s="874"/>
      <c r="G2294" s="874"/>
      <c r="H2294" s="874"/>
      <c r="I2294" s="874"/>
      <c r="J2294" s="874"/>
    </row>
    <row r="2295" spans="2:10">
      <c r="B2295" s="873"/>
      <c r="C2295" s="874"/>
      <c r="D2295" s="874"/>
      <c r="E2295" s="874"/>
      <c r="F2295" s="874"/>
      <c r="G2295" s="874"/>
      <c r="H2295" s="874"/>
      <c r="I2295" s="874"/>
      <c r="J2295" s="874"/>
    </row>
    <row r="2296" spans="2:10">
      <c r="B2296" s="873"/>
      <c r="C2296" s="874"/>
      <c r="D2296" s="874"/>
      <c r="E2296" s="874"/>
      <c r="F2296" s="874"/>
      <c r="G2296" s="874"/>
      <c r="H2296" s="874"/>
      <c r="I2296" s="874"/>
      <c r="J2296" s="874"/>
    </row>
    <row r="2297" spans="2:10">
      <c r="B2297" s="873"/>
      <c r="C2297" s="874"/>
      <c r="D2297" s="874"/>
      <c r="E2297" s="874"/>
      <c r="F2297" s="874"/>
      <c r="G2297" s="874"/>
      <c r="H2297" s="874"/>
      <c r="I2297" s="874"/>
      <c r="J2297" s="874"/>
    </row>
    <row r="2298" spans="2:10">
      <c r="B2298" s="873"/>
      <c r="C2298" s="874"/>
      <c r="D2298" s="874"/>
      <c r="E2298" s="874"/>
      <c r="F2298" s="874"/>
      <c r="G2298" s="874"/>
      <c r="H2298" s="874"/>
      <c r="I2298" s="874"/>
      <c r="J2298" s="874"/>
    </row>
    <row r="2299" spans="2:10">
      <c r="B2299" s="873"/>
      <c r="C2299" s="874"/>
      <c r="D2299" s="874"/>
      <c r="E2299" s="874"/>
      <c r="F2299" s="874"/>
      <c r="G2299" s="874"/>
      <c r="H2299" s="874"/>
      <c r="I2299" s="874"/>
      <c r="J2299" s="874"/>
    </row>
    <row r="2300" spans="2:10">
      <c r="B2300" s="873"/>
      <c r="C2300" s="874"/>
      <c r="D2300" s="874"/>
      <c r="E2300" s="874"/>
      <c r="F2300" s="874"/>
      <c r="G2300" s="874"/>
      <c r="H2300" s="874"/>
      <c r="I2300" s="874"/>
      <c r="J2300" s="874"/>
    </row>
    <row r="2301" spans="2:10">
      <c r="B2301" s="873"/>
      <c r="C2301" s="874"/>
      <c r="D2301" s="874"/>
      <c r="E2301" s="874"/>
      <c r="F2301" s="874"/>
      <c r="G2301" s="874"/>
      <c r="H2301" s="874"/>
      <c r="I2301" s="874"/>
      <c r="J2301" s="874"/>
    </row>
    <row r="2302" spans="2:10">
      <c r="B2302" s="873"/>
      <c r="C2302" s="874"/>
      <c r="D2302" s="874"/>
      <c r="E2302" s="874"/>
      <c r="F2302" s="874"/>
      <c r="G2302" s="874"/>
      <c r="H2302" s="874"/>
      <c r="I2302" s="874"/>
      <c r="J2302" s="874"/>
    </row>
    <row r="2303" spans="2:10">
      <c r="B2303" s="873"/>
      <c r="C2303" s="874"/>
      <c r="D2303" s="874"/>
      <c r="E2303" s="874"/>
      <c r="F2303" s="874"/>
      <c r="G2303" s="874"/>
      <c r="H2303" s="874"/>
      <c r="I2303" s="874"/>
      <c r="J2303" s="874"/>
    </row>
    <row r="2304" spans="2:10">
      <c r="B2304" s="873"/>
      <c r="C2304" s="874"/>
      <c r="D2304" s="874"/>
      <c r="E2304" s="874"/>
      <c r="F2304" s="874"/>
      <c r="G2304" s="874"/>
      <c r="H2304" s="874"/>
      <c r="I2304" s="874"/>
      <c r="J2304" s="874"/>
    </row>
    <row r="2305" spans="2:10">
      <c r="B2305" s="873"/>
      <c r="C2305" s="874"/>
      <c r="D2305" s="874"/>
      <c r="E2305" s="874"/>
      <c r="F2305" s="874"/>
      <c r="G2305" s="874"/>
      <c r="H2305" s="874"/>
      <c r="I2305" s="874"/>
      <c r="J2305" s="874"/>
    </row>
    <row r="2306" spans="2:10">
      <c r="B2306" s="873"/>
      <c r="C2306" s="874"/>
      <c r="D2306" s="874"/>
      <c r="E2306" s="874"/>
      <c r="F2306" s="874"/>
      <c r="G2306" s="874"/>
      <c r="H2306" s="874"/>
      <c r="I2306" s="874"/>
      <c r="J2306" s="874"/>
    </row>
    <row r="2307" spans="2:10">
      <c r="B2307" s="873"/>
      <c r="C2307" s="874"/>
      <c r="D2307" s="874"/>
      <c r="E2307" s="874"/>
      <c r="F2307" s="874"/>
      <c r="G2307" s="874"/>
      <c r="H2307" s="874"/>
      <c r="I2307" s="874"/>
      <c r="J2307" s="874"/>
    </row>
    <row r="2308" spans="2:10">
      <c r="B2308" s="873"/>
      <c r="C2308" s="874"/>
      <c r="D2308" s="874"/>
      <c r="E2308" s="874"/>
      <c r="F2308" s="874"/>
      <c r="G2308" s="874"/>
      <c r="H2308" s="874"/>
      <c r="I2308" s="874"/>
      <c r="J2308" s="874"/>
    </row>
    <row r="2309" spans="2:10">
      <c r="B2309" s="873"/>
      <c r="C2309" s="874"/>
      <c r="D2309" s="874"/>
      <c r="E2309" s="874"/>
      <c r="F2309" s="874"/>
      <c r="G2309" s="874"/>
      <c r="H2309" s="874"/>
      <c r="I2309" s="874"/>
      <c r="J2309" s="874"/>
    </row>
    <row r="2310" spans="2:10">
      <c r="B2310" s="873"/>
      <c r="C2310" s="874"/>
      <c r="D2310" s="874"/>
      <c r="E2310" s="874"/>
      <c r="F2310" s="874"/>
      <c r="G2310" s="874"/>
      <c r="H2310" s="874"/>
      <c r="I2310" s="874"/>
      <c r="J2310" s="874"/>
    </row>
    <row r="2311" spans="2:10">
      <c r="B2311" s="873"/>
      <c r="C2311" s="874"/>
      <c r="D2311" s="874"/>
      <c r="E2311" s="874"/>
      <c r="F2311" s="874"/>
      <c r="G2311" s="874"/>
      <c r="H2311" s="874"/>
      <c r="I2311" s="874"/>
      <c r="J2311" s="874"/>
    </row>
    <row r="2312" spans="2:10">
      <c r="B2312" s="873"/>
      <c r="C2312" s="874"/>
      <c r="D2312" s="874"/>
      <c r="E2312" s="874"/>
      <c r="F2312" s="874"/>
      <c r="G2312" s="874"/>
      <c r="H2312" s="874"/>
      <c r="I2312" s="874"/>
      <c r="J2312" s="874"/>
    </row>
    <row r="2313" spans="2:10">
      <c r="B2313" s="873"/>
      <c r="C2313" s="874"/>
      <c r="D2313" s="874"/>
      <c r="E2313" s="874"/>
      <c r="F2313" s="874"/>
      <c r="G2313" s="874"/>
      <c r="H2313" s="874"/>
      <c r="I2313" s="874"/>
      <c r="J2313" s="874"/>
    </row>
    <row r="2314" spans="2:10">
      <c r="B2314" s="873"/>
      <c r="C2314" s="874"/>
      <c r="D2314" s="874"/>
      <c r="E2314" s="874"/>
      <c r="F2314" s="874"/>
      <c r="G2314" s="874"/>
      <c r="H2314" s="874"/>
      <c r="I2314" s="874"/>
      <c r="J2314" s="874"/>
    </row>
    <row r="2315" spans="2:10">
      <c r="B2315" s="873"/>
      <c r="C2315" s="874"/>
      <c r="D2315" s="874"/>
      <c r="E2315" s="874"/>
      <c r="F2315" s="874"/>
      <c r="G2315" s="874"/>
      <c r="H2315" s="874"/>
      <c r="I2315" s="874"/>
      <c r="J2315" s="874"/>
    </row>
    <row r="2316" spans="2:10">
      <c r="B2316" s="873"/>
      <c r="C2316" s="874"/>
      <c r="D2316" s="874"/>
      <c r="E2316" s="874"/>
      <c r="F2316" s="874"/>
      <c r="G2316" s="874"/>
      <c r="H2316" s="874"/>
      <c r="I2316" s="874"/>
      <c r="J2316" s="874"/>
    </row>
    <row r="2317" spans="2:10">
      <c r="B2317" s="873"/>
      <c r="C2317" s="874"/>
      <c r="D2317" s="874"/>
      <c r="E2317" s="874"/>
      <c r="F2317" s="874"/>
      <c r="G2317" s="874"/>
      <c r="H2317" s="874"/>
      <c r="I2317" s="874"/>
      <c r="J2317" s="874"/>
    </row>
    <row r="2318" spans="2:10">
      <c r="B2318" s="873"/>
      <c r="C2318" s="874"/>
      <c r="D2318" s="874"/>
      <c r="E2318" s="874"/>
      <c r="F2318" s="874"/>
      <c r="G2318" s="874"/>
      <c r="H2318" s="874"/>
      <c r="I2318" s="874"/>
      <c r="J2318" s="874"/>
    </row>
    <row r="2319" spans="2:10">
      <c r="B2319" s="873"/>
      <c r="C2319" s="874"/>
      <c r="D2319" s="874"/>
      <c r="E2319" s="874"/>
      <c r="F2319" s="874"/>
      <c r="G2319" s="874"/>
      <c r="H2319" s="874"/>
      <c r="I2319" s="874"/>
      <c r="J2319" s="874"/>
    </row>
    <row r="2320" spans="2:10">
      <c r="B2320" s="873"/>
      <c r="C2320" s="874"/>
      <c r="D2320" s="874"/>
      <c r="E2320" s="874"/>
      <c r="F2320" s="874"/>
      <c r="G2320" s="874"/>
      <c r="H2320" s="874"/>
      <c r="I2320" s="874"/>
      <c r="J2320" s="874"/>
    </row>
    <row r="2321" spans="2:10">
      <c r="B2321" s="873"/>
      <c r="C2321" s="874"/>
      <c r="D2321" s="874"/>
      <c r="E2321" s="874"/>
      <c r="F2321" s="874"/>
      <c r="G2321" s="874"/>
      <c r="H2321" s="874"/>
      <c r="I2321" s="874"/>
      <c r="J2321" s="874"/>
    </row>
    <row r="2322" spans="2:10">
      <c r="B2322" s="873"/>
      <c r="C2322" s="874"/>
      <c r="D2322" s="874"/>
      <c r="E2322" s="874"/>
      <c r="F2322" s="874"/>
      <c r="G2322" s="874"/>
      <c r="H2322" s="874"/>
      <c r="I2322" s="874"/>
      <c r="J2322" s="874"/>
    </row>
    <row r="2323" spans="2:10">
      <c r="B2323" s="873"/>
      <c r="C2323" s="874"/>
      <c r="D2323" s="874"/>
      <c r="E2323" s="874"/>
      <c r="F2323" s="874"/>
      <c r="G2323" s="874"/>
      <c r="H2323" s="874"/>
      <c r="I2323" s="874"/>
      <c r="J2323" s="874"/>
    </row>
    <row r="2324" spans="2:10">
      <c r="B2324" s="873"/>
      <c r="C2324" s="874"/>
      <c r="D2324" s="874"/>
      <c r="E2324" s="874"/>
      <c r="F2324" s="874"/>
      <c r="G2324" s="874"/>
      <c r="H2324" s="874"/>
      <c r="I2324" s="874"/>
      <c r="J2324" s="874"/>
    </row>
    <row r="2325" spans="2:10">
      <c r="B2325" s="873"/>
      <c r="C2325" s="874"/>
      <c r="D2325" s="874"/>
      <c r="E2325" s="874"/>
      <c r="F2325" s="874"/>
      <c r="G2325" s="874"/>
      <c r="H2325" s="874"/>
      <c r="I2325" s="874"/>
      <c r="J2325" s="874"/>
    </row>
    <row r="2326" spans="2:10">
      <c r="B2326" s="873"/>
      <c r="C2326" s="874"/>
      <c r="D2326" s="874"/>
      <c r="E2326" s="874"/>
      <c r="F2326" s="874"/>
      <c r="G2326" s="874"/>
      <c r="H2326" s="874"/>
      <c r="I2326" s="874"/>
      <c r="J2326" s="874"/>
    </row>
    <row r="2327" spans="2:10">
      <c r="B2327" s="873"/>
      <c r="C2327" s="874"/>
      <c r="D2327" s="874"/>
      <c r="E2327" s="874"/>
      <c r="F2327" s="874"/>
      <c r="G2327" s="874"/>
      <c r="H2327" s="874"/>
      <c r="I2327" s="874"/>
      <c r="J2327" s="874"/>
    </row>
    <row r="2328" spans="2:10">
      <c r="B2328" s="873"/>
      <c r="C2328" s="874"/>
      <c r="D2328" s="874"/>
      <c r="E2328" s="874"/>
      <c r="F2328" s="874"/>
      <c r="G2328" s="874"/>
      <c r="H2328" s="874"/>
      <c r="I2328" s="874"/>
      <c r="J2328" s="874"/>
    </row>
    <row r="2329" spans="2:10">
      <c r="B2329" s="873"/>
      <c r="C2329" s="874"/>
      <c r="D2329" s="874"/>
      <c r="E2329" s="874"/>
      <c r="F2329" s="874"/>
      <c r="G2329" s="874"/>
      <c r="H2329" s="874"/>
      <c r="I2329" s="874"/>
      <c r="J2329" s="874"/>
    </row>
    <row r="2330" spans="2:10">
      <c r="B2330" s="873"/>
      <c r="C2330" s="874"/>
      <c r="D2330" s="874"/>
      <c r="E2330" s="874"/>
      <c r="F2330" s="874"/>
      <c r="G2330" s="874"/>
      <c r="H2330" s="874"/>
      <c r="I2330" s="874"/>
      <c r="J2330" s="874"/>
    </row>
    <row r="2331" spans="2:10">
      <c r="B2331" s="873"/>
      <c r="C2331" s="874"/>
      <c r="D2331" s="874"/>
      <c r="E2331" s="874"/>
      <c r="F2331" s="874"/>
      <c r="G2331" s="874"/>
      <c r="H2331" s="874"/>
      <c r="I2331" s="874"/>
      <c r="J2331" s="874"/>
    </row>
    <row r="2332" spans="2:10">
      <c r="B2332" s="873"/>
      <c r="C2332" s="874"/>
      <c r="D2332" s="874"/>
      <c r="E2332" s="874"/>
      <c r="F2332" s="874"/>
      <c r="G2332" s="874"/>
      <c r="H2332" s="874"/>
      <c r="I2332" s="874"/>
      <c r="J2332" s="874"/>
    </row>
    <row r="2333" spans="2:10">
      <c r="B2333" s="873"/>
      <c r="C2333" s="874"/>
      <c r="D2333" s="874"/>
      <c r="E2333" s="874"/>
      <c r="F2333" s="874"/>
      <c r="G2333" s="874"/>
      <c r="H2333" s="874"/>
      <c r="I2333" s="874"/>
      <c r="J2333" s="874"/>
    </row>
    <row r="2334" spans="2:10">
      <c r="B2334" s="873"/>
      <c r="C2334" s="874"/>
      <c r="D2334" s="874"/>
      <c r="E2334" s="874"/>
      <c r="F2334" s="874"/>
      <c r="G2334" s="874"/>
      <c r="H2334" s="874"/>
      <c r="I2334" s="874"/>
      <c r="J2334" s="874"/>
    </row>
    <row r="2335" spans="2:10">
      <c r="B2335" s="873"/>
      <c r="C2335" s="874"/>
      <c r="D2335" s="874"/>
      <c r="E2335" s="874"/>
      <c r="F2335" s="874"/>
      <c r="G2335" s="874"/>
      <c r="H2335" s="874"/>
      <c r="I2335" s="874"/>
      <c r="J2335" s="874"/>
    </row>
    <row r="2336" spans="2:10">
      <c r="B2336" s="873"/>
      <c r="C2336" s="874"/>
      <c r="D2336" s="874"/>
      <c r="E2336" s="874"/>
      <c r="F2336" s="874"/>
      <c r="G2336" s="874"/>
      <c r="H2336" s="874"/>
      <c r="I2336" s="874"/>
      <c r="J2336" s="874"/>
    </row>
    <row r="2337" spans="2:10">
      <c r="B2337" s="873"/>
      <c r="C2337" s="874"/>
      <c r="D2337" s="874"/>
      <c r="E2337" s="874"/>
      <c r="F2337" s="874"/>
      <c r="G2337" s="874"/>
      <c r="H2337" s="874"/>
      <c r="I2337" s="874"/>
      <c r="J2337" s="874"/>
    </row>
    <row r="2338" spans="2:10">
      <c r="B2338" s="873"/>
      <c r="C2338" s="874"/>
      <c r="D2338" s="874"/>
      <c r="E2338" s="874"/>
      <c r="F2338" s="874"/>
      <c r="G2338" s="874"/>
      <c r="H2338" s="874"/>
      <c r="I2338" s="874"/>
      <c r="J2338" s="874"/>
    </row>
    <row r="2339" spans="2:10">
      <c r="B2339" s="873"/>
      <c r="C2339" s="874"/>
      <c r="D2339" s="874"/>
      <c r="E2339" s="874"/>
      <c r="F2339" s="874"/>
      <c r="G2339" s="874"/>
      <c r="H2339" s="874"/>
      <c r="I2339" s="874"/>
      <c r="J2339" s="874"/>
    </row>
    <row r="2340" spans="2:10">
      <c r="B2340" s="873"/>
      <c r="C2340" s="874"/>
      <c r="D2340" s="874"/>
      <c r="E2340" s="874"/>
      <c r="F2340" s="874"/>
      <c r="G2340" s="874"/>
      <c r="H2340" s="874"/>
      <c r="I2340" s="874"/>
      <c r="J2340" s="874"/>
    </row>
    <row r="2341" spans="2:10">
      <c r="B2341" s="873"/>
      <c r="C2341" s="874"/>
      <c r="D2341" s="874"/>
      <c r="E2341" s="874"/>
      <c r="F2341" s="874"/>
      <c r="G2341" s="874"/>
      <c r="H2341" s="874"/>
      <c r="I2341" s="874"/>
      <c r="J2341" s="874"/>
    </row>
    <row r="2342" spans="2:10">
      <c r="B2342" s="873"/>
      <c r="C2342" s="874"/>
      <c r="D2342" s="874"/>
      <c r="E2342" s="874"/>
      <c r="F2342" s="874"/>
      <c r="G2342" s="874"/>
      <c r="H2342" s="874"/>
      <c r="I2342" s="874"/>
      <c r="J2342" s="874"/>
    </row>
    <row r="2343" spans="2:10">
      <c r="B2343" s="873"/>
      <c r="C2343" s="874"/>
      <c r="D2343" s="874"/>
      <c r="E2343" s="874"/>
      <c r="F2343" s="874"/>
      <c r="G2343" s="874"/>
      <c r="H2343" s="874"/>
      <c r="I2343" s="874"/>
      <c r="J2343" s="874"/>
    </row>
    <row r="2344" spans="2:10">
      <c r="B2344" s="873"/>
      <c r="C2344" s="874"/>
      <c r="D2344" s="874"/>
      <c r="E2344" s="874"/>
      <c r="F2344" s="874"/>
      <c r="G2344" s="874"/>
      <c r="H2344" s="874"/>
      <c r="I2344" s="874"/>
      <c r="J2344" s="874"/>
    </row>
    <row r="2345" spans="2:10">
      <c r="B2345" s="873"/>
      <c r="C2345" s="874"/>
      <c r="D2345" s="874"/>
      <c r="E2345" s="874"/>
      <c r="F2345" s="874"/>
      <c r="G2345" s="874"/>
      <c r="H2345" s="874"/>
      <c r="I2345" s="874"/>
      <c r="J2345" s="874"/>
    </row>
    <row r="2346" spans="2:10">
      <c r="B2346" s="873"/>
      <c r="C2346" s="874"/>
      <c r="D2346" s="874"/>
      <c r="E2346" s="874"/>
      <c r="F2346" s="874"/>
      <c r="G2346" s="874"/>
      <c r="H2346" s="874"/>
      <c r="I2346" s="874"/>
      <c r="J2346" s="874"/>
    </row>
    <row r="2347" spans="2:10">
      <c r="B2347" s="873"/>
      <c r="C2347" s="874"/>
      <c r="D2347" s="874"/>
      <c r="E2347" s="874"/>
      <c r="F2347" s="874"/>
      <c r="G2347" s="874"/>
      <c r="H2347" s="874"/>
      <c r="I2347" s="874"/>
      <c r="J2347" s="874"/>
    </row>
    <row r="2348" spans="2:10">
      <c r="B2348" s="873"/>
      <c r="C2348" s="874"/>
      <c r="D2348" s="874"/>
      <c r="E2348" s="874"/>
      <c r="F2348" s="874"/>
      <c r="G2348" s="874"/>
      <c r="H2348" s="874"/>
      <c r="I2348" s="874"/>
      <c r="J2348" s="874"/>
    </row>
    <row r="2349" spans="2:10">
      <c r="B2349" s="873"/>
      <c r="C2349" s="874"/>
      <c r="D2349" s="874"/>
      <c r="E2349" s="874"/>
      <c r="F2349" s="874"/>
      <c r="G2349" s="874"/>
      <c r="H2349" s="874"/>
      <c r="I2349" s="874"/>
      <c r="J2349" s="874"/>
    </row>
    <row r="2350" spans="2:10">
      <c r="B2350" s="873"/>
      <c r="C2350" s="874"/>
      <c r="D2350" s="874"/>
      <c r="E2350" s="874"/>
      <c r="F2350" s="874"/>
      <c r="G2350" s="874"/>
      <c r="H2350" s="874"/>
      <c r="I2350" s="874"/>
      <c r="J2350" s="874"/>
    </row>
    <row r="2351" spans="2:10">
      <c r="B2351" s="873"/>
      <c r="C2351" s="874"/>
      <c r="D2351" s="874"/>
      <c r="E2351" s="874"/>
      <c r="F2351" s="874"/>
      <c r="G2351" s="874"/>
      <c r="H2351" s="874"/>
      <c r="I2351" s="874"/>
      <c r="J2351" s="874"/>
    </row>
    <row r="2352" spans="2:10">
      <c r="B2352" s="873"/>
      <c r="C2352" s="874"/>
      <c r="D2352" s="874"/>
      <c r="E2352" s="874"/>
      <c r="F2352" s="874"/>
      <c r="G2352" s="874"/>
      <c r="H2352" s="874"/>
      <c r="I2352" s="874"/>
      <c r="J2352" s="874"/>
    </row>
    <row r="2353" spans="2:10">
      <c r="B2353" s="873"/>
      <c r="C2353" s="874"/>
      <c r="D2353" s="874"/>
      <c r="E2353" s="874"/>
      <c r="F2353" s="874"/>
      <c r="G2353" s="874"/>
      <c r="H2353" s="874"/>
      <c r="I2353" s="874"/>
      <c r="J2353" s="874"/>
    </row>
    <row r="2354" spans="2:10">
      <c r="B2354" s="873"/>
      <c r="C2354" s="874"/>
      <c r="D2354" s="874"/>
      <c r="E2354" s="874"/>
      <c r="F2354" s="874"/>
      <c r="G2354" s="874"/>
      <c r="H2354" s="874"/>
      <c r="I2354" s="874"/>
      <c r="J2354" s="874"/>
    </row>
    <row r="2355" spans="2:10">
      <c r="B2355" s="873"/>
      <c r="C2355" s="874"/>
      <c r="D2355" s="874"/>
      <c r="E2355" s="874"/>
      <c r="F2355" s="874"/>
      <c r="G2355" s="874"/>
      <c r="H2355" s="874"/>
      <c r="I2355" s="874"/>
      <c r="J2355" s="874"/>
    </row>
    <row r="2356" spans="2:10">
      <c r="B2356" s="873"/>
      <c r="C2356" s="874"/>
      <c r="D2356" s="874"/>
      <c r="E2356" s="874"/>
      <c r="F2356" s="874"/>
      <c r="G2356" s="874"/>
      <c r="H2356" s="874"/>
      <c r="I2356" s="874"/>
      <c r="J2356" s="874"/>
    </row>
    <row r="2357" spans="2:10">
      <c r="B2357" s="873"/>
      <c r="C2357" s="874"/>
      <c r="D2357" s="874"/>
      <c r="E2357" s="874"/>
      <c r="F2357" s="874"/>
      <c r="G2357" s="874"/>
      <c r="H2357" s="874"/>
      <c r="I2357" s="874"/>
      <c r="J2357" s="874"/>
    </row>
    <row r="2358" spans="2:10">
      <c r="B2358" s="873"/>
      <c r="C2358" s="874"/>
      <c r="D2358" s="874"/>
      <c r="E2358" s="874"/>
      <c r="F2358" s="874"/>
      <c r="G2358" s="874"/>
      <c r="H2358" s="874"/>
      <c r="I2358" s="874"/>
      <c r="J2358" s="874"/>
    </row>
    <row r="2359" spans="2:10">
      <c r="B2359" s="873"/>
      <c r="C2359" s="874"/>
      <c r="D2359" s="874"/>
      <c r="E2359" s="874"/>
      <c r="F2359" s="874"/>
      <c r="G2359" s="874"/>
      <c r="H2359" s="874"/>
      <c r="I2359" s="874"/>
      <c r="J2359" s="874"/>
    </row>
    <row r="2360" spans="2:10">
      <c r="B2360" s="873"/>
      <c r="C2360" s="874"/>
      <c r="D2360" s="874"/>
      <c r="E2360" s="874"/>
      <c r="F2360" s="874"/>
      <c r="G2360" s="874"/>
      <c r="H2360" s="874"/>
      <c r="I2360" s="874"/>
      <c r="J2360" s="874"/>
    </row>
    <row r="2361" spans="2:10">
      <c r="B2361" s="873"/>
      <c r="C2361" s="874"/>
      <c r="D2361" s="874"/>
      <c r="E2361" s="874"/>
      <c r="F2361" s="874"/>
      <c r="G2361" s="874"/>
      <c r="H2361" s="874"/>
      <c r="I2361" s="874"/>
      <c r="J2361" s="874"/>
    </row>
    <row r="2362" spans="2:10">
      <c r="B2362" s="873"/>
      <c r="C2362" s="874"/>
      <c r="D2362" s="874"/>
      <c r="E2362" s="874"/>
      <c r="F2362" s="874"/>
      <c r="G2362" s="874"/>
      <c r="H2362" s="874"/>
      <c r="I2362" s="874"/>
      <c r="J2362" s="874"/>
    </row>
    <row r="2363" spans="2:10">
      <c r="B2363" s="873"/>
      <c r="C2363" s="874"/>
      <c r="D2363" s="874"/>
      <c r="E2363" s="874"/>
      <c r="F2363" s="874"/>
      <c r="G2363" s="874"/>
      <c r="H2363" s="874"/>
      <c r="I2363" s="874"/>
      <c r="J2363" s="874"/>
    </row>
    <row r="2364" spans="2:10">
      <c r="B2364" s="873"/>
      <c r="C2364" s="874"/>
      <c r="D2364" s="874"/>
      <c r="E2364" s="874"/>
      <c r="F2364" s="874"/>
      <c r="G2364" s="874"/>
      <c r="H2364" s="874"/>
      <c r="I2364" s="874"/>
      <c r="J2364" s="874"/>
    </row>
    <row r="2365" spans="2:10">
      <c r="B2365" s="873"/>
      <c r="C2365" s="874"/>
      <c r="D2365" s="874"/>
      <c r="E2365" s="874"/>
      <c r="F2365" s="874"/>
      <c r="G2365" s="874"/>
      <c r="H2365" s="874"/>
      <c r="I2365" s="874"/>
      <c r="J2365" s="874"/>
    </row>
    <row r="2366" spans="2:10">
      <c r="B2366" s="873"/>
      <c r="C2366" s="874"/>
      <c r="D2366" s="874"/>
      <c r="E2366" s="874"/>
      <c r="F2366" s="874"/>
      <c r="G2366" s="874"/>
      <c r="H2366" s="874"/>
      <c r="I2366" s="874"/>
      <c r="J2366" s="874"/>
    </row>
    <row r="2367" spans="2:10">
      <c r="B2367" s="873"/>
      <c r="C2367" s="874"/>
      <c r="D2367" s="874"/>
      <c r="E2367" s="874"/>
      <c r="F2367" s="874"/>
      <c r="G2367" s="874"/>
      <c r="H2367" s="874"/>
      <c r="I2367" s="874"/>
      <c r="J2367" s="874"/>
    </row>
    <row r="2368" spans="2:10">
      <c r="B2368" s="873"/>
      <c r="C2368" s="874"/>
      <c r="D2368" s="874"/>
      <c r="E2368" s="874"/>
      <c r="F2368" s="874"/>
      <c r="G2368" s="874"/>
      <c r="H2368" s="874"/>
      <c r="I2368" s="874"/>
      <c r="J2368" s="874"/>
    </row>
    <row r="2369" spans="2:10">
      <c r="B2369" s="873"/>
      <c r="C2369" s="874"/>
      <c r="D2369" s="874"/>
      <c r="E2369" s="874"/>
      <c r="F2369" s="874"/>
      <c r="G2369" s="874"/>
      <c r="H2369" s="874"/>
      <c r="I2369" s="874"/>
      <c r="J2369" s="874"/>
    </row>
    <row r="2370" spans="2:10">
      <c r="B2370" s="873"/>
      <c r="C2370" s="874"/>
      <c r="D2370" s="874"/>
      <c r="E2370" s="874"/>
      <c r="F2370" s="874"/>
      <c r="G2370" s="874"/>
      <c r="H2370" s="874"/>
      <c r="I2370" s="874"/>
      <c r="J2370" s="874"/>
    </row>
    <row r="2371" spans="2:10">
      <c r="B2371" s="873"/>
      <c r="C2371" s="874"/>
      <c r="D2371" s="874"/>
      <c r="E2371" s="874"/>
      <c r="F2371" s="874"/>
      <c r="G2371" s="874"/>
      <c r="H2371" s="874"/>
      <c r="I2371" s="874"/>
      <c r="J2371" s="874"/>
    </row>
    <row r="2372" spans="2:10">
      <c r="B2372" s="873"/>
      <c r="C2372" s="874"/>
      <c r="D2372" s="874"/>
      <c r="E2372" s="874"/>
      <c r="F2372" s="874"/>
      <c r="G2372" s="874"/>
      <c r="H2372" s="874"/>
      <c r="I2372" s="874"/>
      <c r="J2372" s="874"/>
    </row>
    <row r="2373" spans="2:10">
      <c r="B2373" s="873"/>
      <c r="C2373" s="874"/>
      <c r="D2373" s="874"/>
      <c r="E2373" s="874"/>
      <c r="F2373" s="874"/>
      <c r="G2373" s="874"/>
      <c r="H2373" s="874"/>
      <c r="I2373" s="874"/>
      <c r="J2373" s="874"/>
    </row>
    <row r="2374" spans="2:10">
      <c r="B2374" s="873"/>
      <c r="C2374" s="874"/>
      <c r="D2374" s="874"/>
      <c r="E2374" s="874"/>
      <c r="F2374" s="874"/>
      <c r="G2374" s="874"/>
      <c r="H2374" s="874"/>
      <c r="I2374" s="874"/>
      <c r="J2374" s="874"/>
    </row>
    <row r="2375" spans="2:10">
      <c r="B2375" s="873"/>
      <c r="C2375" s="874"/>
      <c r="D2375" s="874"/>
      <c r="E2375" s="874"/>
      <c r="F2375" s="874"/>
      <c r="G2375" s="874"/>
      <c r="H2375" s="874"/>
      <c r="I2375" s="874"/>
      <c r="J2375" s="874"/>
    </row>
    <row r="2376" spans="2:10">
      <c r="B2376" s="873"/>
      <c r="C2376" s="874"/>
      <c r="D2376" s="874"/>
      <c r="E2376" s="874"/>
      <c r="F2376" s="874"/>
      <c r="G2376" s="874"/>
      <c r="H2376" s="874"/>
      <c r="I2376" s="874"/>
      <c r="J2376" s="874"/>
    </row>
    <row r="2377" spans="2:10">
      <c r="B2377" s="873"/>
      <c r="C2377" s="874"/>
      <c r="D2377" s="874"/>
      <c r="E2377" s="874"/>
      <c r="F2377" s="874"/>
      <c r="G2377" s="874"/>
      <c r="H2377" s="874"/>
      <c r="I2377" s="874"/>
      <c r="J2377" s="874"/>
    </row>
    <row r="2378" spans="2:10">
      <c r="B2378" s="873"/>
      <c r="C2378" s="874"/>
      <c r="D2378" s="874"/>
      <c r="E2378" s="874"/>
      <c r="F2378" s="874"/>
      <c r="G2378" s="874"/>
      <c r="H2378" s="874"/>
      <c r="I2378" s="874"/>
      <c r="J2378" s="874"/>
    </row>
    <row r="2379" spans="2:10">
      <c r="B2379" s="873"/>
      <c r="C2379" s="874"/>
      <c r="D2379" s="874"/>
      <c r="E2379" s="874"/>
      <c r="F2379" s="874"/>
      <c r="G2379" s="874"/>
      <c r="H2379" s="874"/>
      <c r="I2379" s="874"/>
      <c r="J2379" s="874"/>
    </row>
    <row r="2380" spans="2:10">
      <c r="B2380" s="873"/>
      <c r="C2380" s="874"/>
      <c r="D2380" s="874"/>
      <c r="E2380" s="874"/>
      <c r="F2380" s="874"/>
      <c r="G2380" s="874"/>
      <c r="H2380" s="874"/>
      <c r="I2380" s="874"/>
      <c r="J2380" s="874"/>
    </row>
    <row r="2381" spans="2:10">
      <c r="B2381" s="873"/>
      <c r="C2381" s="874"/>
      <c r="D2381" s="874"/>
      <c r="E2381" s="874"/>
      <c r="F2381" s="874"/>
      <c r="G2381" s="874"/>
      <c r="H2381" s="874"/>
      <c r="I2381" s="874"/>
      <c r="J2381" s="874"/>
    </row>
    <row r="2382" spans="2:10">
      <c r="B2382" s="873"/>
      <c r="C2382" s="874"/>
      <c r="D2382" s="874"/>
      <c r="E2382" s="874"/>
      <c r="F2382" s="874"/>
      <c r="G2382" s="874"/>
      <c r="H2382" s="874"/>
      <c r="I2382" s="874"/>
      <c r="J2382" s="874"/>
    </row>
    <row r="2383" spans="2:10">
      <c r="B2383" s="873"/>
      <c r="C2383" s="874"/>
      <c r="D2383" s="874"/>
      <c r="E2383" s="874"/>
      <c r="F2383" s="874"/>
      <c r="G2383" s="874"/>
      <c r="H2383" s="874"/>
      <c r="I2383" s="874"/>
      <c r="J2383" s="874"/>
    </row>
    <row r="2384" spans="2:10">
      <c r="B2384" s="873"/>
      <c r="C2384" s="874"/>
      <c r="D2384" s="874"/>
      <c r="E2384" s="874"/>
      <c r="F2384" s="874"/>
      <c r="G2384" s="874"/>
      <c r="H2384" s="874"/>
      <c r="I2384" s="874"/>
      <c r="J2384" s="874"/>
    </row>
    <row r="2385" spans="2:10">
      <c r="B2385" s="873"/>
      <c r="C2385" s="874"/>
      <c r="D2385" s="874"/>
      <c r="E2385" s="874"/>
      <c r="F2385" s="874"/>
      <c r="G2385" s="874"/>
      <c r="H2385" s="874"/>
      <c r="I2385" s="874"/>
      <c r="J2385" s="874"/>
    </row>
    <row r="2386" spans="2:10">
      <c r="B2386" s="873"/>
      <c r="C2386" s="874"/>
      <c r="D2386" s="874"/>
      <c r="E2386" s="874"/>
      <c r="F2386" s="874"/>
      <c r="G2386" s="874"/>
      <c r="H2386" s="874"/>
      <c r="I2386" s="874"/>
      <c r="J2386" s="874"/>
    </row>
    <row r="2387" spans="2:10">
      <c r="B2387" s="873"/>
      <c r="C2387" s="874"/>
      <c r="D2387" s="874"/>
      <c r="E2387" s="874"/>
      <c r="F2387" s="874"/>
      <c r="G2387" s="874"/>
      <c r="H2387" s="874"/>
      <c r="I2387" s="874"/>
      <c r="J2387" s="874"/>
    </row>
    <row r="2388" spans="2:10">
      <c r="B2388" s="873"/>
      <c r="C2388" s="874"/>
      <c r="D2388" s="874"/>
      <c r="E2388" s="874"/>
      <c r="F2388" s="874"/>
      <c r="G2388" s="874"/>
      <c r="H2388" s="874"/>
      <c r="I2388" s="874"/>
      <c r="J2388" s="874"/>
    </row>
    <row r="2389" spans="2:10">
      <c r="B2389" s="873"/>
      <c r="C2389" s="874"/>
      <c r="D2389" s="874"/>
      <c r="E2389" s="874"/>
      <c r="F2389" s="874"/>
      <c r="G2389" s="874"/>
      <c r="H2389" s="874"/>
      <c r="I2389" s="874"/>
      <c r="J2389" s="874"/>
    </row>
    <row r="2390" spans="2:10">
      <c r="B2390" s="873"/>
      <c r="C2390" s="874"/>
      <c r="D2390" s="874"/>
      <c r="E2390" s="874"/>
      <c r="F2390" s="874"/>
      <c r="G2390" s="874"/>
      <c r="H2390" s="874"/>
      <c r="I2390" s="874"/>
      <c r="J2390" s="874"/>
    </row>
    <row r="2391" spans="2:10">
      <c r="B2391" s="873"/>
      <c r="C2391" s="874"/>
      <c r="D2391" s="874"/>
      <c r="E2391" s="874"/>
      <c r="F2391" s="874"/>
      <c r="G2391" s="874"/>
      <c r="H2391" s="874"/>
      <c r="I2391" s="874"/>
      <c r="J2391" s="874"/>
    </row>
    <row r="2392" spans="2:10">
      <c r="B2392" s="873"/>
      <c r="C2392" s="874"/>
      <c r="D2392" s="874"/>
      <c r="E2392" s="874"/>
      <c r="F2392" s="874"/>
      <c r="G2392" s="874"/>
      <c r="H2392" s="874"/>
      <c r="I2392" s="874"/>
      <c r="J2392" s="874"/>
    </row>
    <row r="2393" spans="2:10">
      <c r="B2393" s="873"/>
      <c r="C2393" s="874"/>
      <c r="D2393" s="874"/>
      <c r="E2393" s="874"/>
      <c r="F2393" s="874"/>
      <c r="G2393" s="874"/>
      <c r="H2393" s="874"/>
      <c r="I2393" s="874"/>
      <c r="J2393" s="874"/>
    </row>
    <row r="2394" spans="2:10">
      <c r="B2394" s="873"/>
      <c r="C2394" s="874"/>
      <c r="D2394" s="874"/>
      <c r="E2394" s="874"/>
      <c r="F2394" s="874"/>
      <c r="G2394" s="874"/>
      <c r="H2394" s="874"/>
      <c r="I2394" s="874"/>
      <c r="J2394" s="874"/>
    </row>
    <row r="2395" spans="2:10">
      <c r="B2395" s="873"/>
      <c r="C2395" s="874"/>
      <c r="D2395" s="874"/>
      <c r="E2395" s="874"/>
      <c r="F2395" s="874"/>
      <c r="G2395" s="874"/>
      <c r="H2395" s="874"/>
      <c r="I2395" s="874"/>
      <c r="J2395" s="874"/>
    </row>
    <row r="2396" spans="2:10">
      <c r="B2396" s="873"/>
      <c r="C2396" s="874"/>
      <c r="D2396" s="874"/>
      <c r="E2396" s="874"/>
      <c r="F2396" s="874"/>
      <c r="G2396" s="874"/>
      <c r="H2396" s="874"/>
      <c r="I2396" s="874"/>
      <c r="J2396" s="874"/>
    </row>
    <row r="2397" spans="2:10">
      <c r="B2397" s="873"/>
      <c r="C2397" s="874"/>
      <c r="D2397" s="874"/>
      <c r="E2397" s="874"/>
      <c r="F2397" s="874"/>
      <c r="G2397" s="874"/>
      <c r="H2397" s="874"/>
      <c r="I2397" s="874"/>
      <c r="J2397" s="874"/>
    </row>
    <row r="2398" spans="2:10">
      <c r="B2398" s="873"/>
      <c r="C2398" s="874"/>
      <c r="D2398" s="874"/>
      <c r="E2398" s="874"/>
      <c r="F2398" s="874"/>
      <c r="G2398" s="874"/>
      <c r="H2398" s="874"/>
      <c r="I2398" s="874"/>
      <c r="J2398" s="874"/>
    </row>
    <row r="2399" spans="2:10">
      <c r="B2399" s="873"/>
      <c r="C2399" s="874"/>
      <c r="D2399" s="874"/>
      <c r="E2399" s="874"/>
      <c r="F2399" s="874"/>
      <c r="G2399" s="874"/>
      <c r="H2399" s="874"/>
      <c r="I2399" s="874"/>
      <c r="J2399" s="874"/>
    </row>
    <row r="2400" spans="2:10">
      <c r="B2400" s="873"/>
      <c r="C2400" s="874"/>
      <c r="D2400" s="874"/>
      <c r="E2400" s="874"/>
      <c r="F2400" s="874"/>
      <c r="G2400" s="874"/>
      <c r="H2400" s="874"/>
      <c r="I2400" s="874"/>
      <c r="J2400" s="874"/>
    </row>
    <row r="2401" spans="2:10">
      <c r="B2401" s="873"/>
      <c r="C2401" s="874"/>
      <c r="D2401" s="874"/>
      <c r="E2401" s="874"/>
      <c r="F2401" s="874"/>
      <c r="G2401" s="874"/>
      <c r="H2401" s="874"/>
      <c r="I2401" s="874"/>
      <c r="J2401" s="874"/>
    </row>
    <row r="2402" spans="2:10">
      <c r="B2402" s="873"/>
      <c r="C2402" s="874"/>
      <c r="D2402" s="874"/>
      <c r="E2402" s="874"/>
      <c r="F2402" s="874"/>
      <c r="G2402" s="874"/>
      <c r="H2402" s="874"/>
      <c r="I2402" s="874"/>
      <c r="J2402" s="874"/>
    </row>
    <row r="2403" spans="2:10">
      <c r="B2403" s="873"/>
      <c r="C2403" s="874"/>
      <c r="D2403" s="874"/>
      <c r="E2403" s="874"/>
      <c r="F2403" s="874"/>
      <c r="G2403" s="874"/>
      <c r="H2403" s="874"/>
      <c r="I2403" s="874"/>
      <c r="J2403" s="874"/>
    </row>
    <row r="2404" spans="2:10">
      <c r="B2404" s="873"/>
      <c r="C2404" s="874"/>
      <c r="D2404" s="874"/>
      <c r="E2404" s="874"/>
      <c r="F2404" s="874"/>
      <c r="G2404" s="874"/>
      <c r="H2404" s="874"/>
      <c r="I2404" s="874"/>
      <c r="J2404" s="874"/>
    </row>
    <row r="2405" spans="2:10">
      <c r="B2405" s="873"/>
      <c r="C2405" s="874"/>
      <c r="D2405" s="874"/>
      <c r="E2405" s="874"/>
      <c r="F2405" s="874"/>
      <c r="G2405" s="874"/>
      <c r="H2405" s="874"/>
      <c r="I2405" s="874"/>
      <c r="J2405" s="874"/>
    </row>
    <row r="2406" spans="2:10">
      <c r="B2406" s="873"/>
      <c r="C2406" s="874"/>
      <c r="D2406" s="874"/>
      <c r="E2406" s="874"/>
      <c r="F2406" s="874"/>
      <c r="G2406" s="874"/>
      <c r="H2406" s="874"/>
      <c r="I2406" s="874"/>
      <c r="J2406" s="874"/>
    </row>
    <row r="2407" spans="2:10">
      <c r="B2407" s="873"/>
      <c r="C2407" s="874"/>
      <c r="D2407" s="874"/>
      <c r="E2407" s="874"/>
      <c r="F2407" s="874"/>
      <c r="G2407" s="874"/>
      <c r="H2407" s="874"/>
      <c r="I2407" s="874"/>
      <c r="J2407" s="874"/>
    </row>
    <row r="2408" spans="2:10">
      <c r="B2408" s="873"/>
      <c r="C2408" s="874"/>
      <c r="D2408" s="874"/>
      <c r="E2408" s="874"/>
      <c r="F2408" s="874"/>
      <c r="G2408" s="874"/>
      <c r="H2408" s="874"/>
      <c r="I2408" s="874"/>
      <c r="J2408" s="874"/>
    </row>
    <row r="2409" spans="2:10">
      <c r="B2409" s="873"/>
      <c r="C2409" s="874"/>
      <c r="D2409" s="874"/>
      <c r="E2409" s="874"/>
      <c r="F2409" s="874"/>
      <c r="G2409" s="874"/>
      <c r="H2409" s="874"/>
      <c r="I2409" s="874"/>
      <c r="J2409" s="874"/>
    </row>
    <row r="2410" spans="2:10">
      <c r="B2410" s="873"/>
      <c r="C2410" s="874"/>
      <c r="D2410" s="874"/>
      <c r="E2410" s="874"/>
      <c r="F2410" s="874"/>
      <c r="G2410" s="874"/>
      <c r="H2410" s="874"/>
      <c r="I2410" s="874"/>
      <c r="J2410" s="874"/>
    </row>
    <row r="2411" spans="2:10">
      <c r="B2411" s="873"/>
      <c r="C2411" s="874"/>
      <c r="D2411" s="874"/>
      <c r="E2411" s="874"/>
      <c r="F2411" s="874"/>
      <c r="G2411" s="874"/>
      <c r="H2411" s="874"/>
      <c r="I2411" s="874"/>
      <c r="J2411" s="874"/>
    </row>
    <row r="2412" spans="2:10">
      <c r="B2412" s="873"/>
      <c r="C2412" s="874"/>
      <c r="D2412" s="874"/>
      <c r="E2412" s="874"/>
      <c r="F2412" s="874"/>
      <c r="G2412" s="874"/>
      <c r="H2412" s="874"/>
      <c r="I2412" s="874"/>
      <c r="J2412" s="874"/>
    </row>
    <row r="2413" spans="2:10">
      <c r="B2413" s="873"/>
      <c r="C2413" s="874"/>
      <c r="D2413" s="874"/>
      <c r="E2413" s="874"/>
      <c r="F2413" s="874"/>
      <c r="G2413" s="874"/>
      <c r="H2413" s="874"/>
      <c r="I2413" s="874"/>
      <c r="J2413" s="874"/>
    </row>
    <row r="2414" spans="2:10">
      <c r="B2414" s="873"/>
      <c r="C2414" s="874"/>
      <c r="D2414" s="874"/>
      <c r="E2414" s="874"/>
      <c r="F2414" s="874"/>
      <c r="G2414" s="874"/>
      <c r="H2414" s="874"/>
      <c r="I2414" s="874"/>
      <c r="J2414" s="874"/>
    </row>
    <row r="2415" spans="2:10">
      <c r="B2415" s="873"/>
      <c r="C2415" s="874"/>
      <c r="D2415" s="874"/>
      <c r="E2415" s="874"/>
      <c r="F2415" s="874"/>
      <c r="G2415" s="874"/>
      <c r="H2415" s="874"/>
      <c r="I2415" s="874"/>
      <c r="J2415" s="874"/>
    </row>
    <row r="2416" spans="2:10">
      <c r="B2416" s="873"/>
      <c r="C2416" s="874"/>
      <c r="D2416" s="874"/>
      <c r="E2416" s="874"/>
      <c r="F2416" s="874"/>
      <c r="G2416" s="874"/>
      <c r="H2416" s="874"/>
      <c r="I2416" s="874"/>
      <c r="J2416" s="874"/>
    </row>
    <row r="2417" spans="2:10">
      <c r="B2417" s="873"/>
      <c r="C2417" s="874"/>
      <c r="D2417" s="874"/>
      <c r="E2417" s="874"/>
      <c r="F2417" s="874"/>
      <c r="G2417" s="874"/>
      <c r="H2417" s="874"/>
      <c r="I2417" s="874"/>
      <c r="J2417" s="874"/>
    </row>
    <row r="2418" spans="2:10">
      <c r="B2418" s="873"/>
      <c r="C2418" s="874"/>
      <c r="D2418" s="874"/>
      <c r="E2418" s="874"/>
      <c r="F2418" s="874"/>
      <c r="G2418" s="874"/>
      <c r="H2418" s="874"/>
      <c r="I2418" s="874"/>
      <c r="J2418" s="874"/>
    </row>
    <row r="2419" spans="2:10">
      <c r="B2419" s="873"/>
      <c r="C2419" s="874"/>
      <c r="D2419" s="874"/>
      <c r="E2419" s="874"/>
      <c r="F2419" s="874"/>
      <c r="G2419" s="874"/>
      <c r="H2419" s="874"/>
      <c r="I2419" s="874"/>
      <c r="J2419" s="874"/>
    </row>
    <row r="2420" spans="2:10">
      <c r="B2420" s="873"/>
      <c r="C2420" s="874"/>
      <c r="D2420" s="874"/>
      <c r="E2420" s="874"/>
      <c r="F2420" s="874"/>
      <c r="G2420" s="874"/>
      <c r="H2420" s="874"/>
      <c r="I2420" s="874"/>
      <c r="J2420" s="874"/>
    </row>
    <row r="2421" spans="2:10">
      <c r="B2421" s="873"/>
      <c r="C2421" s="874"/>
      <c r="D2421" s="874"/>
      <c r="E2421" s="874"/>
      <c r="F2421" s="874"/>
      <c r="G2421" s="874"/>
      <c r="H2421" s="874"/>
      <c r="I2421" s="874"/>
      <c r="J2421" s="874"/>
    </row>
    <row r="2422" spans="2:10">
      <c r="B2422" s="873"/>
      <c r="C2422" s="874"/>
      <c r="D2422" s="874"/>
      <c r="E2422" s="874"/>
      <c r="F2422" s="874"/>
      <c r="G2422" s="874"/>
      <c r="H2422" s="874"/>
      <c r="I2422" s="874"/>
      <c r="J2422" s="874"/>
    </row>
    <row r="2423" spans="2:10">
      <c r="B2423" s="873"/>
      <c r="C2423" s="874"/>
      <c r="D2423" s="874"/>
      <c r="E2423" s="874"/>
      <c r="F2423" s="874"/>
      <c r="G2423" s="874"/>
      <c r="H2423" s="874"/>
      <c r="I2423" s="874"/>
      <c r="J2423" s="874"/>
    </row>
    <row r="2424" spans="2:10">
      <c r="B2424" s="873"/>
      <c r="C2424" s="874"/>
      <c r="D2424" s="874"/>
      <c r="E2424" s="874"/>
      <c r="F2424" s="874"/>
      <c r="G2424" s="874"/>
      <c r="H2424" s="874"/>
      <c r="I2424" s="874"/>
      <c r="J2424" s="874"/>
    </row>
    <row r="2425" spans="2:10">
      <c r="B2425" s="873"/>
      <c r="C2425" s="874"/>
      <c r="D2425" s="874"/>
      <c r="E2425" s="874"/>
      <c r="F2425" s="874"/>
      <c r="G2425" s="874"/>
      <c r="H2425" s="874"/>
      <c r="I2425" s="874"/>
      <c r="J2425" s="874"/>
    </row>
    <row r="2426" spans="2:10">
      <c r="B2426" s="873"/>
      <c r="C2426" s="874"/>
      <c r="D2426" s="874"/>
      <c r="E2426" s="874"/>
      <c r="F2426" s="874"/>
      <c r="G2426" s="874"/>
      <c r="H2426" s="874"/>
      <c r="I2426" s="874"/>
      <c r="J2426" s="874"/>
    </row>
    <row r="2427" spans="2:10">
      <c r="B2427" s="873"/>
      <c r="C2427" s="874"/>
      <c r="D2427" s="874"/>
      <c r="E2427" s="874"/>
      <c r="F2427" s="874"/>
      <c r="G2427" s="874"/>
      <c r="H2427" s="874"/>
      <c r="I2427" s="874"/>
      <c r="J2427" s="874"/>
    </row>
    <row r="2428" spans="2:10">
      <c r="B2428" s="873"/>
      <c r="C2428" s="874"/>
      <c r="D2428" s="874"/>
      <c r="E2428" s="874"/>
      <c r="F2428" s="874"/>
      <c r="G2428" s="874"/>
      <c r="H2428" s="874"/>
      <c r="I2428" s="874"/>
      <c r="J2428" s="874"/>
    </row>
    <row r="2429" spans="2:10">
      <c r="B2429" s="873"/>
      <c r="C2429" s="874"/>
      <c r="D2429" s="874"/>
      <c r="E2429" s="874"/>
      <c r="F2429" s="874"/>
      <c r="G2429" s="874"/>
      <c r="H2429" s="874"/>
      <c r="I2429" s="874"/>
      <c r="J2429" s="874"/>
    </row>
    <row r="2430" spans="2:10">
      <c r="B2430" s="873"/>
      <c r="C2430" s="874"/>
      <c r="D2430" s="874"/>
      <c r="E2430" s="874"/>
      <c r="F2430" s="874"/>
      <c r="G2430" s="874"/>
      <c r="H2430" s="874"/>
      <c r="I2430" s="874"/>
      <c r="J2430" s="874"/>
    </row>
    <row r="2431" spans="2:10">
      <c r="B2431" s="873"/>
      <c r="C2431" s="874"/>
      <c r="D2431" s="874"/>
      <c r="E2431" s="874"/>
      <c r="F2431" s="874"/>
      <c r="G2431" s="874"/>
      <c r="H2431" s="874"/>
      <c r="I2431" s="874"/>
      <c r="J2431" s="874"/>
    </row>
    <row r="2432" spans="2:10">
      <c r="B2432" s="873"/>
      <c r="C2432" s="874"/>
      <c r="D2432" s="874"/>
      <c r="E2432" s="874"/>
      <c r="F2432" s="874"/>
      <c r="G2432" s="874"/>
      <c r="H2432" s="874"/>
      <c r="I2432" s="874"/>
      <c r="J2432" s="874"/>
    </row>
    <row r="2433" spans="2:10">
      <c r="B2433" s="873"/>
      <c r="C2433" s="874"/>
      <c r="D2433" s="874"/>
      <c r="E2433" s="874"/>
      <c r="F2433" s="874"/>
      <c r="G2433" s="874"/>
      <c r="H2433" s="874"/>
      <c r="I2433" s="874"/>
      <c r="J2433" s="874"/>
    </row>
    <row r="2434" spans="2:10">
      <c r="B2434" s="873"/>
      <c r="C2434" s="874"/>
      <c r="D2434" s="874"/>
      <c r="E2434" s="874"/>
      <c r="F2434" s="874"/>
      <c r="G2434" s="874"/>
      <c r="H2434" s="874"/>
      <c r="I2434" s="874"/>
      <c r="J2434" s="874"/>
    </row>
    <row r="2435" spans="2:10">
      <c r="B2435" s="873"/>
      <c r="C2435" s="874"/>
      <c r="D2435" s="874"/>
      <c r="E2435" s="874"/>
      <c r="F2435" s="874"/>
      <c r="G2435" s="874"/>
      <c r="H2435" s="874"/>
      <c r="I2435" s="874"/>
      <c r="J2435" s="874"/>
    </row>
    <row r="2436" spans="2:10">
      <c r="B2436" s="873"/>
      <c r="C2436" s="874"/>
      <c r="D2436" s="874"/>
      <c r="E2436" s="874"/>
      <c r="F2436" s="874"/>
      <c r="G2436" s="874"/>
      <c r="H2436" s="874"/>
      <c r="I2436" s="874"/>
      <c r="J2436" s="874"/>
    </row>
    <row r="2437" spans="2:10">
      <c r="B2437" s="873"/>
      <c r="C2437" s="874"/>
      <c r="D2437" s="874"/>
      <c r="E2437" s="874"/>
      <c r="F2437" s="874"/>
      <c r="G2437" s="874"/>
      <c r="H2437" s="874"/>
      <c r="I2437" s="874"/>
      <c r="J2437" s="874"/>
    </row>
    <row r="2438" spans="2:10">
      <c r="B2438" s="873"/>
      <c r="C2438" s="874"/>
      <c r="D2438" s="874"/>
      <c r="E2438" s="874"/>
      <c r="F2438" s="874"/>
      <c r="G2438" s="874"/>
      <c r="H2438" s="874"/>
      <c r="I2438" s="874"/>
      <c r="J2438" s="874"/>
    </row>
    <row r="2439" spans="2:10">
      <c r="B2439" s="873"/>
      <c r="C2439" s="874"/>
      <c r="D2439" s="874"/>
      <c r="E2439" s="874"/>
      <c r="F2439" s="874"/>
      <c r="G2439" s="874"/>
      <c r="H2439" s="874"/>
      <c r="I2439" s="874"/>
      <c r="J2439" s="874"/>
    </row>
    <row r="2440" spans="2:10">
      <c r="B2440" s="873"/>
      <c r="C2440" s="874"/>
      <c r="D2440" s="874"/>
      <c r="E2440" s="874"/>
      <c r="F2440" s="874"/>
      <c r="G2440" s="874"/>
      <c r="H2440" s="874"/>
      <c r="I2440" s="874"/>
      <c r="J2440" s="874"/>
    </row>
    <row r="2441" spans="2:10">
      <c r="B2441" s="873"/>
      <c r="C2441" s="874"/>
      <c r="D2441" s="874"/>
      <c r="E2441" s="874"/>
      <c r="F2441" s="874"/>
      <c r="G2441" s="874"/>
      <c r="H2441" s="874"/>
      <c r="I2441" s="874"/>
      <c r="J2441" s="874"/>
    </row>
    <row r="2442" spans="2:10">
      <c r="B2442" s="873"/>
      <c r="C2442" s="874"/>
      <c r="D2442" s="874"/>
      <c r="E2442" s="874"/>
      <c r="F2442" s="874"/>
      <c r="G2442" s="874"/>
      <c r="H2442" s="874"/>
      <c r="I2442" s="874"/>
      <c r="J2442" s="874"/>
    </row>
    <row r="2443" spans="2:10">
      <c r="B2443" s="873"/>
      <c r="C2443" s="874"/>
      <c r="D2443" s="874"/>
      <c r="E2443" s="874"/>
      <c r="F2443" s="874"/>
      <c r="G2443" s="874"/>
      <c r="H2443" s="874"/>
      <c r="I2443" s="874"/>
      <c r="J2443" s="874"/>
    </row>
    <row r="2444" spans="2:10">
      <c r="B2444" s="873"/>
      <c r="C2444" s="874"/>
      <c r="D2444" s="874"/>
      <c r="E2444" s="874"/>
      <c r="F2444" s="874"/>
      <c r="G2444" s="874"/>
      <c r="H2444" s="874"/>
      <c r="I2444" s="874"/>
      <c r="J2444" s="874"/>
    </row>
    <row r="2445" spans="2:10">
      <c r="B2445" s="873"/>
      <c r="C2445" s="874"/>
      <c r="D2445" s="874"/>
      <c r="E2445" s="874"/>
      <c r="F2445" s="874"/>
      <c r="G2445" s="874"/>
      <c r="H2445" s="874"/>
      <c r="I2445" s="874"/>
      <c r="J2445" s="874"/>
    </row>
    <row r="2446" spans="2:10">
      <c r="B2446" s="873"/>
      <c r="C2446" s="874"/>
      <c r="D2446" s="874"/>
      <c r="E2446" s="874"/>
      <c r="F2446" s="874"/>
      <c r="G2446" s="874"/>
      <c r="H2446" s="874"/>
      <c r="I2446" s="874"/>
      <c r="J2446" s="874"/>
    </row>
    <row r="2447" spans="2:10">
      <c r="B2447" s="873"/>
      <c r="C2447" s="874"/>
      <c r="D2447" s="874"/>
      <c r="E2447" s="874"/>
      <c r="F2447" s="874"/>
      <c r="G2447" s="874"/>
      <c r="H2447" s="874"/>
      <c r="I2447" s="874"/>
      <c r="J2447" s="874"/>
    </row>
    <row r="2448" spans="2:10">
      <c r="B2448" s="873"/>
      <c r="C2448" s="874"/>
      <c r="D2448" s="874"/>
      <c r="E2448" s="874"/>
      <c r="F2448" s="874"/>
      <c r="G2448" s="874"/>
      <c r="H2448" s="874"/>
      <c r="I2448" s="874"/>
      <c r="J2448" s="874"/>
    </row>
    <row r="2449" spans="2:10">
      <c r="B2449" s="873"/>
      <c r="C2449" s="874"/>
      <c r="D2449" s="874"/>
      <c r="E2449" s="874"/>
      <c r="F2449" s="874"/>
      <c r="G2449" s="874"/>
      <c r="H2449" s="874"/>
      <c r="I2449" s="874"/>
      <c r="J2449" s="874"/>
    </row>
    <row r="2450" spans="2:10">
      <c r="B2450" s="873"/>
      <c r="C2450" s="874"/>
      <c r="D2450" s="874"/>
      <c r="E2450" s="874"/>
      <c r="F2450" s="874"/>
      <c r="G2450" s="874"/>
      <c r="H2450" s="874"/>
      <c r="I2450" s="874"/>
      <c r="J2450" s="874"/>
    </row>
    <row r="2451" spans="2:10">
      <c r="B2451" s="873"/>
      <c r="C2451" s="874"/>
      <c r="D2451" s="874"/>
      <c r="E2451" s="874"/>
      <c r="F2451" s="874"/>
      <c r="G2451" s="874"/>
      <c r="H2451" s="874"/>
      <c r="I2451" s="874"/>
      <c r="J2451" s="874"/>
    </row>
    <row r="2452" spans="2:10">
      <c r="B2452" s="873"/>
      <c r="C2452" s="874"/>
      <c r="D2452" s="874"/>
      <c r="E2452" s="874"/>
      <c r="F2452" s="874"/>
      <c r="G2452" s="874"/>
      <c r="H2452" s="874"/>
      <c r="I2452" s="874"/>
      <c r="J2452" s="874"/>
    </row>
    <row r="2453" spans="2:10">
      <c r="B2453" s="873"/>
      <c r="C2453" s="874"/>
      <c r="D2453" s="874"/>
      <c r="E2453" s="874"/>
      <c r="F2453" s="874"/>
      <c r="G2453" s="874"/>
      <c r="H2453" s="874"/>
      <c r="I2453" s="874"/>
      <c r="J2453" s="874"/>
    </row>
    <row r="2454" spans="2:10">
      <c r="B2454" s="873"/>
      <c r="C2454" s="874"/>
      <c r="D2454" s="874"/>
      <c r="E2454" s="874"/>
      <c r="F2454" s="874"/>
      <c r="G2454" s="874"/>
      <c r="H2454" s="874"/>
      <c r="I2454" s="874"/>
      <c r="J2454" s="874"/>
    </row>
    <row r="2455" spans="2:10">
      <c r="B2455" s="873"/>
      <c r="C2455" s="874"/>
      <c r="D2455" s="874"/>
      <c r="E2455" s="874"/>
      <c r="F2455" s="874"/>
      <c r="G2455" s="874"/>
      <c r="H2455" s="874"/>
      <c r="I2455" s="874"/>
      <c r="J2455" s="874"/>
    </row>
    <row r="2456" spans="2:10">
      <c r="B2456" s="873"/>
      <c r="C2456" s="874"/>
      <c r="D2456" s="874"/>
      <c r="E2456" s="874"/>
      <c r="F2456" s="874"/>
      <c r="G2456" s="874"/>
      <c r="H2456" s="874"/>
      <c r="I2456" s="874"/>
      <c r="J2456" s="874"/>
    </row>
    <row r="2457" spans="2:10">
      <c r="B2457" s="873"/>
      <c r="C2457" s="874"/>
      <c r="D2457" s="874"/>
      <c r="E2457" s="874"/>
      <c r="F2457" s="874"/>
      <c r="G2457" s="874"/>
      <c r="H2457" s="874"/>
      <c r="I2457" s="874"/>
      <c r="J2457" s="874"/>
    </row>
    <row r="2458" spans="2:10">
      <c r="B2458" s="873"/>
      <c r="C2458" s="874"/>
      <c r="D2458" s="874"/>
      <c r="E2458" s="874"/>
      <c r="F2458" s="874"/>
      <c r="G2458" s="874"/>
      <c r="H2458" s="874"/>
      <c r="I2458" s="874"/>
      <c r="J2458" s="874"/>
    </row>
    <row r="2459" spans="2:10">
      <c r="B2459" s="873"/>
      <c r="C2459" s="874"/>
      <c r="D2459" s="874"/>
      <c r="E2459" s="874"/>
      <c r="F2459" s="874"/>
      <c r="G2459" s="874"/>
      <c r="H2459" s="874"/>
      <c r="I2459" s="874"/>
      <c r="J2459" s="874"/>
    </row>
    <row r="2460" spans="2:10">
      <c r="B2460" s="873"/>
      <c r="C2460" s="874"/>
      <c r="D2460" s="874"/>
      <c r="E2460" s="874"/>
      <c r="F2460" s="874"/>
      <c r="G2460" s="874"/>
      <c r="H2460" s="874"/>
      <c r="I2460" s="874"/>
      <c r="J2460" s="874"/>
    </row>
    <row r="2461" spans="2:10">
      <c r="B2461" s="873"/>
      <c r="C2461" s="874"/>
      <c r="D2461" s="874"/>
      <c r="E2461" s="874"/>
      <c r="F2461" s="874"/>
      <c r="G2461" s="874"/>
      <c r="H2461" s="874"/>
      <c r="I2461" s="874"/>
      <c r="J2461" s="874"/>
    </row>
    <row r="2462" spans="2:10">
      <c r="B2462" s="873"/>
      <c r="C2462" s="874"/>
      <c r="D2462" s="874"/>
      <c r="E2462" s="874"/>
      <c r="F2462" s="874"/>
      <c r="G2462" s="874"/>
      <c r="H2462" s="874"/>
      <c r="I2462" s="874"/>
      <c r="J2462" s="874"/>
    </row>
    <row r="2463" spans="2:10">
      <c r="B2463" s="873"/>
      <c r="C2463" s="874"/>
      <c r="D2463" s="874"/>
      <c r="E2463" s="874"/>
      <c r="F2463" s="874"/>
      <c r="G2463" s="874"/>
      <c r="H2463" s="874"/>
      <c r="I2463" s="874"/>
      <c r="J2463" s="874"/>
    </row>
    <row r="2464" spans="2:10">
      <c r="B2464" s="873"/>
      <c r="C2464" s="874"/>
      <c r="D2464" s="874"/>
      <c r="E2464" s="874"/>
      <c r="F2464" s="874"/>
      <c r="G2464" s="874"/>
      <c r="H2464" s="874"/>
      <c r="I2464" s="874"/>
      <c r="J2464" s="874"/>
    </row>
    <row r="2465" spans="2:10">
      <c r="B2465" s="873"/>
      <c r="C2465" s="874"/>
      <c r="D2465" s="874"/>
      <c r="E2465" s="874"/>
      <c r="F2465" s="874"/>
      <c r="G2465" s="874"/>
      <c r="H2465" s="874"/>
      <c r="I2465" s="874"/>
      <c r="J2465" s="874"/>
    </row>
    <row r="2466" spans="2:10">
      <c r="B2466" s="873"/>
      <c r="C2466" s="874"/>
      <c r="D2466" s="874"/>
      <c r="E2466" s="874"/>
      <c r="F2466" s="874"/>
      <c r="G2466" s="874"/>
      <c r="H2466" s="874"/>
      <c r="I2466" s="874"/>
      <c r="J2466" s="874"/>
    </row>
    <row r="2467" spans="2:10">
      <c r="B2467" s="873"/>
      <c r="C2467" s="874"/>
      <c r="D2467" s="874"/>
      <c r="E2467" s="874"/>
      <c r="F2467" s="874"/>
      <c r="G2467" s="874"/>
      <c r="H2467" s="874"/>
      <c r="I2467" s="874"/>
      <c r="J2467" s="874"/>
    </row>
    <row r="2468" spans="2:10">
      <c r="B2468" s="873"/>
      <c r="C2468" s="874"/>
      <c r="D2468" s="874"/>
      <c r="E2468" s="874"/>
      <c r="F2468" s="874"/>
      <c r="G2468" s="874"/>
      <c r="H2468" s="874"/>
      <c r="I2468" s="874"/>
      <c r="J2468" s="874"/>
    </row>
    <row r="2469" spans="2:10">
      <c r="B2469" s="873"/>
      <c r="C2469" s="874"/>
      <c r="D2469" s="874"/>
      <c r="E2469" s="874"/>
      <c r="F2469" s="874"/>
      <c r="G2469" s="874"/>
      <c r="H2469" s="874"/>
      <c r="I2469" s="874"/>
      <c r="J2469" s="874"/>
    </row>
    <row r="2470" spans="2:10">
      <c r="B2470" s="873"/>
      <c r="C2470" s="874"/>
      <c r="D2470" s="874"/>
      <c r="E2470" s="874"/>
      <c r="F2470" s="874"/>
      <c r="G2470" s="874"/>
      <c r="H2470" s="874"/>
      <c r="I2470" s="874"/>
      <c r="J2470" s="874"/>
    </row>
    <row r="2471" spans="2:10">
      <c r="B2471" s="873"/>
      <c r="C2471" s="874"/>
      <c r="D2471" s="874"/>
      <c r="E2471" s="874"/>
      <c r="F2471" s="874"/>
      <c r="G2471" s="874"/>
      <c r="H2471" s="874"/>
      <c r="I2471" s="874"/>
      <c r="J2471" s="874"/>
    </row>
    <row r="2472" spans="2:10">
      <c r="B2472" s="873"/>
      <c r="C2472" s="874"/>
      <c r="D2472" s="874"/>
      <c r="E2472" s="874"/>
      <c r="F2472" s="874"/>
      <c r="G2472" s="874"/>
      <c r="H2472" s="874"/>
      <c r="I2472" s="874"/>
      <c r="J2472" s="874"/>
    </row>
    <row r="2473" spans="2:10">
      <c r="B2473" s="873"/>
      <c r="C2473" s="874"/>
      <c r="D2473" s="874"/>
      <c r="E2473" s="874"/>
      <c r="F2473" s="874"/>
      <c r="G2473" s="874"/>
      <c r="H2473" s="874"/>
      <c r="I2473" s="874"/>
      <c r="J2473" s="874"/>
    </row>
    <row r="2474" spans="2:10">
      <c r="B2474" s="873"/>
      <c r="C2474" s="874"/>
      <c r="D2474" s="874"/>
      <c r="E2474" s="874"/>
      <c r="F2474" s="874"/>
      <c r="G2474" s="874"/>
      <c r="H2474" s="874"/>
      <c r="I2474" s="874"/>
      <c r="J2474" s="874"/>
    </row>
    <row r="2475" spans="2:10">
      <c r="B2475" s="873"/>
      <c r="C2475" s="874"/>
      <c r="D2475" s="874"/>
      <c r="E2475" s="874"/>
      <c r="F2475" s="874"/>
      <c r="G2475" s="874"/>
      <c r="H2475" s="874"/>
      <c r="I2475" s="874"/>
      <c r="J2475" s="874"/>
    </row>
    <row r="2476" spans="2:10">
      <c r="B2476" s="873"/>
      <c r="C2476" s="874"/>
      <c r="D2476" s="874"/>
      <c r="E2476" s="874"/>
      <c r="F2476" s="874"/>
      <c r="G2476" s="874"/>
      <c r="H2476" s="874"/>
      <c r="I2476" s="874"/>
      <c r="J2476" s="874"/>
    </row>
    <row r="2477" spans="2:10">
      <c r="B2477" s="873"/>
      <c r="C2477" s="874"/>
      <c r="D2477" s="874"/>
      <c r="E2477" s="874"/>
      <c r="F2477" s="874"/>
      <c r="G2477" s="874"/>
      <c r="H2477" s="874"/>
      <c r="I2477" s="874"/>
      <c r="J2477" s="874"/>
    </row>
    <row r="2478" spans="2:10">
      <c r="B2478" s="873"/>
      <c r="C2478" s="874"/>
      <c r="D2478" s="874"/>
      <c r="E2478" s="874"/>
      <c r="F2478" s="874"/>
      <c r="G2478" s="874"/>
      <c r="H2478" s="874"/>
      <c r="I2478" s="874"/>
      <c r="J2478" s="874"/>
    </row>
    <row r="2479" spans="2:10">
      <c r="B2479" s="873"/>
      <c r="C2479" s="874"/>
      <c r="D2479" s="874"/>
      <c r="E2479" s="874"/>
      <c r="F2479" s="874"/>
      <c r="G2479" s="874"/>
      <c r="H2479" s="874"/>
      <c r="I2479" s="874"/>
      <c r="J2479" s="874"/>
    </row>
    <row r="2480" spans="2:10">
      <c r="B2480" s="873"/>
      <c r="C2480" s="874"/>
      <c r="D2480" s="874"/>
      <c r="E2480" s="874"/>
      <c r="F2480" s="874"/>
      <c r="G2480" s="874"/>
      <c r="H2480" s="874"/>
      <c r="I2480" s="874"/>
      <c r="J2480" s="874"/>
    </row>
    <row r="2481" spans="2:10">
      <c r="B2481" s="873"/>
      <c r="C2481" s="874"/>
      <c r="D2481" s="874"/>
      <c r="E2481" s="874"/>
      <c r="F2481" s="874"/>
      <c r="G2481" s="874"/>
      <c r="H2481" s="874"/>
      <c r="I2481" s="874"/>
      <c r="J2481" s="874"/>
    </row>
    <row r="2482" spans="2:10">
      <c r="B2482" s="873"/>
      <c r="C2482" s="874"/>
      <c r="D2482" s="874"/>
      <c r="E2482" s="874"/>
      <c r="F2482" s="874"/>
      <c r="G2482" s="874"/>
      <c r="H2482" s="874"/>
      <c r="I2482" s="874"/>
      <c r="J2482" s="874"/>
    </row>
    <row r="2483" spans="2:10">
      <c r="B2483" s="873"/>
      <c r="C2483" s="874"/>
      <c r="D2483" s="874"/>
      <c r="E2483" s="874"/>
      <c r="F2483" s="874"/>
      <c r="G2483" s="874"/>
      <c r="H2483" s="874"/>
      <c r="I2483" s="874"/>
      <c r="J2483" s="874"/>
    </row>
    <row r="2484" spans="2:10">
      <c r="B2484" s="873"/>
      <c r="C2484" s="874"/>
      <c r="D2484" s="874"/>
      <c r="E2484" s="874"/>
      <c r="F2484" s="874"/>
      <c r="G2484" s="874"/>
      <c r="H2484" s="874"/>
      <c r="I2484" s="874"/>
      <c r="J2484" s="874"/>
    </row>
    <row r="2485" spans="2:10">
      <c r="B2485" s="873"/>
      <c r="C2485" s="874"/>
      <c r="D2485" s="874"/>
      <c r="E2485" s="874"/>
      <c r="F2485" s="874"/>
      <c r="G2485" s="874"/>
      <c r="H2485" s="874"/>
      <c r="I2485" s="874"/>
      <c r="J2485" s="874"/>
    </row>
    <row r="2486" spans="2:10">
      <c r="B2486" s="873"/>
      <c r="C2486" s="874"/>
      <c r="D2486" s="874"/>
      <c r="E2486" s="874"/>
      <c r="F2486" s="874"/>
      <c r="G2486" s="874"/>
      <c r="H2486" s="874"/>
      <c r="I2486" s="874"/>
      <c r="J2486" s="874"/>
    </row>
    <row r="2487" spans="2:10">
      <c r="B2487" s="873"/>
      <c r="C2487" s="874"/>
      <c r="D2487" s="874"/>
      <c r="E2487" s="874"/>
      <c r="F2487" s="874"/>
      <c r="G2487" s="874"/>
      <c r="H2487" s="874"/>
      <c r="I2487" s="874"/>
      <c r="J2487" s="874"/>
    </row>
    <row r="2488" spans="2:10">
      <c r="B2488" s="873"/>
      <c r="C2488" s="874"/>
      <c r="D2488" s="874"/>
      <c r="E2488" s="874"/>
      <c r="F2488" s="874"/>
      <c r="G2488" s="874"/>
      <c r="H2488" s="874"/>
      <c r="I2488" s="874"/>
      <c r="J2488" s="874"/>
    </row>
    <row r="2489" spans="2:10">
      <c r="B2489" s="873"/>
      <c r="C2489" s="874"/>
      <c r="D2489" s="874"/>
      <c r="E2489" s="874"/>
      <c r="F2489" s="874"/>
      <c r="G2489" s="874"/>
      <c r="H2489" s="874"/>
      <c r="I2489" s="874"/>
      <c r="J2489" s="874"/>
    </row>
    <row r="2490" spans="2:10">
      <c r="B2490" s="873"/>
      <c r="C2490" s="874"/>
      <c r="D2490" s="874"/>
      <c r="E2490" s="874"/>
      <c r="F2490" s="874"/>
      <c r="G2490" s="874"/>
      <c r="H2490" s="874"/>
      <c r="I2490" s="874"/>
      <c r="J2490" s="874"/>
    </row>
    <row r="2491" spans="2:10">
      <c r="B2491" s="873"/>
      <c r="C2491" s="874"/>
      <c r="D2491" s="874"/>
      <c r="E2491" s="874"/>
      <c r="F2491" s="874"/>
      <c r="G2491" s="874"/>
      <c r="H2491" s="874"/>
      <c r="I2491" s="874"/>
      <c r="J2491" s="874"/>
    </row>
    <row r="2492" spans="2:10">
      <c r="B2492" s="873"/>
      <c r="C2492" s="874"/>
      <c r="D2492" s="874"/>
      <c r="E2492" s="874"/>
      <c r="F2492" s="874"/>
      <c r="G2492" s="874"/>
      <c r="H2492" s="874"/>
      <c r="I2492" s="874"/>
      <c r="J2492" s="874"/>
    </row>
    <row r="2493" spans="2:10">
      <c r="B2493" s="873"/>
      <c r="C2493" s="874"/>
      <c r="D2493" s="874"/>
      <c r="E2493" s="874"/>
      <c r="F2493" s="874"/>
      <c r="G2493" s="874"/>
      <c r="H2493" s="874"/>
      <c r="I2493" s="874"/>
      <c r="J2493" s="874"/>
    </row>
    <row r="2494" spans="2:10">
      <c r="B2494" s="873"/>
      <c r="C2494" s="874"/>
      <c r="D2494" s="874"/>
      <c r="E2494" s="874"/>
      <c r="F2494" s="874"/>
      <c r="G2494" s="874"/>
      <c r="H2494" s="874"/>
      <c r="I2494" s="874"/>
      <c r="J2494" s="874"/>
    </row>
    <row r="2495" spans="2:10">
      <c r="B2495" s="873"/>
      <c r="C2495" s="874"/>
      <c r="D2495" s="874"/>
      <c r="E2495" s="874"/>
      <c r="F2495" s="874"/>
      <c r="G2495" s="874"/>
      <c r="H2495" s="874"/>
      <c r="I2495" s="874"/>
      <c r="J2495" s="874"/>
    </row>
    <row r="2496" spans="2:10">
      <c r="B2496" s="873"/>
      <c r="C2496" s="874"/>
      <c r="D2496" s="874"/>
      <c r="E2496" s="874"/>
      <c r="F2496" s="874"/>
      <c r="G2496" s="874"/>
      <c r="H2496" s="874"/>
      <c r="I2496" s="874"/>
      <c r="J2496" s="874"/>
    </row>
    <row r="2497" spans="2:10">
      <c r="B2497" s="873"/>
      <c r="C2497" s="874"/>
      <c r="D2497" s="874"/>
      <c r="E2497" s="874"/>
      <c r="F2497" s="874"/>
      <c r="G2497" s="874"/>
      <c r="H2497" s="874"/>
      <c r="I2497" s="874"/>
      <c r="J2497" s="874"/>
    </row>
    <row r="2498" spans="2:10">
      <c r="B2498" s="873"/>
      <c r="C2498" s="874"/>
      <c r="D2498" s="874"/>
      <c r="E2498" s="874"/>
      <c r="F2498" s="874"/>
      <c r="G2498" s="874"/>
      <c r="H2498" s="874"/>
      <c r="I2498" s="874"/>
      <c r="J2498" s="874"/>
    </row>
    <row r="2499" spans="2:10">
      <c r="B2499" s="873"/>
      <c r="C2499" s="874"/>
      <c r="D2499" s="874"/>
      <c r="E2499" s="874"/>
      <c r="F2499" s="874"/>
      <c r="G2499" s="874"/>
      <c r="H2499" s="874"/>
      <c r="I2499" s="874"/>
      <c r="J2499" s="874"/>
    </row>
    <row r="2500" spans="2:10">
      <c r="B2500" s="873"/>
      <c r="C2500" s="874"/>
      <c r="D2500" s="874"/>
      <c r="E2500" s="874"/>
      <c r="F2500" s="874"/>
      <c r="G2500" s="874"/>
      <c r="H2500" s="874"/>
      <c r="I2500" s="874"/>
      <c r="J2500" s="874"/>
    </row>
    <row r="2501" spans="2:10">
      <c r="B2501" s="873"/>
      <c r="C2501" s="874"/>
      <c r="D2501" s="874"/>
      <c r="E2501" s="874"/>
      <c r="F2501" s="874"/>
      <c r="G2501" s="874"/>
      <c r="H2501" s="874"/>
      <c r="I2501" s="874"/>
      <c r="J2501" s="874"/>
    </row>
    <row r="2502" spans="2:10">
      <c r="B2502" s="873"/>
      <c r="C2502" s="874"/>
      <c r="D2502" s="874"/>
      <c r="E2502" s="874"/>
      <c r="F2502" s="874"/>
      <c r="G2502" s="874"/>
      <c r="H2502" s="874"/>
      <c r="I2502" s="874"/>
      <c r="J2502" s="874"/>
    </row>
    <row r="2503" spans="2:10">
      <c r="B2503" s="873"/>
      <c r="C2503" s="874"/>
      <c r="D2503" s="874"/>
      <c r="E2503" s="874"/>
      <c r="F2503" s="874"/>
      <c r="G2503" s="874"/>
      <c r="H2503" s="874"/>
      <c r="I2503" s="874"/>
      <c r="J2503" s="874"/>
    </row>
    <row r="2504" spans="2:10">
      <c r="B2504" s="873"/>
      <c r="C2504" s="874"/>
      <c r="D2504" s="874"/>
      <c r="E2504" s="874"/>
      <c r="F2504" s="874"/>
      <c r="G2504" s="874"/>
      <c r="H2504" s="874"/>
      <c r="I2504" s="874"/>
      <c r="J2504" s="874"/>
    </row>
    <row r="2505" spans="2:10">
      <c r="B2505" s="873"/>
      <c r="C2505" s="874"/>
      <c r="D2505" s="874"/>
      <c r="E2505" s="874"/>
      <c r="F2505" s="874"/>
      <c r="G2505" s="874"/>
      <c r="H2505" s="874"/>
      <c r="I2505" s="874"/>
      <c r="J2505" s="874"/>
    </row>
    <row r="2506" spans="2:10">
      <c r="B2506" s="873"/>
      <c r="C2506" s="874"/>
      <c r="D2506" s="874"/>
      <c r="E2506" s="874"/>
      <c r="F2506" s="874"/>
      <c r="G2506" s="874"/>
      <c r="H2506" s="874"/>
      <c r="I2506" s="874"/>
      <c r="J2506" s="874"/>
    </row>
    <row r="2507" spans="2:10">
      <c r="B2507" s="873"/>
      <c r="C2507" s="874"/>
      <c r="D2507" s="874"/>
      <c r="E2507" s="874"/>
      <c r="F2507" s="874"/>
      <c r="G2507" s="874"/>
      <c r="H2507" s="874"/>
      <c r="I2507" s="874"/>
      <c r="J2507" s="874"/>
    </row>
    <row r="2508" spans="2:10">
      <c r="B2508" s="873"/>
      <c r="C2508" s="874"/>
      <c r="D2508" s="874"/>
      <c r="E2508" s="874"/>
      <c r="F2508" s="874"/>
      <c r="G2508" s="874"/>
      <c r="H2508" s="874"/>
      <c r="I2508" s="874"/>
      <c r="J2508" s="874"/>
    </row>
    <row r="2509" spans="2:10">
      <c r="B2509" s="873"/>
      <c r="C2509" s="874"/>
      <c r="D2509" s="874"/>
      <c r="E2509" s="874"/>
      <c r="F2509" s="874"/>
      <c r="G2509" s="874"/>
      <c r="H2509" s="874"/>
      <c r="I2509" s="874"/>
      <c r="J2509" s="874"/>
    </row>
    <row r="2510" spans="2:10">
      <c r="B2510" s="873"/>
      <c r="C2510" s="874"/>
      <c r="D2510" s="874"/>
      <c r="E2510" s="874"/>
      <c r="F2510" s="874"/>
      <c r="G2510" s="874"/>
      <c r="H2510" s="874"/>
      <c r="I2510" s="874"/>
      <c r="J2510" s="874"/>
    </row>
    <row r="2511" spans="2:10">
      <c r="B2511" s="873"/>
      <c r="C2511" s="874"/>
      <c r="D2511" s="874"/>
      <c r="E2511" s="874"/>
      <c r="F2511" s="874"/>
      <c r="G2511" s="874"/>
      <c r="H2511" s="874"/>
      <c r="I2511" s="874"/>
      <c r="J2511" s="874"/>
    </row>
    <row r="2512" spans="2:10">
      <c r="B2512" s="873"/>
      <c r="C2512" s="874"/>
      <c r="D2512" s="874"/>
      <c r="E2512" s="874"/>
      <c r="F2512" s="874"/>
      <c r="G2512" s="874"/>
      <c r="H2512" s="874"/>
      <c r="I2512" s="874"/>
      <c r="J2512" s="874"/>
    </row>
    <row r="2513" spans="2:10">
      <c r="B2513" s="873"/>
      <c r="C2513" s="874"/>
      <c r="D2513" s="874"/>
      <c r="E2513" s="874"/>
      <c r="F2513" s="874"/>
      <c r="G2513" s="874"/>
      <c r="H2513" s="874"/>
      <c r="I2513" s="874"/>
      <c r="J2513" s="874"/>
    </row>
    <row r="2514" spans="2:10">
      <c r="B2514" s="873"/>
      <c r="C2514" s="874"/>
      <c r="D2514" s="874"/>
      <c r="E2514" s="874"/>
      <c r="F2514" s="874"/>
      <c r="G2514" s="874"/>
      <c r="H2514" s="874"/>
      <c r="I2514" s="874"/>
      <c r="J2514" s="874"/>
    </row>
    <row r="2515" spans="2:10">
      <c r="B2515" s="873"/>
      <c r="C2515" s="874"/>
      <c r="D2515" s="874"/>
      <c r="E2515" s="874"/>
      <c r="F2515" s="874"/>
      <c r="G2515" s="874"/>
      <c r="H2515" s="874"/>
      <c r="I2515" s="874"/>
      <c r="J2515" s="874"/>
    </row>
    <row r="2516" spans="2:10">
      <c r="B2516" s="873"/>
      <c r="C2516" s="874"/>
      <c r="D2516" s="874"/>
      <c r="E2516" s="874"/>
      <c r="F2516" s="874"/>
      <c r="G2516" s="874"/>
      <c r="H2516" s="874"/>
      <c r="I2516" s="874"/>
      <c r="J2516" s="874"/>
    </row>
    <row r="2517" spans="2:10">
      <c r="B2517" s="873"/>
      <c r="C2517" s="874"/>
      <c r="D2517" s="874"/>
      <c r="E2517" s="874"/>
      <c r="F2517" s="874"/>
      <c r="G2517" s="874"/>
      <c r="H2517" s="874"/>
      <c r="I2517" s="874"/>
      <c r="J2517" s="874"/>
    </row>
    <row r="2518" spans="2:10">
      <c r="B2518" s="873"/>
      <c r="C2518" s="874"/>
      <c r="D2518" s="874"/>
      <c r="E2518" s="874"/>
      <c r="F2518" s="874"/>
      <c r="G2518" s="874"/>
      <c r="H2518" s="874"/>
      <c r="I2518" s="874"/>
      <c r="J2518" s="874"/>
    </row>
    <row r="2519" spans="2:10">
      <c r="B2519" s="873"/>
      <c r="C2519" s="874"/>
      <c r="D2519" s="874"/>
      <c r="E2519" s="874"/>
      <c r="F2519" s="874"/>
      <c r="G2519" s="874"/>
      <c r="H2519" s="874"/>
      <c r="I2519" s="874"/>
      <c r="J2519" s="874"/>
    </row>
    <row r="2520" spans="2:10">
      <c r="B2520" s="873"/>
      <c r="C2520" s="874"/>
      <c r="D2520" s="874"/>
      <c r="E2520" s="874"/>
      <c r="F2520" s="874"/>
      <c r="G2520" s="874"/>
      <c r="H2520" s="874"/>
      <c r="I2520" s="874"/>
      <c r="J2520" s="874"/>
    </row>
    <row r="2521" spans="2:10">
      <c r="B2521" s="873"/>
      <c r="C2521" s="874"/>
      <c r="D2521" s="874"/>
      <c r="E2521" s="874"/>
      <c r="F2521" s="874"/>
      <c r="G2521" s="874"/>
      <c r="H2521" s="874"/>
      <c r="I2521" s="874"/>
      <c r="J2521" s="874"/>
    </row>
    <row r="2522" spans="2:10">
      <c r="B2522" s="873"/>
      <c r="C2522" s="874"/>
      <c r="D2522" s="874"/>
      <c r="E2522" s="874"/>
      <c r="F2522" s="874"/>
      <c r="G2522" s="874"/>
      <c r="H2522" s="874"/>
      <c r="I2522" s="874"/>
      <c r="J2522" s="874"/>
    </row>
    <row r="2523" spans="2:10">
      <c r="B2523" s="873"/>
      <c r="C2523" s="874"/>
      <c r="D2523" s="874"/>
      <c r="E2523" s="874"/>
      <c r="F2523" s="874"/>
      <c r="G2523" s="874"/>
      <c r="H2523" s="874"/>
      <c r="I2523" s="874"/>
      <c r="J2523" s="874"/>
    </row>
    <row r="2524" spans="2:10">
      <c r="B2524" s="873"/>
      <c r="C2524" s="874"/>
      <c r="D2524" s="874"/>
      <c r="E2524" s="874"/>
      <c r="F2524" s="874"/>
      <c r="G2524" s="874"/>
      <c r="H2524" s="874"/>
      <c r="I2524" s="874"/>
      <c r="J2524" s="874"/>
    </row>
    <row r="2525" spans="2:10">
      <c r="B2525" s="873"/>
      <c r="C2525" s="874"/>
      <c r="D2525" s="874"/>
      <c r="E2525" s="874"/>
      <c r="F2525" s="874"/>
      <c r="G2525" s="874"/>
      <c r="H2525" s="874"/>
      <c r="I2525" s="874"/>
      <c r="J2525" s="874"/>
    </row>
    <row r="2526" spans="2:10">
      <c r="B2526" s="873"/>
      <c r="C2526" s="874"/>
      <c r="D2526" s="874"/>
      <c r="E2526" s="874"/>
      <c r="F2526" s="874"/>
      <c r="G2526" s="874"/>
      <c r="H2526" s="874"/>
      <c r="I2526" s="874"/>
      <c r="J2526" s="874"/>
    </row>
    <row r="2527" spans="2:10">
      <c r="B2527" s="873"/>
      <c r="C2527" s="874"/>
      <c r="D2527" s="874"/>
      <c r="E2527" s="874"/>
      <c r="F2527" s="874"/>
      <c r="G2527" s="874"/>
      <c r="H2527" s="874"/>
      <c r="I2527" s="874"/>
      <c r="J2527" s="874"/>
    </row>
    <row r="2528" spans="2:10">
      <c r="B2528" s="873"/>
      <c r="C2528" s="874"/>
      <c r="D2528" s="874"/>
      <c r="E2528" s="874"/>
      <c r="F2528" s="874"/>
      <c r="G2528" s="874"/>
      <c r="H2528" s="874"/>
      <c r="I2528" s="874"/>
      <c r="J2528" s="874"/>
    </row>
    <row r="2529" spans="2:10">
      <c r="B2529" s="873"/>
      <c r="C2529" s="874"/>
      <c r="D2529" s="874"/>
      <c r="E2529" s="874"/>
      <c r="F2529" s="874"/>
      <c r="G2529" s="874"/>
      <c r="H2529" s="874"/>
      <c r="I2529" s="874"/>
      <c r="J2529" s="874"/>
    </row>
    <row r="2530" spans="2:10">
      <c r="B2530" s="873"/>
      <c r="C2530" s="874"/>
      <c r="D2530" s="874"/>
      <c r="E2530" s="874"/>
      <c r="F2530" s="874"/>
      <c r="G2530" s="874"/>
      <c r="H2530" s="874"/>
      <c r="I2530" s="874"/>
      <c r="J2530" s="874"/>
    </row>
    <row r="2531" spans="2:10">
      <c r="B2531" s="873"/>
      <c r="C2531" s="874"/>
      <c r="D2531" s="874"/>
      <c r="E2531" s="874"/>
      <c r="F2531" s="874"/>
      <c r="G2531" s="874"/>
      <c r="H2531" s="874"/>
      <c r="I2531" s="874"/>
      <c r="J2531" s="874"/>
    </row>
    <row r="2532" spans="2:10">
      <c r="B2532" s="873"/>
      <c r="C2532" s="874"/>
      <c r="D2532" s="874"/>
      <c r="E2532" s="874"/>
      <c r="F2532" s="874"/>
      <c r="G2532" s="874"/>
      <c r="H2532" s="874"/>
      <c r="I2532" s="874"/>
      <c r="J2532" s="874"/>
    </row>
    <row r="2533" spans="2:10">
      <c r="B2533" s="873"/>
      <c r="C2533" s="874"/>
      <c r="D2533" s="874"/>
      <c r="E2533" s="874"/>
      <c r="F2533" s="874"/>
      <c r="G2533" s="874"/>
      <c r="H2533" s="874"/>
      <c r="I2533" s="874"/>
      <c r="J2533" s="874"/>
    </row>
    <row r="2534" spans="2:10">
      <c r="B2534" s="873"/>
      <c r="C2534" s="874"/>
      <c r="D2534" s="874"/>
      <c r="E2534" s="874"/>
      <c r="F2534" s="874"/>
      <c r="G2534" s="874"/>
      <c r="H2534" s="874"/>
      <c r="I2534" s="874"/>
      <c r="J2534" s="874"/>
    </row>
    <row r="2535" spans="2:10">
      <c r="B2535" s="873"/>
      <c r="C2535" s="874"/>
      <c r="D2535" s="874"/>
      <c r="E2535" s="874"/>
      <c r="F2535" s="874"/>
      <c r="G2535" s="874"/>
      <c r="H2535" s="874"/>
      <c r="I2535" s="874"/>
      <c r="J2535" s="874"/>
    </row>
    <row r="2536" spans="2:10">
      <c r="B2536" s="873"/>
      <c r="C2536" s="874"/>
      <c r="D2536" s="874"/>
      <c r="E2536" s="874"/>
      <c r="F2536" s="874"/>
      <c r="G2536" s="874"/>
      <c r="H2536" s="874"/>
      <c r="I2536" s="874"/>
      <c r="J2536" s="874"/>
    </row>
    <row r="2537" spans="2:10">
      <c r="B2537" s="873"/>
      <c r="C2537" s="874"/>
      <c r="D2537" s="874"/>
      <c r="E2537" s="874"/>
      <c r="F2537" s="874"/>
      <c r="G2537" s="874"/>
      <c r="H2537" s="874"/>
      <c r="I2537" s="874"/>
      <c r="J2537" s="874"/>
    </row>
    <row r="2538" spans="2:10">
      <c r="B2538" s="873"/>
      <c r="C2538" s="874"/>
      <c r="D2538" s="874"/>
      <c r="E2538" s="874"/>
      <c r="F2538" s="874"/>
      <c r="G2538" s="874"/>
      <c r="H2538" s="874"/>
      <c r="I2538" s="874"/>
      <c r="J2538" s="874"/>
    </row>
    <row r="2539" spans="2:10">
      <c r="B2539" s="873"/>
      <c r="C2539" s="874"/>
      <c r="D2539" s="874"/>
      <c r="E2539" s="874"/>
      <c r="F2539" s="874"/>
      <c r="G2539" s="874"/>
      <c r="H2539" s="874"/>
      <c r="I2539" s="874"/>
      <c r="J2539" s="874"/>
    </row>
    <row r="2540" spans="2:10">
      <c r="B2540" s="873"/>
      <c r="C2540" s="874"/>
      <c r="D2540" s="874"/>
      <c r="E2540" s="874"/>
      <c r="F2540" s="874"/>
      <c r="G2540" s="874"/>
      <c r="H2540" s="874"/>
      <c r="I2540" s="874"/>
      <c r="J2540" s="874"/>
    </row>
    <row r="2541" spans="2:10">
      <c r="B2541" s="873"/>
      <c r="C2541" s="874"/>
      <c r="D2541" s="874"/>
      <c r="E2541" s="874"/>
      <c r="F2541" s="874"/>
      <c r="G2541" s="874"/>
      <c r="H2541" s="874"/>
      <c r="I2541" s="874"/>
      <c r="J2541" s="874"/>
    </row>
    <row r="2542" spans="2:10">
      <c r="B2542" s="873"/>
      <c r="C2542" s="874"/>
      <c r="D2542" s="874"/>
      <c r="E2542" s="874"/>
      <c r="F2542" s="874"/>
      <c r="G2542" s="874"/>
      <c r="H2542" s="874"/>
      <c r="I2542" s="874"/>
      <c r="J2542" s="874"/>
    </row>
    <row r="2543" spans="2:10">
      <c r="B2543" s="873"/>
      <c r="C2543" s="874"/>
      <c r="D2543" s="874"/>
      <c r="E2543" s="874"/>
      <c r="F2543" s="874"/>
      <c r="G2543" s="874"/>
      <c r="H2543" s="874"/>
      <c r="I2543" s="874"/>
      <c r="J2543" s="874"/>
    </row>
    <row r="2544" spans="2:10">
      <c r="B2544" s="873"/>
      <c r="C2544" s="874"/>
      <c r="D2544" s="874"/>
      <c r="E2544" s="874"/>
      <c r="F2544" s="874"/>
      <c r="G2544" s="874"/>
      <c r="H2544" s="874"/>
      <c r="I2544" s="874"/>
      <c r="J2544" s="874"/>
    </row>
    <row r="2545" spans="2:10">
      <c r="B2545" s="873"/>
      <c r="C2545" s="874"/>
      <c r="D2545" s="874"/>
      <c r="E2545" s="874"/>
      <c r="F2545" s="874"/>
      <c r="G2545" s="874"/>
      <c r="H2545" s="874"/>
      <c r="I2545" s="874"/>
      <c r="J2545" s="874"/>
    </row>
    <row r="2546" spans="2:10">
      <c r="B2546" s="873"/>
      <c r="C2546" s="874"/>
      <c r="D2546" s="874"/>
      <c r="E2546" s="874"/>
      <c r="F2546" s="874"/>
      <c r="G2546" s="874"/>
      <c r="H2546" s="874"/>
      <c r="I2546" s="874"/>
      <c r="J2546" s="874"/>
    </row>
    <row r="2547" spans="2:10">
      <c r="B2547" s="873"/>
      <c r="C2547" s="874"/>
      <c r="D2547" s="874"/>
      <c r="E2547" s="874"/>
      <c r="F2547" s="874"/>
      <c r="G2547" s="874"/>
      <c r="H2547" s="874"/>
      <c r="I2547" s="874"/>
      <c r="J2547" s="874"/>
    </row>
    <row r="2548" spans="2:10">
      <c r="B2548" s="873"/>
      <c r="C2548" s="874"/>
      <c r="D2548" s="874"/>
      <c r="E2548" s="874"/>
      <c r="F2548" s="874"/>
      <c r="G2548" s="874"/>
      <c r="H2548" s="874"/>
      <c r="I2548" s="874"/>
      <c r="J2548" s="874"/>
    </row>
    <row r="2549" spans="2:10">
      <c r="B2549" s="873"/>
      <c r="C2549" s="874"/>
      <c r="D2549" s="874"/>
      <c r="E2549" s="874"/>
      <c r="F2549" s="874"/>
      <c r="G2549" s="874"/>
      <c r="H2549" s="874"/>
      <c r="I2549" s="874"/>
      <c r="J2549" s="874"/>
    </row>
    <row r="2550" spans="2:10">
      <c r="B2550" s="873"/>
      <c r="C2550" s="874"/>
      <c r="D2550" s="874"/>
      <c r="E2550" s="874"/>
      <c r="F2550" s="874"/>
      <c r="G2550" s="874"/>
      <c r="H2550" s="874"/>
      <c r="I2550" s="874"/>
      <c r="J2550" s="874"/>
    </row>
    <row r="2551" spans="2:10">
      <c r="B2551" s="873"/>
      <c r="C2551" s="874"/>
      <c r="D2551" s="874"/>
      <c r="E2551" s="874"/>
      <c r="F2551" s="874"/>
      <c r="G2551" s="874"/>
      <c r="H2551" s="874"/>
      <c r="I2551" s="874"/>
      <c r="J2551" s="874"/>
    </row>
    <row r="2552" spans="2:10">
      <c r="B2552" s="873"/>
      <c r="C2552" s="874"/>
      <c r="D2552" s="874"/>
      <c r="E2552" s="874"/>
      <c r="F2552" s="874"/>
      <c r="G2552" s="874"/>
      <c r="H2552" s="874"/>
      <c r="I2552" s="874"/>
      <c r="J2552" s="874"/>
    </row>
    <row r="2553" spans="2:10">
      <c r="B2553" s="873"/>
      <c r="C2553" s="874"/>
      <c r="D2553" s="874"/>
      <c r="E2553" s="874"/>
      <c r="F2553" s="874"/>
      <c r="G2553" s="874"/>
      <c r="H2553" s="874"/>
      <c r="I2553" s="874"/>
      <c r="J2553" s="874"/>
    </row>
    <row r="2554" spans="2:10">
      <c r="B2554" s="873"/>
      <c r="C2554" s="874"/>
      <c r="D2554" s="874"/>
      <c r="E2554" s="874"/>
      <c r="F2554" s="874"/>
      <c r="G2554" s="874"/>
      <c r="H2554" s="874"/>
      <c r="I2554" s="874"/>
      <c r="J2554" s="874"/>
    </row>
    <row r="2555" spans="2:10">
      <c r="B2555" s="873"/>
      <c r="C2555" s="874"/>
      <c r="D2555" s="874"/>
      <c r="E2555" s="874"/>
      <c r="F2555" s="874"/>
      <c r="G2555" s="874"/>
      <c r="H2555" s="874"/>
      <c r="I2555" s="874"/>
      <c r="J2555" s="874"/>
    </row>
    <row r="2556" spans="2:10">
      <c r="B2556" s="873"/>
      <c r="C2556" s="874"/>
      <c r="D2556" s="874"/>
      <c r="E2556" s="874"/>
      <c r="F2556" s="874"/>
      <c r="G2556" s="874"/>
      <c r="H2556" s="874"/>
      <c r="I2556" s="874"/>
      <c r="J2556" s="874"/>
    </row>
    <row r="2557" spans="2:10">
      <c r="B2557" s="873"/>
      <c r="C2557" s="874"/>
      <c r="D2557" s="874"/>
      <c r="E2557" s="874"/>
      <c r="F2557" s="874"/>
      <c r="G2557" s="874"/>
      <c r="H2557" s="874"/>
      <c r="I2557" s="874"/>
      <c r="J2557" s="874"/>
    </row>
    <row r="2558" spans="2:10">
      <c r="B2558" s="873"/>
      <c r="C2558" s="874"/>
      <c r="D2558" s="874"/>
      <c r="E2558" s="874"/>
      <c r="F2558" s="874"/>
      <c r="G2558" s="874"/>
      <c r="H2558" s="874"/>
      <c r="I2558" s="874"/>
      <c r="J2558" s="874"/>
    </row>
    <row r="2559" spans="2:10">
      <c r="B2559" s="873"/>
      <c r="C2559" s="874"/>
      <c r="D2559" s="874"/>
      <c r="E2559" s="874"/>
      <c r="F2559" s="874"/>
      <c r="G2559" s="874"/>
      <c r="H2559" s="874"/>
      <c r="I2559" s="874"/>
      <c r="J2559" s="874"/>
    </row>
    <row r="2560" spans="2:10">
      <c r="B2560" s="873"/>
      <c r="C2560" s="874"/>
      <c r="D2560" s="874"/>
      <c r="E2560" s="874"/>
      <c r="F2560" s="874"/>
      <c r="G2560" s="874"/>
      <c r="H2560" s="874"/>
      <c r="I2560" s="874"/>
      <c r="J2560" s="874"/>
    </row>
    <row r="2561" spans="2:10">
      <c r="B2561" s="873"/>
      <c r="C2561" s="874"/>
      <c r="D2561" s="874"/>
      <c r="E2561" s="874"/>
      <c r="F2561" s="874"/>
      <c r="G2561" s="874"/>
      <c r="H2561" s="874"/>
      <c r="I2561" s="874"/>
      <c r="J2561" s="874"/>
    </row>
    <row r="2562" spans="2:10">
      <c r="B2562" s="873"/>
      <c r="C2562" s="874"/>
      <c r="D2562" s="874"/>
      <c r="E2562" s="874"/>
      <c r="F2562" s="874"/>
      <c r="G2562" s="874"/>
      <c r="H2562" s="874"/>
      <c r="I2562" s="874"/>
      <c r="J2562" s="874"/>
    </row>
    <row r="2563" spans="2:10">
      <c r="B2563" s="873"/>
      <c r="C2563" s="874"/>
      <c r="D2563" s="874"/>
      <c r="E2563" s="874"/>
      <c r="F2563" s="874"/>
      <c r="G2563" s="874"/>
      <c r="H2563" s="874"/>
      <c r="I2563" s="874"/>
      <c r="J2563" s="874"/>
    </row>
    <row r="2564" spans="2:10">
      <c r="B2564" s="873"/>
      <c r="C2564" s="874"/>
      <c r="D2564" s="874"/>
      <c r="E2564" s="874"/>
      <c r="F2564" s="874"/>
      <c r="G2564" s="874"/>
      <c r="H2564" s="874"/>
      <c r="I2564" s="874"/>
      <c r="J2564" s="874"/>
    </row>
    <row r="2565" spans="2:10">
      <c r="B2565" s="873"/>
      <c r="C2565" s="874"/>
      <c r="D2565" s="874"/>
      <c r="E2565" s="874"/>
      <c r="F2565" s="874"/>
      <c r="G2565" s="874"/>
      <c r="H2565" s="874"/>
      <c r="I2565" s="874"/>
      <c r="J2565" s="874"/>
    </row>
    <row r="2566" spans="2:10">
      <c r="B2566" s="873"/>
      <c r="C2566" s="874"/>
      <c r="D2566" s="874"/>
      <c r="E2566" s="874"/>
      <c r="F2566" s="874"/>
      <c r="G2566" s="874"/>
      <c r="H2566" s="874"/>
      <c r="I2566" s="874"/>
      <c r="J2566" s="874"/>
    </row>
    <row r="2567" spans="2:10">
      <c r="B2567" s="873"/>
      <c r="C2567" s="874"/>
      <c r="D2567" s="874"/>
      <c r="E2567" s="874"/>
      <c r="F2567" s="874"/>
      <c r="G2567" s="874"/>
      <c r="H2567" s="874"/>
      <c r="I2567" s="874"/>
      <c r="J2567" s="874"/>
    </row>
    <row r="2568" spans="2:10">
      <c r="B2568" s="873"/>
      <c r="C2568" s="874"/>
      <c r="D2568" s="874"/>
      <c r="E2568" s="874"/>
      <c r="F2568" s="874"/>
      <c r="G2568" s="874"/>
      <c r="H2568" s="874"/>
      <c r="I2568" s="874"/>
      <c r="J2568" s="874"/>
    </row>
    <row r="2569" spans="2:10">
      <c r="B2569" s="873"/>
      <c r="C2569" s="874"/>
      <c r="D2569" s="874"/>
      <c r="E2569" s="874"/>
      <c r="F2569" s="874"/>
      <c r="G2569" s="874"/>
      <c r="H2569" s="874"/>
      <c r="I2569" s="874"/>
      <c r="J2569" s="874"/>
    </row>
    <row r="2570" spans="2:10">
      <c r="B2570" s="873"/>
      <c r="C2570" s="874"/>
      <c r="D2570" s="874"/>
      <c r="E2570" s="874"/>
      <c r="F2570" s="874"/>
      <c r="G2570" s="874"/>
      <c r="H2570" s="874"/>
      <c r="I2570" s="874"/>
      <c r="J2570" s="874"/>
    </row>
    <row r="2571" spans="2:10">
      <c r="B2571" s="873"/>
      <c r="C2571" s="874"/>
      <c r="D2571" s="874"/>
      <c r="E2571" s="874"/>
      <c r="F2571" s="874"/>
      <c r="G2571" s="874"/>
      <c r="H2571" s="874"/>
      <c r="I2571" s="874"/>
      <c r="J2571" s="874"/>
    </row>
    <row r="2572" spans="2:10">
      <c r="B2572" s="873"/>
      <c r="C2572" s="874"/>
      <c r="D2572" s="874"/>
      <c r="E2572" s="874"/>
      <c r="F2572" s="874"/>
      <c r="G2572" s="874"/>
      <c r="H2572" s="874"/>
      <c r="I2572" s="874"/>
      <c r="J2572" s="874"/>
    </row>
    <row r="2573" spans="2:10">
      <c r="B2573" s="873"/>
      <c r="C2573" s="874"/>
      <c r="D2573" s="874"/>
      <c r="E2573" s="874"/>
      <c r="F2573" s="874"/>
      <c r="G2573" s="874"/>
      <c r="H2573" s="874"/>
      <c r="I2573" s="874"/>
      <c r="J2573" s="874"/>
    </row>
    <row r="2574" spans="2:10">
      <c r="B2574" s="873"/>
      <c r="C2574" s="874"/>
      <c r="D2574" s="874"/>
      <c r="E2574" s="874"/>
      <c r="F2574" s="874"/>
      <c r="G2574" s="874"/>
      <c r="H2574" s="874"/>
      <c r="I2574" s="874"/>
      <c r="J2574" s="874"/>
    </row>
    <row r="2575" spans="2:10">
      <c r="B2575" s="873"/>
      <c r="C2575" s="874"/>
      <c r="D2575" s="874"/>
      <c r="E2575" s="874"/>
      <c r="F2575" s="874"/>
      <c r="G2575" s="874"/>
      <c r="H2575" s="874"/>
      <c r="I2575" s="874"/>
      <c r="J2575" s="874"/>
    </row>
    <row r="2576" spans="2:10">
      <c r="B2576" s="873"/>
      <c r="C2576" s="874"/>
      <c r="D2576" s="874"/>
      <c r="E2576" s="874"/>
      <c r="F2576" s="874"/>
      <c r="G2576" s="874"/>
      <c r="H2576" s="874"/>
      <c r="I2576" s="874"/>
      <c r="J2576" s="874"/>
    </row>
    <row r="2577" spans="2:10">
      <c r="B2577" s="873"/>
      <c r="C2577" s="874"/>
      <c r="D2577" s="874"/>
      <c r="E2577" s="874"/>
      <c r="F2577" s="874"/>
      <c r="G2577" s="874"/>
      <c r="H2577" s="874"/>
      <c r="I2577" s="874"/>
      <c r="J2577" s="874"/>
    </row>
    <row r="2578" spans="2:10">
      <c r="B2578" s="873"/>
      <c r="C2578" s="874"/>
      <c r="D2578" s="874"/>
      <c r="E2578" s="874"/>
      <c r="F2578" s="874"/>
      <c r="G2578" s="874"/>
      <c r="H2578" s="874"/>
      <c r="I2578" s="874"/>
      <c r="J2578" s="874"/>
    </row>
    <row r="2579" spans="2:10">
      <c r="B2579" s="873"/>
      <c r="C2579" s="874"/>
      <c r="D2579" s="874"/>
      <c r="E2579" s="874"/>
      <c r="F2579" s="874"/>
      <c r="G2579" s="874"/>
      <c r="H2579" s="874"/>
      <c r="I2579" s="874"/>
      <c r="J2579" s="874"/>
    </row>
    <row r="2580" spans="2:10">
      <c r="B2580" s="873"/>
      <c r="C2580" s="874"/>
      <c r="D2580" s="874"/>
      <c r="E2580" s="874"/>
      <c r="F2580" s="874"/>
      <c r="G2580" s="874"/>
      <c r="H2580" s="874"/>
      <c r="I2580" s="874"/>
      <c r="J2580" s="874"/>
    </row>
    <row r="2581" spans="2:10">
      <c r="B2581" s="873"/>
      <c r="C2581" s="874"/>
      <c r="D2581" s="874"/>
      <c r="E2581" s="874"/>
      <c r="F2581" s="874"/>
      <c r="G2581" s="874"/>
      <c r="H2581" s="874"/>
      <c r="I2581" s="874"/>
      <c r="J2581" s="874"/>
    </row>
    <row r="2582" spans="2:10">
      <c r="B2582" s="873"/>
      <c r="C2582" s="874"/>
      <c r="D2582" s="874"/>
      <c r="E2582" s="874"/>
      <c r="F2582" s="874"/>
      <c r="G2582" s="874"/>
      <c r="H2582" s="874"/>
      <c r="I2582" s="874"/>
      <c r="J2582" s="874"/>
    </row>
    <row r="2583" spans="2:10">
      <c r="B2583" s="873"/>
      <c r="C2583" s="874"/>
      <c r="D2583" s="874"/>
      <c r="E2583" s="874"/>
      <c r="F2583" s="874"/>
      <c r="G2583" s="874"/>
      <c r="H2583" s="874"/>
      <c r="I2583" s="874"/>
      <c r="J2583" s="874"/>
    </row>
    <row r="2584" spans="2:10">
      <c r="B2584" s="873"/>
      <c r="C2584" s="874"/>
      <c r="D2584" s="874"/>
      <c r="E2584" s="874"/>
      <c r="F2584" s="874"/>
      <c r="G2584" s="874"/>
      <c r="H2584" s="874"/>
      <c r="I2584" s="874"/>
      <c r="J2584" s="874"/>
    </row>
    <row r="2585" spans="2:10">
      <c r="B2585" s="873"/>
      <c r="C2585" s="874"/>
      <c r="D2585" s="874"/>
      <c r="E2585" s="874"/>
      <c r="F2585" s="874"/>
      <c r="G2585" s="874"/>
      <c r="H2585" s="874"/>
      <c r="I2585" s="874"/>
      <c r="J2585" s="874"/>
    </row>
    <row r="2586" spans="2:10">
      <c r="B2586" s="873"/>
      <c r="C2586" s="874"/>
      <c r="D2586" s="874"/>
      <c r="E2586" s="874"/>
      <c r="F2586" s="874"/>
      <c r="G2586" s="874"/>
      <c r="H2586" s="874"/>
      <c r="I2586" s="874"/>
      <c r="J2586" s="874"/>
    </row>
    <row r="2587" spans="2:10">
      <c r="B2587" s="873"/>
      <c r="C2587" s="874"/>
      <c r="D2587" s="874"/>
      <c r="E2587" s="874"/>
      <c r="F2587" s="874"/>
      <c r="G2587" s="874"/>
      <c r="H2587" s="874"/>
      <c r="I2587" s="874"/>
      <c r="J2587" s="874"/>
    </row>
    <row r="2588" spans="2:10">
      <c r="B2588" s="873"/>
      <c r="C2588" s="874"/>
      <c r="D2588" s="874"/>
      <c r="E2588" s="874"/>
      <c r="F2588" s="874"/>
      <c r="G2588" s="874"/>
      <c r="H2588" s="874"/>
      <c r="I2588" s="874"/>
      <c r="J2588" s="874"/>
    </row>
    <row r="2589" spans="2:10">
      <c r="B2589" s="873"/>
      <c r="C2589" s="874"/>
      <c r="D2589" s="874"/>
      <c r="E2589" s="874"/>
      <c r="F2589" s="874"/>
      <c r="G2589" s="874"/>
      <c r="H2589" s="874"/>
      <c r="I2589" s="874"/>
      <c r="J2589" s="874"/>
    </row>
    <row r="2590" spans="2:10">
      <c r="B2590" s="873"/>
      <c r="C2590" s="874"/>
      <c r="D2590" s="874"/>
      <c r="E2590" s="874"/>
      <c r="F2590" s="874"/>
      <c r="G2590" s="874"/>
      <c r="H2590" s="874"/>
      <c r="I2590" s="874"/>
      <c r="J2590" s="874"/>
    </row>
    <row r="2591" spans="2:10">
      <c r="B2591" s="873"/>
      <c r="C2591" s="874"/>
      <c r="D2591" s="874"/>
      <c r="E2591" s="874"/>
      <c r="F2591" s="874"/>
      <c r="G2591" s="874"/>
      <c r="H2591" s="874"/>
      <c r="I2591" s="874"/>
      <c r="J2591" s="874"/>
    </row>
    <row r="2592" spans="2:10">
      <c r="B2592" s="873"/>
      <c r="C2592" s="874"/>
      <c r="D2592" s="874"/>
      <c r="E2592" s="874"/>
      <c r="F2592" s="874"/>
      <c r="G2592" s="874"/>
      <c r="H2592" s="874"/>
      <c r="I2592" s="874"/>
      <c r="J2592" s="874"/>
    </row>
    <row r="2593" spans="2:10">
      <c r="B2593" s="873"/>
      <c r="C2593" s="874"/>
      <c r="D2593" s="874"/>
      <c r="E2593" s="874"/>
      <c r="F2593" s="874"/>
      <c r="G2593" s="874"/>
      <c r="H2593" s="874"/>
      <c r="I2593" s="874"/>
      <c r="J2593" s="874"/>
    </row>
    <row r="2594" spans="2:10">
      <c r="B2594" s="873"/>
      <c r="C2594" s="874"/>
      <c r="D2594" s="874"/>
      <c r="E2594" s="874"/>
      <c r="F2594" s="874"/>
      <c r="G2594" s="874"/>
      <c r="H2594" s="874"/>
      <c r="I2594" s="874"/>
      <c r="J2594" s="874"/>
    </row>
    <row r="2595" spans="2:10">
      <c r="B2595" s="873"/>
      <c r="C2595" s="874"/>
      <c r="D2595" s="874"/>
      <c r="E2595" s="874"/>
      <c r="F2595" s="874"/>
      <c r="G2595" s="874"/>
      <c r="H2595" s="874"/>
      <c r="I2595" s="874"/>
      <c r="J2595" s="874"/>
    </row>
    <row r="2596" spans="2:10">
      <c r="B2596" s="873"/>
      <c r="C2596" s="874"/>
      <c r="D2596" s="874"/>
      <c r="E2596" s="874"/>
      <c r="F2596" s="874"/>
      <c r="G2596" s="874"/>
      <c r="H2596" s="874"/>
      <c r="I2596" s="874"/>
      <c r="J2596" s="874"/>
    </row>
    <row r="2597" spans="2:10">
      <c r="B2597" s="873"/>
      <c r="C2597" s="874"/>
      <c r="D2597" s="874"/>
      <c r="E2597" s="874"/>
      <c r="F2597" s="874"/>
      <c r="G2597" s="874"/>
      <c r="H2597" s="874"/>
      <c r="I2597" s="874"/>
      <c r="J2597" s="874"/>
    </row>
    <row r="2598" spans="2:10">
      <c r="B2598" s="873"/>
      <c r="C2598" s="874"/>
      <c r="D2598" s="874"/>
      <c r="E2598" s="874"/>
      <c r="F2598" s="874"/>
      <c r="G2598" s="874"/>
      <c r="H2598" s="874"/>
      <c r="I2598" s="874"/>
      <c r="J2598" s="874"/>
    </row>
    <row r="2599" spans="2:10">
      <c r="B2599" s="873"/>
      <c r="C2599" s="874"/>
      <c r="D2599" s="874"/>
      <c r="E2599" s="874"/>
      <c r="F2599" s="874"/>
      <c r="G2599" s="874"/>
      <c r="H2599" s="874"/>
      <c r="I2599" s="874"/>
      <c r="J2599" s="874"/>
    </row>
    <row r="2600" spans="2:10">
      <c r="B2600" s="873"/>
      <c r="C2600" s="874"/>
      <c r="D2600" s="874"/>
      <c r="E2600" s="874"/>
      <c r="F2600" s="874"/>
      <c r="G2600" s="874"/>
      <c r="H2600" s="874"/>
      <c r="I2600" s="874"/>
      <c r="J2600" s="874"/>
    </row>
    <row r="2601" spans="2:10">
      <c r="B2601" s="873"/>
      <c r="C2601" s="874"/>
      <c r="D2601" s="874"/>
      <c r="E2601" s="874"/>
      <c r="F2601" s="874"/>
      <c r="G2601" s="874"/>
      <c r="H2601" s="874"/>
      <c r="I2601" s="874"/>
      <c r="J2601" s="874"/>
    </row>
    <row r="2602" spans="2:10">
      <c r="B2602" s="873"/>
      <c r="C2602" s="874"/>
      <c r="D2602" s="874"/>
      <c r="E2602" s="874"/>
      <c r="F2602" s="874"/>
      <c r="G2602" s="874"/>
      <c r="H2602" s="874"/>
      <c r="I2602" s="874"/>
      <c r="J2602" s="874"/>
    </row>
    <row r="2603" spans="2:10">
      <c r="B2603" s="873"/>
      <c r="C2603" s="874"/>
      <c r="D2603" s="874"/>
      <c r="E2603" s="874"/>
      <c r="F2603" s="874"/>
      <c r="G2603" s="874"/>
      <c r="H2603" s="874"/>
      <c r="I2603" s="874"/>
      <c r="J2603" s="874"/>
    </row>
    <row r="2604" spans="2:10">
      <c r="B2604" s="873"/>
      <c r="C2604" s="874"/>
      <c r="D2604" s="874"/>
      <c r="E2604" s="874"/>
      <c r="F2604" s="874"/>
      <c r="G2604" s="874"/>
      <c r="H2604" s="874"/>
      <c r="I2604" s="874"/>
      <c r="J2604" s="874"/>
    </row>
    <row r="2605" spans="2:10">
      <c r="B2605" s="873"/>
      <c r="C2605" s="874"/>
      <c r="D2605" s="874"/>
      <c r="E2605" s="874"/>
      <c r="F2605" s="874"/>
      <c r="G2605" s="874"/>
      <c r="H2605" s="874"/>
      <c r="I2605" s="874"/>
      <c r="J2605" s="874"/>
    </row>
    <row r="2606" spans="2:10">
      <c r="B2606" s="873"/>
      <c r="C2606" s="874"/>
      <c r="D2606" s="874"/>
      <c r="E2606" s="874"/>
      <c r="F2606" s="874"/>
      <c r="G2606" s="874"/>
      <c r="H2606" s="874"/>
      <c r="I2606" s="874"/>
      <c r="J2606" s="874"/>
    </row>
    <row r="2607" spans="2:10">
      <c r="B2607" s="873"/>
      <c r="C2607" s="874"/>
      <c r="D2607" s="874"/>
      <c r="E2607" s="874"/>
      <c r="F2607" s="874"/>
      <c r="G2607" s="874"/>
      <c r="H2607" s="874"/>
      <c r="I2607" s="874"/>
      <c r="J2607" s="874"/>
    </row>
    <row r="2608" spans="2:10">
      <c r="B2608" s="873"/>
      <c r="C2608" s="874"/>
      <c r="D2608" s="874"/>
      <c r="E2608" s="874"/>
      <c r="F2608" s="874"/>
      <c r="G2608" s="874"/>
      <c r="H2608" s="874"/>
      <c r="I2608" s="874"/>
      <c r="J2608" s="874"/>
    </row>
    <row r="2609" spans="2:10">
      <c r="B2609" s="873"/>
      <c r="C2609" s="874"/>
      <c r="D2609" s="874"/>
      <c r="E2609" s="874"/>
      <c r="F2609" s="874"/>
      <c r="G2609" s="874"/>
      <c r="H2609" s="874"/>
      <c r="I2609" s="874"/>
      <c r="J2609" s="874"/>
    </row>
    <row r="2610" spans="2:10">
      <c r="B2610" s="873"/>
      <c r="C2610" s="874"/>
      <c r="D2610" s="874"/>
      <c r="E2610" s="874"/>
      <c r="F2610" s="874"/>
      <c r="G2610" s="874"/>
      <c r="H2610" s="874"/>
      <c r="I2610" s="874"/>
      <c r="J2610" s="874"/>
    </row>
    <row r="2611" spans="2:10">
      <c r="B2611" s="873"/>
      <c r="C2611" s="874"/>
      <c r="D2611" s="874"/>
      <c r="E2611" s="874"/>
      <c r="F2611" s="874"/>
      <c r="G2611" s="874"/>
      <c r="H2611" s="874"/>
      <c r="I2611" s="874"/>
      <c r="J2611" s="874"/>
    </row>
    <row r="2612" spans="2:10">
      <c r="B2612" s="873"/>
      <c r="C2612" s="874"/>
      <c r="D2612" s="874"/>
      <c r="E2612" s="874"/>
      <c r="F2612" s="874"/>
      <c r="G2612" s="874"/>
      <c r="H2612" s="874"/>
      <c r="I2612" s="874"/>
      <c r="J2612" s="874"/>
    </row>
    <row r="2613" spans="2:10">
      <c r="B2613" s="873"/>
      <c r="C2613" s="874"/>
      <c r="D2613" s="874"/>
      <c r="E2613" s="874"/>
      <c r="F2613" s="874"/>
      <c r="G2613" s="874"/>
      <c r="H2613" s="874"/>
      <c r="I2613" s="874"/>
      <c r="J2613" s="874"/>
    </row>
    <row r="2614" spans="2:10">
      <c r="B2614" s="873"/>
      <c r="C2614" s="874"/>
      <c r="D2614" s="874"/>
      <c r="E2614" s="874"/>
      <c r="F2614" s="874"/>
      <c r="G2614" s="874"/>
      <c r="H2614" s="874"/>
      <c r="I2614" s="874"/>
      <c r="J2614" s="874"/>
    </row>
    <row r="2615" spans="2:10">
      <c r="B2615" s="873"/>
      <c r="C2615" s="874"/>
      <c r="D2615" s="874"/>
      <c r="E2615" s="874"/>
      <c r="F2615" s="874"/>
      <c r="G2615" s="874"/>
      <c r="H2615" s="874"/>
      <c r="I2615" s="874"/>
      <c r="J2615" s="874"/>
    </row>
    <row r="2616" spans="2:10">
      <c r="B2616" s="873"/>
      <c r="C2616" s="874"/>
      <c r="D2616" s="874"/>
      <c r="E2616" s="874"/>
      <c r="F2616" s="874"/>
      <c r="G2616" s="874"/>
      <c r="H2616" s="874"/>
      <c r="I2616" s="874"/>
      <c r="J2616" s="874"/>
    </row>
    <row r="2617" spans="2:10">
      <c r="B2617" s="873"/>
      <c r="C2617" s="874"/>
      <c r="D2617" s="874"/>
      <c r="E2617" s="874"/>
      <c r="F2617" s="874"/>
      <c r="G2617" s="874"/>
      <c r="H2617" s="874"/>
      <c r="I2617" s="874"/>
      <c r="J2617" s="874"/>
    </row>
    <row r="2618" spans="2:10">
      <c r="B2618" s="873"/>
      <c r="C2618" s="874"/>
      <c r="D2618" s="874"/>
      <c r="E2618" s="874"/>
      <c r="F2618" s="874"/>
      <c r="G2618" s="874"/>
      <c r="H2618" s="874"/>
      <c r="I2618" s="874"/>
      <c r="J2618" s="874"/>
    </row>
    <row r="2619" spans="2:10">
      <c r="B2619" s="873"/>
      <c r="C2619" s="874"/>
      <c r="D2619" s="874"/>
      <c r="E2619" s="874"/>
      <c r="F2619" s="874"/>
      <c r="G2619" s="874"/>
      <c r="H2619" s="874"/>
      <c r="I2619" s="874"/>
      <c r="J2619" s="874"/>
    </row>
    <row r="2620" spans="2:10">
      <c r="B2620" s="873"/>
      <c r="C2620" s="874"/>
      <c r="D2620" s="874"/>
      <c r="E2620" s="874"/>
      <c r="F2620" s="874"/>
      <c r="G2620" s="874"/>
      <c r="H2620" s="874"/>
      <c r="I2620" s="874"/>
      <c r="J2620" s="874"/>
    </row>
    <row r="2621" spans="2:10">
      <c r="B2621" s="873"/>
      <c r="C2621" s="874"/>
      <c r="D2621" s="874"/>
      <c r="E2621" s="874"/>
      <c r="F2621" s="874"/>
      <c r="G2621" s="874"/>
      <c r="H2621" s="874"/>
      <c r="I2621" s="874"/>
      <c r="J2621" s="874"/>
    </row>
    <row r="2622" spans="2:10">
      <c r="B2622" s="873"/>
      <c r="C2622" s="874"/>
      <c r="D2622" s="874"/>
      <c r="E2622" s="874"/>
      <c r="F2622" s="874"/>
      <c r="G2622" s="874"/>
      <c r="H2622" s="874"/>
      <c r="I2622" s="874"/>
      <c r="J2622" s="874"/>
    </row>
    <row r="2623" spans="2:10">
      <c r="B2623" s="873"/>
      <c r="C2623" s="874"/>
      <c r="D2623" s="874"/>
      <c r="E2623" s="874"/>
      <c r="F2623" s="874"/>
      <c r="G2623" s="874"/>
      <c r="H2623" s="874"/>
      <c r="I2623" s="874"/>
      <c r="J2623" s="874"/>
    </row>
    <row r="2624" spans="2:10">
      <c r="B2624" s="873"/>
      <c r="C2624" s="874"/>
      <c r="D2624" s="874"/>
      <c r="E2624" s="874"/>
      <c r="F2624" s="874"/>
      <c r="G2624" s="874"/>
      <c r="H2624" s="874"/>
      <c r="I2624" s="874"/>
      <c r="J2624" s="874"/>
    </row>
    <row r="2625" spans="2:10">
      <c r="B2625" s="873"/>
      <c r="C2625" s="874"/>
      <c r="D2625" s="874"/>
      <c r="E2625" s="874"/>
      <c r="F2625" s="874"/>
      <c r="G2625" s="874"/>
      <c r="H2625" s="874"/>
      <c r="I2625" s="874"/>
      <c r="J2625" s="874"/>
    </row>
    <row r="2626" spans="2:10">
      <c r="B2626" s="873"/>
      <c r="C2626" s="874"/>
      <c r="D2626" s="874"/>
      <c r="E2626" s="874"/>
      <c r="F2626" s="874"/>
      <c r="G2626" s="874"/>
      <c r="H2626" s="874"/>
      <c r="I2626" s="874"/>
      <c r="J2626" s="874"/>
    </row>
    <row r="2627" spans="2:10">
      <c r="B2627" s="873"/>
      <c r="C2627" s="874"/>
      <c r="D2627" s="874"/>
      <c r="E2627" s="874"/>
      <c r="F2627" s="874"/>
      <c r="G2627" s="874"/>
      <c r="H2627" s="874"/>
      <c r="I2627" s="874"/>
      <c r="J2627" s="874"/>
    </row>
    <row r="2628" spans="2:10">
      <c r="B2628" s="873"/>
      <c r="C2628" s="874"/>
      <c r="D2628" s="874"/>
      <c r="E2628" s="874"/>
      <c r="F2628" s="874"/>
      <c r="G2628" s="874"/>
      <c r="H2628" s="874"/>
      <c r="I2628" s="874"/>
      <c r="J2628" s="874"/>
    </row>
    <row r="2629" spans="2:10">
      <c r="B2629" s="873"/>
      <c r="C2629" s="874"/>
      <c r="D2629" s="874"/>
      <c r="E2629" s="874"/>
      <c r="F2629" s="874"/>
      <c r="G2629" s="874"/>
      <c r="H2629" s="874"/>
      <c r="I2629" s="874"/>
      <c r="J2629" s="874"/>
    </row>
    <row r="2630" spans="2:10">
      <c r="B2630" s="873"/>
      <c r="C2630" s="874"/>
      <c r="D2630" s="874"/>
      <c r="E2630" s="874"/>
      <c r="F2630" s="874"/>
      <c r="G2630" s="874"/>
      <c r="H2630" s="874"/>
      <c r="I2630" s="874"/>
      <c r="J2630" s="874"/>
    </row>
    <row r="2631" spans="2:10">
      <c r="B2631" s="873"/>
      <c r="C2631" s="874"/>
      <c r="D2631" s="874"/>
      <c r="E2631" s="874"/>
      <c r="F2631" s="874"/>
      <c r="G2631" s="874"/>
      <c r="H2631" s="874"/>
      <c r="I2631" s="874"/>
      <c r="J2631" s="874"/>
    </row>
    <row r="2632" spans="2:10">
      <c r="B2632" s="873"/>
      <c r="C2632" s="874"/>
      <c r="D2632" s="874"/>
      <c r="E2632" s="874"/>
      <c r="F2632" s="874"/>
      <c r="G2632" s="874"/>
      <c r="H2632" s="874"/>
      <c r="I2632" s="874"/>
      <c r="J2632" s="874"/>
    </row>
    <row r="2633" spans="2:10">
      <c r="B2633" s="873"/>
      <c r="C2633" s="874"/>
      <c r="D2633" s="874"/>
      <c r="E2633" s="874"/>
      <c r="F2633" s="874"/>
      <c r="G2633" s="874"/>
      <c r="H2633" s="874"/>
      <c r="I2633" s="874"/>
      <c r="J2633" s="874"/>
    </row>
    <row r="2634" spans="2:10">
      <c r="B2634" s="873"/>
      <c r="C2634" s="874"/>
      <c r="D2634" s="874"/>
      <c r="E2634" s="874"/>
      <c r="F2634" s="874"/>
      <c r="G2634" s="874"/>
      <c r="H2634" s="874"/>
      <c r="I2634" s="874"/>
      <c r="J2634" s="874"/>
    </row>
    <row r="2635" spans="2:10">
      <c r="B2635" s="873"/>
      <c r="C2635" s="874"/>
      <c r="D2635" s="874"/>
      <c r="E2635" s="874"/>
      <c r="F2635" s="874"/>
      <c r="G2635" s="874"/>
      <c r="H2635" s="874"/>
      <c r="I2635" s="874"/>
      <c r="J2635" s="874"/>
    </row>
    <row r="2636" spans="2:10">
      <c r="B2636" s="873"/>
      <c r="C2636" s="874"/>
      <c r="D2636" s="874"/>
      <c r="E2636" s="874"/>
      <c r="F2636" s="874"/>
      <c r="G2636" s="874"/>
      <c r="H2636" s="874"/>
      <c r="I2636" s="874"/>
      <c r="J2636" s="874"/>
    </row>
    <row r="2637" spans="2:10">
      <c r="B2637" s="873"/>
      <c r="C2637" s="874"/>
      <c r="D2637" s="874"/>
      <c r="E2637" s="874"/>
      <c r="F2637" s="874"/>
      <c r="G2637" s="874"/>
      <c r="H2637" s="874"/>
      <c r="I2637" s="874"/>
      <c r="J2637" s="874"/>
    </row>
    <row r="2638" spans="2:10">
      <c r="B2638" s="873"/>
      <c r="C2638" s="874"/>
      <c r="D2638" s="874"/>
      <c r="E2638" s="874"/>
      <c r="F2638" s="874"/>
      <c r="G2638" s="874"/>
      <c r="H2638" s="874"/>
      <c r="I2638" s="874"/>
      <c r="J2638" s="874"/>
    </row>
    <row r="2639" spans="2:10">
      <c r="B2639" s="873"/>
      <c r="C2639" s="874"/>
      <c r="D2639" s="874"/>
      <c r="E2639" s="874"/>
      <c r="F2639" s="874"/>
      <c r="G2639" s="874"/>
      <c r="H2639" s="874"/>
      <c r="I2639" s="874"/>
      <c r="J2639" s="874"/>
    </row>
    <row r="2640" spans="2:10">
      <c r="B2640" s="873"/>
      <c r="C2640" s="874"/>
      <c r="D2640" s="874"/>
      <c r="E2640" s="874"/>
      <c r="F2640" s="874"/>
      <c r="G2640" s="874"/>
      <c r="H2640" s="874"/>
      <c r="I2640" s="874"/>
      <c r="J2640" s="874"/>
    </row>
    <row r="2641" spans="2:10">
      <c r="B2641" s="873"/>
      <c r="C2641" s="874"/>
      <c r="D2641" s="874"/>
      <c r="E2641" s="874"/>
      <c r="F2641" s="874"/>
      <c r="G2641" s="874"/>
      <c r="H2641" s="874"/>
      <c r="I2641" s="874"/>
      <c r="J2641" s="874"/>
    </row>
    <row r="2642" spans="2:10">
      <c r="B2642" s="873"/>
      <c r="C2642" s="874"/>
      <c r="D2642" s="874"/>
      <c r="E2642" s="874"/>
      <c r="F2642" s="874"/>
      <c r="G2642" s="874"/>
      <c r="H2642" s="874"/>
      <c r="I2642" s="874"/>
      <c r="J2642" s="874"/>
    </row>
    <row r="2643" spans="2:10">
      <c r="B2643" s="873"/>
      <c r="C2643" s="874"/>
      <c r="D2643" s="874"/>
      <c r="E2643" s="874"/>
      <c r="F2643" s="874"/>
      <c r="G2643" s="874"/>
      <c r="H2643" s="874"/>
      <c r="I2643" s="874"/>
      <c r="J2643" s="874"/>
    </row>
    <row r="2644" spans="2:10">
      <c r="B2644" s="873"/>
      <c r="C2644" s="874"/>
      <c r="D2644" s="874"/>
      <c r="E2644" s="874"/>
      <c r="F2644" s="874"/>
      <c r="G2644" s="874"/>
      <c r="H2644" s="874"/>
      <c r="I2644" s="874"/>
      <c r="J2644" s="874"/>
    </row>
    <row r="2645" spans="2:10">
      <c r="B2645" s="873"/>
      <c r="C2645" s="874"/>
      <c r="D2645" s="874"/>
      <c r="E2645" s="874"/>
      <c r="F2645" s="874"/>
      <c r="G2645" s="874"/>
      <c r="H2645" s="874"/>
      <c r="I2645" s="874"/>
      <c r="J2645" s="874"/>
    </row>
    <row r="2646" spans="2:10">
      <c r="B2646" s="873"/>
      <c r="C2646" s="874"/>
      <c r="D2646" s="874"/>
      <c r="E2646" s="874"/>
      <c r="F2646" s="874"/>
      <c r="G2646" s="874"/>
      <c r="H2646" s="874"/>
      <c r="I2646" s="874"/>
      <c r="J2646" s="874"/>
    </row>
    <row r="2647" spans="2:10">
      <c r="B2647" s="873"/>
      <c r="C2647" s="874"/>
      <c r="D2647" s="874"/>
      <c r="E2647" s="874"/>
      <c r="F2647" s="874"/>
      <c r="G2647" s="874"/>
      <c r="H2647" s="874"/>
      <c r="I2647" s="874"/>
      <c r="J2647" s="874"/>
    </row>
    <row r="2648" spans="2:10">
      <c r="B2648" s="873"/>
      <c r="C2648" s="874"/>
      <c r="D2648" s="874"/>
      <c r="E2648" s="874"/>
      <c r="F2648" s="874"/>
      <c r="G2648" s="874"/>
      <c r="H2648" s="874"/>
      <c r="I2648" s="874"/>
      <c r="J2648" s="874"/>
    </row>
    <row r="2649" spans="2:10">
      <c r="B2649" s="873"/>
      <c r="C2649" s="874"/>
      <c r="D2649" s="874"/>
      <c r="E2649" s="874"/>
      <c r="F2649" s="874"/>
      <c r="G2649" s="874"/>
      <c r="H2649" s="874"/>
      <c r="I2649" s="874"/>
      <c r="J2649" s="874"/>
    </row>
    <row r="2650" spans="2:10">
      <c r="B2650" s="873"/>
      <c r="C2650" s="874"/>
      <c r="D2650" s="874"/>
      <c r="E2650" s="874"/>
      <c r="F2650" s="874"/>
      <c r="G2650" s="874"/>
      <c r="H2650" s="874"/>
      <c r="I2650" s="874"/>
      <c r="J2650" s="874"/>
    </row>
    <row r="2651" spans="2:10">
      <c r="B2651" s="873"/>
      <c r="C2651" s="874"/>
      <c r="D2651" s="874"/>
      <c r="E2651" s="874"/>
      <c r="F2651" s="874"/>
      <c r="G2651" s="874"/>
      <c r="H2651" s="874"/>
      <c r="I2651" s="874"/>
      <c r="J2651" s="874"/>
    </row>
    <row r="2652" spans="2:10">
      <c r="B2652" s="873"/>
      <c r="C2652" s="874"/>
      <c r="D2652" s="874"/>
      <c r="E2652" s="874"/>
      <c r="F2652" s="874"/>
      <c r="G2652" s="874"/>
      <c r="H2652" s="874"/>
      <c r="I2652" s="874"/>
      <c r="J2652" s="874"/>
    </row>
    <row r="2653" spans="2:10">
      <c r="B2653" s="873"/>
      <c r="C2653" s="874"/>
      <c r="D2653" s="874"/>
      <c r="E2653" s="874"/>
      <c r="F2653" s="874"/>
      <c r="G2653" s="874"/>
      <c r="H2653" s="874"/>
      <c r="I2653" s="874"/>
      <c r="J2653" s="874"/>
    </row>
    <row r="2654" spans="2:10">
      <c r="B2654" s="873"/>
      <c r="C2654" s="874"/>
      <c r="D2654" s="874"/>
      <c r="E2654" s="874"/>
      <c r="F2654" s="874"/>
      <c r="G2654" s="874"/>
      <c r="H2654" s="874"/>
      <c r="I2654" s="874"/>
      <c r="J2654" s="874"/>
    </row>
    <row r="2655" spans="2:10">
      <c r="B2655" s="873"/>
      <c r="C2655" s="874"/>
      <c r="D2655" s="874"/>
      <c r="E2655" s="874"/>
      <c r="F2655" s="874"/>
      <c r="G2655" s="874"/>
      <c r="H2655" s="874"/>
      <c r="I2655" s="874"/>
      <c r="J2655" s="874"/>
    </row>
    <row r="2656" spans="2:10">
      <c r="B2656" s="873"/>
      <c r="C2656" s="874"/>
      <c r="D2656" s="874"/>
      <c r="E2656" s="874"/>
      <c r="F2656" s="874"/>
      <c r="G2656" s="874"/>
      <c r="H2656" s="874"/>
      <c r="I2656" s="874"/>
      <c r="J2656" s="874"/>
    </row>
    <row r="2657" spans="2:10">
      <c r="B2657" s="873"/>
      <c r="C2657" s="874"/>
      <c r="D2657" s="874"/>
      <c r="E2657" s="874"/>
      <c r="F2657" s="874"/>
      <c r="G2657" s="874"/>
      <c r="H2657" s="874"/>
      <c r="I2657" s="874"/>
      <c r="J2657" s="874"/>
    </row>
    <row r="2658" spans="2:10">
      <c r="B2658" s="873"/>
      <c r="C2658" s="874"/>
      <c r="D2658" s="874"/>
      <c r="E2658" s="874"/>
      <c r="F2658" s="874"/>
      <c r="G2658" s="874"/>
      <c r="H2658" s="874"/>
      <c r="I2658" s="874"/>
      <c r="J2658" s="874"/>
    </row>
    <row r="2659" spans="2:10">
      <c r="B2659" s="873"/>
      <c r="C2659" s="874"/>
      <c r="D2659" s="874"/>
      <c r="E2659" s="874"/>
      <c r="F2659" s="874"/>
      <c r="G2659" s="874"/>
      <c r="H2659" s="874"/>
      <c r="I2659" s="874"/>
      <c r="J2659" s="874"/>
    </row>
    <row r="2660" spans="2:10">
      <c r="B2660" s="873"/>
      <c r="C2660" s="874"/>
      <c r="D2660" s="874"/>
      <c r="E2660" s="874"/>
      <c r="F2660" s="874"/>
      <c r="G2660" s="874"/>
      <c r="H2660" s="874"/>
      <c r="I2660" s="874"/>
      <c r="J2660" s="874"/>
    </row>
    <row r="2661" spans="2:10">
      <c r="B2661" s="873"/>
      <c r="C2661" s="874"/>
      <c r="D2661" s="874"/>
      <c r="E2661" s="874"/>
      <c r="F2661" s="874"/>
      <c r="G2661" s="874"/>
      <c r="H2661" s="874"/>
      <c r="I2661" s="874"/>
      <c r="J2661" s="874"/>
    </row>
    <row r="2662" spans="2:10">
      <c r="B2662" s="873"/>
      <c r="C2662" s="874"/>
      <c r="D2662" s="874"/>
      <c r="E2662" s="874"/>
      <c r="F2662" s="874"/>
      <c r="G2662" s="874"/>
      <c r="H2662" s="874"/>
      <c r="I2662" s="874"/>
      <c r="J2662" s="874"/>
    </row>
    <row r="2663" spans="2:10">
      <c r="B2663" s="873"/>
      <c r="C2663" s="874"/>
      <c r="D2663" s="874"/>
      <c r="E2663" s="874"/>
      <c r="F2663" s="874"/>
      <c r="G2663" s="874"/>
      <c r="H2663" s="874"/>
      <c r="I2663" s="874"/>
      <c r="J2663" s="874"/>
    </row>
    <row r="2664" spans="2:10">
      <c r="B2664" s="873"/>
      <c r="C2664" s="874"/>
      <c r="D2664" s="874"/>
      <c r="E2664" s="874"/>
      <c r="F2664" s="874"/>
      <c r="G2664" s="874"/>
      <c r="H2664" s="874"/>
      <c r="I2664" s="874"/>
      <c r="J2664" s="874"/>
    </row>
    <row r="2665" spans="2:10">
      <c r="B2665" s="873"/>
      <c r="C2665" s="874"/>
      <c r="D2665" s="874"/>
      <c r="E2665" s="874"/>
      <c r="F2665" s="874"/>
      <c r="G2665" s="874"/>
      <c r="H2665" s="874"/>
      <c r="I2665" s="874"/>
      <c r="J2665" s="874"/>
    </row>
    <row r="2666" spans="2:10">
      <c r="B2666" s="873"/>
      <c r="C2666" s="874"/>
      <c r="D2666" s="874"/>
      <c r="E2666" s="874"/>
      <c r="F2666" s="874"/>
      <c r="G2666" s="874"/>
      <c r="H2666" s="874"/>
      <c r="I2666" s="874"/>
      <c r="J2666" s="874"/>
    </row>
    <row r="2667" spans="2:10">
      <c r="B2667" s="873"/>
      <c r="C2667" s="874"/>
      <c r="D2667" s="874"/>
      <c r="E2667" s="874"/>
      <c r="F2667" s="874"/>
      <c r="G2667" s="874"/>
      <c r="H2667" s="874"/>
      <c r="I2667" s="874"/>
      <c r="J2667" s="874"/>
    </row>
    <row r="2668" spans="2:10">
      <c r="B2668" s="873"/>
      <c r="C2668" s="874"/>
      <c r="D2668" s="874"/>
      <c r="E2668" s="874"/>
      <c r="F2668" s="874"/>
      <c r="G2668" s="874"/>
      <c r="H2668" s="874"/>
      <c r="I2668" s="874"/>
      <c r="J2668" s="874"/>
    </row>
    <row r="2669" spans="2:10">
      <c r="B2669" s="873"/>
      <c r="C2669" s="874"/>
      <c r="D2669" s="874"/>
      <c r="E2669" s="874"/>
      <c r="F2669" s="874"/>
      <c r="G2669" s="874"/>
      <c r="H2669" s="874"/>
      <c r="I2669" s="874"/>
      <c r="J2669" s="874"/>
    </row>
    <row r="2670" spans="2:10">
      <c r="B2670" s="873"/>
      <c r="C2670" s="874"/>
      <c r="D2670" s="874"/>
      <c r="E2670" s="874"/>
      <c r="F2670" s="874"/>
      <c r="G2670" s="874"/>
      <c r="H2670" s="874"/>
      <c r="I2670" s="874"/>
      <c r="J2670" s="874"/>
    </row>
    <row r="2671" spans="2:10">
      <c r="B2671" s="873"/>
      <c r="C2671" s="874"/>
      <c r="D2671" s="874"/>
      <c r="E2671" s="874"/>
      <c r="F2671" s="874"/>
      <c r="G2671" s="874"/>
      <c r="H2671" s="874"/>
      <c r="I2671" s="874"/>
      <c r="J2671" s="874"/>
    </row>
    <row r="2672" spans="2:10">
      <c r="B2672" s="873"/>
      <c r="C2672" s="874"/>
      <c r="D2672" s="874"/>
      <c r="E2672" s="874"/>
      <c r="F2672" s="874"/>
      <c r="G2672" s="874"/>
      <c r="H2672" s="874"/>
      <c r="I2672" s="874"/>
      <c r="J2672" s="874"/>
    </row>
    <row r="2673" spans="2:10">
      <c r="B2673" s="873"/>
      <c r="C2673" s="874"/>
      <c r="D2673" s="874"/>
      <c r="E2673" s="874"/>
      <c r="F2673" s="874"/>
      <c r="G2673" s="874"/>
      <c r="H2673" s="874"/>
      <c r="I2673" s="874"/>
      <c r="J2673" s="874"/>
    </row>
    <row r="2674" spans="2:10">
      <c r="B2674" s="873"/>
      <c r="C2674" s="874"/>
      <c r="D2674" s="874"/>
      <c r="E2674" s="874"/>
      <c r="F2674" s="874"/>
      <c r="G2674" s="874"/>
      <c r="H2674" s="874"/>
      <c r="I2674" s="874"/>
      <c r="J2674" s="874"/>
    </row>
    <row r="2675" spans="2:10">
      <c r="B2675" s="873"/>
      <c r="C2675" s="874"/>
      <c r="D2675" s="874"/>
      <c r="E2675" s="874"/>
      <c r="F2675" s="874"/>
      <c r="G2675" s="874"/>
      <c r="H2675" s="874"/>
      <c r="I2675" s="874"/>
      <c r="J2675" s="874"/>
    </row>
    <row r="2676" spans="2:10">
      <c r="B2676" s="873"/>
      <c r="C2676" s="874"/>
      <c r="D2676" s="874"/>
      <c r="E2676" s="874"/>
      <c r="F2676" s="874"/>
      <c r="G2676" s="874"/>
      <c r="H2676" s="874"/>
      <c r="I2676" s="874"/>
      <c r="J2676" s="874"/>
    </row>
    <row r="2677" spans="2:10">
      <c r="B2677" s="873"/>
      <c r="C2677" s="874"/>
      <c r="D2677" s="874"/>
      <c r="E2677" s="874"/>
      <c r="F2677" s="874"/>
      <c r="G2677" s="874"/>
      <c r="H2677" s="874"/>
      <c r="I2677" s="874"/>
      <c r="J2677" s="874"/>
    </row>
    <row r="2678" spans="2:10">
      <c r="B2678" s="873"/>
      <c r="C2678" s="874"/>
      <c r="D2678" s="874"/>
      <c r="E2678" s="874"/>
      <c r="F2678" s="874"/>
      <c r="G2678" s="874"/>
      <c r="H2678" s="874"/>
      <c r="I2678" s="874"/>
      <c r="J2678" s="874"/>
    </row>
    <row r="2679" spans="2:10">
      <c r="B2679" s="873"/>
      <c r="C2679" s="874"/>
      <c r="D2679" s="874"/>
      <c r="E2679" s="874"/>
      <c r="F2679" s="874"/>
      <c r="G2679" s="874"/>
      <c r="H2679" s="874"/>
      <c r="I2679" s="874"/>
      <c r="J2679" s="874"/>
    </row>
    <row r="2680" spans="2:10">
      <c r="B2680" s="873"/>
      <c r="C2680" s="874"/>
      <c r="D2680" s="874"/>
      <c r="E2680" s="874"/>
      <c r="F2680" s="874"/>
      <c r="G2680" s="874"/>
      <c r="H2680" s="874"/>
      <c r="I2680" s="874"/>
      <c r="J2680" s="874"/>
    </row>
    <row r="2681" spans="2:10">
      <c r="B2681" s="873"/>
      <c r="C2681" s="874"/>
      <c r="D2681" s="874"/>
      <c r="E2681" s="874"/>
      <c r="F2681" s="874"/>
      <c r="G2681" s="874"/>
      <c r="H2681" s="874"/>
      <c r="I2681" s="874"/>
      <c r="J2681" s="874"/>
    </row>
    <row r="2682" spans="2:10">
      <c r="B2682" s="873"/>
      <c r="C2682" s="874"/>
      <c r="D2682" s="874"/>
      <c r="E2682" s="874"/>
      <c r="F2682" s="874"/>
      <c r="G2682" s="874"/>
      <c r="H2682" s="874"/>
      <c r="I2682" s="874"/>
      <c r="J2682" s="874"/>
    </row>
    <row r="2683" spans="2:10">
      <c r="B2683" s="873"/>
      <c r="C2683" s="874"/>
      <c r="D2683" s="874"/>
      <c r="E2683" s="874"/>
      <c r="F2683" s="874"/>
      <c r="G2683" s="874"/>
      <c r="H2683" s="874"/>
      <c r="I2683" s="874"/>
      <c r="J2683" s="874"/>
    </row>
    <row r="2684" spans="2:10">
      <c r="B2684" s="873"/>
      <c r="C2684" s="874"/>
      <c r="D2684" s="874"/>
      <c r="E2684" s="874"/>
      <c r="F2684" s="874"/>
      <c r="G2684" s="874"/>
      <c r="H2684" s="874"/>
      <c r="I2684" s="874"/>
      <c r="J2684" s="874"/>
    </row>
    <row r="2685" spans="2:10">
      <c r="B2685" s="873"/>
      <c r="C2685" s="874"/>
      <c r="D2685" s="874"/>
      <c r="E2685" s="874"/>
      <c r="F2685" s="874"/>
      <c r="G2685" s="874"/>
      <c r="H2685" s="874"/>
      <c r="I2685" s="874"/>
      <c r="J2685" s="874"/>
    </row>
    <row r="2686" spans="2:10">
      <c r="B2686" s="873"/>
      <c r="C2686" s="874"/>
      <c r="D2686" s="874"/>
      <c r="E2686" s="874"/>
      <c r="F2686" s="874"/>
      <c r="G2686" s="874"/>
      <c r="H2686" s="874"/>
      <c r="I2686" s="874"/>
      <c r="J2686" s="874"/>
    </row>
    <row r="2687" spans="2:10">
      <c r="B2687" s="873"/>
      <c r="C2687" s="874"/>
      <c r="D2687" s="874"/>
      <c r="E2687" s="874"/>
      <c r="F2687" s="874"/>
      <c r="G2687" s="874"/>
      <c r="H2687" s="874"/>
      <c r="I2687" s="874"/>
      <c r="J2687" s="874"/>
    </row>
    <row r="2688" spans="2:10">
      <c r="B2688" s="873"/>
      <c r="C2688" s="874"/>
      <c r="D2688" s="874"/>
      <c r="E2688" s="874"/>
      <c r="F2688" s="874"/>
      <c r="G2688" s="874"/>
      <c r="H2688" s="874"/>
      <c r="I2688" s="874"/>
      <c r="J2688" s="874"/>
    </row>
    <row r="2689" spans="2:10">
      <c r="B2689" s="873"/>
      <c r="C2689" s="874"/>
      <c r="D2689" s="874"/>
      <c r="E2689" s="874"/>
      <c r="F2689" s="874"/>
      <c r="G2689" s="874"/>
      <c r="H2689" s="874"/>
      <c r="I2689" s="874"/>
      <c r="J2689" s="874"/>
    </row>
    <row r="2690" spans="2:10">
      <c r="B2690" s="873"/>
      <c r="C2690" s="874"/>
      <c r="D2690" s="874"/>
      <c r="E2690" s="874"/>
      <c r="F2690" s="874"/>
      <c r="G2690" s="874"/>
      <c r="H2690" s="874"/>
      <c r="I2690" s="874"/>
      <c r="J2690" s="874"/>
    </row>
    <row r="2691" spans="2:10">
      <c r="B2691" s="873"/>
      <c r="C2691" s="874"/>
      <c r="D2691" s="874"/>
      <c r="E2691" s="874"/>
      <c r="F2691" s="874"/>
      <c r="G2691" s="874"/>
      <c r="H2691" s="874"/>
      <c r="I2691" s="874"/>
      <c r="J2691" s="874"/>
    </row>
    <row r="2692" spans="2:10">
      <c r="B2692" s="873"/>
      <c r="C2692" s="874"/>
      <c r="D2692" s="874"/>
      <c r="E2692" s="874"/>
      <c r="F2692" s="874"/>
      <c r="G2692" s="874"/>
      <c r="H2692" s="874"/>
      <c r="I2692" s="874"/>
      <c r="J2692" s="874"/>
    </row>
    <row r="2693" spans="2:10">
      <c r="B2693" s="873"/>
      <c r="C2693" s="874"/>
      <c r="D2693" s="874"/>
      <c r="E2693" s="874"/>
      <c r="F2693" s="874"/>
      <c r="G2693" s="874"/>
      <c r="H2693" s="874"/>
      <c r="I2693" s="874"/>
      <c r="J2693" s="874"/>
    </row>
    <row r="2694" spans="2:10">
      <c r="B2694" s="873"/>
      <c r="C2694" s="874"/>
      <c r="D2694" s="874"/>
      <c r="E2694" s="874"/>
      <c r="F2694" s="874"/>
      <c r="G2694" s="874"/>
      <c r="H2694" s="874"/>
      <c r="I2694" s="874"/>
      <c r="J2694" s="874"/>
    </row>
    <row r="2695" spans="2:10">
      <c r="B2695" s="873"/>
      <c r="C2695" s="874"/>
      <c r="D2695" s="874"/>
      <c r="E2695" s="874"/>
      <c r="F2695" s="874"/>
      <c r="G2695" s="874"/>
      <c r="H2695" s="874"/>
      <c r="I2695" s="874"/>
      <c r="J2695" s="874"/>
    </row>
    <row r="2696" spans="2:10">
      <c r="B2696" s="873"/>
      <c r="C2696" s="874"/>
      <c r="D2696" s="874"/>
      <c r="E2696" s="874"/>
      <c r="F2696" s="874"/>
      <c r="G2696" s="874"/>
      <c r="H2696" s="874"/>
      <c r="I2696" s="874"/>
      <c r="J2696" s="874"/>
    </row>
    <row r="2697" spans="2:10">
      <c r="B2697" s="873"/>
      <c r="C2697" s="874"/>
      <c r="D2697" s="874"/>
      <c r="E2697" s="874"/>
      <c r="F2697" s="874"/>
      <c r="G2697" s="874"/>
      <c r="H2697" s="874"/>
      <c r="I2697" s="874"/>
      <c r="J2697" s="874"/>
    </row>
    <row r="2698" spans="2:10">
      <c r="B2698" s="873"/>
      <c r="C2698" s="874"/>
      <c r="D2698" s="874"/>
      <c r="E2698" s="874"/>
      <c r="F2698" s="874"/>
      <c r="G2698" s="874"/>
      <c r="H2698" s="874"/>
      <c r="I2698" s="874"/>
      <c r="J2698" s="874"/>
    </row>
    <row r="2699" spans="2:10">
      <c r="B2699" s="873"/>
      <c r="C2699" s="874"/>
      <c r="D2699" s="874"/>
      <c r="E2699" s="874"/>
      <c r="F2699" s="874"/>
      <c r="G2699" s="874"/>
      <c r="H2699" s="874"/>
      <c r="I2699" s="874"/>
      <c r="J2699" s="874"/>
    </row>
    <row r="2700" spans="2:10">
      <c r="B2700" s="873"/>
      <c r="C2700" s="874"/>
      <c r="D2700" s="874"/>
      <c r="E2700" s="874"/>
      <c r="F2700" s="874"/>
      <c r="G2700" s="874"/>
      <c r="H2700" s="874"/>
      <c r="I2700" s="874"/>
      <c r="J2700" s="874"/>
    </row>
    <row r="2701" spans="2:10">
      <c r="B2701" s="873"/>
      <c r="C2701" s="874"/>
      <c r="D2701" s="874"/>
      <c r="E2701" s="874"/>
      <c r="F2701" s="874"/>
      <c r="G2701" s="874"/>
      <c r="H2701" s="874"/>
      <c r="I2701" s="874"/>
      <c r="J2701" s="874"/>
    </row>
    <row r="2702" spans="2:10">
      <c r="B2702" s="873"/>
      <c r="C2702" s="874"/>
      <c r="D2702" s="874"/>
      <c r="E2702" s="874"/>
      <c r="F2702" s="874"/>
      <c r="G2702" s="874"/>
      <c r="H2702" s="874"/>
      <c r="I2702" s="874"/>
      <c r="J2702" s="874"/>
    </row>
    <row r="2703" spans="2:10">
      <c r="B2703" s="873"/>
      <c r="C2703" s="874"/>
      <c r="D2703" s="874"/>
      <c r="E2703" s="874"/>
      <c r="F2703" s="874"/>
      <c r="G2703" s="874"/>
      <c r="H2703" s="874"/>
      <c r="I2703" s="874"/>
      <c r="J2703" s="874"/>
    </row>
    <row r="2704" spans="2:10">
      <c r="B2704" s="873"/>
      <c r="C2704" s="874"/>
      <c r="D2704" s="874"/>
      <c r="E2704" s="874"/>
      <c r="F2704" s="874"/>
      <c r="G2704" s="874"/>
      <c r="H2704" s="874"/>
      <c r="I2704" s="874"/>
      <c r="J2704" s="874"/>
    </row>
    <row r="2705" spans="2:10">
      <c r="B2705" s="873"/>
      <c r="C2705" s="874"/>
      <c r="D2705" s="874"/>
      <c r="E2705" s="874"/>
      <c r="F2705" s="874"/>
      <c r="G2705" s="874"/>
      <c r="H2705" s="874"/>
      <c r="I2705" s="874"/>
      <c r="J2705" s="874"/>
    </row>
    <row r="2706" spans="2:10">
      <c r="B2706" s="873"/>
      <c r="C2706" s="874"/>
      <c r="D2706" s="874"/>
      <c r="E2706" s="874"/>
      <c r="F2706" s="874"/>
      <c r="G2706" s="874"/>
      <c r="H2706" s="874"/>
      <c r="I2706" s="874"/>
      <c r="J2706" s="874"/>
    </row>
    <row r="2707" spans="2:10">
      <c r="B2707" s="873"/>
      <c r="C2707" s="874"/>
      <c r="D2707" s="874"/>
      <c r="E2707" s="874"/>
      <c r="F2707" s="874"/>
      <c r="G2707" s="874"/>
      <c r="H2707" s="874"/>
      <c r="I2707" s="874"/>
      <c r="J2707" s="874"/>
    </row>
    <row r="2708" spans="2:10">
      <c r="B2708" s="873"/>
      <c r="C2708" s="874"/>
      <c r="D2708" s="874"/>
      <c r="E2708" s="874"/>
      <c r="F2708" s="874"/>
      <c r="G2708" s="874"/>
      <c r="H2708" s="874"/>
      <c r="I2708" s="874"/>
      <c r="J2708" s="874"/>
    </row>
    <row r="2709" spans="2:10">
      <c r="B2709" s="873"/>
      <c r="C2709" s="874"/>
      <c r="D2709" s="874"/>
      <c r="E2709" s="874"/>
      <c r="F2709" s="874"/>
      <c r="G2709" s="874"/>
      <c r="H2709" s="874"/>
      <c r="I2709" s="874"/>
      <c r="J2709" s="874"/>
    </row>
    <row r="2710" spans="2:10">
      <c r="B2710" s="873"/>
      <c r="C2710" s="874"/>
      <c r="D2710" s="874"/>
      <c r="E2710" s="874"/>
      <c r="F2710" s="874"/>
      <c r="G2710" s="874"/>
      <c r="H2710" s="874"/>
      <c r="I2710" s="874"/>
      <c r="J2710" s="874"/>
    </row>
    <row r="2711" spans="2:10">
      <c r="B2711" s="873"/>
      <c r="C2711" s="874"/>
      <c r="D2711" s="874"/>
      <c r="E2711" s="874"/>
      <c r="F2711" s="874"/>
      <c r="G2711" s="874"/>
      <c r="H2711" s="874"/>
      <c r="I2711" s="874"/>
      <c r="J2711" s="874"/>
    </row>
    <row r="2712" spans="2:10">
      <c r="B2712" s="873"/>
      <c r="C2712" s="874"/>
      <c r="D2712" s="874"/>
      <c r="E2712" s="874"/>
      <c r="F2712" s="874"/>
      <c r="G2712" s="874"/>
      <c r="H2712" s="874"/>
      <c r="I2712" s="874"/>
      <c r="J2712" s="874"/>
    </row>
    <row r="2713" spans="2:10">
      <c r="B2713" s="873"/>
      <c r="C2713" s="874"/>
      <c r="D2713" s="874"/>
      <c r="E2713" s="874"/>
      <c r="F2713" s="874"/>
      <c r="G2713" s="874"/>
      <c r="H2713" s="874"/>
      <c r="I2713" s="874"/>
      <c r="J2713" s="874"/>
    </row>
    <row r="2714" spans="2:10">
      <c r="B2714" s="873"/>
      <c r="C2714" s="874"/>
      <c r="D2714" s="874"/>
      <c r="E2714" s="874"/>
      <c r="F2714" s="874"/>
      <c r="G2714" s="874"/>
      <c r="H2714" s="874"/>
      <c r="I2714" s="874"/>
      <c r="J2714" s="874"/>
    </row>
    <row r="2715" spans="2:10">
      <c r="B2715" s="873"/>
      <c r="C2715" s="874"/>
      <c r="D2715" s="874"/>
      <c r="E2715" s="874"/>
      <c r="F2715" s="874"/>
      <c r="G2715" s="874"/>
      <c r="H2715" s="874"/>
      <c r="I2715" s="874"/>
      <c r="J2715" s="874"/>
    </row>
    <row r="2716" spans="2:10">
      <c r="B2716" s="873"/>
      <c r="C2716" s="874"/>
      <c r="D2716" s="874"/>
      <c r="E2716" s="874"/>
      <c r="F2716" s="874"/>
      <c r="G2716" s="874"/>
      <c r="H2716" s="874"/>
      <c r="I2716" s="874"/>
      <c r="J2716" s="874"/>
    </row>
    <row r="2717" spans="2:10">
      <c r="B2717" s="873"/>
      <c r="C2717" s="874"/>
      <c r="D2717" s="874"/>
      <c r="E2717" s="874"/>
      <c r="F2717" s="874"/>
      <c r="G2717" s="874"/>
      <c r="H2717" s="874"/>
      <c r="I2717" s="874"/>
      <c r="J2717" s="874"/>
    </row>
    <row r="2718" spans="2:10">
      <c r="B2718" s="873"/>
      <c r="C2718" s="874"/>
      <c r="D2718" s="874"/>
      <c r="E2718" s="874"/>
      <c r="F2718" s="874"/>
      <c r="G2718" s="874"/>
      <c r="H2718" s="874"/>
      <c r="I2718" s="874"/>
      <c r="J2718" s="874"/>
    </row>
    <row r="2719" spans="2:10">
      <c r="B2719" s="873"/>
      <c r="C2719" s="874"/>
      <c r="D2719" s="874"/>
      <c r="E2719" s="874"/>
      <c r="F2719" s="874"/>
      <c r="G2719" s="874"/>
      <c r="H2719" s="874"/>
      <c r="I2719" s="874"/>
      <c r="J2719" s="874"/>
    </row>
    <row r="2720" spans="2:10">
      <c r="B2720" s="873"/>
      <c r="C2720" s="874"/>
      <c r="D2720" s="874"/>
      <c r="E2720" s="874"/>
      <c r="F2720" s="874"/>
      <c r="G2720" s="874"/>
      <c r="H2720" s="874"/>
      <c r="I2720" s="874"/>
      <c r="J2720" s="874"/>
    </row>
    <row r="2721" spans="2:10">
      <c r="B2721" s="873"/>
      <c r="C2721" s="874"/>
      <c r="D2721" s="874"/>
      <c r="E2721" s="874"/>
      <c r="F2721" s="874"/>
      <c r="G2721" s="874"/>
      <c r="H2721" s="874"/>
      <c r="I2721" s="874"/>
      <c r="J2721" s="874"/>
    </row>
    <row r="2722" spans="2:10">
      <c r="B2722" s="873"/>
      <c r="C2722" s="874"/>
      <c r="D2722" s="874"/>
      <c r="E2722" s="874"/>
      <c r="F2722" s="874"/>
      <c r="G2722" s="874"/>
      <c r="H2722" s="874"/>
      <c r="I2722" s="874"/>
      <c r="J2722" s="874"/>
    </row>
    <row r="2723" spans="2:10">
      <c r="B2723" s="873"/>
      <c r="C2723" s="874"/>
      <c r="D2723" s="874"/>
      <c r="E2723" s="874"/>
      <c r="F2723" s="874"/>
      <c r="G2723" s="874"/>
      <c r="H2723" s="874"/>
      <c r="I2723" s="874"/>
      <c r="J2723" s="874"/>
    </row>
    <row r="2724" spans="2:10">
      <c r="B2724" s="873"/>
      <c r="C2724" s="874"/>
      <c r="D2724" s="874"/>
      <c r="E2724" s="874"/>
      <c r="F2724" s="874"/>
      <c r="G2724" s="874"/>
      <c r="H2724" s="874"/>
      <c r="I2724" s="874"/>
      <c r="J2724" s="874"/>
    </row>
    <row r="2725" spans="2:10">
      <c r="B2725" s="873"/>
      <c r="C2725" s="874"/>
      <c r="D2725" s="874"/>
      <c r="E2725" s="874"/>
      <c r="F2725" s="874"/>
      <c r="G2725" s="874"/>
      <c r="H2725" s="874"/>
      <c r="I2725" s="874"/>
      <c r="J2725" s="874"/>
    </row>
    <row r="2726" spans="2:10">
      <c r="B2726" s="873"/>
      <c r="C2726" s="874"/>
      <c r="D2726" s="874"/>
      <c r="E2726" s="874"/>
      <c r="F2726" s="874"/>
      <c r="G2726" s="874"/>
      <c r="H2726" s="874"/>
      <c r="I2726" s="874"/>
      <c r="J2726" s="874"/>
    </row>
    <row r="2727" spans="2:10">
      <c r="B2727" s="873"/>
      <c r="C2727" s="874"/>
      <c r="D2727" s="874"/>
      <c r="E2727" s="874"/>
      <c r="F2727" s="874"/>
      <c r="G2727" s="874"/>
      <c r="H2727" s="874"/>
      <c r="I2727" s="874"/>
      <c r="J2727" s="874"/>
    </row>
    <row r="2728" spans="2:10">
      <c r="B2728" s="873"/>
      <c r="C2728" s="874"/>
      <c r="D2728" s="874"/>
      <c r="E2728" s="874"/>
      <c r="F2728" s="874"/>
      <c r="G2728" s="874"/>
      <c r="H2728" s="874"/>
      <c r="I2728" s="874"/>
      <c r="J2728" s="874"/>
    </row>
    <row r="2729" spans="2:10">
      <c r="B2729" s="873"/>
      <c r="C2729" s="874"/>
      <c r="D2729" s="874"/>
      <c r="E2729" s="874"/>
      <c r="F2729" s="874"/>
      <c r="G2729" s="874"/>
      <c r="H2729" s="874"/>
      <c r="I2729" s="874"/>
      <c r="J2729" s="874"/>
    </row>
    <row r="2730" spans="2:10">
      <c r="B2730" s="873"/>
      <c r="C2730" s="874"/>
      <c r="D2730" s="874"/>
      <c r="E2730" s="874"/>
      <c r="F2730" s="874"/>
      <c r="G2730" s="874"/>
      <c r="H2730" s="874"/>
      <c r="I2730" s="874"/>
      <c r="J2730" s="874"/>
    </row>
    <row r="2731" spans="2:10">
      <c r="B2731" s="873"/>
      <c r="C2731" s="874"/>
      <c r="D2731" s="874"/>
      <c r="E2731" s="874"/>
      <c r="F2731" s="874"/>
      <c r="G2731" s="874"/>
      <c r="H2731" s="874"/>
      <c r="I2731" s="874"/>
      <c r="J2731" s="874"/>
    </row>
    <row r="2732" spans="2:10">
      <c r="B2732" s="873"/>
      <c r="C2732" s="874"/>
      <c r="D2732" s="874"/>
      <c r="E2732" s="874"/>
      <c r="F2732" s="874"/>
      <c r="G2732" s="874"/>
      <c r="H2732" s="874"/>
      <c r="I2732" s="874"/>
      <c r="J2732" s="874"/>
    </row>
    <row r="2733" spans="2:10">
      <c r="B2733" s="873"/>
      <c r="C2733" s="874"/>
      <c r="D2733" s="874"/>
      <c r="E2733" s="874"/>
      <c r="F2733" s="874"/>
      <c r="G2733" s="874"/>
      <c r="H2733" s="874"/>
      <c r="I2733" s="874"/>
      <c r="J2733" s="874"/>
    </row>
    <row r="2734" spans="2:10">
      <c r="B2734" s="873"/>
      <c r="C2734" s="874"/>
      <c r="D2734" s="874"/>
      <c r="E2734" s="874"/>
      <c r="F2734" s="874"/>
      <c r="G2734" s="874"/>
      <c r="H2734" s="874"/>
      <c r="I2734" s="874"/>
      <c r="J2734" s="874"/>
    </row>
    <row r="2735" spans="2:10">
      <c r="B2735" s="873"/>
      <c r="C2735" s="874"/>
      <c r="D2735" s="874"/>
      <c r="E2735" s="874"/>
      <c r="F2735" s="874"/>
      <c r="G2735" s="874"/>
      <c r="H2735" s="874"/>
      <c r="I2735" s="874"/>
      <c r="J2735" s="874"/>
    </row>
    <row r="2736" spans="2:10">
      <c r="B2736" s="873"/>
      <c r="C2736" s="874"/>
      <c r="D2736" s="874"/>
      <c r="E2736" s="874"/>
      <c r="F2736" s="874"/>
      <c r="G2736" s="874"/>
      <c r="H2736" s="874"/>
      <c r="I2736" s="874"/>
      <c r="J2736" s="874"/>
    </row>
    <row r="2737" spans="2:10">
      <c r="B2737" s="873"/>
      <c r="C2737" s="874"/>
      <c r="D2737" s="874"/>
      <c r="E2737" s="874"/>
      <c r="F2737" s="874"/>
      <c r="G2737" s="874"/>
      <c r="H2737" s="874"/>
      <c r="I2737" s="874"/>
      <c r="J2737" s="874"/>
    </row>
    <row r="2738" spans="2:10">
      <c r="B2738" s="873"/>
      <c r="C2738" s="874"/>
      <c r="D2738" s="874"/>
      <c r="E2738" s="874"/>
      <c r="F2738" s="874"/>
      <c r="G2738" s="874"/>
      <c r="H2738" s="874"/>
      <c r="I2738" s="874"/>
      <c r="J2738" s="874"/>
    </row>
    <row r="2739" spans="2:10">
      <c r="B2739" s="873"/>
      <c r="C2739" s="874"/>
      <c r="D2739" s="874"/>
      <c r="E2739" s="874"/>
      <c r="F2739" s="874"/>
      <c r="G2739" s="874"/>
      <c r="H2739" s="874"/>
      <c r="I2739" s="874"/>
      <c r="J2739" s="874"/>
    </row>
    <row r="2740" spans="2:10">
      <c r="B2740" s="873"/>
      <c r="C2740" s="874"/>
      <c r="D2740" s="874"/>
      <c r="E2740" s="874"/>
      <c r="F2740" s="874"/>
      <c r="G2740" s="874"/>
      <c r="H2740" s="874"/>
      <c r="I2740" s="874"/>
      <c r="J2740" s="874"/>
    </row>
    <row r="2741" spans="2:10">
      <c r="B2741" s="873"/>
      <c r="C2741" s="874"/>
      <c r="D2741" s="874"/>
      <c r="E2741" s="874"/>
      <c r="F2741" s="874"/>
      <c r="G2741" s="874"/>
      <c r="H2741" s="874"/>
      <c r="I2741" s="874"/>
      <c r="J2741" s="874"/>
    </row>
    <row r="2742" spans="2:10">
      <c r="B2742" s="873"/>
      <c r="C2742" s="874"/>
      <c r="D2742" s="874"/>
      <c r="E2742" s="874"/>
      <c r="F2742" s="874"/>
      <c r="G2742" s="874"/>
      <c r="H2742" s="874"/>
      <c r="I2742" s="874"/>
      <c r="J2742" s="874"/>
    </row>
    <row r="2743" spans="2:10">
      <c r="B2743" s="873"/>
      <c r="C2743" s="874"/>
      <c r="D2743" s="874"/>
      <c r="E2743" s="874"/>
      <c r="F2743" s="874"/>
      <c r="G2743" s="874"/>
      <c r="H2743" s="874"/>
      <c r="I2743" s="874"/>
      <c r="J2743" s="874"/>
    </row>
    <row r="2744" spans="2:10">
      <c r="B2744" s="873"/>
      <c r="C2744" s="874"/>
      <c r="D2744" s="874"/>
      <c r="E2744" s="874"/>
      <c r="F2744" s="874"/>
      <c r="G2744" s="874"/>
      <c r="H2744" s="874"/>
      <c r="I2744" s="874"/>
      <c r="J2744" s="874"/>
    </row>
    <row r="2745" spans="2:10">
      <c r="B2745" s="873"/>
      <c r="C2745" s="874"/>
      <c r="D2745" s="874"/>
      <c r="E2745" s="874"/>
      <c r="F2745" s="874"/>
      <c r="G2745" s="874"/>
      <c r="H2745" s="874"/>
      <c r="I2745" s="874"/>
      <c r="J2745" s="874"/>
    </row>
    <row r="2746" spans="2:10">
      <c r="B2746" s="873"/>
      <c r="C2746" s="874"/>
      <c r="D2746" s="874"/>
      <c r="E2746" s="874"/>
      <c r="F2746" s="874"/>
      <c r="G2746" s="874"/>
      <c r="H2746" s="874"/>
      <c r="I2746" s="874"/>
      <c r="J2746" s="874"/>
    </row>
    <row r="2747" spans="2:10">
      <c r="B2747" s="873"/>
      <c r="C2747" s="874"/>
      <c r="D2747" s="874"/>
      <c r="E2747" s="874"/>
      <c r="F2747" s="874"/>
      <c r="G2747" s="874"/>
      <c r="H2747" s="874"/>
      <c r="I2747" s="874"/>
      <c r="J2747" s="874"/>
    </row>
    <row r="2748" spans="2:10">
      <c r="B2748" s="873"/>
      <c r="C2748" s="874"/>
      <c r="D2748" s="874"/>
      <c r="E2748" s="874"/>
      <c r="F2748" s="874"/>
      <c r="G2748" s="874"/>
      <c r="H2748" s="874"/>
      <c r="I2748" s="874"/>
      <c r="J2748" s="874"/>
    </row>
    <row r="2749" spans="2:10">
      <c r="B2749" s="873"/>
      <c r="C2749" s="874"/>
      <c r="D2749" s="874"/>
      <c r="E2749" s="874"/>
      <c r="F2749" s="874"/>
      <c r="G2749" s="874"/>
      <c r="H2749" s="874"/>
      <c r="I2749" s="874"/>
      <c r="J2749" s="874"/>
    </row>
    <row r="2750" spans="2:10">
      <c r="B2750" s="873"/>
      <c r="C2750" s="874"/>
      <c r="D2750" s="874"/>
      <c r="E2750" s="874"/>
      <c r="F2750" s="874"/>
      <c r="G2750" s="874"/>
      <c r="H2750" s="874"/>
      <c r="I2750" s="874"/>
      <c r="J2750" s="874"/>
    </row>
    <row r="2751" spans="2:10">
      <c r="B2751" s="873"/>
      <c r="C2751" s="874"/>
      <c r="D2751" s="874"/>
      <c r="E2751" s="874"/>
      <c r="F2751" s="874"/>
      <c r="G2751" s="874"/>
      <c r="H2751" s="874"/>
      <c r="I2751" s="874"/>
      <c r="J2751" s="874"/>
    </row>
    <row r="2752" spans="2:10">
      <c r="B2752" s="873"/>
      <c r="C2752" s="874"/>
      <c r="D2752" s="874"/>
      <c r="E2752" s="874"/>
      <c r="F2752" s="874"/>
      <c r="G2752" s="874"/>
      <c r="H2752" s="874"/>
      <c r="I2752" s="874"/>
      <c r="J2752" s="874"/>
    </row>
    <row r="2753" spans="2:10">
      <c r="B2753" s="873"/>
      <c r="C2753" s="874"/>
      <c r="D2753" s="874"/>
      <c r="E2753" s="874"/>
      <c r="F2753" s="874"/>
      <c r="G2753" s="874"/>
      <c r="H2753" s="874"/>
      <c r="I2753" s="874"/>
      <c r="J2753" s="874"/>
    </row>
    <row r="2754" spans="2:10">
      <c r="B2754" s="873"/>
      <c r="C2754" s="874"/>
      <c r="D2754" s="874"/>
      <c r="E2754" s="874"/>
      <c r="F2754" s="874"/>
      <c r="G2754" s="874"/>
      <c r="H2754" s="874"/>
      <c r="I2754" s="874"/>
      <c r="J2754" s="874"/>
    </row>
    <row r="2755" spans="2:10">
      <c r="B2755" s="873"/>
      <c r="C2755" s="874"/>
      <c r="D2755" s="874"/>
      <c r="E2755" s="874"/>
      <c r="F2755" s="874"/>
      <c r="G2755" s="874"/>
      <c r="H2755" s="874"/>
      <c r="I2755" s="874"/>
      <c r="J2755" s="874"/>
    </row>
    <row r="2756" spans="2:10">
      <c r="B2756" s="873"/>
      <c r="C2756" s="874"/>
      <c r="D2756" s="874"/>
      <c r="E2756" s="874"/>
      <c r="F2756" s="874"/>
      <c r="G2756" s="874"/>
      <c r="H2756" s="874"/>
      <c r="I2756" s="874"/>
      <c r="J2756" s="874"/>
    </row>
    <row r="2757" spans="2:10">
      <c r="B2757" s="873"/>
      <c r="C2757" s="874"/>
      <c r="D2757" s="874"/>
      <c r="E2757" s="874"/>
      <c r="F2757" s="874"/>
      <c r="G2757" s="874"/>
      <c r="H2757" s="874"/>
      <c r="I2757" s="874"/>
      <c r="J2757" s="874"/>
    </row>
    <row r="2758" spans="2:10">
      <c r="B2758" s="873"/>
      <c r="C2758" s="874"/>
      <c r="D2758" s="874"/>
      <c r="E2758" s="874"/>
      <c r="F2758" s="874"/>
      <c r="G2758" s="874"/>
      <c r="H2758" s="874"/>
      <c r="I2758" s="874"/>
      <c r="J2758" s="874"/>
    </row>
    <row r="2759" spans="2:10">
      <c r="B2759" s="873"/>
      <c r="C2759" s="874"/>
      <c r="D2759" s="874"/>
      <c r="E2759" s="874"/>
      <c r="F2759" s="874"/>
      <c r="G2759" s="874"/>
      <c r="H2759" s="874"/>
      <c r="I2759" s="874"/>
      <c r="J2759" s="874"/>
    </row>
    <row r="2760" spans="2:10">
      <c r="B2760" s="873"/>
      <c r="C2760" s="874"/>
      <c r="D2760" s="874"/>
      <c r="E2760" s="874"/>
      <c r="F2760" s="874"/>
      <c r="G2760" s="874"/>
      <c r="H2760" s="874"/>
      <c r="I2760" s="874"/>
      <c r="J2760" s="874"/>
    </row>
    <row r="2761" spans="2:10">
      <c r="B2761" s="873"/>
      <c r="C2761" s="874"/>
      <c r="D2761" s="874"/>
      <c r="E2761" s="874"/>
      <c r="F2761" s="874"/>
      <c r="G2761" s="874"/>
      <c r="H2761" s="874"/>
      <c r="I2761" s="874"/>
      <c r="J2761" s="874"/>
    </row>
    <row r="2762" spans="2:10">
      <c r="B2762" s="873"/>
      <c r="C2762" s="874"/>
      <c r="D2762" s="874"/>
      <c r="E2762" s="874"/>
      <c r="F2762" s="874"/>
      <c r="G2762" s="874"/>
      <c r="H2762" s="874"/>
      <c r="I2762" s="874"/>
      <c r="J2762" s="874"/>
    </row>
    <row r="2763" spans="2:10">
      <c r="B2763" s="873"/>
      <c r="C2763" s="874"/>
      <c r="D2763" s="874"/>
      <c r="E2763" s="874"/>
      <c r="F2763" s="874"/>
      <c r="G2763" s="874"/>
      <c r="H2763" s="874"/>
      <c r="I2763" s="874"/>
      <c r="J2763" s="874"/>
    </row>
    <row r="2764" spans="2:10">
      <c r="B2764" s="873"/>
      <c r="C2764" s="874"/>
      <c r="D2764" s="874"/>
      <c r="E2764" s="874"/>
      <c r="F2764" s="874"/>
      <c r="G2764" s="874"/>
      <c r="H2764" s="874"/>
      <c r="I2764" s="874"/>
      <c r="J2764" s="874"/>
    </row>
    <row r="2765" spans="2:10">
      <c r="B2765" s="873"/>
      <c r="C2765" s="874"/>
      <c r="D2765" s="874"/>
      <c r="E2765" s="874"/>
      <c r="F2765" s="874"/>
      <c r="G2765" s="874"/>
      <c r="H2765" s="874"/>
      <c r="I2765" s="874"/>
      <c r="J2765" s="874"/>
    </row>
    <row r="2766" spans="2:10">
      <c r="B2766" s="873"/>
      <c r="C2766" s="874"/>
      <c r="D2766" s="874"/>
      <c r="E2766" s="874"/>
      <c r="F2766" s="874"/>
      <c r="G2766" s="874"/>
      <c r="H2766" s="874"/>
      <c r="I2766" s="874"/>
      <c r="J2766" s="874"/>
    </row>
    <row r="2767" spans="2:10">
      <c r="B2767" s="873"/>
      <c r="C2767" s="874"/>
      <c r="D2767" s="874"/>
      <c r="E2767" s="874"/>
      <c r="F2767" s="874"/>
      <c r="G2767" s="874"/>
      <c r="H2767" s="874"/>
      <c r="I2767" s="874"/>
      <c r="J2767" s="874"/>
    </row>
    <row r="2768" spans="2:10">
      <c r="B2768" s="873"/>
      <c r="C2768" s="874"/>
      <c r="D2768" s="874"/>
      <c r="E2768" s="874"/>
      <c r="F2768" s="874"/>
      <c r="G2768" s="874"/>
      <c r="H2768" s="874"/>
      <c r="I2768" s="874"/>
      <c r="J2768" s="874"/>
    </row>
    <row r="2769" spans="2:10">
      <c r="B2769" s="873"/>
      <c r="C2769" s="874"/>
      <c r="D2769" s="874"/>
      <c r="E2769" s="874"/>
      <c r="F2769" s="874"/>
      <c r="G2769" s="874"/>
      <c r="H2769" s="874"/>
      <c r="I2769" s="874"/>
      <c r="J2769" s="874"/>
    </row>
    <row r="2770" spans="2:10">
      <c r="B2770" s="873"/>
      <c r="C2770" s="874"/>
      <c r="D2770" s="874"/>
      <c r="E2770" s="874"/>
      <c r="F2770" s="874"/>
      <c r="G2770" s="874"/>
      <c r="H2770" s="874"/>
      <c r="I2770" s="874"/>
      <c r="J2770" s="874"/>
    </row>
    <row r="2771" spans="2:10">
      <c r="B2771" s="873"/>
      <c r="C2771" s="874"/>
      <c r="D2771" s="874"/>
      <c r="E2771" s="874"/>
      <c r="F2771" s="874"/>
      <c r="G2771" s="874"/>
      <c r="H2771" s="874"/>
      <c r="I2771" s="874"/>
      <c r="J2771" s="874"/>
    </row>
    <row r="2772" spans="2:10">
      <c r="B2772" s="873"/>
      <c r="C2772" s="874"/>
      <c r="D2772" s="874"/>
      <c r="E2772" s="874"/>
      <c r="F2772" s="874"/>
      <c r="G2772" s="874"/>
      <c r="H2772" s="874"/>
      <c r="I2772" s="874"/>
      <c r="J2772" s="874"/>
    </row>
    <row r="2773" spans="2:10">
      <c r="B2773" s="873"/>
      <c r="C2773" s="874"/>
      <c r="D2773" s="874"/>
      <c r="E2773" s="874"/>
      <c r="F2773" s="874"/>
      <c r="G2773" s="874"/>
      <c r="H2773" s="874"/>
      <c r="I2773" s="874"/>
      <c r="J2773" s="874"/>
    </row>
    <row r="2774" spans="2:10">
      <c r="B2774" s="873"/>
      <c r="C2774" s="874"/>
      <c r="D2774" s="874"/>
      <c r="E2774" s="874"/>
      <c r="F2774" s="874"/>
      <c r="G2774" s="874"/>
      <c r="H2774" s="874"/>
      <c r="I2774" s="874"/>
      <c r="J2774" s="874"/>
    </row>
    <row r="2775" spans="2:10">
      <c r="B2775" s="873"/>
      <c r="C2775" s="874"/>
      <c r="D2775" s="874"/>
      <c r="E2775" s="874"/>
      <c r="F2775" s="874"/>
      <c r="G2775" s="874"/>
      <c r="H2775" s="874"/>
      <c r="I2775" s="874"/>
      <c r="J2775" s="874"/>
    </row>
    <row r="2776" spans="2:10">
      <c r="B2776" s="873"/>
      <c r="C2776" s="874"/>
      <c r="D2776" s="874"/>
      <c r="E2776" s="874"/>
      <c r="F2776" s="874"/>
      <c r="G2776" s="874"/>
      <c r="H2776" s="874"/>
      <c r="I2776" s="874"/>
      <c r="J2776" s="874"/>
    </row>
    <row r="2777" spans="2:10">
      <c r="B2777" s="873"/>
      <c r="C2777" s="874"/>
      <c r="D2777" s="874"/>
      <c r="E2777" s="874"/>
      <c r="F2777" s="874"/>
      <c r="G2777" s="874"/>
      <c r="H2777" s="874"/>
      <c r="I2777" s="874"/>
      <c r="J2777" s="874"/>
    </row>
    <row r="2778" spans="2:10">
      <c r="B2778" s="873"/>
      <c r="C2778" s="874"/>
      <c r="D2778" s="874"/>
      <c r="E2778" s="874"/>
      <c r="F2778" s="874"/>
      <c r="G2778" s="874"/>
      <c r="H2778" s="874"/>
      <c r="I2778" s="874"/>
      <c r="J2778" s="874"/>
    </row>
    <row r="2779" spans="2:10">
      <c r="B2779" s="873"/>
      <c r="C2779" s="874"/>
      <c r="D2779" s="874"/>
      <c r="E2779" s="874"/>
      <c r="F2779" s="874"/>
      <c r="G2779" s="874"/>
      <c r="H2779" s="874"/>
      <c r="I2779" s="874"/>
      <c r="J2779" s="874"/>
    </row>
    <row r="2780" spans="2:10">
      <c r="B2780" s="873"/>
      <c r="C2780" s="874"/>
      <c r="D2780" s="874"/>
      <c r="E2780" s="874"/>
      <c r="F2780" s="874"/>
      <c r="G2780" s="874"/>
      <c r="H2780" s="874"/>
      <c r="I2780" s="874"/>
      <c r="J2780" s="874"/>
    </row>
    <row r="2781" spans="2:10">
      <c r="B2781" s="873"/>
      <c r="C2781" s="874"/>
      <c r="D2781" s="874"/>
      <c r="E2781" s="874"/>
      <c r="F2781" s="874"/>
      <c r="G2781" s="874"/>
      <c r="H2781" s="874"/>
      <c r="I2781" s="874"/>
      <c r="J2781" s="874"/>
    </row>
    <row r="2782" spans="2:10">
      <c r="B2782" s="873"/>
      <c r="C2782" s="874"/>
      <c r="D2782" s="874"/>
      <c r="E2782" s="874"/>
      <c r="F2782" s="874"/>
      <c r="G2782" s="874"/>
      <c r="H2782" s="874"/>
      <c r="I2782" s="874"/>
      <c r="J2782" s="874"/>
    </row>
    <row r="2783" spans="2:10">
      <c r="B2783" s="873"/>
      <c r="C2783" s="874"/>
      <c r="D2783" s="874"/>
      <c r="E2783" s="874"/>
      <c r="F2783" s="874"/>
      <c r="G2783" s="874"/>
      <c r="H2783" s="874"/>
      <c r="I2783" s="874"/>
      <c r="J2783" s="874"/>
    </row>
    <row r="2784" spans="2:10">
      <c r="B2784" s="873"/>
      <c r="C2784" s="874"/>
      <c r="D2784" s="874"/>
      <c r="E2784" s="874"/>
      <c r="F2784" s="874"/>
      <c r="G2784" s="874"/>
      <c r="H2784" s="874"/>
      <c r="I2784" s="874"/>
      <c r="J2784" s="874"/>
    </row>
    <row r="2785" spans="2:10">
      <c r="B2785" s="873"/>
      <c r="C2785" s="874"/>
      <c r="D2785" s="874"/>
      <c r="E2785" s="874"/>
      <c r="F2785" s="874"/>
      <c r="G2785" s="874"/>
      <c r="H2785" s="874"/>
      <c r="I2785" s="874"/>
      <c r="J2785" s="874"/>
    </row>
    <row r="2786" spans="2:10">
      <c r="B2786" s="873"/>
      <c r="C2786" s="874"/>
      <c r="D2786" s="874"/>
      <c r="E2786" s="874"/>
      <c r="F2786" s="874"/>
      <c r="G2786" s="874"/>
      <c r="H2786" s="874"/>
      <c r="I2786" s="874"/>
      <c r="J2786" s="874"/>
    </row>
    <row r="2787" spans="2:10">
      <c r="B2787" s="873"/>
      <c r="C2787" s="874"/>
      <c r="D2787" s="874"/>
      <c r="E2787" s="874"/>
      <c r="F2787" s="874"/>
      <c r="G2787" s="874"/>
      <c r="H2787" s="874"/>
      <c r="I2787" s="874"/>
      <c r="J2787" s="874"/>
    </row>
    <row r="2788" spans="2:10">
      <c r="B2788" s="873"/>
      <c r="C2788" s="874"/>
      <c r="D2788" s="874"/>
      <c r="E2788" s="874"/>
      <c r="F2788" s="874"/>
      <c r="G2788" s="874"/>
      <c r="H2788" s="874"/>
      <c r="I2788" s="874"/>
      <c r="J2788" s="874"/>
    </row>
    <row r="2789" spans="2:10">
      <c r="B2789" s="873"/>
      <c r="C2789" s="874"/>
      <c r="D2789" s="874"/>
      <c r="E2789" s="874"/>
      <c r="F2789" s="874"/>
      <c r="G2789" s="874"/>
      <c r="H2789" s="874"/>
      <c r="I2789" s="874"/>
      <c r="J2789" s="874"/>
    </row>
    <row r="2790" spans="2:10">
      <c r="B2790" s="873"/>
      <c r="C2790" s="874"/>
      <c r="D2790" s="874"/>
      <c r="E2790" s="874"/>
      <c r="F2790" s="874"/>
      <c r="G2790" s="874"/>
      <c r="H2790" s="874"/>
      <c r="I2790" s="874"/>
      <c r="J2790" s="874"/>
    </row>
    <row r="2791" spans="2:10">
      <c r="B2791" s="873"/>
      <c r="C2791" s="874"/>
      <c r="D2791" s="874"/>
      <c r="E2791" s="874"/>
      <c r="F2791" s="874"/>
      <c r="G2791" s="874"/>
      <c r="H2791" s="874"/>
      <c r="I2791" s="874"/>
      <c r="J2791" s="874"/>
    </row>
    <row r="2792" spans="2:10">
      <c r="B2792" s="873"/>
      <c r="C2792" s="874"/>
      <c r="D2792" s="874"/>
      <c r="E2792" s="874"/>
      <c r="F2792" s="874"/>
      <c r="G2792" s="874"/>
      <c r="H2792" s="874"/>
      <c r="I2792" s="874"/>
      <c r="J2792" s="874"/>
    </row>
    <row r="2793" spans="2:10">
      <c r="B2793" s="873"/>
      <c r="C2793" s="874"/>
      <c r="D2793" s="874"/>
      <c r="E2793" s="874"/>
      <c r="F2793" s="874"/>
      <c r="G2793" s="874"/>
      <c r="H2793" s="874"/>
      <c r="I2793" s="874"/>
      <c r="J2793" s="874"/>
    </row>
    <row r="2794" spans="2:10">
      <c r="B2794" s="873"/>
      <c r="C2794" s="874"/>
      <c r="D2794" s="874"/>
      <c r="E2794" s="874"/>
      <c r="F2794" s="874"/>
      <c r="G2794" s="874"/>
      <c r="H2794" s="874"/>
      <c r="I2794" s="874"/>
      <c r="J2794" s="874"/>
    </row>
    <row r="2795" spans="2:10">
      <c r="B2795" s="873"/>
      <c r="C2795" s="874"/>
      <c r="D2795" s="874"/>
      <c r="E2795" s="874"/>
      <c r="F2795" s="874"/>
      <c r="G2795" s="874"/>
      <c r="H2795" s="874"/>
      <c r="I2795" s="874"/>
      <c r="J2795" s="874"/>
    </row>
    <row r="2796" spans="2:10">
      <c r="B2796" s="873"/>
      <c r="C2796" s="874"/>
      <c r="D2796" s="874"/>
      <c r="E2796" s="874"/>
      <c r="F2796" s="874"/>
      <c r="G2796" s="874"/>
      <c r="H2796" s="874"/>
      <c r="I2796" s="874"/>
      <c r="J2796" s="874"/>
    </row>
    <row r="2797" spans="2:10">
      <c r="B2797" s="873"/>
      <c r="C2797" s="874"/>
      <c r="D2797" s="874"/>
      <c r="E2797" s="874"/>
      <c r="F2797" s="874"/>
      <c r="G2797" s="874"/>
      <c r="H2797" s="874"/>
      <c r="I2797" s="874"/>
      <c r="J2797" s="874"/>
    </row>
    <row r="2798" spans="2:10">
      <c r="B2798" s="873"/>
      <c r="C2798" s="874"/>
      <c r="D2798" s="874"/>
      <c r="E2798" s="874"/>
      <c r="F2798" s="874"/>
      <c r="G2798" s="874"/>
      <c r="H2798" s="874"/>
      <c r="I2798" s="874"/>
      <c r="J2798" s="874"/>
    </row>
    <row r="2799" spans="2:10">
      <c r="B2799" s="873"/>
      <c r="C2799" s="874"/>
      <c r="D2799" s="874"/>
      <c r="E2799" s="874"/>
      <c r="F2799" s="874"/>
      <c r="G2799" s="874"/>
      <c r="H2799" s="874"/>
      <c r="I2799" s="874"/>
      <c r="J2799" s="874"/>
    </row>
    <row r="2800" spans="2:10">
      <c r="B2800" s="873"/>
      <c r="C2800" s="874"/>
      <c r="D2800" s="874"/>
      <c r="E2800" s="874"/>
      <c r="F2800" s="874"/>
      <c r="G2800" s="874"/>
      <c r="H2800" s="874"/>
      <c r="I2800" s="874"/>
      <c r="J2800" s="874"/>
    </row>
    <row r="2801" spans="2:10">
      <c r="B2801" s="873"/>
      <c r="C2801" s="874"/>
      <c r="D2801" s="874"/>
      <c r="E2801" s="874"/>
      <c r="F2801" s="874"/>
      <c r="G2801" s="874"/>
      <c r="H2801" s="874"/>
      <c r="I2801" s="874"/>
      <c r="J2801" s="874"/>
    </row>
    <row r="2802" spans="2:10">
      <c r="B2802" s="873"/>
      <c r="C2802" s="874"/>
      <c r="D2802" s="874"/>
      <c r="E2802" s="874"/>
      <c r="F2802" s="874"/>
      <c r="G2802" s="874"/>
      <c r="H2802" s="874"/>
      <c r="I2802" s="874"/>
      <c r="J2802" s="874"/>
    </row>
    <row r="2803" spans="2:10">
      <c r="B2803" s="873"/>
      <c r="C2803" s="874"/>
      <c r="D2803" s="874"/>
      <c r="E2803" s="874"/>
      <c r="F2803" s="874"/>
      <c r="G2803" s="874"/>
      <c r="H2803" s="874"/>
      <c r="I2803" s="874"/>
      <c r="J2803" s="874"/>
    </row>
    <row r="2804" spans="2:10">
      <c r="B2804" s="873"/>
      <c r="C2804" s="874"/>
      <c r="D2804" s="874"/>
      <c r="E2804" s="874"/>
      <c r="F2804" s="874"/>
      <c r="G2804" s="874"/>
      <c r="H2804" s="874"/>
      <c r="I2804" s="874"/>
      <c r="J2804" s="874"/>
    </row>
    <row r="2805" spans="2:10">
      <c r="B2805" s="873"/>
      <c r="C2805" s="874"/>
      <c r="D2805" s="874"/>
      <c r="E2805" s="874"/>
      <c r="F2805" s="874"/>
      <c r="G2805" s="874"/>
      <c r="H2805" s="874"/>
      <c r="I2805" s="874"/>
      <c r="J2805" s="874"/>
    </row>
    <row r="2806" spans="2:10">
      <c r="B2806" s="873"/>
      <c r="C2806" s="874"/>
      <c r="D2806" s="874"/>
      <c r="E2806" s="874"/>
      <c r="F2806" s="874"/>
      <c r="G2806" s="874"/>
      <c r="H2806" s="874"/>
      <c r="I2806" s="874"/>
      <c r="J2806" s="874"/>
    </row>
    <row r="2807" spans="2:10">
      <c r="B2807" s="873"/>
      <c r="C2807" s="874"/>
      <c r="D2807" s="874"/>
      <c r="E2807" s="874"/>
      <c r="F2807" s="874"/>
      <c r="G2807" s="874"/>
      <c r="H2807" s="874"/>
      <c r="I2807" s="874"/>
      <c r="J2807" s="874"/>
    </row>
    <row r="2808" spans="2:10">
      <c r="B2808" s="873"/>
      <c r="C2808" s="874"/>
      <c r="D2808" s="874"/>
      <c r="E2808" s="874"/>
      <c r="F2808" s="874"/>
      <c r="G2808" s="874"/>
      <c r="H2808" s="874"/>
      <c r="I2808" s="874"/>
      <c r="J2808" s="874"/>
    </row>
    <row r="2809" spans="2:10">
      <c r="B2809" s="873"/>
      <c r="C2809" s="874"/>
      <c r="D2809" s="874"/>
      <c r="E2809" s="874"/>
      <c r="F2809" s="874"/>
      <c r="G2809" s="874"/>
      <c r="H2809" s="874"/>
      <c r="I2809" s="874"/>
      <c r="J2809" s="874"/>
    </row>
    <row r="2810" spans="2:10">
      <c r="B2810" s="873"/>
      <c r="C2810" s="874"/>
      <c r="D2810" s="874"/>
      <c r="E2810" s="874"/>
      <c r="F2810" s="874"/>
      <c r="G2810" s="874"/>
      <c r="H2810" s="874"/>
      <c r="I2810" s="874"/>
      <c r="J2810" s="874"/>
    </row>
    <row r="2811" spans="2:10">
      <c r="B2811" s="873"/>
      <c r="C2811" s="874"/>
      <c r="D2811" s="874"/>
      <c r="E2811" s="874"/>
      <c r="F2811" s="874"/>
      <c r="G2811" s="874"/>
      <c r="H2811" s="874"/>
      <c r="I2811" s="874"/>
      <c r="J2811" s="874"/>
    </row>
    <row r="2812" spans="2:10">
      <c r="B2812" s="873"/>
      <c r="C2812" s="874"/>
      <c r="D2812" s="874"/>
      <c r="E2812" s="874"/>
      <c r="F2812" s="874"/>
      <c r="G2812" s="874"/>
      <c r="H2812" s="874"/>
      <c r="I2812" s="874"/>
      <c r="J2812" s="874"/>
    </row>
    <row r="2813" spans="2:10">
      <c r="B2813" s="873"/>
      <c r="C2813" s="874"/>
      <c r="D2813" s="874"/>
      <c r="E2813" s="874"/>
      <c r="F2813" s="874"/>
      <c r="G2813" s="874"/>
      <c r="H2813" s="874"/>
      <c r="I2813" s="874"/>
      <c r="J2813" s="874"/>
    </row>
    <row r="2814" spans="2:10">
      <c r="B2814" s="873"/>
      <c r="C2814" s="874"/>
      <c r="D2814" s="874"/>
      <c r="E2814" s="874"/>
      <c r="F2814" s="874"/>
      <c r="G2814" s="874"/>
      <c r="H2814" s="874"/>
      <c r="I2814" s="874"/>
      <c r="J2814" s="874"/>
    </row>
    <row r="2815" spans="2:10">
      <c r="B2815" s="873"/>
      <c r="C2815" s="874"/>
      <c r="D2815" s="874"/>
      <c r="E2815" s="874"/>
      <c r="F2815" s="874"/>
      <c r="G2815" s="874"/>
      <c r="H2815" s="874"/>
      <c r="I2815" s="874"/>
      <c r="J2815" s="874"/>
    </row>
    <row r="2816" spans="2:10">
      <c r="B2816" s="873"/>
      <c r="C2816" s="874"/>
      <c r="D2816" s="874"/>
      <c r="E2816" s="874"/>
      <c r="F2816" s="874"/>
      <c r="G2816" s="874"/>
      <c r="H2816" s="874"/>
      <c r="I2816" s="874"/>
      <c r="J2816" s="874"/>
    </row>
    <row r="2817" spans="2:10">
      <c r="B2817" s="873"/>
      <c r="C2817" s="874"/>
      <c r="D2817" s="874"/>
      <c r="E2817" s="874"/>
      <c r="F2817" s="874"/>
      <c r="G2817" s="874"/>
      <c r="H2817" s="874"/>
      <c r="I2817" s="874"/>
      <c r="J2817" s="874"/>
    </row>
    <row r="2818" spans="2:10">
      <c r="B2818" s="873"/>
      <c r="C2818" s="874"/>
      <c r="D2818" s="874"/>
      <c r="E2818" s="874"/>
      <c r="F2818" s="874"/>
      <c r="G2818" s="874"/>
      <c r="H2818" s="874"/>
      <c r="I2818" s="874"/>
      <c r="J2818" s="874"/>
    </row>
    <row r="2819" spans="2:10">
      <c r="B2819" s="873"/>
      <c r="C2819" s="874"/>
      <c r="D2819" s="874"/>
      <c r="E2819" s="874"/>
      <c r="F2819" s="874"/>
      <c r="G2819" s="874"/>
      <c r="H2819" s="874"/>
      <c r="I2819" s="874"/>
      <c r="J2819" s="874"/>
    </row>
    <row r="2820" spans="2:10">
      <c r="B2820" s="873"/>
      <c r="C2820" s="874"/>
      <c r="D2820" s="874"/>
      <c r="E2820" s="874"/>
      <c r="F2820" s="874"/>
      <c r="G2820" s="874"/>
      <c r="H2820" s="874"/>
      <c r="I2820" s="874"/>
      <c r="J2820" s="874"/>
    </row>
    <row r="2821" spans="2:10">
      <c r="B2821" s="873"/>
      <c r="C2821" s="874"/>
      <c r="D2821" s="874"/>
      <c r="E2821" s="874"/>
      <c r="F2821" s="874"/>
      <c r="G2821" s="874"/>
      <c r="H2821" s="874"/>
      <c r="I2821" s="874"/>
      <c r="J2821" s="874"/>
    </row>
    <row r="2822" spans="2:10">
      <c r="B2822" s="873"/>
      <c r="C2822" s="874"/>
      <c r="D2822" s="874"/>
      <c r="E2822" s="874"/>
      <c r="F2822" s="874"/>
      <c r="G2822" s="874"/>
      <c r="H2822" s="874"/>
      <c r="I2822" s="874"/>
      <c r="J2822" s="874"/>
    </row>
    <row r="2823" spans="2:10">
      <c r="B2823" s="873"/>
      <c r="C2823" s="874"/>
      <c r="D2823" s="874"/>
      <c r="E2823" s="874"/>
      <c r="F2823" s="874"/>
      <c r="G2823" s="874"/>
      <c r="H2823" s="874"/>
      <c r="I2823" s="874"/>
      <c r="J2823" s="874"/>
    </row>
    <row r="2824" spans="2:10">
      <c r="B2824" s="873"/>
      <c r="C2824" s="874"/>
      <c r="D2824" s="874"/>
      <c r="E2824" s="874"/>
      <c r="F2824" s="874"/>
      <c r="G2824" s="874"/>
      <c r="H2824" s="874"/>
      <c r="I2824" s="874"/>
      <c r="J2824" s="874"/>
    </row>
    <row r="2825" spans="2:10">
      <c r="B2825" s="873"/>
      <c r="C2825" s="874"/>
      <c r="D2825" s="874"/>
      <c r="E2825" s="874"/>
      <c r="F2825" s="874"/>
      <c r="G2825" s="874"/>
      <c r="H2825" s="874"/>
      <c r="I2825" s="874"/>
      <c r="J2825" s="874"/>
    </row>
    <row r="2826" spans="2:10">
      <c r="B2826" s="873"/>
      <c r="C2826" s="874"/>
      <c r="D2826" s="874"/>
      <c r="E2826" s="874"/>
      <c r="F2826" s="874"/>
      <c r="G2826" s="874"/>
      <c r="H2826" s="874"/>
      <c r="I2826" s="874"/>
      <c r="J2826" s="874"/>
    </row>
    <row r="2827" spans="2:10">
      <c r="B2827" s="873"/>
      <c r="C2827" s="874"/>
      <c r="D2827" s="874"/>
      <c r="E2827" s="874"/>
      <c r="F2827" s="874"/>
      <c r="G2827" s="874"/>
      <c r="H2827" s="874"/>
      <c r="I2827" s="874"/>
      <c r="J2827" s="874"/>
    </row>
    <row r="2828" spans="2:10">
      <c r="B2828" s="873"/>
      <c r="C2828" s="874"/>
      <c r="D2828" s="874"/>
      <c r="E2828" s="874"/>
      <c r="F2828" s="874"/>
      <c r="G2828" s="874"/>
      <c r="H2828" s="874"/>
      <c r="I2828" s="874"/>
      <c r="J2828" s="874"/>
    </row>
    <row r="2829" spans="2:10">
      <c r="B2829" s="873"/>
      <c r="C2829" s="874"/>
      <c r="D2829" s="874"/>
      <c r="E2829" s="874"/>
      <c r="F2829" s="874"/>
      <c r="G2829" s="874"/>
      <c r="H2829" s="874"/>
      <c r="I2829" s="874"/>
      <c r="J2829" s="874"/>
    </row>
    <row r="2830" spans="2:10">
      <c r="B2830" s="873"/>
      <c r="C2830" s="874"/>
      <c r="D2830" s="874"/>
      <c r="E2830" s="874"/>
      <c r="F2830" s="874"/>
      <c r="G2830" s="874"/>
      <c r="H2830" s="874"/>
      <c r="I2830" s="874"/>
      <c r="J2830" s="874"/>
    </row>
    <row r="2831" spans="2:10">
      <c r="B2831" s="873"/>
      <c r="C2831" s="874"/>
      <c r="D2831" s="874"/>
      <c r="E2831" s="874"/>
      <c r="F2831" s="874"/>
      <c r="G2831" s="874"/>
      <c r="H2831" s="874"/>
      <c r="I2831" s="874"/>
      <c r="J2831" s="874"/>
    </row>
    <row r="2832" spans="2:10">
      <c r="B2832" s="873"/>
      <c r="C2832" s="874"/>
      <c r="D2832" s="874"/>
      <c r="E2832" s="874"/>
      <c r="F2832" s="874"/>
      <c r="G2832" s="874"/>
      <c r="H2832" s="874"/>
      <c r="I2832" s="874"/>
      <c r="J2832" s="874"/>
    </row>
    <row r="2833" spans="2:10">
      <c r="B2833" s="873"/>
      <c r="C2833" s="874"/>
      <c r="D2833" s="874"/>
      <c r="E2833" s="874"/>
      <c r="F2833" s="874"/>
      <c r="G2833" s="874"/>
      <c r="H2833" s="874"/>
      <c r="I2833" s="874"/>
      <c r="J2833" s="874"/>
    </row>
    <row r="2834" spans="2:10">
      <c r="B2834" s="873"/>
      <c r="C2834" s="874"/>
      <c r="D2834" s="874"/>
      <c r="E2834" s="874"/>
      <c r="F2834" s="874"/>
      <c r="G2834" s="874"/>
      <c r="H2834" s="874"/>
      <c r="I2834" s="874"/>
      <c r="J2834" s="874"/>
    </row>
    <row r="2835" spans="2:10">
      <c r="B2835" s="873"/>
      <c r="C2835" s="874"/>
      <c r="D2835" s="874"/>
      <c r="E2835" s="874"/>
      <c r="F2835" s="874"/>
      <c r="G2835" s="874"/>
      <c r="H2835" s="874"/>
      <c r="I2835" s="874"/>
      <c r="J2835" s="874"/>
    </row>
    <row r="2836" spans="2:10">
      <c r="B2836" s="873"/>
      <c r="C2836" s="874"/>
      <c r="D2836" s="874"/>
      <c r="E2836" s="874"/>
      <c r="F2836" s="874"/>
      <c r="G2836" s="874"/>
      <c r="H2836" s="874"/>
      <c r="I2836" s="874"/>
      <c r="J2836" s="874"/>
    </row>
    <row r="2837" spans="2:10">
      <c r="B2837" s="873"/>
      <c r="C2837" s="874"/>
      <c r="D2837" s="874"/>
      <c r="E2837" s="874"/>
      <c r="F2837" s="874"/>
      <c r="G2837" s="874"/>
      <c r="H2837" s="874"/>
      <c r="I2837" s="874"/>
      <c r="J2837" s="874"/>
    </row>
    <row r="2838" spans="2:10">
      <c r="B2838" s="873"/>
      <c r="C2838" s="874"/>
      <c r="D2838" s="874"/>
      <c r="E2838" s="874"/>
      <c r="F2838" s="874"/>
      <c r="G2838" s="874"/>
      <c r="H2838" s="874"/>
      <c r="I2838" s="874"/>
      <c r="J2838" s="874"/>
    </row>
    <row r="2839" spans="2:10">
      <c r="B2839" s="873"/>
      <c r="C2839" s="874"/>
      <c r="D2839" s="874"/>
      <c r="E2839" s="874"/>
      <c r="F2839" s="874"/>
      <c r="G2839" s="874"/>
      <c r="H2839" s="874"/>
      <c r="I2839" s="874"/>
      <c r="J2839" s="874"/>
    </row>
    <row r="2840" spans="2:10">
      <c r="B2840" s="873"/>
      <c r="C2840" s="874"/>
      <c r="D2840" s="874"/>
      <c r="E2840" s="874"/>
      <c r="F2840" s="874"/>
      <c r="G2840" s="874"/>
      <c r="H2840" s="874"/>
      <c r="I2840" s="874"/>
      <c r="J2840" s="874"/>
    </row>
    <row r="2841" spans="2:10">
      <c r="B2841" s="873"/>
      <c r="C2841" s="874"/>
      <c r="D2841" s="874"/>
      <c r="E2841" s="874"/>
      <c r="F2841" s="874"/>
      <c r="G2841" s="874"/>
      <c r="H2841" s="874"/>
      <c r="I2841" s="874"/>
      <c r="J2841" s="874"/>
    </row>
    <row r="2842" spans="2:10">
      <c r="B2842" s="873"/>
      <c r="C2842" s="874"/>
      <c r="D2842" s="874"/>
      <c r="E2842" s="874"/>
      <c r="F2842" s="874"/>
      <c r="G2842" s="874"/>
      <c r="H2842" s="874"/>
      <c r="I2842" s="874"/>
      <c r="J2842" s="874"/>
    </row>
    <row r="2843" spans="2:10">
      <c r="B2843" s="873"/>
      <c r="C2843" s="874"/>
      <c r="D2843" s="874"/>
      <c r="E2843" s="874"/>
      <c r="F2843" s="874"/>
      <c r="G2843" s="874"/>
      <c r="H2843" s="874"/>
      <c r="I2843" s="874"/>
      <c r="J2843" s="874"/>
    </row>
    <row r="2844" spans="2:10">
      <c r="B2844" s="873"/>
      <c r="C2844" s="874"/>
      <c r="D2844" s="874"/>
      <c r="E2844" s="874"/>
      <c r="F2844" s="874"/>
      <c r="G2844" s="874"/>
      <c r="H2844" s="874"/>
      <c r="I2844" s="874"/>
      <c r="J2844" s="874"/>
    </row>
    <row r="2845" spans="2:10">
      <c r="B2845" s="873"/>
      <c r="C2845" s="874"/>
      <c r="D2845" s="874"/>
      <c r="E2845" s="874"/>
      <c r="F2845" s="874"/>
      <c r="G2845" s="874"/>
      <c r="H2845" s="874"/>
      <c r="I2845" s="874"/>
      <c r="J2845" s="874"/>
    </row>
    <row r="2846" spans="2:10">
      <c r="B2846" s="873"/>
      <c r="C2846" s="874"/>
      <c r="D2846" s="874"/>
      <c r="E2846" s="874"/>
      <c r="F2846" s="874"/>
      <c r="G2846" s="874"/>
      <c r="H2846" s="874"/>
      <c r="I2846" s="874"/>
      <c r="J2846" s="874"/>
    </row>
    <row r="2847" spans="2:10">
      <c r="B2847" s="873"/>
      <c r="C2847" s="874"/>
      <c r="D2847" s="874"/>
      <c r="E2847" s="874"/>
      <c r="F2847" s="874"/>
      <c r="G2847" s="874"/>
      <c r="H2847" s="874"/>
      <c r="I2847" s="874"/>
      <c r="J2847" s="874"/>
    </row>
    <row r="2848" spans="2:10">
      <c r="B2848" s="873"/>
      <c r="C2848" s="874"/>
      <c r="D2848" s="874"/>
      <c r="E2848" s="874"/>
      <c r="F2848" s="874"/>
      <c r="G2848" s="874"/>
      <c r="H2848" s="874"/>
      <c r="I2848" s="874"/>
      <c r="J2848" s="874"/>
    </row>
    <row r="2849" spans="2:10">
      <c r="B2849" s="873"/>
      <c r="C2849" s="874"/>
      <c r="D2849" s="874"/>
      <c r="E2849" s="874"/>
      <c r="F2849" s="874"/>
      <c r="G2849" s="874"/>
      <c r="H2849" s="874"/>
      <c r="I2849" s="874"/>
      <c r="J2849" s="874"/>
    </row>
    <row r="2850" spans="2:10">
      <c r="B2850" s="873"/>
      <c r="C2850" s="874"/>
      <c r="D2850" s="874"/>
      <c r="E2850" s="874"/>
      <c r="F2850" s="874"/>
      <c r="G2850" s="874"/>
      <c r="H2850" s="874"/>
      <c r="I2850" s="874"/>
      <c r="J2850" s="874"/>
    </row>
    <row r="2851" spans="2:10">
      <c r="B2851" s="873"/>
      <c r="C2851" s="874"/>
      <c r="D2851" s="874"/>
      <c r="E2851" s="874"/>
      <c r="F2851" s="874"/>
      <c r="G2851" s="874"/>
      <c r="H2851" s="874"/>
      <c r="I2851" s="874"/>
      <c r="J2851" s="874"/>
    </row>
    <row r="2852" spans="2:10">
      <c r="B2852" s="873"/>
      <c r="C2852" s="874"/>
      <c r="D2852" s="874"/>
      <c r="E2852" s="874"/>
      <c r="F2852" s="874"/>
      <c r="G2852" s="874"/>
      <c r="H2852" s="874"/>
      <c r="I2852" s="874"/>
      <c r="J2852" s="874"/>
    </row>
    <row r="2853" spans="2:10">
      <c r="B2853" s="873"/>
      <c r="C2853" s="874"/>
      <c r="D2853" s="874"/>
      <c r="E2853" s="874"/>
      <c r="F2853" s="874"/>
      <c r="G2853" s="874"/>
      <c r="H2853" s="874"/>
      <c r="I2853" s="874"/>
      <c r="J2853" s="874"/>
    </row>
    <row r="2854" spans="2:10">
      <c r="B2854" s="873"/>
      <c r="C2854" s="874"/>
      <c r="D2854" s="874"/>
      <c r="E2854" s="874"/>
      <c r="F2854" s="874"/>
      <c r="G2854" s="874"/>
      <c r="H2854" s="874"/>
      <c r="I2854" s="874"/>
      <c r="J2854" s="874"/>
    </row>
    <row r="2855" spans="2:10">
      <c r="B2855" s="873"/>
      <c r="C2855" s="874"/>
      <c r="D2855" s="874"/>
      <c r="E2855" s="874"/>
      <c r="F2855" s="874"/>
      <c r="G2855" s="874"/>
      <c r="H2855" s="874"/>
      <c r="I2855" s="874"/>
      <c r="J2855" s="874"/>
    </row>
    <row r="2856" spans="2:10">
      <c r="B2856" s="873"/>
      <c r="C2856" s="874"/>
      <c r="D2856" s="874"/>
      <c r="E2856" s="874"/>
      <c r="F2856" s="874"/>
      <c r="G2856" s="874"/>
      <c r="H2856" s="874"/>
      <c r="I2856" s="874"/>
      <c r="J2856" s="874"/>
    </row>
    <row r="2857" spans="2:10">
      <c r="B2857" s="873"/>
      <c r="C2857" s="874"/>
      <c r="D2857" s="874"/>
      <c r="E2857" s="874"/>
      <c r="F2857" s="874"/>
      <c r="G2857" s="874"/>
      <c r="H2857" s="874"/>
      <c r="I2857" s="874"/>
      <c r="J2857" s="874"/>
    </row>
    <row r="2858" spans="2:10">
      <c r="B2858" s="873"/>
      <c r="C2858" s="874"/>
      <c r="D2858" s="874"/>
      <c r="E2858" s="874"/>
      <c r="F2858" s="874"/>
      <c r="G2858" s="874"/>
      <c r="H2858" s="874"/>
      <c r="I2858" s="874"/>
      <c r="J2858" s="874"/>
    </row>
    <row r="2859" spans="2:10">
      <c r="B2859" s="873"/>
      <c r="C2859" s="874"/>
      <c r="D2859" s="874"/>
      <c r="E2859" s="874"/>
      <c r="F2859" s="874"/>
      <c r="G2859" s="874"/>
      <c r="H2859" s="874"/>
      <c r="I2859" s="874"/>
      <c r="J2859" s="874"/>
    </row>
    <row r="2860" spans="2:10">
      <c r="B2860" s="873"/>
      <c r="C2860" s="874"/>
      <c r="D2860" s="874"/>
      <c r="E2860" s="874"/>
      <c r="F2860" s="874"/>
      <c r="G2860" s="874"/>
      <c r="H2860" s="874"/>
      <c r="I2860" s="874"/>
      <c r="J2860" s="874"/>
    </row>
    <row r="2861" spans="2:10">
      <c r="B2861" s="873"/>
      <c r="C2861" s="874"/>
      <c r="D2861" s="874"/>
      <c r="E2861" s="874"/>
      <c r="F2861" s="874"/>
      <c r="G2861" s="874"/>
      <c r="H2861" s="874"/>
      <c r="I2861" s="874"/>
      <c r="J2861" s="874"/>
    </row>
    <row r="2862" spans="2:10">
      <c r="B2862" s="873"/>
      <c r="C2862" s="874"/>
      <c r="D2862" s="874"/>
      <c r="E2862" s="874"/>
      <c r="F2862" s="874"/>
      <c r="G2862" s="874"/>
      <c r="H2862" s="874"/>
      <c r="I2862" s="874"/>
      <c r="J2862" s="874"/>
    </row>
    <row r="2863" spans="2:10">
      <c r="B2863" s="873"/>
      <c r="C2863" s="874"/>
      <c r="D2863" s="874"/>
      <c r="E2863" s="874"/>
      <c r="F2863" s="874"/>
      <c r="G2863" s="874"/>
      <c r="H2863" s="874"/>
      <c r="I2863" s="874"/>
      <c r="J2863" s="874"/>
    </row>
    <row r="2864" spans="2:10">
      <c r="B2864" s="873"/>
      <c r="C2864" s="874"/>
      <c r="D2864" s="874"/>
      <c r="E2864" s="874"/>
      <c r="F2864" s="874"/>
      <c r="G2864" s="874"/>
      <c r="H2864" s="874"/>
      <c r="I2864" s="874"/>
      <c r="J2864" s="874"/>
    </row>
    <row r="2865" spans="2:10">
      <c r="B2865" s="873"/>
      <c r="C2865" s="874"/>
      <c r="D2865" s="874"/>
      <c r="E2865" s="874"/>
      <c r="F2865" s="874"/>
      <c r="G2865" s="874"/>
      <c r="H2865" s="874"/>
      <c r="I2865" s="874"/>
      <c r="J2865" s="874"/>
    </row>
    <row r="2866" spans="2:10">
      <c r="B2866" s="873"/>
      <c r="C2866" s="874"/>
      <c r="D2866" s="874"/>
      <c r="E2866" s="874"/>
      <c r="F2866" s="874"/>
      <c r="G2866" s="874"/>
      <c r="H2866" s="874"/>
      <c r="I2866" s="874"/>
      <c r="J2866" s="874"/>
    </row>
    <row r="2867" spans="2:10">
      <c r="B2867" s="873"/>
      <c r="C2867" s="874"/>
      <c r="D2867" s="874"/>
      <c r="E2867" s="874"/>
      <c r="F2867" s="874"/>
      <c r="G2867" s="874"/>
      <c r="H2867" s="874"/>
      <c r="I2867" s="874"/>
      <c r="J2867" s="874"/>
    </row>
    <row r="2868" spans="2:10">
      <c r="B2868" s="873"/>
      <c r="C2868" s="874"/>
      <c r="D2868" s="874"/>
      <c r="E2868" s="874"/>
      <c r="F2868" s="874"/>
      <c r="G2868" s="874"/>
      <c r="H2868" s="874"/>
      <c r="I2868" s="874"/>
      <c r="J2868" s="874"/>
    </row>
    <row r="2869" spans="2:10">
      <c r="B2869" s="873"/>
      <c r="C2869" s="874"/>
      <c r="D2869" s="874"/>
      <c r="E2869" s="874"/>
      <c r="F2869" s="874"/>
      <c r="G2869" s="874"/>
      <c r="H2869" s="874"/>
      <c r="I2869" s="874"/>
      <c r="J2869" s="874"/>
    </row>
    <row r="2870" spans="2:10">
      <c r="B2870" s="873"/>
      <c r="C2870" s="874"/>
      <c r="D2870" s="874"/>
      <c r="E2870" s="874"/>
      <c r="F2870" s="874"/>
      <c r="G2870" s="874"/>
      <c r="H2870" s="874"/>
      <c r="I2870" s="874"/>
      <c r="J2870" s="874"/>
    </row>
    <row r="2871" spans="2:10">
      <c r="B2871" s="873"/>
      <c r="C2871" s="874"/>
      <c r="D2871" s="874"/>
      <c r="E2871" s="874"/>
      <c r="F2871" s="874"/>
      <c r="G2871" s="874"/>
      <c r="H2871" s="874"/>
      <c r="I2871" s="874"/>
      <c r="J2871" s="874"/>
    </row>
    <row r="2872" spans="2:10">
      <c r="B2872" s="873"/>
      <c r="C2872" s="874"/>
      <c r="D2872" s="874"/>
      <c r="E2872" s="874"/>
      <c r="F2872" s="874"/>
      <c r="G2872" s="874"/>
      <c r="H2872" s="874"/>
      <c r="I2872" s="874"/>
      <c r="J2872" s="874"/>
    </row>
    <row r="2873" spans="2:10">
      <c r="B2873" s="873"/>
      <c r="C2873" s="874"/>
      <c r="D2873" s="874"/>
      <c r="E2873" s="874"/>
      <c r="F2873" s="874"/>
      <c r="G2873" s="874"/>
      <c r="H2873" s="874"/>
      <c r="I2873" s="874"/>
      <c r="J2873" s="874"/>
    </row>
    <row r="2874" spans="2:10">
      <c r="B2874" s="873"/>
      <c r="C2874" s="874"/>
      <c r="D2874" s="874"/>
      <c r="E2874" s="874"/>
      <c r="F2874" s="874"/>
      <c r="G2874" s="874"/>
      <c r="H2874" s="874"/>
      <c r="I2874" s="874"/>
      <c r="J2874" s="874"/>
    </row>
    <row r="2875" spans="2:10">
      <c r="B2875" s="873"/>
      <c r="C2875" s="874"/>
      <c r="D2875" s="874"/>
      <c r="E2875" s="874"/>
      <c r="F2875" s="874"/>
      <c r="G2875" s="874"/>
      <c r="H2875" s="874"/>
      <c r="I2875" s="874"/>
      <c r="J2875" s="874"/>
    </row>
    <row r="2876" spans="2:10">
      <c r="B2876" s="873"/>
      <c r="C2876" s="874"/>
      <c r="D2876" s="874"/>
      <c r="E2876" s="874"/>
      <c r="F2876" s="874"/>
      <c r="G2876" s="874"/>
      <c r="H2876" s="874"/>
      <c r="I2876" s="874"/>
      <c r="J2876" s="874"/>
    </row>
    <row r="2877" spans="2:10">
      <c r="B2877" s="873"/>
      <c r="C2877" s="874"/>
      <c r="D2877" s="874"/>
      <c r="E2877" s="874"/>
      <c r="F2877" s="874"/>
      <c r="G2877" s="874"/>
      <c r="H2877" s="874"/>
      <c r="I2877" s="874"/>
      <c r="J2877" s="874"/>
    </row>
    <row r="2878" spans="2:10">
      <c r="B2878" s="873"/>
      <c r="C2878" s="874"/>
      <c r="D2878" s="874"/>
      <c r="E2878" s="874"/>
      <c r="F2878" s="874"/>
      <c r="G2878" s="874"/>
      <c r="H2878" s="874"/>
      <c r="I2878" s="874"/>
      <c r="J2878" s="874"/>
    </row>
    <row r="2879" spans="2:10">
      <c r="B2879" s="873"/>
      <c r="C2879" s="874"/>
      <c r="D2879" s="874"/>
      <c r="E2879" s="874"/>
      <c r="F2879" s="874"/>
      <c r="G2879" s="874"/>
      <c r="H2879" s="874"/>
      <c r="I2879" s="874"/>
      <c r="J2879" s="874"/>
    </row>
    <row r="2880" spans="2:10">
      <c r="B2880" s="873"/>
      <c r="C2880" s="874"/>
      <c r="D2880" s="874"/>
      <c r="E2880" s="874"/>
      <c r="F2880" s="874"/>
      <c r="G2880" s="874"/>
      <c r="H2880" s="874"/>
      <c r="I2880" s="874"/>
      <c r="J2880" s="874"/>
    </row>
    <row r="2881" spans="2:10">
      <c r="B2881" s="873"/>
      <c r="C2881" s="874"/>
      <c r="D2881" s="874"/>
      <c r="E2881" s="874"/>
      <c r="F2881" s="874"/>
      <c r="G2881" s="874"/>
      <c r="H2881" s="874"/>
      <c r="I2881" s="874"/>
      <c r="J2881" s="874"/>
    </row>
    <row r="2882" spans="2:10">
      <c r="B2882" s="873"/>
      <c r="C2882" s="874"/>
      <c r="D2882" s="874"/>
      <c r="E2882" s="874"/>
      <c r="F2882" s="874"/>
      <c r="G2882" s="874"/>
      <c r="H2882" s="874"/>
      <c r="I2882" s="874"/>
      <c r="J2882" s="874"/>
    </row>
    <row r="2883" spans="2:10">
      <c r="B2883" s="873"/>
      <c r="C2883" s="874"/>
      <c r="D2883" s="874"/>
      <c r="E2883" s="874"/>
      <c r="F2883" s="874"/>
      <c r="G2883" s="874"/>
      <c r="H2883" s="874"/>
      <c r="I2883" s="874"/>
      <c r="J2883" s="874"/>
    </row>
    <row r="2884" spans="2:10">
      <c r="B2884" s="873"/>
      <c r="C2884" s="874"/>
      <c r="D2884" s="874"/>
      <c r="E2884" s="874"/>
      <c r="F2884" s="874"/>
      <c r="G2884" s="874"/>
      <c r="H2884" s="874"/>
      <c r="I2884" s="874"/>
      <c r="J2884" s="874"/>
    </row>
    <row r="2885" spans="2:10">
      <c r="B2885" s="873"/>
      <c r="C2885" s="874"/>
      <c r="D2885" s="874"/>
      <c r="E2885" s="874"/>
      <c r="F2885" s="874"/>
      <c r="G2885" s="874"/>
      <c r="H2885" s="874"/>
      <c r="I2885" s="874"/>
      <c r="J2885" s="874"/>
    </row>
    <row r="2886" spans="2:10">
      <c r="B2886" s="873"/>
      <c r="C2886" s="874"/>
      <c r="D2886" s="874"/>
      <c r="E2886" s="874"/>
      <c r="F2886" s="874"/>
      <c r="G2886" s="874"/>
      <c r="H2886" s="874"/>
      <c r="I2886" s="874"/>
      <c r="J2886" s="874"/>
    </row>
    <row r="2887" spans="2:10">
      <c r="B2887" s="873"/>
      <c r="C2887" s="874"/>
      <c r="D2887" s="874"/>
      <c r="E2887" s="874"/>
      <c r="F2887" s="874"/>
      <c r="G2887" s="874"/>
      <c r="H2887" s="874"/>
      <c r="I2887" s="874"/>
      <c r="J2887" s="874"/>
    </row>
    <row r="2888" spans="2:10">
      <c r="B2888" s="873"/>
      <c r="C2888" s="874"/>
      <c r="D2888" s="874"/>
      <c r="E2888" s="874"/>
      <c r="F2888" s="874"/>
      <c r="G2888" s="874"/>
      <c r="H2888" s="874"/>
      <c r="I2888" s="874"/>
      <c r="J2888" s="874"/>
    </row>
    <row r="2889" spans="2:10">
      <c r="B2889" s="873"/>
      <c r="C2889" s="874"/>
      <c r="D2889" s="874"/>
      <c r="E2889" s="874"/>
      <c r="F2889" s="874"/>
      <c r="G2889" s="874"/>
      <c r="H2889" s="874"/>
      <c r="I2889" s="874"/>
      <c r="J2889" s="874"/>
    </row>
    <row r="2890" spans="2:10">
      <c r="B2890" s="873"/>
      <c r="C2890" s="874"/>
      <c r="D2890" s="874"/>
      <c r="E2890" s="874"/>
      <c r="F2890" s="874"/>
      <c r="G2890" s="874"/>
      <c r="H2890" s="874"/>
      <c r="I2890" s="874"/>
      <c r="J2890" s="874"/>
    </row>
    <row r="2891" spans="2:10">
      <c r="B2891" s="873"/>
      <c r="C2891" s="874"/>
      <c r="D2891" s="874"/>
      <c r="E2891" s="874"/>
      <c r="F2891" s="874"/>
      <c r="G2891" s="874"/>
      <c r="H2891" s="874"/>
      <c r="I2891" s="874"/>
      <c r="J2891" s="874"/>
    </row>
    <row r="2892" spans="2:10">
      <c r="B2892" s="873"/>
      <c r="C2892" s="874"/>
      <c r="D2892" s="874"/>
      <c r="E2892" s="874"/>
      <c r="F2892" s="874"/>
      <c r="G2892" s="874"/>
      <c r="H2892" s="874"/>
      <c r="I2892" s="874"/>
      <c r="J2892" s="874"/>
    </row>
    <row r="2893" spans="2:10">
      <c r="B2893" s="873"/>
      <c r="C2893" s="874"/>
      <c r="D2893" s="874"/>
      <c r="E2893" s="874"/>
      <c r="F2893" s="874"/>
      <c r="G2893" s="874"/>
      <c r="H2893" s="874"/>
      <c r="I2893" s="874"/>
      <c r="J2893" s="874"/>
    </row>
    <row r="2894" spans="2:10">
      <c r="B2894" s="873"/>
      <c r="C2894" s="874"/>
      <c r="D2894" s="874"/>
      <c r="E2894" s="874"/>
      <c r="F2894" s="874"/>
      <c r="G2894" s="874"/>
      <c r="H2894" s="874"/>
      <c r="I2894" s="874"/>
      <c r="J2894" s="874"/>
    </row>
    <row r="2895" spans="2:10">
      <c r="B2895" s="873"/>
      <c r="C2895" s="874"/>
      <c r="D2895" s="874"/>
      <c r="E2895" s="874"/>
      <c r="F2895" s="874"/>
      <c r="G2895" s="874"/>
      <c r="H2895" s="874"/>
      <c r="I2895" s="874"/>
      <c r="J2895" s="874"/>
    </row>
    <row r="2896" spans="2:10">
      <c r="B2896" s="873"/>
      <c r="C2896" s="874"/>
      <c r="D2896" s="874"/>
      <c r="E2896" s="874"/>
      <c r="F2896" s="874"/>
      <c r="G2896" s="874"/>
      <c r="H2896" s="874"/>
      <c r="I2896" s="874"/>
      <c r="J2896" s="874"/>
    </row>
    <row r="2897" spans="2:10">
      <c r="B2897" s="873"/>
      <c r="C2897" s="874"/>
      <c r="D2897" s="874"/>
      <c r="E2897" s="874"/>
      <c r="F2897" s="874"/>
      <c r="G2897" s="874"/>
      <c r="H2897" s="874"/>
      <c r="I2897" s="874"/>
      <c r="J2897" s="874"/>
    </row>
    <row r="2898" spans="2:10">
      <c r="B2898" s="873"/>
      <c r="C2898" s="874"/>
      <c r="D2898" s="874"/>
      <c r="E2898" s="874"/>
      <c r="F2898" s="874"/>
      <c r="G2898" s="874"/>
      <c r="H2898" s="874"/>
      <c r="I2898" s="874"/>
      <c r="J2898" s="874"/>
    </row>
    <row r="2899" spans="2:10">
      <c r="B2899" s="873"/>
      <c r="C2899" s="874"/>
      <c r="D2899" s="874"/>
      <c r="E2899" s="874"/>
      <c r="F2899" s="874"/>
      <c r="G2899" s="874"/>
      <c r="H2899" s="874"/>
      <c r="I2899" s="874"/>
      <c r="J2899" s="874"/>
    </row>
    <row r="2900" spans="2:10">
      <c r="B2900" s="873"/>
      <c r="C2900" s="874"/>
      <c r="D2900" s="874"/>
      <c r="E2900" s="874"/>
      <c r="F2900" s="874"/>
      <c r="G2900" s="874"/>
      <c r="H2900" s="874"/>
      <c r="I2900" s="874"/>
      <c r="J2900" s="874"/>
    </row>
    <row r="2901" spans="2:10">
      <c r="B2901" s="873"/>
      <c r="C2901" s="874"/>
      <c r="D2901" s="874"/>
      <c r="E2901" s="874"/>
      <c r="F2901" s="874"/>
      <c r="G2901" s="874"/>
      <c r="H2901" s="874"/>
      <c r="I2901" s="874"/>
      <c r="J2901" s="874"/>
    </row>
    <row r="2902" spans="2:10">
      <c r="B2902" s="873"/>
      <c r="C2902" s="874"/>
      <c r="D2902" s="874"/>
      <c r="E2902" s="874"/>
      <c r="F2902" s="874"/>
      <c r="G2902" s="874"/>
      <c r="H2902" s="874"/>
      <c r="I2902" s="874"/>
      <c r="J2902" s="874"/>
    </row>
    <row r="2903" spans="2:10">
      <c r="B2903" s="873"/>
      <c r="C2903" s="874"/>
      <c r="D2903" s="874"/>
      <c r="E2903" s="874"/>
      <c r="F2903" s="874"/>
      <c r="G2903" s="874"/>
      <c r="H2903" s="874"/>
      <c r="I2903" s="874"/>
      <c r="J2903" s="874"/>
    </row>
    <row r="2904" spans="2:10">
      <c r="B2904" s="873"/>
      <c r="C2904" s="874"/>
      <c r="D2904" s="874"/>
      <c r="E2904" s="874"/>
      <c r="F2904" s="874"/>
      <c r="G2904" s="874"/>
      <c r="H2904" s="874"/>
      <c r="I2904" s="874"/>
      <c r="J2904" s="874"/>
    </row>
    <row r="2905" spans="2:10">
      <c r="B2905" s="873"/>
      <c r="C2905" s="874"/>
      <c r="D2905" s="874"/>
      <c r="E2905" s="874"/>
      <c r="F2905" s="874"/>
      <c r="G2905" s="874"/>
      <c r="H2905" s="874"/>
      <c r="I2905" s="874"/>
      <c r="J2905" s="874"/>
    </row>
    <row r="2906" spans="2:10">
      <c r="B2906" s="873"/>
      <c r="C2906" s="874"/>
      <c r="D2906" s="874"/>
      <c r="E2906" s="874"/>
      <c r="F2906" s="874"/>
      <c r="G2906" s="874"/>
      <c r="H2906" s="874"/>
      <c r="I2906" s="874"/>
      <c r="J2906" s="874"/>
    </row>
    <row r="2907" spans="2:10">
      <c r="B2907" s="873"/>
      <c r="C2907" s="874"/>
      <c r="D2907" s="874"/>
      <c r="E2907" s="874"/>
      <c r="F2907" s="874"/>
      <c r="G2907" s="874"/>
      <c r="H2907" s="874"/>
      <c r="I2907" s="874"/>
      <c r="J2907" s="874"/>
    </row>
    <row r="2908" spans="2:10">
      <c r="B2908" s="873"/>
      <c r="C2908" s="874"/>
      <c r="D2908" s="874"/>
      <c r="E2908" s="874"/>
      <c r="F2908" s="874"/>
      <c r="G2908" s="874"/>
      <c r="H2908" s="874"/>
      <c r="I2908" s="874"/>
      <c r="J2908" s="874"/>
    </row>
    <row r="2909" spans="2:10">
      <c r="B2909" s="873"/>
      <c r="C2909" s="874"/>
      <c r="D2909" s="874"/>
      <c r="E2909" s="874"/>
      <c r="F2909" s="874"/>
      <c r="G2909" s="874"/>
      <c r="H2909" s="874"/>
      <c r="I2909" s="874"/>
      <c r="J2909" s="874"/>
    </row>
    <row r="2910" spans="2:10">
      <c r="B2910" s="873"/>
      <c r="C2910" s="874"/>
      <c r="D2910" s="874"/>
      <c r="E2910" s="874"/>
      <c r="F2910" s="874"/>
      <c r="G2910" s="874"/>
      <c r="H2910" s="874"/>
      <c r="I2910" s="874"/>
      <c r="J2910" s="874"/>
    </row>
    <row r="2911" spans="2:10">
      <c r="B2911" s="873"/>
      <c r="C2911" s="874"/>
      <c r="D2911" s="874"/>
      <c r="E2911" s="874"/>
      <c r="F2911" s="874"/>
      <c r="G2911" s="874"/>
      <c r="H2911" s="874"/>
      <c r="I2911" s="874"/>
      <c r="J2911" s="874"/>
    </row>
    <row r="2912" spans="2:10">
      <c r="B2912" s="873"/>
      <c r="C2912" s="874"/>
      <c r="D2912" s="874"/>
      <c r="E2912" s="874"/>
      <c r="F2912" s="874"/>
      <c r="G2912" s="874"/>
      <c r="H2912" s="874"/>
      <c r="I2912" s="874"/>
      <c r="J2912" s="874"/>
    </row>
    <row r="2913" spans="2:10">
      <c r="B2913" s="873"/>
      <c r="C2913" s="874"/>
      <c r="D2913" s="874"/>
      <c r="E2913" s="874"/>
      <c r="F2913" s="874"/>
      <c r="G2913" s="874"/>
      <c r="H2913" s="874"/>
      <c r="I2913" s="874"/>
      <c r="J2913" s="874"/>
    </row>
    <row r="2914" spans="2:10">
      <c r="B2914" s="873"/>
      <c r="C2914" s="874"/>
      <c r="D2914" s="874"/>
      <c r="E2914" s="874"/>
      <c r="F2914" s="874"/>
      <c r="G2914" s="874"/>
      <c r="H2914" s="874"/>
      <c r="I2914" s="874"/>
      <c r="J2914" s="874"/>
    </row>
    <row r="2915" spans="2:10">
      <c r="B2915" s="873"/>
      <c r="C2915" s="874"/>
      <c r="D2915" s="874"/>
      <c r="E2915" s="874"/>
      <c r="F2915" s="874"/>
      <c r="G2915" s="874"/>
      <c r="H2915" s="874"/>
      <c r="I2915" s="874"/>
      <c r="J2915" s="874"/>
    </row>
    <row r="2916" spans="2:10">
      <c r="B2916" s="873"/>
      <c r="C2916" s="874"/>
      <c r="D2916" s="874"/>
      <c r="E2916" s="874"/>
      <c r="F2916" s="874"/>
      <c r="G2916" s="874"/>
      <c r="H2916" s="874"/>
      <c r="I2916" s="874"/>
      <c r="J2916" s="874"/>
    </row>
    <row r="2917" spans="2:10">
      <c r="B2917" s="873"/>
      <c r="C2917" s="874"/>
      <c r="D2917" s="874"/>
      <c r="E2917" s="874"/>
      <c r="F2917" s="874"/>
      <c r="G2917" s="874"/>
      <c r="H2917" s="874"/>
      <c r="I2917" s="874"/>
      <c r="J2917" s="874"/>
    </row>
    <row r="2918" spans="2:10">
      <c r="B2918" s="873"/>
      <c r="C2918" s="874"/>
      <c r="D2918" s="874"/>
      <c r="E2918" s="874"/>
      <c r="F2918" s="874"/>
      <c r="G2918" s="874"/>
      <c r="H2918" s="874"/>
      <c r="I2918" s="874"/>
      <c r="J2918" s="874"/>
    </row>
    <row r="2919" spans="2:10">
      <c r="B2919" s="873"/>
      <c r="C2919" s="874"/>
      <c r="D2919" s="874"/>
      <c r="E2919" s="874"/>
      <c r="F2919" s="874"/>
      <c r="G2919" s="874"/>
      <c r="H2919" s="874"/>
      <c r="I2919" s="874"/>
      <c r="J2919" s="874"/>
    </row>
    <row r="2920" spans="2:10">
      <c r="B2920" s="873"/>
      <c r="C2920" s="874"/>
      <c r="D2920" s="874"/>
      <c r="E2920" s="874"/>
      <c r="F2920" s="874"/>
      <c r="G2920" s="874"/>
      <c r="H2920" s="874"/>
      <c r="I2920" s="874"/>
      <c r="J2920" s="874"/>
    </row>
    <row r="2921" spans="2:10">
      <c r="B2921" s="873"/>
      <c r="C2921" s="874"/>
      <c r="D2921" s="874"/>
      <c r="E2921" s="874"/>
      <c r="F2921" s="874"/>
      <c r="G2921" s="874"/>
      <c r="H2921" s="874"/>
      <c r="I2921" s="874"/>
      <c r="J2921" s="874"/>
    </row>
    <row r="2922" spans="2:10">
      <c r="B2922" s="873"/>
      <c r="C2922" s="874"/>
      <c r="D2922" s="874"/>
      <c r="E2922" s="874"/>
      <c r="F2922" s="874"/>
      <c r="G2922" s="874"/>
      <c r="H2922" s="874"/>
      <c r="I2922" s="874"/>
      <c r="J2922" s="874"/>
    </row>
    <row r="2923" spans="2:10">
      <c r="B2923" s="873"/>
      <c r="C2923" s="874"/>
      <c r="D2923" s="874"/>
      <c r="E2923" s="874"/>
      <c r="F2923" s="874"/>
      <c r="G2923" s="874"/>
      <c r="H2923" s="874"/>
      <c r="I2923" s="874"/>
      <c r="J2923" s="874"/>
    </row>
    <row r="2924" spans="2:10">
      <c r="B2924" s="873"/>
      <c r="C2924" s="874"/>
      <c r="D2924" s="874"/>
      <c r="E2924" s="874"/>
      <c r="F2924" s="874"/>
      <c r="G2924" s="874"/>
      <c r="H2924" s="874"/>
      <c r="I2924" s="874"/>
      <c r="J2924" s="874"/>
    </row>
    <row r="2925" spans="2:10">
      <c r="B2925" s="873"/>
      <c r="C2925" s="874"/>
      <c r="D2925" s="874"/>
      <c r="E2925" s="874"/>
      <c r="F2925" s="874"/>
      <c r="G2925" s="874"/>
      <c r="H2925" s="874"/>
      <c r="I2925" s="874"/>
      <c r="J2925" s="874"/>
    </row>
    <row r="2926" spans="2:10">
      <c r="B2926" s="873"/>
      <c r="C2926" s="874"/>
      <c r="D2926" s="874"/>
      <c r="E2926" s="874"/>
      <c r="F2926" s="874"/>
      <c r="G2926" s="874"/>
      <c r="H2926" s="874"/>
      <c r="I2926" s="874"/>
      <c r="J2926" s="874"/>
    </row>
    <row r="2927" spans="2:10">
      <c r="B2927" s="873"/>
      <c r="C2927" s="874"/>
      <c r="D2927" s="874"/>
      <c r="E2927" s="874"/>
      <c r="F2927" s="874"/>
      <c r="G2927" s="874"/>
      <c r="H2927" s="874"/>
      <c r="I2927" s="874"/>
      <c r="J2927" s="874"/>
    </row>
    <row r="2928" spans="2:10">
      <c r="B2928" s="873"/>
      <c r="C2928" s="874"/>
      <c r="D2928" s="874"/>
      <c r="E2928" s="874"/>
      <c r="F2928" s="874"/>
      <c r="G2928" s="874"/>
      <c r="H2928" s="874"/>
      <c r="I2928" s="874"/>
      <c r="J2928" s="874"/>
    </row>
    <row r="2929" spans="2:10">
      <c r="B2929" s="873"/>
      <c r="C2929" s="874"/>
      <c r="D2929" s="874"/>
      <c r="E2929" s="874"/>
      <c r="F2929" s="874"/>
      <c r="G2929" s="874"/>
      <c r="H2929" s="874"/>
      <c r="I2929" s="874"/>
      <c r="J2929" s="874"/>
    </row>
    <row r="2930" spans="2:10">
      <c r="B2930" s="873"/>
      <c r="C2930" s="874"/>
      <c r="D2930" s="874"/>
      <c r="E2930" s="874"/>
      <c r="F2930" s="874"/>
      <c r="G2930" s="874"/>
      <c r="H2930" s="874"/>
      <c r="I2930" s="874"/>
      <c r="J2930" s="874"/>
    </row>
    <row r="2931" spans="2:10">
      <c r="B2931" s="873"/>
      <c r="C2931" s="874"/>
      <c r="D2931" s="874"/>
      <c r="E2931" s="874"/>
      <c r="F2931" s="874"/>
      <c r="G2931" s="874"/>
      <c r="H2931" s="874"/>
      <c r="I2931" s="874"/>
      <c r="J2931" s="874"/>
    </row>
    <row r="2932" spans="2:10">
      <c r="B2932" s="873"/>
      <c r="C2932" s="874"/>
      <c r="D2932" s="874"/>
      <c r="E2932" s="874"/>
      <c r="F2932" s="874"/>
      <c r="G2932" s="874"/>
      <c r="H2932" s="874"/>
      <c r="I2932" s="874"/>
      <c r="J2932" s="874"/>
    </row>
    <row r="2933" spans="2:10">
      <c r="B2933" s="873"/>
      <c r="C2933" s="874"/>
      <c r="D2933" s="874"/>
      <c r="E2933" s="874"/>
      <c r="F2933" s="874"/>
      <c r="G2933" s="874"/>
      <c r="H2933" s="874"/>
      <c r="I2933" s="874"/>
      <c r="J2933" s="874"/>
    </row>
    <row r="2934" spans="2:10">
      <c r="B2934" s="873"/>
      <c r="C2934" s="874"/>
      <c r="D2934" s="874"/>
      <c r="E2934" s="874"/>
      <c r="F2934" s="874"/>
      <c r="G2934" s="874"/>
      <c r="H2934" s="874"/>
      <c r="I2934" s="874"/>
      <c r="J2934" s="874"/>
    </row>
    <row r="2935" spans="2:10">
      <c r="B2935" s="873"/>
      <c r="C2935" s="874"/>
      <c r="D2935" s="874"/>
      <c r="E2935" s="874"/>
      <c r="F2935" s="874"/>
      <c r="G2935" s="874"/>
      <c r="H2935" s="874"/>
      <c r="I2935" s="874"/>
      <c r="J2935" s="874"/>
    </row>
    <row r="2936" spans="2:10">
      <c r="B2936" s="873"/>
      <c r="C2936" s="874"/>
      <c r="D2936" s="874"/>
      <c r="E2936" s="874"/>
      <c r="F2936" s="874"/>
      <c r="G2936" s="874"/>
      <c r="H2936" s="874"/>
      <c r="I2936" s="874"/>
      <c r="J2936" s="874"/>
    </row>
    <row r="2937" spans="2:10">
      <c r="B2937" s="873"/>
      <c r="C2937" s="874"/>
      <c r="D2937" s="874"/>
      <c r="E2937" s="874"/>
      <c r="F2937" s="874"/>
      <c r="G2937" s="874"/>
      <c r="H2937" s="874"/>
      <c r="I2937" s="874"/>
      <c r="J2937" s="874"/>
    </row>
    <row r="2938" spans="2:10">
      <c r="B2938" s="873"/>
      <c r="C2938" s="874"/>
      <c r="D2938" s="874"/>
      <c r="E2938" s="874"/>
      <c r="F2938" s="874"/>
      <c r="G2938" s="874"/>
      <c r="H2938" s="874"/>
      <c r="I2938" s="874"/>
      <c r="J2938" s="874"/>
    </row>
    <row r="2939" spans="2:10">
      <c r="B2939" s="873"/>
      <c r="C2939" s="874"/>
      <c r="D2939" s="874"/>
      <c r="E2939" s="874"/>
      <c r="F2939" s="874"/>
      <c r="G2939" s="874"/>
      <c r="H2939" s="874"/>
      <c r="I2939" s="874"/>
      <c r="J2939" s="874"/>
    </row>
    <row r="2940" spans="2:10">
      <c r="B2940" s="873"/>
      <c r="C2940" s="874"/>
      <c r="D2940" s="874"/>
      <c r="E2940" s="874"/>
      <c r="F2940" s="874"/>
      <c r="G2940" s="874"/>
      <c r="H2940" s="874"/>
      <c r="I2940" s="874"/>
      <c r="J2940" s="874"/>
    </row>
    <row r="2941" spans="2:10">
      <c r="B2941" s="873"/>
      <c r="C2941" s="874"/>
      <c r="D2941" s="874"/>
      <c r="E2941" s="874"/>
      <c r="F2941" s="874"/>
      <c r="G2941" s="874"/>
      <c r="H2941" s="874"/>
      <c r="I2941" s="874"/>
      <c r="J2941" s="874"/>
    </row>
    <row r="2942" spans="2:10">
      <c r="B2942" s="873"/>
      <c r="C2942" s="874"/>
      <c r="D2942" s="874"/>
      <c r="E2942" s="874"/>
      <c r="F2942" s="874"/>
      <c r="G2942" s="874"/>
      <c r="H2942" s="874"/>
      <c r="I2942" s="874"/>
      <c r="J2942" s="874"/>
    </row>
    <row r="2943" spans="2:10">
      <c r="B2943" s="873"/>
      <c r="C2943" s="874"/>
      <c r="D2943" s="874"/>
      <c r="E2943" s="874"/>
      <c r="F2943" s="874"/>
      <c r="G2943" s="874"/>
      <c r="H2943" s="874"/>
      <c r="I2943" s="874"/>
      <c r="J2943" s="874"/>
    </row>
    <row r="2944" spans="2:10">
      <c r="B2944" s="873"/>
      <c r="C2944" s="874"/>
      <c r="D2944" s="874"/>
      <c r="E2944" s="874"/>
      <c r="F2944" s="874"/>
      <c r="G2944" s="874"/>
      <c r="H2944" s="874"/>
      <c r="I2944" s="874"/>
      <c r="J2944" s="874"/>
    </row>
    <row r="2945" spans="2:10">
      <c r="B2945" s="873"/>
      <c r="C2945" s="874"/>
      <c r="D2945" s="874"/>
      <c r="E2945" s="874"/>
      <c r="F2945" s="874"/>
      <c r="G2945" s="874"/>
      <c r="H2945" s="874"/>
      <c r="I2945" s="874"/>
      <c r="J2945" s="874"/>
    </row>
    <row r="2946" spans="2:10">
      <c r="B2946" s="873"/>
      <c r="C2946" s="874"/>
      <c r="D2946" s="874"/>
      <c r="E2946" s="874"/>
      <c r="F2946" s="874"/>
      <c r="G2946" s="874"/>
      <c r="H2946" s="874"/>
      <c r="I2946" s="874"/>
      <c r="J2946" s="874"/>
    </row>
    <row r="2947" spans="2:10">
      <c r="B2947" s="873"/>
      <c r="C2947" s="874"/>
      <c r="D2947" s="874"/>
      <c r="E2947" s="874"/>
      <c r="F2947" s="874"/>
      <c r="G2947" s="874"/>
      <c r="H2947" s="874"/>
      <c r="I2947" s="874"/>
      <c r="J2947" s="874"/>
    </row>
    <row r="2948" spans="2:10">
      <c r="B2948" s="873"/>
      <c r="C2948" s="874"/>
      <c r="D2948" s="874"/>
      <c r="E2948" s="874"/>
      <c r="F2948" s="874"/>
      <c r="G2948" s="874"/>
      <c r="H2948" s="874"/>
      <c r="I2948" s="874"/>
      <c r="J2948" s="874"/>
    </row>
    <row r="2949" spans="2:10">
      <c r="B2949" s="873"/>
      <c r="C2949" s="874"/>
      <c r="D2949" s="874"/>
      <c r="E2949" s="874"/>
      <c r="F2949" s="874"/>
      <c r="G2949" s="874"/>
      <c r="H2949" s="874"/>
      <c r="I2949" s="874"/>
      <c r="J2949" s="874"/>
    </row>
    <row r="2950" spans="2:10">
      <c r="B2950" s="873"/>
      <c r="C2950" s="874"/>
      <c r="D2950" s="874"/>
      <c r="E2950" s="874"/>
      <c r="F2950" s="874"/>
      <c r="G2950" s="874"/>
      <c r="H2950" s="874"/>
      <c r="I2950" s="874"/>
      <c r="J2950" s="874"/>
    </row>
    <row r="2951" spans="2:10">
      <c r="B2951" s="873"/>
      <c r="C2951" s="874"/>
      <c r="D2951" s="874"/>
      <c r="E2951" s="874"/>
      <c r="F2951" s="874"/>
      <c r="G2951" s="874"/>
      <c r="H2951" s="874"/>
      <c r="I2951" s="874"/>
      <c r="J2951" s="874"/>
    </row>
    <row r="2952" spans="2:10">
      <c r="B2952" s="873"/>
      <c r="C2952" s="874"/>
      <c r="D2952" s="874"/>
      <c r="E2952" s="874"/>
      <c r="F2952" s="874"/>
      <c r="G2952" s="874"/>
      <c r="H2952" s="874"/>
      <c r="I2952" s="874"/>
      <c r="J2952" s="874"/>
    </row>
    <row r="2953" spans="2:10">
      <c r="B2953" s="873"/>
      <c r="C2953" s="874"/>
      <c r="D2953" s="874"/>
      <c r="E2953" s="874"/>
      <c r="F2953" s="874"/>
      <c r="G2953" s="874"/>
      <c r="H2953" s="874"/>
      <c r="I2953" s="874"/>
      <c r="J2953" s="874"/>
    </row>
    <row r="2954" spans="2:10">
      <c r="B2954" s="873"/>
      <c r="C2954" s="874"/>
      <c r="D2954" s="874"/>
      <c r="E2954" s="874"/>
      <c r="F2954" s="874"/>
      <c r="G2954" s="874"/>
      <c r="H2954" s="874"/>
      <c r="I2954" s="874"/>
      <c r="J2954" s="874"/>
    </row>
    <row r="2955" spans="2:10">
      <c r="B2955" s="873"/>
      <c r="C2955" s="874"/>
      <c r="D2955" s="874"/>
      <c r="E2955" s="874"/>
      <c r="F2955" s="874"/>
      <c r="G2955" s="874"/>
      <c r="H2955" s="874"/>
      <c r="I2955" s="874"/>
      <c r="J2955" s="874"/>
    </row>
    <row r="2956" spans="2:10">
      <c r="B2956" s="873"/>
      <c r="C2956" s="874"/>
      <c r="D2956" s="874"/>
      <c r="E2956" s="874"/>
      <c r="F2956" s="874"/>
      <c r="G2956" s="874"/>
      <c r="H2956" s="874"/>
      <c r="I2956" s="874"/>
      <c r="J2956" s="874"/>
    </row>
    <row r="2957" spans="2:10">
      <c r="B2957" s="873"/>
      <c r="C2957" s="874"/>
      <c r="D2957" s="874"/>
      <c r="E2957" s="874"/>
      <c r="F2957" s="874"/>
      <c r="G2957" s="874"/>
      <c r="H2957" s="874"/>
      <c r="I2957" s="874"/>
      <c r="J2957" s="874"/>
    </row>
    <row r="2958" spans="2:10">
      <c r="B2958" s="873"/>
      <c r="C2958" s="874"/>
      <c r="D2958" s="874"/>
      <c r="E2958" s="874"/>
      <c r="F2958" s="874"/>
      <c r="G2958" s="874"/>
      <c r="H2958" s="874"/>
      <c r="I2958" s="874"/>
      <c r="J2958" s="874"/>
    </row>
    <row r="2959" spans="2:10">
      <c r="B2959" s="873"/>
      <c r="C2959" s="874"/>
      <c r="D2959" s="874"/>
      <c r="E2959" s="874"/>
      <c r="F2959" s="874"/>
      <c r="G2959" s="874"/>
      <c r="H2959" s="874"/>
      <c r="I2959" s="874"/>
      <c r="J2959" s="874"/>
    </row>
    <row r="2960" spans="2:10">
      <c r="B2960" s="873"/>
      <c r="C2960" s="874"/>
      <c r="D2960" s="874"/>
      <c r="E2960" s="874"/>
      <c r="F2960" s="874"/>
      <c r="G2960" s="874"/>
      <c r="H2960" s="874"/>
      <c r="I2960" s="874"/>
      <c r="J2960" s="874"/>
    </row>
    <row r="2961" spans="2:10">
      <c r="B2961" s="873"/>
      <c r="C2961" s="874"/>
      <c r="D2961" s="874"/>
      <c r="E2961" s="874"/>
      <c r="F2961" s="874"/>
      <c r="G2961" s="874"/>
      <c r="H2961" s="874"/>
      <c r="I2961" s="874"/>
      <c r="J2961" s="874"/>
    </row>
    <row r="2962" spans="2:10">
      <c r="B2962" s="873"/>
      <c r="C2962" s="874"/>
      <c r="D2962" s="874"/>
      <c r="E2962" s="874"/>
      <c r="F2962" s="874"/>
      <c r="G2962" s="874"/>
      <c r="H2962" s="874"/>
      <c r="I2962" s="874"/>
      <c r="J2962" s="874"/>
    </row>
    <row r="2963" spans="2:10">
      <c r="B2963" s="873"/>
      <c r="C2963" s="874"/>
      <c r="D2963" s="874"/>
      <c r="E2963" s="874"/>
      <c r="F2963" s="874"/>
      <c r="G2963" s="874"/>
      <c r="H2963" s="874"/>
      <c r="I2963" s="874"/>
      <c r="J2963" s="874"/>
    </row>
    <row r="2964" spans="2:10">
      <c r="B2964" s="873"/>
      <c r="C2964" s="874"/>
      <c r="D2964" s="874"/>
      <c r="E2964" s="874"/>
      <c r="F2964" s="874"/>
      <c r="G2964" s="874"/>
      <c r="H2964" s="874"/>
      <c r="I2964" s="874"/>
      <c r="J2964" s="874"/>
    </row>
    <row r="2965" spans="2:10">
      <c r="B2965" s="873"/>
      <c r="C2965" s="874"/>
      <c r="D2965" s="874"/>
      <c r="E2965" s="874"/>
      <c r="F2965" s="874"/>
      <c r="G2965" s="874"/>
      <c r="H2965" s="874"/>
      <c r="I2965" s="874"/>
      <c r="J2965" s="874"/>
    </row>
    <row r="2966" spans="2:10">
      <c r="B2966" s="873"/>
      <c r="C2966" s="874"/>
      <c r="D2966" s="874"/>
      <c r="E2966" s="874"/>
      <c r="F2966" s="874"/>
      <c r="G2966" s="874"/>
      <c r="H2966" s="874"/>
      <c r="I2966" s="874"/>
      <c r="J2966" s="874"/>
    </row>
    <row r="2967" spans="2:10">
      <c r="B2967" s="873"/>
      <c r="C2967" s="874"/>
      <c r="D2967" s="874"/>
      <c r="E2967" s="874"/>
      <c r="F2967" s="874"/>
      <c r="G2967" s="874"/>
      <c r="H2967" s="874"/>
      <c r="I2967" s="874"/>
      <c r="J2967" s="874"/>
    </row>
    <row r="2968" spans="2:10">
      <c r="B2968" s="873"/>
      <c r="C2968" s="874"/>
      <c r="D2968" s="874"/>
      <c r="E2968" s="874"/>
      <c r="F2968" s="874"/>
      <c r="G2968" s="874"/>
      <c r="H2968" s="874"/>
      <c r="I2968" s="874"/>
      <c r="J2968" s="874"/>
    </row>
    <row r="2969" spans="2:10">
      <c r="B2969" s="873"/>
      <c r="C2969" s="874"/>
      <c r="D2969" s="874"/>
      <c r="E2969" s="874"/>
      <c r="F2969" s="874"/>
      <c r="G2969" s="874"/>
      <c r="H2969" s="874"/>
      <c r="I2969" s="874"/>
      <c r="J2969" s="874"/>
    </row>
    <row r="2970" spans="2:10">
      <c r="B2970" s="873"/>
      <c r="C2970" s="874"/>
      <c r="D2970" s="874"/>
      <c r="E2970" s="874"/>
      <c r="F2970" s="874"/>
      <c r="G2970" s="874"/>
      <c r="H2970" s="874"/>
      <c r="I2970" s="874"/>
      <c r="J2970" s="874"/>
    </row>
    <row r="2971" spans="2:10">
      <c r="B2971" s="873"/>
      <c r="C2971" s="874"/>
      <c r="D2971" s="874"/>
      <c r="E2971" s="874"/>
      <c r="F2971" s="874"/>
      <c r="G2971" s="874"/>
      <c r="H2971" s="874"/>
      <c r="I2971" s="874"/>
      <c r="J2971" s="874"/>
    </row>
    <row r="2972" spans="2:10">
      <c r="B2972" s="873"/>
      <c r="C2972" s="874"/>
      <c r="D2972" s="874"/>
      <c r="E2972" s="874"/>
      <c r="F2972" s="874"/>
      <c r="G2972" s="874"/>
      <c r="H2972" s="874"/>
      <c r="I2972" s="874"/>
      <c r="J2972" s="874"/>
    </row>
    <row r="2973" spans="2:10">
      <c r="B2973" s="873"/>
      <c r="C2973" s="874"/>
      <c r="D2973" s="874"/>
      <c r="E2973" s="874"/>
      <c r="F2973" s="874"/>
      <c r="G2973" s="874"/>
      <c r="H2973" s="874"/>
      <c r="I2973" s="874"/>
      <c r="J2973" s="874"/>
    </row>
    <row r="2974" spans="2:10">
      <c r="B2974" s="873"/>
      <c r="C2974" s="874"/>
      <c r="D2974" s="874"/>
      <c r="E2974" s="874"/>
      <c r="F2974" s="874"/>
      <c r="G2974" s="874"/>
      <c r="H2974" s="874"/>
      <c r="I2974" s="874"/>
      <c r="J2974" s="874"/>
    </row>
    <row r="2975" spans="2:10">
      <c r="B2975" s="873"/>
      <c r="C2975" s="874"/>
      <c r="D2975" s="874"/>
      <c r="E2975" s="874"/>
      <c r="F2975" s="874"/>
      <c r="G2975" s="874"/>
      <c r="H2975" s="874"/>
      <c r="I2975" s="874"/>
      <c r="J2975" s="874"/>
    </row>
    <row r="2976" spans="2:10">
      <c r="B2976" s="873"/>
      <c r="C2976" s="874"/>
      <c r="D2976" s="874"/>
      <c r="E2976" s="874"/>
      <c r="F2976" s="874"/>
      <c r="G2976" s="874"/>
      <c r="H2976" s="874"/>
      <c r="I2976" s="874"/>
      <c r="J2976" s="874"/>
    </row>
    <row r="2977" spans="2:10">
      <c r="B2977" s="873"/>
      <c r="C2977" s="874"/>
      <c r="D2977" s="874"/>
      <c r="E2977" s="874"/>
      <c r="F2977" s="874"/>
      <c r="G2977" s="874"/>
      <c r="H2977" s="874"/>
      <c r="I2977" s="874"/>
      <c r="J2977" s="874"/>
    </row>
    <row r="2978" spans="2:10">
      <c r="B2978" s="873"/>
      <c r="C2978" s="874"/>
      <c r="D2978" s="874"/>
      <c r="E2978" s="874"/>
      <c r="F2978" s="874"/>
      <c r="G2978" s="874"/>
      <c r="H2978" s="874"/>
      <c r="I2978" s="874"/>
      <c r="J2978" s="874"/>
    </row>
    <row r="2979" spans="2:10">
      <c r="B2979" s="873"/>
      <c r="C2979" s="874"/>
      <c r="D2979" s="874"/>
      <c r="E2979" s="874"/>
      <c r="F2979" s="874"/>
      <c r="G2979" s="874"/>
      <c r="H2979" s="874"/>
      <c r="I2979" s="874"/>
      <c r="J2979" s="874"/>
    </row>
    <row r="2980" spans="2:10">
      <c r="B2980" s="873"/>
      <c r="C2980" s="874"/>
      <c r="D2980" s="874"/>
      <c r="E2980" s="874"/>
      <c r="F2980" s="874"/>
      <c r="G2980" s="874"/>
      <c r="H2980" s="874"/>
      <c r="I2980" s="874"/>
      <c r="J2980" s="874"/>
    </row>
    <row r="2981" spans="2:10">
      <c r="B2981" s="873"/>
      <c r="C2981" s="874"/>
      <c r="D2981" s="874"/>
      <c r="E2981" s="874"/>
      <c r="F2981" s="874"/>
      <c r="G2981" s="874"/>
      <c r="H2981" s="874"/>
      <c r="I2981" s="874"/>
      <c r="J2981" s="874"/>
    </row>
    <row r="2982" spans="2:10">
      <c r="B2982" s="873"/>
      <c r="C2982" s="874"/>
      <c r="D2982" s="874"/>
      <c r="E2982" s="874"/>
      <c r="F2982" s="874"/>
      <c r="G2982" s="874"/>
      <c r="H2982" s="874"/>
      <c r="I2982" s="874"/>
      <c r="J2982" s="874"/>
    </row>
    <row r="2983" spans="2:10">
      <c r="B2983" s="873"/>
      <c r="C2983" s="874"/>
      <c r="D2983" s="874"/>
      <c r="E2983" s="874"/>
      <c r="F2983" s="874"/>
      <c r="G2983" s="874"/>
      <c r="H2983" s="874"/>
      <c r="I2983" s="874"/>
      <c r="J2983" s="874"/>
    </row>
    <row r="2984" spans="2:10">
      <c r="B2984" s="873"/>
      <c r="C2984" s="874"/>
      <c r="D2984" s="874"/>
      <c r="E2984" s="874"/>
      <c r="F2984" s="874"/>
      <c r="G2984" s="874"/>
      <c r="H2984" s="874"/>
      <c r="I2984" s="874"/>
      <c r="J2984" s="874"/>
    </row>
    <row r="2985" spans="2:10">
      <c r="B2985" s="873"/>
      <c r="C2985" s="874"/>
      <c r="D2985" s="874"/>
      <c r="E2985" s="874"/>
      <c r="F2985" s="874"/>
      <c r="G2985" s="874"/>
      <c r="H2985" s="874"/>
      <c r="I2985" s="874"/>
      <c r="J2985" s="874"/>
    </row>
    <row r="2986" spans="2:10">
      <c r="B2986" s="873"/>
      <c r="C2986" s="874"/>
      <c r="D2986" s="874"/>
      <c r="E2986" s="874"/>
      <c r="F2986" s="874"/>
      <c r="G2986" s="874"/>
      <c r="H2986" s="874"/>
      <c r="I2986" s="874"/>
      <c r="J2986" s="874"/>
    </row>
    <row r="2987" spans="2:10">
      <c r="B2987" s="873"/>
      <c r="C2987" s="874"/>
      <c r="D2987" s="874"/>
      <c r="E2987" s="874"/>
      <c r="F2987" s="874"/>
      <c r="G2987" s="874"/>
      <c r="H2987" s="874"/>
      <c r="I2987" s="874"/>
      <c r="J2987" s="874"/>
    </row>
    <row r="2988" spans="2:10">
      <c r="B2988" s="873"/>
      <c r="C2988" s="874"/>
      <c r="D2988" s="874"/>
      <c r="E2988" s="874"/>
      <c r="F2988" s="874"/>
      <c r="G2988" s="874"/>
      <c r="H2988" s="874"/>
      <c r="I2988" s="874"/>
      <c r="J2988" s="874"/>
    </row>
    <row r="2989" spans="2:10">
      <c r="B2989" s="873"/>
      <c r="C2989" s="874"/>
      <c r="D2989" s="874"/>
      <c r="E2989" s="874"/>
      <c r="F2989" s="874"/>
      <c r="G2989" s="874"/>
      <c r="H2989" s="874"/>
      <c r="I2989" s="874"/>
      <c r="J2989" s="874"/>
    </row>
    <row r="2990" spans="2:10">
      <c r="B2990" s="873"/>
      <c r="C2990" s="874"/>
      <c r="D2990" s="874"/>
      <c r="E2990" s="874"/>
      <c r="F2990" s="874"/>
      <c r="G2990" s="874"/>
      <c r="H2990" s="874"/>
      <c r="I2990" s="874"/>
      <c r="J2990" s="874"/>
    </row>
    <row r="2991" spans="2:10">
      <c r="B2991" s="873"/>
      <c r="C2991" s="874"/>
      <c r="D2991" s="874"/>
      <c r="E2991" s="874"/>
      <c r="F2991" s="874"/>
      <c r="G2991" s="874"/>
      <c r="H2991" s="874"/>
      <c r="I2991" s="874"/>
      <c r="J2991" s="874"/>
    </row>
    <row r="2992" spans="2:10">
      <c r="B2992" s="873"/>
      <c r="C2992" s="874"/>
      <c r="D2992" s="874"/>
      <c r="E2992" s="874"/>
      <c r="F2992" s="874"/>
      <c r="G2992" s="874"/>
      <c r="H2992" s="874"/>
      <c r="I2992" s="874"/>
      <c r="J2992" s="874"/>
    </row>
    <row r="2993" spans="2:10">
      <c r="B2993" s="873"/>
      <c r="C2993" s="874"/>
      <c r="D2993" s="874"/>
      <c r="E2993" s="874"/>
      <c r="F2993" s="874"/>
      <c r="G2993" s="874"/>
      <c r="H2993" s="874"/>
      <c r="I2993" s="874"/>
      <c r="J2993" s="874"/>
    </row>
    <row r="2994" spans="2:10">
      <c r="B2994" s="873"/>
      <c r="C2994" s="874"/>
      <c r="D2994" s="874"/>
      <c r="E2994" s="874"/>
      <c r="F2994" s="874"/>
      <c r="G2994" s="874"/>
      <c r="H2994" s="874"/>
      <c r="I2994" s="874"/>
      <c r="J2994" s="874"/>
    </row>
    <row r="2995" spans="2:10">
      <c r="B2995" s="873"/>
      <c r="C2995" s="874"/>
      <c r="D2995" s="874"/>
      <c r="E2995" s="874"/>
      <c r="F2995" s="874"/>
      <c r="G2995" s="874"/>
      <c r="H2995" s="874"/>
      <c r="I2995" s="874"/>
      <c r="J2995" s="874"/>
    </row>
    <row r="2996" spans="2:10">
      <c r="B2996" s="873"/>
      <c r="C2996" s="874"/>
      <c r="D2996" s="874"/>
      <c r="E2996" s="874"/>
      <c r="F2996" s="874"/>
      <c r="G2996" s="874"/>
      <c r="H2996" s="874"/>
      <c r="I2996" s="874"/>
      <c r="J2996" s="874"/>
    </row>
    <row r="2997" spans="2:10">
      <c r="B2997" s="873"/>
      <c r="C2997" s="874"/>
      <c r="D2997" s="874"/>
      <c r="E2997" s="874"/>
      <c r="F2997" s="874"/>
      <c r="G2997" s="874"/>
      <c r="H2997" s="874"/>
      <c r="I2997" s="874"/>
      <c r="J2997" s="874"/>
    </row>
    <row r="2998" spans="2:10">
      <c r="B2998" s="873"/>
      <c r="C2998" s="874"/>
      <c r="D2998" s="874"/>
      <c r="E2998" s="874"/>
      <c r="F2998" s="874"/>
      <c r="G2998" s="874"/>
      <c r="H2998" s="874"/>
      <c r="I2998" s="874"/>
      <c r="J2998" s="874"/>
    </row>
    <row r="2999" spans="2:10">
      <c r="B2999" s="873"/>
      <c r="C2999" s="874"/>
      <c r="D2999" s="874"/>
      <c r="E2999" s="874"/>
      <c r="F2999" s="874"/>
      <c r="G2999" s="874"/>
      <c r="H2999" s="874"/>
      <c r="I2999" s="874"/>
      <c r="J2999" s="874"/>
    </row>
    <row r="3000" spans="2:10">
      <c r="B3000" s="873"/>
      <c r="C3000" s="874"/>
      <c r="D3000" s="874"/>
      <c r="E3000" s="874"/>
      <c r="F3000" s="874"/>
      <c r="G3000" s="874"/>
      <c r="H3000" s="874"/>
      <c r="I3000" s="874"/>
      <c r="J3000" s="874"/>
    </row>
    <row r="3001" spans="2:10">
      <c r="B3001" s="873"/>
      <c r="C3001" s="874"/>
      <c r="D3001" s="874"/>
      <c r="E3001" s="874"/>
      <c r="F3001" s="874"/>
      <c r="G3001" s="874"/>
      <c r="H3001" s="874"/>
      <c r="I3001" s="874"/>
      <c r="J3001" s="874"/>
    </row>
    <row r="3002" spans="2:10">
      <c r="B3002" s="873"/>
      <c r="C3002" s="874"/>
      <c r="D3002" s="874"/>
      <c r="E3002" s="874"/>
      <c r="F3002" s="874"/>
      <c r="G3002" s="874"/>
      <c r="H3002" s="874"/>
      <c r="I3002" s="874"/>
      <c r="J3002" s="874"/>
    </row>
    <row r="3003" spans="2:10">
      <c r="B3003" s="873"/>
      <c r="C3003" s="874"/>
      <c r="D3003" s="874"/>
      <c r="E3003" s="874"/>
      <c r="F3003" s="874"/>
      <c r="G3003" s="874"/>
      <c r="H3003" s="874"/>
      <c r="I3003" s="874"/>
      <c r="J3003" s="874"/>
    </row>
    <row r="3004" spans="2:10">
      <c r="B3004" s="873"/>
      <c r="C3004" s="874"/>
      <c r="D3004" s="874"/>
      <c r="E3004" s="874"/>
      <c r="F3004" s="874"/>
      <c r="G3004" s="874"/>
      <c r="H3004" s="874"/>
      <c r="I3004" s="874"/>
      <c r="J3004" s="874"/>
    </row>
    <row r="3005" spans="2:10">
      <c r="B3005" s="873"/>
      <c r="C3005" s="874"/>
      <c r="D3005" s="874"/>
      <c r="E3005" s="874"/>
      <c r="F3005" s="874"/>
      <c r="G3005" s="874"/>
      <c r="H3005" s="874"/>
      <c r="I3005" s="874"/>
      <c r="J3005" s="874"/>
    </row>
    <row r="3006" spans="2:10">
      <c r="B3006" s="873"/>
      <c r="C3006" s="874"/>
      <c r="D3006" s="874"/>
      <c r="E3006" s="874"/>
      <c r="F3006" s="874"/>
      <c r="G3006" s="874"/>
      <c r="H3006" s="874"/>
      <c r="I3006" s="874"/>
      <c r="J3006" s="874"/>
    </row>
    <row r="3007" spans="2:10">
      <c r="B3007" s="873"/>
      <c r="C3007" s="874"/>
      <c r="D3007" s="874"/>
      <c r="E3007" s="874"/>
      <c r="F3007" s="874"/>
      <c r="G3007" s="874"/>
      <c r="H3007" s="874"/>
      <c r="I3007" s="874"/>
      <c r="J3007" s="874"/>
    </row>
    <row r="3008" spans="2:10">
      <c r="B3008" s="873"/>
      <c r="C3008" s="874"/>
      <c r="D3008" s="874"/>
      <c r="E3008" s="874"/>
      <c r="F3008" s="874"/>
      <c r="G3008" s="874"/>
      <c r="H3008" s="874"/>
      <c r="I3008" s="874"/>
      <c r="J3008" s="874"/>
    </row>
    <row r="3009" spans="2:10">
      <c r="B3009" s="873"/>
      <c r="C3009" s="874"/>
      <c r="D3009" s="874"/>
      <c r="E3009" s="874"/>
      <c r="F3009" s="874"/>
      <c r="G3009" s="874"/>
      <c r="H3009" s="874"/>
      <c r="I3009" s="874"/>
      <c r="J3009" s="874"/>
    </row>
    <row r="3010" spans="2:10">
      <c r="B3010" s="873"/>
      <c r="C3010" s="874"/>
      <c r="D3010" s="874"/>
      <c r="E3010" s="874"/>
      <c r="F3010" s="874"/>
      <c r="G3010" s="874"/>
      <c r="H3010" s="874"/>
      <c r="I3010" s="874"/>
      <c r="J3010" s="874"/>
    </row>
    <row r="3011" spans="2:10">
      <c r="B3011" s="873"/>
      <c r="C3011" s="874"/>
      <c r="D3011" s="874"/>
      <c r="E3011" s="874"/>
      <c r="F3011" s="874"/>
      <c r="G3011" s="874"/>
      <c r="H3011" s="874"/>
      <c r="I3011" s="874"/>
      <c r="J3011" s="874"/>
    </row>
    <row r="3012" spans="2:10">
      <c r="B3012" s="873"/>
      <c r="C3012" s="874"/>
      <c r="D3012" s="874"/>
      <c r="E3012" s="874"/>
      <c r="F3012" s="874"/>
      <c r="G3012" s="874"/>
      <c r="H3012" s="874"/>
      <c r="I3012" s="874"/>
      <c r="J3012" s="874"/>
    </row>
    <row r="3013" spans="2:10">
      <c r="B3013" s="873"/>
      <c r="C3013" s="874"/>
      <c r="D3013" s="874"/>
      <c r="E3013" s="874"/>
      <c r="F3013" s="874"/>
      <c r="G3013" s="874"/>
      <c r="H3013" s="874"/>
      <c r="I3013" s="874"/>
      <c r="J3013" s="874"/>
    </row>
    <row r="3014" spans="2:10">
      <c r="B3014" s="873"/>
      <c r="C3014" s="874"/>
      <c r="D3014" s="874"/>
      <c r="E3014" s="874"/>
      <c r="F3014" s="874"/>
      <c r="G3014" s="874"/>
      <c r="H3014" s="874"/>
      <c r="I3014" s="874"/>
      <c r="J3014" s="874"/>
    </row>
    <row r="3015" spans="2:10">
      <c r="B3015" s="873"/>
      <c r="C3015" s="874"/>
      <c r="D3015" s="874"/>
      <c r="E3015" s="874"/>
      <c r="F3015" s="874"/>
      <c r="G3015" s="874"/>
      <c r="H3015" s="874"/>
      <c r="I3015" s="874"/>
      <c r="J3015" s="874"/>
    </row>
    <row r="3016" spans="2:10">
      <c r="B3016" s="873"/>
      <c r="C3016" s="874"/>
      <c r="D3016" s="874"/>
      <c r="E3016" s="874"/>
      <c r="F3016" s="874"/>
      <c r="G3016" s="874"/>
      <c r="H3016" s="874"/>
      <c r="I3016" s="874"/>
      <c r="J3016" s="874"/>
    </row>
    <row r="3017" spans="2:10">
      <c r="B3017" s="873"/>
      <c r="C3017" s="874"/>
      <c r="D3017" s="874"/>
      <c r="E3017" s="874"/>
      <c r="F3017" s="874"/>
      <c r="G3017" s="874"/>
      <c r="H3017" s="874"/>
      <c r="I3017" s="874"/>
      <c r="J3017" s="874"/>
    </row>
    <row r="3018" spans="2:10">
      <c r="B3018" s="873"/>
      <c r="C3018" s="874"/>
      <c r="D3018" s="874"/>
      <c r="E3018" s="874"/>
      <c r="F3018" s="874"/>
      <c r="G3018" s="874"/>
      <c r="H3018" s="874"/>
      <c r="I3018" s="874"/>
      <c r="J3018" s="874"/>
    </row>
    <row r="3019" spans="2:10">
      <c r="B3019" s="873"/>
      <c r="C3019" s="874"/>
      <c r="D3019" s="874"/>
      <c r="E3019" s="874"/>
      <c r="F3019" s="874"/>
      <c r="G3019" s="874"/>
      <c r="H3019" s="874"/>
      <c r="I3019" s="874"/>
      <c r="J3019" s="874"/>
    </row>
    <row r="3020" spans="2:10">
      <c r="B3020" s="873"/>
      <c r="C3020" s="874"/>
      <c r="D3020" s="874"/>
      <c r="E3020" s="874"/>
      <c r="F3020" s="874"/>
      <c r="G3020" s="874"/>
      <c r="H3020" s="874"/>
      <c r="I3020" s="874"/>
      <c r="J3020" s="874"/>
    </row>
    <row r="3021" spans="2:10">
      <c r="B3021" s="873"/>
      <c r="C3021" s="874"/>
      <c r="D3021" s="874"/>
      <c r="E3021" s="874"/>
      <c r="F3021" s="874"/>
      <c r="G3021" s="874"/>
      <c r="H3021" s="874"/>
      <c r="I3021" s="874"/>
      <c r="J3021" s="874"/>
    </row>
    <row r="3022" spans="2:10">
      <c r="B3022" s="873"/>
      <c r="C3022" s="874"/>
      <c r="D3022" s="874"/>
      <c r="E3022" s="874"/>
      <c r="F3022" s="874"/>
      <c r="G3022" s="874"/>
      <c r="H3022" s="874"/>
      <c r="I3022" s="874"/>
      <c r="J3022" s="874"/>
    </row>
    <row r="3023" spans="2:10">
      <c r="B3023" s="873"/>
      <c r="C3023" s="874"/>
      <c r="D3023" s="874"/>
      <c r="E3023" s="874"/>
      <c r="F3023" s="874"/>
      <c r="G3023" s="874"/>
      <c r="H3023" s="874"/>
      <c r="I3023" s="874"/>
      <c r="J3023" s="874"/>
    </row>
    <row r="3024" spans="2:10">
      <c r="B3024" s="873"/>
      <c r="C3024" s="874"/>
      <c r="D3024" s="874"/>
      <c r="E3024" s="874"/>
      <c r="F3024" s="874"/>
      <c r="G3024" s="874"/>
      <c r="H3024" s="874"/>
      <c r="I3024" s="874"/>
      <c r="J3024" s="874"/>
    </row>
    <row r="3025" spans="2:10">
      <c r="B3025" s="873"/>
      <c r="C3025" s="874"/>
      <c r="D3025" s="874"/>
      <c r="E3025" s="874"/>
      <c r="F3025" s="874"/>
      <c r="G3025" s="874"/>
      <c r="H3025" s="874"/>
      <c r="I3025" s="874"/>
      <c r="J3025" s="874"/>
    </row>
    <row r="3026" spans="2:10">
      <c r="B3026" s="873"/>
      <c r="C3026" s="874"/>
      <c r="D3026" s="874"/>
      <c r="E3026" s="874"/>
      <c r="F3026" s="874"/>
      <c r="G3026" s="874"/>
      <c r="H3026" s="874"/>
      <c r="I3026" s="874"/>
      <c r="J3026" s="874"/>
    </row>
    <row r="3027" spans="2:10">
      <c r="B3027" s="873"/>
      <c r="C3027" s="874"/>
      <c r="D3027" s="874"/>
      <c r="E3027" s="874"/>
      <c r="F3027" s="874"/>
      <c r="G3027" s="874"/>
      <c r="H3027" s="874"/>
      <c r="I3027" s="874"/>
      <c r="J3027" s="874"/>
    </row>
    <row r="3028" spans="2:10">
      <c r="B3028" s="873"/>
      <c r="C3028" s="874"/>
      <c r="D3028" s="874"/>
      <c r="E3028" s="874"/>
      <c r="F3028" s="874"/>
      <c r="G3028" s="874"/>
      <c r="H3028" s="874"/>
      <c r="I3028" s="874"/>
      <c r="J3028" s="874"/>
    </row>
    <row r="3029" spans="2:10">
      <c r="B3029" s="873"/>
      <c r="C3029" s="874"/>
      <c r="D3029" s="874"/>
      <c r="E3029" s="874"/>
      <c r="F3029" s="874"/>
      <c r="G3029" s="874"/>
      <c r="H3029" s="874"/>
      <c r="I3029" s="874"/>
      <c r="J3029" s="874"/>
    </row>
    <row r="3030" spans="2:10">
      <c r="B3030" s="873"/>
      <c r="C3030" s="874"/>
      <c r="D3030" s="874"/>
      <c r="E3030" s="874"/>
      <c r="F3030" s="874"/>
      <c r="G3030" s="874"/>
      <c r="H3030" s="874"/>
      <c r="I3030" s="874"/>
      <c r="J3030" s="874"/>
    </row>
    <row r="3031" spans="2:10">
      <c r="B3031" s="873"/>
      <c r="C3031" s="874"/>
      <c r="D3031" s="874"/>
      <c r="E3031" s="874"/>
      <c r="F3031" s="874"/>
      <c r="G3031" s="874"/>
      <c r="H3031" s="874"/>
      <c r="I3031" s="874"/>
      <c r="J3031" s="874"/>
    </row>
    <row r="3032" spans="2:10">
      <c r="B3032" s="873"/>
      <c r="C3032" s="874"/>
      <c r="D3032" s="874"/>
      <c r="E3032" s="874"/>
      <c r="F3032" s="874"/>
      <c r="G3032" s="874"/>
      <c r="H3032" s="874"/>
      <c r="I3032" s="874"/>
      <c r="J3032" s="874"/>
    </row>
    <row r="3033" spans="2:10">
      <c r="B3033" s="873"/>
      <c r="C3033" s="874"/>
      <c r="D3033" s="874"/>
      <c r="E3033" s="874"/>
      <c r="F3033" s="874"/>
      <c r="G3033" s="874"/>
      <c r="H3033" s="874"/>
      <c r="I3033" s="874"/>
      <c r="J3033" s="874"/>
    </row>
    <row r="3034" spans="2:10">
      <c r="B3034" s="873"/>
      <c r="C3034" s="874"/>
      <c r="D3034" s="874"/>
      <c r="E3034" s="874"/>
      <c r="F3034" s="874"/>
      <c r="G3034" s="874"/>
      <c r="H3034" s="874"/>
      <c r="I3034" s="874"/>
      <c r="J3034" s="874"/>
    </row>
    <row r="3035" spans="2:10">
      <c r="B3035" s="873"/>
      <c r="C3035" s="874"/>
      <c r="D3035" s="874"/>
      <c r="E3035" s="874"/>
      <c r="F3035" s="874"/>
      <c r="G3035" s="874"/>
      <c r="H3035" s="874"/>
      <c r="I3035" s="874"/>
      <c r="J3035" s="874"/>
    </row>
    <row r="3036" spans="2:10">
      <c r="B3036" s="873"/>
      <c r="C3036" s="874"/>
      <c r="D3036" s="874"/>
      <c r="E3036" s="874"/>
      <c r="F3036" s="874"/>
      <c r="G3036" s="874"/>
      <c r="H3036" s="874"/>
      <c r="I3036" s="874"/>
      <c r="J3036" s="874"/>
    </row>
    <row r="3037" spans="2:10">
      <c r="B3037" s="873"/>
      <c r="C3037" s="874"/>
      <c r="D3037" s="874"/>
      <c r="E3037" s="874"/>
      <c r="F3037" s="874"/>
      <c r="G3037" s="874"/>
      <c r="H3037" s="874"/>
      <c r="I3037" s="874"/>
      <c r="J3037" s="874"/>
    </row>
    <row r="3038" spans="2:10">
      <c r="B3038" s="873"/>
      <c r="C3038" s="874"/>
      <c r="D3038" s="874"/>
      <c r="E3038" s="874"/>
      <c r="F3038" s="874"/>
      <c r="G3038" s="874"/>
      <c r="H3038" s="874"/>
      <c r="I3038" s="874"/>
      <c r="J3038" s="874"/>
    </row>
    <row r="3039" spans="2:10">
      <c r="B3039" s="873"/>
      <c r="C3039" s="874"/>
      <c r="D3039" s="874"/>
      <c r="E3039" s="874"/>
      <c r="F3039" s="874"/>
      <c r="G3039" s="874"/>
      <c r="H3039" s="874"/>
      <c r="I3039" s="874"/>
      <c r="J3039" s="874"/>
    </row>
    <row r="3040" spans="2:10">
      <c r="B3040" s="873"/>
      <c r="C3040" s="874"/>
      <c r="D3040" s="874"/>
      <c r="E3040" s="874"/>
      <c r="F3040" s="874"/>
      <c r="G3040" s="874"/>
      <c r="H3040" s="874"/>
      <c r="I3040" s="874"/>
      <c r="J3040" s="874"/>
    </row>
    <row r="3041" spans="2:10">
      <c r="B3041" s="873"/>
      <c r="C3041" s="874"/>
      <c r="D3041" s="874"/>
      <c r="E3041" s="874"/>
      <c r="F3041" s="874"/>
      <c r="G3041" s="874"/>
      <c r="H3041" s="874"/>
      <c r="I3041" s="874"/>
      <c r="J3041" s="874"/>
    </row>
    <row r="3042" spans="2:10">
      <c r="B3042" s="873"/>
      <c r="C3042" s="874"/>
      <c r="D3042" s="874"/>
      <c r="E3042" s="874"/>
      <c r="F3042" s="874"/>
      <c r="G3042" s="874"/>
      <c r="H3042" s="874"/>
      <c r="I3042" s="874"/>
      <c r="J3042" s="874"/>
    </row>
    <row r="3043" spans="2:10">
      <c r="B3043" s="873"/>
      <c r="C3043" s="874"/>
      <c r="D3043" s="874"/>
      <c r="E3043" s="874"/>
      <c r="F3043" s="874"/>
      <c r="G3043" s="874"/>
      <c r="H3043" s="874"/>
      <c r="I3043" s="874"/>
      <c r="J3043" s="874"/>
    </row>
    <row r="3044" spans="2:10">
      <c r="B3044" s="873"/>
      <c r="C3044" s="874"/>
      <c r="D3044" s="874"/>
      <c r="E3044" s="874"/>
      <c r="F3044" s="874"/>
      <c r="G3044" s="874"/>
      <c r="H3044" s="874"/>
      <c r="I3044" s="874"/>
      <c r="J3044" s="874"/>
    </row>
    <row r="3045" spans="2:10">
      <c r="B3045" s="873"/>
      <c r="C3045" s="874"/>
      <c r="D3045" s="874"/>
      <c r="E3045" s="874"/>
      <c r="F3045" s="874"/>
      <c r="G3045" s="874"/>
      <c r="H3045" s="874"/>
      <c r="I3045" s="874"/>
      <c r="J3045" s="874"/>
    </row>
    <row r="3046" spans="2:10">
      <c r="B3046" s="873"/>
      <c r="C3046" s="874"/>
      <c r="D3046" s="874"/>
      <c r="E3046" s="874"/>
      <c r="F3046" s="874"/>
      <c r="G3046" s="874"/>
      <c r="H3046" s="874"/>
      <c r="I3046" s="874"/>
      <c r="J3046" s="874"/>
    </row>
    <row r="3047" spans="2:10">
      <c r="B3047" s="873"/>
      <c r="C3047" s="874"/>
      <c r="D3047" s="874"/>
      <c r="E3047" s="874"/>
      <c r="F3047" s="874"/>
      <c r="G3047" s="874"/>
      <c r="H3047" s="874"/>
      <c r="I3047" s="874"/>
      <c r="J3047" s="874"/>
    </row>
    <row r="3048" spans="2:10">
      <c r="B3048" s="873"/>
      <c r="C3048" s="874"/>
      <c r="D3048" s="874"/>
      <c r="E3048" s="874"/>
      <c r="F3048" s="874"/>
      <c r="G3048" s="874"/>
      <c r="H3048" s="874"/>
      <c r="I3048" s="874"/>
      <c r="J3048" s="874"/>
    </row>
    <row r="3049" spans="2:10">
      <c r="B3049" s="873"/>
      <c r="C3049" s="874"/>
      <c r="D3049" s="874"/>
      <c r="E3049" s="874"/>
      <c r="F3049" s="874"/>
      <c r="G3049" s="874"/>
      <c r="H3049" s="874"/>
      <c r="I3049" s="874"/>
      <c r="J3049" s="874"/>
    </row>
    <row r="3050" spans="2:10">
      <c r="B3050" s="873"/>
      <c r="C3050" s="874"/>
      <c r="D3050" s="874"/>
      <c r="E3050" s="874"/>
      <c r="F3050" s="874"/>
      <c r="G3050" s="874"/>
      <c r="H3050" s="874"/>
      <c r="I3050" s="874"/>
      <c r="J3050" s="874"/>
    </row>
    <row r="3051" spans="2:10">
      <c r="B3051" s="873"/>
      <c r="C3051" s="874"/>
      <c r="D3051" s="874"/>
      <c r="E3051" s="874"/>
      <c r="F3051" s="874"/>
      <c r="G3051" s="874"/>
      <c r="H3051" s="874"/>
      <c r="I3051" s="874"/>
      <c r="J3051" s="874"/>
    </row>
    <row r="3052" spans="2:10">
      <c r="B3052" s="873"/>
      <c r="C3052" s="874"/>
      <c r="D3052" s="874"/>
      <c r="E3052" s="874"/>
      <c r="F3052" s="874"/>
      <c r="G3052" s="874"/>
      <c r="H3052" s="874"/>
      <c r="I3052" s="874"/>
      <c r="J3052" s="874"/>
    </row>
    <row r="3053" spans="2:10">
      <c r="B3053" s="873"/>
      <c r="C3053" s="874"/>
      <c r="D3053" s="874"/>
      <c r="E3053" s="874"/>
      <c r="F3053" s="874"/>
      <c r="G3053" s="874"/>
      <c r="H3053" s="874"/>
      <c r="I3053" s="874"/>
      <c r="J3053" s="874"/>
    </row>
    <row r="3054" spans="2:10">
      <c r="B3054" s="873"/>
      <c r="C3054" s="874"/>
      <c r="D3054" s="874"/>
      <c r="E3054" s="874"/>
      <c r="F3054" s="874"/>
      <c r="G3054" s="874"/>
      <c r="H3054" s="874"/>
      <c r="I3054" s="874"/>
      <c r="J3054" s="874"/>
    </row>
    <row r="3055" spans="2:10">
      <c r="B3055" s="873"/>
      <c r="C3055" s="874"/>
      <c r="D3055" s="874"/>
      <c r="E3055" s="874"/>
      <c r="F3055" s="874"/>
      <c r="G3055" s="874"/>
      <c r="H3055" s="874"/>
      <c r="I3055" s="874"/>
      <c r="J3055" s="874"/>
    </row>
    <row r="3056" spans="2:10">
      <c r="B3056" s="873"/>
      <c r="C3056" s="874"/>
      <c r="D3056" s="874"/>
      <c r="E3056" s="874"/>
      <c r="F3056" s="874"/>
      <c r="G3056" s="874"/>
      <c r="H3056" s="874"/>
      <c r="I3056" s="874"/>
      <c r="J3056" s="874"/>
    </row>
    <row r="3057" spans="2:10">
      <c r="B3057" s="873"/>
      <c r="C3057" s="874"/>
      <c r="D3057" s="874"/>
      <c r="E3057" s="874"/>
      <c r="F3057" s="874"/>
      <c r="G3057" s="874"/>
      <c r="H3057" s="874"/>
      <c r="I3057" s="874"/>
      <c r="J3057" s="874"/>
    </row>
    <row r="3058" spans="2:10">
      <c r="B3058" s="873"/>
      <c r="C3058" s="874"/>
      <c r="D3058" s="874"/>
      <c r="E3058" s="874"/>
      <c r="F3058" s="874"/>
      <c r="G3058" s="874"/>
      <c r="H3058" s="874"/>
      <c r="I3058" s="874"/>
      <c r="J3058" s="874"/>
    </row>
    <row r="3059" spans="2:10">
      <c r="B3059" s="873"/>
      <c r="C3059" s="874"/>
      <c r="D3059" s="874"/>
      <c r="E3059" s="874"/>
      <c r="F3059" s="874"/>
      <c r="G3059" s="874"/>
      <c r="H3059" s="874"/>
      <c r="I3059" s="874"/>
      <c r="J3059" s="874"/>
    </row>
    <row r="3060" spans="2:10">
      <c r="B3060" s="873"/>
      <c r="C3060" s="874"/>
      <c r="D3060" s="874"/>
      <c r="E3060" s="874"/>
      <c r="F3060" s="874"/>
      <c r="G3060" s="874"/>
      <c r="H3060" s="874"/>
      <c r="I3060" s="874"/>
      <c r="J3060" s="874"/>
    </row>
    <row r="3061" spans="2:10">
      <c r="B3061" s="873"/>
      <c r="C3061" s="874"/>
      <c r="D3061" s="874"/>
      <c r="E3061" s="874"/>
      <c r="F3061" s="874"/>
      <c r="G3061" s="874"/>
      <c r="H3061" s="874"/>
      <c r="I3061" s="874"/>
      <c r="J3061" s="874"/>
    </row>
    <row r="3062" spans="2:10">
      <c r="B3062" s="873"/>
      <c r="C3062" s="874"/>
      <c r="D3062" s="874"/>
      <c r="E3062" s="874"/>
      <c r="F3062" s="874"/>
      <c r="G3062" s="874"/>
      <c r="H3062" s="874"/>
      <c r="I3062" s="874"/>
      <c r="J3062" s="874"/>
    </row>
    <row r="3063" spans="2:10">
      <c r="B3063" s="873"/>
      <c r="C3063" s="874"/>
      <c r="D3063" s="874"/>
      <c r="E3063" s="874"/>
      <c r="F3063" s="874"/>
      <c r="G3063" s="874"/>
      <c r="H3063" s="874"/>
      <c r="I3063" s="874"/>
      <c r="J3063" s="874"/>
    </row>
    <row r="3064" spans="2:10">
      <c r="B3064" s="873"/>
      <c r="C3064" s="874"/>
      <c r="D3064" s="874"/>
      <c r="E3064" s="874"/>
      <c r="F3064" s="874"/>
      <c r="G3064" s="874"/>
      <c r="H3064" s="874"/>
      <c r="I3064" s="874"/>
      <c r="J3064" s="874"/>
    </row>
    <row r="3065" spans="2:10">
      <c r="B3065" s="873"/>
      <c r="C3065" s="874"/>
      <c r="D3065" s="874"/>
      <c r="E3065" s="874"/>
      <c r="F3065" s="874"/>
      <c r="G3065" s="874"/>
      <c r="H3065" s="874"/>
      <c r="I3065" s="874"/>
      <c r="J3065" s="874"/>
    </row>
    <row r="3066" spans="2:10">
      <c r="B3066" s="873"/>
      <c r="C3066" s="874"/>
      <c r="D3066" s="874"/>
      <c r="E3066" s="874"/>
      <c r="F3066" s="874"/>
      <c r="G3066" s="874"/>
      <c r="H3066" s="874"/>
      <c r="I3066" s="874"/>
      <c r="J3066" s="874"/>
    </row>
    <row r="3067" spans="2:10">
      <c r="B3067" s="873"/>
      <c r="C3067" s="874"/>
      <c r="D3067" s="874"/>
      <c r="E3067" s="874"/>
      <c r="F3067" s="874"/>
      <c r="G3067" s="874"/>
      <c r="H3067" s="874"/>
      <c r="I3067" s="874"/>
      <c r="J3067" s="874"/>
    </row>
    <row r="3068" spans="2:10">
      <c r="B3068" s="873"/>
      <c r="C3068" s="874"/>
      <c r="D3068" s="874"/>
      <c r="E3068" s="874"/>
      <c r="F3068" s="874"/>
      <c r="G3068" s="874"/>
      <c r="H3068" s="874"/>
      <c r="I3068" s="874"/>
      <c r="J3068" s="874"/>
    </row>
    <row r="3069" spans="2:10">
      <c r="B3069" s="873"/>
      <c r="C3069" s="874"/>
      <c r="D3069" s="874"/>
      <c r="E3069" s="874"/>
      <c r="F3069" s="874"/>
      <c r="G3069" s="874"/>
      <c r="H3069" s="874"/>
      <c r="I3069" s="874"/>
      <c r="J3069" s="874"/>
    </row>
    <row r="3070" spans="2:10">
      <c r="B3070" s="873"/>
      <c r="C3070" s="874"/>
      <c r="D3070" s="874"/>
      <c r="E3070" s="874"/>
      <c r="F3070" s="874"/>
      <c r="G3070" s="874"/>
      <c r="H3070" s="874"/>
      <c r="I3070" s="874"/>
      <c r="J3070" s="874"/>
    </row>
    <row r="3071" spans="2:10">
      <c r="B3071" s="873"/>
      <c r="C3071" s="874"/>
      <c r="D3071" s="874"/>
      <c r="E3071" s="874"/>
      <c r="F3071" s="874"/>
      <c r="G3071" s="874"/>
      <c r="H3071" s="874"/>
      <c r="I3071" s="874"/>
      <c r="J3071" s="874"/>
    </row>
    <row r="3072" spans="2:10">
      <c r="B3072" s="873"/>
      <c r="C3072" s="874"/>
      <c r="D3072" s="874"/>
      <c r="E3072" s="874"/>
      <c r="F3072" s="874"/>
      <c r="G3072" s="874"/>
      <c r="H3072" s="874"/>
      <c r="I3072" s="874"/>
      <c r="J3072" s="874"/>
    </row>
    <row r="3073" spans="2:10">
      <c r="B3073" s="873"/>
      <c r="C3073" s="874"/>
      <c r="D3073" s="874"/>
      <c r="E3073" s="874"/>
      <c r="F3073" s="874"/>
      <c r="G3073" s="874"/>
      <c r="H3073" s="874"/>
      <c r="I3073" s="874"/>
      <c r="J3073" s="874"/>
    </row>
    <row r="3074" spans="2:10">
      <c r="B3074" s="873"/>
      <c r="C3074" s="874"/>
      <c r="D3074" s="874"/>
      <c r="E3074" s="874"/>
      <c r="F3074" s="874"/>
      <c r="G3074" s="874"/>
      <c r="H3074" s="874"/>
      <c r="I3074" s="874"/>
      <c r="J3074" s="874"/>
    </row>
    <row r="3075" spans="2:10">
      <c r="B3075" s="873"/>
      <c r="C3075" s="874"/>
      <c r="D3075" s="874"/>
      <c r="E3075" s="874"/>
      <c r="F3075" s="874"/>
      <c r="G3075" s="874"/>
      <c r="H3075" s="874"/>
      <c r="I3075" s="874"/>
      <c r="J3075" s="874"/>
    </row>
    <row r="3076" spans="2:10">
      <c r="B3076" s="873"/>
      <c r="C3076" s="874"/>
      <c r="D3076" s="874"/>
      <c r="E3076" s="874"/>
      <c r="F3076" s="874"/>
      <c r="G3076" s="874"/>
      <c r="H3076" s="874"/>
      <c r="I3076" s="874"/>
      <c r="J3076" s="874"/>
    </row>
    <row r="3077" spans="2:10">
      <c r="B3077" s="873"/>
      <c r="C3077" s="874"/>
      <c r="D3077" s="874"/>
      <c r="E3077" s="874"/>
      <c r="F3077" s="874"/>
      <c r="G3077" s="874"/>
      <c r="H3077" s="874"/>
      <c r="I3077" s="874"/>
      <c r="J3077" s="874"/>
    </row>
    <row r="3078" spans="2:10">
      <c r="B3078" s="873"/>
      <c r="C3078" s="874"/>
      <c r="D3078" s="874"/>
      <c r="E3078" s="874"/>
      <c r="F3078" s="874"/>
      <c r="G3078" s="874"/>
      <c r="H3078" s="874"/>
      <c r="I3078" s="874"/>
      <c r="J3078" s="874"/>
    </row>
    <row r="3079" spans="2:10">
      <c r="B3079" s="873"/>
      <c r="C3079" s="874"/>
      <c r="D3079" s="874"/>
      <c r="E3079" s="874"/>
      <c r="F3079" s="874"/>
      <c r="G3079" s="874"/>
      <c r="H3079" s="874"/>
      <c r="I3079" s="874"/>
      <c r="J3079" s="874"/>
    </row>
    <row r="3080" spans="2:10">
      <c r="B3080" s="873"/>
      <c r="C3080" s="874"/>
      <c r="D3080" s="874"/>
      <c r="E3080" s="874"/>
      <c r="F3080" s="874"/>
      <c r="G3080" s="874"/>
      <c r="H3080" s="874"/>
      <c r="I3080" s="874"/>
      <c r="J3080" s="874"/>
    </row>
    <row r="3081" spans="2:10">
      <c r="B3081" s="873"/>
      <c r="C3081" s="874"/>
      <c r="D3081" s="874"/>
      <c r="E3081" s="874"/>
      <c r="F3081" s="874"/>
      <c r="G3081" s="874"/>
      <c r="H3081" s="874"/>
      <c r="I3081" s="874"/>
      <c r="J3081" s="874"/>
    </row>
    <row r="3082" spans="2:10">
      <c r="B3082" s="873"/>
      <c r="C3082" s="874"/>
      <c r="D3082" s="874"/>
      <c r="E3082" s="874"/>
      <c r="F3082" s="874"/>
      <c r="G3082" s="874"/>
      <c r="H3082" s="874"/>
      <c r="I3082" s="874"/>
      <c r="J3082" s="874"/>
    </row>
    <row r="3083" spans="2:10">
      <c r="B3083" s="873"/>
      <c r="C3083" s="874"/>
      <c r="D3083" s="874"/>
      <c r="E3083" s="874"/>
      <c r="F3083" s="874"/>
      <c r="G3083" s="874"/>
      <c r="H3083" s="874"/>
      <c r="I3083" s="874"/>
      <c r="J3083" s="874"/>
    </row>
    <row r="3084" spans="2:10">
      <c r="B3084" s="873"/>
      <c r="C3084" s="874"/>
      <c r="D3084" s="874"/>
      <c r="E3084" s="874"/>
      <c r="F3084" s="874"/>
      <c r="G3084" s="874"/>
      <c r="H3084" s="874"/>
      <c r="I3084" s="874"/>
      <c r="J3084" s="874"/>
    </row>
    <row r="3085" spans="2:10">
      <c r="B3085" s="873"/>
      <c r="C3085" s="874"/>
      <c r="D3085" s="874"/>
      <c r="E3085" s="874"/>
      <c r="F3085" s="874"/>
      <c r="G3085" s="874"/>
      <c r="H3085" s="874"/>
      <c r="I3085" s="874"/>
      <c r="J3085" s="874"/>
    </row>
    <row r="3086" spans="2:10">
      <c r="B3086" s="873"/>
      <c r="C3086" s="874"/>
      <c r="D3086" s="874"/>
      <c r="E3086" s="874"/>
      <c r="F3086" s="874"/>
      <c r="G3086" s="874"/>
      <c r="H3086" s="874"/>
      <c r="I3086" s="874"/>
      <c r="J3086" s="874"/>
    </row>
    <row r="3087" spans="2:10">
      <c r="B3087" s="873"/>
      <c r="C3087" s="874"/>
      <c r="D3087" s="874"/>
      <c r="E3087" s="874"/>
      <c r="F3087" s="874"/>
      <c r="G3087" s="874"/>
      <c r="H3087" s="874"/>
      <c r="I3087" s="874"/>
      <c r="J3087" s="874"/>
    </row>
    <row r="3088" spans="2:10">
      <c r="B3088" s="873"/>
      <c r="C3088" s="874"/>
      <c r="D3088" s="874"/>
      <c r="E3088" s="874"/>
      <c r="F3088" s="874"/>
      <c r="G3088" s="874"/>
      <c r="H3088" s="874"/>
      <c r="I3088" s="874"/>
      <c r="J3088" s="874"/>
    </row>
    <row r="3089" spans="2:10">
      <c r="B3089" s="873"/>
      <c r="C3089" s="874"/>
      <c r="D3089" s="874"/>
      <c r="E3089" s="874"/>
      <c r="F3089" s="874"/>
      <c r="G3089" s="874"/>
      <c r="H3089" s="874"/>
      <c r="I3089" s="874"/>
      <c r="J3089" s="874"/>
    </row>
    <row r="3090" spans="2:10">
      <c r="B3090" s="873"/>
      <c r="C3090" s="874"/>
      <c r="D3090" s="874"/>
      <c r="E3090" s="874"/>
      <c r="F3090" s="874"/>
      <c r="G3090" s="874"/>
      <c r="H3090" s="874"/>
      <c r="I3090" s="874"/>
      <c r="J3090" s="874"/>
    </row>
    <row r="3091" spans="2:10">
      <c r="B3091" s="873"/>
      <c r="C3091" s="874"/>
      <c r="D3091" s="874"/>
      <c r="E3091" s="874"/>
      <c r="F3091" s="874"/>
      <c r="G3091" s="874"/>
      <c r="H3091" s="874"/>
      <c r="I3091" s="874"/>
      <c r="J3091" s="874"/>
    </row>
    <row r="3092" spans="2:10">
      <c r="B3092" s="873"/>
      <c r="C3092" s="874"/>
      <c r="D3092" s="874"/>
      <c r="E3092" s="874"/>
      <c r="F3092" s="874"/>
      <c r="G3092" s="874"/>
      <c r="H3092" s="874"/>
      <c r="I3092" s="874"/>
      <c r="J3092" s="874"/>
    </row>
    <row r="3093" spans="2:10">
      <c r="B3093" s="873"/>
      <c r="C3093" s="874"/>
      <c r="D3093" s="874"/>
      <c r="E3093" s="874"/>
      <c r="F3093" s="874"/>
      <c r="G3093" s="874"/>
      <c r="H3093" s="874"/>
      <c r="I3093" s="874"/>
      <c r="J3093" s="874"/>
    </row>
    <row r="3094" spans="2:10">
      <c r="B3094" s="873"/>
      <c r="C3094" s="874"/>
      <c r="D3094" s="874"/>
      <c r="E3094" s="874"/>
      <c r="F3094" s="874"/>
      <c r="G3094" s="874"/>
      <c r="H3094" s="874"/>
      <c r="I3094" s="874"/>
      <c r="J3094" s="874"/>
    </row>
    <row r="3095" spans="2:10">
      <c r="B3095" s="873"/>
      <c r="C3095" s="874"/>
      <c r="D3095" s="874"/>
      <c r="E3095" s="874"/>
      <c r="F3095" s="874"/>
      <c r="G3095" s="874"/>
      <c r="H3095" s="874"/>
      <c r="I3095" s="874"/>
      <c r="J3095" s="874"/>
    </row>
    <row r="3096" spans="2:10">
      <c r="B3096" s="873"/>
      <c r="C3096" s="874"/>
      <c r="D3096" s="874"/>
      <c r="E3096" s="874"/>
      <c r="F3096" s="874"/>
      <c r="G3096" s="874"/>
      <c r="H3096" s="874"/>
      <c r="I3096" s="874"/>
      <c r="J3096" s="874"/>
    </row>
    <row r="3097" spans="2:10">
      <c r="B3097" s="873"/>
      <c r="C3097" s="874"/>
      <c r="D3097" s="874"/>
      <c r="E3097" s="874"/>
      <c r="F3097" s="874"/>
      <c r="G3097" s="874"/>
      <c r="H3097" s="874"/>
      <c r="I3097" s="874"/>
      <c r="J3097" s="874"/>
    </row>
    <row r="3098" spans="2:10">
      <c r="B3098" s="873"/>
      <c r="C3098" s="874"/>
      <c r="D3098" s="874"/>
      <c r="E3098" s="874"/>
      <c r="F3098" s="874"/>
      <c r="G3098" s="874"/>
      <c r="H3098" s="874"/>
      <c r="I3098" s="874"/>
      <c r="J3098" s="874"/>
    </row>
    <row r="3099" spans="2:10">
      <c r="B3099" s="873"/>
      <c r="C3099" s="874"/>
      <c r="D3099" s="874"/>
      <c r="E3099" s="874"/>
      <c r="F3099" s="874"/>
      <c r="G3099" s="874"/>
      <c r="H3099" s="874"/>
      <c r="I3099" s="874"/>
      <c r="J3099" s="874"/>
    </row>
    <row r="3100" spans="2:10">
      <c r="B3100" s="873"/>
      <c r="C3100" s="874"/>
      <c r="D3100" s="874"/>
      <c r="E3100" s="874"/>
      <c r="F3100" s="874"/>
      <c r="G3100" s="874"/>
      <c r="H3100" s="874"/>
      <c r="I3100" s="874"/>
      <c r="J3100" s="874"/>
    </row>
    <row r="3101" spans="2:10">
      <c r="B3101" s="873"/>
      <c r="C3101" s="874"/>
      <c r="D3101" s="874"/>
      <c r="E3101" s="874"/>
      <c r="F3101" s="874"/>
      <c r="G3101" s="874"/>
      <c r="H3101" s="874"/>
      <c r="I3101" s="874"/>
      <c r="J3101" s="874"/>
    </row>
    <row r="3102" spans="2:10">
      <c r="B3102" s="873"/>
      <c r="C3102" s="874"/>
      <c r="D3102" s="874"/>
      <c r="E3102" s="874"/>
      <c r="F3102" s="874"/>
      <c r="G3102" s="874"/>
      <c r="H3102" s="874"/>
      <c r="I3102" s="874"/>
      <c r="J3102" s="874"/>
    </row>
    <row r="3103" spans="2:10">
      <c r="B3103" s="873"/>
      <c r="C3103" s="874"/>
      <c r="D3103" s="874"/>
      <c r="E3103" s="874"/>
      <c r="F3103" s="874"/>
      <c r="G3103" s="874"/>
      <c r="H3103" s="874"/>
      <c r="I3103" s="874"/>
      <c r="J3103" s="874"/>
    </row>
    <row r="3104" spans="2:10">
      <c r="B3104" s="873"/>
      <c r="C3104" s="874"/>
      <c r="D3104" s="874"/>
      <c r="E3104" s="874"/>
      <c r="F3104" s="874"/>
      <c r="G3104" s="874"/>
      <c r="H3104" s="874"/>
      <c r="I3104" s="874"/>
      <c r="J3104" s="874"/>
    </row>
    <row r="3105" spans="2:10">
      <c r="B3105" s="873"/>
      <c r="C3105" s="874"/>
      <c r="D3105" s="874"/>
      <c r="E3105" s="874"/>
      <c r="F3105" s="874"/>
      <c r="G3105" s="874"/>
      <c r="H3105" s="874"/>
      <c r="I3105" s="874"/>
      <c r="J3105" s="874"/>
    </row>
    <row r="3106" spans="2:10">
      <c r="B3106" s="873"/>
      <c r="C3106" s="874"/>
      <c r="D3106" s="874"/>
      <c r="E3106" s="874"/>
      <c r="F3106" s="874"/>
      <c r="G3106" s="874"/>
      <c r="H3106" s="874"/>
      <c r="I3106" s="874"/>
      <c r="J3106" s="874"/>
    </row>
    <row r="3107" spans="2:10">
      <c r="B3107" s="873"/>
      <c r="C3107" s="874"/>
      <c r="D3107" s="874"/>
      <c r="E3107" s="874"/>
      <c r="F3107" s="874"/>
      <c r="G3107" s="874"/>
      <c r="H3107" s="874"/>
      <c r="I3107" s="874"/>
      <c r="J3107" s="874"/>
    </row>
    <row r="3108" spans="2:10">
      <c r="B3108" s="873"/>
      <c r="C3108" s="874"/>
      <c r="D3108" s="874"/>
      <c r="E3108" s="874"/>
      <c r="F3108" s="874"/>
      <c r="G3108" s="874"/>
      <c r="H3108" s="874"/>
      <c r="I3108" s="874"/>
      <c r="J3108" s="874"/>
    </row>
    <row r="3109" spans="2:10">
      <c r="B3109" s="873"/>
      <c r="C3109" s="874"/>
      <c r="D3109" s="874"/>
      <c r="E3109" s="874"/>
      <c r="F3109" s="874"/>
      <c r="G3109" s="874"/>
      <c r="H3109" s="874"/>
      <c r="I3109" s="874"/>
      <c r="J3109" s="874"/>
    </row>
    <row r="3110" spans="2:10">
      <c r="B3110" s="873"/>
      <c r="C3110" s="874"/>
      <c r="D3110" s="874"/>
      <c r="E3110" s="874"/>
      <c r="F3110" s="874"/>
      <c r="G3110" s="874"/>
      <c r="H3110" s="874"/>
      <c r="I3110" s="874"/>
      <c r="J3110" s="874"/>
    </row>
    <row r="3111" spans="2:10">
      <c r="B3111" s="873"/>
      <c r="C3111" s="874"/>
      <c r="D3111" s="874"/>
      <c r="E3111" s="874"/>
      <c r="F3111" s="874"/>
      <c r="G3111" s="874"/>
      <c r="H3111" s="874"/>
      <c r="I3111" s="874"/>
      <c r="J3111" s="874"/>
    </row>
    <row r="3112" spans="2:10">
      <c r="B3112" s="873"/>
      <c r="C3112" s="874"/>
      <c r="D3112" s="874"/>
      <c r="E3112" s="874"/>
      <c r="F3112" s="874"/>
      <c r="G3112" s="874"/>
      <c r="H3112" s="874"/>
      <c r="I3112" s="874"/>
      <c r="J3112" s="874"/>
    </row>
    <row r="3113" spans="2:10">
      <c r="B3113" s="873"/>
      <c r="C3113" s="874"/>
      <c r="D3113" s="874"/>
      <c r="E3113" s="874"/>
      <c r="F3113" s="874"/>
      <c r="G3113" s="874"/>
      <c r="H3113" s="874"/>
      <c r="I3113" s="874"/>
      <c r="J3113" s="874"/>
    </row>
    <row r="3114" spans="2:10">
      <c r="B3114" s="873"/>
      <c r="C3114" s="874"/>
      <c r="D3114" s="874"/>
      <c r="E3114" s="874"/>
      <c r="F3114" s="874"/>
      <c r="G3114" s="874"/>
      <c r="H3114" s="874"/>
      <c r="I3114" s="874"/>
      <c r="J3114" s="874"/>
    </row>
    <row r="3115" spans="2:10">
      <c r="B3115" s="873"/>
      <c r="C3115" s="874"/>
      <c r="D3115" s="874"/>
      <c r="E3115" s="874"/>
      <c r="F3115" s="874"/>
      <c r="G3115" s="874"/>
      <c r="H3115" s="874"/>
      <c r="I3115" s="874"/>
      <c r="J3115" s="874"/>
    </row>
    <row r="3116" spans="2:10">
      <c r="B3116" s="873"/>
      <c r="C3116" s="874"/>
      <c r="D3116" s="874"/>
      <c r="E3116" s="874"/>
      <c r="F3116" s="874"/>
      <c r="G3116" s="874"/>
      <c r="H3116" s="874"/>
      <c r="I3116" s="874"/>
      <c r="J3116" s="874"/>
    </row>
    <row r="3117" spans="2:10">
      <c r="B3117" s="873"/>
      <c r="C3117" s="874"/>
      <c r="D3117" s="874"/>
      <c r="E3117" s="874"/>
      <c r="F3117" s="874"/>
      <c r="G3117" s="874"/>
      <c r="H3117" s="874"/>
      <c r="I3117" s="874"/>
      <c r="J3117" s="874"/>
    </row>
    <row r="3118" spans="2:10">
      <c r="B3118" s="873"/>
      <c r="C3118" s="874"/>
      <c r="D3118" s="874"/>
      <c r="E3118" s="874"/>
      <c r="F3118" s="874"/>
      <c r="G3118" s="874"/>
      <c r="H3118" s="874"/>
      <c r="I3118" s="874"/>
      <c r="J3118" s="874"/>
    </row>
    <row r="3119" spans="2:10">
      <c r="B3119" s="873"/>
      <c r="C3119" s="874"/>
      <c r="D3119" s="874"/>
      <c r="E3119" s="874"/>
      <c r="F3119" s="874"/>
      <c r="G3119" s="874"/>
      <c r="H3119" s="874"/>
      <c r="I3119" s="874"/>
      <c r="J3119" s="874"/>
    </row>
    <row r="3120" spans="2:10">
      <c r="B3120" s="873"/>
      <c r="C3120" s="874"/>
      <c r="D3120" s="874"/>
      <c r="E3120" s="874"/>
      <c r="F3120" s="874"/>
      <c r="G3120" s="874"/>
      <c r="H3120" s="874"/>
      <c r="I3120" s="874"/>
      <c r="J3120" s="874"/>
    </row>
    <row r="3121" spans="2:10">
      <c r="B3121" s="873"/>
      <c r="C3121" s="874"/>
      <c r="D3121" s="874"/>
      <c r="E3121" s="874"/>
      <c r="F3121" s="874"/>
      <c r="G3121" s="874"/>
      <c r="H3121" s="874"/>
      <c r="I3121" s="874"/>
      <c r="J3121" s="874"/>
    </row>
    <row r="3122" spans="2:10">
      <c r="B3122" s="873"/>
      <c r="C3122" s="874"/>
      <c r="D3122" s="874"/>
      <c r="E3122" s="874"/>
      <c r="F3122" s="874"/>
      <c r="G3122" s="874"/>
      <c r="H3122" s="874"/>
      <c r="I3122" s="874"/>
      <c r="J3122" s="874"/>
    </row>
    <row r="3123" spans="2:10">
      <c r="B3123" s="873"/>
      <c r="C3123" s="874"/>
      <c r="D3123" s="874"/>
      <c r="E3123" s="874"/>
      <c r="F3123" s="874"/>
      <c r="G3123" s="874"/>
      <c r="H3123" s="874"/>
      <c r="I3123" s="874"/>
      <c r="J3123" s="874"/>
    </row>
    <row r="3124" spans="2:10">
      <c r="B3124" s="873"/>
      <c r="C3124" s="874"/>
      <c r="D3124" s="874"/>
      <c r="E3124" s="874"/>
      <c r="F3124" s="874"/>
      <c r="G3124" s="874"/>
      <c r="H3124" s="874"/>
      <c r="I3124" s="874"/>
      <c r="J3124" s="874"/>
    </row>
    <row r="3125" spans="2:10">
      <c r="B3125" s="873"/>
      <c r="C3125" s="874"/>
      <c r="D3125" s="874"/>
      <c r="E3125" s="874"/>
      <c r="F3125" s="874"/>
      <c r="G3125" s="874"/>
      <c r="H3125" s="874"/>
      <c r="I3125" s="874"/>
      <c r="J3125" s="874"/>
    </row>
    <row r="3126" spans="2:10">
      <c r="B3126" s="873"/>
      <c r="C3126" s="874"/>
      <c r="D3126" s="874"/>
      <c r="E3126" s="874"/>
      <c r="F3126" s="874"/>
      <c r="G3126" s="874"/>
      <c r="H3126" s="874"/>
      <c r="I3126" s="874"/>
      <c r="J3126" s="874"/>
    </row>
    <row r="3127" spans="2:10">
      <c r="B3127" s="873"/>
      <c r="C3127" s="874"/>
      <c r="D3127" s="874"/>
      <c r="E3127" s="874"/>
      <c r="F3127" s="874"/>
      <c r="G3127" s="874"/>
      <c r="H3127" s="874"/>
      <c r="I3127" s="874"/>
      <c r="J3127" s="874"/>
    </row>
    <row r="3128" spans="2:10">
      <c r="B3128" s="873"/>
      <c r="C3128" s="874"/>
      <c r="D3128" s="874"/>
      <c r="E3128" s="874"/>
      <c r="F3128" s="874"/>
      <c r="G3128" s="874"/>
      <c r="H3128" s="874"/>
      <c r="I3128" s="874"/>
      <c r="J3128" s="874"/>
    </row>
    <row r="3129" spans="2:10">
      <c r="B3129" s="873"/>
      <c r="C3129" s="874"/>
      <c r="D3129" s="874"/>
      <c r="E3129" s="874"/>
      <c r="F3129" s="874"/>
      <c r="G3129" s="874"/>
      <c r="H3129" s="874"/>
      <c r="I3129" s="874"/>
      <c r="J3129" s="874"/>
    </row>
    <row r="3130" spans="2:10">
      <c r="B3130" s="873"/>
      <c r="C3130" s="874"/>
      <c r="D3130" s="874"/>
      <c r="E3130" s="874"/>
      <c r="F3130" s="874"/>
      <c r="G3130" s="874"/>
      <c r="H3130" s="874"/>
      <c r="I3130" s="874"/>
      <c r="J3130" s="874"/>
    </row>
    <row r="3131" spans="2:10">
      <c r="B3131" s="873"/>
      <c r="C3131" s="874"/>
      <c r="D3131" s="874"/>
      <c r="E3131" s="874"/>
      <c r="F3131" s="874"/>
      <c r="G3131" s="874"/>
      <c r="H3131" s="874"/>
      <c r="I3131" s="874"/>
      <c r="J3131" s="874"/>
    </row>
    <row r="3132" spans="2:10">
      <c r="B3132" s="873"/>
      <c r="C3132" s="874"/>
      <c r="D3132" s="874"/>
      <c r="E3132" s="874"/>
      <c r="F3132" s="874"/>
      <c r="G3132" s="874"/>
      <c r="H3132" s="874"/>
      <c r="I3132" s="874"/>
      <c r="J3132" s="874"/>
    </row>
    <row r="3133" spans="2:10">
      <c r="B3133" s="873"/>
      <c r="C3133" s="874"/>
      <c r="D3133" s="874"/>
      <c r="E3133" s="874"/>
      <c r="F3133" s="874"/>
      <c r="G3133" s="874"/>
      <c r="H3133" s="874"/>
      <c r="I3133" s="874"/>
      <c r="J3133" s="874"/>
    </row>
    <row r="3134" spans="2:10">
      <c r="B3134" s="873"/>
      <c r="C3134" s="874"/>
      <c r="D3134" s="874"/>
      <c r="E3134" s="874"/>
      <c r="F3134" s="874"/>
      <c r="G3134" s="874"/>
      <c r="H3134" s="874"/>
      <c r="I3134" s="874"/>
      <c r="J3134" s="874"/>
    </row>
    <row r="3135" spans="2:10">
      <c r="B3135" s="873"/>
      <c r="C3135" s="874"/>
      <c r="D3135" s="874"/>
      <c r="E3135" s="874"/>
      <c r="F3135" s="874"/>
      <c r="G3135" s="874"/>
      <c r="H3135" s="874"/>
      <c r="I3135" s="874"/>
      <c r="J3135" s="874"/>
    </row>
    <row r="3136" spans="2:10">
      <c r="B3136" s="873"/>
      <c r="C3136" s="874"/>
      <c r="D3136" s="874"/>
      <c r="E3136" s="874"/>
      <c r="F3136" s="874"/>
      <c r="G3136" s="874"/>
      <c r="H3136" s="874"/>
      <c r="I3136" s="874"/>
      <c r="J3136" s="874"/>
    </row>
    <row r="3137" spans="2:10">
      <c r="B3137" s="873"/>
      <c r="C3137" s="874"/>
      <c r="D3137" s="874"/>
      <c r="E3137" s="874"/>
      <c r="F3137" s="874"/>
      <c r="G3137" s="874"/>
      <c r="H3137" s="874"/>
      <c r="I3137" s="874"/>
      <c r="J3137" s="874"/>
    </row>
    <row r="3138" spans="2:10">
      <c r="B3138" s="873"/>
      <c r="C3138" s="874"/>
      <c r="D3138" s="874"/>
      <c r="E3138" s="874"/>
      <c r="F3138" s="874"/>
      <c r="G3138" s="874"/>
      <c r="H3138" s="874"/>
      <c r="I3138" s="874"/>
      <c r="J3138" s="874"/>
    </row>
    <row r="3139" spans="2:10">
      <c r="B3139" s="873"/>
      <c r="C3139" s="874"/>
      <c r="D3139" s="874"/>
      <c r="E3139" s="874"/>
      <c r="F3139" s="874"/>
      <c r="G3139" s="874"/>
      <c r="H3139" s="874"/>
      <c r="I3139" s="874"/>
      <c r="J3139" s="874"/>
    </row>
    <row r="3140" spans="2:10">
      <c r="B3140" s="873"/>
      <c r="C3140" s="874"/>
      <c r="D3140" s="874"/>
      <c r="E3140" s="874"/>
      <c r="F3140" s="874"/>
      <c r="G3140" s="874"/>
      <c r="H3140" s="874"/>
      <c r="I3140" s="874"/>
      <c r="J3140" s="874"/>
    </row>
    <row r="3141" spans="2:10">
      <c r="B3141" s="873"/>
      <c r="C3141" s="874"/>
      <c r="D3141" s="874"/>
      <c r="E3141" s="874"/>
      <c r="F3141" s="874"/>
      <c r="G3141" s="874"/>
      <c r="H3141" s="874"/>
      <c r="I3141" s="874"/>
      <c r="J3141" s="874"/>
    </row>
    <row r="3142" spans="2:10">
      <c r="B3142" s="873"/>
      <c r="C3142" s="874"/>
      <c r="D3142" s="874"/>
      <c r="E3142" s="874"/>
      <c r="F3142" s="874"/>
      <c r="G3142" s="874"/>
      <c r="H3142" s="874"/>
      <c r="I3142" s="874"/>
      <c r="J3142" s="874"/>
    </row>
    <row r="3143" spans="2:10">
      <c r="B3143" s="873"/>
      <c r="C3143" s="874"/>
      <c r="D3143" s="874"/>
      <c r="E3143" s="874"/>
      <c r="F3143" s="874"/>
      <c r="G3143" s="874"/>
      <c r="H3143" s="874"/>
      <c r="I3143" s="874"/>
      <c r="J3143" s="874"/>
    </row>
    <row r="3144" spans="2:10">
      <c r="B3144" s="873"/>
      <c r="C3144" s="874"/>
      <c r="D3144" s="874"/>
      <c r="E3144" s="874"/>
      <c r="F3144" s="874"/>
      <c r="G3144" s="874"/>
      <c r="H3144" s="874"/>
      <c r="I3144" s="874"/>
      <c r="J3144" s="874"/>
    </row>
    <row r="3145" spans="2:10">
      <c r="B3145" s="873"/>
      <c r="C3145" s="874"/>
      <c r="D3145" s="874"/>
      <c r="E3145" s="874"/>
      <c r="F3145" s="874"/>
      <c r="G3145" s="874"/>
      <c r="H3145" s="874"/>
      <c r="I3145" s="874"/>
      <c r="J3145" s="874"/>
    </row>
    <row r="3146" spans="2:10">
      <c r="B3146" s="873"/>
      <c r="C3146" s="874"/>
      <c r="D3146" s="874"/>
      <c r="E3146" s="874"/>
      <c r="F3146" s="874"/>
      <c r="G3146" s="874"/>
      <c r="H3146" s="874"/>
      <c r="I3146" s="874"/>
      <c r="J3146" s="874"/>
    </row>
    <row r="3147" spans="2:10">
      <c r="B3147" s="873"/>
      <c r="C3147" s="874"/>
      <c r="D3147" s="874"/>
      <c r="E3147" s="874"/>
      <c r="F3147" s="874"/>
      <c r="G3147" s="874"/>
      <c r="H3147" s="874"/>
      <c r="I3147" s="874"/>
      <c r="J3147" s="874"/>
    </row>
    <row r="3148" spans="2:10">
      <c r="B3148" s="873"/>
      <c r="C3148" s="874"/>
      <c r="D3148" s="874"/>
      <c r="E3148" s="874"/>
      <c r="F3148" s="874"/>
      <c r="G3148" s="874"/>
      <c r="H3148" s="874"/>
      <c r="I3148" s="874"/>
      <c r="J3148" s="874"/>
    </row>
    <row r="3149" spans="2:10">
      <c r="B3149" s="873"/>
      <c r="C3149" s="874"/>
      <c r="D3149" s="874"/>
      <c r="E3149" s="874"/>
      <c r="F3149" s="874"/>
      <c r="G3149" s="874"/>
      <c r="H3149" s="874"/>
      <c r="I3149" s="874"/>
      <c r="J3149" s="874"/>
    </row>
    <row r="3150" spans="2:10">
      <c r="B3150" s="873"/>
      <c r="C3150" s="874"/>
      <c r="D3150" s="874"/>
      <c r="E3150" s="874"/>
      <c r="F3150" s="874"/>
      <c r="G3150" s="874"/>
      <c r="H3150" s="874"/>
      <c r="I3150" s="874"/>
      <c r="J3150" s="874"/>
    </row>
    <row r="3151" spans="2:10">
      <c r="B3151" s="873"/>
      <c r="C3151" s="874"/>
      <c r="D3151" s="874"/>
      <c r="E3151" s="874"/>
      <c r="F3151" s="874"/>
      <c r="G3151" s="874"/>
      <c r="H3151" s="874"/>
      <c r="I3151" s="874"/>
      <c r="J3151" s="874"/>
    </row>
    <row r="3152" spans="2:10">
      <c r="B3152" s="873"/>
      <c r="C3152" s="874"/>
      <c r="D3152" s="874"/>
      <c r="E3152" s="874"/>
      <c r="F3152" s="874"/>
      <c r="G3152" s="874"/>
      <c r="H3152" s="874"/>
      <c r="I3152" s="874"/>
      <c r="J3152" s="874"/>
    </row>
    <row r="3153" spans="2:10">
      <c r="B3153" s="873"/>
      <c r="C3153" s="874"/>
      <c r="D3153" s="874"/>
      <c r="E3153" s="874"/>
      <c r="F3153" s="874"/>
      <c r="G3153" s="874"/>
      <c r="H3153" s="874"/>
      <c r="I3153" s="874"/>
      <c r="J3153" s="874"/>
    </row>
    <row r="3154" spans="2:10">
      <c r="B3154" s="873"/>
      <c r="C3154" s="874"/>
      <c r="D3154" s="874"/>
      <c r="E3154" s="874"/>
      <c r="F3154" s="874"/>
      <c r="G3154" s="874"/>
      <c r="H3154" s="874"/>
      <c r="I3154" s="874"/>
      <c r="J3154" s="874"/>
    </row>
    <row r="3155" spans="2:10">
      <c r="B3155" s="873"/>
      <c r="C3155" s="874"/>
      <c r="D3155" s="874"/>
      <c r="E3155" s="874"/>
      <c r="F3155" s="874"/>
      <c r="G3155" s="874"/>
      <c r="H3155" s="874"/>
      <c r="I3155" s="874"/>
      <c r="J3155" s="874"/>
    </row>
    <row r="3156" spans="2:10">
      <c r="B3156" s="873"/>
      <c r="C3156" s="874"/>
      <c r="D3156" s="874"/>
      <c r="E3156" s="874"/>
      <c r="F3156" s="874"/>
      <c r="G3156" s="874"/>
      <c r="H3156" s="874"/>
      <c r="I3156" s="874"/>
      <c r="J3156" s="874"/>
    </row>
    <row r="3157" spans="2:10">
      <c r="B3157" s="873"/>
      <c r="C3157" s="874"/>
      <c r="D3157" s="874"/>
      <c r="E3157" s="874"/>
      <c r="F3157" s="874"/>
      <c r="G3157" s="874"/>
      <c r="H3157" s="874"/>
      <c r="I3157" s="874"/>
      <c r="J3157" s="874"/>
    </row>
    <row r="3158" spans="2:10">
      <c r="B3158" s="873"/>
      <c r="C3158" s="874"/>
      <c r="D3158" s="874"/>
      <c r="E3158" s="874"/>
      <c r="F3158" s="874"/>
      <c r="G3158" s="874"/>
      <c r="H3158" s="874"/>
      <c r="I3158" s="874"/>
      <c r="J3158" s="874"/>
    </row>
    <row r="3159" spans="2:10">
      <c r="B3159" s="873"/>
      <c r="C3159" s="874"/>
      <c r="D3159" s="874"/>
      <c r="E3159" s="874"/>
      <c r="F3159" s="874"/>
      <c r="G3159" s="874"/>
      <c r="H3159" s="874"/>
      <c r="I3159" s="874"/>
      <c r="J3159" s="874"/>
    </row>
    <row r="3160" spans="2:10">
      <c r="B3160" s="873"/>
      <c r="C3160" s="874"/>
      <c r="D3160" s="874"/>
      <c r="E3160" s="874"/>
      <c r="F3160" s="874"/>
      <c r="G3160" s="874"/>
      <c r="H3160" s="874"/>
      <c r="I3160" s="874"/>
      <c r="J3160" s="874"/>
    </row>
    <row r="3161" spans="2:10">
      <c r="B3161" s="873"/>
      <c r="C3161" s="874"/>
      <c r="D3161" s="874"/>
      <c r="E3161" s="874"/>
      <c r="F3161" s="874"/>
      <c r="G3161" s="874"/>
      <c r="H3161" s="874"/>
      <c r="I3161" s="874"/>
      <c r="J3161" s="874"/>
    </row>
    <row r="3162" spans="2:10">
      <c r="B3162" s="873"/>
      <c r="C3162" s="874"/>
      <c r="D3162" s="874"/>
      <c r="E3162" s="874"/>
      <c r="F3162" s="874"/>
      <c r="G3162" s="874"/>
      <c r="H3162" s="874"/>
      <c r="I3162" s="874"/>
      <c r="J3162" s="874"/>
    </row>
    <row r="3163" spans="2:10">
      <c r="B3163" s="873"/>
      <c r="C3163" s="874"/>
      <c r="D3163" s="874"/>
      <c r="E3163" s="874"/>
      <c r="F3163" s="874"/>
      <c r="G3163" s="874"/>
      <c r="H3163" s="874"/>
      <c r="I3163" s="874"/>
      <c r="J3163" s="874"/>
    </row>
    <row r="3164" spans="2:10">
      <c r="B3164" s="873"/>
      <c r="C3164" s="874"/>
      <c r="D3164" s="874"/>
      <c r="E3164" s="874"/>
      <c r="F3164" s="874"/>
      <c r="G3164" s="874"/>
      <c r="H3164" s="874"/>
      <c r="I3164" s="874"/>
      <c r="J3164" s="874"/>
    </row>
    <row r="3165" spans="2:10">
      <c r="B3165" s="873"/>
      <c r="C3165" s="874"/>
      <c r="D3165" s="874"/>
      <c r="E3165" s="874"/>
      <c r="F3165" s="874"/>
      <c r="G3165" s="874"/>
      <c r="H3165" s="874"/>
      <c r="I3165" s="874"/>
      <c r="J3165" s="874"/>
    </row>
    <row r="3166" spans="2:10">
      <c r="B3166" s="873"/>
      <c r="C3166" s="874"/>
      <c r="D3166" s="874"/>
      <c r="E3166" s="874"/>
      <c r="F3166" s="874"/>
      <c r="G3166" s="874"/>
      <c r="H3166" s="874"/>
      <c r="I3166" s="874"/>
      <c r="J3166" s="874"/>
    </row>
    <row r="3167" spans="2:10">
      <c r="B3167" s="873"/>
      <c r="C3167" s="874"/>
      <c r="D3167" s="874"/>
      <c r="E3167" s="874"/>
      <c r="F3167" s="874"/>
      <c r="G3167" s="874"/>
      <c r="H3167" s="874"/>
      <c r="I3167" s="874"/>
      <c r="J3167" s="874"/>
    </row>
    <row r="3168" spans="2:10">
      <c r="B3168" s="873"/>
      <c r="C3168" s="874"/>
      <c r="D3168" s="874"/>
      <c r="E3168" s="874"/>
      <c r="F3168" s="874"/>
      <c r="G3168" s="874"/>
      <c r="H3168" s="874"/>
      <c r="I3168" s="874"/>
      <c r="J3168" s="874"/>
    </row>
    <row r="3169" spans="2:10">
      <c r="B3169" s="873"/>
      <c r="C3169" s="874"/>
      <c r="D3169" s="874"/>
      <c r="E3169" s="874"/>
      <c r="F3169" s="874"/>
      <c r="G3169" s="874"/>
      <c r="H3169" s="874"/>
      <c r="I3169" s="874"/>
      <c r="J3169" s="874"/>
    </row>
    <row r="3170" spans="2:10">
      <c r="B3170" s="873"/>
      <c r="C3170" s="874"/>
      <c r="D3170" s="874"/>
      <c r="E3170" s="874"/>
      <c r="F3170" s="874"/>
      <c r="G3170" s="874"/>
      <c r="H3170" s="874"/>
      <c r="I3170" s="874"/>
      <c r="J3170" s="874"/>
    </row>
    <row r="3171" spans="2:10">
      <c r="B3171" s="873"/>
      <c r="C3171" s="874"/>
      <c r="D3171" s="874"/>
      <c r="E3171" s="874"/>
      <c r="F3171" s="874"/>
      <c r="G3171" s="874"/>
      <c r="H3171" s="874"/>
      <c r="I3171" s="874"/>
      <c r="J3171" s="874"/>
    </row>
    <row r="3172" spans="2:10">
      <c r="B3172" s="873"/>
      <c r="C3172" s="874"/>
      <c r="D3172" s="874"/>
      <c r="E3172" s="874"/>
      <c r="F3172" s="874"/>
      <c r="G3172" s="874"/>
      <c r="H3172" s="874"/>
      <c r="I3172" s="874"/>
      <c r="J3172" s="874"/>
    </row>
    <row r="3173" spans="2:10">
      <c r="B3173" s="873"/>
      <c r="C3173" s="874"/>
      <c r="D3173" s="874"/>
      <c r="E3173" s="874"/>
      <c r="F3173" s="874"/>
      <c r="G3173" s="874"/>
      <c r="H3173" s="874"/>
      <c r="I3173" s="874"/>
      <c r="J3173" s="874"/>
    </row>
    <row r="3174" spans="2:10">
      <c r="B3174" s="873"/>
      <c r="C3174" s="874"/>
      <c r="D3174" s="874"/>
      <c r="E3174" s="874"/>
      <c r="F3174" s="874"/>
      <c r="G3174" s="874"/>
      <c r="H3174" s="874"/>
      <c r="I3174" s="874"/>
      <c r="J3174" s="874"/>
    </row>
    <row r="3175" spans="2:10">
      <c r="B3175" s="873"/>
      <c r="C3175" s="874"/>
      <c r="D3175" s="874"/>
      <c r="E3175" s="874"/>
      <c r="F3175" s="874"/>
      <c r="G3175" s="874"/>
      <c r="H3175" s="874"/>
      <c r="I3175" s="874"/>
      <c r="J3175" s="874"/>
    </row>
    <row r="3176" spans="2:10">
      <c r="B3176" s="873"/>
      <c r="C3176" s="874"/>
      <c r="D3176" s="874"/>
      <c r="E3176" s="874"/>
      <c r="F3176" s="874"/>
      <c r="G3176" s="874"/>
      <c r="H3176" s="874"/>
      <c r="I3176" s="874"/>
      <c r="J3176" s="874"/>
    </row>
    <row r="3177" spans="2:10">
      <c r="B3177" s="873"/>
      <c r="C3177" s="874"/>
      <c r="D3177" s="874"/>
      <c r="E3177" s="874"/>
      <c r="F3177" s="874"/>
      <c r="G3177" s="874"/>
      <c r="H3177" s="874"/>
      <c r="I3177" s="874"/>
      <c r="J3177" s="874"/>
    </row>
    <row r="3178" spans="2:10">
      <c r="B3178" s="873"/>
      <c r="C3178" s="874"/>
      <c r="D3178" s="874"/>
      <c r="E3178" s="874"/>
      <c r="F3178" s="874"/>
      <c r="G3178" s="874"/>
      <c r="H3178" s="874"/>
      <c r="I3178" s="874"/>
      <c r="J3178" s="874"/>
    </row>
    <row r="3179" spans="2:10">
      <c r="B3179" s="873"/>
      <c r="C3179" s="874"/>
      <c r="D3179" s="874"/>
      <c r="E3179" s="874"/>
      <c r="F3179" s="874"/>
      <c r="G3179" s="874"/>
      <c r="H3179" s="874"/>
      <c r="I3179" s="874"/>
      <c r="J3179" s="874"/>
    </row>
    <row r="3180" spans="2:10">
      <c r="B3180" s="873"/>
      <c r="C3180" s="874"/>
      <c r="D3180" s="874"/>
      <c r="E3180" s="874"/>
      <c r="F3180" s="874"/>
      <c r="G3180" s="874"/>
      <c r="H3180" s="874"/>
      <c r="I3180" s="874"/>
      <c r="J3180" s="874"/>
    </row>
    <row r="3181" spans="2:10">
      <c r="B3181" s="873"/>
      <c r="C3181" s="874"/>
      <c r="D3181" s="874"/>
      <c r="E3181" s="874"/>
      <c r="F3181" s="874"/>
      <c r="G3181" s="874"/>
      <c r="H3181" s="874"/>
      <c r="I3181" s="874"/>
      <c r="J3181" s="874"/>
    </row>
    <row r="3182" spans="2:10">
      <c r="B3182" s="873"/>
      <c r="C3182" s="874"/>
      <c r="D3182" s="874"/>
      <c r="E3182" s="874"/>
      <c r="F3182" s="874"/>
      <c r="G3182" s="874"/>
      <c r="H3182" s="874"/>
      <c r="I3182" s="874"/>
      <c r="J3182" s="874"/>
    </row>
    <row r="3183" spans="2:10">
      <c r="B3183" s="873"/>
      <c r="C3183" s="874"/>
      <c r="D3183" s="874"/>
      <c r="E3183" s="874"/>
      <c r="F3183" s="874"/>
      <c r="G3183" s="874"/>
      <c r="H3183" s="874"/>
      <c r="I3183" s="874"/>
      <c r="J3183" s="874"/>
    </row>
    <row r="3184" spans="2:10">
      <c r="B3184" s="873"/>
      <c r="C3184" s="874"/>
      <c r="D3184" s="874"/>
      <c r="E3184" s="874"/>
      <c r="F3184" s="874"/>
      <c r="G3184" s="874"/>
      <c r="H3184" s="874"/>
      <c r="I3184" s="874"/>
      <c r="J3184" s="874"/>
    </row>
    <row r="3185" spans="2:10">
      <c r="B3185" s="873"/>
      <c r="C3185" s="874"/>
      <c r="D3185" s="874"/>
      <c r="E3185" s="874"/>
      <c r="F3185" s="874"/>
      <c r="G3185" s="874"/>
      <c r="H3185" s="874"/>
      <c r="I3185" s="874"/>
      <c r="J3185" s="874"/>
    </row>
    <row r="3186" spans="2:10">
      <c r="B3186" s="873"/>
      <c r="C3186" s="874"/>
      <c r="D3186" s="874"/>
      <c r="E3186" s="874"/>
      <c r="F3186" s="874"/>
      <c r="G3186" s="874"/>
      <c r="H3186" s="874"/>
      <c r="I3186" s="874"/>
      <c r="J3186" s="874"/>
    </row>
    <row r="3187" spans="2:10">
      <c r="B3187" s="873"/>
      <c r="C3187" s="874"/>
      <c r="D3187" s="874"/>
      <c r="E3187" s="874"/>
      <c r="F3187" s="874"/>
      <c r="G3187" s="874"/>
      <c r="H3187" s="874"/>
      <c r="I3187" s="874"/>
      <c r="J3187" s="874"/>
    </row>
    <row r="3188" spans="2:10">
      <c r="B3188" s="873"/>
      <c r="C3188" s="874"/>
      <c r="D3188" s="874"/>
      <c r="E3188" s="874"/>
      <c r="F3188" s="874"/>
      <c r="G3188" s="874"/>
      <c r="H3188" s="874"/>
      <c r="I3188" s="874"/>
      <c r="J3188" s="874"/>
    </row>
    <row r="3189" spans="2:10">
      <c r="B3189" s="873"/>
      <c r="C3189" s="874"/>
      <c r="D3189" s="874"/>
      <c r="E3189" s="874"/>
      <c r="F3189" s="874"/>
      <c r="G3189" s="874"/>
      <c r="H3189" s="874"/>
      <c r="I3189" s="874"/>
      <c r="J3189" s="874"/>
    </row>
    <row r="3190" spans="2:10">
      <c r="B3190" s="873"/>
      <c r="C3190" s="874"/>
      <c r="D3190" s="874"/>
      <c r="E3190" s="874"/>
      <c r="F3190" s="874"/>
      <c r="G3190" s="874"/>
      <c r="H3190" s="874"/>
      <c r="I3190" s="874"/>
      <c r="J3190" s="874"/>
    </row>
    <row r="3191" spans="2:10">
      <c r="B3191" s="873"/>
      <c r="C3191" s="874"/>
      <c r="D3191" s="874"/>
      <c r="E3191" s="874"/>
      <c r="F3191" s="874"/>
      <c r="G3191" s="874"/>
      <c r="H3191" s="874"/>
      <c r="I3191" s="874"/>
      <c r="J3191" s="874"/>
    </row>
    <row r="3192" spans="2:10">
      <c r="B3192" s="873"/>
      <c r="C3192" s="874"/>
      <c r="D3192" s="874"/>
      <c r="E3192" s="874"/>
      <c r="F3192" s="874"/>
      <c r="G3192" s="874"/>
      <c r="H3192" s="874"/>
      <c r="I3192" s="874"/>
      <c r="J3192" s="874"/>
    </row>
    <row r="3193" spans="2:10">
      <c r="B3193" s="873"/>
      <c r="C3193" s="874"/>
      <c r="D3193" s="874"/>
      <c r="E3193" s="874"/>
      <c r="F3193" s="874"/>
      <c r="G3193" s="874"/>
      <c r="H3193" s="874"/>
      <c r="I3193" s="874"/>
      <c r="J3193" s="874"/>
    </row>
    <row r="3194" spans="2:10">
      <c r="B3194" s="873"/>
      <c r="C3194" s="874"/>
      <c r="D3194" s="874"/>
      <c r="E3194" s="874"/>
      <c r="F3194" s="874"/>
      <c r="G3194" s="874"/>
      <c r="H3194" s="874"/>
      <c r="I3194" s="874"/>
      <c r="J3194" s="874"/>
    </row>
    <row r="3195" spans="2:10">
      <c r="B3195" s="873"/>
      <c r="C3195" s="874"/>
      <c r="D3195" s="874"/>
      <c r="E3195" s="874"/>
      <c r="F3195" s="874"/>
      <c r="G3195" s="874"/>
      <c r="H3195" s="874"/>
      <c r="I3195" s="874"/>
      <c r="J3195" s="874"/>
    </row>
    <row r="3196" spans="2:10">
      <c r="B3196" s="873"/>
      <c r="C3196" s="874"/>
      <c r="D3196" s="874"/>
      <c r="E3196" s="874"/>
      <c r="F3196" s="874"/>
      <c r="G3196" s="874"/>
      <c r="H3196" s="874"/>
      <c r="I3196" s="874"/>
      <c r="J3196" s="874"/>
    </row>
    <row r="3197" spans="2:10">
      <c r="B3197" s="873"/>
      <c r="C3197" s="874"/>
      <c r="D3197" s="874"/>
      <c r="E3197" s="874"/>
      <c r="F3197" s="874"/>
      <c r="G3197" s="874"/>
      <c r="H3197" s="874"/>
      <c r="I3197" s="874"/>
      <c r="J3197" s="874"/>
    </row>
    <row r="3198" spans="2:10">
      <c r="B3198" s="873"/>
      <c r="C3198" s="874"/>
      <c r="D3198" s="874"/>
      <c r="E3198" s="874"/>
      <c r="F3198" s="874"/>
      <c r="G3198" s="874"/>
      <c r="H3198" s="874"/>
      <c r="I3198" s="874"/>
      <c r="J3198" s="874"/>
    </row>
    <row r="3199" spans="2:10">
      <c r="B3199" s="873"/>
      <c r="C3199" s="874"/>
      <c r="D3199" s="874"/>
      <c r="E3199" s="874"/>
      <c r="F3199" s="874"/>
      <c r="G3199" s="874"/>
      <c r="H3199" s="874"/>
      <c r="I3199" s="874"/>
      <c r="J3199" s="874"/>
    </row>
    <row r="3200" spans="2:10">
      <c r="B3200" s="873"/>
      <c r="C3200" s="874"/>
      <c r="D3200" s="874"/>
      <c r="E3200" s="874"/>
      <c r="F3200" s="874"/>
      <c r="G3200" s="874"/>
      <c r="H3200" s="874"/>
      <c r="I3200" s="874"/>
      <c r="J3200" s="874"/>
    </row>
    <row r="3201" spans="2:10">
      <c r="B3201" s="873"/>
      <c r="C3201" s="874"/>
      <c r="D3201" s="874"/>
      <c r="E3201" s="874"/>
      <c r="F3201" s="874"/>
      <c r="G3201" s="874"/>
      <c r="H3201" s="874"/>
      <c r="I3201" s="874"/>
      <c r="J3201" s="874"/>
    </row>
    <row r="3202" spans="2:10">
      <c r="B3202" s="873"/>
      <c r="C3202" s="874"/>
      <c r="D3202" s="874"/>
      <c r="E3202" s="874"/>
      <c r="F3202" s="874"/>
      <c r="G3202" s="874"/>
      <c r="H3202" s="874"/>
      <c r="I3202" s="874"/>
      <c r="J3202" s="874"/>
    </row>
    <row r="3203" spans="2:10">
      <c r="B3203" s="873"/>
      <c r="C3203" s="874"/>
      <c r="D3203" s="874"/>
      <c r="E3203" s="874"/>
      <c r="F3203" s="874"/>
      <c r="G3203" s="874"/>
      <c r="H3203" s="874"/>
      <c r="I3203" s="874"/>
      <c r="J3203" s="874"/>
    </row>
    <row r="3204" spans="2:10">
      <c r="B3204" s="873"/>
      <c r="C3204" s="874"/>
      <c r="D3204" s="874"/>
      <c r="E3204" s="874"/>
      <c r="F3204" s="874"/>
      <c r="G3204" s="874"/>
      <c r="H3204" s="874"/>
      <c r="I3204" s="874"/>
      <c r="J3204" s="874"/>
    </row>
    <row r="3205" spans="2:10">
      <c r="B3205" s="873"/>
      <c r="C3205" s="874"/>
      <c r="D3205" s="874"/>
      <c r="E3205" s="874"/>
      <c r="F3205" s="874"/>
      <c r="G3205" s="874"/>
      <c r="H3205" s="874"/>
      <c r="I3205" s="874"/>
      <c r="J3205" s="874"/>
    </row>
    <row r="3206" spans="2:10">
      <c r="B3206" s="873"/>
      <c r="C3206" s="874"/>
      <c r="D3206" s="874"/>
      <c r="E3206" s="874"/>
      <c r="F3206" s="874"/>
      <c r="G3206" s="874"/>
      <c r="H3206" s="874"/>
      <c r="I3206" s="874"/>
      <c r="J3206" s="874"/>
    </row>
    <row r="3207" spans="2:10">
      <c r="B3207" s="873"/>
      <c r="C3207" s="874"/>
      <c r="D3207" s="874"/>
      <c r="E3207" s="874"/>
      <c r="F3207" s="874"/>
      <c r="G3207" s="874"/>
      <c r="H3207" s="874"/>
      <c r="I3207" s="874"/>
      <c r="J3207" s="874"/>
    </row>
    <row r="3208" spans="2:10">
      <c r="B3208" s="873"/>
      <c r="C3208" s="874"/>
      <c r="D3208" s="874"/>
      <c r="E3208" s="874"/>
      <c r="F3208" s="874"/>
      <c r="G3208" s="874"/>
      <c r="H3208" s="874"/>
      <c r="I3208" s="874"/>
      <c r="J3208" s="874"/>
    </row>
    <row r="3209" spans="2:10">
      <c r="B3209" s="873"/>
      <c r="C3209" s="874"/>
      <c r="D3209" s="874"/>
      <c r="E3209" s="874"/>
      <c r="F3209" s="874"/>
      <c r="G3209" s="874"/>
      <c r="H3209" s="874"/>
      <c r="I3209" s="874"/>
      <c r="J3209" s="874"/>
    </row>
    <row r="3210" spans="2:10">
      <c r="B3210" s="873"/>
      <c r="C3210" s="874"/>
      <c r="D3210" s="874"/>
      <c r="E3210" s="874"/>
      <c r="F3210" s="874"/>
      <c r="G3210" s="874"/>
      <c r="H3210" s="874"/>
      <c r="I3210" s="874"/>
      <c r="J3210" s="874"/>
    </row>
    <row r="3211" spans="2:10">
      <c r="B3211" s="873"/>
      <c r="C3211" s="874"/>
      <c r="D3211" s="874"/>
      <c r="E3211" s="874"/>
      <c r="F3211" s="874"/>
      <c r="G3211" s="874"/>
      <c r="H3211" s="874"/>
      <c r="I3211" s="874"/>
      <c r="J3211" s="874"/>
    </row>
    <row r="3212" spans="2:10">
      <c r="B3212" s="873"/>
      <c r="C3212" s="874"/>
      <c r="D3212" s="874"/>
      <c r="E3212" s="874"/>
      <c r="F3212" s="874"/>
      <c r="G3212" s="874"/>
      <c r="H3212" s="874"/>
      <c r="I3212" s="874"/>
      <c r="J3212" s="874"/>
    </row>
    <row r="3213" spans="2:10">
      <c r="B3213" s="873"/>
      <c r="C3213" s="874"/>
      <c r="D3213" s="874"/>
      <c r="E3213" s="874"/>
      <c r="F3213" s="874"/>
      <c r="G3213" s="874"/>
      <c r="H3213" s="874"/>
      <c r="I3213" s="874"/>
      <c r="J3213" s="874"/>
    </row>
    <row r="3214" spans="2:10">
      <c r="B3214" s="873"/>
      <c r="C3214" s="874"/>
      <c r="D3214" s="874"/>
      <c r="E3214" s="874"/>
      <c r="F3214" s="874"/>
      <c r="G3214" s="874"/>
      <c r="H3214" s="874"/>
      <c r="I3214" s="874"/>
      <c r="J3214" s="874"/>
    </row>
    <row r="3215" spans="2:10">
      <c r="B3215" s="873"/>
      <c r="C3215" s="874"/>
      <c r="D3215" s="874"/>
      <c r="E3215" s="874"/>
      <c r="F3215" s="874"/>
      <c r="G3215" s="874"/>
      <c r="H3215" s="874"/>
      <c r="I3215" s="874"/>
      <c r="J3215" s="874"/>
    </row>
    <row r="3216" spans="2:10">
      <c r="B3216" s="873"/>
      <c r="C3216" s="874"/>
      <c r="D3216" s="874"/>
      <c r="E3216" s="874"/>
      <c r="F3216" s="874"/>
      <c r="G3216" s="874"/>
      <c r="H3216" s="874"/>
      <c r="I3216" s="874"/>
      <c r="J3216" s="874"/>
    </row>
    <row r="3217" spans="2:10">
      <c r="B3217" s="873"/>
      <c r="C3217" s="874"/>
      <c r="D3217" s="874"/>
      <c r="E3217" s="874"/>
      <c r="F3217" s="874"/>
      <c r="G3217" s="874"/>
      <c r="H3217" s="874"/>
      <c r="I3217" s="874"/>
      <c r="J3217" s="874"/>
    </row>
    <row r="3218" spans="2:10">
      <c r="B3218" s="873"/>
      <c r="C3218" s="874"/>
      <c r="D3218" s="874"/>
      <c r="E3218" s="874"/>
      <c r="F3218" s="874"/>
      <c r="G3218" s="874"/>
      <c r="H3218" s="874"/>
      <c r="I3218" s="874"/>
      <c r="J3218" s="874"/>
    </row>
    <row r="3219" spans="2:10">
      <c r="B3219" s="873"/>
      <c r="C3219" s="874"/>
      <c r="D3219" s="874"/>
      <c r="E3219" s="874"/>
      <c r="F3219" s="874"/>
      <c r="G3219" s="874"/>
      <c r="H3219" s="874"/>
      <c r="I3219" s="874"/>
      <c r="J3219" s="874"/>
    </row>
    <row r="3220" spans="2:10">
      <c r="B3220" s="873"/>
      <c r="C3220" s="874"/>
      <c r="D3220" s="874"/>
      <c r="E3220" s="874"/>
      <c r="F3220" s="874"/>
      <c r="G3220" s="874"/>
      <c r="H3220" s="874"/>
      <c r="I3220" s="874"/>
      <c r="J3220" s="874"/>
    </row>
    <row r="3221" spans="2:10">
      <c r="B3221" s="873"/>
      <c r="C3221" s="874"/>
      <c r="D3221" s="874"/>
      <c r="E3221" s="874"/>
      <c r="F3221" s="874"/>
      <c r="G3221" s="874"/>
      <c r="H3221" s="874"/>
      <c r="I3221" s="874"/>
      <c r="J3221" s="874"/>
    </row>
    <row r="3222" spans="2:10">
      <c r="B3222" s="873"/>
      <c r="C3222" s="874"/>
      <c r="D3222" s="874"/>
      <c r="E3222" s="874"/>
      <c r="F3222" s="874"/>
      <c r="G3222" s="874"/>
      <c r="H3222" s="874"/>
      <c r="I3222" s="874"/>
      <c r="J3222" s="874"/>
    </row>
    <row r="3223" spans="2:10">
      <c r="B3223" s="873"/>
      <c r="C3223" s="874"/>
      <c r="D3223" s="874"/>
      <c r="E3223" s="874"/>
      <c r="F3223" s="874"/>
      <c r="G3223" s="874"/>
      <c r="H3223" s="874"/>
      <c r="I3223" s="874"/>
      <c r="J3223" s="874"/>
    </row>
    <row r="3224" spans="2:10">
      <c r="B3224" s="873"/>
      <c r="C3224" s="874"/>
      <c r="D3224" s="874"/>
      <c r="E3224" s="874"/>
      <c r="F3224" s="874"/>
      <c r="G3224" s="874"/>
      <c r="H3224" s="874"/>
      <c r="I3224" s="874"/>
      <c r="J3224" s="874"/>
    </row>
    <row r="3225" spans="2:10">
      <c r="B3225" s="873"/>
      <c r="C3225" s="874"/>
      <c r="D3225" s="874"/>
      <c r="E3225" s="874"/>
      <c r="F3225" s="874"/>
      <c r="G3225" s="874"/>
      <c r="H3225" s="874"/>
      <c r="I3225" s="874"/>
      <c r="J3225" s="874"/>
    </row>
    <row r="3226" spans="2:10">
      <c r="B3226" s="873"/>
      <c r="C3226" s="874"/>
      <c r="D3226" s="874"/>
      <c r="E3226" s="874"/>
      <c r="F3226" s="874"/>
      <c r="G3226" s="874"/>
      <c r="H3226" s="874"/>
      <c r="I3226" s="874"/>
      <c r="J3226" s="874"/>
    </row>
    <row r="3227" spans="2:10">
      <c r="B3227" s="873"/>
      <c r="C3227" s="874"/>
      <c r="D3227" s="874"/>
      <c r="E3227" s="874"/>
      <c r="F3227" s="874"/>
      <c r="G3227" s="874"/>
      <c r="H3227" s="874"/>
      <c r="I3227" s="874"/>
      <c r="J3227" s="874"/>
    </row>
    <row r="3228" spans="2:10">
      <c r="B3228" s="873"/>
      <c r="C3228" s="874"/>
      <c r="D3228" s="874"/>
      <c r="E3228" s="874"/>
      <c r="F3228" s="874"/>
      <c r="G3228" s="874"/>
      <c r="H3228" s="874"/>
      <c r="I3228" s="874"/>
      <c r="J3228" s="874"/>
    </row>
    <row r="3229" spans="2:10">
      <c r="B3229" s="873"/>
      <c r="C3229" s="874"/>
      <c r="D3229" s="874"/>
      <c r="E3229" s="874"/>
      <c r="F3229" s="874"/>
      <c r="G3229" s="874"/>
      <c r="H3229" s="874"/>
      <c r="I3229" s="874"/>
      <c r="J3229" s="874"/>
    </row>
    <row r="3230" spans="2:10">
      <c r="B3230" s="873"/>
      <c r="C3230" s="874"/>
      <c r="D3230" s="874"/>
      <c r="E3230" s="874"/>
      <c r="F3230" s="874"/>
      <c r="G3230" s="874"/>
      <c r="H3230" s="874"/>
      <c r="I3230" s="874"/>
      <c r="J3230" s="874"/>
    </row>
    <row r="3231" spans="2:10">
      <c r="B3231" s="873"/>
      <c r="C3231" s="874"/>
      <c r="D3231" s="874"/>
      <c r="E3231" s="874"/>
      <c r="F3231" s="874"/>
      <c r="G3231" s="874"/>
      <c r="H3231" s="874"/>
      <c r="I3231" s="874"/>
      <c r="J3231" s="874"/>
    </row>
    <row r="3232" spans="2:10">
      <c r="B3232" s="873"/>
      <c r="C3232" s="874"/>
      <c r="D3232" s="874"/>
      <c r="E3232" s="874"/>
      <c r="F3232" s="874"/>
      <c r="G3232" s="874"/>
      <c r="H3232" s="874"/>
      <c r="I3232" s="874"/>
      <c r="J3232" s="874"/>
    </row>
    <row r="3233" spans="2:10">
      <c r="B3233" s="873"/>
      <c r="C3233" s="874"/>
      <c r="D3233" s="874"/>
      <c r="E3233" s="874"/>
      <c r="F3233" s="874"/>
      <c r="G3233" s="874"/>
      <c r="H3233" s="874"/>
      <c r="I3233" s="874"/>
      <c r="J3233" s="874"/>
    </row>
    <row r="3234" spans="2:10">
      <c r="B3234" s="873"/>
      <c r="C3234" s="874"/>
      <c r="D3234" s="874"/>
      <c r="E3234" s="874"/>
      <c r="F3234" s="874"/>
      <c r="G3234" s="874"/>
      <c r="H3234" s="874"/>
      <c r="I3234" s="874"/>
      <c r="J3234" s="874"/>
    </row>
    <row r="3235" spans="2:10">
      <c r="B3235" s="873"/>
      <c r="C3235" s="874"/>
      <c r="D3235" s="874"/>
      <c r="E3235" s="874"/>
      <c r="F3235" s="874"/>
      <c r="G3235" s="874"/>
      <c r="H3235" s="874"/>
      <c r="I3235" s="874"/>
      <c r="J3235" s="874"/>
    </row>
    <row r="3236" spans="2:10">
      <c r="B3236" s="873"/>
      <c r="C3236" s="874"/>
      <c r="D3236" s="874"/>
      <c r="E3236" s="874"/>
      <c r="F3236" s="874"/>
      <c r="G3236" s="874"/>
      <c r="H3236" s="874"/>
      <c r="I3236" s="874"/>
      <c r="J3236" s="874"/>
    </row>
    <row r="3237" spans="2:10">
      <c r="B3237" s="873"/>
      <c r="C3237" s="874"/>
      <c r="D3237" s="874"/>
      <c r="E3237" s="874"/>
      <c r="F3237" s="874"/>
      <c r="G3237" s="874"/>
      <c r="H3237" s="874"/>
      <c r="I3237" s="874"/>
      <c r="J3237" s="874"/>
    </row>
    <row r="3238" spans="2:10">
      <c r="B3238" s="873"/>
      <c r="C3238" s="874"/>
      <c r="D3238" s="874"/>
      <c r="E3238" s="874"/>
      <c r="F3238" s="874"/>
      <c r="G3238" s="874"/>
      <c r="H3238" s="874"/>
      <c r="I3238" s="874"/>
      <c r="J3238" s="874"/>
    </row>
    <row r="3239" spans="2:10">
      <c r="B3239" s="873"/>
      <c r="C3239" s="874"/>
      <c r="D3239" s="874"/>
      <c r="E3239" s="874"/>
      <c r="F3239" s="874"/>
      <c r="G3239" s="874"/>
      <c r="H3239" s="874"/>
      <c r="I3239" s="874"/>
      <c r="J3239" s="874"/>
    </row>
    <row r="3240" spans="2:10">
      <c r="B3240" s="873"/>
      <c r="C3240" s="874"/>
      <c r="D3240" s="874"/>
      <c r="E3240" s="874"/>
      <c r="F3240" s="874"/>
      <c r="G3240" s="874"/>
      <c r="H3240" s="874"/>
      <c r="I3240" s="874"/>
      <c r="J3240" s="874"/>
    </row>
    <row r="3241" spans="2:10">
      <c r="B3241" s="873"/>
      <c r="C3241" s="874"/>
      <c r="D3241" s="874"/>
      <c r="E3241" s="874"/>
      <c r="F3241" s="874"/>
      <c r="G3241" s="874"/>
      <c r="H3241" s="874"/>
      <c r="I3241" s="874"/>
      <c r="J3241" s="874"/>
    </row>
    <row r="3242" spans="2:10">
      <c r="B3242" s="873"/>
      <c r="C3242" s="874"/>
      <c r="D3242" s="874"/>
      <c r="E3242" s="874"/>
      <c r="F3242" s="874"/>
      <c r="G3242" s="874"/>
      <c r="H3242" s="874"/>
      <c r="I3242" s="874"/>
      <c r="J3242" s="874"/>
    </row>
    <row r="3243" spans="2:10">
      <c r="B3243" s="873"/>
      <c r="C3243" s="874"/>
      <c r="D3243" s="874"/>
      <c r="E3243" s="874"/>
      <c r="F3243" s="874"/>
      <c r="G3243" s="874"/>
      <c r="H3243" s="874"/>
      <c r="I3243" s="874"/>
      <c r="J3243" s="874"/>
    </row>
    <row r="3244" spans="2:10">
      <c r="B3244" s="873"/>
      <c r="C3244" s="874"/>
      <c r="D3244" s="874"/>
      <c r="E3244" s="874"/>
      <c r="F3244" s="874"/>
      <c r="G3244" s="874"/>
      <c r="H3244" s="874"/>
      <c r="I3244" s="874"/>
      <c r="J3244" s="874"/>
    </row>
    <row r="3245" spans="2:10">
      <c r="B3245" s="873"/>
      <c r="C3245" s="874"/>
      <c r="D3245" s="874"/>
      <c r="E3245" s="874"/>
      <c r="F3245" s="874"/>
      <c r="G3245" s="874"/>
      <c r="H3245" s="874"/>
      <c r="I3245" s="874"/>
      <c r="J3245" s="874"/>
    </row>
    <row r="3246" spans="2:10">
      <c r="B3246" s="873"/>
      <c r="C3246" s="874"/>
      <c r="D3246" s="874"/>
      <c r="E3246" s="874"/>
      <c r="F3246" s="874"/>
      <c r="G3246" s="874"/>
      <c r="H3246" s="874"/>
      <c r="I3246" s="874"/>
      <c r="J3246" s="874"/>
    </row>
    <row r="3247" spans="2:10">
      <c r="B3247" s="873"/>
      <c r="C3247" s="874"/>
      <c r="D3247" s="874"/>
      <c r="E3247" s="874"/>
      <c r="F3247" s="874"/>
      <c r="G3247" s="874"/>
      <c r="H3247" s="874"/>
      <c r="I3247" s="874"/>
      <c r="J3247" s="874"/>
    </row>
    <row r="3248" spans="2:10">
      <c r="B3248" s="873"/>
      <c r="C3248" s="874"/>
      <c r="D3248" s="874"/>
      <c r="E3248" s="874"/>
      <c r="F3248" s="874"/>
      <c r="G3248" s="874"/>
      <c r="H3248" s="874"/>
      <c r="I3248" s="874"/>
      <c r="J3248" s="874"/>
    </row>
    <row r="3249" spans="2:10">
      <c r="B3249" s="873"/>
      <c r="C3249" s="874"/>
      <c r="D3249" s="874"/>
      <c r="E3249" s="874"/>
      <c r="F3249" s="874"/>
      <c r="G3249" s="874"/>
      <c r="H3249" s="874"/>
      <c r="I3249" s="874"/>
      <c r="J3249" s="874"/>
    </row>
    <row r="3250" spans="2:10">
      <c r="B3250" s="873"/>
      <c r="C3250" s="874"/>
      <c r="D3250" s="874"/>
      <c r="E3250" s="874"/>
      <c r="F3250" s="874"/>
      <c r="G3250" s="874"/>
      <c r="H3250" s="874"/>
      <c r="I3250" s="874"/>
      <c r="J3250" s="874"/>
    </row>
    <row r="3251" spans="2:10">
      <c r="B3251" s="873"/>
      <c r="C3251" s="874"/>
      <c r="D3251" s="874"/>
      <c r="E3251" s="874"/>
      <c r="F3251" s="874"/>
      <c r="G3251" s="874"/>
      <c r="H3251" s="874"/>
      <c r="I3251" s="874"/>
      <c r="J3251" s="874"/>
    </row>
    <row r="3252" spans="2:10">
      <c r="B3252" s="873"/>
      <c r="C3252" s="874"/>
      <c r="D3252" s="874"/>
      <c r="E3252" s="874"/>
      <c r="F3252" s="874"/>
      <c r="G3252" s="874"/>
      <c r="H3252" s="874"/>
      <c r="I3252" s="874"/>
      <c r="J3252" s="874"/>
    </row>
    <row r="3253" spans="2:10">
      <c r="B3253" s="873"/>
      <c r="C3253" s="874"/>
      <c r="D3253" s="874"/>
      <c r="E3253" s="874"/>
      <c r="F3253" s="874"/>
      <c r="G3253" s="874"/>
      <c r="H3253" s="874"/>
      <c r="I3253" s="874"/>
      <c r="J3253" s="874"/>
    </row>
    <row r="3254" spans="2:10">
      <c r="B3254" s="873"/>
      <c r="C3254" s="874"/>
      <c r="D3254" s="874"/>
      <c r="E3254" s="874"/>
      <c r="F3254" s="874"/>
      <c r="G3254" s="874"/>
      <c r="H3254" s="874"/>
      <c r="I3254" s="874"/>
      <c r="J3254" s="874"/>
    </row>
    <row r="3255" spans="2:10">
      <c r="B3255" s="873"/>
      <c r="C3255" s="874"/>
      <c r="D3255" s="874"/>
      <c r="E3255" s="874"/>
      <c r="F3255" s="874"/>
      <c r="G3255" s="874"/>
      <c r="H3255" s="874"/>
      <c r="I3255" s="874"/>
      <c r="J3255" s="874"/>
    </row>
    <row r="3256" spans="2:10">
      <c r="B3256" s="873"/>
      <c r="C3256" s="874"/>
      <c r="D3256" s="874"/>
      <c r="E3256" s="874"/>
      <c r="F3256" s="874"/>
      <c r="G3256" s="874"/>
      <c r="H3256" s="874"/>
      <c r="I3256" s="874"/>
      <c r="J3256" s="874"/>
    </row>
    <row r="3257" spans="2:10">
      <c r="B3257" s="873"/>
      <c r="C3257" s="874"/>
      <c r="D3257" s="874"/>
      <c r="E3257" s="874"/>
      <c r="F3257" s="874"/>
      <c r="G3257" s="874"/>
      <c r="H3257" s="874"/>
      <c r="I3257" s="874"/>
      <c r="J3257" s="874"/>
    </row>
    <row r="3258" spans="2:10">
      <c r="B3258" s="873"/>
      <c r="C3258" s="874"/>
      <c r="D3258" s="874"/>
      <c r="E3258" s="874"/>
      <c r="F3258" s="874"/>
      <c r="G3258" s="874"/>
      <c r="H3258" s="874"/>
      <c r="I3258" s="874"/>
      <c r="J3258" s="874"/>
    </row>
    <row r="3259" spans="2:10">
      <c r="B3259" s="873"/>
      <c r="C3259" s="874"/>
      <c r="D3259" s="874"/>
      <c r="E3259" s="874"/>
      <c r="F3259" s="874"/>
      <c r="G3259" s="874"/>
      <c r="H3259" s="874"/>
      <c r="I3259" s="874"/>
      <c r="J3259" s="874"/>
    </row>
    <row r="3260" spans="2:10">
      <c r="B3260" s="873"/>
      <c r="C3260" s="874"/>
      <c r="D3260" s="874"/>
      <c r="E3260" s="874"/>
      <c r="F3260" s="874"/>
      <c r="G3260" s="874"/>
      <c r="H3260" s="874"/>
      <c r="I3260" s="874"/>
      <c r="J3260" s="874"/>
    </row>
    <row r="3261" spans="2:10">
      <c r="B3261" s="873"/>
      <c r="C3261" s="874"/>
      <c r="D3261" s="874"/>
      <c r="E3261" s="874"/>
      <c r="F3261" s="874"/>
      <c r="G3261" s="874"/>
      <c r="H3261" s="874"/>
      <c r="I3261" s="874"/>
      <c r="J3261" s="874"/>
    </row>
    <row r="3262" spans="2:10">
      <c r="B3262" s="873"/>
      <c r="C3262" s="874"/>
      <c r="D3262" s="874"/>
      <c r="E3262" s="874"/>
      <c r="F3262" s="874"/>
      <c r="G3262" s="874"/>
      <c r="H3262" s="874"/>
      <c r="I3262" s="874"/>
      <c r="J3262" s="874"/>
    </row>
    <row r="3263" spans="2:10">
      <c r="B3263" s="873"/>
      <c r="C3263" s="874"/>
      <c r="D3263" s="874"/>
      <c r="E3263" s="874"/>
      <c r="F3263" s="874"/>
      <c r="G3263" s="874"/>
      <c r="H3263" s="874"/>
      <c r="I3263" s="874"/>
      <c r="J3263" s="874"/>
    </row>
    <row r="3264" spans="2:10">
      <c r="B3264" s="873"/>
      <c r="C3264" s="874"/>
      <c r="D3264" s="874"/>
      <c r="E3264" s="874"/>
      <c r="F3264" s="874"/>
      <c r="G3264" s="874"/>
      <c r="H3264" s="874"/>
      <c r="I3264" s="874"/>
      <c r="J3264" s="874"/>
    </row>
    <row r="3265" spans="2:10">
      <c r="B3265" s="873"/>
      <c r="C3265" s="874"/>
      <c r="D3265" s="874"/>
      <c r="E3265" s="874"/>
      <c r="F3265" s="874"/>
      <c r="G3265" s="874"/>
      <c r="H3265" s="874"/>
      <c r="I3265" s="874"/>
      <c r="J3265" s="874"/>
    </row>
    <row r="3266" spans="2:10">
      <c r="B3266" s="873"/>
      <c r="C3266" s="874"/>
      <c r="D3266" s="874"/>
      <c r="E3266" s="874"/>
      <c r="F3266" s="874"/>
      <c r="G3266" s="874"/>
      <c r="H3266" s="874"/>
      <c r="I3266" s="874"/>
      <c r="J3266" s="874"/>
    </row>
    <row r="3267" spans="2:10">
      <c r="B3267" s="873"/>
      <c r="C3267" s="874"/>
      <c r="D3267" s="874"/>
      <c r="E3267" s="874"/>
      <c r="F3267" s="874"/>
      <c r="G3267" s="874"/>
      <c r="H3267" s="874"/>
      <c r="I3267" s="874"/>
      <c r="J3267" s="874"/>
    </row>
    <row r="3268" spans="2:10">
      <c r="B3268" s="873"/>
      <c r="C3268" s="874"/>
      <c r="D3268" s="874"/>
      <c r="E3268" s="874"/>
      <c r="F3268" s="874"/>
      <c r="G3268" s="874"/>
      <c r="H3268" s="874"/>
      <c r="I3268" s="874"/>
      <c r="J3268" s="874"/>
    </row>
    <row r="3269" spans="2:10">
      <c r="B3269" s="873"/>
      <c r="C3269" s="874"/>
      <c r="D3269" s="874"/>
      <c r="E3269" s="874"/>
      <c r="F3269" s="874"/>
      <c r="G3269" s="874"/>
      <c r="H3269" s="874"/>
      <c r="I3269" s="874"/>
      <c r="J3269" s="874"/>
    </row>
    <row r="3270" spans="2:10">
      <c r="B3270" s="873"/>
      <c r="C3270" s="874"/>
      <c r="D3270" s="874"/>
      <c r="E3270" s="874"/>
      <c r="F3270" s="874"/>
      <c r="G3270" s="874"/>
      <c r="H3270" s="874"/>
      <c r="I3270" s="874"/>
      <c r="J3270" s="874"/>
    </row>
    <row r="3271" spans="2:10">
      <c r="B3271" s="873"/>
      <c r="C3271" s="874"/>
      <c r="D3271" s="874"/>
      <c r="E3271" s="874"/>
      <c r="F3271" s="874"/>
      <c r="G3271" s="874"/>
      <c r="H3271" s="874"/>
      <c r="I3271" s="874"/>
      <c r="J3271" s="874"/>
    </row>
    <row r="3272" spans="2:10">
      <c r="B3272" s="873"/>
      <c r="C3272" s="874"/>
      <c r="D3272" s="874"/>
      <c r="E3272" s="874"/>
      <c r="F3272" s="874"/>
      <c r="G3272" s="874"/>
      <c r="H3272" s="874"/>
      <c r="I3272" s="874"/>
      <c r="J3272" s="874"/>
    </row>
    <row r="3273" spans="2:10">
      <c r="B3273" s="873"/>
      <c r="C3273" s="874"/>
      <c r="D3273" s="874"/>
      <c r="E3273" s="874"/>
      <c r="F3273" s="874"/>
      <c r="G3273" s="874"/>
      <c r="H3273" s="874"/>
      <c r="I3273" s="874"/>
      <c r="J3273" s="874"/>
    </row>
    <row r="3274" spans="2:10">
      <c r="B3274" s="873"/>
      <c r="C3274" s="874"/>
      <c r="D3274" s="874"/>
      <c r="E3274" s="874"/>
      <c r="F3274" s="874"/>
      <c r="G3274" s="874"/>
      <c r="H3274" s="874"/>
      <c r="I3274" s="874"/>
      <c r="J3274" s="874"/>
    </row>
    <row r="3275" spans="2:10">
      <c r="B3275" s="873"/>
      <c r="C3275" s="874"/>
      <c r="D3275" s="874"/>
      <c r="E3275" s="874"/>
      <c r="F3275" s="874"/>
      <c r="G3275" s="874"/>
      <c r="H3275" s="874"/>
      <c r="I3275" s="874"/>
      <c r="J3275" s="874"/>
    </row>
    <row r="3276" spans="2:10">
      <c r="B3276" s="873"/>
      <c r="C3276" s="874"/>
      <c r="D3276" s="874"/>
      <c r="E3276" s="874"/>
      <c r="F3276" s="874"/>
      <c r="G3276" s="874"/>
      <c r="H3276" s="874"/>
      <c r="I3276" s="874"/>
      <c r="J3276" s="874"/>
    </row>
    <row r="3277" spans="2:10">
      <c r="B3277" s="873"/>
      <c r="C3277" s="874"/>
      <c r="D3277" s="874"/>
      <c r="E3277" s="874"/>
      <c r="F3277" s="874"/>
      <c r="G3277" s="874"/>
      <c r="H3277" s="874"/>
      <c r="I3277" s="874"/>
      <c r="J3277" s="874"/>
    </row>
    <row r="3278" spans="2:10">
      <c r="B3278" s="873"/>
      <c r="C3278" s="874"/>
      <c r="D3278" s="874"/>
      <c r="E3278" s="874"/>
      <c r="F3278" s="874"/>
      <c r="G3278" s="874"/>
      <c r="H3278" s="874"/>
      <c r="I3278" s="874"/>
      <c r="J3278" s="874"/>
    </row>
    <row r="3279" spans="2:10">
      <c r="B3279" s="873"/>
      <c r="C3279" s="874"/>
      <c r="D3279" s="874"/>
      <c r="E3279" s="874"/>
      <c r="F3279" s="874"/>
      <c r="G3279" s="874"/>
      <c r="H3279" s="874"/>
      <c r="I3279" s="874"/>
      <c r="J3279" s="874"/>
    </row>
    <row r="3280" spans="2:10">
      <c r="B3280" s="873"/>
      <c r="C3280" s="874"/>
      <c r="D3280" s="874"/>
      <c r="E3280" s="874"/>
      <c r="F3280" s="874"/>
      <c r="G3280" s="874"/>
      <c r="H3280" s="874"/>
      <c r="I3280" s="874"/>
      <c r="J3280" s="874"/>
    </row>
    <row r="3281" spans="2:10">
      <c r="B3281" s="873"/>
      <c r="C3281" s="874"/>
      <c r="D3281" s="874"/>
      <c r="E3281" s="874"/>
      <c r="F3281" s="874"/>
      <c r="G3281" s="874"/>
      <c r="H3281" s="874"/>
      <c r="I3281" s="874"/>
      <c r="J3281" s="874"/>
    </row>
    <row r="3282" spans="2:10">
      <c r="B3282" s="873"/>
      <c r="C3282" s="874"/>
      <c r="D3282" s="874"/>
      <c r="E3282" s="874"/>
      <c r="F3282" s="874"/>
      <c r="G3282" s="874"/>
      <c r="H3282" s="874"/>
      <c r="I3282" s="874"/>
      <c r="J3282" s="874"/>
    </row>
    <row r="3283" spans="2:10">
      <c r="B3283" s="873"/>
      <c r="C3283" s="874"/>
      <c r="D3283" s="874"/>
      <c r="E3283" s="874"/>
      <c r="F3283" s="874"/>
      <c r="G3283" s="874"/>
      <c r="H3283" s="874"/>
      <c r="I3283" s="874"/>
      <c r="J3283" s="874"/>
    </row>
    <row r="3284" spans="2:10">
      <c r="B3284" s="873"/>
      <c r="C3284" s="874"/>
      <c r="D3284" s="874"/>
      <c r="E3284" s="874"/>
      <c r="F3284" s="874"/>
      <c r="G3284" s="874"/>
      <c r="H3284" s="874"/>
      <c r="I3284" s="874"/>
      <c r="J3284" s="874"/>
    </row>
    <row r="3285" spans="2:10">
      <c r="B3285" s="873"/>
      <c r="C3285" s="874"/>
      <c r="D3285" s="874"/>
      <c r="E3285" s="874"/>
      <c r="F3285" s="874"/>
      <c r="G3285" s="874"/>
      <c r="H3285" s="874"/>
      <c r="I3285" s="874"/>
      <c r="J3285" s="874"/>
    </row>
    <row r="3286" spans="2:10">
      <c r="B3286" s="873"/>
      <c r="C3286" s="874"/>
      <c r="D3286" s="874"/>
      <c r="E3286" s="874"/>
      <c r="F3286" s="874"/>
      <c r="G3286" s="874"/>
      <c r="H3286" s="874"/>
      <c r="I3286" s="874"/>
      <c r="J3286" s="874"/>
    </row>
    <row r="3287" spans="2:10">
      <c r="B3287" s="873"/>
      <c r="C3287" s="874"/>
      <c r="D3287" s="874"/>
      <c r="E3287" s="874"/>
      <c r="F3287" s="874"/>
      <c r="G3287" s="874"/>
      <c r="H3287" s="874"/>
      <c r="I3287" s="874"/>
      <c r="J3287" s="874"/>
    </row>
    <row r="3288" spans="2:10">
      <c r="B3288" s="873"/>
      <c r="C3288" s="874"/>
      <c r="D3288" s="874"/>
      <c r="E3288" s="874"/>
      <c r="F3288" s="874"/>
      <c r="G3288" s="874"/>
      <c r="H3288" s="874"/>
      <c r="I3288" s="874"/>
      <c r="J3288" s="874"/>
    </row>
    <row r="3289" spans="2:10">
      <c r="B3289" s="873"/>
      <c r="C3289" s="874"/>
      <c r="D3289" s="874"/>
      <c r="E3289" s="874"/>
      <c r="F3289" s="874"/>
      <c r="G3289" s="874"/>
      <c r="H3289" s="874"/>
      <c r="I3289" s="874"/>
      <c r="J3289" s="874"/>
    </row>
    <row r="3290" spans="2:10">
      <c r="B3290" s="873"/>
      <c r="C3290" s="874"/>
      <c r="D3290" s="874"/>
      <c r="E3290" s="874"/>
      <c r="F3290" s="874"/>
      <c r="G3290" s="874"/>
      <c r="H3290" s="874"/>
      <c r="I3290" s="874"/>
      <c r="J3290" s="874"/>
    </row>
    <row r="3291" spans="2:10">
      <c r="B3291" s="873"/>
      <c r="C3291" s="874"/>
      <c r="D3291" s="874"/>
      <c r="E3291" s="874"/>
      <c r="F3291" s="874"/>
      <c r="G3291" s="874"/>
      <c r="H3291" s="874"/>
      <c r="I3291" s="874"/>
      <c r="J3291" s="874"/>
    </row>
    <row r="3292" spans="2:10">
      <c r="B3292" s="873"/>
      <c r="C3292" s="874"/>
      <c r="D3292" s="874"/>
      <c r="E3292" s="874"/>
      <c r="F3292" s="874"/>
      <c r="G3292" s="874"/>
      <c r="H3292" s="874"/>
      <c r="I3292" s="874"/>
      <c r="J3292" s="874"/>
    </row>
    <row r="3293" spans="2:10">
      <c r="B3293" s="873"/>
      <c r="C3293" s="874"/>
      <c r="D3293" s="874"/>
      <c r="E3293" s="874"/>
      <c r="F3293" s="874"/>
      <c r="G3293" s="874"/>
      <c r="H3293" s="874"/>
      <c r="I3293" s="874"/>
      <c r="J3293" s="874"/>
    </row>
    <row r="3294" spans="2:10">
      <c r="B3294" s="873"/>
      <c r="C3294" s="874"/>
      <c r="D3294" s="874"/>
      <c r="E3294" s="874"/>
      <c r="F3294" s="874"/>
      <c r="G3294" s="874"/>
      <c r="H3294" s="874"/>
      <c r="I3294" s="874"/>
      <c r="J3294" s="874"/>
    </row>
    <row r="3295" spans="2:10">
      <c r="B3295" s="873"/>
      <c r="C3295" s="874"/>
      <c r="D3295" s="874"/>
      <c r="E3295" s="874"/>
      <c r="F3295" s="874"/>
      <c r="G3295" s="874"/>
      <c r="H3295" s="874"/>
      <c r="I3295" s="874"/>
      <c r="J3295" s="874"/>
    </row>
    <row r="3296" spans="2:10">
      <c r="B3296" s="873"/>
      <c r="C3296" s="874"/>
      <c r="D3296" s="874"/>
      <c r="E3296" s="874"/>
      <c r="F3296" s="874"/>
      <c r="G3296" s="874"/>
      <c r="H3296" s="874"/>
      <c r="I3296" s="874"/>
      <c r="J3296" s="874"/>
    </row>
    <row r="3297" spans="2:10">
      <c r="B3297" s="873"/>
      <c r="C3297" s="874"/>
      <c r="D3297" s="874"/>
      <c r="E3297" s="874"/>
      <c r="F3297" s="874"/>
      <c r="G3297" s="874"/>
      <c r="H3297" s="874"/>
      <c r="I3297" s="874"/>
      <c r="J3297" s="874"/>
    </row>
    <row r="3298" spans="2:10">
      <c r="B3298" s="873"/>
      <c r="C3298" s="874"/>
      <c r="D3298" s="874"/>
      <c r="E3298" s="874"/>
      <c r="F3298" s="874"/>
      <c r="G3298" s="874"/>
      <c r="H3298" s="874"/>
      <c r="I3298" s="874"/>
      <c r="J3298" s="874"/>
    </row>
    <row r="3299" spans="2:10">
      <c r="B3299" s="873"/>
      <c r="C3299" s="874"/>
      <c r="D3299" s="874"/>
      <c r="E3299" s="874"/>
      <c r="F3299" s="874"/>
      <c r="G3299" s="874"/>
      <c r="H3299" s="874"/>
      <c r="I3299" s="874"/>
      <c r="J3299" s="874"/>
    </row>
    <row r="3300" spans="2:10">
      <c r="B3300" s="873"/>
      <c r="C3300" s="874"/>
      <c r="D3300" s="874"/>
      <c r="E3300" s="874"/>
      <c r="F3300" s="874"/>
      <c r="G3300" s="874"/>
      <c r="H3300" s="874"/>
      <c r="I3300" s="874"/>
      <c r="J3300" s="874"/>
    </row>
    <row r="3301" spans="2:10">
      <c r="B3301" s="873"/>
      <c r="C3301" s="874"/>
      <c r="D3301" s="874"/>
      <c r="E3301" s="874"/>
      <c r="F3301" s="874"/>
      <c r="G3301" s="874"/>
      <c r="H3301" s="874"/>
      <c r="I3301" s="874"/>
      <c r="J3301" s="874"/>
    </row>
    <row r="3302" spans="2:10">
      <c r="B3302" s="873"/>
      <c r="C3302" s="874"/>
      <c r="D3302" s="874"/>
      <c r="E3302" s="874"/>
      <c r="F3302" s="874"/>
      <c r="G3302" s="874"/>
      <c r="H3302" s="874"/>
      <c r="I3302" s="874"/>
      <c r="J3302" s="874"/>
    </row>
    <row r="3303" spans="2:10">
      <c r="B3303" s="873"/>
      <c r="C3303" s="874"/>
      <c r="D3303" s="874"/>
      <c r="E3303" s="874"/>
      <c r="F3303" s="874"/>
      <c r="G3303" s="874"/>
      <c r="H3303" s="874"/>
      <c r="I3303" s="874"/>
      <c r="J3303" s="874"/>
    </row>
    <row r="3304" spans="2:10">
      <c r="B3304" s="873"/>
      <c r="C3304" s="874"/>
      <c r="D3304" s="874"/>
      <c r="E3304" s="874"/>
      <c r="F3304" s="874"/>
      <c r="G3304" s="874"/>
      <c r="H3304" s="874"/>
      <c r="I3304" s="874"/>
      <c r="J3304" s="874"/>
    </row>
    <row r="3305" spans="2:10">
      <c r="B3305" s="873"/>
      <c r="C3305" s="874"/>
      <c r="D3305" s="874"/>
      <c r="E3305" s="874"/>
      <c r="F3305" s="874"/>
      <c r="G3305" s="874"/>
      <c r="H3305" s="874"/>
      <c r="I3305" s="874"/>
      <c r="J3305" s="874"/>
    </row>
    <row r="3306" spans="2:10">
      <c r="B3306" s="873"/>
      <c r="C3306" s="874"/>
      <c r="D3306" s="874"/>
      <c r="E3306" s="874"/>
      <c r="F3306" s="874"/>
      <c r="G3306" s="874"/>
      <c r="H3306" s="874"/>
      <c r="I3306" s="874"/>
      <c r="J3306" s="874"/>
    </row>
    <row r="3307" spans="2:10">
      <c r="B3307" s="873"/>
      <c r="C3307" s="874"/>
      <c r="D3307" s="874"/>
      <c r="E3307" s="874"/>
      <c r="F3307" s="874"/>
      <c r="G3307" s="874"/>
      <c r="H3307" s="874"/>
      <c r="I3307" s="874"/>
      <c r="J3307" s="874"/>
    </row>
    <row r="3308" spans="2:10">
      <c r="B3308" s="873"/>
      <c r="C3308" s="874"/>
      <c r="D3308" s="874"/>
      <c r="E3308" s="874"/>
      <c r="F3308" s="874"/>
      <c r="G3308" s="874"/>
      <c r="H3308" s="874"/>
      <c r="I3308" s="874"/>
      <c r="J3308" s="874"/>
    </row>
    <row r="3309" spans="2:10">
      <c r="B3309" s="873"/>
      <c r="C3309" s="874"/>
      <c r="D3309" s="874"/>
      <c r="E3309" s="874"/>
      <c r="F3309" s="874"/>
      <c r="G3309" s="874"/>
      <c r="H3309" s="874"/>
      <c r="I3309" s="874"/>
      <c r="J3309" s="874"/>
    </row>
    <row r="3310" spans="2:10">
      <c r="B3310" s="873"/>
      <c r="C3310" s="874"/>
      <c r="D3310" s="874"/>
      <c r="E3310" s="874"/>
      <c r="F3310" s="874"/>
      <c r="G3310" s="874"/>
      <c r="H3310" s="874"/>
      <c r="I3310" s="874"/>
      <c r="J3310" s="874"/>
    </row>
    <row r="3311" spans="2:10">
      <c r="B3311" s="873"/>
      <c r="C3311" s="874"/>
      <c r="D3311" s="874"/>
      <c r="E3311" s="874"/>
      <c r="F3311" s="874"/>
      <c r="G3311" s="874"/>
      <c r="H3311" s="874"/>
      <c r="I3311" s="874"/>
      <c r="J3311" s="874"/>
    </row>
    <row r="3312" spans="2:10">
      <c r="B3312" s="873"/>
      <c r="C3312" s="874"/>
      <c r="D3312" s="874"/>
      <c r="E3312" s="874"/>
      <c r="F3312" s="874"/>
      <c r="G3312" s="874"/>
      <c r="H3312" s="874"/>
      <c r="I3312" s="874"/>
      <c r="J3312" s="874"/>
    </row>
    <row r="3313" spans="2:10">
      <c r="B3313" s="873"/>
      <c r="C3313" s="874"/>
      <c r="D3313" s="874"/>
      <c r="E3313" s="874"/>
      <c r="F3313" s="874"/>
      <c r="G3313" s="874"/>
      <c r="H3313" s="874"/>
      <c r="I3313" s="874"/>
      <c r="J3313" s="874"/>
    </row>
    <row r="3314" spans="2:10">
      <c r="B3314" s="873"/>
      <c r="C3314" s="874"/>
      <c r="D3314" s="874"/>
      <c r="E3314" s="874"/>
      <c r="F3314" s="874"/>
      <c r="G3314" s="874"/>
      <c r="H3314" s="874"/>
      <c r="I3314" s="874"/>
      <c r="J3314" s="874"/>
    </row>
    <row r="3315" spans="2:10">
      <c r="B3315" s="873"/>
      <c r="C3315" s="874"/>
      <c r="D3315" s="874"/>
      <c r="E3315" s="874"/>
      <c r="F3315" s="874"/>
      <c r="G3315" s="874"/>
      <c r="H3315" s="874"/>
      <c r="I3315" s="874"/>
      <c r="J3315" s="874"/>
    </row>
    <row r="3316" spans="2:10">
      <c r="B3316" s="873"/>
      <c r="C3316" s="874"/>
      <c r="D3316" s="874"/>
      <c r="E3316" s="874"/>
      <c r="F3316" s="874"/>
      <c r="G3316" s="874"/>
      <c r="H3316" s="874"/>
      <c r="I3316" s="874"/>
      <c r="J3316" s="874"/>
    </row>
    <row r="3317" spans="2:10">
      <c r="B3317" s="873"/>
      <c r="C3317" s="874"/>
      <c r="D3317" s="874"/>
      <c r="E3317" s="874"/>
      <c r="F3317" s="874"/>
      <c r="G3317" s="874"/>
      <c r="H3317" s="874"/>
      <c r="I3317" s="874"/>
      <c r="J3317" s="874"/>
    </row>
    <row r="3318" spans="2:10">
      <c r="B3318" s="873"/>
      <c r="C3318" s="874"/>
      <c r="D3318" s="874"/>
      <c r="E3318" s="874"/>
      <c r="F3318" s="874"/>
      <c r="G3318" s="874"/>
      <c r="H3318" s="874"/>
      <c r="I3318" s="874"/>
      <c r="J3318" s="874"/>
    </row>
    <row r="3319" spans="2:10">
      <c r="B3319" s="873"/>
      <c r="C3319" s="874"/>
      <c r="D3319" s="874"/>
      <c r="E3319" s="874"/>
      <c r="F3319" s="874"/>
      <c r="G3319" s="874"/>
      <c r="H3319" s="874"/>
      <c r="I3319" s="874"/>
      <c r="J3319" s="874"/>
    </row>
    <row r="3320" spans="2:10">
      <c r="B3320" s="873"/>
      <c r="C3320" s="874"/>
      <c r="D3320" s="874"/>
      <c r="E3320" s="874"/>
      <c r="F3320" s="874"/>
      <c r="G3320" s="874"/>
      <c r="H3320" s="874"/>
      <c r="I3320" s="874"/>
      <c r="J3320" s="874"/>
    </row>
    <row r="3321" spans="2:10">
      <c r="B3321" s="873"/>
      <c r="C3321" s="874"/>
      <c r="D3321" s="874"/>
      <c r="E3321" s="874"/>
      <c r="F3321" s="874"/>
      <c r="G3321" s="874"/>
      <c r="H3321" s="874"/>
      <c r="I3321" s="874"/>
      <c r="J3321" s="874"/>
    </row>
    <row r="3322" spans="2:10">
      <c r="B3322" s="873"/>
      <c r="C3322" s="874"/>
      <c r="D3322" s="874"/>
      <c r="E3322" s="874"/>
      <c r="F3322" s="874"/>
      <c r="G3322" s="874"/>
      <c r="H3322" s="874"/>
      <c r="I3322" s="874"/>
      <c r="J3322" s="874"/>
    </row>
    <row r="3323" spans="2:10">
      <c r="B3323" s="873"/>
      <c r="C3323" s="874"/>
      <c r="D3323" s="874"/>
      <c r="E3323" s="874"/>
      <c r="F3323" s="874"/>
      <c r="G3323" s="874"/>
      <c r="H3323" s="874"/>
      <c r="I3323" s="874"/>
      <c r="J3323" s="874"/>
    </row>
    <row r="3324" spans="2:10">
      <c r="B3324" s="873"/>
      <c r="C3324" s="874"/>
      <c r="D3324" s="874"/>
      <c r="E3324" s="874"/>
      <c r="F3324" s="874"/>
      <c r="G3324" s="874"/>
      <c r="H3324" s="874"/>
      <c r="I3324" s="874"/>
      <c r="J3324" s="874"/>
    </row>
    <row r="3325" spans="2:10">
      <c r="B3325" s="873"/>
      <c r="C3325" s="874"/>
      <c r="D3325" s="874"/>
      <c r="E3325" s="874"/>
      <c r="F3325" s="874"/>
      <c r="G3325" s="874"/>
      <c r="H3325" s="874"/>
      <c r="I3325" s="874"/>
      <c r="J3325" s="874"/>
    </row>
    <row r="3326" spans="2:10">
      <c r="B3326" s="873"/>
      <c r="C3326" s="874"/>
      <c r="D3326" s="874"/>
      <c r="E3326" s="874"/>
      <c r="F3326" s="874"/>
      <c r="G3326" s="874"/>
      <c r="H3326" s="874"/>
      <c r="I3326" s="874"/>
      <c r="J3326" s="874"/>
    </row>
    <row r="3327" spans="2:10">
      <c r="B3327" s="873"/>
      <c r="C3327" s="874"/>
      <c r="D3327" s="874"/>
      <c r="E3327" s="874"/>
      <c r="F3327" s="874"/>
      <c r="G3327" s="874"/>
      <c r="H3327" s="874"/>
      <c r="I3327" s="874"/>
      <c r="J3327" s="874"/>
    </row>
    <row r="3328" spans="2:10">
      <c r="B3328" s="873"/>
      <c r="C3328" s="874"/>
      <c r="D3328" s="874"/>
      <c r="E3328" s="874"/>
      <c r="F3328" s="874"/>
      <c r="G3328" s="874"/>
      <c r="H3328" s="874"/>
      <c r="I3328" s="874"/>
      <c r="J3328" s="874"/>
    </row>
    <row r="3329" spans="2:10">
      <c r="B3329" s="873"/>
      <c r="C3329" s="874"/>
      <c r="D3329" s="874"/>
      <c r="E3329" s="874"/>
      <c r="F3329" s="874"/>
      <c r="G3329" s="874"/>
      <c r="H3329" s="874"/>
      <c r="I3329" s="874"/>
      <c r="J3329" s="874"/>
    </row>
    <row r="3330" spans="2:10">
      <c r="B3330" s="873"/>
      <c r="C3330" s="874"/>
      <c r="D3330" s="874"/>
      <c r="E3330" s="874"/>
      <c r="F3330" s="874"/>
      <c r="G3330" s="874"/>
      <c r="H3330" s="874"/>
      <c r="I3330" s="874"/>
      <c r="J3330" s="874"/>
    </row>
    <row r="3331" spans="2:10">
      <c r="B3331" s="873"/>
      <c r="C3331" s="874"/>
      <c r="D3331" s="874"/>
      <c r="E3331" s="874"/>
      <c r="F3331" s="874"/>
      <c r="G3331" s="874"/>
      <c r="H3331" s="874"/>
      <c r="I3331" s="874"/>
      <c r="J3331" s="874"/>
    </row>
    <row r="3332" spans="2:10">
      <c r="B3332" s="873"/>
      <c r="C3332" s="874"/>
      <c r="D3332" s="874"/>
      <c r="E3332" s="874"/>
      <c r="F3332" s="874"/>
      <c r="G3332" s="874"/>
      <c r="H3332" s="874"/>
      <c r="I3332" s="874"/>
      <c r="J3332" s="874"/>
    </row>
    <row r="3333" spans="2:10">
      <c r="B3333" s="873"/>
      <c r="C3333" s="874"/>
      <c r="D3333" s="874"/>
      <c r="E3333" s="874"/>
      <c r="F3333" s="874"/>
      <c r="G3333" s="874"/>
      <c r="H3333" s="874"/>
      <c r="I3333" s="874"/>
      <c r="J3333" s="874"/>
    </row>
    <row r="3334" spans="2:10">
      <c r="B3334" s="873"/>
      <c r="C3334" s="874"/>
      <c r="D3334" s="874"/>
      <c r="E3334" s="874"/>
      <c r="F3334" s="874"/>
      <c r="G3334" s="874"/>
      <c r="H3334" s="874"/>
      <c r="I3334" s="874"/>
      <c r="J3334" s="874"/>
    </row>
    <row r="3335" spans="2:10">
      <c r="B3335" s="873"/>
      <c r="C3335" s="874"/>
      <c r="D3335" s="874"/>
      <c r="E3335" s="874"/>
      <c r="F3335" s="874"/>
      <c r="G3335" s="874"/>
      <c r="H3335" s="874"/>
      <c r="I3335" s="874"/>
      <c r="J3335" s="874"/>
    </row>
    <row r="3336" spans="2:10">
      <c r="B3336" s="873"/>
      <c r="C3336" s="874"/>
      <c r="D3336" s="874"/>
      <c r="E3336" s="874"/>
      <c r="F3336" s="874"/>
      <c r="G3336" s="874"/>
      <c r="H3336" s="874"/>
      <c r="I3336" s="874"/>
      <c r="J3336" s="874"/>
    </row>
    <row r="3337" spans="2:10">
      <c r="B3337" s="873"/>
      <c r="C3337" s="874"/>
      <c r="D3337" s="874"/>
      <c r="E3337" s="874"/>
      <c r="F3337" s="874"/>
      <c r="G3337" s="874"/>
      <c r="H3337" s="874"/>
      <c r="I3337" s="874"/>
      <c r="J3337" s="874"/>
    </row>
    <row r="3338" spans="2:10">
      <c r="B3338" s="873"/>
      <c r="C3338" s="874"/>
      <c r="D3338" s="874"/>
      <c r="E3338" s="874"/>
      <c r="F3338" s="874"/>
      <c r="G3338" s="874"/>
      <c r="H3338" s="874"/>
      <c r="I3338" s="874"/>
      <c r="J3338" s="874"/>
    </row>
    <row r="3339" spans="2:10">
      <c r="B3339" s="873"/>
      <c r="C3339" s="874"/>
      <c r="D3339" s="874"/>
      <c r="E3339" s="874"/>
      <c r="F3339" s="874"/>
      <c r="G3339" s="874"/>
      <c r="H3339" s="874"/>
      <c r="I3339" s="874"/>
      <c r="J3339" s="874"/>
    </row>
    <row r="3340" spans="2:10">
      <c r="B3340" s="873"/>
      <c r="C3340" s="874"/>
      <c r="D3340" s="874"/>
      <c r="E3340" s="874"/>
      <c r="F3340" s="874"/>
      <c r="G3340" s="874"/>
      <c r="H3340" s="874"/>
      <c r="I3340" s="874"/>
      <c r="J3340" s="874"/>
    </row>
    <row r="3341" spans="2:10">
      <c r="B3341" s="873"/>
      <c r="C3341" s="874"/>
      <c r="D3341" s="874"/>
      <c r="E3341" s="874"/>
      <c r="F3341" s="874"/>
      <c r="G3341" s="874"/>
      <c r="H3341" s="874"/>
      <c r="I3341" s="874"/>
      <c r="J3341" s="874"/>
    </row>
    <row r="3342" spans="2:10">
      <c r="B3342" s="873"/>
      <c r="C3342" s="874"/>
      <c r="D3342" s="874"/>
      <c r="E3342" s="874"/>
      <c r="F3342" s="874"/>
      <c r="G3342" s="874"/>
      <c r="H3342" s="874"/>
      <c r="I3342" s="874"/>
      <c r="J3342" s="874"/>
    </row>
    <row r="3343" spans="2:10">
      <c r="B3343" s="873"/>
      <c r="C3343" s="874"/>
      <c r="D3343" s="874"/>
      <c r="E3343" s="874"/>
      <c r="F3343" s="874"/>
      <c r="G3343" s="874"/>
      <c r="H3343" s="874"/>
      <c r="I3343" s="874"/>
      <c r="J3343" s="874"/>
    </row>
    <row r="3344" spans="2:10">
      <c r="B3344" s="873"/>
      <c r="C3344" s="874"/>
      <c r="D3344" s="874"/>
      <c r="E3344" s="874"/>
      <c r="F3344" s="874"/>
      <c r="G3344" s="874"/>
      <c r="H3344" s="874"/>
      <c r="I3344" s="874"/>
      <c r="J3344" s="874"/>
    </row>
    <row r="3345" spans="2:10">
      <c r="B3345" s="873"/>
      <c r="C3345" s="874"/>
      <c r="D3345" s="874"/>
      <c r="E3345" s="874"/>
      <c r="F3345" s="874"/>
      <c r="G3345" s="874"/>
      <c r="H3345" s="874"/>
      <c r="I3345" s="874"/>
      <c r="J3345" s="874"/>
    </row>
    <row r="3346" spans="2:10">
      <c r="B3346" s="873"/>
      <c r="C3346" s="874"/>
      <c r="D3346" s="874"/>
      <c r="E3346" s="874"/>
      <c r="F3346" s="874"/>
      <c r="G3346" s="874"/>
      <c r="H3346" s="874"/>
      <c r="I3346" s="874"/>
      <c r="J3346" s="874"/>
    </row>
    <row r="3347" spans="2:10">
      <c r="B3347" s="873"/>
      <c r="C3347" s="874"/>
      <c r="D3347" s="874"/>
      <c r="E3347" s="874"/>
      <c r="F3347" s="874"/>
      <c r="G3347" s="874"/>
      <c r="H3347" s="874"/>
      <c r="I3347" s="874"/>
      <c r="J3347" s="874"/>
    </row>
    <row r="3348" spans="2:10">
      <c r="B3348" s="873"/>
      <c r="C3348" s="874"/>
      <c r="D3348" s="874"/>
      <c r="E3348" s="874"/>
      <c r="F3348" s="874"/>
      <c r="G3348" s="874"/>
      <c r="H3348" s="874"/>
      <c r="I3348" s="874"/>
      <c r="J3348" s="874"/>
    </row>
    <row r="3349" spans="2:10">
      <c r="B3349" s="873"/>
      <c r="C3349" s="874"/>
      <c r="D3349" s="874"/>
      <c r="E3349" s="874"/>
      <c r="F3349" s="874"/>
      <c r="G3349" s="874"/>
      <c r="H3349" s="874"/>
      <c r="I3349" s="874"/>
      <c r="J3349" s="874"/>
    </row>
    <row r="3350" spans="2:10">
      <c r="B3350" s="873"/>
      <c r="C3350" s="874"/>
      <c r="D3350" s="874"/>
      <c r="E3350" s="874"/>
      <c r="F3350" s="874"/>
      <c r="G3350" s="874"/>
      <c r="H3350" s="874"/>
      <c r="I3350" s="874"/>
      <c r="J3350" s="874"/>
    </row>
    <row r="3351" spans="2:10">
      <c r="B3351" s="873"/>
      <c r="C3351" s="874"/>
      <c r="D3351" s="874"/>
      <c r="E3351" s="874"/>
      <c r="F3351" s="874"/>
      <c r="G3351" s="874"/>
      <c r="H3351" s="874"/>
      <c r="I3351" s="874"/>
      <c r="J3351" s="874"/>
    </row>
    <row r="3352" spans="2:10">
      <c r="B3352" s="873"/>
      <c r="C3352" s="874"/>
      <c r="D3352" s="874"/>
      <c r="E3352" s="874"/>
      <c r="F3352" s="874"/>
      <c r="G3352" s="874"/>
      <c r="H3352" s="874"/>
      <c r="I3352" s="874"/>
      <c r="J3352" s="874"/>
    </row>
    <row r="3353" spans="2:10">
      <c r="B3353" s="873"/>
      <c r="C3353" s="874"/>
      <c r="D3353" s="874"/>
      <c r="E3353" s="874"/>
      <c r="F3353" s="874"/>
      <c r="G3353" s="874"/>
      <c r="H3353" s="874"/>
      <c r="I3353" s="874"/>
      <c r="J3353" s="874"/>
    </row>
    <row r="3354" spans="2:10">
      <c r="B3354" s="873"/>
      <c r="C3354" s="874"/>
      <c r="D3354" s="874"/>
      <c r="E3354" s="874"/>
      <c r="F3354" s="874"/>
      <c r="G3354" s="874"/>
      <c r="H3354" s="874"/>
      <c r="I3354" s="874"/>
      <c r="J3354" s="874"/>
    </row>
    <row r="3355" spans="2:10">
      <c r="B3355" s="873"/>
      <c r="C3355" s="874"/>
      <c r="D3355" s="874"/>
      <c r="E3355" s="874"/>
      <c r="F3355" s="874"/>
      <c r="G3355" s="874"/>
      <c r="H3355" s="874"/>
      <c r="I3355" s="874"/>
      <c r="J3355" s="874"/>
    </row>
    <row r="3356" spans="2:10">
      <c r="B3356" s="873"/>
      <c r="C3356" s="874"/>
      <c r="D3356" s="874"/>
      <c r="E3356" s="874"/>
      <c r="F3356" s="874"/>
      <c r="G3356" s="874"/>
      <c r="H3356" s="874"/>
      <c r="I3356" s="874"/>
      <c r="J3356" s="874"/>
    </row>
    <row r="3357" spans="2:10">
      <c r="B3357" s="873"/>
      <c r="C3357" s="874"/>
      <c r="D3357" s="874"/>
      <c r="E3357" s="874"/>
      <c r="F3357" s="874"/>
      <c r="G3357" s="874"/>
      <c r="H3357" s="874"/>
      <c r="I3357" s="874"/>
      <c r="J3357" s="874"/>
    </row>
    <row r="3358" spans="2:10">
      <c r="B3358" s="873"/>
      <c r="C3358" s="874"/>
      <c r="D3358" s="874"/>
      <c r="E3358" s="874"/>
      <c r="F3358" s="874"/>
      <c r="G3358" s="874"/>
      <c r="H3358" s="874"/>
      <c r="I3358" s="874"/>
      <c r="J3358" s="874"/>
    </row>
    <row r="3359" spans="2:10">
      <c r="B3359" s="873"/>
      <c r="C3359" s="874"/>
      <c r="D3359" s="874"/>
      <c r="E3359" s="874"/>
      <c r="F3359" s="874"/>
      <c r="G3359" s="874"/>
      <c r="H3359" s="874"/>
      <c r="I3359" s="874"/>
      <c r="J3359" s="874"/>
    </row>
    <row r="3360" spans="2:10">
      <c r="B3360" s="873"/>
      <c r="C3360" s="874"/>
      <c r="D3360" s="874"/>
      <c r="E3360" s="874"/>
      <c r="F3360" s="874"/>
      <c r="G3360" s="874"/>
      <c r="H3360" s="874"/>
      <c r="I3360" s="874"/>
      <c r="J3360" s="874"/>
    </row>
    <row r="3361" spans="2:10">
      <c r="B3361" s="873"/>
      <c r="C3361" s="874"/>
      <c r="D3361" s="874"/>
      <c r="E3361" s="874"/>
      <c r="F3361" s="874"/>
      <c r="G3361" s="874"/>
      <c r="H3361" s="874"/>
      <c r="I3361" s="874"/>
      <c r="J3361" s="874"/>
    </row>
    <row r="3362" spans="2:10">
      <c r="B3362" s="873"/>
      <c r="C3362" s="874"/>
      <c r="D3362" s="874"/>
      <c r="E3362" s="874"/>
      <c r="F3362" s="874"/>
      <c r="G3362" s="874"/>
      <c r="H3362" s="874"/>
      <c r="I3362" s="874"/>
      <c r="J3362" s="874"/>
    </row>
    <row r="3363" spans="2:10">
      <c r="B3363" s="873"/>
      <c r="C3363" s="874"/>
      <c r="D3363" s="874"/>
      <c r="E3363" s="874"/>
      <c r="F3363" s="874"/>
      <c r="G3363" s="874"/>
      <c r="H3363" s="874"/>
      <c r="I3363" s="874"/>
      <c r="J3363" s="874"/>
    </row>
    <row r="3364" spans="2:10">
      <c r="B3364" s="873"/>
      <c r="C3364" s="874"/>
      <c r="D3364" s="874"/>
      <c r="E3364" s="874"/>
      <c r="F3364" s="874"/>
      <c r="G3364" s="874"/>
      <c r="H3364" s="874"/>
      <c r="I3364" s="874"/>
      <c r="J3364" s="874"/>
    </row>
    <row r="3365" spans="2:10">
      <c r="B3365" s="873"/>
      <c r="C3365" s="874"/>
      <c r="D3365" s="874"/>
      <c r="E3365" s="874"/>
      <c r="F3365" s="874"/>
      <c r="G3365" s="874"/>
      <c r="H3365" s="874"/>
      <c r="I3365" s="874"/>
      <c r="J3365" s="874"/>
    </row>
    <row r="3366" spans="2:10">
      <c r="B3366" s="873"/>
      <c r="C3366" s="874"/>
      <c r="D3366" s="874"/>
      <c r="E3366" s="874"/>
      <c r="F3366" s="874"/>
      <c r="G3366" s="874"/>
      <c r="H3366" s="874"/>
      <c r="I3366" s="874"/>
      <c r="J3366" s="874"/>
    </row>
    <row r="3367" spans="2:10">
      <c r="B3367" s="873"/>
      <c r="C3367" s="874"/>
      <c r="D3367" s="874"/>
      <c r="E3367" s="874"/>
      <c r="F3367" s="874"/>
      <c r="G3367" s="874"/>
      <c r="H3367" s="874"/>
      <c r="I3367" s="874"/>
      <c r="J3367" s="874"/>
    </row>
    <row r="3368" spans="2:10">
      <c r="B3368" s="873"/>
      <c r="C3368" s="874"/>
      <c r="D3368" s="874"/>
      <c r="E3368" s="874"/>
      <c r="F3368" s="874"/>
      <c r="G3368" s="874"/>
      <c r="H3368" s="874"/>
      <c r="I3368" s="874"/>
      <c r="J3368" s="874"/>
    </row>
    <row r="3369" spans="2:10">
      <c r="B3369" s="873"/>
      <c r="C3369" s="874"/>
      <c r="D3369" s="874"/>
      <c r="E3369" s="874"/>
      <c r="F3369" s="874"/>
      <c r="G3369" s="874"/>
      <c r="H3369" s="874"/>
      <c r="I3369" s="874"/>
      <c r="J3369" s="874"/>
    </row>
    <row r="3370" spans="2:10">
      <c r="B3370" s="873"/>
      <c r="C3370" s="874"/>
      <c r="D3370" s="874"/>
      <c r="E3370" s="874"/>
      <c r="F3370" s="874"/>
      <c r="G3370" s="874"/>
      <c r="H3370" s="874"/>
      <c r="I3370" s="874"/>
      <c r="J3370" s="874"/>
    </row>
    <row r="3371" spans="2:10">
      <c r="B3371" s="873"/>
      <c r="C3371" s="874"/>
      <c r="D3371" s="874"/>
      <c r="E3371" s="874"/>
      <c r="F3371" s="874"/>
      <c r="G3371" s="874"/>
      <c r="H3371" s="874"/>
      <c r="I3371" s="874"/>
      <c r="J3371" s="874"/>
    </row>
    <row r="3372" spans="2:10">
      <c r="B3372" s="873"/>
      <c r="C3372" s="874"/>
      <c r="D3372" s="874"/>
      <c r="E3372" s="874"/>
      <c r="F3372" s="874"/>
      <c r="G3372" s="874"/>
      <c r="H3372" s="874"/>
      <c r="I3372" s="874"/>
      <c r="J3372" s="874"/>
    </row>
    <row r="3373" spans="2:10">
      <c r="B3373" s="873"/>
      <c r="C3373" s="874"/>
      <c r="D3373" s="874"/>
      <c r="E3373" s="874"/>
      <c r="F3373" s="874"/>
      <c r="G3373" s="874"/>
      <c r="H3373" s="874"/>
      <c r="I3373" s="874"/>
      <c r="J3373" s="874"/>
    </row>
    <row r="3374" spans="2:10">
      <c r="B3374" s="873"/>
      <c r="C3374" s="874"/>
      <c r="D3374" s="874"/>
      <c r="E3374" s="874"/>
      <c r="F3374" s="874"/>
      <c r="G3374" s="874"/>
      <c r="H3374" s="874"/>
      <c r="I3374" s="874"/>
      <c r="J3374" s="874"/>
    </row>
    <row r="3375" spans="2:10">
      <c r="B3375" s="873"/>
      <c r="C3375" s="874"/>
      <c r="D3375" s="874"/>
      <c r="E3375" s="874"/>
      <c r="F3375" s="874"/>
      <c r="G3375" s="874"/>
      <c r="H3375" s="874"/>
      <c r="I3375" s="874"/>
      <c r="J3375" s="874"/>
    </row>
    <row r="3376" spans="2:10">
      <c r="B3376" s="873"/>
      <c r="C3376" s="874"/>
      <c r="D3376" s="874"/>
      <c r="E3376" s="874"/>
      <c r="F3376" s="874"/>
      <c r="G3376" s="874"/>
      <c r="H3376" s="874"/>
      <c r="I3376" s="874"/>
      <c r="J3376" s="874"/>
    </row>
    <row r="3377" spans="2:10">
      <c r="B3377" s="873"/>
      <c r="C3377" s="874"/>
      <c r="D3377" s="874"/>
      <c r="E3377" s="874"/>
      <c r="F3377" s="874"/>
      <c r="G3377" s="874"/>
      <c r="H3377" s="874"/>
      <c r="I3377" s="874"/>
      <c r="J3377" s="874"/>
    </row>
    <row r="3378" spans="2:10">
      <c r="B3378" s="873"/>
      <c r="C3378" s="874"/>
      <c r="D3378" s="874"/>
      <c r="E3378" s="874"/>
      <c r="F3378" s="874"/>
      <c r="G3378" s="874"/>
      <c r="H3378" s="874"/>
      <c r="I3378" s="874"/>
      <c r="J3378" s="874"/>
    </row>
    <row r="3379" spans="2:10">
      <c r="B3379" s="873"/>
      <c r="C3379" s="874"/>
      <c r="D3379" s="874"/>
      <c r="E3379" s="874"/>
      <c r="F3379" s="874"/>
      <c r="G3379" s="874"/>
      <c r="H3379" s="874"/>
      <c r="I3379" s="874"/>
      <c r="J3379" s="874"/>
    </row>
    <row r="3380" spans="2:10">
      <c r="B3380" s="873"/>
      <c r="C3380" s="874"/>
      <c r="D3380" s="874"/>
      <c r="E3380" s="874"/>
      <c r="F3380" s="874"/>
      <c r="G3380" s="874"/>
      <c r="H3380" s="874"/>
      <c r="I3380" s="874"/>
      <c r="J3380" s="874"/>
    </row>
    <row r="3381" spans="2:10">
      <c r="B3381" s="873"/>
      <c r="C3381" s="874"/>
      <c r="D3381" s="874"/>
      <c r="E3381" s="874"/>
      <c r="F3381" s="874"/>
      <c r="G3381" s="874"/>
      <c r="H3381" s="874"/>
      <c r="I3381" s="874"/>
      <c r="J3381" s="874"/>
    </row>
    <row r="3382" spans="2:10">
      <c r="B3382" s="873"/>
      <c r="C3382" s="874"/>
      <c r="D3382" s="874"/>
      <c r="E3382" s="874"/>
      <c r="F3382" s="874"/>
      <c r="G3382" s="874"/>
      <c r="H3382" s="874"/>
      <c r="I3382" s="874"/>
      <c r="J3382" s="874"/>
    </row>
    <row r="3383" spans="2:10">
      <c r="B3383" s="873"/>
      <c r="C3383" s="874"/>
      <c r="D3383" s="874"/>
      <c r="E3383" s="874"/>
      <c r="F3383" s="874"/>
      <c r="G3383" s="874"/>
      <c r="H3383" s="874"/>
      <c r="I3383" s="874"/>
      <c r="J3383" s="874"/>
    </row>
    <row r="3384" spans="2:10">
      <c r="B3384" s="873"/>
      <c r="C3384" s="874"/>
      <c r="D3384" s="874"/>
      <c r="E3384" s="874"/>
      <c r="F3384" s="874"/>
      <c r="G3384" s="874"/>
      <c r="H3384" s="874"/>
      <c r="I3384" s="874"/>
      <c r="J3384" s="874"/>
    </row>
    <row r="3385" spans="2:10">
      <c r="B3385" s="873"/>
      <c r="C3385" s="874"/>
      <c r="D3385" s="874"/>
      <c r="E3385" s="874"/>
      <c r="F3385" s="874"/>
      <c r="G3385" s="874"/>
      <c r="H3385" s="874"/>
      <c r="I3385" s="874"/>
      <c r="J3385" s="874"/>
    </row>
    <row r="3386" spans="2:10">
      <c r="B3386" s="873"/>
      <c r="C3386" s="874"/>
      <c r="D3386" s="874"/>
      <c r="E3386" s="874"/>
      <c r="F3386" s="874"/>
      <c r="G3386" s="874"/>
      <c r="H3386" s="874"/>
      <c r="I3386" s="874"/>
      <c r="J3386" s="874"/>
    </row>
    <row r="3387" spans="2:10">
      <c r="B3387" s="873"/>
      <c r="C3387" s="874"/>
      <c r="D3387" s="874"/>
      <c r="E3387" s="874"/>
      <c r="F3387" s="874"/>
      <c r="G3387" s="874"/>
      <c r="H3387" s="874"/>
      <c r="I3387" s="874"/>
      <c r="J3387" s="874"/>
    </row>
    <row r="3388" spans="2:10">
      <c r="B3388" s="873"/>
      <c r="C3388" s="874"/>
      <c r="D3388" s="874"/>
      <c r="E3388" s="874"/>
      <c r="F3388" s="874"/>
      <c r="G3388" s="874"/>
      <c r="H3388" s="874"/>
      <c r="I3388" s="874"/>
      <c r="J3388" s="874"/>
    </row>
    <row r="3389" spans="2:10">
      <c r="B3389" s="873"/>
      <c r="C3389" s="874"/>
      <c r="D3389" s="874"/>
      <c r="E3389" s="874"/>
      <c r="F3389" s="874"/>
      <c r="G3389" s="874"/>
      <c r="H3389" s="874"/>
      <c r="I3389" s="874"/>
      <c r="J3389" s="874"/>
    </row>
    <row r="3390" spans="2:10">
      <c r="B3390" s="873"/>
      <c r="C3390" s="874"/>
      <c r="D3390" s="874"/>
      <c r="E3390" s="874"/>
      <c r="F3390" s="874"/>
      <c r="G3390" s="874"/>
      <c r="H3390" s="874"/>
      <c r="I3390" s="874"/>
      <c r="J3390" s="874"/>
    </row>
    <row r="3391" spans="2:10">
      <c r="B3391" s="873"/>
      <c r="C3391" s="874"/>
      <c r="D3391" s="874"/>
      <c r="E3391" s="874"/>
      <c r="F3391" s="874"/>
      <c r="G3391" s="874"/>
      <c r="H3391" s="874"/>
      <c r="I3391" s="874"/>
      <c r="J3391" s="874"/>
    </row>
    <row r="3392" spans="2:10">
      <c r="B3392" s="873"/>
      <c r="C3392" s="874"/>
      <c r="D3392" s="874"/>
      <c r="E3392" s="874"/>
      <c r="F3392" s="874"/>
      <c r="G3392" s="874"/>
      <c r="H3392" s="874"/>
      <c r="I3392" s="874"/>
      <c r="J3392" s="874"/>
    </row>
    <row r="3393" spans="2:10">
      <c r="B3393" s="873"/>
      <c r="C3393" s="874"/>
      <c r="D3393" s="874"/>
      <c r="E3393" s="874"/>
      <c r="F3393" s="874"/>
      <c r="G3393" s="874"/>
      <c r="H3393" s="874"/>
      <c r="I3393" s="874"/>
      <c r="J3393" s="874"/>
    </row>
    <row r="3394" spans="2:10">
      <c r="B3394" s="873"/>
      <c r="C3394" s="874"/>
      <c r="D3394" s="874"/>
      <c r="E3394" s="874"/>
      <c r="F3394" s="874"/>
      <c r="G3394" s="874"/>
      <c r="H3394" s="874"/>
      <c r="I3394" s="874"/>
      <c r="J3394" s="874"/>
    </row>
    <row r="3395" spans="2:10">
      <c r="B3395" s="873"/>
      <c r="C3395" s="874"/>
      <c r="D3395" s="874"/>
      <c r="E3395" s="874"/>
      <c r="F3395" s="874"/>
      <c r="G3395" s="874"/>
      <c r="H3395" s="874"/>
      <c r="I3395" s="874"/>
      <c r="J3395" s="874"/>
    </row>
    <row r="3396" spans="2:10">
      <c r="B3396" s="873"/>
      <c r="C3396" s="874"/>
      <c r="D3396" s="874"/>
      <c r="E3396" s="874"/>
      <c r="F3396" s="874"/>
      <c r="G3396" s="874"/>
      <c r="H3396" s="874"/>
      <c r="I3396" s="874"/>
      <c r="J3396" s="874"/>
    </row>
    <row r="3397" spans="2:10">
      <c r="B3397" s="873"/>
      <c r="C3397" s="874"/>
      <c r="D3397" s="874"/>
      <c r="E3397" s="874"/>
      <c r="F3397" s="874"/>
      <c r="G3397" s="874"/>
      <c r="H3397" s="874"/>
      <c r="I3397" s="874"/>
      <c r="J3397" s="874"/>
    </row>
    <row r="3398" spans="2:10">
      <c r="B3398" s="873"/>
      <c r="C3398" s="874"/>
      <c r="D3398" s="874"/>
      <c r="E3398" s="874"/>
      <c r="F3398" s="874"/>
      <c r="G3398" s="874"/>
      <c r="H3398" s="874"/>
      <c r="I3398" s="874"/>
      <c r="J3398" s="874"/>
    </row>
    <row r="3399" spans="2:10">
      <c r="B3399" s="873"/>
      <c r="C3399" s="874"/>
      <c r="D3399" s="874"/>
      <c r="E3399" s="874"/>
      <c r="F3399" s="874"/>
      <c r="G3399" s="874"/>
      <c r="H3399" s="874"/>
      <c r="I3399" s="874"/>
      <c r="J3399" s="874"/>
    </row>
    <row r="3400" spans="2:10">
      <c r="B3400" s="873"/>
      <c r="C3400" s="874"/>
      <c r="D3400" s="874"/>
      <c r="E3400" s="874"/>
      <c r="F3400" s="874"/>
      <c r="G3400" s="874"/>
      <c r="H3400" s="874"/>
      <c r="I3400" s="874"/>
      <c r="J3400" s="874"/>
    </row>
    <row r="3401" spans="2:10">
      <c r="B3401" s="873"/>
      <c r="C3401" s="874"/>
      <c r="D3401" s="874"/>
      <c r="E3401" s="874"/>
      <c r="F3401" s="874"/>
      <c r="G3401" s="874"/>
      <c r="H3401" s="874"/>
      <c r="I3401" s="874"/>
      <c r="J3401" s="874"/>
    </row>
    <row r="3402" spans="2:10">
      <c r="B3402" s="873"/>
      <c r="C3402" s="874"/>
      <c r="D3402" s="874"/>
      <c r="E3402" s="874"/>
      <c r="F3402" s="874"/>
      <c r="G3402" s="874"/>
      <c r="H3402" s="874"/>
      <c r="I3402" s="874"/>
      <c r="J3402" s="874"/>
    </row>
    <row r="3403" spans="2:10">
      <c r="B3403" s="873"/>
      <c r="C3403" s="874"/>
      <c r="D3403" s="874"/>
      <c r="E3403" s="874"/>
      <c r="F3403" s="874"/>
      <c r="G3403" s="874"/>
      <c r="H3403" s="874"/>
      <c r="I3403" s="874"/>
      <c r="J3403" s="874"/>
    </row>
    <row r="3404" spans="2:10">
      <c r="B3404" s="873"/>
      <c r="C3404" s="874"/>
      <c r="D3404" s="874"/>
      <c r="E3404" s="874"/>
      <c r="F3404" s="874"/>
      <c r="G3404" s="874"/>
      <c r="H3404" s="874"/>
      <c r="I3404" s="874"/>
      <c r="J3404" s="874"/>
    </row>
    <row r="3405" spans="2:10">
      <c r="B3405" s="873"/>
      <c r="C3405" s="874"/>
      <c r="D3405" s="874"/>
      <c r="E3405" s="874"/>
      <c r="F3405" s="874"/>
      <c r="G3405" s="874"/>
      <c r="H3405" s="874"/>
      <c r="I3405" s="874"/>
      <c r="J3405" s="874"/>
    </row>
    <row r="3406" spans="2:10">
      <c r="B3406" s="873"/>
      <c r="C3406" s="874"/>
      <c r="D3406" s="874"/>
      <c r="E3406" s="874"/>
      <c r="F3406" s="874"/>
      <c r="G3406" s="874"/>
      <c r="H3406" s="874"/>
      <c r="I3406" s="874"/>
      <c r="J3406" s="874"/>
    </row>
    <row r="3407" spans="2:10">
      <c r="B3407" s="873"/>
      <c r="C3407" s="874"/>
      <c r="D3407" s="874"/>
      <c r="E3407" s="874"/>
      <c r="F3407" s="874"/>
      <c r="G3407" s="874"/>
      <c r="H3407" s="874"/>
      <c r="I3407" s="874"/>
      <c r="J3407" s="874"/>
    </row>
    <row r="3408" spans="2:10">
      <c r="B3408" s="873"/>
      <c r="C3408" s="874"/>
      <c r="D3408" s="874"/>
      <c r="E3408" s="874"/>
      <c r="F3408" s="874"/>
      <c r="G3408" s="874"/>
      <c r="H3408" s="874"/>
      <c r="I3408" s="874"/>
      <c r="J3408" s="874"/>
    </row>
    <row r="3409" spans="2:10">
      <c r="B3409" s="873"/>
      <c r="C3409" s="874"/>
      <c r="D3409" s="874"/>
      <c r="E3409" s="874"/>
      <c r="F3409" s="874"/>
      <c r="G3409" s="874"/>
      <c r="H3409" s="874"/>
      <c r="I3409" s="874"/>
      <c r="J3409" s="874"/>
    </row>
    <row r="3410" spans="2:10">
      <c r="B3410" s="873"/>
      <c r="C3410" s="874"/>
      <c r="D3410" s="874"/>
      <c r="E3410" s="874"/>
      <c r="F3410" s="874"/>
      <c r="G3410" s="874"/>
      <c r="H3410" s="874"/>
      <c r="I3410" s="874"/>
      <c r="J3410" s="874"/>
    </row>
    <row r="3411" spans="2:10">
      <c r="B3411" s="873"/>
      <c r="C3411" s="874"/>
      <c r="D3411" s="874"/>
      <c r="E3411" s="874"/>
      <c r="F3411" s="874"/>
      <c r="G3411" s="874"/>
      <c r="H3411" s="874"/>
      <c r="I3411" s="874"/>
      <c r="J3411" s="874"/>
    </row>
    <row r="3412" spans="2:10">
      <c r="B3412" s="873"/>
      <c r="C3412" s="874"/>
      <c r="D3412" s="874"/>
      <c r="E3412" s="874"/>
      <c r="F3412" s="874"/>
      <c r="G3412" s="874"/>
      <c r="H3412" s="874"/>
      <c r="I3412" s="874"/>
      <c r="J3412" s="874"/>
    </row>
    <row r="3413" spans="2:10">
      <c r="B3413" s="873"/>
      <c r="C3413" s="874"/>
      <c r="D3413" s="874"/>
      <c r="E3413" s="874"/>
      <c r="F3413" s="874"/>
      <c r="G3413" s="874"/>
      <c r="H3413" s="874"/>
      <c r="I3413" s="874"/>
      <c r="J3413" s="874"/>
    </row>
    <row r="3414" spans="2:10">
      <c r="B3414" s="873"/>
      <c r="C3414" s="874"/>
      <c r="D3414" s="874"/>
      <c r="E3414" s="874"/>
      <c r="F3414" s="874"/>
      <c r="G3414" s="874"/>
      <c r="H3414" s="874"/>
      <c r="I3414" s="874"/>
      <c r="J3414" s="874"/>
    </row>
    <row r="3415" spans="2:10">
      <c r="B3415" s="873"/>
      <c r="C3415" s="874"/>
      <c r="D3415" s="874"/>
      <c r="E3415" s="874"/>
      <c r="F3415" s="874"/>
      <c r="G3415" s="874"/>
      <c r="H3415" s="874"/>
      <c r="I3415" s="874"/>
      <c r="J3415" s="874"/>
    </row>
    <row r="3416" spans="2:10">
      <c r="B3416" s="873"/>
      <c r="C3416" s="874"/>
      <c r="D3416" s="874"/>
      <c r="E3416" s="874"/>
      <c r="F3416" s="874"/>
      <c r="G3416" s="874"/>
      <c r="H3416" s="874"/>
      <c r="I3416" s="874"/>
      <c r="J3416" s="874"/>
    </row>
    <row r="3417" spans="2:10">
      <c r="B3417" s="873"/>
      <c r="C3417" s="874"/>
      <c r="D3417" s="874"/>
      <c r="E3417" s="874"/>
      <c r="F3417" s="874"/>
      <c r="G3417" s="874"/>
      <c r="H3417" s="874"/>
      <c r="I3417" s="874"/>
      <c r="J3417" s="874"/>
    </row>
    <row r="3418" spans="2:10">
      <c r="B3418" s="873"/>
      <c r="C3418" s="874"/>
      <c r="D3418" s="874"/>
      <c r="E3418" s="874"/>
      <c r="F3418" s="874"/>
      <c r="G3418" s="874"/>
      <c r="H3418" s="874"/>
      <c r="I3418" s="874"/>
      <c r="J3418" s="874"/>
    </row>
    <row r="3419" spans="2:10">
      <c r="B3419" s="873"/>
      <c r="C3419" s="874"/>
      <c r="D3419" s="874"/>
      <c r="E3419" s="874"/>
      <c r="F3419" s="874"/>
      <c r="G3419" s="874"/>
      <c r="H3419" s="874"/>
      <c r="I3419" s="874"/>
      <c r="J3419" s="874"/>
    </row>
    <row r="3420" spans="2:10">
      <c r="B3420" s="873"/>
      <c r="C3420" s="874"/>
      <c r="D3420" s="874"/>
      <c r="E3420" s="874"/>
      <c r="F3420" s="874"/>
      <c r="G3420" s="874"/>
      <c r="H3420" s="874"/>
      <c r="I3420" s="874"/>
      <c r="J3420" s="874"/>
    </row>
    <row r="3421" spans="2:10">
      <c r="B3421" s="873"/>
      <c r="C3421" s="874"/>
      <c r="D3421" s="874"/>
      <c r="E3421" s="874"/>
      <c r="F3421" s="874"/>
      <c r="G3421" s="874"/>
      <c r="H3421" s="874"/>
      <c r="I3421" s="874"/>
      <c r="J3421" s="874"/>
    </row>
    <row r="3422" spans="2:10">
      <c r="B3422" s="873"/>
      <c r="C3422" s="874"/>
      <c r="D3422" s="874"/>
      <c r="E3422" s="874"/>
      <c r="F3422" s="874"/>
      <c r="G3422" s="874"/>
      <c r="H3422" s="874"/>
      <c r="I3422" s="874"/>
      <c r="J3422" s="874"/>
    </row>
    <row r="3423" spans="2:10">
      <c r="B3423" s="873"/>
      <c r="C3423" s="874"/>
      <c r="D3423" s="874"/>
      <c r="E3423" s="874"/>
      <c r="F3423" s="874"/>
      <c r="G3423" s="874"/>
      <c r="H3423" s="874"/>
      <c r="I3423" s="874"/>
      <c r="J3423" s="874"/>
    </row>
    <row r="3424" spans="2:10">
      <c r="B3424" s="873"/>
      <c r="C3424" s="874"/>
      <c r="D3424" s="874"/>
      <c r="E3424" s="874"/>
      <c r="F3424" s="874"/>
      <c r="G3424" s="874"/>
      <c r="H3424" s="874"/>
      <c r="I3424" s="874"/>
      <c r="J3424" s="874"/>
    </row>
    <row r="3425" spans="2:10">
      <c r="B3425" s="873"/>
      <c r="C3425" s="874"/>
      <c r="D3425" s="874"/>
      <c r="E3425" s="874"/>
      <c r="F3425" s="874"/>
      <c r="G3425" s="874"/>
      <c r="H3425" s="874"/>
      <c r="I3425" s="874"/>
      <c r="J3425" s="874"/>
    </row>
    <row r="3426" spans="2:10">
      <c r="B3426" s="873"/>
      <c r="C3426" s="874"/>
      <c r="D3426" s="874"/>
      <c r="E3426" s="874"/>
      <c r="F3426" s="874"/>
      <c r="G3426" s="874"/>
      <c r="H3426" s="874"/>
      <c r="I3426" s="874"/>
      <c r="J3426" s="874"/>
    </row>
    <row r="3427" spans="2:10">
      <c r="B3427" s="873"/>
      <c r="C3427" s="874"/>
      <c r="D3427" s="874"/>
      <c r="E3427" s="874"/>
      <c r="F3427" s="874"/>
      <c r="G3427" s="874"/>
      <c r="H3427" s="874"/>
      <c r="I3427" s="874"/>
      <c r="J3427" s="874"/>
    </row>
    <row r="3428" spans="2:10">
      <c r="B3428" s="873"/>
      <c r="C3428" s="874"/>
      <c r="D3428" s="874"/>
      <c r="E3428" s="874"/>
      <c r="F3428" s="874"/>
      <c r="G3428" s="874"/>
      <c r="H3428" s="874"/>
      <c r="I3428" s="874"/>
      <c r="J3428" s="874"/>
    </row>
    <row r="3429" spans="2:10">
      <c r="B3429" s="873"/>
      <c r="C3429" s="874"/>
      <c r="D3429" s="874"/>
      <c r="E3429" s="874"/>
      <c r="F3429" s="874"/>
      <c r="G3429" s="874"/>
      <c r="H3429" s="874"/>
      <c r="I3429" s="874"/>
      <c r="J3429" s="874"/>
    </row>
    <row r="3430" spans="2:10">
      <c r="B3430" s="873"/>
      <c r="C3430" s="874"/>
      <c r="D3430" s="874"/>
      <c r="E3430" s="874"/>
      <c r="F3430" s="874"/>
      <c r="G3430" s="874"/>
      <c r="H3430" s="874"/>
      <c r="I3430" s="874"/>
      <c r="J3430" s="874"/>
    </row>
    <row r="3431" spans="2:10">
      <c r="B3431" s="873"/>
      <c r="C3431" s="874"/>
      <c r="D3431" s="874"/>
      <c r="E3431" s="874"/>
      <c r="F3431" s="874"/>
      <c r="G3431" s="874"/>
      <c r="H3431" s="874"/>
      <c r="I3431" s="874"/>
      <c r="J3431" s="874"/>
    </row>
    <row r="3432" spans="2:10">
      <c r="B3432" s="873"/>
      <c r="C3432" s="874"/>
      <c r="D3432" s="874"/>
      <c r="E3432" s="874"/>
      <c r="F3432" s="874"/>
      <c r="G3432" s="874"/>
      <c r="H3432" s="874"/>
      <c r="I3432" s="874"/>
      <c r="J3432" s="874"/>
    </row>
    <row r="3433" spans="2:10">
      <c r="B3433" s="873"/>
      <c r="C3433" s="874"/>
      <c r="D3433" s="874"/>
      <c r="E3433" s="874"/>
      <c r="F3433" s="874"/>
      <c r="G3433" s="874"/>
      <c r="H3433" s="874"/>
      <c r="I3433" s="874"/>
      <c r="J3433" s="874"/>
    </row>
    <row r="3434" spans="2:10">
      <c r="B3434" s="873"/>
      <c r="C3434" s="874"/>
      <c r="D3434" s="874"/>
      <c r="E3434" s="874"/>
      <c r="F3434" s="874"/>
      <c r="G3434" s="874"/>
      <c r="H3434" s="874"/>
      <c r="I3434" s="874"/>
      <c r="J3434" s="874"/>
    </row>
    <row r="3435" spans="2:10">
      <c r="B3435" s="873"/>
      <c r="C3435" s="874"/>
      <c r="D3435" s="874"/>
      <c r="E3435" s="874"/>
      <c r="F3435" s="874"/>
      <c r="G3435" s="874"/>
      <c r="H3435" s="874"/>
      <c r="I3435" s="874"/>
      <c r="J3435" s="874"/>
    </row>
    <row r="3436" spans="2:10">
      <c r="B3436" s="873"/>
      <c r="C3436" s="874"/>
      <c r="D3436" s="874"/>
      <c r="E3436" s="874"/>
      <c r="F3436" s="874"/>
      <c r="G3436" s="874"/>
      <c r="H3436" s="874"/>
      <c r="I3436" s="874"/>
      <c r="J3436" s="874"/>
    </row>
    <row r="3437" spans="2:10">
      <c r="B3437" s="873"/>
      <c r="C3437" s="874"/>
      <c r="D3437" s="874"/>
      <c r="E3437" s="874"/>
      <c r="F3437" s="874"/>
      <c r="G3437" s="874"/>
      <c r="H3437" s="874"/>
      <c r="I3437" s="874"/>
      <c r="J3437" s="874"/>
    </row>
    <row r="3438" spans="2:10">
      <c r="B3438" s="873"/>
      <c r="C3438" s="874"/>
      <c r="D3438" s="874"/>
      <c r="E3438" s="874"/>
      <c r="F3438" s="874"/>
      <c r="G3438" s="874"/>
      <c r="H3438" s="874"/>
      <c r="I3438" s="874"/>
      <c r="J3438" s="874"/>
    </row>
    <row r="3439" spans="2:10">
      <c r="B3439" s="873"/>
      <c r="C3439" s="874"/>
      <c r="D3439" s="874"/>
      <c r="E3439" s="874"/>
      <c r="F3439" s="874"/>
      <c r="G3439" s="874"/>
      <c r="H3439" s="874"/>
      <c r="I3439" s="874"/>
      <c r="J3439" s="874"/>
    </row>
    <row r="3440" spans="2:10">
      <c r="B3440" s="873"/>
      <c r="C3440" s="874"/>
      <c r="D3440" s="874"/>
      <c r="E3440" s="874"/>
      <c r="F3440" s="874"/>
      <c r="G3440" s="874"/>
      <c r="H3440" s="874"/>
      <c r="I3440" s="874"/>
      <c r="J3440" s="874"/>
    </row>
    <row r="3441" spans="2:10">
      <c r="B3441" s="873"/>
      <c r="C3441" s="874"/>
      <c r="D3441" s="874"/>
      <c r="E3441" s="874"/>
      <c r="F3441" s="874"/>
      <c r="G3441" s="874"/>
      <c r="H3441" s="874"/>
      <c r="I3441" s="874"/>
      <c r="J3441" s="874"/>
    </row>
    <row r="3442" spans="2:10">
      <c r="B3442" s="873"/>
      <c r="C3442" s="874"/>
      <c r="D3442" s="874"/>
      <c r="E3442" s="874"/>
      <c r="F3442" s="874"/>
      <c r="G3442" s="874"/>
      <c r="H3442" s="874"/>
      <c r="I3442" s="874"/>
      <c r="J3442" s="874"/>
    </row>
    <row r="3443" spans="2:10">
      <c r="B3443" s="873"/>
      <c r="C3443" s="874"/>
      <c r="D3443" s="874"/>
      <c r="E3443" s="874"/>
      <c r="F3443" s="874"/>
      <c r="G3443" s="874"/>
      <c r="H3443" s="874"/>
      <c r="I3443" s="874"/>
      <c r="J3443" s="874"/>
    </row>
    <row r="3444" spans="2:10">
      <c r="B3444" s="873"/>
      <c r="C3444" s="874"/>
      <c r="D3444" s="874"/>
      <c r="E3444" s="874"/>
      <c r="F3444" s="874"/>
      <c r="G3444" s="874"/>
      <c r="H3444" s="874"/>
      <c r="I3444" s="874"/>
      <c r="J3444" s="874"/>
    </row>
    <row r="3445" spans="2:10">
      <c r="B3445" s="873"/>
      <c r="C3445" s="874"/>
      <c r="D3445" s="874"/>
      <c r="E3445" s="874"/>
      <c r="F3445" s="874"/>
      <c r="G3445" s="874"/>
      <c r="H3445" s="874"/>
      <c r="I3445" s="874"/>
      <c r="J3445" s="874"/>
    </row>
    <row r="3446" spans="2:10">
      <c r="B3446" s="873"/>
      <c r="C3446" s="874"/>
      <c r="D3446" s="874"/>
      <c r="E3446" s="874"/>
      <c r="F3446" s="874"/>
      <c r="G3446" s="874"/>
      <c r="H3446" s="874"/>
      <c r="I3446" s="874"/>
      <c r="J3446" s="874"/>
    </row>
    <row r="3447" spans="2:10">
      <c r="B3447" s="873"/>
      <c r="C3447" s="874"/>
      <c r="D3447" s="874"/>
      <c r="E3447" s="874"/>
      <c r="F3447" s="874"/>
      <c r="G3447" s="874"/>
      <c r="H3447" s="874"/>
      <c r="I3447" s="874"/>
      <c r="J3447" s="874"/>
    </row>
    <row r="3448" spans="2:10">
      <c r="B3448" s="873"/>
      <c r="C3448" s="874"/>
      <c r="D3448" s="874"/>
      <c r="E3448" s="874"/>
      <c r="F3448" s="874"/>
      <c r="G3448" s="874"/>
      <c r="H3448" s="874"/>
      <c r="I3448" s="874"/>
      <c r="J3448" s="874"/>
    </row>
    <row r="3449" spans="2:10">
      <c r="B3449" s="873"/>
      <c r="C3449" s="874"/>
      <c r="D3449" s="874"/>
      <c r="E3449" s="874"/>
      <c r="F3449" s="874"/>
      <c r="G3449" s="874"/>
      <c r="H3449" s="874"/>
      <c r="I3449" s="874"/>
      <c r="J3449" s="874"/>
    </row>
    <row r="3450" spans="2:10">
      <c r="B3450" s="873"/>
      <c r="C3450" s="874"/>
      <c r="D3450" s="874"/>
      <c r="E3450" s="874"/>
      <c r="F3450" s="874"/>
      <c r="G3450" s="874"/>
      <c r="H3450" s="874"/>
      <c r="I3450" s="874"/>
      <c r="J3450" s="874"/>
    </row>
    <row r="3451" spans="2:10">
      <c r="B3451" s="873"/>
      <c r="C3451" s="874"/>
      <c r="D3451" s="874"/>
      <c r="E3451" s="874"/>
      <c r="F3451" s="874"/>
      <c r="G3451" s="874"/>
      <c r="H3451" s="874"/>
      <c r="I3451" s="874"/>
      <c r="J3451" s="874"/>
    </row>
    <row r="3452" spans="2:10">
      <c r="B3452" s="873"/>
      <c r="C3452" s="874"/>
      <c r="D3452" s="874"/>
      <c r="E3452" s="874"/>
      <c r="F3452" s="874"/>
      <c r="G3452" s="874"/>
      <c r="H3452" s="874"/>
      <c r="I3452" s="874"/>
      <c r="J3452" s="874"/>
    </row>
    <row r="3453" spans="2:10">
      <c r="B3453" s="873"/>
      <c r="C3453" s="874"/>
      <c r="D3453" s="874"/>
      <c r="E3453" s="874"/>
      <c r="F3453" s="874"/>
      <c r="G3453" s="874"/>
      <c r="H3453" s="874"/>
      <c r="I3453" s="874"/>
      <c r="J3453" s="874"/>
    </row>
    <row r="3454" spans="2:10">
      <c r="B3454" s="873"/>
      <c r="C3454" s="874"/>
      <c r="D3454" s="874"/>
      <c r="E3454" s="874"/>
      <c r="F3454" s="874"/>
      <c r="G3454" s="874"/>
      <c r="H3454" s="874"/>
      <c r="I3454" s="874"/>
      <c r="J3454" s="874"/>
    </row>
    <row r="3455" spans="2:10">
      <c r="B3455" s="873"/>
      <c r="C3455" s="874"/>
      <c r="D3455" s="874"/>
      <c r="E3455" s="874"/>
      <c r="F3455" s="874"/>
      <c r="G3455" s="874"/>
      <c r="H3455" s="874"/>
      <c r="I3455" s="874"/>
      <c r="J3455" s="874"/>
    </row>
    <row r="3456" spans="2:10">
      <c r="B3456" s="873"/>
      <c r="C3456" s="874"/>
      <c r="D3456" s="874"/>
      <c r="E3456" s="874"/>
      <c r="F3456" s="874"/>
      <c r="G3456" s="874"/>
      <c r="H3456" s="874"/>
      <c r="I3456" s="874"/>
      <c r="J3456" s="874"/>
    </row>
    <row r="3457" spans="2:10">
      <c r="B3457" s="873"/>
      <c r="C3457" s="874"/>
      <c r="D3457" s="874"/>
      <c r="E3457" s="874"/>
      <c r="F3457" s="874"/>
      <c r="G3457" s="874"/>
      <c r="H3457" s="874"/>
      <c r="I3457" s="874"/>
      <c r="J3457" s="874"/>
    </row>
    <row r="3458" spans="2:10">
      <c r="B3458" s="873"/>
      <c r="C3458" s="874"/>
      <c r="D3458" s="874"/>
      <c r="E3458" s="874"/>
      <c r="F3458" s="874"/>
      <c r="G3458" s="874"/>
      <c r="H3458" s="874"/>
      <c r="I3458" s="874"/>
      <c r="J3458" s="874"/>
    </row>
    <row r="3459" spans="2:10">
      <c r="B3459" s="873"/>
      <c r="C3459" s="874"/>
      <c r="D3459" s="874"/>
      <c r="E3459" s="874"/>
      <c r="F3459" s="874"/>
      <c r="G3459" s="874"/>
      <c r="H3459" s="874"/>
      <c r="I3459" s="874"/>
      <c r="J3459" s="874"/>
    </row>
    <row r="3460" spans="2:10">
      <c r="B3460" s="873"/>
      <c r="C3460" s="874"/>
      <c r="D3460" s="874"/>
      <c r="E3460" s="874"/>
      <c r="F3460" s="874"/>
      <c r="G3460" s="874"/>
      <c r="H3460" s="874"/>
      <c r="I3460" s="874"/>
      <c r="J3460" s="874"/>
    </row>
    <row r="3461" spans="2:10">
      <c r="B3461" s="873"/>
      <c r="C3461" s="874"/>
      <c r="D3461" s="874"/>
      <c r="E3461" s="874"/>
      <c r="F3461" s="874"/>
      <c r="G3461" s="874"/>
      <c r="H3461" s="874"/>
      <c r="I3461" s="874"/>
      <c r="J3461" s="874"/>
    </row>
    <row r="3462" spans="2:10">
      <c r="B3462" s="873"/>
      <c r="C3462" s="874"/>
      <c r="D3462" s="874"/>
      <c r="E3462" s="874"/>
      <c r="F3462" s="874"/>
      <c r="G3462" s="874"/>
      <c r="H3462" s="874"/>
      <c r="I3462" s="874"/>
      <c r="J3462" s="874"/>
    </row>
    <row r="3463" spans="2:10">
      <c r="B3463" s="873"/>
      <c r="C3463" s="874"/>
      <c r="D3463" s="874"/>
      <c r="E3463" s="874"/>
      <c r="F3463" s="874"/>
      <c r="G3463" s="874"/>
      <c r="H3463" s="874"/>
      <c r="I3463" s="874"/>
      <c r="J3463" s="874"/>
    </row>
    <row r="3464" spans="2:10">
      <c r="B3464" s="873"/>
      <c r="C3464" s="874"/>
      <c r="D3464" s="874"/>
      <c r="E3464" s="874"/>
      <c r="F3464" s="874"/>
      <c r="G3464" s="874"/>
      <c r="H3464" s="874"/>
      <c r="I3464" s="874"/>
      <c r="J3464" s="874"/>
    </row>
    <row r="3465" spans="2:10">
      <c r="B3465" s="873"/>
      <c r="C3465" s="874"/>
      <c r="D3465" s="874"/>
      <c r="E3465" s="874"/>
      <c r="F3465" s="874"/>
      <c r="G3465" s="874"/>
      <c r="H3465" s="874"/>
      <c r="I3465" s="874"/>
      <c r="J3465" s="874"/>
    </row>
    <row r="3466" spans="2:10">
      <c r="B3466" s="873"/>
      <c r="C3466" s="874"/>
      <c r="D3466" s="874"/>
      <c r="E3466" s="874"/>
      <c r="F3466" s="874"/>
      <c r="G3466" s="874"/>
      <c r="H3466" s="874"/>
      <c r="I3466" s="874"/>
      <c r="J3466" s="874"/>
    </row>
    <row r="3467" spans="2:10">
      <c r="B3467" s="873"/>
      <c r="C3467" s="874"/>
      <c r="D3467" s="874"/>
      <c r="E3467" s="874"/>
      <c r="F3467" s="874"/>
      <c r="G3467" s="874"/>
      <c r="H3467" s="874"/>
      <c r="I3467" s="874"/>
      <c r="J3467" s="874"/>
    </row>
    <row r="3468" spans="2:10">
      <c r="B3468" s="873"/>
      <c r="C3468" s="874"/>
      <c r="D3468" s="874"/>
      <c r="E3468" s="874"/>
      <c r="F3468" s="874"/>
      <c r="G3468" s="874"/>
      <c r="H3468" s="874"/>
      <c r="I3468" s="874"/>
      <c r="J3468" s="874"/>
    </row>
    <row r="3469" spans="2:10">
      <c r="B3469" s="873"/>
      <c r="C3469" s="874"/>
      <c r="D3469" s="874"/>
      <c r="E3469" s="874"/>
      <c r="F3469" s="874"/>
      <c r="G3469" s="874"/>
      <c r="H3469" s="874"/>
      <c r="I3469" s="874"/>
      <c r="J3469" s="874"/>
    </row>
    <row r="3470" spans="2:10">
      <c r="B3470" s="873"/>
      <c r="C3470" s="874"/>
      <c r="D3470" s="874"/>
      <c r="E3470" s="874"/>
      <c r="F3470" s="874"/>
      <c r="G3470" s="874"/>
      <c r="H3470" s="874"/>
      <c r="I3470" s="874"/>
      <c r="J3470" s="874"/>
    </row>
    <row r="3471" spans="2:10">
      <c r="B3471" s="873"/>
      <c r="C3471" s="874"/>
      <c r="D3471" s="874"/>
      <c r="E3471" s="874"/>
      <c r="F3471" s="874"/>
      <c r="G3471" s="874"/>
      <c r="H3471" s="874"/>
      <c r="I3471" s="874"/>
      <c r="J3471" s="874"/>
    </row>
    <row r="3472" spans="2:10">
      <c r="B3472" s="873"/>
      <c r="C3472" s="874"/>
      <c r="D3472" s="874"/>
      <c r="E3472" s="874"/>
      <c r="F3472" s="874"/>
      <c r="G3472" s="874"/>
      <c r="H3472" s="874"/>
      <c r="I3472" s="874"/>
      <c r="J3472" s="874"/>
    </row>
    <row r="3473" spans="2:10">
      <c r="B3473" s="873"/>
      <c r="C3473" s="874"/>
      <c r="D3473" s="874"/>
      <c r="E3473" s="874"/>
      <c r="F3473" s="874"/>
      <c r="G3473" s="874"/>
      <c r="H3473" s="874"/>
      <c r="I3473" s="874"/>
      <c r="J3473" s="874"/>
    </row>
    <row r="3474" spans="2:10">
      <c r="B3474" s="873"/>
      <c r="C3474" s="874"/>
      <c r="D3474" s="874"/>
      <c r="E3474" s="874"/>
      <c r="F3474" s="874"/>
      <c r="G3474" s="874"/>
      <c r="H3474" s="874"/>
      <c r="I3474" s="874"/>
      <c r="J3474" s="874"/>
    </row>
    <row r="3475" spans="2:10">
      <c r="B3475" s="873"/>
      <c r="C3475" s="874"/>
      <c r="D3475" s="874"/>
      <c r="E3475" s="874"/>
      <c r="F3475" s="874"/>
      <c r="G3475" s="874"/>
      <c r="H3475" s="874"/>
      <c r="I3475" s="874"/>
      <c r="J3475" s="874"/>
    </row>
    <row r="3476" spans="2:10">
      <c r="B3476" s="873"/>
      <c r="C3476" s="874"/>
      <c r="D3476" s="874"/>
      <c r="E3476" s="874"/>
      <c r="F3476" s="874"/>
      <c r="G3476" s="874"/>
      <c r="H3476" s="874"/>
      <c r="I3476" s="874"/>
      <c r="J3476" s="874"/>
    </row>
    <row r="3477" spans="2:10">
      <c r="B3477" s="873"/>
      <c r="C3477" s="874"/>
      <c r="D3477" s="874"/>
      <c r="E3477" s="874"/>
      <c r="F3477" s="874"/>
      <c r="G3477" s="874"/>
      <c r="H3477" s="874"/>
      <c r="I3477" s="874"/>
      <c r="J3477" s="874"/>
    </row>
    <row r="3478" spans="2:10">
      <c r="B3478" s="873"/>
      <c r="C3478" s="874"/>
      <c r="D3478" s="874"/>
      <c r="E3478" s="874"/>
      <c r="F3478" s="874"/>
      <c r="G3478" s="874"/>
      <c r="H3478" s="874"/>
      <c r="I3478" s="874"/>
      <c r="J3478" s="874"/>
    </row>
    <row r="3479" spans="2:10">
      <c r="B3479" s="873"/>
      <c r="C3479" s="874"/>
      <c r="D3479" s="874"/>
      <c r="E3479" s="874"/>
      <c r="F3479" s="874"/>
      <c r="G3479" s="874"/>
      <c r="H3479" s="874"/>
      <c r="I3479" s="874"/>
      <c r="J3479" s="874"/>
    </row>
    <row r="3480" spans="2:10">
      <c r="B3480" s="873"/>
      <c r="C3480" s="874"/>
      <c r="D3480" s="874"/>
      <c r="E3480" s="874"/>
      <c r="F3480" s="874"/>
      <c r="G3480" s="874"/>
      <c r="H3480" s="874"/>
      <c r="I3480" s="874"/>
      <c r="J3480" s="874"/>
    </row>
    <row r="3481" spans="2:10">
      <c r="B3481" s="873"/>
      <c r="C3481" s="874"/>
      <c r="D3481" s="874"/>
      <c r="E3481" s="874"/>
      <c r="F3481" s="874"/>
      <c r="G3481" s="874"/>
      <c r="H3481" s="874"/>
      <c r="I3481" s="874"/>
      <c r="J3481" s="874"/>
    </row>
    <row r="3482" spans="2:10">
      <c r="B3482" s="873"/>
      <c r="C3482" s="874"/>
      <c r="D3482" s="874"/>
      <c r="E3482" s="874"/>
      <c r="F3482" s="874"/>
      <c r="G3482" s="874"/>
      <c r="H3482" s="874"/>
      <c r="I3482" s="874"/>
      <c r="J3482" s="874"/>
    </row>
    <row r="3483" spans="2:10">
      <c r="B3483" s="873"/>
      <c r="C3483" s="874"/>
      <c r="D3483" s="874"/>
      <c r="E3483" s="874"/>
      <c r="F3483" s="874"/>
      <c r="G3483" s="874"/>
      <c r="H3483" s="874"/>
      <c r="I3483" s="874"/>
      <c r="J3483" s="874"/>
    </row>
    <row r="3484" spans="2:10">
      <c r="B3484" s="873"/>
      <c r="C3484" s="874"/>
      <c r="D3484" s="874"/>
      <c r="E3484" s="874"/>
      <c r="F3484" s="874"/>
      <c r="G3484" s="874"/>
      <c r="H3484" s="874"/>
      <c r="I3484" s="874"/>
      <c r="J3484" s="874"/>
    </row>
    <row r="3485" spans="2:10">
      <c r="B3485" s="873"/>
      <c r="C3485" s="874"/>
      <c r="D3485" s="874"/>
      <c r="E3485" s="874"/>
      <c r="F3485" s="874"/>
      <c r="G3485" s="874"/>
      <c r="H3485" s="874"/>
      <c r="I3485" s="874"/>
      <c r="J3485" s="874"/>
    </row>
    <row r="3486" spans="2:10">
      <c r="B3486" s="873"/>
      <c r="C3486" s="874"/>
      <c r="D3486" s="874"/>
      <c r="E3486" s="874"/>
      <c r="F3486" s="874"/>
      <c r="G3486" s="874"/>
      <c r="H3486" s="874"/>
      <c r="I3486" s="874"/>
      <c r="J3486" s="874"/>
    </row>
    <row r="3487" spans="2:10">
      <c r="B3487" s="873"/>
      <c r="C3487" s="874"/>
      <c r="D3487" s="874"/>
      <c r="E3487" s="874"/>
      <c r="F3487" s="874"/>
      <c r="G3487" s="874"/>
      <c r="H3487" s="874"/>
      <c r="I3487" s="874"/>
      <c r="J3487" s="874"/>
    </row>
    <row r="3488" spans="2:10">
      <c r="B3488" s="873"/>
      <c r="C3488" s="874"/>
      <c r="D3488" s="874"/>
      <c r="E3488" s="874"/>
      <c r="F3488" s="874"/>
      <c r="G3488" s="874"/>
      <c r="H3488" s="874"/>
      <c r="I3488" s="874"/>
      <c r="J3488" s="874"/>
    </row>
    <row r="3489" spans="2:10">
      <c r="B3489" s="873"/>
      <c r="C3489" s="874"/>
      <c r="D3489" s="874"/>
      <c r="E3489" s="874"/>
      <c r="F3489" s="874"/>
      <c r="G3489" s="874"/>
      <c r="H3489" s="874"/>
      <c r="I3489" s="874"/>
      <c r="J3489" s="874"/>
    </row>
    <row r="3490" spans="2:10">
      <c r="B3490" s="873"/>
      <c r="C3490" s="874"/>
      <c r="D3490" s="874"/>
      <c r="E3490" s="874"/>
      <c r="F3490" s="874"/>
      <c r="G3490" s="874"/>
      <c r="H3490" s="874"/>
      <c r="I3490" s="874"/>
      <c r="J3490" s="874"/>
    </row>
    <row r="3491" spans="2:10">
      <c r="B3491" s="873"/>
      <c r="C3491" s="874"/>
      <c r="D3491" s="874"/>
      <c r="E3491" s="874"/>
      <c r="F3491" s="874"/>
      <c r="G3491" s="874"/>
      <c r="H3491" s="874"/>
      <c r="I3491" s="874"/>
      <c r="J3491" s="874"/>
    </row>
    <row r="3492" spans="2:10">
      <c r="B3492" s="873"/>
      <c r="C3492" s="874"/>
      <c r="D3492" s="874"/>
      <c r="E3492" s="874"/>
      <c r="F3492" s="874"/>
      <c r="G3492" s="874"/>
      <c r="H3492" s="874"/>
      <c r="I3492" s="874"/>
      <c r="J3492" s="874"/>
    </row>
    <row r="3493" spans="2:10">
      <c r="B3493" s="873"/>
      <c r="C3493" s="874"/>
      <c r="D3493" s="874"/>
      <c r="E3493" s="874"/>
      <c r="F3493" s="874"/>
      <c r="G3493" s="874"/>
      <c r="H3493" s="874"/>
      <c r="I3493" s="874"/>
      <c r="J3493" s="874"/>
    </row>
    <row r="3494" spans="2:10">
      <c r="B3494" s="873"/>
      <c r="C3494" s="874"/>
      <c r="D3494" s="874"/>
      <c r="E3494" s="874"/>
      <c r="F3494" s="874"/>
      <c r="G3494" s="874"/>
      <c r="H3494" s="874"/>
      <c r="I3494" s="874"/>
      <c r="J3494" s="874"/>
    </row>
    <row r="3495" spans="2:10">
      <c r="B3495" s="873"/>
      <c r="C3495" s="874"/>
      <c r="D3495" s="874"/>
      <c r="E3495" s="874"/>
      <c r="F3495" s="874"/>
      <c r="G3495" s="874"/>
      <c r="H3495" s="874"/>
      <c r="I3495" s="874"/>
      <c r="J3495" s="874"/>
    </row>
    <row r="3496" spans="2:10">
      <c r="B3496" s="873"/>
      <c r="C3496" s="874"/>
      <c r="D3496" s="874"/>
      <c r="E3496" s="874"/>
      <c r="F3496" s="874"/>
      <c r="G3496" s="874"/>
      <c r="H3496" s="874"/>
      <c r="I3496" s="874"/>
      <c r="J3496" s="874"/>
    </row>
    <row r="3497" spans="2:10">
      <c r="B3497" s="873"/>
      <c r="C3497" s="874"/>
      <c r="D3497" s="874"/>
      <c r="E3497" s="874"/>
      <c r="F3497" s="874"/>
      <c r="G3497" s="874"/>
      <c r="H3497" s="874"/>
      <c r="I3497" s="874"/>
      <c r="J3497" s="874"/>
    </row>
    <row r="3498" spans="2:10">
      <c r="B3498" s="873"/>
      <c r="C3498" s="874"/>
      <c r="D3498" s="874"/>
      <c r="E3498" s="874"/>
      <c r="F3498" s="874"/>
      <c r="G3498" s="874"/>
      <c r="H3498" s="874"/>
      <c r="I3498" s="874"/>
      <c r="J3498" s="874"/>
    </row>
    <row r="3499" spans="2:10">
      <c r="B3499" s="873"/>
      <c r="C3499" s="874"/>
      <c r="D3499" s="874"/>
      <c r="E3499" s="874"/>
      <c r="F3499" s="874"/>
      <c r="G3499" s="874"/>
      <c r="H3499" s="874"/>
      <c r="I3499" s="874"/>
      <c r="J3499" s="874"/>
    </row>
    <row r="3500" spans="2:10">
      <c r="B3500" s="873"/>
      <c r="C3500" s="874"/>
      <c r="D3500" s="874"/>
      <c r="E3500" s="874"/>
      <c r="F3500" s="874"/>
      <c r="G3500" s="874"/>
      <c r="H3500" s="874"/>
      <c r="I3500" s="874"/>
      <c r="J3500" s="874"/>
    </row>
    <row r="3501" spans="2:10">
      <c r="B3501" s="873"/>
      <c r="C3501" s="874"/>
      <c r="D3501" s="874"/>
      <c r="E3501" s="874"/>
      <c r="F3501" s="874"/>
      <c r="G3501" s="874"/>
      <c r="H3501" s="874"/>
      <c r="I3501" s="874"/>
      <c r="J3501" s="874"/>
    </row>
    <row r="3502" spans="2:10">
      <c r="B3502" s="873"/>
      <c r="C3502" s="874"/>
      <c r="D3502" s="874"/>
      <c r="E3502" s="874"/>
      <c r="F3502" s="874"/>
      <c r="G3502" s="874"/>
      <c r="H3502" s="874"/>
      <c r="I3502" s="874"/>
      <c r="J3502" s="874"/>
    </row>
    <row r="3503" spans="2:10">
      <c r="B3503" s="873"/>
      <c r="C3503" s="874"/>
      <c r="D3503" s="874"/>
      <c r="E3503" s="874"/>
      <c r="F3503" s="874"/>
      <c r="G3503" s="874"/>
      <c r="H3503" s="874"/>
      <c r="I3503" s="874"/>
      <c r="J3503" s="874"/>
    </row>
    <row r="3504" spans="2:10">
      <c r="B3504" s="873"/>
      <c r="C3504" s="874"/>
      <c r="D3504" s="874"/>
      <c r="E3504" s="874"/>
      <c r="F3504" s="874"/>
      <c r="G3504" s="874"/>
      <c r="H3504" s="874"/>
      <c r="I3504" s="874"/>
      <c r="J3504" s="874"/>
    </row>
    <row r="3505" spans="2:10">
      <c r="B3505" s="873"/>
      <c r="C3505" s="874"/>
      <c r="D3505" s="874"/>
      <c r="E3505" s="874"/>
      <c r="F3505" s="874"/>
      <c r="G3505" s="874"/>
      <c r="H3505" s="874"/>
      <c r="I3505" s="874"/>
      <c r="J3505" s="874"/>
    </row>
    <row r="3506" spans="2:10">
      <c r="B3506" s="873"/>
      <c r="C3506" s="874"/>
      <c r="D3506" s="874"/>
      <c r="E3506" s="874"/>
      <c r="F3506" s="874"/>
      <c r="G3506" s="874"/>
      <c r="H3506" s="874"/>
      <c r="I3506" s="874"/>
      <c r="J3506" s="874"/>
    </row>
    <row r="3507" spans="2:10">
      <c r="B3507" s="873"/>
      <c r="C3507" s="874"/>
      <c r="D3507" s="874"/>
      <c r="E3507" s="874"/>
      <c r="F3507" s="874"/>
      <c r="G3507" s="874"/>
      <c r="H3507" s="874"/>
      <c r="I3507" s="874"/>
      <c r="J3507" s="874"/>
    </row>
    <row r="3508" spans="2:10">
      <c r="B3508" s="873"/>
      <c r="C3508" s="874"/>
      <c r="D3508" s="874"/>
      <c r="E3508" s="874"/>
      <c r="F3508" s="874"/>
      <c r="G3508" s="874"/>
      <c r="H3508" s="874"/>
      <c r="I3508" s="874"/>
      <c r="J3508" s="874"/>
    </row>
    <row r="3509" spans="2:10">
      <c r="B3509" s="873"/>
      <c r="C3509" s="874"/>
      <c r="D3509" s="874"/>
      <c r="E3509" s="874"/>
      <c r="F3509" s="874"/>
      <c r="G3509" s="874"/>
      <c r="H3509" s="874"/>
      <c r="I3509" s="874"/>
      <c r="J3509" s="874"/>
    </row>
    <row r="3510" spans="2:10">
      <c r="B3510" s="873"/>
      <c r="C3510" s="874"/>
      <c r="D3510" s="874"/>
      <c r="E3510" s="874"/>
      <c r="F3510" s="874"/>
      <c r="G3510" s="874"/>
      <c r="H3510" s="874"/>
      <c r="I3510" s="874"/>
      <c r="J3510" s="874"/>
    </row>
    <row r="3511" spans="2:10">
      <c r="B3511" s="873"/>
      <c r="C3511" s="874"/>
      <c r="D3511" s="874"/>
      <c r="E3511" s="874"/>
      <c r="F3511" s="874"/>
      <c r="G3511" s="874"/>
      <c r="H3511" s="874"/>
      <c r="I3511" s="874"/>
      <c r="J3511" s="874"/>
    </row>
    <row r="3512" spans="2:10">
      <c r="B3512" s="873"/>
      <c r="C3512" s="874"/>
      <c r="D3512" s="874"/>
      <c r="E3512" s="874"/>
      <c r="F3512" s="874"/>
      <c r="G3512" s="874"/>
      <c r="H3512" s="874"/>
      <c r="I3512" s="874"/>
      <c r="J3512" s="874"/>
    </row>
    <row r="3513" spans="2:10">
      <c r="B3513" s="873"/>
      <c r="C3513" s="874"/>
      <c r="D3513" s="874"/>
      <c r="E3513" s="874"/>
      <c r="F3513" s="874"/>
      <c r="G3513" s="874"/>
      <c r="H3513" s="874"/>
      <c r="I3513" s="874"/>
      <c r="J3513" s="874"/>
    </row>
    <row r="3514" spans="2:10">
      <c r="B3514" s="873"/>
      <c r="C3514" s="874"/>
      <c r="D3514" s="874"/>
      <c r="E3514" s="874"/>
      <c r="F3514" s="874"/>
      <c r="G3514" s="874"/>
      <c r="H3514" s="874"/>
      <c r="I3514" s="874"/>
      <c r="J3514" s="874"/>
    </row>
    <row r="3515" spans="2:10">
      <c r="B3515" s="873"/>
      <c r="C3515" s="874"/>
      <c r="D3515" s="874"/>
      <c r="E3515" s="874"/>
      <c r="F3515" s="874"/>
      <c r="G3515" s="874"/>
      <c r="H3515" s="874"/>
      <c r="I3515" s="874"/>
      <c r="J3515" s="874"/>
    </row>
    <row r="3516" spans="2:10">
      <c r="B3516" s="873"/>
      <c r="C3516" s="874"/>
      <c r="D3516" s="874"/>
      <c r="E3516" s="874"/>
      <c r="F3516" s="874"/>
      <c r="G3516" s="874"/>
      <c r="H3516" s="874"/>
      <c r="I3516" s="874"/>
      <c r="J3516" s="874"/>
    </row>
    <row r="3517" spans="2:10">
      <c r="B3517" s="873"/>
      <c r="C3517" s="874"/>
      <c r="D3517" s="874"/>
      <c r="E3517" s="874"/>
      <c r="F3517" s="874"/>
      <c r="G3517" s="874"/>
      <c r="H3517" s="874"/>
      <c r="I3517" s="874"/>
      <c r="J3517" s="874"/>
    </row>
    <row r="3518" spans="2:10">
      <c r="B3518" s="873"/>
      <c r="C3518" s="874"/>
      <c r="D3518" s="874"/>
      <c r="E3518" s="874"/>
      <c r="F3518" s="874"/>
      <c r="G3518" s="874"/>
      <c r="H3518" s="874"/>
      <c r="I3518" s="874"/>
      <c r="J3518" s="874"/>
    </row>
    <row r="3519" spans="2:10">
      <c r="B3519" s="873"/>
      <c r="C3519" s="874"/>
      <c r="D3519" s="874"/>
      <c r="E3519" s="874"/>
      <c r="F3519" s="874"/>
      <c r="G3519" s="874"/>
      <c r="H3519" s="874"/>
      <c r="I3519" s="874"/>
      <c r="J3519" s="874"/>
    </row>
    <row r="3520" spans="2:10">
      <c r="B3520" s="873"/>
      <c r="C3520" s="874"/>
      <c r="D3520" s="874"/>
      <c r="E3520" s="874"/>
      <c r="F3520" s="874"/>
      <c r="G3520" s="874"/>
      <c r="H3520" s="874"/>
      <c r="I3520" s="874"/>
      <c r="J3520" s="874"/>
    </row>
    <row r="3521" spans="2:10">
      <c r="B3521" s="873"/>
      <c r="C3521" s="874"/>
      <c r="D3521" s="874"/>
      <c r="E3521" s="874"/>
      <c r="F3521" s="874"/>
      <c r="G3521" s="874"/>
      <c r="H3521" s="874"/>
      <c r="I3521" s="874"/>
      <c r="J3521" s="874"/>
    </row>
    <row r="3522" spans="2:10">
      <c r="B3522" s="873"/>
      <c r="C3522" s="874"/>
      <c r="D3522" s="874"/>
      <c r="E3522" s="874"/>
      <c r="F3522" s="874"/>
      <c r="G3522" s="874"/>
      <c r="H3522" s="874"/>
      <c r="I3522" s="874"/>
      <c r="J3522" s="874"/>
    </row>
    <row r="3523" spans="2:10">
      <c r="B3523" s="873"/>
      <c r="C3523" s="874"/>
      <c r="D3523" s="874"/>
      <c r="E3523" s="874"/>
      <c r="F3523" s="874"/>
      <c r="G3523" s="874"/>
      <c r="H3523" s="874"/>
      <c r="I3523" s="874"/>
      <c r="J3523" s="874"/>
    </row>
    <row r="3524" spans="2:10">
      <c r="B3524" s="873"/>
      <c r="C3524" s="874"/>
      <c r="D3524" s="874"/>
      <c r="E3524" s="874"/>
      <c r="F3524" s="874"/>
      <c r="G3524" s="874"/>
      <c r="H3524" s="874"/>
      <c r="I3524" s="874"/>
      <c r="J3524" s="874"/>
    </row>
    <row r="3525" spans="2:10">
      <c r="B3525" s="873"/>
      <c r="C3525" s="874"/>
      <c r="D3525" s="874"/>
      <c r="E3525" s="874"/>
      <c r="F3525" s="874"/>
      <c r="G3525" s="874"/>
      <c r="H3525" s="874"/>
      <c r="I3525" s="874"/>
      <c r="J3525" s="874"/>
    </row>
    <row r="3526" spans="2:10">
      <c r="B3526" s="873"/>
      <c r="C3526" s="874"/>
      <c r="D3526" s="874"/>
      <c r="E3526" s="874"/>
      <c r="F3526" s="874"/>
      <c r="G3526" s="874"/>
      <c r="H3526" s="874"/>
      <c r="I3526" s="874"/>
      <c r="J3526" s="874"/>
    </row>
    <row r="3527" spans="2:10">
      <c r="B3527" s="873"/>
      <c r="C3527" s="874"/>
      <c r="D3527" s="874"/>
      <c r="E3527" s="874"/>
      <c r="F3527" s="874"/>
      <c r="G3527" s="874"/>
      <c r="H3527" s="874"/>
      <c r="I3527" s="874"/>
      <c r="J3527" s="874"/>
    </row>
    <row r="3528" spans="2:10">
      <c r="B3528" s="873"/>
      <c r="C3528" s="874"/>
      <c r="D3528" s="874"/>
      <c r="E3528" s="874"/>
      <c r="F3528" s="874"/>
      <c r="G3528" s="874"/>
      <c r="H3528" s="874"/>
      <c r="I3528" s="874"/>
      <c r="J3528" s="874"/>
    </row>
    <row r="3529" spans="2:10">
      <c r="B3529" s="873"/>
      <c r="C3529" s="874"/>
      <c r="D3529" s="874"/>
      <c r="E3529" s="874"/>
      <c r="F3529" s="874"/>
      <c r="G3529" s="874"/>
      <c r="H3529" s="874"/>
      <c r="I3529" s="874"/>
      <c r="J3529" s="874"/>
    </row>
    <row r="3530" spans="2:10">
      <c r="B3530" s="873"/>
      <c r="C3530" s="874"/>
      <c r="D3530" s="874"/>
      <c r="E3530" s="874"/>
      <c r="F3530" s="874"/>
      <c r="G3530" s="874"/>
      <c r="H3530" s="874"/>
      <c r="I3530" s="874"/>
      <c r="J3530" s="874"/>
    </row>
    <row r="3531" spans="2:10">
      <c r="B3531" s="873"/>
      <c r="C3531" s="874"/>
      <c r="D3531" s="874"/>
      <c r="E3531" s="874"/>
      <c r="F3531" s="874"/>
      <c r="G3531" s="874"/>
      <c r="H3531" s="874"/>
      <c r="I3531" s="874"/>
      <c r="J3531" s="874"/>
    </row>
    <row r="3532" spans="2:10">
      <c r="B3532" s="873"/>
      <c r="C3532" s="874"/>
      <c r="D3532" s="874"/>
      <c r="E3532" s="874"/>
      <c r="F3532" s="874"/>
      <c r="G3532" s="874"/>
      <c r="H3532" s="874"/>
      <c r="I3532" s="874"/>
      <c r="J3532" s="874"/>
    </row>
    <row r="3533" spans="2:10">
      <c r="B3533" s="873"/>
      <c r="C3533" s="874"/>
      <c r="D3533" s="874"/>
      <c r="E3533" s="874"/>
      <c r="F3533" s="874"/>
      <c r="G3533" s="874"/>
      <c r="H3533" s="874"/>
      <c r="I3533" s="874"/>
      <c r="J3533" s="874"/>
    </row>
    <row r="3534" spans="2:10">
      <c r="B3534" s="873"/>
      <c r="C3534" s="874"/>
      <c r="D3534" s="874"/>
      <c r="E3534" s="874"/>
      <c r="F3534" s="874"/>
      <c r="G3534" s="874"/>
      <c r="H3534" s="874"/>
      <c r="I3534" s="874"/>
      <c r="J3534" s="874"/>
    </row>
    <row r="3535" spans="2:10">
      <c r="B3535" s="873"/>
      <c r="C3535" s="874"/>
      <c r="D3535" s="874"/>
      <c r="E3535" s="874"/>
      <c r="F3535" s="874"/>
      <c r="G3535" s="874"/>
      <c r="H3535" s="874"/>
      <c r="I3535" s="874"/>
      <c r="J3535" s="874"/>
    </row>
    <row r="3536" spans="2:10">
      <c r="B3536" s="873"/>
      <c r="C3536" s="874"/>
      <c r="D3536" s="874"/>
      <c r="E3536" s="874"/>
      <c r="F3536" s="874"/>
      <c r="G3536" s="874"/>
      <c r="H3536" s="874"/>
      <c r="I3536" s="874"/>
      <c r="J3536" s="874"/>
    </row>
    <row r="3537" spans="2:10">
      <c r="B3537" s="873"/>
      <c r="C3537" s="874"/>
      <c r="D3537" s="874"/>
      <c r="E3537" s="874"/>
      <c r="F3537" s="874"/>
      <c r="G3537" s="874"/>
      <c r="H3537" s="874"/>
      <c r="I3537" s="874"/>
      <c r="J3537" s="874"/>
    </row>
    <row r="3538" spans="2:10">
      <c r="B3538" s="873"/>
      <c r="C3538" s="874"/>
      <c r="D3538" s="874"/>
      <c r="E3538" s="874"/>
      <c r="F3538" s="874"/>
      <c r="G3538" s="874"/>
      <c r="H3538" s="874"/>
      <c r="I3538" s="874"/>
      <c r="J3538" s="874"/>
    </row>
    <row r="3539" spans="2:10">
      <c r="B3539" s="873"/>
      <c r="C3539" s="874"/>
      <c r="D3539" s="874"/>
      <c r="E3539" s="874"/>
      <c r="F3539" s="874"/>
      <c r="G3539" s="874"/>
      <c r="H3539" s="874"/>
      <c r="I3539" s="874"/>
      <c r="J3539" s="874"/>
    </row>
    <row r="3540" spans="2:10">
      <c r="B3540" s="873"/>
      <c r="C3540" s="874"/>
      <c r="D3540" s="874"/>
      <c r="E3540" s="874"/>
      <c r="F3540" s="874"/>
      <c r="G3540" s="874"/>
      <c r="H3540" s="874"/>
      <c r="I3540" s="874"/>
      <c r="J3540" s="874"/>
    </row>
    <row r="3541" spans="2:10">
      <c r="B3541" s="873"/>
      <c r="C3541" s="874"/>
      <c r="D3541" s="874"/>
      <c r="E3541" s="874"/>
      <c r="F3541" s="874"/>
      <c r="G3541" s="874"/>
      <c r="H3541" s="874"/>
      <c r="I3541" s="874"/>
      <c r="J3541" s="874"/>
    </row>
    <row r="3542" spans="2:10">
      <c r="B3542" s="873"/>
      <c r="C3542" s="874"/>
      <c r="D3542" s="874"/>
      <c r="E3542" s="874"/>
      <c r="F3542" s="874"/>
      <c r="G3542" s="874"/>
      <c r="H3542" s="874"/>
      <c r="I3542" s="874"/>
      <c r="J3542" s="874"/>
    </row>
    <row r="3543" spans="2:10">
      <c r="B3543" s="873"/>
      <c r="C3543" s="874"/>
      <c r="D3543" s="874"/>
      <c r="E3543" s="874"/>
      <c r="F3543" s="874"/>
      <c r="G3543" s="874"/>
      <c r="H3543" s="874"/>
      <c r="I3543" s="874"/>
      <c r="J3543" s="874"/>
    </row>
    <row r="3544" spans="2:10">
      <c r="B3544" s="873"/>
      <c r="C3544" s="874"/>
      <c r="D3544" s="874"/>
      <c r="E3544" s="874"/>
      <c r="F3544" s="874"/>
      <c r="G3544" s="874"/>
      <c r="H3544" s="874"/>
      <c r="I3544" s="874"/>
      <c r="J3544" s="874"/>
    </row>
    <row r="3545" spans="2:10">
      <c r="B3545" s="873"/>
      <c r="C3545" s="874"/>
      <c r="D3545" s="874"/>
      <c r="E3545" s="874"/>
      <c r="F3545" s="874"/>
      <c r="G3545" s="874"/>
      <c r="H3545" s="874"/>
      <c r="I3545" s="874"/>
      <c r="J3545" s="874"/>
    </row>
    <row r="3546" spans="2:10">
      <c r="B3546" s="873"/>
      <c r="C3546" s="874"/>
      <c r="D3546" s="874"/>
      <c r="E3546" s="874"/>
      <c r="F3546" s="874"/>
      <c r="G3546" s="874"/>
      <c r="H3546" s="874"/>
      <c r="I3546" s="874"/>
      <c r="J3546" s="874"/>
    </row>
    <row r="3547" spans="2:10">
      <c r="B3547" s="873"/>
      <c r="C3547" s="874"/>
      <c r="D3547" s="874"/>
      <c r="E3547" s="874"/>
      <c r="F3547" s="874"/>
      <c r="G3547" s="874"/>
      <c r="H3547" s="874"/>
      <c r="I3547" s="874"/>
      <c r="J3547" s="874"/>
    </row>
    <row r="3548" spans="2:10">
      <c r="B3548" s="873"/>
      <c r="C3548" s="874"/>
      <c r="D3548" s="874"/>
      <c r="E3548" s="874"/>
      <c r="F3548" s="874"/>
      <c r="G3548" s="874"/>
      <c r="H3548" s="874"/>
      <c r="I3548" s="874"/>
      <c r="J3548" s="874"/>
    </row>
    <row r="3549" spans="2:10">
      <c r="B3549" s="873"/>
      <c r="C3549" s="874"/>
      <c r="D3549" s="874"/>
      <c r="E3549" s="874"/>
      <c r="F3549" s="874"/>
      <c r="G3549" s="874"/>
      <c r="H3549" s="874"/>
      <c r="I3549" s="874"/>
      <c r="J3549" s="874"/>
    </row>
    <row r="3550" spans="2:10">
      <c r="B3550" s="873"/>
      <c r="C3550" s="874"/>
      <c r="D3550" s="874"/>
      <c r="E3550" s="874"/>
      <c r="F3550" s="874"/>
      <c r="G3550" s="874"/>
      <c r="H3550" s="874"/>
      <c r="I3550" s="874"/>
      <c r="J3550" s="874"/>
    </row>
    <row r="3551" spans="2:10">
      <c r="B3551" s="873"/>
      <c r="C3551" s="874"/>
      <c r="D3551" s="874"/>
      <c r="E3551" s="874"/>
      <c r="F3551" s="874"/>
      <c r="G3551" s="874"/>
      <c r="H3551" s="874"/>
      <c r="I3551" s="874"/>
      <c r="J3551" s="874"/>
    </row>
    <row r="3552" spans="2:10">
      <c r="B3552" s="873"/>
      <c r="C3552" s="874"/>
      <c r="D3552" s="874"/>
      <c r="E3552" s="874"/>
      <c r="F3552" s="874"/>
      <c r="G3552" s="874"/>
      <c r="H3552" s="874"/>
      <c r="I3552" s="874"/>
      <c r="J3552" s="874"/>
    </row>
    <row r="3553" spans="2:10">
      <c r="B3553" s="873"/>
      <c r="C3553" s="874"/>
      <c r="D3553" s="874"/>
      <c r="E3553" s="874"/>
      <c r="F3553" s="874"/>
      <c r="G3553" s="874"/>
      <c r="H3553" s="874"/>
      <c r="I3553" s="874"/>
      <c r="J3553" s="874"/>
    </row>
    <row r="3554" spans="2:10">
      <c r="B3554" s="873"/>
      <c r="C3554" s="874"/>
      <c r="D3554" s="874"/>
      <c r="E3554" s="874"/>
      <c r="F3554" s="874"/>
      <c r="G3554" s="874"/>
      <c r="H3554" s="874"/>
      <c r="I3554" s="874"/>
      <c r="J3554" s="874"/>
    </row>
    <row r="3555" spans="2:10">
      <c r="B3555" s="873"/>
      <c r="C3555" s="874"/>
      <c r="D3555" s="874"/>
      <c r="E3555" s="874"/>
      <c r="F3555" s="874"/>
      <c r="G3555" s="874"/>
      <c r="H3555" s="874"/>
      <c r="I3555" s="874"/>
      <c r="J3555" s="874"/>
    </row>
    <row r="3556" spans="2:10">
      <c r="B3556" s="873"/>
      <c r="C3556" s="874"/>
      <c r="D3556" s="874"/>
      <c r="E3556" s="874"/>
      <c r="F3556" s="874"/>
      <c r="G3556" s="874"/>
      <c r="H3556" s="874"/>
      <c r="I3556" s="874"/>
      <c r="J3556" s="874"/>
    </row>
    <row r="3557" spans="2:10">
      <c r="B3557" s="873"/>
      <c r="C3557" s="874"/>
      <c r="D3557" s="874"/>
      <c r="E3557" s="874"/>
      <c r="F3557" s="874"/>
      <c r="G3557" s="874"/>
      <c r="H3557" s="874"/>
      <c r="I3557" s="874"/>
      <c r="J3557" s="874"/>
    </row>
    <row r="3558" spans="2:10">
      <c r="B3558" s="873"/>
      <c r="C3558" s="874"/>
      <c r="D3558" s="874"/>
      <c r="E3558" s="874"/>
      <c r="F3558" s="874"/>
      <c r="G3558" s="874"/>
      <c r="H3558" s="874"/>
      <c r="I3558" s="874"/>
      <c r="J3558" s="874"/>
    </row>
    <row r="3559" spans="2:10">
      <c r="B3559" s="873"/>
      <c r="C3559" s="874"/>
      <c r="D3559" s="874"/>
      <c r="E3559" s="874"/>
      <c r="F3559" s="874"/>
      <c r="G3559" s="874"/>
      <c r="H3559" s="874"/>
      <c r="I3559" s="874"/>
      <c r="J3559" s="874"/>
    </row>
    <row r="3560" spans="2:10">
      <c r="B3560" s="873"/>
      <c r="C3560" s="874"/>
      <c r="D3560" s="874"/>
      <c r="E3560" s="874"/>
      <c r="F3560" s="874"/>
      <c r="G3560" s="874"/>
      <c r="H3560" s="874"/>
      <c r="I3560" s="874"/>
      <c r="J3560" s="874"/>
    </row>
    <row r="3561" spans="2:10">
      <c r="B3561" s="873"/>
      <c r="C3561" s="874"/>
      <c r="D3561" s="874"/>
      <c r="E3561" s="874"/>
      <c r="F3561" s="874"/>
      <c r="G3561" s="874"/>
      <c r="H3561" s="874"/>
      <c r="I3561" s="874"/>
      <c r="J3561" s="874"/>
    </row>
    <row r="3562" spans="2:10">
      <c r="B3562" s="873"/>
      <c r="C3562" s="874"/>
      <c r="D3562" s="874"/>
      <c r="E3562" s="874"/>
      <c r="F3562" s="874"/>
      <c r="G3562" s="874"/>
      <c r="H3562" s="874"/>
      <c r="I3562" s="874"/>
      <c r="J3562" s="874"/>
    </row>
    <row r="3563" spans="2:10">
      <c r="B3563" s="873"/>
      <c r="C3563" s="874"/>
      <c r="D3563" s="874"/>
      <c r="E3563" s="874"/>
      <c r="F3563" s="874"/>
      <c r="G3563" s="874"/>
      <c r="H3563" s="874"/>
      <c r="I3563" s="874"/>
      <c r="J3563" s="874"/>
    </row>
    <row r="3564" spans="2:10">
      <c r="B3564" s="873"/>
      <c r="C3564" s="874"/>
      <c r="D3564" s="874"/>
      <c r="E3564" s="874"/>
      <c r="F3564" s="874"/>
      <c r="G3564" s="874"/>
      <c r="H3564" s="874"/>
      <c r="I3564" s="874"/>
      <c r="J3564" s="874"/>
    </row>
    <row r="3565" spans="2:10">
      <c r="B3565" s="873"/>
      <c r="C3565" s="874"/>
      <c r="D3565" s="874"/>
      <c r="E3565" s="874"/>
      <c r="F3565" s="874"/>
      <c r="G3565" s="874"/>
      <c r="H3565" s="874"/>
      <c r="I3565" s="874"/>
      <c r="J3565" s="874"/>
    </row>
    <row r="3566" spans="2:10">
      <c r="B3566" s="873"/>
      <c r="C3566" s="874"/>
      <c r="D3566" s="874"/>
      <c r="E3566" s="874"/>
      <c r="F3566" s="874"/>
      <c r="G3566" s="874"/>
      <c r="H3566" s="874"/>
      <c r="I3566" s="874"/>
      <c r="J3566" s="874"/>
    </row>
    <row r="3567" spans="2:10">
      <c r="B3567" s="873"/>
      <c r="C3567" s="874"/>
      <c r="D3567" s="874"/>
      <c r="E3567" s="874"/>
      <c r="F3567" s="874"/>
      <c r="G3567" s="874"/>
      <c r="H3567" s="874"/>
      <c r="I3567" s="874"/>
      <c r="J3567" s="874"/>
    </row>
    <row r="3568" spans="2:10">
      <c r="B3568" s="873"/>
      <c r="C3568" s="874"/>
      <c r="D3568" s="874"/>
      <c r="E3568" s="874"/>
      <c r="F3568" s="874"/>
      <c r="G3568" s="874"/>
      <c r="H3568" s="874"/>
      <c r="I3568" s="874"/>
      <c r="J3568" s="874"/>
    </row>
    <row r="3569" spans="2:10">
      <c r="B3569" s="873"/>
      <c r="C3569" s="874"/>
      <c r="D3569" s="874"/>
      <c r="E3569" s="874"/>
      <c r="F3569" s="874"/>
      <c r="G3569" s="874"/>
      <c r="H3569" s="874"/>
      <c r="I3569" s="874"/>
      <c r="J3569" s="874"/>
    </row>
    <row r="3570" spans="2:10">
      <c r="B3570" s="873"/>
      <c r="C3570" s="874"/>
      <c r="D3570" s="874"/>
      <c r="E3570" s="874"/>
      <c r="F3570" s="874"/>
      <c r="G3570" s="874"/>
      <c r="H3570" s="874"/>
      <c r="I3570" s="874"/>
      <c r="J3570" s="874"/>
    </row>
    <row r="3571" spans="2:10">
      <c r="B3571" s="873"/>
      <c r="C3571" s="874"/>
      <c r="D3571" s="874"/>
      <c r="E3571" s="874"/>
      <c r="F3571" s="874"/>
      <c r="G3571" s="874"/>
      <c r="H3571" s="874"/>
      <c r="I3571" s="874"/>
      <c r="J3571" s="874"/>
    </row>
    <row r="3572" spans="2:10">
      <c r="B3572" s="873"/>
      <c r="C3572" s="874"/>
      <c r="D3572" s="874"/>
      <c r="E3572" s="874"/>
      <c r="F3572" s="874"/>
      <c r="G3572" s="874"/>
      <c r="H3572" s="874"/>
      <c r="I3572" s="874"/>
      <c r="J3572" s="874"/>
    </row>
    <row r="3573" spans="2:10">
      <c r="B3573" s="873"/>
      <c r="C3573" s="874"/>
      <c r="D3573" s="874"/>
      <c r="E3573" s="874"/>
      <c r="F3573" s="874"/>
      <c r="G3573" s="874"/>
      <c r="H3573" s="874"/>
      <c r="I3573" s="874"/>
      <c r="J3573" s="874"/>
    </row>
    <row r="3574" spans="2:10">
      <c r="B3574" s="873"/>
      <c r="C3574" s="874"/>
      <c r="D3574" s="874"/>
      <c r="E3574" s="874"/>
      <c r="F3574" s="874"/>
      <c r="G3574" s="874"/>
      <c r="H3574" s="874"/>
      <c r="I3574" s="874"/>
      <c r="J3574" s="874"/>
    </row>
    <row r="3575" spans="2:10">
      <c r="B3575" s="873"/>
      <c r="C3575" s="874"/>
      <c r="D3575" s="874"/>
      <c r="E3575" s="874"/>
      <c r="F3575" s="874"/>
      <c r="G3575" s="874"/>
      <c r="H3575" s="874"/>
      <c r="I3575" s="874"/>
      <c r="J3575" s="874"/>
    </row>
    <row r="3576" spans="2:10">
      <c r="B3576" s="873"/>
      <c r="C3576" s="874"/>
      <c r="D3576" s="874"/>
      <c r="E3576" s="874"/>
      <c r="F3576" s="874"/>
      <c r="G3576" s="874"/>
      <c r="H3576" s="874"/>
      <c r="I3576" s="874"/>
      <c r="J3576" s="874"/>
    </row>
    <row r="3577" spans="2:10">
      <c r="B3577" s="873"/>
      <c r="C3577" s="874"/>
      <c r="D3577" s="874"/>
      <c r="E3577" s="874"/>
      <c r="F3577" s="874"/>
      <c r="G3577" s="874"/>
      <c r="H3577" s="874"/>
      <c r="I3577" s="874"/>
      <c r="J3577" s="874"/>
    </row>
    <row r="3578" spans="2:10">
      <c r="B3578" s="873"/>
      <c r="C3578" s="874"/>
      <c r="D3578" s="874"/>
      <c r="E3578" s="874"/>
      <c r="F3578" s="874"/>
      <c r="G3578" s="874"/>
      <c r="H3578" s="874"/>
      <c r="I3578" s="874"/>
      <c r="J3578" s="874"/>
    </row>
    <row r="3579" spans="2:10">
      <c r="B3579" s="873"/>
      <c r="C3579" s="874"/>
      <c r="D3579" s="874"/>
      <c r="E3579" s="874"/>
      <c r="F3579" s="874"/>
      <c r="G3579" s="874"/>
      <c r="H3579" s="874"/>
      <c r="I3579" s="874"/>
      <c r="J3579" s="874"/>
    </row>
    <row r="3580" spans="2:10">
      <c r="B3580" s="873"/>
      <c r="C3580" s="874"/>
      <c r="D3580" s="874"/>
      <c r="E3580" s="874"/>
      <c r="F3580" s="874"/>
      <c r="G3580" s="874"/>
      <c r="H3580" s="874"/>
      <c r="I3580" s="874"/>
      <c r="J3580" s="874"/>
    </row>
    <row r="3581" spans="2:10">
      <c r="B3581" s="873"/>
      <c r="C3581" s="874"/>
      <c r="D3581" s="874"/>
      <c r="E3581" s="874"/>
      <c r="F3581" s="874"/>
      <c r="G3581" s="874"/>
      <c r="H3581" s="874"/>
      <c r="I3581" s="874"/>
      <c r="J3581" s="874"/>
    </row>
    <row r="3582" spans="2:10">
      <c r="B3582" s="873"/>
      <c r="C3582" s="874"/>
      <c r="D3582" s="874"/>
      <c r="E3582" s="874"/>
      <c r="F3582" s="874"/>
      <c r="G3582" s="874"/>
      <c r="H3582" s="874"/>
      <c r="I3582" s="874"/>
      <c r="J3582" s="874"/>
    </row>
    <row r="3583" spans="2:10">
      <c r="B3583" s="873"/>
      <c r="C3583" s="874"/>
      <c r="D3583" s="874"/>
      <c r="E3583" s="874"/>
      <c r="F3583" s="874"/>
      <c r="G3583" s="874"/>
      <c r="H3583" s="874"/>
      <c r="I3583" s="874"/>
      <c r="J3583" s="874"/>
    </row>
    <row r="3584" spans="2:10">
      <c r="B3584" s="873"/>
      <c r="C3584" s="874"/>
      <c r="D3584" s="874"/>
      <c r="E3584" s="874"/>
      <c r="F3584" s="874"/>
      <c r="G3584" s="874"/>
      <c r="H3584" s="874"/>
      <c r="I3584" s="874"/>
      <c r="J3584" s="874"/>
    </row>
    <row r="3585" spans="2:10">
      <c r="B3585" s="873"/>
      <c r="C3585" s="874"/>
      <c r="D3585" s="874"/>
      <c r="E3585" s="874"/>
      <c r="F3585" s="874"/>
      <c r="G3585" s="874"/>
      <c r="H3585" s="874"/>
      <c r="I3585" s="874"/>
      <c r="J3585" s="874"/>
    </row>
    <row r="3586" spans="2:10">
      <c r="B3586" s="873"/>
      <c r="C3586" s="874"/>
      <c r="D3586" s="874"/>
      <c r="E3586" s="874"/>
      <c r="F3586" s="874"/>
      <c r="G3586" s="874"/>
      <c r="H3586" s="874"/>
      <c r="I3586" s="874"/>
      <c r="J3586" s="874"/>
    </row>
    <row r="3587" spans="2:10">
      <c r="B3587" s="873"/>
      <c r="C3587" s="874"/>
      <c r="D3587" s="874"/>
      <c r="E3587" s="874"/>
      <c r="F3587" s="874"/>
      <c r="G3587" s="874"/>
      <c r="H3587" s="874"/>
      <c r="I3587" s="874"/>
      <c r="J3587" s="874"/>
    </row>
    <row r="3588" spans="2:10">
      <c r="B3588" s="873"/>
      <c r="C3588" s="874"/>
      <c r="D3588" s="874"/>
      <c r="E3588" s="874"/>
      <c r="F3588" s="874"/>
      <c r="G3588" s="874"/>
      <c r="H3588" s="874"/>
      <c r="I3588" s="874"/>
      <c r="J3588" s="874"/>
    </row>
    <row r="3589" spans="2:10">
      <c r="B3589" s="873"/>
      <c r="C3589" s="874"/>
      <c r="D3589" s="874"/>
      <c r="E3589" s="874"/>
      <c r="F3589" s="874"/>
      <c r="G3589" s="874"/>
      <c r="H3589" s="874"/>
      <c r="I3589" s="874"/>
      <c r="J3589" s="874"/>
    </row>
    <row r="3590" spans="2:10">
      <c r="B3590" s="873"/>
      <c r="C3590" s="874"/>
      <c r="D3590" s="874"/>
      <c r="E3590" s="874"/>
      <c r="F3590" s="874"/>
      <c r="G3590" s="874"/>
      <c r="H3590" s="874"/>
      <c r="I3590" s="874"/>
      <c r="J3590" s="874"/>
    </row>
    <row r="3591" spans="2:10">
      <c r="B3591" s="873"/>
      <c r="C3591" s="874"/>
      <c r="D3591" s="874"/>
      <c r="E3591" s="874"/>
      <c r="F3591" s="874"/>
      <c r="G3591" s="874"/>
      <c r="H3591" s="874"/>
      <c r="I3591" s="874"/>
      <c r="J3591" s="874"/>
    </row>
    <row r="3592" spans="2:10">
      <c r="B3592" s="873"/>
      <c r="C3592" s="874"/>
      <c r="D3592" s="874"/>
      <c r="E3592" s="874"/>
      <c r="F3592" s="874"/>
      <c r="G3592" s="874"/>
      <c r="H3592" s="874"/>
      <c r="I3592" s="874"/>
      <c r="J3592" s="874"/>
    </row>
    <row r="3593" spans="2:10">
      <c r="B3593" s="873"/>
      <c r="C3593" s="874"/>
      <c r="D3593" s="874"/>
      <c r="E3593" s="874"/>
      <c r="F3593" s="874"/>
      <c r="G3593" s="874"/>
      <c r="H3593" s="874"/>
      <c r="I3593" s="874"/>
      <c r="J3593" s="874"/>
    </row>
    <row r="3594" spans="2:10">
      <c r="B3594" s="873"/>
      <c r="C3594" s="874"/>
      <c r="D3594" s="874"/>
      <c r="E3594" s="874"/>
      <c r="F3594" s="874"/>
      <c r="G3594" s="874"/>
      <c r="H3594" s="874"/>
      <c r="I3594" s="874"/>
      <c r="J3594" s="874"/>
    </row>
    <row r="3595" spans="2:10">
      <c r="B3595" s="873"/>
      <c r="C3595" s="874"/>
      <c r="D3595" s="874"/>
      <c r="E3595" s="874"/>
      <c r="F3595" s="874"/>
      <c r="G3595" s="874"/>
      <c r="H3595" s="874"/>
      <c r="I3595" s="874"/>
      <c r="J3595" s="874"/>
    </row>
    <row r="3596" spans="2:10">
      <c r="B3596" s="873"/>
      <c r="C3596" s="874"/>
      <c r="D3596" s="874"/>
      <c r="E3596" s="874"/>
      <c r="F3596" s="874"/>
      <c r="G3596" s="874"/>
      <c r="H3596" s="874"/>
      <c r="I3596" s="874"/>
      <c r="J3596" s="874"/>
    </row>
    <row r="3597" spans="2:10">
      <c r="B3597" s="873"/>
      <c r="C3597" s="874"/>
      <c r="D3597" s="874"/>
      <c r="E3597" s="874"/>
      <c r="F3597" s="874"/>
      <c r="G3597" s="874"/>
      <c r="H3597" s="874"/>
      <c r="I3597" s="874"/>
      <c r="J3597" s="874"/>
    </row>
    <row r="3598" spans="2:10">
      <c r="B3598" s="873"/>
      <c r="C3598" s="874"/>
      <c r="D3598" s="874"/>
      <c r="E3598" s="874"/>
      <c r="F3598" s="874"/>
      <c r="G3598" s="874"/>
      <c r="H3598" s="874"/>
      <c r="I3598" s="874"/>
      <c r="J3598" s="874"/>
    </row>
    <row r="3599" spans="2:10">
      <c r="B3599" s="873"/>
      <c r="C3599" s="874"/>
      <c r="D3599" s="874"/>
      <c r="E3599" s="874"/>
      <c r="F3599" s="874"/>
      <c r="G3599" s="874"/>
      <c r="H3599" s="874"/>
      <c r="I3599" s="874"/>
      <c r="J3599" s="874"/>
    </row>
    <row r="3600" spans="2:10">
      <c r="B3600" s="873"/>
      <c r="C3600" s="874"/>
      <c r="D3600" s="874"/>
      <c r="E3600" s="874"/>
      <c r="F3600" s="874"/>
      <c r="G3600" s="874"/>
      <c r="H3600" s="874"/>
      <c r="I3600" s="874"/>
      <c r="J3600" s="874"/>
    </row>
    <row r="3601" spans="2:10">
      <c r="B3601" s="873"/>
      <c r="C3601" s="874"/>
      <c r="D3601" s="874"/>
      <c r="E3601" s="874"/>
      <c r="F3601" s="874"/>
      <c r="G3601" s="874"/>
      <c r="H3601" s="874"/>
      <c r="I3601" s="874"/>
      <c r="J3601" s="874"/>
    </row>
    <row r="3602" spans="2:10">
      <c r="B3602" s="873"/>
      <c r="C3602" s="874"/>
      <c r="D3602" s="874"/>
      <c r="E3602" s="874"/>
      <c r="F3602" s="874"/>
      <c r="G3602" s="874"/>
      <c r="H3602" s="874"/>
      <c r="I3602" s="874"/>
      <c r="J3602" s="874"/>
    </row>
    <row r="3603" spans="2:10">
      <c r="B3603" s="873"/>
      <c r="C3603" s="874"/>
      <c r="D3603" s="874"/>
      <c r="E3603" s="874"/>
      <c r="F3603" s="874"/>
      <c r="G3603" s="874"/>
      <c r="H3603" s="874"/>
      <c r="I3603" s="874"/>
      <c r="J3603" s="874"/>
    </row>
    <row r="3604" spans="2:10">
      <c r="B3604" s="873"/>
      <c r="C3604" s="874"/>
      <c r="D3604" s="874"/>
      <c r="E3604" s="874"/>
      <c r="F3604" s="874"/>
      <c r="G3604" s="874"/>
      <c r="H3604" s="874"/>
      <c r="I3604" s="874"/>
      <c r="J3604" s="874"/>
    </row>
    <row r="3605" spans="2:10">
      <c r="B3605" s="873"/>
      <c r="C3605" s="874"/>
      <c r="D3605" s="874"/>
      <c r="E3605" s="874"/>
      <c r="F3605" s="874"/>
      <c r="G3605" s="874"/>
      <c r="H3605" s="874"/>
      <c r="I3605" s="874"/>
      <c r="J3605" s="874"/>
    </row>
    <row r="3606" spans="2:10">
      <c r="B3606" s="873"/>
      <c r="C3606" s="874"/>
      <c r="D3606" s="874"/>
      <c r="E3606" s="874"/>
      <c r="F3606" s="874"/>
      <c r="G3606" s="874"/>
      <c r="H3606" s="874"/>
      <c r="I3606" s="874"/>
      <c r="J3606" s="874"/>
    </row>
    <row r="3607" spans="2:10">
      <c r="B3607" s="873"/>
      <c r="C3607" s="874"/>
      <c r="D3607" s="874"/>
      <c r="E3607" s="874"/>
      <c r="F3607" s="874"/>
      <c r="G3607" s="874"/>
      <c r="H3607" s="874"/>
      <c r="I3607" s="874"/>
      <c r="J3607" s="874"/>
    </row>
    <row r="3608" spans="2:10">
      <c r="B3608" s="873"/>
      <c r="C3608" s="874"/>
      <c r="D3608" s="874"/>
      <c r="E3608" s="874"/>
      <c r="F3608" s="874"/>
      <c r="G3608" s="874"/>
      <c r="H3608" s="874"/>
      <c r="I3608" s="874"/>
      <c r="J3608" s="874"/>
    </row>
    <row r="3609" spans="2:10">
      <c r="B3609" s="873"/>
      <c r="C3609" s="874"/>
      <c r="D3609" s="874"/>
      <c r="E3609" s="874"/>
      <c r="F3609" s="874"/>
      <c r="G3609" s="874"/>
      <c r="H3609" s="874"/>
      <c r="I3609" s="874"/>
      <c r="J3609" s="874"/>
    </row>
    <row r="3610" spans="2:10">
      <c r="B3610" s="873"/>
      <c r="C3610" s="874"/>
      <c r="D3610" s="874"/>
      <c r="E3610" s="874"/>
      <c r="F3610" s="874"/>
      <c r="G3610" s="874"/>
      <c r="H3610" s="874"/>
      <c r="I3610" s="874"/>
      <c r="J3610" s="874"/>
    </row>
    <row r="3611" spans="2:10">
      <c r="B3611" s="873"/>
      <c r="C3611" s="874"/>
      <c r="D3611" s="874"/>
      <c r="E3611" s="874"/>
      <c r="F3611" s="874"/>
      <c r="G3611" s="874"/>
      <c r="H3611" s="874"/>
      <c r="I3611" s="874"/>
      <c r="J3611" s="874"/>
    </row>
    <row r="3612" spans="2:10">
      <c r="B3612" s="873"/>
      <c r="C3612" s="874"/>
      <c r="D3612" s="874"/>
      <c r="E3612" s="874"/>
      <c r="F3612" s="874"/>
      <c r="G3612" s="874"/>
      <c r="H3612" s="874"/>
      <c r="I3612" s="874"/>
      <c r="J3612" s="874"/>
    </row>
    <row r="3613" spans="2:10">
      <c r="B3613" s="873"/>
      <c r="C3613" s="874"/>
      <c r="D3613" s="874"/>
      <c r="E3613" s="874"/>
      <c r="F3613" s="874"/>
      <c r="G3613" s="874"/>
      <c r="H3613" s="874"/>
      <c r="I3613" s="874"/>
      <c r="J3613" s="874"/>
    </row>
    <row r="3614" spans="2:10">
      <c r="B3614" s="873"/>
      <c r="C3614" s="874"/>
      <c r="D3614" s="874"/>
      <c r="E3614" s="874"/>
      <c r="F3614" s="874"/>
      <c r="G3614" s="874"/>
      <c r="H3614" s="874"/>
      <c r="I3614" s="874"/>
      <c r="J3614" s="874"/>
    </row>
    <row r="3615" spans="2:10">
      <c r="B3615" s="873"/>
      <c r="C3615" s="874"/>
      <c r="D3615" s="874"/>
      <c r="E3615" s="874"/>
      <c r="F3615" s="874"/>
      <c r="G3615" s="874"/>
      <c r="H3615" s="874"/>
      <c r="I3615" s="874"/>
      <c r="J3615" s="874"/>
    </row>
    <row r="3616" spans="2:10">
      <c r="B3616" s="873"/>
      <c r="C3616" s="874"/>
      <c r="D3616" s="874"/>
      <c r="E3616" s="874"/>
      <c r="F3616" s="874"/>
      <c r="G3616" s="874"/>
      <c r="H3616" s="874"/>
      <c r="I3616" s="874"/>
      <c r="J3616" s="874"/>
    </row>
    <row r="3617" spans="2:10">
      <c r="B3617" s="873"/>
      <c r="C3617" s="874"/>
      <c r="D3617" s="874"/>
      <c r="E3617" s="874"/>
      <c r="F3617" s="874"/>
      <c r="G3617" s="874"/>
      <c r="H3617" s="874"/>
      <c r="I3617" s="874"/>
      <c r="J3617" s="874"/>
    </row>
    <row r="3618" spans="2:10">
      <c r="B3618" s="873"/>
      <c r="C3618" s="874"/>
      <c r="D3618" s="874"/>
      <c r="E3618" s="874"/>
      <c r="F3618" s="874"/>
      <c r="G3618" s="874"/>
      <c r="H3618" s="874"/>
      <c r="I3618" s="874"/>
      <c r="J3618" s="874"/>
    </row>
    <row r="3619" spans="2:10">
      <c r="B3619" s="873"/>
      <c r="C3619" s="874"/>
      <c r="D3619" s="874"/>
      <c r="E3619" s="874"/>
      <c r="F3619" s="874"/>
      <c r="G3619" s="874"/>
      <c r="H3619" s="874"/>
      <c r="I3619" s="874"/>
      <c r="J3619" s="874"/>
    </row>
    <row r="3620" spans="2:10">
      <c r="B3620" s="873"/>
      <c r="C3620" s="874"/>
      <c r="D3620" s="874"/>
      <c r="E3620" s="874"/>
      <c r="F3620" s="874"/>
      <c r="G3620" s="874"/>
      <c r="H3620" s="874"/>
      <c r="I3620" s="874"/>
      <c r="J3620" s="874"/>
    </row>
    <row r="3621" spans="2:10">
      <c r="B3621" s="873"/>
      <c r="C3621" s="874"/>
      <c r="D3621" s="874"/>
      <c r="E3621" s="874"/>
      <c r="F3621" s="874"/>
      <c r="G3621" s="874"/>
      <c r="H3621" s="874"/>
      <c r="I3621" s="874"/>
      <c r="J3621" s="874"/>
    </row>
    <row r="3622" spans="2:10">
      <c r="B3622" s="873"/>
      <c r="C3622" s="874"/>
      <c r="D3622" s="874"/>
      <c r="E3622" s="874"/>
      <c r="F3622" s="874"/>
      <c r="G3622" s="874"/>
      <c r="H3622" s="874"/>
      <c r="I3622" s="874"/>
      <c r="J3622" s="874"/>
    </row>
    <row r="3623" spans="2:10">
      <c r="B3623" s="873"/>
      <c r="C3623" s="874"/>
      <c r="D3623" s="874"/>
      <c r="E3623" s="874"/>
      <c r="F3623" s="874"/>
      <c r="G3623" s="874"/>
      <c r="H3623" s="874"/>
      <c r="I3623" s="874"/>
      <c r="J3623" s="874"/>
    </row>
    <row r="3624" spans="2:10">
      <c r="B3624" s="873"/>
      <c r="C3624" s="874"/>
      <c r="D3624" s="874"/>
      <c r="E3624" s="874"/>
      <c r="F3624" s="874"/>
      <c r="G3624" s="874"/>
      <c r="H3624" s="874"/>
      <c r="I3624" s="874"/>
      <c r="J3624" s="874"/>
    </row>
    <row r="3625" spans="2:10">
      <c r="B3625" s="873"/>
      <c r="C3625" s="874"/>
      <c r="D3625" s="874"/>
      <c r="E3625" s="874"/>
      <c r="F3625" s="874"/>
      <c r="G3625" s="874"/>
      <c r="H3625" s="874"/>
      <c r="I3625" s="874"/>
      <c r="J3625" s="874"/>
    </row>
    <row r="3626" spans="2:10">
      <c r="B3626" s="873"/>
      <c r="C3626" s="874"/>
      <c r="D3626" s="874"/>
      <c r="E3626" s="874"/>
      <c r="F3626" s="874"/>
      <c r="G3626" s="874"/>
      <c r="H3626" s="874"/>
      <c r="I3626" s="874"/>
      <c r="J3626" s="874"/>
    </row>
    <row r="3627" spans="2:10">
      <c r="B3627" s="873"/>
      <c r="C3627" s="874"/>
      <c r="D3627" s="874"/>
      <c r="E3627" s="874"/>
      <c r="F3627" s="874"/>
      <c r="G3627" s="874"/>
      <c r="H3627" s="874"/>
      <c r="I3627" s="874"/>
      <c r="J3627" s="874"/>
    </row>
    <row r="3628" spans="2:10">
      <c r="B3628" s="873"/>
      <c r="C3628" s="874"/>
      <c r="D3628" s="874"/>
      <c r="E3628" s="874"/>
      <c r="F3628" s="874"/>
      <c r="G3628" s="874"/>
      <c r="H3628" s="874"/>
      <c r="I3628" s="874"/>
      <c r="J3628" s="874"/>
    </row>
    <row r="3629" spans="2:10">
      <c r="B3629" s="873"/>
      <c r="C3629" s="874"/>
      <c r="D3629" s="874"/>
      <c r="E3629" s="874"/>
      <c r="F3629" s="874"/>
      <c r="G3629" s="874"/>
      <c r="H3629" s="874"/>
      <c r="I3629" s="874"/>
      <c r="J3629" s="874"/>
    </row>
    <row r="3630" spans="2:10">
      <c r="B3630" s="873"/>
      <c r="C3630" s="874"/>
      <c r="D3630" s="874"/>
      <c r="E3630" s="874"/>
      <c r="F3630" s="874"/>
      <c r="G3630" s="874"/>
      <c r="H3630" s="874"/>
      <c r="I3630" s="874"/>
      <c r="J3630" s="874"/>
    </row>
    <row r="3631" spans="2:10">
      <c r="B3631" s="873"/>
      <c r="C3631" s="874"/>
      <c r="D3631" s="874"/>
      <c r="E3631" s="874"/>
      <c r="F3631" s="874"/>
      <c r="G3631" s="874"/>
      <c r="H3631" s="874"/>
      <c r="I3631" s="874"/>
      <c r="J3631" s="874"/>
    </row>
    <row r="3632" spans="2:10">
      <c r="B3632" s="873"/>
      <c r="C3632" s="874"/>
      <c r="D3632" s="874"/>
      <c r="E3632" s="874"/>
      <c r="F3632" s="874"/>
      <c r="G3632" s="874"/>
      <c r="H3632" s="874"/>
      <c r="I3632" s="874"/>
      <c r="J3632" s="874"/>
    </row>
    <row r="3633" spans="2:10">
      <c r="B3633" s="873"/>
      <c r="C3633" s="874"/>
      <c r="D3633" s="874"/>
      <c r="E3633" s="874"/>
      <c r="F3633" s="874"/>
      <c r="G3633" s="874"/>
      <c r="H3633" s="874"/>
      <c r="I3633" s="874"/>
      <c r="J3633" s="874"/>
    </row>
    <row r="3634" spans="2:10">
      <c r="B3634" s="873"/>
      <c r="C3634" s="874"/>
      <c r="D3634" s="874"/>
      <c r="E3634" s="874"/>
      <c r="F3634" s="874"/>
      <c r="G3634" s="874"/>
      <c r="H3634" s="874"/>
      <c r="I3634" s="874"/>
      <c r="J3634" s="874"/>
    </row>
    <row r="3635" spans="2:10">
      <c r="B3635" s="873"/>
      <c r="C3635" s="874"/>
      <c r="D3635" s="874"/>
      <c r="E3635" s="874"/>
      <c r="F3635" s="874"/>
      <c r="G3635" s="874"/>
      <c r="H3635" s="874"/>
      <c r="I3635" s="874"/>
      <c r="J3635" s="874"/>
    </row>
    <row r="3636" spans="2:10">
      <c r="B3636" s="873"/>
      <c r="C3636" s="874"/>
      <c r="D3636" s="874"/>
      <c r="E3636" s="874"/>
      <c r="F3636" s="874"/>
      <c r="G3636" s="874"/>
      <c r="H3636" s="874"/>
      <c r="I3636" s="874"/>
      <c r="J3636" s="874"/>
    </row>
    <row r="3637" spans="2:10">
      <c r="B3637" s="873"/>
      <c r="C3637" s="874"/>
      <c r="D3637" s="874"/>
      <c r="E3637" s="874"/>
      <c r="F3637" s="874"/>
      <c r="G3637" s="874"/>
      <c r="H3637" s="874"/>
      <c r="I3637" s="874"/>
      <c r="J3637" s="874"/>
    </row>
    <row r="3638" spans="2:10">
      <c r="B3638" s="873"/>
      <c r="C3638" s="874"/>
      <c r="D3638" s="874"/>
      <c r="E3638" s="874"/>
      <c r="F3638" s="874"/>
      <c r="G3638" s="874"/>
      <c r="H3638" s="874"/>
      <c r="I3638" s="874"/>
      <c r="J3638" s="874"/>
    </row>
    <row r="3639" spans="2:10">
      <c r="B3639" s="873"/>
      <c r="C3639" s="874"/>
      <c r="D3639" s="874"/>
      <c r="E3639" s="874"/>
      <c r="F3639" s="874"/>
      <c r="G3639" s="874"/>
      <c r="H3639" s="874"/>
      <c r="I3639" s="874"/>
      <c r="J3639" s="874"/>
    </row>
    <row r="3640" spans="2:10">
      <c r="B3640" s="873"/>
      <c r="C3640" s="874"/>
      <c r="D3640" s="874"/>
      <c r="E3640" s="874"/>
      <c r="F3640" s="874"/>
      <c r="G3640" s="874"/>
      <c r="H3640" s="874"/>
      <c r="I3640" s="874"/>
      <c r="J3640" s="874"/>
    </row>
    <row r="3641" spans="2:10">
      <c r="B3641" s="873"/>
      <c r="C3641" s="874"/>
      <c r="D3641" s="874"/>
      <c r="E3641" s="874"/>
      <c r="F3641" s="874"/>
      <c r="G3641" s="874"/>
      <c r="H3641" s="874"/>
      <c r="I3641" s="874"/>
      <c r="J3641" s="874"/>
    </row>
    <row r="3642" spans="2:10">
      <c r="B3642" s="873"/>
      <c r="C3642" s="874"/>
      <c r="D3642" s="874"/>
      <c r="E3642" s="874"/>
      <c r="F3642" s="874"/>
      <c r="G3642" s="874"/>
      <c r="H3642" s="874"/>
      <c r="I3642" s="874"/>
      <c r="J3642" s="874"/>
    </row>
    <row r="3643" spans="2:10">
      <c r="B3643" s="873"/>
      <c r="C3643" s="874"/>
      <c r="D3643" s="874"/>
      <c r="E3643" s="874"/>
      <c r="F3643" s="874"/>
      <c r="G3643" s="874"/>
      <c r="H3643" s="874"/>
      <c r="I3643" s="874"/>
      <c r="J3643" s="874"/>
    </row>
    <row r="3644" spans="2:10">
      <c r="B3644" s="873"/>
      <c r="C3644" s="874"/>
      <c r="D3644" s="874"/>
      <c r="E3644" s="874"/>
      <c r="F3644" s="874"/>
      <c r="G3644" s="874"/>
      <c r="H3644" s="874"/>
      <c r="I3644" s="874"/>
      <c r="J3644" s="874"/>
    </row>
    <row r="3645" spans="2:10">
      <c r="B3645" s="873"/>
      <c r="C3645" s="874"/>
      <c r="D3645" s="874"/>
      <c r="E3645" s="874"/>
      <c r="F3645" s="874"/>
      <c r="G3645" s="874"/>
      <c r="H3645" s="874"/>
      <c r="I3645" s="874"/>
      <c r="J3645" s="874"/>
    </row>
    <row r="3646" spans="2:10">
      <c r="B3646" s="873"/>
      <c r="C3646" s="874"/>
      <c r="D3646" s="874"/>
      <c r="E3646" s="874"/>
      <c r="F3646" s="874"/>
      <c r="G3646" s="874"/>
      <c r="H3646" s="874"/>
      <c r="I3646" s="874"/>
      <c r="J3646" s="874"/>
    </row>
    <row r="3647" spans="2:10">
      <c r="B3647" s="873"/>
      <c r="C3647" s="874"/>
      <c r="D3647" s="874"/>
      <c r="E3647" s="874"/>
      <c r="F3647" s="874"/>
      <c r="G3647" s="874"/>
      <c r="H3647" s="874"/>
      <c r="I3647" s="874"/>
      <c r="J3647" s="874"/>
    </row>
    <row r="3648" spans="2:10">
      <c r="B3648" s="873"/>
      <c r="C3648" s="874"/>
      <c r="D3648" s="874"/>
      <c r="E3648" s="874"/>
      <c r="F3648" s="874"/>
      <c r="G3648" s="874"/>
      <c r="H3648" s="874"/>
      <c r="I3648" s="874"/>
      <c r="J3648" s="874"/>
    </row>
    <row r="3649" spans="2:10">
      <c r="B3649" s="873"/>
      <c r="C3649" s="874"/>
      <c r="D3649" s="874"/>
      <c r="E3649" s="874"/>
      <c r="F3649" s="874"/>
      <c r="G3649" s="874"/>
      <c r="H3649" s="874"/>
      <c r="I3649" s="874"/>
      <c r="J3649" s="874"/>
    </row>
    <row r="3650" spans="2:10">
      <c r="B3650" s="873"/>
      <c r="C3650" s="874"/>
      <c r="D3650" s="874"/>
      <c r="E3650" s="874"/>
      <c r="F3650" s="874"/>
      <c r="G3650" s="874"/>
      <c r="H3650" s="874"/>
      <c r="I3650" s="874"/>
      <c r="J3650" s="874"/>
    </row>
    <row r="3651" spans="2:10">
      <c r="B3651" s="873"/>
      <c r="C3651" s="874"/>
      <c r="D3651" s="874"/>
      <c r="E3651" s="874"/>
      <c r="F3651" s="874"/>
      <c r="G3651" s="874"/>
      <c r="H3651" s="874"/>
      <c r="I3651" s="874"/>
      <c r="J3651" s="874"/>
    </row>
    <row r="3652" spans="2:10">
      <c r="B3652" s="873"/>
      <c r="C3652" s="874"/>
      <c r="D3652" s="874"/>
      <c r="E3652" s="874"/>
      <c r="F3652" s="874"/>
      <c r="G3652" s="874"/>
      <c r="H3652" s="874"/>
      <c r="I3652" s="874"/>
      <c r="J3652" s="874"/>
    </row>
    <row r="3653" spans="2:10">
      <c r="B3653" s="873"/>
      <c r="C3653" s="874"/>
      <c r="D3653" s="874"/>
      <c r="E3653" s="874"/>
      <c r="F3653" s="874"/>
      <c r="G3653" s="874"/>
      <c r="H3653" s="874"/>
      <c r="I3653" s="874"/>
      <c r="J3653" s="874"/>
    </row>
    <row r="3654" spans="2:10">
      <c r="B3654" s="873"/>
      <c r="C3654" s="874"/>
      <c r="D3654" s="874"/>
      <c r="E3654" s="874"/>
      <c r="F3654" s="874"/>
      <c r="G3654" s="874"/>
      <c r="H3654" s="874"/>
      <c r="I3654" s="874"/>
      <c r="J3654" s="874"/>
    </row>
    <row r="3655" spans="2:10">
      <c r="B3655" s="873"/>
      <c r="C3655" s="874"/>
      <c r="D3655" s="874"/>
      <c r="E3655" s="874"/>
      <c r="F3655" s="874"/>
      <c r="G3655" s="874"/>
      <c r="H3655" s="874"/>
      <c r="I3655" s="874"/>
      <c r="J3655" s="874"/>
    </row>
    <row r="3656" spans="2:10">
      <c r="B3656" s="873"/>
      <c r="C3656" s="874"/>
      <c r="D3656" s="874"/>
      <c r="E3656" s="874"/>
      <c r="F3656" s="874"/>
      <c r="G3656" s="874"/>
      <c r="H3656" s="874"/>
      <c r="I3656" s="874"/>
      <c r="J3656" s="874"/>
    </row>
    <row r="3657" spans="2:10">
      <c r="B3657" s="873"/>
      <c r="C3657" s="874"/>
      <c r="D3657" s="874"/>
      <c r="E3657" s="874"/>
      <c r="F3657" s="874"/>
      <c r="G3657" s="874"/>
      <c r="H3657" s="874"/>
      <c r="I3657" s="874"/>
      <c r="J3657" s="874"/>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CED88-0032-49F7-88D6-57EA175E8B59}">
  <dimension ref="B1:AB30"/>
  <sheetViews>
    <sheetView showGridLines="0" zoomScale="83" zoomScaleNormal="83" zoomScaleSheetLayoutView="80" workbookViewId="0"/>
  </sheetViews>
  <sheetFormatPr defaultColWidth="11.6328125" defaultRowHeight="13.15" outlineLevelRow="1"/>
  <cols>
    <col min="1" max="1" width="3.81640625" style="876" customWidth="1"/>
    <col min="2" max="2" width="26.81640625" style="876" bestFit="1" customWidth="1"/>
    <col min="3" max="8" width="17.36328125" style="876" customWidth="1"/>
    <col min="9" max="11" width="11.6328125" style="876"/>
    <col min="12" max="12" width="26.81640625" style="876" bestFit="1" customWidth="1"/>
    <col min="13" max="27" width="11.6328125" style="876"/>
    <col min="28" max="28" width="13.453125" style="877" bestFit="1" customWidth="1"/>
    <col min="29" max="32" width="35.1796875" style="876" customWidth="1"/>
    <col min="33" max="33" width="16.6328125" style="876" bestFit="1" customWidth="1"/>
    <col min="34" max="34" width="13.1796875" style="876" bestFit="1" customWidth="1"/>
    <col min="35" max="16384" width="11.6328125" style="876"/>
  </cols>
  <sheetData>
    <row r="1" spans="2:28">
      <c r="B1" s="875"/>
      <c r="C1" s="875"/>
      <c r="D1" s="875"/>
      <c r="E1" s="875"/>
      <c r="F1" s="875"/>
    </row>
    <row r="2" spans="2:28" outlineLevel="1">
      <c r="B2" s="875"/>
      <c r="F2" s="1057"/>
      <c r="G2" s="1057"/>
      <c r="H2" s="1057"/>
      <c r="I2" s="1057"/>
    </row>
    <row r="3" spans="2:28">
      <c r="B3" s="879" t="s">
        <v>957</v>
      </c>
      <c r="C3" s="880"/>
      <c r="D3" s="880"/>
      <c r="E3" s="880"/>
      <c r="F3" s="880"/>
      <c r="G3" s="881"/>
      <c r="H3" s="882"/>
      <c r="I3" s="883"/>
    </row>
    <row r="4" spans="2:28" s="877" customFormat="1">
      <c r="B4" s="884" t="s">
        <v>958</v>
      </c>
      <c r="C4" s="885" t="s">
        <v>586</v>
      </c>
      <c r="D4" s="885" t="s">
        <v>954</v>
      </c>
      <c r="E4" s="885" t="s">
        <v>587</v>
      </c>
      <c r="F4" s="885" t="s">
        <v>959</v>
      </c>
      <c r="G4" s="885" t="s">
        <v>960</v>
      </c>
      <c r="H4" s="885" t="s">
        <v>961</v>
      </c>
      <c r="I4" s="886" t="s">
        <v>962</v>
      </c>
    </row>
    <row r="5" spans="2:28">
      <c r="B5" s="887" t="s">
        <v>963</v>
      </c>
      <c r="C5" s="888">
        <v>8.39401964007358E-2</v>
      </c>
      <c r="D5" s="888">
        <v>0.52178151734024936</v>
      </c>
      <c r="E5" s="888">
        <v>0.3253325358009127</v>
      </c>
      <c r="F5" s="888">
        <v>0.24688310960436488</v>
      </c>
      <c r="G5" s="888">
        <v>0.3405702982353358</v>
      </c>
      <c r="H5" s="888">
        <v>0.27794441817319848</v>
      </c>
      <c r="I5" s="889">
        <f t="shared" ref="I5:I11" si="0">AVERAGE(C5:H5)</f>
        <v>0.29940867925913284</v>
      </c>
    </row>
    <row r="6" spans="2:28">
      <c r="B6" s="890" t="s">
        <v>964</v>
      </c>
      <c r="C6" s="891">
        <v>3.8812888249187161E-2</v>
      </c>
      <c r="D6" s="891">
        <v>0.2100165450579663</v>
      </c>
      <c r="E6" s="891">
        <v>9.6023718892085164E-2</v>
      </c>
      <c r="F6" s="891">
        <v>0.13881605902611538</v>
      </c>
      <c r="G6" s="891">
        <v>0.27931424325903587</v>
      </c>
      <c r="H6" s="891">
        <v>0.13125683361714868</v>
      </c>
      <c r="I6" s="892">
        <f t="shared" si="0"/>
        <v>0.14904004801692308</v>
      </c>
    </row>
    <row r="7" spans="2:28">
      <c r="B7" s="890" t="s">
        <v>965</v>
      </c>
      <c r="C7" s="891">
        <v>-1.5728181779418593E-2</v>
      </c>
      <c r="D7" s="891">
        <v>9.9759453085769056E-2</v>
      </c>
      <c r="E7" s="891">
        <v>0.12911722305176276</v>
      </c>
      <c r="F7" s="891">
        <v>1.9071761118935049E-2</v>
      </c>
      <c r="G7" s="891">
        <v>2.9571617167956976E-2</v>
      </c>
      <c r="H7" s="891">
        <v>0.39801176693536866</v>
      </c>
      <c r="I7" s="892">
        <f t="shared" si="0"/>
        <v>0.10996727326339566</v>
      </c>
    </row>
    <row r="8" spans="2:28">
      <c r="B8" s="890" t="s">
        <v>966</v>
      </c>
      <c r="C8" s="891">
        <v>2.9563235439301172E-2</v>
      </c>
      <c r="D8" s="891">
        <v>0.24267215711355139</v>
      </c>
      <c r="E8" s="891">
        <v>0.16851174197479102</v>
      </c>
      <c r="F8" s="891">
        <v>7.975303339867279E-2</v>
      </c>
      <c r="G8" s="891">
        <v>8.8580603636737698E-2</v>
      </c>
      <c r="H8" s="891">
        <v>-0.25379766573843954</v>
      </c>
      <c r="I8" s="892">
        <f t="shared" si="0"/>
        <v>5.9213850970769089E-2</v>
      </c>
    </row>
    <row r="9" spans="2:28">
      <c r="B9" s="890" t="s">
        <v>967</v>
      </c>
      <c r="C9" s="891">
        <v>2.2085931329560715E-2</v>
      </c>
      <c r="D9" s="891">
        <v>2.5388246956246086E-3</v>
      </c>
      <c r="E9" s="891">
        <v>4.9245561919157854E-3</v>
      </c>
      <c r="F9" s="893">
        <v>1.2326905109769415E-2</v>
      </c>
      <c r="G9" s="891">
        <v>1.2575098048175359E-2</v>
      </c>
      <c r="H9" s="891">
        <v>2.6569408859056232E-4</v>
      </c>
      <c r="I9" s="892">
        <f t="shared" si="0"/>
        <v>9.1195015772727404E-3</v>
      </c>
    </row>
    <row r="10" spans="2:28">
      <c r="B10" s="890" t="s">
        <v>968</v>
      </c>
      <c r="C10" s="891">
        <v>2.0685940818790938E-2</v>
      </c>
      <c r="D10" s="891">
        <v>-2.3188683176494918E-3</v>
      </c>
      <c r="E10" s="891">
        <v>-8.1286295667009512E-2</v>
      </c>
      <c r="F10" s="891">
        <v>-5.2132658500347873E-5</v>
      </c>
      <c r="G10" s="891">
        <v>-5.0553041220968042E-2</v>
      </c>
      <c r="H10" s="891">
        <v>-1.2456758608328178E-2</v>
      </c>
      <c r="I10" s="892">
        <f t="shared" si="0"/>
        <v>-2.0996859275610773E-2</v>
      </c>
    </row>
    <row r="11" spans="2:28">
      <c r="B11" s="894" t="s">
        <v>969</v>
      </c>
      <c r="C11" s="895">
        <v>-1.1479617656685592E-2</v>
      </c>
      <c r="D11" s="895">
        <v>-3.0886594295012504E-2</v>
      </c>
      <c r="E11" s="895">
        <v>8.0415913573677056E-3</v>
      </c>
      <c r="F11" s="895">
        <v>-3.0325163906269603E-3</v>
      </c>
      <c r="G11" s="895">
        <v>-1.8918222655601835E-2</v>
      </c>
      <c r="H11" s="895">
        <v>1.466454787885807E-2</v>
      </c>
      <c r="I11" s="896">
        <f t="shared" si="0"/>
        <v>-6.9351352936168524E-3</v>
      </c>
    </row>
    <row r="12" spans="2:28">
      <c r="C12" s="897"/>
      <c r="D12" s="897"/>
      <c r="E12" s="897"/>
      <c r="F12" s="897"/>
      <c r="G12" s="897"/>
      <c r="H12" s="897"/>
    </row>
    <row r="13" spans="2:28" s="899" customFormat="1" ht="13.15" hidden="1" customHeight="1">
      <c r="B13" s="898"/>
      <c r="C13" s="875">
        <f t="shared" ref="C13:H13" si="1">SUM(C6:C11)-C5</f>
        <v>0</v>
      </c>
      <c r="D13" s="875">
        <f t="shared" si="1"/>
        <v>0</v>
      </c>
      <c r="E13" s="875">
        <f t="shared" si="1"/>
        <v>0</v>
      </c>
      <c r="F13" s="875">
        <f t="shared" si="1"/>
        <v>4.4408920985006262E-16</v>
      </c>
      <c r="G13" s="875">
        <f t="shared" si="1"/>
        <v>0</v>
      </c>
      <c r="H13" s="875">
        <f t="shared" si="1"/>
        <v>0</v>
      </c>
      <c r="AB13" s="900"/>
    </row>
    <row r="14" spans="2:28">
      <c r="B14" s="875"/>
      <c r="C14" s="875"/>
      <c r="D14" s="875"/>
      <c r="E14" s="875"/>
      <c r="F14" s="875"/>
      <c r="G14" s="875"/>
      <c r="H14" s="875"/>
    </row>
    <row r="15" spans="2:28" ht="13.15" hidden="1" customHeight="1" outlineLevel="1">
      <c r="B15" s="875"/>
      <c r="C15" s="878"/>
      <c r="D15" s="1057">
        <v>43537</v>
      </c>
      <c r="E15" s="1057"/>
      <c r="F15" s="875"/>
      <c r="H15" s="901"/>
    </row>
    <row r="16" spans="2:28" collapsed="1"/>
    <row r="19" spans="5:8" ht="14.25">
      <c r="F19" s="902"/>
      <c r="G19" s="902"/>
      <c r="H19" s="902"/>
    </row>
    <row r="20" spans="5:8" ht="14.25">
      <c r="E20" s="903"/>
      <c r="F20" s="904"/>
      <c r="G20" s="904"/>
      <c r="H20" s="904"/>
    </row>
    <row r="21" spans="5:8" ht="14.25">
      <c r="E21" s="903"/>
      <c r="F21" s="904"/>
      <c r="G21" s="904"/>
      <c r="H21" s="904"/>
    </row>
    <row r="22" spans="5:8" ht="14.25">
      <c r="E22" s="903"/>
      <c r="F22" s="904"/>
      <c r="G22" s="904"/>
      <c r="H22" s="904"/>
    </row>
    <row r="23" spans="5:8" ht="14.25">
      <c r="E23" s="903"/>
      <c r="F23" s="904"/>
      <c r="G23" s="904"/>
      <c r="H23" s="904"/>
    </row>
    <row r="24" spans="5:8" ht="14.25">
      <c r="E24" s="903"/>
      <c r="F24" s="904"/>
      <c r="G24" s="904"/>
      <c r="H24" s="904"/>
    </row>
    <row r="25" spans="5:8" ht="14.25">
      <c r="E25" s="903"/>
      <c r="F25" s="904"/>
      <c r="G25" s="904"/>
      <c r="H25" s="904"/>
    </row>
    <row r="26" spans="5:8" ht="14.25">
      <c r="E26" s="903"/>
      <c r="F26" s="904"/>
      <c r="G26" s="904"/>
      <c r="H26" s="904"/>
    </row>
    <row r="27" spans="5:8" ht="14.25">
      <c r="E27" s="903"/>
      <c r="F27" s="904"/>
      <c r="G27" s="904"/>
      <c r="H27" s="904"/>
    </row>
    <row r="28" spans="5:8" ht="14.25">
      <c r="E28" s="903"/>
      <c r="F28" s="904"/>
      <c r="G28" s="904"/>
      <c r="H28" s="904"/>
    </row>
    <row r="29" spans="5:8" ht="14.25">
      <c r="E29" s="903"/>
      <c r="F29" s="904"/>
      <c r="G29" s="904"/>
      <c r="H29" s="904"/>
    </row>
    <row r="30" spans="5:8" ht="14.25">
      <c r="E30" s="903"/>
      <c r="F30" s="904"/>
      <c r="G30" s="904"/>
      <c r="H30" s="904"/>
    </row>
  </sheetData>
  <mergeCells count="3">
    <mergeCell ref="F2:G2"/>
    <mergeCell ref="H2:I2"/>
    <mergeCell ref="D15:E15"/>
  </mergeCells>
  <conditionalFormatting sqref="B5:B11 C12:H12">
    <cfRule type="expression" dxfId="31" priority="1">
      <formula>B5&lt;0</formula>
    </cfRule>
  </conditionalFormatting>
  <pageMargins left="0.7" right="0.7" top="0.75" bottom="0.75" header="0.3" footer="0.3"/>
  <pageSetup scale="6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69FA5-1A0A-4A38-88A6-F0BBD248BE20}">
  <sheetPr codeName="Sheet1"/>
  <dimension ref="A1:AL41"/>
  <sheetViews>
    <sheetView showGridLines="0" zoomScaleNormal="100" workbookViewId="0">
      <pane xSplit="4" ySplit="6" topLeftCell="M7" activePane="bottomRight" state="frozen"/>
      <selection pane="topRight"/>
      <selection pane="bottomLeft"/>
      <selection pane="bottomRight"/>
    </sheetView>
  </sheetViews>
  <sheetFormatPr defaultColWidth="10.81640625" defaultRowHeight="11.25" customHeight="1" outlineLevelRow="1" outlineLevelCol="1"/>
  <cols>
    <col min="1" max="2" width="1.81640625" customWidth="1"/>
    <col min="3" max="3" width="49.1796875" customWidth="1"/>
    <col min="5" max="12" width="10.81640625" hidden="1" customWidth="1" outlineLevel="1"/>
    <col min="13" max="13" width="10.81640625" customWidth="1" collapsed="1"/>
    <col min="14" max="16" width="10.81640625" customWidth="1"/>
    <col min="26" max="26" width="10.81640625" hidden="1" customWidth="1" outlineLevel="1"/>
    <col min="27" max="27" width="10.81640625" customWidth="1" collapsed="1"/>
    <col min="28" max="29" width="10.81640625" customWidth="1"/>
  </cols>
  <sheetData>
    <row r="1" spans="1:38" s="1" customFormat="1" ht="10.5">
      <c r="A1" s="36" t="str">
        <f>+Financials!A1</f>
        <v>Intel Corporation</v>
      </c>
      <c r="Y1"/>
      <c r="AJ1"/>
    </row>
    <row r="2" spans="1:38" s="3" customFormat="1" ht="11.25" customHeight="1">
      <c r="A2" s="2" t="s">
        <v>1</v>
      </c>
      <c r="B2" s="1"/>
      <c r="G2" s="47"/>
      <c r="M2" s="1"/>
      <c r="N2" s="1"/>
      <c r="O2" s="1"/>
      <c r="P2" s="1"/>
      <c r="Q2" s="1"/>
      <c r="R2" s="1"/>
      <c r="S2" s="4"/>
      <c r="T2" s="1"/>
      <c r="U2" s="1"/>
      <c r="X2" s="1"/>
      <c r="Y2"/>
      <c r="AD2" s="5"/>
      <c r="AE2" s="5"/>
      <c r="AF2" s="6"/>
      <c r="AG2" s="6"/>
      <c r="AH2" s="6"/>
      <c r="AI2" s="6"/>
      <c r="AJ2"/>
      <c r="AK2" s="1"/>
      <c r="AL2" s="1"/>
    </row>
    <row r="3" spans="1:38" s="3" customFormat="1" ht="11.25" customHeight="1">
      <c r="A3" s="2"/>
      <c r="E3" s="47"/>
      <c r="K3" s="7"/>
      <c r="L3" s="7"/>
      <c r="M3" s="7"/>
      <c r="N3" s="7"/>
      <c r="O3" s="7"/>
      <c r="P3" s="206"/>
      <c r="Q3" s="7"/>
      <c r="R3" s="8"/>
      <c r="S3" s="202"/>
      <c r="T3" s="7"/>
      <c r="U3" s="7"/>
      <c r="V3" s="7"/>
      <c r="W3" s="7"/>
      <c r="X3" s="7"/>
      <c r="Y3"/>
      <c r="Z3" s="7"/>
      <c r="AA3" s="7"/>
      <c r="AB3" s="7"/>
      <c r="AC3" s="7"/>
      <c r="AD3" s="7"/>
      <c r="AE3" s="7"/>
      <c r="AF3" s="7"/>
      <c r="AG3" s="7"/>
      <c r="AH3" s="7"/>
      <c r="AI3" s="7"/>
      <c r="AJ3"/>
      <c r="AK3" s="1"/>
      <c r="AL3" s="1"/>
    </row>
    <row r="4" spans="1:38" s="3" customFormat="1" ht="11.25" customHeight="1">
      <c r="A4" s="2"/>
      <c r="B4" s="1"/>
      <c r="M4" s="1"/>
      <c r="N4" s="1"/>
      <c r="O4" s="1"/>
      <c r="P4" s="1"/>
      <c r="Q4" s="1"/>
      <c r="R4" s="1"/>
      <c r="S4" s="1"/>
      <c r="T4" s="1"/>
      <c r="U4" s="1"/>
      <c r="V4" s="1"/>
      <c r="W4" s="1"/>
      <c r="X4" s="1"/>
      <c r="Y4"/>
      <c r="AD4" s="5"/>
      <c r="AE4" s="5"/>
      <c r="AF4" s="6"/>
      <c r="AG4" s="6"/>
      <c r="AH4" s="6"/>
      <c r="AI4" s="6"/>
      <c r="AJ4"/>
      <c r="AK4" s="1"/>
      <c r="AL4" s="1"/>
    </row>
    <row r="5" spans="1:38" s="3" customFormat="1" ht="11.25" customHeight="1">
      <c r="B5" s="9"/>
      <c r="C5" s="10" t="s">
        <v>2</v>
      </c>
      <c r="D5" s="9"/>
      <c r="E5" s="11">
        <f t="shared" ref="E5:X5" si="0">+YEAR(E6)</f>
        <v>2018</v>
      </c>
      <c r="F5" s="12">
        <f t="shared" si="0"/>
        <v>2018</v>
      </c>
      <c r="G5" s="13">
        <f t="shared" si="0"/>
        <v>2018</v>
      </c>
      <c r="H5" s="14">
        <f t="shared" si="0"/>
        <v>2018</v>
      </c>
      <c r="I5" s="11">
        <f t="shared" si="0"/>
        <v>2019</v>
      </c>
      <c r="J5" s="12">
        <f t="shared" si="0"/>
        <v>2019</v>
      </c>
      <c r="K5" s="13">
        <f t="shared" si="0"/>
        <v>2019</v>
      </c>
      <c r="L5" s="14">
        <f t="shared" si="0"/>
        <v>2019</v>
      </c>
      <c r="M5" s="11">
        <f t="shared" si="0"/>
        <v>2020</v>
      </c>
      <c r="N5" s="12">
        <f t="shared" si="0"/>
        <v>2020</v>
      </c>
      <c r="O5" s="13">
        <f t="shared" si="0"/>
        <v>2020</v>
      </c>
      <c r="P5" s="14">
        <f t="shared" si="0"/>
        <v>2020</v>
      </c>
      <c r="Q5" s="11">
        <f t="shared" si="0"/>
        <v>2021</v>
      </c>
      <c r="R5" s="12">
        <f t="shared" si="0"/>
        <v>2021</v>
      </c>
      <c r="S5" s="13">
        <f t="shared" si="0"/>
        <v>2021</v>
      </c>
      <c r="T5" s="16">
        <f t="shared" si="0"/>
        <v>2021</v>
      </c>
      <c r="U5" s="42">
        <f t="shared" si="0"/>
        <v>2022</v>
      </c>
      <c r="V5" s="43">
        <f t="shared" si="0"/>
        <v>2022</v>
      </c>
      <c r="W5" s="15">
        <f t="shared" si="0"/>
        <v>2022</v>
      </c>
      <c r="X5" s="39">
        <f t="shared" si="0"/>
        <v>2022</v>
      </c>
      <c r="Y5"/>
      <c r="Z5" s="17">
        <f t="shared" ref="Z5:AI5" si="1">+YEAR(Z6)</f>
        <v>2016</v>
      </c>
      <c r="AA5" s="17">
        <f t="shared" si="1"/>
        <v>2017</v>
      </c>
      <c r="AB5" s="17">
        <f t="shared" si="1"/>
        <v>2018</v>
      </c>
      <c r="AC5" s="17">
        <f t="shared" si="1"/>
        <v>2019</v>
      </c>
      <c r="AD5" s="17">
        <f t="shared" si="1"/>
        <v>2020</v>
      </c>
      <c r="AE5" s="18">
        <f t="shared" si="1"/>
        <v>2021</v>
      </c>
      <c r="AF5" s="18">
        <f t="shared" si="1"/>
        <v>2022</v>
      </c>
      <c r="AG5" s="18">
        <f t="shared" si="1"/>
        <v>2023</v>
      </c>
      <c r="AH5" s="18">
        <f t="shared" si="1"/>
        <v>2024</v>
      </c>
      <c r="AI5" s="18">
        <f t="shared" si="1"/>
        <v>2025</v>
      </c>
      <c r="AJ5"/>
    </row>
    <row r="6" spans="1:38" s="19" customFormat="1" ht="11.25" customHeight="1">
      <c r="B6" s="20"/>
      <c r="C6" s="21" t="s">
        <v>3</v>
      </c>
      <c r="D6" s="22"/>
      <c r="E6" s="23">
        <v>43190</v>
      </c>
      <c r="F6" s="23">
        <f>+EOMONTH(E6,3)</f>
        <v>43281</v>
      </c>
      <c r="G6" s="23">
        <f>+EOMONTH(F6,3)</f>
        <v>43373</v>
      </c>
      <c r="H6" s="23">
        <f>+EOMONTH(G6,3)</f>
        <v>43465</v>
      </c>
      <c r="I6" s="23">
        <v>43555</v>
      </c>
      <c r="J6" s="24">
        <f t="shared" ref="J6:X6" si="2">+EOMONTH(I6,3)</f>
        <v>43646</v>
      </c>
      <c r="K6" s="24">
        <f t="shared" si="2"/>
        <v>43738</v>
      </c>
      <c r="L6" s="24">
        <f t="shared" si="2"/>
        <v>43830</v>
      </c>
      <c r="M6" s="23">
        <f t="shared" si="2"/>
        <v>43921</v>
      </c>
      <c r="N6" s="24">
        <f t="shared" si="2"/>
        <v>44012</v>
      </c>
      <c r="O6" s="24">
        <f t="shared" si="2"/>
        <v>44104</v>
      </c>
      <c r="P6" s="24">
        <f t="shared" si="2"/>
        <v>44196</v>
      </c>
      <c r="Q6" s="23">
        <f t="shared" si="2"/>
        <v>44286</v>
      </c>
      <c r="R6" s="24">
        <f t="shared" si="2"/>
        <v>44377</v>
      </c>
      <c r="S6" s="24">
        <f t="shared" si="2"/>
        <v>44469</v>
      </c>
      <c r="T6" s="24">
        <f t="shared" si="2"/>
        <v>44561</v>
      </c>
      <c r="U6" s="40">
        <f t="shared" si="2"/>
        <v>44651</v>
      </c>
      <c r="V6" s="40">
        <f t="shared" si="2"/>
        <v>44742</v>
      </c>
      <c r="W6" s="40">
        <f t="shared" si="2"/>
        <v>44834</v>
      </c>
      <c r="X6" s="40">
        <f t="shared" si="2"/>
        <v>44926</v>
      </c>
      <c r="Y6"/>
      <c r="Z6" s="41">
        <v>42735</v>
      </c>
      <c r="AA6" s="25">
        <f t="shared" ref="AA6:AI6" si="3">EOMONTH(Z6,12)</f>
        <v>43100</v>
      </c>
      <c r="AB6" s="25">
        <f t="shared" si="3"/>
        <v>43465</v>
      </c>
      <c r="AC6" s="25">
        <f t="shared" si="3"/>
        <v>43830</v>
      </c>
      <c r="AD6" s="25">
        <f t="shared" si="3"/>
        <v>44196</v>
      </c>
      <c r="AE6" s="25">
        <f t="shared" si="3"/>
        <v>44561</v>
      </c>
      <c r="AF6" s="26">
        <f>EOMONTH(AE6,12)</f>
        <v>44926</v>
      </c>
      <c r="AG6" s="26">
        <f t="shared" si="3"/>
        <v>45291</v>
      </c>
      <c r="AH6" s="26">
        <f t="shared" si="3"/>
        <v>45657</v>
      </c>
      <c r="AI6" s="26">
        <f t="shared" si="3"/>
        <v>46022</v>
      </c>
      <c r="AJ6"/>
    </row>
    <row r="7" spans="1:38" s="3" customFormat="1" ht="11.25" customHeight="1">
      <c r="B7" s="27"/>
      <c r="C7" s="28"/>
      <c r="D7" s="28"/>
      <c r="E7" s="28"/>
      <c r="F7" s="28"/>
      <c r="G7" s="28"/>
      <c r="H7" s="28"/>
      <c r="I7" s="28"/>
      <c r="J7" s="28"/>
      <c r="K7" s="28"/>
      <c r="L7" s="28"/>
      <c r="M7" s="28"/>
      <c r="N7" s="28"/>
      <c r="O7" s="28"/>
      <c r="P7" s="28"/>
      <c r="Q7" s="28"/>
      <c r="R7" s="28"/>
      <c r="S7" s="28"/>
      <c r="T7" s="28"/>
      <c r="U7" s="28"/>
      <c r="V7" s="28"/>
      <c r="W7" s="28"/>
      <c r="X7" s="28"/>
      <c r="Y7"/>
      <c r="Z7" s="28"/>
      <c r="AA7" s="28"/>
      <c r="AB7" s="28"/>
      <c r="AC7" s="28"/>
      <c r="AD7" s="28"/>
      <c r="AE7" s="28"/>
      <c r="AF7" s="28"/>
      <c r="AG7" s="28"/>
      <c r="AH7" s="28"/>
      <c r="AI7" s="28"/>
      <c r="AJ7"/>
    </row>
    <row r="8" spans="1:38" s="29" customFormat="1" ht="11.25" customHeight="1">
      <c r="B8" s="30" t="s">
        <v>4</v>
      </c>
      <c r="C8" s="31"/>
      <c r="D8" s="31"/>
      <c r="E8" s="215"/>
      <c r="F8" s="215"/>
      <c r="G8" s="215"/>
      <c r="H8" s="215"/>
      <c r="I8" s="215"/>
      <c r="J8" s="215"/>
      <c r="K8" s="215"/>
      <c r="L8" s="215"/>
      <c r="M8" s="215"/>
      <c r="N8" s="215"/>
      <c r="O8" s="215"/>
      <c r="P8" s="215"/>
      <c r="Q8" s="215"/>
      <c r="R8" s="215"/>
      <c r="S8" s="215"/>
      <c r="T8" s="31"/>
      <c r="U8" s="31"/>
      <c r="V8" s="31"/>
      <c r="W8" s="31"/>
      <c r="X8" s="31"/>
      <c r="Y8"/>
      <c r="Z8" s="31"/>
      <c r="AA8" s="31"/>
      <c r="AB8" s="31"/>
      <c r="AC8" s="31"/>
      <c r="AD8" s="31"/>
      <c r="AE8" s="31"/>
      <c r="AF8" s="31"/>
      <c r="AG8" s="31"/>
      <c r="AH8" s="31"/>
      <c r="AI8" s="31"/>
      <c r="AJ8"/>
    </row>
    <row r="9" spans="1:38" s="3" customFormat="1" ht="11.25" customHeight="1">
      <c r="B9" s="27"/>
      <c r="C9" s="28"/>
      <c r="D9" s="28"/>
      <c r="E9" s="28"/>
      <c r="F9" s="28"/>
      <c r="G9" s="28"/>
      <c r="H9" s="28"/>
      <c r="I9" s="28"/>
      <c r="J9" s="28"/>
      <c r="K9" s="28"/>
      <c r="L9" s="28"/>
      <c r="M9" s="28"/>
      <c r="N9" s="28"/>
      <c r="O9" s="28"/>
      <c r="P9" s="28"/>
      <c r="Q9" s="28"/>
      <c r="R9" s="28"/>
      <c r="S9" s="28"/>
      <c r="T9" s="28"/>
      <c r="U9" s="28"/>
      <c r="V9" s="28"/>
      <c r="W9" s="28"/>
      <c r="X9" s="28"/>
      <c r="Y9"/>
      <c r="Z9" s="28"/>
      <c r="AA9" s="28"/>
      <c r="AB9" s="28"/>
      <c r="AC9" s="28"/>
      <c r="AD9" s="28"/>
      <c r="AE9" s="28"/>
      <c r="AF9" s="28"/>
      <c r="AG9" s="28"/>
      <c r="AH9" s="28"/>
      <c r="AI9" s="28"/>
      <c r="AJ9"/>
    </row>
    <row r="10" spans="1:38" ht="11.25" customHeight="1">
      <c r="C10" s="36" t="str">
        <f>Segments!$C$10&amp;" Platform"</f>
        <v>Client Computing Group Platform</v>
      </c>
      <c r="M10" s="222">
        <f>Segments!U13</f>
        <v>0.11349693251533743</v>
      </c>
      <c r="N10" s="222">
        <f>Segments!V13</f>
        <v>3.8359621451104164E-2</v>
      </c>
      <c r="O10" s="222">
        <f>Segments!W13</f>
        <v>4.5709511874925335E-2</v>
      </c>
      <c r="P10" s="222">
        <f>Segments!X13</f>
        <v>0.16204840406874776</v>
      </c>
      <c r="Q10" s="222">
        <f>Segments!Y13</f>
        <v>0.10387970615243347</v>
      </c>
      <c r="R10" s="222">
        <f>Segments!Z13</f>
        <v>0.14193705188965855</v>
      </c>
      <c r="S10" s="222">
        <f>Segments!AA13</f>
        <v>2.1912805295594584E-2</v>
      </c>
      <c r="T10" s="576">
        <f>Segments!AB13</f>
        <v>-5.3425897977663728E-2</v>
      </c>
      <c r="U10" s="577">
        <f>+CHOOSE(Case,U11,U12,U13)</f>
        <v>-0.05</v>
      </c>
      <c r="V10" s="577">
        <f>+CHOOSE(Case,V11,V12,V13)</f>
        <v>-0.125</v>
      </c>
      <c r="W10" s="577">
        <f>+CHOOSE(Case,W11,W12,W13)</f>
        <v>-0.125</v>
      </c>
      <c r="X10" s="577">
        <f>+CHOOSE(Case,X11,X12,X13)</f>
        <v>-0.1</v>
      </c>
      <c r="Y10" s="45"/>
      <c r="Z10" s="45"/>
      <c r="AA10" s="222">
        <f>Segments!AK13</f>
        <v>1.5446652141393846E-2</v>
      </c>
      <c r="AB10" s="222">
        <f>Segments!AL13</f>
        <v>6.4305386536860354E-2</v>
      </c>
      <c r="AC10" s="222">
        <f>Segments!AM13</f>
        <v>-1.6639585966179204E-2</v>
      </c>
      <c r="AD10" s="222">
        <f>Segments!AN13</f>
        <v>9.0603102720234974E-2</v>
      </c>
      <c r="AE10" s="222">
        <f>Segments!AO13</f>
        <v>4.8650468548341763E-2</v>
      </c>
      <c r="AF10" s="222">
        <f>Segments!AP13</f>
        <v>-9.9409380351027199E-2</v>
      </c>
      <c r="AG10" s="577">
        <f>+CHOOSE(Case,AG11,AG12,AG13)</f>
        <v>-7.4999999999999997E-2</v>
      </c>
      <c r="AH10" s="577">
        <f>+CHOOSE(Case,AH11,AH12,AH13)</f>
        <v>0.01</v>
      </c>
      <c r="AI10" s="577">
        <f>+CHOOSE(Case,AI11,AI12,AI13)</f>
        <v>0.03</v>
      </c>
    </row>
    <row r="11" spans="1:38" ht="11.25" customHeight="1" outlineLevel="1">
      <c r="C11" s="37" t="s">
        <v>5</v>
      </c>
      <c r="Q11" s="45"/>
      <c r="R11" s="45"/>
      <c r="S11" s="45"/>
      <c r="T11" s="223"/>
      <c r="U11" s="224">
        <v>0.02</v>
      </c>
      <c r="V11" s="224">
        <v>0.02</v>
      </c>
      <c r="W11" s="224">
        <v>0.02</v>
      </c>
      <c r="X11" s="224">
        <v>0.02</v>
      </c>
      <c r="Y11" s="45"/>
      <c r="Z11" s="45"/>
      <c r="AA11" s="45"/>
      <c r="AB11" s="45"/>
      <c r="AC11" s="45"/>
      <c r="AD11" s="45"/>
      <c r="AE11" s="45"/>
      <c r="AF11" s="45"/>
      <c r="AG11" s="224">
        <v>2.5000000000000001E-2</v>
      </c>
      <c r="AH11" s="224">
        <v>2.5000000000000001E-2</v>
      </c>
      <c r="AI11" s="224">
        <v>0.15</v>
      </c>
    </row>
    <row r="12" spans="1:38" ht="11.25" customHeight="1" outlineLevel="1">
      <c r="C12" s="37" t="s">
        <v>6</v>
      </c>
      <c r="Q12" s="45"/>
      <c r="R12" s="45"/>
      <c r="S12" s="45"/>
      <c r="T12" s="224"/>
      <c r="U12" s="224">
        <v>-0.05</v>
      </c>
      <c r="V12" s="224">
        <v>-0.125</v>
      </c>
      <c r="W12" s="224">
        <v>-0.125</v>
      </c>
      <c r="X12" s="224">
        <v>-0.1</v>
      </c>
      <c r="Y12" s="45"/>
      <c r="Z12" s="45"/>
      <c r="AA12" s="45"/>
      <c r="AB12" s="45"/>
      <c r="AC12" s="45"/>
      <c r="AD12" s="45"/>
      <c r="AE12" s="45"/>
      <c r="AF12" s="45"/>
      <c r="AG12" s="224">
        <v>-7.4999999999999997E-2</v>
      </c>
      <c r="AH12" s="224">
        <v>0.01</v>
      </c>
      <c r="AI12" s="224">
        <v>0.03</v>
      </c>
    </row>
    <row r="13" spans="1:38" ht="11.25" customHeight="1" outlineLevel="1">
      <c r="C13" s="37" t="s">
        <v>7</v>
      </c>
      <c r="D13" s="46">
        <v>-0.01</v>
      </c>
      <c r="U13" s="223">
        <f>+U12+$D13</f>
        <v>-6.0000000000000005E-2</v>
      </c>
      <c r="V13" s="223">
        <f>+V12+$D13</f>
        <v>-0.13500000000000001</v>
      </c>
      <c r="W13" s="223">
        <f>+W12+$D13</f>
        <v>-0.13500000000000001</v>
      </c>
      <c r="X13" s="223">
        <f>+X12+$D13</f>
        <v>-0.11</v>
      </c>
      <c r="Y13" s="45"/>
      <c r="Z13" s="45"/>
      <c r="AA13" s="45"/>
      <c r="AB13" s="45"/>
      <c r="AC13" s="45"/>
      <c r="AD13" s="45"/>
      <c r="AE13" s="45"/>
      <c r="AF13" s="45"/>
      <c r="AG13" s="224">
        <v>5.0000000000000001E-3</v>
      </c>
      <c r="AH13" s="224">
        <v>5.0000000000000001E-3</v>
      </c>
      <c r="AI13" s="224">
        <v>5.0000000000000001E-3</v>
      </c>
    </row>
    <row r="14" spans="1:38" s="3" customFormat="1" ht="11.25" customHeight="1">
      <c r="B14" s="27"/>
      <c r="C14" s="28"/>
      <c r="D14" s="28"/>
      <c r="E14" s="28"/>
      <c r="F14" s="28"/>
      <c r="G14" s="28"/>
      <c r="H14" s="28"/>
      <c r="I14" s="28"/>
      <c r="J14" s="28"/>
      <c r="K14" s="28"/>
      <c r="L14" s="28"/>
      <c r="M14" s="28"/>
      <c r="N14" s="28"/>
      <c r="O14" s="28"/>
      <c r="P14" s="28"/>
      <c r="Q14" s="28"/>
      <c r="R14" s="28"/>
      <c r="S14" s="28"/>
      <c r="T14" s="28"/>
      <c r="U14" s="28"/>
      <c r="V14" s="28"/>
      <c r="W14" s="28"/>
      <c r="X14" s="28"/>
      <c r="Y14"/>
      <c r="Z14" s="28"/>
      <c r="AA14" s="28"/>
      <c r="AB14" s="28"/>
      <c r="AC14" s="28"/>
      <c r="AD14" s="28"/>
      <c r="AE14" s="28"/>
      <c r="AF14" s="28"/>
      <c r="AG14" s="28"/>
      <c r="AH14" s="28"/>
      <c r="AI14" s="28"/>
      <c r="AJ14"/>
    </row>
    <row r="15" spans="1:38" ht="11.25" customHeight="1">
      <c r="C15" s="36" t="str">
        <f>Segments!$C$10&amp;" Adjacent"</f>
        <v>Client Computing Group Adjacent</v>
      </c>
      <c r="M15" s="222">
        <f>Segments!U16</f>
        <v>0.39501312335957994</v>
      </c>
      <c r="N15" s="222">
        <f>Segments!V16</f>
        <v>0.38318777292576423</v>
      </c>
      <c r="O15" s="222">
        <f>Segments!W16</f>
        <v>-0.18421052631578949</v>
      </c>
      <c r="P15" s="222">
        <f>Segments!X16</f>
        <v>-0.31365820178448867</v>
      </c>
      <c r="Q15" s="222">
        <f>Segments!Y16</f>
        <v>-7.0555032925681993E-2</v>
      </c>
      <c r="R15" s="222">
        <f>Segments!Z16</f>
        <v>-0.43804262036306241</v>
      </c>
      <c r="S15" s="222">
        <f>Segments!AA16</f>
        <v>-0.34562211981566815</v>
      </c>
      <c r="T15" s="576">
        <f>Segments!AB16</f>
        <v>-0.27500000000000002</v>
      </c>
      <c r="U15" s="577">
        <f>+CHOOSE(Case,U16,U17,U18)</f>
        <v>-0.05</v>
      </c>
      <c r="V15" s="577">
        <f>+CHOOSE(Case,V16,V17,V18)</f>
        <v>-0.125</v>
      </c>
      <c r="W15" s="577">
        <f>+CHOOSE(Case,W16,W17,W18)</f>
        <v>-0.125</v>
      </c>
      <c r="X15" s="577">
        <f>+CHOOSE(Case,X16,X17,X18)</f>
        <v>-7.4999999999999997E-2</v>
      </c>
      <c r="Y15" s="45"/>
      <c r="Z15" s="45"/>
      <c r="AA15" s="45"/>
      <c r="AB15" s="45"/>
      <c r="AC15" s="45"/>
      <c r="AD15" s="222"/>
      <c r="AE15" s="222"/>
      <c r="AF15" s="222"/>
      <c r="AG15" s="577">
        <f>+CHOOSE(Case,AG16,AG17,AG18)</f>
        <v>-0.05</v>
      </c>
      <c r="AH15" s="577">
        <f>+CHOOSE(Case,AH16,AH17,AH18)</f>
        <v>0.01</v>
      </c>
      <c r="AI15" s="577">
        <f>+CHOOSE(Case,AI16,AI17,AI18)</f>
        <v>0.03</v>
      </c>
    </row>
    <row r="16" spans="1:38" ht="11.25" customHeight="1" outlineLevel="1">
      <c r="C16" s="37" t="s">
        <v>5</v>
      </c>
      <c r="Q16" s="45"/>
      <c r="R16" s="45"/>
      <c r="S16" s="45"/>
      <c r="T16" s="225"/>
      <c r="U16" s="224">
        <v>0.02</v>
      </c>
      <c r="V16" s="224">
        <v>0.02</v>
      </c>
      <c r="W16" s="224">
        <v>0.02</v>
      </c>
      <c r="X16" s="224">
        <v>0.02</v>
      </c>
      <c r="Y16" s="45"/>
      <c r="Z16" s="45"/>
      <c r="AA16" s="45"/>
      <c r="AB16" s="45"/>
      <c r="AC16" s="45"/>
      <c r="AD16" s="45"/>
      <c r="AE16" s="45"/>
      <c r="AF16" s="45"/>
      <c r="AG16" s="224">
        <v>1.4999999999999999E-2</v>
      </c>
      <c r="AH16" s="224">
        <v>1.4999999999999999E-2</v>
      </c>
      <c r="AI16" s="224">
        <v>0.15</v>
      </c>
    </row>
    <row r="17" spans="2:36" ht="11.25" customHeight="1" outlineLevel="1">
      <c r="C17" s="37" t="s">
        <v>6</v>
      </c>
      <c r="Q17" s="45"/>
      <c r="R17" s="45"/>
      <c r="S17" s="45"/>
      <c r="T17" s="226"/>
      <c r="U17" s="224">
        <v>-0.05</v>
      </c>
      <c r="V17" s="224">
        <v>-0.125</v>
      </c>
      <c r="W17" s="224">
        <v>-0.125</v>
      </c>
      <c r="X17" s="224">
        <v>-7.4999999999999997E-2</v>
      </c>
      <c r="Y17" s="45"/>
      <c r="Z17" s="45"/>
      <c r="AA17" s="45"/>
      <c r="AB17" s="45"/>
      <c r="AC17" s="45"/>
      <c r="AD17" s="45"/>
      <c r="AE17" s="45"/>
      <c r="AF17" s="45"/>
      <c r="AG17" s="224">
        <v>-0.05</v>
      </c>
      <c r="AH17" s="224">
        <v>0.01</v>
      </c>
      <c r="AI17" s="224">
        <v>0.03</v>
      </c>
    </row>
    <row r="18" spans="2:36" ht="11.25" customHeight="1" outlineLevel="1">
      <c r="C18" s="37" t="s">
        <v>7</v>
      </c>
      <c r="D18" s="46">
        <v>-0.01</v>
      </c>
      <c r="Q18" s="45"/>
      <c r="R18" s="45"/>
      <c r="S18" s="45"/>
      <c r="T18" s="225"/>
      <c r="U18" s="223">
        <f>+U17+$D18</f>
        <v>-6.0000000000000005E-2</v>
      </c>
      <c r="V18" s="223">
        <f>+V17+$D18</f>
        <v>-0.13500000000000001</v>
      </c>
      <c r="W18" s="223">
        <f>+W17+$D18</f>
        <v>-0.13500000000000001</v>
      </c>
      <c r="X18" s="223">
        <f>+X17+$D18</f>
        <v>-8.4999999999999992E-2</v>
      </c>
      <c r="Y18" s="45"/>
      <c r="Z18" s="45"/>
      <c r="AA18" s="45"/>
      <c r="AB18" s="45"/>
      <c r="AC18" s="45"/>
      <c r="AD18" s="45"/>
      <c r="AE18" s="45"/>
      <c r="AF18" s="45"/>
      <c r="AG18" s="224">
        <v>5.0000000000000001E-3</v>
      </c>
      <c r="AH18" s="224">
        <v>5.0000000000000001E-3</v>
      </c>
      <c r="AI18" s="224">
        <v>5.0000000000000001E-3</v>
      </c>
    </row>
    <row r="19" spans="2:36" s="3" customFormat="1" ht="11.25" customHeight="1">
      <c r="B19" s="27"/>
      <c r="C19" s="28"/>
      <c r="D19" s="28"/>
      <c r="E19" s="28"/>
      <c r="F19" s="28"/>
      <c r="G19" s="28"/>
      <c r="H19" s="28"/>
      <c r="I19" s="28"/>
      <c r="J19" s="28"/>
      <c r="K19" s="28"/>
      <c r="L19" s="28"/>
      <c r="M19" s="28"/>
      <c r="N19" s="28"/>
      <c r="O19" s="28"/>
      <c r="P19" s="28"/>
      <c r="Q19" s="28"/>
      <c r="R19" s="28"/>
      <c r="S19" s="28"/>
      <c r="T19" s="28"/>
      <c r="U19" s="28"/>
      <c r="V19" s="28"/>
      <c r="W19" s="28"/>
      <c r="X19" s="28"/>
      <c r="Y19"/>
      <c r="Z19" s="28"/>
      <c r="AA19" s="28"/>
      <c r="AB19" s="28"/>
      <c r="AC19" s="28"/>
      <c r="AD19" s="28"/>
      <c r="AE19" s="28"/>
      <c r="AF19" s="28"/>
      <c r="AG19" s="28"/>
      <c r="AH19" s="28"/>
      <c r="AI19" s="28"/>
      <c r="AJ19"/>
    </row>
    <row r="20" spans="2:36" ht="11.25" customHeight="1">
      <c r="C20" s="36" t="str">
        <f>Segments!C21&amp;" Platform"</f>
        <v>Data Center Group Platform</v>
      </c>
      <c r="M20" s="222">
        <f>Segments!U24</f>
        <v>0.43395805443998214</v>
      </c>
      <c r="N20" s="222">
        <f>Segments!V24</f>
        <v>0.35756643971008129</v>
      </c>
      <c r="O20" s="222">
        <f>Segments!W24</f>
        <v>-0.11479635676233024</v>
      </c>
      <c r="P20" s="222">
        <f>Segments!X24</f>
        <v>-0.19584029148322457</v>
      </c>
      <c r="Q20" s="222">
        <f>Segments!Y24</f>
        <v>-0.25143924070328305</v>
      </c>
      <c r="R20" s="222">
        <f>Segments!Z24</f>
        <v>-7.733376476298337E-2</v>
      </c>
      <c r="S20" s="222">
        <f>Segments!AA24</f>
        <v>0.11570568821588045</v>
      </c>
      <c r="T20" s="576">
        <f>Segments!AB24</f>
        <v>0.21616009061733066</v>
      </c>
      <c r="U20" s="577">
        <f>+CHOOSE(Case,U21,U22,U23)</f>
        <v>0.15</v>
      </c>
      <c r="V20" s="577">
        <f>+CHOOSE(Case,V21,V22,V23)</f>
        <v>-0.1</v>
      </c>
      <c r="W20" s="577">
        <f>+CHOOSE(Case,W21,W22,W23)</f>
        <v>-0.1</v>
      </c>
      <c r="X20" s="577">
        <f>+CHOOSE(Case,X21,X22,X23)</f>
        <v>-0.2</v>
      </c>
      <c r="Y20" s="45"/>
      <c r="Z20" s="45"/>
      <c r="AA20" s="222">
        <f>Segments!AK24</f>
        <v>9.7137464611513069E-2</v>
      </c>
      <c r="AB20" s="222">
        <f>Segments!AL24</f>
        <v>0.21308561270715054</v>
      </c>
      <c r="AC20" s="222">
        <f>Segments!AM24</f>
        <v>1.3519262585677039E-2</v>
      </c>
      <c r="AD20" s="222">
        <f>Segments!AN24</f>
        <v>7.5322979338650287E-2</v>
      </c>
      <c r="AE20" s="222">
        <f>Segments!AO24</f>
        <v>-1.5310548230395571E-2</v>
      </c>
      <c r="AF20" s="222">
        <f>Segments!AP24</f>
        <v>-7.5397524556226059E-2</v>
      </c>
      <c r="AG20" s="577">
        <f>+CHOOSE(Case,AG21,AG22,AG23)</f>
        <v>-0.1</v>
      </c>
      <c r="AH20" s="577">
        <f>+CHOOSE(Case,AH21,AH22,AH23)</f>
        <v>0.03</v>
      </c>
      <c r="AI20" s="577">
        <f>+CHOOSE(Case,AI21,AI22,AI23)</f>
        <v>0.03</v>
      </c>
    </row>
    <row r="21" spans="2:36" ht="11.25" customHeight="1" outlineLevel="1">
      <c r="C21" s="37" t="s">
        <v>5</v>
      </c>
      <c r="Q21" s="45"/>
      <c r="R21" s="45"/>
      <c r="S21" s="45"/>
      <c r="T21" s="223"/>
      <c r="U21" s="224">
        <v>0.04</v>
      </c>
      <c r="V21" s="224">
        <v>0.04</v>
      </c>
      <c r="W21" s="224">
        <v>0.02</v>
      </c>
      <c r="X21" s="224">
        <v>0.02</v>
      </c>
      <c r="Y21" s="45"/>
      <c r="Z21" s="45"/>
      <c r="AA21" s="45"/>
      <c r="AB21" s="45"/>
      <c r="AC21" s="45"/>
      <c r="AD21" s="45"/>
      <c r="AE21" s="45"/>
      <c r="AF21" s="45"/>
      <c r="AG21" s="224">
        <v>0.05</v>
      </c>
      <c r="AH21" s="224">
        <v>7.0000000000000007E-2</v>
      </c>
      <c r="AI21" s="224">
        <v>0.15</v>
      </c>
    </row>
    <row r="22" spans="2:36" ht="11.25" customHeight="1" outlineLevel="1">
      <c r="C22" s="37" t="s">
        <v>6</v>
      </c>
      <c r="Q22" s="45"/>
      <c r="R22" s="45"/>
      <c r="S22" s="45"/>
      <c r="T22" s="224"/>
      <c r="U22" s="224">
        <v>0.15</v>
      </c>
      <c r="V22" s="224">
        <v>-0.1</v>
      </c>
      <c r="W22" s="224">
        <v>-0.1</v>
      </c>
      <c r="X22" s="224">
        <v>-0.2</v>
      </c>
      <c r="Y22" s="45"/>
      <c r="Z22" s="45"/>
      <c r="AA22" s="45"/>
      <c r="AB22" s="45"/>
      <c r="AC22" s="45"/>
      <c r="AD22" s="45"/>
      <c r="AE22" s="45"/>
      <c r="AF22" s="45"/>
      <c r="AG22" s="224">
        <v>-0.1</v>
      </c>
      <c r="AH22" s="224">
        <v>0.03</v>
      </c>
      <c r="AI22" s="224">
        <v>0.03</v>
      </c>
    </row>
    <row r="23" spans="2:36" ht="11.25" customHeight="1" outlineLevel="1">
      <c r="C23" s="37" t="s">
        <v>7</v>
      </c>
      <c r="D23" s="46">
        <v>-0.01</v>
      </c>
      <c r="U23" s="223">
        <f>+U22+$D23</f>
        <v>0.13999999999999999</v>
      </c>
      <c r="V23" s="223">
        <f>+V22+$D23</f>
        <v>-0.11</v>
      </c>
      <c r="W23" s="223">
        <f>+W22+$D23</f>
        <v>-0.11</v>
      </c>
      <c r="X23" s="223">
        <f>+X22+$D23</f>
        <v>-0.21000000000000002</v>
      </c>
      <c r="Y23" s="45"/>
      <c r="Z23" s="45"/>
      <c r="AA23" s="45"/>
      <c r="AB23" s="45"/>
      <c r="AC23" s="45"/>
      <c r="AD23" s="45"/>
      <c r="AE23" s="45"/>
      <c r="AF23" s="45"/>
      <c r="AG23" s="223">
        <f>+AG22+$D23</f>
        <v>-0.11</v>
      </c>
      <c r="AH23" s="223">
        <f>+AH22+$D23</f>
        <v>1.9999999999999997E-2</v>
      </c>
      <c r="AI23" s="223">
        <f>+AI22+$D23</f>
        <v>1.9999999999999997E-2</v>
      </c>
    </row>
    <row r="24" spans="2:36" s="3" customFormat="1" ht="11.25" customHeight="1">
      <c r="B24" s="27"/>
      <c r="C24" s="28"/>
      <c r="D24" s="28"/>
      <c r="E24" s="28"/>
      <c r="F24" s="28"/>
      <c r="G24" s="28"/>
      <c r="H24" s="28"/>
      <c r="I24" s="28"/>
      <c r="J24" s="28"/>
      <c r="K24" s="28"/>
      <c r="L24" s="28"/>
      <c r="M24" s="28"/>
      <c r="N24" s="28"/>
      <c r="O24" s="28"/>
      <c r="P24" s="28"/>
      <c r="Q24" s="28"/>
      <c r="R24" s="28"/>
      <c r="S24" s="28"/>
      <c r="T24" s="28"/>
      <c r="U24" s="28"/>
      <c r="V24" s="28"/>
      <c r="W24" s="28"/>
      <c r="X24" s="28"/>
      <c r="Y24"/>
      <c r="Z24" s="28"/>
      <c r="AA24" s="28"/>
      <c r="AB24" s="28"/>
      <c r="AC24" s="28"/>
      <c r="AD24" s="28"/>
      <c r="AE24" s="28"/>
      <c r="AF24" s="28"/>
      <c r="AG24" s="28"/>
      <c r="AH24" s="28"/>
      <c r="AI24" s="28"/>
      <c r="AJ24"/>
    </row>
    <row r="25" spans="2:36" ht="11.25" customHeight="1">
      <c r="C25" s="36" t="str">
        <f>Segments!$C$21&amp;" Adjacent"</f>
        <v>Data Center Group Adjacent</v>
      </c>
      <c r="M25" s="222">
        <f>Segments!U27</f>
        <v>0.34761904761904772</v>
      </c>
      <c r="N25" s="222">
        <f>Segments!V27</f>
        <v>1.1767441860465118</v>
      </c>
      <c r="O25" s="222">
        <f>Segments!W27</f>
        <v>0.33687943262411357</v>
      </c>
      <c r="P25" s="222">
        <f>Segments!X27</f>
        <v>0.26357827476038342</v>
      </c>
      <c r="Q25" s="222">
        <f>Segments!Y27</f>
        <v>0.33038869257950521</v>
      </c>
      <c r="R25" s="222">
        <f>Segments!Z27</f>
        <v>-0.19658119658119655</v>
      </c>
      <c r="S25" s="222">
        <f>Segments!AA27</f>
        <v>-6.6312997347479641E-3</v>
      </c>
      <c r="T25" s="576">
        <f>Segments!AB27</f>
        <v>9.228824273072056E-2</v>
      </c>
      <c r="U25" s="577">
        <f>+CHOOSE(Case,U26,U27,U28)</f>
        <v>0.15</v>
      </c>
      <c r="V25" s="577">
        <f>+CHOOSE(Case,V26,V27,V28)</f>
        <v>-0.1</v>
      </c>
      <c r="W25" s="577">
        <f>+CHOOSE(Case,W26,W27,W28)</f>
        <v>-0.1</v>
      </c>
      <c r="X25" s="577">
        <f>+CHOOSE(Case,X26,X27,X28)</f>
        <v>-0.2</v>
      </c>
      <c r="Y25" s="45"/>
      <c r="Z25" s="45"/>
      <c r="AA25" s="222">
        <f>Segments!AK27</f>
        <v>0.21178225205070844</v>
      </c>
      <c r="AB25" s="222">
        <f>Segments!AL27</f>
        <v>0.12984615384615394</v>
      </c>
      <c r="AC25" s="222">
        <f>Segments!AM27</f>
        <v>0.11111111111111116</v>
      </c>
      <c r="AD25" s="222">
        <f>Segments!AN27</f>
        <v>0.49362745098039218</v>
      </c>
      <c r="AE25" s="222">
        <f>Segments!AO27</f>
        <v>2.3301608139153274E-2</v>
      </c>
      <c r="AF25" s="222">
        <f>Segments!AP27</f>
        <v>-6.7334830019243008E-2</v>
      </c>
      <c r="AG25" s="577">
        <f>+CHOOSE(Case,AG26,AG27,AG28)</f>
        <v>-0.05</v>
      </c>
      <c r="AH25" s="577">
        <f>+CHOOSE(Case,AH26,AH27,AH28)</f>
        <v>0.05</v>
      </c>
      <c r="AI25" s="577">
        <f>+CHOOSE(Case,AI26,AI27,AI28)</f>
        <v>0.03</v>
      </c>
    </row>
    <row r="26" spans="2:36" ht="11.25" customHeight="1" outlineLevel="1">
      <c r="C26" s="37" t="s">
        <v>5</v>
      </c>
      <c r="Q26" s="45"/>
      <c r="R26" s="45"/>
      <c r="S26" s="45"/>
      <c r="T26" s="225"/>
      <c r="U26" s="224">
        <v>0.06</v>
      </c>
      <c r="V26" s="224">
        <v>0.06</v>
      </c>
      <c r="W26" s="224">
        <v>0.06</v>
      </c>
      <c r="X26" s="224">
        <v>0.06</v>
      </c>
      <c r="Y26" s="45"/>
      <c r="Z26" s="45"/>
      <c r="AA26" s="45"/>
      <c r="AB26" s="45"/>
      <c r="AC26" s="45"/>
      <c r="AD26" s="45"/>
      <c r="AE26" s="45"/>
      <c r="AF26" s="45"/>
      <c r="AG26" s="224">
        <v>7.0000000000000007E-2</v>
      </c>
      <c r="AH26" s="224">
        <v>7.0000000000000007E-2</v>
      </c>
      <c r="AI26" s="224">
        <v>0.15</v>
      </c>
    </row>
    <row r="27" spans="2:36" ht="11.25" customHeight="1" outlineLevel="1">
      <c r="C27" s="37" t="s">
        <v>6</v>
      </c>
      <c r="Q27" s="45"/>
      <c r="R27" s="45"/>
      <c r="S27" s="45"/>
      <c r="T27" s="226"/>
      <c r="U27" s="224">
        <v>0.15</v>
      </c>
      <c r="V27" s="224">
        <v>-0.1</v>
      </c>
      <c r="W27" s="224">
        <v>-0.1</v>
      </c>
      <c r="X27" s="224">
        <v>-0.2</v>
      </c>
      <c r="Y27" s="45"/>
      <c r="Z27" s="45"/>
      <c r="AA27" s="45"/>
      <c r="AB27" s="45"/>
      <c r="AC27" s="45"/>
      <c r="AD27" s="45"/>
      <c r="AE27" s="45"/>
      <c r="AF27" s="45"/>
      <c r="AG27" s="224">
        <v>-0.05</v>
      </c>
      <c r="AH27" s="224">
        <v>0.05</v>
      </c>
      <c r="AI27" s="224">
        <v>0.03</v>
      </c>
    </row>
    <row r="28" spans="2:36" ht="11.25" customHeight="1" outlineLevel="1">
      <c r="C28" s="37" t="s">
        <v>7</v>
      </c>
      <c r="D28" s="46">
        <v>-0.01</v>
      </c>
      <c r="Q28" s="45"/>
      <c r="R28" s="45"/>
      <c r="S28" s="45"/>
      <c r="T28" s="225"/>
      <c r="U28" s="223">
        <f>+U27+$D28</f>
        <v>0.13999999999999999</v>
      </c>
      <c r="V28" s="223">
        <f>+V27+$D28</f>
        <v>-0.11</v>
      </c>
      <c r="W28" s="223">
        <f>+W27+$D28</f>
        <v>-0.11</v>
      </c>
      <c r="X28" s="223">
        <f>+X27+$D28</f>
        <v>-0.21000000000000002</v>
      </c>
      <c r="Y28" s="45"/>
      <c r="Z28" s="45"/>
      <c r="AA28" s="45"/>
      <c r="AB28" s="45"/>
      <c r="AC28" s="45"/>
      <c r="AD28" s="45"/>
      <c r="AE28" s="45"/>
      <c r="AF28" s="45"/>
      <c r="AG28" s="223">
        <f>+AG27+$D28</f>
        <v>-6.0000000000000005E-2</v>
      </c>
      <c r="AH28" s="223">
        <f>+AH27+$D28</f>
        <v>0.04</v>
      </c>
      <c r="AI28" s="223">
        <f>+AI27+$D28</f>
        <v>1.9999999999999997E-2</v>
      </c>
    </row>
    <row r="29" spans="2:36" s="3" customFormat="1" ht="11.25" customHeight="1">
      <c r="B29" s="27"/>
      <c r="C29" s="28"/>
      <c r="D29" s="28"/>
      <c r="E29" s="28"/>
      <c r="F29" s="28"/>
      <c r="G29" s="28"/>
      <c r="H29" s="28"/>
      <c r="I29" s="28"/>
      <c r="J29" s="28"/>
      <c r="K29" s="28"/>
      <c r="L29" s="28"/>
      <c r="M29" s="28"/>
      <c r="N29" s="28"/>
      <c r="O29" s="28"/>
      <c r="P29" s="28"/>
      <c r="Q29" s="28"/>
      <c r="R29" s="28"/>
      <c r="S29" s="28"/>
      <c r="T29" s="28"/>
      <c r="U29" s="28"/>
      <c r="V29" s="28"/>
      <c r="W29" s="28"/>
      <c r="X29" s="28"/>
      <c r="Y29"/>
      <c r="Z29" s="28"/>
      <c r="AA29" s="28"/>
      <c r="AB29" s="28"/>
      <c r="AC29" s="28"/>
      <c r="AD29" s="28"/>
      <c r="AE29" s="28"/>
      <c r="AF29" s="28"/>
      <c r="AG29" s="28"/>
      <c r="AH29" s="28"/>
      <c r="AI29" s="28"/>
      <c r="AJ29"/>
    </row>
    <row r="30" spans="2:36" ht="11.25" customHeight="1">
      <c r="C30" s="36" t="s">
        <v>8</v>
      </c>
      <c r="M30" s="222">
        <f>Financials!U136</f>
        <v>0.64496691235809978</v>
      </c>
      <c r="N30" s="222">
        <f>Financials!V136</f>
        <v>0.56329740431148267</v>
      </c>
      <c r="O30" s="222">
        <f>Financials!W136</f>
        <v>0.56457778292598171</v>
      </c>
      <c r="P30" s="222">
        <f>Financials!X136</f>
        <v>0.60011663044054497</v>
      </c>
      <c r="Q30" s="222">
        <f>Financials!Y136</f>
        <v>0.58434773241409033</v>
      </c>
      <c r="R30" s="222">
        <f>Financials!Z136</f>
        <v>0.5922408676415043</v>
      </c>
      <c r="S30" s="222">
        <f>Financials!AA136</f>
        <v>0.57787361088074307</v>
      </c>
      <c r="T30" s="576">
        <f>Financials!AB136</f>
        <v>0.55426991603522424</v>
      </c>
      <c r="U30" s="577">
        <f>+CHOOSE(Case,U31,U32,U33)</f>
        <v>0.51</v>
      </c>
      <c r="V30" s="577">
        <f>+CHOOSE(Case,V31,V32,V33)</f>
        <v>0.46</v>
      </c>
      <c r="W30" s="577">
        <f>+CHOOSE(Case,W31,W32,W33)</f>
        <v>0.45</v>
      </c>
      <c r="X30" s="577">
        <f>+CHOOSE(Case,X31,X32,X33)</f>
        <v>0.42</v>
      </c>
      <c r="Y30" s="45"/>
      <c r="Z30" s="45"/>
      <c r="AA30" s="576">
        <f>Financials!AK136</f>
        <v>0.63837414955147309</v>
      </c>
      <c r="AB30" s="576">
        <f>Financials!AL136</f>
        <v>0.63293247515808493</v>
      </c>
      <c r="AC30" s="576">
        <f>Financials!AM136</f>
        <v>0.60118112971583404</v>
      </c>
      <c r="AD30" s="576">
        <f>Financials!AN136</f>
        <v>0.5939506172839506</v>
      </c>
      <c r="AE30" s="576">
        <f>Financials!AO136</f>
        <v>0.5768757193715035</v>
      </c>
      <c r="AF30" s="576">
        <f>Financials!AP136</f>
        <v>0.46137507405399403</v>
      </c>
      <c r="AG30" s="577">
        <f>+CHOOSE(Case,AG31,AG32,AG33)</f>
        <v>0.47</v>
      </c>
      <c r="AH30" s="577">
        <f>+CHOOSE(Case,AH31,AH32,AH33)</f>
        <v>0.49</v>
      </c>
      <c r="AI30" s="577">
        <f>+CHOOSE(Case,AI31,AI32,AI33)</f>
        <v>0.5</v>
      </c>
    </row>
    <row r="31" spans="2:36" ht="11.25" customHeight="1" outlineLevel="1">
      <c r="C31" s="37" t="s">
        <v>5</v>
      </c>
      <c r="Q31" s="45"/>
      <c r="R31" s="45"/>
      <c r="S31" s="45"/>
      <c r="T31" s="225"/>
      <c r="U31" s="224">
        <v>0.53</v>
      </c>
      <c r="V31" s="224">
        <v>0.52</v>
      </c>
      <c r="W31" s="224">
        <v>0.52</v>
      </c>
      <c r="X31" s="224">
        <v>0.52</v>
      </c>
      <c r="Y31" s="45"/>
      <c r="Z31" s="45"/>
      <c r="AA31" s="45"/>
      <c r="AB31" s="45"/>
      <c r="AC31" s="45"/>
      <c r="AD31" s="45"/>
      <c r="AE31" s="45"/>
      <c r="AF31" s="45"/>
      <c r="AG31" s="224">
        <v>0.52500000000000002</v>
      </c>
      <c r="AH31" s="224">
        <v>0.53</v>
      </c>
      <c r="AI31" s="224">
        <v>0.55000000000000004</v>
      </c>
    </row>
    <row r="32" spans="2:36" ht="11.25" customHeight="1" outlineLevel="1">
      <c r="C32" s="37" t="s">
        <v>6</v>
      </c>
      <c r="Q32" s="45"/>
      <c r="R32" s="45"/>
      <c r="S32" s="45"/>
      <c r="T32" s="226"/>
      <c r="U32" s="224">
        <v>0.51</v>
      </c>
      <c r="V32" s="224">
        <v>0.46</v>
      </c>
      <c r="W32" s="224">
        <v>0.45</v>
      </c>
      <c r="X32" s="224">
        <v>0.42</v>
      </c>
      <c r="Y32" s="45"/>
      <c r="Z32" s="45"/>
      <c r="AA32" s="45"/>
      <c r="AB32" s="45"/>
      <c r="AC32" s="45"/>
      <c r="AD32" s="45"/>
      <c r="AE32" s="45"/>
      <c r="AF32" s="45"/>
      <c r="AG32" s="224">
        <v>0.47</v>
      </c>
      <c r="AH32" s="224">
        <v>0.49</v>
      </c>
      <c r="AI32" s="224">
        <v>0.5</v>
      </c>
    </row>
    <row r="33" spans="2:36" ht="11.25" customHeight="1" outlineLevel="1">
      <c r="C33" s="37" t="s">
        <v>7</v>
      </c>
      <c r="D33" s="46">
        <v>-0.01</v>
      </c>
      <c r="Q33" s="45"/>
      <c r="R33" s="45"/>
      <c r="S33" s="45"/>
      <c r="T33" s="225"/>
      <c r="U33" s="223">
        <f>+U32+$D33</f>
        <v>0.5</v>
      </c>
      <c r="V33" s="223">
        <f>+V32+$D33</f>
        <v>0.45</v>
      </c>
      <c r="W33" s="223">
        <f>+W32+$D33</f>
        <v>0.44</v>
      </c>
      <c r="X33" s="223">
        <f>+X32+$D33</f>
        <v>0.41</v>
      </c>
      <c r="Y33" s="45"/>
      <c r="Z33" s="45"/>
      <c r="AA33" s="45"/>
      <c r="AB33" s="45"/>
      <c r="AC33" s="45"/>
      <c r="AD33" s="45"/>
      <c r="AE33" s="45"/>
      <c r="AF33" s="45"/>
      <c r="AG33" s="223">
        <f>+AG32+$D33</f>
        <v>0.45999999999999996</v>
      </c>
      <c r="AH33" s="223">
        <f>+AH32+$D33</f>
        <v>0.48</v>
      </c>
      <c r="AI33" s="223">
        <f>+AI32+$D33</f>
        <v>0.49</v>
      </c>
    </row>
    <row r="34" spans="2:36" s="3" customFormat="1" ht="11.25" customHeight="1">
      <c r="B34" s="27"/>
      <c r="C34" s="28"/>
      <c r="D34" s="28"/>
      <c r="E34" s="28"/>
      <c r="F34" s="28"/>
      <c r="G34" s="28"/>
      <c r="H34" s="28"/>
      <c r="I34" s="28"/>
      <c r="J34" s="28"/>
      <c r="K34" s="28"/>
      <c r="L34" s="28"/>
      <c r="M34" s="28"/>
      <c r="N34" s="28"/>
      <c r="O34" s="28"/>
      <c r="P34" s="28"/>
      <c r="Q34" s="28"/>
      <c r="R34" s="28"/>
      <c r="S34" s="28"/>
      <c r="T34" s="28"/>
      <c r="U34" s="28"/>
      <c r="V34" s="28"/>
      <c r="W34" s="28"/>
      <c r="X34" s="28"/>
      <c r="Y34"/>
      <c r="Z34" s="28"/>
      <c r="AA34" s="28"/>
      <c r="AB34" s="28"/>
      <c r="AC34" s="28"/>
      <c r="AD34" s="28"/>
      <c r="AE34" s="28"/>
      <c r="AF34" s="28"/>
      <c r="AG34" s="28"/>
      <c r="AH34" s="28"/>
      <c r="AI34" s="28"/>
      <c r="AJ34"/>
    </row>
    <row r="41" spans="2:36" ht="11.25" customHeight="1">
      <c r="B41" t="s">
        <v>9</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58FD-5376-487D-8131-052BD26163BD}">
  <sheetPr>
    <tabColor theme="5" tint="0.79998168889431442"/>
  </sheetPr>
  <dimension ref="B2:AP284"/>
  <sheetViews>
    <sheetView showGridLines="0" topLeftCell="A22" zoomScale="80" zoomScaleNormal="80" workbookViewId="0">
      <selection activeCell="L37" sqref="L37"/>
    </sheetView>
  </sheetViews>
  <sheetFormatPr defaultColWidth="11.6328125" defaultRowHeight="12.75" outlineLevelRow="1" outlineLevelCol="1"/>
  <cols>
    <col min="1" max="1" width="3.453125" style="876" customWidth="1"/>
    <col min="2" max="2" width="39.36328125" style="876" hidden="1" customWidth="1" outlineLevel="1"/>
    <col min="3" max="3" width="39.36328125" style="876" customWidth="1" collapsed="1"/>
    <col min="4" max="4" width="20.6328125" style="876" bestFit="1" customWidth="1"/>
    <col min="5" max="5" width="19.81640625" style="876" customWidth="1"/>
    <col min="6" max="6" width="18.1796875" style="876" customWidth="1"/>
    <col min="7" max="7" width="3.453125" style="876" customWidth="1"/>
    <col min="8" max="18" width="31" style="876" customWidth="1"/>
    <col min="19" max="25" width="11.6328125" style="876"/>
    <col min="26" max="26" width="31.36328125" style="876" bestFit="1" customWidth="1"/>
    <col min="27" max="27" width="15.36328125" style="876" bestFit="1" customWidth="1"/>
    <col min="28" max="28" width="24.453125" style="876" bestFit="1" customWidth="1"/>
    <col min="29" max="29" width="15.36328125" style="876" bestFit="1" customWidth="1"/>
    <col min="30" max="30" width="21.36328125" style="876" bestFit="1" customWidth="1"/>
    <col min="31" max="31" width="13" style="876" bestFit="1" customWidth="1"/>
    <col min="32" max="32" width="6.81640625" style="876" bestFit="1" customWidth="1"/>
    <col min="33" max="33" width="13" style="876" bestFit="1" customWidth="1"/>
    <col min="34" max="34" width="11.6328125" style="876" bestFit="1" customWidth="1"/>
    <col min="35" max="16384" width="11.6328125" style="876"/>
  </cols>
  <sheetData>
    <row r="2" spans="3:16" s="906" customFormat="1" ht="13.15" outlineLevel="1">
      <c r="C2" s="905" t="s">
        <v>970</v>
      </c>
      <c r="D2" s="905"/>
      <c r="J2" s="907"/>
      <c r="K2" s="907"/>
    </row>
    <row r="3" spans="3:16" outlineLevel="1">
      <c r="J3" s="908" t="s">
        <v>971</v>
      </c>
      <c r="K3" s="909" t="e">
        <f>'Peers Stock History'!StartDate</f>
        <v>#NAME?</v>
      </c>
    </row>
    <row r="4" spans="3:16" ht="13.15" outlineLevel="1">
      <c r="C4" s="876" t="s">
        <v>972</v>
      </c>
      <c r="D4" s="876" t="s">
        <v>973</v>
      </c>
      <c r="J4" s="908" t="s">
        <v>974</v>
      </c>
      <c r="K4" s="909">
        <v>44607</v>
      </c>
      <c r="M4" s="910">
        <v>0</v>
      </c>
      <c r="N4" s="910" t="s">
        <v>632</v>
      </c>
    </row>
    <row r="5" spans="3:16" outlineLevel="1">
      <c r="J5" s="901"/>
      <c r="K5" s="901"/>
    </row>
    <row r="6" spans="3:16" outlineLevel="1">
      <c r="C6" s="876" t="s">
        <v>975</v>
      </c>
      <c r="D6" s="876" t="s">
        <v>976</v>
      </c>
      <c r="J6" s="901"/>
      <c r="K6" s="901"/>
    </row>
    <row r="7" spans="3:16" outlineLevel="1">
      <c r="D7" s="876" t="s">
        <v>977</v>
      </c>
      <c r="J7" s="901"/>
      <c r="K7" s="901"/>
    </row>
    <row r="8" spans="3:16" ht="13.15" outlineLevel="1">
      <c r="D8" s="876" t="s">
        <v>978</v>
      </c>
      <c r="J8" s="901"/>
      <c r="K8" s="901"/>
    </row>
    <row r="9" spans="3:16" outlineLevel="1">
      <c r="J9" s="901"/>
      <c r="K9" s="901"/>
    </row>
    <row r="10" spans="3:16" s="906" customFormat="1" ht="13.15">
      <c r="C10" s="905" t="s">
        <v>979</v>
      </c>
      <c r="D10" s="905"/>
      <c r="J10" s="907"/>
      <c r="K10" s="907"/>
    </row>
    <row r="11" spans="3:16">
      <c r="H11" s="911" t="e">
        <f>H62</f>
        <v>#NAME?</v>
      </c>
      <c r="I11" s="912"/>
      <c r="J11" s="911" t="e">
        <f>J62</f>
        <v>#NAME?</v>
      </c>
    </row>
    <row r="14" spans="3:16" ht="13.15">
      <c r="C14" s="877" t="s">
        <v>980</v>
      </c>
      <c r="D14" s="913" t="e">
        <f>D25</f>
        <v>#NAME?</v>
      </c>
      <c r="E14" s="913">
        <f>E25</f>
        <v>44607</v>
      </c>
      <c r="H14" s="877" t="s">
        <v>981</v>
      </c>
      <c r="I14" s="914" t="s">
        <v>19</v>
      </c>
      <c r="J14" s="915" t="s">
        <v>964</v>
      </c>
      <c r="K14" s="915" t="s">
        <v>965</v>
      </c>
      <c r="L14" s="915" t="s">
        <v>966</v>
      </c>
      <c r="M14" s="915" t="s">
        <v>967</v>
      </c>
      <c r="N14" s="915" t="s">
        <v>968</v>
      </c>
      <c r="O14" s="914" t="s">
        <v>969</v>
      </c>
      <c r="P14" s="916"/>
    </row>
    <row r="15" spans="3:16">
      <c r="H15" s="876" t="s">
        <v>982</v>
      </c>
      <c r="I15" s="917" t="e">
        <f>E54</f>
        <v>#NAME?</v>
      </c>
      <c r="J15" s="875" t="e">
        <f>J26</f>
        <v>#NAME?</v>
      </c>
      <c r="K15" s="875" t="e">
        <f>J29</f>
        <v>#NAME?</v>
      </c>
      <c r="L15" s="875" t="e">
        <f>J49</f>
        <v>#NAME?</v>
      </c>
      <c r="M15" s="875" t="e">
        <f>J55</f>
        <v>#NAME?</v>
      </c>
      <c r="N15" s="875" t="e">
        <f>J32</f>
        <v>#NAME?</v>
      </c>
      <c r="O15" s="917" t="e">
        <f>J51</f>
        <v>#NAME?</v>
      </c>
    </row>
    <row r="16" spans="3:16">
      <c r="I16" s="918"/>
      <c r="J16" s="919"/>
      <c r="K16" s="920"/>
      <c r="L16" s="920"/>
      <c r="M16" s="919"/>
      <c r="N16" s="920"/>
      <c r="O16" s="921"/>
    </row>
    <row r="17" spans="2:42" ht="13.15">
      <c r="H17" s="877" t="s">
        <v>983</v>
      </c>
      <c r="I17" s="922" t="s">
        <v>984</v>
      </c>
      <c r="J17" s="915" t="s">
        <v>964</v>
      </c>
      <c r="K17" s="915" t="s">
        <v>965</v>
      </c>
      <c r="L17" s="915" t="s">
        <v>966</v>
      </c>
      <c r="M17" s="915" t="s">
        <v>967</v>
      </c>
      <c r="N17" s="915" t="s">
        <v>968</v>
      </c>
      <c r="O17" s="914" t="s">
        <v>969</v>
      </c>
      <c r="P17" s="915" t="s">
        <v>985</v>
      </c>
    </row>
    <row r="18" spans="2:42">
      <c r="H18" s="876" t="s">
        <v>986</v>
      </c>
      <c r="I18" s="923" t="e">
        <f>D31</f>
        <v>#NAME?</v>
      </c>
      <c r="J18" s="924" t="e">
        <f>$I18*(1+J15)^$F$25-$I18</f>
        <v>#NAME?</v>
      </c>
      <c r="K18" s="924" t="e">
        <f>$I18*(1+K15)^$F$25-$I18</f>
        <v>#NAME?</v>
      </c>
      <c r="L18" s="924" t="e">
        <f>$I18*(1+L15)^$F$25-$I18</f>
        <v>#NAME?</v>
      </c>
      <c r="M18" s="924" t="e">
        <f>$I18*(1+M15)^$F$25-$I18</f>
        <v>#NAME?</v>
      </c>
      <c r="N18" s="924" t="e">
        <f>$I18*(1+N15)^$F$25-$I18</f>
        <v>#NAME?</v>
      </c>
      <c r="O18" s="923" t="e">
        <f>P18-SUM(I18:N18)</f>
        <v>#NAME?</v>
      </c>
      <c r="P18" s="924" t="e">
        <f>E31+M18</f>
        <v>#NAME?</v>
      </c>
    </row>
    <row r="19" spans="2:42">
      <c r="M19" s="925"/>
    </row>
    <row r="20" spans="2:42" s="906" customFormat="1" ht="13.15">
      <c r="C20" s="905" t="s">
        <v>987</v>
      </c>
      <c r="D20" s="905"/>
      <c r="J20" s="907"/>
      <c r="K20" s="907"/>
    </row>
    <row r="21" spans="2:42" ht="13.15" thickBot="1"/>
    <row r="22" spans="2:42" ht="13.15">
      <c r="C22" s="876" t="s">
        <v>988</v>
      </c>
      <c r="D22" s="876" t="s">
        <v>501</v>
      </c>
      <c r="H22" s="926"/>
      <c r="I22" s="927" t="s">
        <v>989</v>
      </c>
      <c r="J22" s="926"/>
      <c r="L22" s="928" t="s">
        <v>990</v>
      </c>
    </row>
    <row r="23" spans="2:42">
      <c r="C23" s="929"/>
      <c r="D23" s="901"/>
      <c r="H23" s="930" t="s">
        <v>991</v>
      </c>
      <c r="I23" s="930" t="s">
        <v>992</v>
      </c>
      <c r="J23" s="930" t="s">
        <v>993</v>
      </c>
      <c r="L23" s="931" t="s">
        <v>994</v>
      </c>
      <c r="R23" s="930"/>
    </row>
    <row r="24" spans="2:42" ht="13.15">
      <c r="D24" s="932" t="s">
        <v>995</v>
      </c>
      <c r="E24" s="932" t="s">
        <v>946</v>
      </c>
      <c r="F24" s="933" t="s">
        <v>996</v>
      </c>
      <c r="G24" s="934"/>
      <c r="H24" s="930" t="s">
        <v>997</v>
      </c>
      <c r="I24" s="930" t="s">
        <v>998</v>
      </c>
      <c r="J24" s="930" t="s">
        <v>997</v>
      </c>
      <c r="L24" s="935" t="s">
        <v>999</v>
      </c>
      <c r="R24" s="930"/>
    </row>
    <row r="25" spans="2:42" ht="13.5" thickBot="1">
      <c r="D25" s="936" t="e">
        <f>K3</f>
        <v>#NAME?</v>
      </c>
      <c r="E25" s="936">
        <f>K4</f>
        <v>44607</v>
      </c>
      <c r="F25" s="937" t="e">
        <f>YEARFRAC($D$25,$E$25)</f>
        <v>#NAME?</v>
      </c>
      <c r="G25" s="938"/>
      <c r="H25" s="939" t="e">
        <f>"CAGR: "&amp;TEXT(D25,"mmm yyyy")&amp;" - "&amp;TEXT(E25,"mmm yyyy")</f>
        <v>#NAME?</v>
      </c>
      <c r="I25" s="939" t="s">
        <v>1000</v>
      </c>
      <c r="J25" s="939" t="e">
        <f>TEXT(D25,"mmm yyyy")&amp;" - "&amp;TEXT(E25,"mmm yyyy")</f>
        <v>#NAME?</v>
      </c>
      <c r="L25" s="940" t="s">
        <v>1001</v>
      </c>
      <c r="R25" s="930"/>
    </row>
    <row r="26" spans="2:42">
      <c r="B26" s="941" t="s">
        <v>1002</v>
      </c>
      <c r="C26" s="876" t="s">
        <v>14</v>
      </c>
      <c r="D26" s="942" t="e" cm="1">
        <f t="array" ref="D26">IF(TSRSwitch=1,_xll.TR($D$22,$B26,"Sdate=#1 Period=#2 NULL=BLANK Scale=6",,D$25,$N$4),D26)</f>
        <v>#NAME?</v>
      </c>
      <c r="E26" s="942" t="e" cm="1">
        <f t="array" ref="E26">IF(TSRSwitch=1,_xll.TR($D$22,$B26,"Sdate=#1 Period=#2 NULL=BLANK Scale=6",,E$25,$N$4),E26)</f>
        <v>#NAME?</v>
      </c>
      <c r="H26" s="943" t="e">
        <f>IF(AND(D26&gt;0,E26&gt;0,ISNUMBER(D26),ISNUMBER(E26)),(E26/D26)^(1/$F$25)-1,"-")</f>
        <v>#NAME?</v>
      </c>
      <c r="I26" s="943"/>
      <c r="J26" s="943" t="e">
        <f>H26</f>
        <v>#NAME?</v>
      </c>
      <c r="L26" s="944"/>
      <c r="M26" s="944"/>
      <c r="N26" s="945"/>
    </row>
    <row r="27" spans="2:42">
      <c r="B27" s="941" t="s">
        <v>1003</v>
      </c>
      <c r="C27" s="876" t="s">
        <v>1004</v>
      </c>
      <c r="D27" s="942" t="e" cm="1">
        <f t="array" ref="D27">IF(TSRSwitch=1,_xll.TR($D$22,$B27,"Sdate=#1 Period=#2 NULL=BLANK Scale=6",,D$25,$N$4),D27)</f>
        <v>#NAME?</v>
      </c>
      <c r="E27" s="942" t="e" cm="1">
        <f t="array" ref="E27">IF(TSRSwitch=1,_xll.TR($D$22,$B27,"Sdate=#1 Period=#2 NULL=BLANK Scale=6",,E$25,$N$4),E27)</f>
        <v>#NAME?</v>
      </c>
      <c r="H27" s="943"/>
      <c r="I27" s="946"/>
      <c r="J27" s="946"/>
      <c r="L27" s="876" t="s">
        <v>967</v>
      </c>
      <c r="M27" s="947">
        <f>AA59</f>
        <v>11.072500000000002</v>
      </c>
      <c r="N27" s="948"/>
      <c r="P27" s="945"/>
    </row>
    <row r="28" spans="2:42">
      <c r="D28" s="949"/>
      <c r="E28" s="949"/>
      <c r="H28" s="946"/>
      <c r="I28" s="946"/>
      <c r="J28" s="946"/>
      <c r="M28" s="944"/>
    </row>
    <row r="29" spans="2:42">
      <c r="C29" s="876" t="s">
        <v>1005</v>
      </c>
      <c r="D29" s="950" t="e">
        <f>D27/D26</f>
        <v>#NAME?</v>
      </c>
      <c r="E29" s="950" t="e">
        <f>E27/E26</f>
        <v>#NAME?</v>
      </c>
      <c r="H29" s="943" t="e">
        <f>IF(AND(D29&gt;0,E29&gt;0,ISNUMBER(D29),ISNUMBER(E29)),(E29/D29)^(1/$F$25)-1,"-")</f>
        <v>#NAME?</v>
      </c>
      <c r="I29" s="943" t="e">
        <f>((E27/D27)^(1/$F$25)-1)-H29-H26</f>
        <v>#NAME?</v>
      </c>
      <c r="J29" s="943" t="e">
        <f>H29+I29</f>
        <v>#NAME?</v>
      </c>
      <c r="K29" s="899"/>
      <c r="L29" s="944"/>
      <c r="M29" s="944"/>
      <c r="N29" s="951"/>
    </row>
    <row r="30" spans="2:42">
      <c r="D30" s="952"/>
      <c r="E30" s="952"/>
      <c r="F30" s="953"/>
      <c r="H30" s="946"/>
      <c r="I30" s="946"/>
      <c r="J30" s="946"/>
      <c r="M30" s="944"/>
      <c r="N30" s="951"/>
    </row>
    <row r="31" spans="2:42" ht="14.25">
      <c r="B31" s="876" t="s">
        <v>1006</v>
      </c>
      <c r="C31" s="876" t="s">
        <v>1007</v>
      </c>
      <c r="D31" s="954" t="e" cm="1">
        <f t="array" ref="D31">IF(TSRSwitch=1,_xll.TR($D$22,$B31,"Sdate=#1 Period=#2 NULL=BLANK",,D$25,$N$4),D31)</f>
        <v>#NAME?</v>
      </c>
      <c r="E31" s="954" t="e" cm="1">
        <f t="array" ref="E31">IF(TSRSwitch=1,_xll.TR($D$22,$B31,"Sdate=#1 Period=#2 NULL=BLANK",,E$25,$N$4),E31)</f>
        <v>#NAME?</v>
      </c>
      <c r="F31" s="943"/>
      <c r="G31" s="955"/>
      <c r="H31" s="946"/>
      <c r="I31" s="946"/>
      <c r="J31" s="946"/>
      <c r="K31" s="956" t="s">
        <v>1008</v>
      </c>
      <c r="M31" s="944"/>
      <c r="Z31" s="957" t="s">
        <v>1009</v>
      </c>
      <c r="AA31" s="958" t="s">
        <v>1010</v>
      </c>
      <c r="AB31" s="958" t="s">
        <v>1011</v>
      </c>
      <c r="AC31" s="959"/>
      <c r="AD31" s="959"/>
      <c r="AE31" s="959"/>
      <c r="AF31" s="959"/>
      <c r="AG31" s="959"/>
      <c r="AH31" s="959" t="s">
        <v>1012</v>
      </c>
      <c r="AI31" s="959">
        <v>0</v>
      </c>
      <c r="AJ31" s="959"/>
      <c r="AK31" s="959"/>
      <c r="AL31" s="959" t="s">
        <v>1013</v>
      </c>
      <c r="AM31" s="959" t="s">
        <v>1014</v>
      </c>
      <c r="AN31" s="959" t="s">
        <v>1015</v>
      </c>
      <c r="AO31" s="959"/>
      <c r="AP31" s="959"/>
    </row>
    <row r="32" spans="2:42" ht="14.25">
      <c r="C32" s="876" t="s">
        <v>1016</v>
      </c>
      <c r="D32" s="960" t="e">
        <f>D35/D31</f>
        <v>#NAME?</v>
      </c>
      <c r="E32" s="960" t="e">
        <f>E35/E31</f>
        <v>#NAME?</v>
      </c>
      <c r="G32" s="955"/>
      <c r="H32" s="943" t="e">
        <f>IF(AND(D32&gt;0,E32&gt;0,ISNUMBER(D32),ISNUMBER(E32)),(D32/E32)^(1/$F$25)-1,"-")</f>
        <v>#NAME?</v>
      </c>
      <c r="I32" s="943"/>
      <c r="J32" s="943" t="e">
        <f>H32</f>
        <v>#NAME?</v>
      </c>
      <c r="L32" s="961"/>
      <c r="M32" s="944"/>
      <c r="Z32" s="957" t="s">
        <v>1017</v>
      </c>
      <c r="AA32" s="958" t="s">
        <v>1018</v>
      </c>
      <c r="AB32" s="958" t="s">
        <v>1019</v>
      </c>
      <c r="AC32" s="959"/>
      <c r="AD32" s="959"/>
      <c r="AE32" s="959"/>
      <c r="AF32" s="959"/>
      <c r="AG32" s="959"/>
      <c r="AH32" s="959" t="s">
        <v>1020</v>
      </c>
      <c r="AI32" s="959">
        <v>1</v>
      </c>
      <c r="AJ32" s="959"/>
      <c r="AK32" s="959"/>
      <c r="AL32" s="959" t="s">
        <v>1021</v>
      </c>
      <c r="AM32" s="959" t="s">
        <v>1022</v>
      </c>
      <c r="AN32" s="959" t="s">
        <v>1023</v>
      </c>
      <c r="AO32" s="959"/>
      <c r="AP32" s="959"/>
    </row>
    <row r="33" spans="2:42" ht="14.25">
      <c r="D33" s="942"/>
      <c r="E33" s="942"/>
      <c r="G33" s="955"/>
      <c r="H33" s="943"/>
      <c r="I33" s="943"/>
      <c r="J33" s="943"/>
      <c r="L33" s="961"/>
      <c r="M33" s="944"/>
      <c r="Z33" s="957"/>
      <c r="AA33" s="958"/>
      <c r="AB33" s="958"/>
      <c r="AC33" s="959"/>
      <c r="AD33" s="959"/>
      <c r="AE33" s="959"/>
      <c r="AF33" s="959"/>
      <c r="AG33" s="959"/>
      <c r="AH33" s="959"/>
      <c r="AI33" s="959"/>
      <c r="AJ33" s="959"/>
      <c r="AK33" s="959"/>
      <c r="AL33" s="959"/>
      <c r="AM33" s="959"/>
      <c r="AN33" s="959"/>
      <c r="AO33" s="959"/>
      <c r="AP33" s="959"/>
    </row>
    <row r="34" spans="2:42" ht="14.25">
      <c r="C34" s="876" t="s">
        <v>1024</v>
      </c>
      <c r="D34" s="949" t="e">
        <f>D35</f>
        <v>#NAME?</v>
      </c>
      <c r="E34" s="949" t="e">
        <f>E35</f>
        <v>#NAME?</v>
      </c>
      <c r="G34" s="955"/>
      <c r="H34" s="946"/>
      <c r="I34" s="946"/>
      <c r="J34" s="946"/>
      <c r="L34" s="955"/>
      <c r="M34" s="945"/>
      <c r="Z34" s="957" t="s">
        <v>1025</v>
      </c>
      <c r="AA34" s="958" t="s">
        <v>1026</v>
      </c>
      <c r="AB34" s="958" t="s">
        <v>1027</v>
      </c>
      <c r="AC34" s="959"/>
      <c r="AD34" s="959"/>
      <c r="AE34" s="959"/>
      <c r="AF34" s="959"/>
      <c r="AG34" s="959"/>
      <c r="AH34" s="959" t="s">
        <v>1028</v>
      </c>
      <c r="AI34" s="959">
        <v>2</v>
      </c>
      <c r="AJ34" s="959"/>
      <c r="AK34" s="959"/>
      <c r="AL34" s="959" t="s">
        <v>1029</v>
      </c>
      <c r="AM34" s="959" t="s">
        <v>1030</v>
      </c>
      <c r="AN34" s="959" t="s">
        <v>1031</v>
      </c>
      <c r="AO34" s="959"/>
      <c r="AP34" s="959"/>
    </row>
    <row r="35" spans="2:42" ht="14.25">
      <c r="B35" s="941" t="s">
        <v>1032</v>
      </c>
      <c r="D35" s="942" t="e" cm="1">
        <f t="array" ref="D35">IF(TSRSwitch=1,_xll.TR($D$22,$B35,"Sdate=#1 Period=#2 NULL=BLANK Scale=6",,D$25,$N$4),D35)</f>
        <v>#NAME?</v>
      </c>
      <c r="E35" s="942" t="e" cm="1">
        <f t="array" ref="E35">IF(TSRSwitch=1,_xll.TR($D$22,$B35,"Sdate=#1 Period=#2 NULL=BLANK Scale=6",,E$25,$N$4),E35)</f>
        <v>#NAME?</v>
      </c>
      <c r="G35" s="955"/>
      <c r="H35" s="946"/>
      <c r="I35" s="946"/>
      <c r="J35" s="946"/>
      <c r="L35" s="955"/>
      <c r="M35" s="945"/>
      <c r="Z35" s="957" t="s">
        <v>1033</v>
      </c>
      <c r="AA35" s="958" t="s">
        <v>1034</v>
      </c>
      <c r="AB35" s="958" t="s">
        <v>1035</v>
      </c>
      <c r="AC35" s="959"/>
      <c r="AD35" s="959"/>
      <c r="AE35" s="959"/>
      <c r="AF35" s="959"/>
      <c r="AG35" s="959"/>
      <c r="AH35" s="959" t="s">
        <v>1036</v>
      </c>
      <c r="AI35" s="959">
        <v>3</v>
      </c>
      <c r="AJ35" s="959"/>
      <c r="AK35" s="959"/>
      <c r="AL35" s="959" t="s">
        <v>1037</v>
      </c>
      <c r="AM35" s="959" t="s">
        <v>1038</v>
      </c>
      <c r="AN35" s="959" t="s">
        <v>1039</v>
      </c>
      <c r="AO35" s="959"/>
      <c r="AP35" s="959"/>
    </row>
    <row r="36" spans="2:42" ht="14.25">
      <c r="D36" s="949"/>
      <c r="E36" s="949"/>
      <c r="G36" s="955"/>
      <c r="H36" s="946"/>
      <c r="I36" s="946"/>
      <c r="J36" s="946"/>
      <c r="L36" s="955"/>
      <c r="M36" s="945"/>
      <c r="Z36" s="957"/>
      <c r="AA36" s="958"/>
      <c r="AB36" s="958"/>
      <c r="AC36" s="959"/>
      <c r="AD36" s="959"/>
      <c r="AE36" s="959"/>
      <c r="AF36" s="959"/>
      <c r="AG36" s="959"/>
      <c r="AH36" s="959"/>
      <c r="AI36" s="959"/>
      <c r="AJ36" s="959"/>
      <c r="AK36" s="959"/>
      <c r="AL36" s="959" t="s">
        <v>1040</v>
      </c>
      <c r="AM36" s="959" t="s">
        <v>1041</v>
      </c>
      <c r="AN36" s="959" t="s">
        <v>1042</v>
      </c>
      <c r="AO36" s="959"/>
      <c r="AP36" s="959"/>
    </row>
    <row r="37" spans="2:42" ht="14.25">
      <c r="D37" s="949"/>
      <c r="E37" s="949"/>
      <c r="G37" s="955"/>
      <c r="H37" s="946"/>
      <c r="I37" s="946"/>
      <c r="J37" s="946"/>
      <c r="L37" s="955"/>
      <c r="M37" s="945"/>
      <c r="Z37" s="959"/>
      <c r="AA37" s="959"/>
      <c r="AB37" s="959"/>
      <c r="AC37" s="959"/>
      <c r="AD37" s="959"/>
      <c r="AE37" s="959"/>
      <c r="AF37" s="959"/>
      <c r="AG37" s="959"/>
      <c r="AH37" s="959" t="s">
        <v>1043</v>
      </c>
      <c r="AI37" s="959">
        <v>4</v>
      </c>
      <c r="AJ37" s="959"/>
      <c r="AK37" s="959"/>
      <c r="AL37" s="959"/>
      <c r="AM37" s="959"/>
      <c r="AN37" s="959"/>
      <c r="AO37" s="959"/>
      <c r="AP37" s="959"/>
    </row>
    <row r="38" spans="2:42" ht="14.25">
      <c r="C38" s="962" t="s">
        <v>1044</v>
      </c>
      <c r="D38" s="898" t="e">
        <f>D43+D40</f>
        <v>#NAME?</v>
      </c>
      <c r="E38" s="898" t="e">
        <f>E43+E40</f>
        <v>#NAME?</v>
      </c>
      <c r="G38" s="955"/>
      <c r="H38" s="946"/>
      <c r="I38" s="946"/>
      <c r="J38" s="946"/>
      <c r="L38" s="955"/>
      <c r="M38" s="945"/>
      <c r="AC38" s="963"/>
      <c r="AD38" s="959"/>
      <c r="AE38" s="959"/>
      <c r="AF38" s="959"/>
      <c r="AG38" s="959"/>
      <c r="AH38" s="959"/>
    </row>
    <row r="39" spans="2:42" ht="14.25">
      <c r="D39" s="949"/>
      <c r="E39" s="949"/>
      <c r="G39" s="955"/>
      <c r="H39" s="946"/>
      <c r="I39" s="946"/>
      <c r="J39" s="946"/>
      <c r="L39" s="955"/>
      <c r="M39" s="945"/>
      <c r="AC39" s="963"/>
      <c r="AD39" s="959"/>
      <c r="AE39" s="959"/>
      <c r="AF39" s="959"/>
      <c r="AG39" s="959"/>
      <c r="AH39" s="959"/>
    </row>
    <row r="40" spans="2:42" ht="14.25">
      <c r="B40" s="876" t="s">
        <v>1045</v>
      </c>
      <c r="C40" s="876" t="s">
        <v>1046</v>
      </c>
      <c r="D40" s="942" t="e" cm="1">
        <f t="array" ref="D40">IF(TSRSwitch=1,_xll.TR($D$22,$B40,"Sdate=#1 Period=#2 NULL=BLANK Scale=6",,D$25,$N$4),D40)</f>
        <v>#NAME?</v>
      </c>
      <c r="E40" s="942" t="e" cm="1">
        <f t="array" ref="E40">IF(TSRSwitch=1,_xll.TR($D$22,$B40,"Sdate=#1 Period=#2 NULL=BLANK Scale=6",,E$25,$N$4),E40)</f>
        <v>#NAME?</v>
      </c>
      <c r="G40" s="955"/>
      <c r="H40" s="946"/>
      <c r="I40" s="946"/>
      <c r="J40" s="946"/>
      <c r="L40" s="955"/>
      <c r="M40" s="945"/>
      <c r="Z40" s="908" t="s">
        <v>1047</v>
      </c>
      <c r="AA40" s="1059" t="s">
        <v>1013</v>
      </c>
      <c r="AB40" s="1060"/>
      <c r="AC40" s="963" t="s">
        <v>1048</v>
      </c>
      <c r="AD40" s="959"/>
      <c r="AE40" s="959"/>
      <c r="AF40" s="959"/>
      <c r="AG40" s="959"/>
      <c r="AH40" s="959"/>
    </row>
    <row r="41" spans="2:42" ht="14.25">
      <c r="C41" s="876" t="s">
        <v>1049</v>
      </c>
      <c r="D41" s="964">
        <v>0</v>
      </c>
      <c r="E41" s="964">
        <v>0</v>
      </c>
      <c r="G41" s="955"/>
      <c r="H41" s="946"/>
      <c r="I41" s="946"/>
      <c r="J41" s="946"/>
      <c r="L41" s="955"/>
      <c r="M41" s="876">
        <f>110000*2000/10^6</f>
        <v>220</v>
      </c>
      <c r="Z41" s="908" t="s">
        <v>1050</v>
      </c>
      <c r="AA41" s="1059" t="str">
        <f>D22</f>
        <v>INTC.O</v>
      </c>
      <c r="AB41" s="1060"/>
      <c r="AC41" s="963" t="e">
        <f ca="1">_xll.TR(AA41,"TR.CompanyName","NULL=BLANK")</f>
        <v>#NAME?</v>
      </c>
      <c r="AD41" s="959"/>
      <c r="AE41" s="959"/>
      <c r="AF41" s="959"/>
      <c r="AG41" s="959"/>
      <c r="AH41" s="959"/>
    </row>
    <row r="42" spans="2:42" ht="14.25">
      <c r="D42" s="949"/>
      <c r="E42" s="949"/>
      <c r="G42" s="955"/>
      <c r="H42" s="946"/>
      <c r="I42" s="946"/>
      <c r="J42" s="946"/>
      <c r="L42" s="955"/>
      <c r="M42" s="945"/>
      <c r="Z42" s="908" t="s">
        <v>1051</v>
      </c>
      <c r="AA42" s="1059" t="s">
        <v>1010</v>
      </c>
      <c r="AB42" s="1060"/>
      <c r="AC42" s="963" t="str">
        <f>INDEX('TSR decomposition'!AB31:AB35,MATCH(AA42,'TSR decomposition'!AA31:AA35,0),1)</f>
        <v>Gross Dividend unadjusted for corporate actions.</v>
      </c>
      <c r="AD42" s="959"/>
      <c r="AE42" s="959"/>
      <c r="AF42" s="959"/>
      <c r="AG42" s="959"/>
      <c r="AH42" s="959"/>
    </row>
    <row r="43" spans="2:42" ht="14.25">
      <c r="B43" s="965" t="s">
        <v>1052</v>
      </c>
      <c r="C43" s="876" t="s">
        <v>1053</v>
      </c>
      <c r="D43" s="942" t="e" cm="1">
        <f t="array" ref="D43">IF(TSRSwitch=1,_xll.TR($D$22,$B43,"Sdate=#1 Period=#2 NULL=BLANK Scale=6",,D$25,$N$4),D43)</f>
        <v>#NAME?</v>
      </c>
      <c r="E43" s="942" t="e" cm="1">
        <f t="array" ref="E43">IF(TSRSwitch=1,_xll.TR($D$22,$B43,"Sdate=#1 Period=#2 NULL=BLANK Scale=6",,E$25,$N$4),E43)</f>
        <v>#NAME?</v>
      </c>
      <c r="G43" s="955"/>
      <c r="H43" s="946"/>
      <c r="I43" s="946"/>
      <c r="J43" s="946"/>
      <c r="L43" s="955"/>
      <c r="Z43" s="908" t="s">
        <v>1054</v>
      </c>
      <c r="AA43" s="1059" t="s">
        <v>1012</v>
      </c>
      <c r="AB43" s="1060"/>
      <c r="AC43" s="963"/>
      <c r="AD43" s="959"/>
      <c r="AE43" s="959"/>
      <c r="AF43" s="959"/>
      <c r="AG43" s="959"/>
      <c r="AH43" s="959"/>
    </row>
    <row r="44" spans="2:42" ht="14.25">
      <c r="D44" s="949"/>
      <c r="E44" s="949"/>
      <c r="G44" s="955"/>
      <c r="H44" s="946"/>
      <c r="I44" s="946"/>
      <c r="J44" s="946"/>
      <c r="L44" s="955"/>
      <c r="M44" s="945"/>
      <c r="Z44" s="908" t="s">
        <v>1055</v>
      </c>
      <c r="AA44" s="1059" t="s">
        <v>1056</v>
      </c>
      <c r="AB44" s="1060"/>
      <c r="AC44" s="963" t="e">
        <f ca="1">"The amounts will be nominated in "&amp;IF(AA44="No",AA45,_xll.TR(AA41,"TR.DivCurr","NULL=BLANK"))</f>
        <v>#NAME?</v>
      </c>
      <c r="AD44" s="959"/>
      <c r="AE44" s="959"/>
      <c r="AF44" s="959"/>
      <c r="AG44" s="959"/>
      <c r="AH44" s="959"/>
    </row>
    <row r="45" spans="2:42" ht="14.25">
      <c r="B45" s="941" t="s">
        <v>1057</v>
      </c>
      <c r="D45" s="942" t="e" cm="1">
        <f t="array" ref="D45">IF(TSRSwitch=1,_xll.TR($D$22,$B45,"Sdate=#1 Period=#2 NULL=BLANK Scale=6",,D$25,$N$4),D45)</f>
        <v>#NAME?</v>
      </c>
      <c r="E45" s="942" t="e" cm="1">
        <f t="array" ref="E45">IF(TSRSwitch=1,_xll.TR($D$22,$B45,"Sdate=#1 Period=#2 NULL=BLANK Scale=6",,E$25,$N$4),E45)</f>
        <v>#NAME?</v>
      </c>
      <c r="G45" s="955"/>
      <c r="H45" s="946"/>
      <c r="I45" s="946"/>
      <c r="J45" s="946"/>
      <c r="L45" s="955"/>
      <c r="M45" s="945"/>
      <c r="Z45" s="908" t="s">
        <v>1058</v>
      </c>
      <c r="AA45" s="1061"/>
      <c r="AB45" s="1062"/>
      <c r="AC45" s="963"/>
      <c r="AD45" s="959"/>
      <c r="AE45" s="959"/>
      <c r="AF45" s="959"/>
      <c r="AG45" s="959"/>
      <c r="AH45" s="959"/>
    </row>
    <row r="46" spans="2:42" ht="14.25">
      <c r="C46" s="876" t="s">
        <v>128</v>
      </c>
      <c r="D46" s="949" t="e">
        <f>D43+D34</f>
        <v>#NAME?</v>
      </c>
      <c r="E46" s="949" t="e">
        <f>E43+E34</f>
        <v>#NAME?</v>
      </c>
      <c r="G46" s="955"/>
      <c r="H46" s="946"/>
      <c r="I46" s="946"/>
      <c r="J46" s="946"/>
      <c r="L46" s="955"/>
      <c r="M46" s="945"/>
      <c r="Z46" s="908"/>
      <c r="AA46" s="959"/>
      <c r="AB46" s="959"/>
      <c r="AC46" s="959"/>
      <c r="AD46" s="959"/>
      <c r="AE46" s="959"/>
      <c r="AF46" s="959"/>
      <c r="AG46" s="959"/>
      <c r="AH46" s="959"/>
    </row>
    <row r="47" spans="2:42" ht="20.25">
      <c r="B47" s="941"/>
      <c r="D47" s="966"/>
      <c r="E47" s="966"/>
      <c r="G47" s="955"/>
      <c r="H47" s="946"/>
      <c r="I47" s="946"/>
      <c r="J47" s="946"/>
      <c r="L47" s="955"/>
      <c r="M47" s="945"/>
      <c r="Z47" s="967"/>
      <c r="AA47" s="968" t="s">
        <v>1059</v>
      </c>
      <c r="AB47" s="968" t="s">
        <v>1060</v>
      </c>
      <c r="AC47" s="963"/>
      <c r="AD47" s="959"/>
      <c r="AE47" s="959"/>
      <c r="AF47" s="959"/>
      <c r="AG47" s="959"/>
      <c r="AH47" s="959"/>
    </row>
    <row r="48" spans="2:42" ht="14.25">
      <c r="B48" s="941"/>
      <c r="D48" s="949"/>
      <c r="E48" s="949"/>
      <c r="G48" s="955"/>
      <c r="H48" s="946"/>
      <c r="I48" s="946"/>
      <c r="J48" s="946"/>
      <c r="L48" s="955"/>
      <c r="M48" s="945"/>
      <c r="Z48" s="969" t="s">
        <v>1061</v>
      </c>
      <c r="AA48" s="970" t="e">
        <f>IF(TSRSwitch=1,_xll.TR(AA41,"TR.TotalReturn(sdate=#1 edate=#2)","NULL=BLANK",,AA54,AB54),AA48)</f>
        <v>#NAME?</v>
      </c>
      <c r="AB48" s="971" t="e">
        <f>((1+AA48/100)^(1/YEARFRAC($AB$54,$AA$54,VLOOKUP(AA43,AH31:AI37,2,FALSE)))-1)*100</f>
        <v>#NAME?</v>
      </c>
      <c r="AC48" s="972" t="s">
        <v>1062</v>
      </c>
      <c r="AD48" s="959"/>
      <c r="AE48" s="959"/>
      <c r="AF48" s="959"/>
      <c r="AG48" s="959"/>
      <c r="AH48" s="958"/>
    </row>
    <row r="49" spans="3:34" ht="14.25">
      <c r="C49" s="876" t="s">
        <v>1063</v>
      </c>
      <c r="D49" s="966" t="e">
        <f>D46/D27</f>
        <v>#NAME?</v>
      </c>
      <c r="E49" s="966" t="e">
        <f>E46/E27</f>
        <v>#NAME?</v>
      </c>
      <c r="G49" s="955"/>
      <c r="H49" s="943" t="e">
        <f>IF(AND(D49&gt;0,E49&gt;0,ISNUMBER(D49),ISNUMBER(E49)),(E49/D49)^(1/$F$25)-1,"-")</f>
        <v>#NAME?</v>
      </c>
      <c r="I49" s="943" t="e">
        <f>H58-I29</f>
        <v>#NAME?</v>
      </c>
      <c r="J49" s="943" t="e">
        <f>H49+I49</f>
        <v>#NAME?</v>
      </c>
      <c r="L49" s="961"/>
      <c r="M49" s="944"/>
      <c r="Z49" s="969"/>
      <c r="AA49" s="973"/>
      <c r="AB49" s="974" t="e">
        <f>(AB55/AA55)^(1/$F$25)-1</f>
        <v>#NAME?</v>
      </c>
      <c r="AC49" s="972"/>
      <c r="AD49" s="959"/>
      <c r="AE49" s="959"/>
      <c r="AF49" s="959"/>
      <c r="AG49" s="959"/>
      <c r="AH49" s="958"/>
    </row>
    <row r="50" spans="3:34" ht="14.25">
      <c r="C50" s="876" t="s">
        <v>1064</v>
      </c>
      <c r="D50" s="950" t="e">
        <f>D43/D46</f>
        <v>#NAME?</v>
      </c>
      <c r="E50" s="950" t="e">
        <f>E43/E46</f>
        <v>#NAME?</v>
      </c>
      <c r="G50" s="955"/>
      <c r="H50" s="946"/>
      <c r="I50" s="946"/>
      <c r="J50" s="946"/>
      <c r="L50" s="955"/>
      <c r="M50" s="944"/>
      <c r="Z50" s="969"/>
      <c r="AA50" s="973"/>
      <c r="AB50" s="974"/>
      <c r="AC50" s="972"/>
      <c r="AD50" s="959"/>
      <c r="AE50" s="959"/>
      <c r="AF50" s="959"/>
      <c r="AG50" s="959"/>
      <c r="AH50" s="958"/>
    </row>
    <row r="51" spans="3:34" ht="14.25">
      <c r="C51" s="876" t="s">
        <v>1065</v>
      </c>
      <c r="D51" s="950" t="e">
        <f>1-D50</f>
        <v>#NAME?</v>
      </c>
      <c r="E51" s="950" t="e">
        <f>1-E50</f>
        <v>#NAME?</v>
      </c>
      <c r="G51" s="955"/>
      <c r="H51" s="943" t="e">
        <f>IF(AND(D51&gt;0,E51&gt;0,ISNUMBER(D51),ISNUMBER(E51)),(E51/D51)^(1/$F$25)-1,"-")</f>
        <v>#NAME?</v>
      </c>
      <c r="I51" s="943"/>
      <c r="J51" s="943" t="e">
        <f>H51</f>
        <v>#NAME?</v>
      </c>
      <c r="L51" s="961"/>
      <c r="M51" s="944"/>
      <c r="Z51" s="969"/>
      <c r="AA51" s="973"/>
      <c r="AB51" s="974"/>
      <c r="AC51" s="972"/>
      <c r="AD51" s="959"/>
      <c r="AE51" s="959"/>
      <c r="AF51" s="959"/>
      <c r="AG51" s="959"/>
      <c r="AH51" s="958"/>
    </row>
    <row r="52" spans="3:34" ht="14.25">
      <c r="D52" s="949"/>
      <c r="E52" s="949"/>
      <c r="G52" s="955"/>
      <c r="H52" s="946"/>
      <c r="I52" s="946"/>
      <c r="J52" s="946"/>
      <c r="L52" s="955"/>
      <c r="M52" s="945"/>
      <c r="Z52" s="1058" t="s">
        <v>1066</v>
      </c>
      <c r="AA52" s="1058"/>
      <c r="AB52" s="1058"/>
      <c r="AC52" s="1058"/>
      <c r="AD52" s="1058"/>
      <c r="AE52" s="1058"/>
      <c r="AF52" s="1058"/>
      <c r="AG52" s="959"/>
      <c r="AH52" s="959"/>
    </row>
    <row r="53" spans="3:34" ht="13.15">
      <c r="C53" s="876" t="s">
        <v>1067</v>
      </c>
      <c r="D53" s="949"/>
      <c r="E53" s="975" t="e">
        <f>(E31/D31)^(1/$F$25)-1</f>
        <v>#NAME?</v>
      </c>
      <c r="F53" s="976"/>
      <c r="G53" s="955"/>
      <c r="H53" s="946"/>
      <c r="I53" s="946"/>
      <c r="J53" s="946"/>
      <c r="L53" s="955"/>
      <c r="M53" s="945"/>
      <c r="Z53" s="967"/>
      <c r="AA53" s="977"/>
      <c r="AB53" s="967"/>
      <c r="AC53" s="967"/>
      <c r="AD53" s="967"/>
      <c r="AE53" s="967"/>
      <c r="AF53" s="967"/>
      <c r="AG53" s="967"/>
      <c r="AH53" s="967"/>
    </row>
    <row r="54" spans="3:34" ht="13.15" customHeight="1">
      <c r="C54" s="962" t="s">
        <v>1068</v>
      </c>
      <c r="D54" s="949"/>
      <c r="E54" s="978" t="e">
        <f>+((E31+SUM(AE62:AE1048576))/D31)^(1/$F$25)-1</f>
        <v>#NAME?</v>
      </c>
      <c r="F54" s="976"/>
      <c r="G54" s="955" t="s">
        <v>1069</v>
      </c>
      <c r="H54" s="946"/>
      <c r="I54" s="946"/>
      <c r="J54" s="946"/>
      <c r="K54" s="956" t="s">
        <v>1008</v>
      </c>
      <c r="M54" s="945"/>
      <c r="Z54" s="967"/>
      <c r="AA54" s="979" t="e">
        <f>IF(TSRSwitch=1,_xll.TR(AA41,"TR.PriceClose(Sdate=#1).date","NULL=BLANK",,K3),AA54)</f>
        <v>#NAME?</v>
      </c>
      <c r="AB54" s="979" t="e">
        <f>IF(TSRSwitch=1,_xll.TR(AA41,"TR.PriceClose(Sdate=#1).date","NULL=BLANK",,K4),AB54)</f>
        <v>#NAME?</v>
      </c>
      <c r="AC54" s="979" t="s">
        <v>1070</v>
      </c>
      <c r="AD54" s="967"/>
      <c r="AE54" s="980"/>
      <c r="AF54" s="967"/>
      <c r="AG54" s="967"/>
      <c r="AH54" s="967"/>
    </row>
    <row r="55" spans="3:34" ht="13.15">
      <c r="C55" s="876" t="s">
        <v>1071</v>
      </c>
      <c r="D55" s="944"/>
      <c r="E55" s="975" t="e">
        <f>+E54-E53</f>
        <v>#NAME?</v>
      </c>
      <c r="F55" s="976"/>
      <c r="H55" s="943" t="e">
        <f>E55</f>
        <v>#NAME?</v>
      </c>
      <c r="I55" s="943"/>
      <c r="J55" s="943" t="e">
        <f>H55</f>
        <v>#NAME?</v>
      </c>
      <c r="L55" s="981"/>
      <c r="M55" s="944"/>
      <c r="Z55" s="982" t="s">
        <v>1072</v>
      </c>
      <c r="AA55" s="974" t="e">
        <f>IF(TSRSwitch=1,_xll.TR(AA41,"TR.PriceClose(SDate=#1 CURN=#2)","NULL=BLANK",,AA54,AC55),AA55)</f>
        <v>#NAME?</v>
      </c>
      <c r="AB55" s="974" t="e">
        <f>IF(TSRSwitch=1,_xll.TR(AA41,"TR.PriceClose(SDate=#1 CURN=#2)","NULL=BLANK",,AB54,AC55),AB55)</f>
        <v>#NAME?</v>
      </c>
      <c r="AC55" s="983" t="e">
        <f>IF(TSRSwitch=1,IF(AA44="Yes",_xll.TR(AA41,"TR.AnnDivDivCurr","NULL=BLANK"),AA45),AC55)</f>
        <v>#NAME?</v>
      </c>
      <c r="AD55" s="967"/>
      <c r="AE55" s="967"/>
      <c r="AF55" s="967"/>
      <c r="AG55" s="967"/>
      <c r="AH55" s="967"/>
    </row>
    <row r="56" spans="3:34" ht="14.25">
      <c r="E56" s="951"/>
      <c r="F56" s="984"/>
      <c r="H56" s="946"/>
      <c r="I56" s="946"/>
      <c r="J56" s="946"/>
      <c r="Z56" s="985"/>
      <c r="AA56" s="986"/>
      <c r="AB56" s="986"/>
      <c r="AC56" s="983"/>
      <c r="AD56" s="963"/>
      <c r="AE56" s="959"/>
      <c r="AF56" s="959"/>
      <c r="AG56" s="959"/>
      <c r="AH56" s="959"/>
    </row>
    <row r="57" spans="3:34" ht="14.25">
      <c r="C57" s="876" t="s">
        <v>1073</v>
      </c>
      <c r="F57" s="951"/>
      <c r="H57" s="987" t="e">
        <f>SUM(H26:H56)</f>
        <v>#NAME?</v>
      </c>
      <c r="I57" s="946"/>
      <c r="J57" s="987"/>
      <c r="Z57" s="967" t="e">
        <f ca="1">"Dividends recorded with the "&amp;AA40&amp;" between "&amp;TEXT(K3,"dd-mmm-yy")&amp;" and "&amp;TEXT(K4,"dd-mmm-yy")&amp;" by "&amp;_xll.TR(AA41,"TR.CompanyName","NULL=BLANK")</f>
        <v>#NAME?</v>
      </c>
      <c r="AA57" s="959"/>
      <c r="AB57" s="959"/>
      <c r="AC57" s="972"/>
      <c r="AD57" s="959"/>
      <c r="AE57" s="959"/>
      <c r="AF57" s="959"/>
      <c r="AG57" s="988"/>
      <c r="AH57" s="959"/>
    </row>
    <row r="58" spans="3:34" ht="14.25">
      <c r="C58" s="876" t="s">
        <v>1074</v>
      </c>
      <c r="F58" s="951"/>
      <c r="H58" s="987" t="e">
        <f>H60-H57</f>
        <v>#NAME?</v>
      </c>
      <c r="I58" s="946"/>
      <c r="J58" s="946"/>
      <c r="Z58" s="967"/>
      <c r="AA58" s="959"/>
      <c r="AB58" s="959"/>
      <c r="AC58" s="972"/>
      <c r="AD58" s="959"/>
      <c r="AE58" s="959"/>
      <c r="AF58" s="959"/>
      <c r="AG58" s="959"/>
      <c r="AH58" s="959"/>
    </row>
    <row r="59" spans="3:34" ht="14.25">
      <c r="F59" s="951"/>
      <c r="H59" s="987"/>
      <c r="I59" s="946"/>
      <c r="J59" s="946"/>
      <c r="Z59" s="989" t="e">
        <f>"Total dividends paid between "&amp;TEXT(K3,"dd-mmm-yy")&amp;" and "&amp;TEXT(K4,"dd-mmm-yy")</f>
        <v>#NAME?</v>
      </c>
      <c r="AA59" s="990">
        <f>SUM(AE62:AE1048576)</f>
        <v>11.072500000000002</v>
      </c>
      <c r="AB59" s="991" t="e">
        <f>IF($AA$44="Yes",$AC$55,$AA$45)</f>
        <v>#NAME?</v>
      </c>
      <c r="AC59" s="972"/>
      <c r="AD59" s="959"/>
      <c r="AE59" s="959"/>
      <c r="AF59" s="959"/>
      <c r="AG59" s="959"/>
      <c r="AH59" s="959"/>
    </row>
    <row r="60" spans="3:34" ht="14.25">
      <c r="C60" s="876" t="s">
        <v>19</v>
      </c>
      <c r="F60" s="951"/>
      <c r="H60" s="987" t="e">
        <f>(1+H26)*(1+H29)*(1+H32)*(1+H49)*(1+H51)-1+H55</f>
        <v>#NAME?</v>
      </c>
      <c r="I60" s="946"/>
      <c r="J60" s="987" t="e">
        <f>SUM(J26:J55)</f>
        <v>#NAME?</v>
      </c>
      <c r="Z60" s="992"/>
      <c r="AA60" s="993"/>
      <c r="AB60" s="994"/>
      <c r="AC60" s="963"/>
      <c r="AD60" s="959"/>
      <c r="AE60" s="959"/>
      <c r="AF60" s="959"/>
      <c r="AG60" s="959"/>
      <c r="AH60" s="959"/>
    </row>
    <row r="61" spans="3:34" ht="30.4">
      <c r="F61" s="951"/>
      <c r="H61" s="987"/>
      <c r="I61" s="946"/>
      <c r="J61" s="987"/>
      <c r="Z61" s="995" t="str">
        <f>"Ordered by "&amp;AA40</f>
        <v>Ordered by Dividend Ex Date</v>
      </c>
      <c r="AA61" s="968" t="s">
        <v>1029</v>
      </c>
      <c r="AB61" s="968" t="s">
        <v>1037</v>
      </c>
      <c r="AC61" s="968" t="s">
        <v>1013</v>
      </c>
      <c r="AD61" s="968" t="s">
        <v>1075</v>
      </c>
      <c r="AE61" s="995" t="str">
        <f>AA42</f>
        <v>Unadjusted Gross Dividend</v>
      </c>
      <c r="AF61" s="968" t="s">
        <v>1076</v>
      </c>
      <c r="AG61" s="968" t="s">
        <v>1077</v>
      </c>
      <c r="AH61" s="968" t="s">
        <v>1078</v>
      </c>
    </row>
    <row r="62" spans="3:34" ht="13.15">
      <c r="C62" s="996" t="s">
        <v>1079</v>
      </c>
      <c r="F62" s="899"/>
      <c r="H62" s="911" t="e">
        <f>IF(ABS(H60-E54)&lt;0.0001,"OK","CHECK")</f>
        <v>#NAME?</v>
      </c>
      <c r="I62" s="912"/>
      <c r="J62" s="911" t="e">
        <f>IF(ABS(J60-E54)&lt;0.0001,"OK","CHECK")</f>
        <v>#NAME?</v>
      </c>
      <c r="Z62" s="997" t="e">
        <f>IF(TSRSwitch=1,_xll.TR($AA$41,VLOOKUP(AA40,'TSR decomposition'!AL31:AN36,3,FALSE)&amp;";TR.DivRecordDate;TR.DivPayDate;TR.DivExDate;TR.DivTaxStatus;"&amp;INDEX('TSR decomposition'!Z31:Z35,MATCH(AA42,'TSR decomposition'!AA31:AA35,0),1),"Sdate=#1 Edate=#2 CURN=#3  NULL=BLANK datetype="&amp;VLOOKUP(AA40,'TSR decomposition'!AL31:AM36,2,FALSE)&amp;" SortA=TR.DivPayDate",$Z$62:$AE$226,$K$3,$K$4,IF(AA44="Yes",$AC$55,AA45)),Z62)</f>
        <v>#NAME?</v>
      </c>
      <c r="AA62" s="982">
        <v>41036</v>
      </c>
      <c r="AB62" s="982">
        <v>41061</v>
      </c>
      <c r="AC62" s="982">
        <v>41032</v>
      </c>
      <c r="AD62" s="998" t="s">
        <v>1080</v>
      </c>
      <c r="AE62" s="999">
        <v>0.21</v>
      </c>
      <c r="AF62" s="1000" t="e">
        <f>IF(AE62&lt;&gt;"",IF($AA$44="Yes",$AC$55,$AA$45),"")</f>
        <v>#NAME?</v>
      </c>
      <c r="AG62" s="971" t="e">
        <f ca="1">IF(AC62="","",_xll.RHistory($AA$41,".Close","END:"&amp;AC62&amp;" NBROWS:1 ADJUSTED:NO INTERVAL:1D",,"TSREPEAT:NO"))</f>
        <v>#NAME?</v>
      </c>
      <c r="AH62" s="971" t="e">
        <f ca="1">IF(AC62="","",_xll.RHistory($AA$41,".Close","END:"&amp;AC62&amp;" NBROWS:1 ADJUSTED:YES INTERVAL:1D",,"TSREPEAT:NO"))</f>
        <v>#NAME?</v>
      </c>
    </row>
    <row r="63" spans="3:34">
      <c r="Z63" s="901">
        <v>41124</v>
      </c>
      <c r="AA63" s="901">
        <v>41128</v>
      </c>
      <c r="AB63" s="901">
        <v>41153</v>
      </c>
      <c r="AC63" s="901">
        <v>41124</v>
      </c>
      <c r="AD63" s="876" t="s">
        <v>1080</v>
      </c>
      <c r="AE63" s="876">
        <v>0.22500000000000001</v>
      </c>
      <c r="AF63" s="1000" t="e">
        <f t="shared" ref="AF63:AF126" si="0">IF(AE63&lt;&gt;"",IF($AA$44="Yes",$AC$55,$AA$45),"")</f>
        <v>#NAME?</v>
      </c>
      <c r="AG63" s="971" t="e">
        <f ca="1">IF(AC63="","",_xll.RHistory($AA$41,".Close","END:"&amp;AC63&amp;" NBROWS:1 ADJUSTED:NO INTERVAL:1D",,"TSREPEAT:NO"))</f>
        <v>#NAME?</v>
      </c>
      <c r="AH63" s="971" t="e">
        <f ca="1">IF(AC63="","",_xll.RHistory($AA$41,".Close","END:"&amp;AC63&amp;" NBROWS:1 ADJUSTED:YES INTERVAL:1D",,"TSREPEAT:NO"))</f>
        <v>#NAME?</v>
      </c>
    </row>
    <row r="64" spans="3:34">
      <c r="C64" s="1001" t="s">
        <v>1081</v>
      </c>
      <c r="Z64" s="901">
        <v>41218</v>
      </c>
      <c r="AA64" s="901">
        <v>41220</v>
      </c>
      <c r="AB64" s="901">
        <v>41244</v>
      </c>
      <c r="AC64" s="901">
        <v>41218</v>
      </c>
      <c r="AD64" s="876" t="s">
        <v>1080</v>
      </c>
      <c r="AE64" s="876">
        <v>0.22500000000000001</v>
      </c>
      <c r="AF64" s="1000" t="e">
        <f t="shared" si="0"/>
        <v>#NAME?</v>
      </c>
      <c r="AG64" s="971" t="e">
        <f ca="1">IF(AC64="","",_xll.RHistory($AA$41,".Close","END:"&amp;AC64&amp;" NBROWS:1 ADJUSTED:NO INTERVAL:1D",,"TSREPEAT:NO"))</f>
        <v>#NAME?</v>
      </c>
      <c r="AH64" s="971" t="e">
        <f ca="1">IF(AC64="","",_xll.RHistory($AA$41,".Close","END:"&amp;AC64&amp;" NBROWS:1 ADJUSTED:YES INTERVAL:1D",,"TSREPEAT:NO"))</f>
        <v>#NAME?</v>
      </c>
    </row>
    <row r="65" spans="2:34">
      <c r="Z65" s="901">
        <v>41310</v>
      </c>
      <c r="AA65" s="901">
        <v>41312</v>
      </c>
      <c r="AB65" s="901">
        <v>41334</v>
      </c>
      <c r="AC65" s="901">
        <v>41310</v>
      </c>
      <c r="AD65" s="876" t="s">
        <v>1080</v>
      </c>
      <c r="AE65" s="876">
        <v>0.22500000000000001</v>
      </c>
      <c r="AF65" s="1000" t="e">
        <f t="shared" si="0"/>
        <v>#NAME?</v>
      </c>
      <c r="AG65" s="971" t="e">
        <f ca="1">IF(AC65="","",_xll.RHistory($AA$41,".Close","END:"&amp;AC65&amp;" NBROWS:1 ADJUSTED:NO INTERVAL:1D",,"TSREPEAT:NO"))</f>
        <v>#NAME?</v>
      </c>
      <c r="AH65" s="971" t="e">
        <f ca="1">IF(AC65="","",_xll.RHistory($AA$41,".Close","END:"&amp;AC65&amp;" NBROWS:1 ADJUSTED:YES INTERVAL:1D",,"TSREPEAT:NO"))</f>
        <v>#NAME?</v>
      </c>
    </row>
    <row r="66" spans="2:34">
      <c r="Z66" s="901">
        <v>41397</v>
      </c>
      <c r="AA66" s="901">
        <v>41401</v>
      </c>
      <c r="AB66" s="901">
        <v>41426</v>
      </c>
      <c r="AC66" s="901">
        <v>41397</v>
      </c>
      <c r="AD66" s="876" t="s">
        <v>1080</v>
      </c>
      <c r="AE66" s="876">
        <v>0.22500000000000001</v>
      </c>
      <c r="AF66" s="1000" t="e">
        <f t="shared" si="0"/>
        <v>#NAME?</v>
      </c>
      <c r="AG66" s="971" t="e">
        <f ca="1">IF(AC66="","",_xll.RHistory($AA$41,".Close","END:"&amp;AC66&amp;" NBROWS:1 ADJUSTED:NO INTERVAL:1D",,"TSREPEAT:NO"))</f>
        <v>#NAME?</v>
      </c>
      <c r="AH66" s="971" t="e">
        <f ca="1">IF(AC66="","",_xll.RHistory($AA$41,".Close","END:"&amp;AC66&amp;" NBROWS:1 ADJUSTED:YES INTERVAL:1D",,"TSREPEAT:NO"))</f>
        <v>#NAME?</v>
      </c>
    </row>
    <row r="67" spans="2:34">
      <c r="B67" s="965"/>
      <c r="D67" s="942"/>
      <c r="E67" s="942"/>
      <c r="F67" s="925"/>
      <c r="Z67" s="901">
        <v>41491</v>
      </c>
      <c r="AA67" s="901">
        <v>41493</v>
      </c>
      <c r="AB67" s="901">
        <v>41518</v>
      </c>
      <c r="AC67" s="901">
        <v>41491</v>
      </c>
      <c r="AD67" s="876" t="s">
        <v>1080</v>
      </c>
      <c r="AE67" s="876">
        <v>0.22500000000000001</v>
      </c>
      <c r="AF67" s="1000" t="e">
        <f t="shared" si="0"/>
        <v>#NAME?</v>
      </c>
      <c r="AG67" s="971" t="e">
        <f ca="1">IF(AC67="","",_xll.RHistory($AA$41,".Close","END:"&amp;AC67&amp;" NBROWS:1 ADJUSTED:NO INTERVAL:1D",,"TSREPEAT:NO"))</f>
        <v>#NAME?</v>
      </c>
      <c r="AH67" s="971" t="e">
        <f ca="1">IF(AC67="","",_xll.RHistory($AA$41,".Close","END:"&amp;AC67&amp;" NBROWS:1 ADJUSTED:YES INTERVAL:1D",,"TSREPEAT:NO"))</f>
        <v>#NAME?</v>
      </c>
    </row>
    <row r="68" spans="2:34" ht="13.15">
      <c r="C68" s="1001"/>
      <c r="F68" s="951"/>
      <c r="L68" s="915"/>
      <c r="M68" s="915"/>
      <c r="N68" s="915"/>
      <c r="O68" s="915"/>
      <c r="P68" s="915"/>
      <c r="Q68" s="915"/>
      <c r="Z68" s="901">
        <v>41583</v>
      </c>
      <c r="AA68" s="901">
        <v>41585</v>
      </c>
      <c r="AB68" s="901">
        <v>41609</v>
      </c>
      <c r="AC68" s="901">
        <v>41583</v>
      </c>
      <c r="AD68" s="876" t="s">
        <v>1080</v>
      </c>
      <c r="AE68" s="876">
        <v>0.22500000000000001</v>
      </c>
      <c r="AF68" s="1000" t="e">
        <f t="shared" si="0"/>
        <v>#NAME?</v>
      </c>
      <c r="AG68" s="971" t="e">
        <f ca="1">IF(AC68="","",_xll.RHistory($AA$41,".Close","END:"&amp;AC68&amp;" NBROWS:1 ADJUSTED:NO INTERVAL:1D",,"TSREPEAT:NO"))</f>
        <v>#NAME?</v>
      </c>
      <c r="AH68" s="971" t="e">
        <f ca="1">IF(AC68="","",_xll.RHistory($AA$41,".Close","END:"&amp;AC68&amp;" NBROWS:1 ADJUSTED:YES INTERVAL:1D",,"TSREPEAT:NO"))</f>
        <v>#NAME?</v>
      </c>
    </row>
    <row r="69" spans="2:34" ht="17.649999999999999">
      <c r="D69" s="1002"/>
      <c r="L69" s="1003"/>
      <c r="M69" s="1004"/>
      <c r="N69" s="1005"/>
      <c r="O69" s="1006"/>
      <c r="P69" s="1006"/>
      <c r="Q69" s="1006"/>
      <c r="S69" s="1007"/>
      <c r="Z69" s="901">
        <v>41675</v>
      </c>
      <c r="AA69" s="901">
        <v>41677</v>
      </c>
      <c r="AB69" s="901">
        <v>41699</v>
      </c>
      <c r="AC69" s="901">
        <v>41675</v>
      </c>
      <c r="AD69" s="876" t="s">
        <v>1080</v>
      </c>
      <c r="AE69" s="876">
        <v>0.22500000000000001</v>
      </c>
      <c r="AF69" s="1000" t="e">
        <f t="shared" si="0"/>
        <v>#NAME?</v>
      </c>
      <c r="AG69" s="971" t="e">
        <f ca="1">IF(AC69="","",_xll.RHistory($AA$41,".Close","END:"&amp;AC69&amp;" NBROWS:1 ADJUSTED:NO INTERVAL:1D",,"TSREPEAT:NO"))</f>
        <v>#NAME?</v>
      </c>
      <c r="AH69" s="971" t="e">
        <f ca="1">IF(AC69="","",_xll.RHistory($AA$41,".Close","END:"&amp;AC69&amp;" NBROWS:1 ADJUSTED:YES INTERVAL:1D",,"TSREPEAT:NO"))</f>
        <v>#NAME?</v>
      </c>
    </row>
    <row r="70" spans="2:34" ht="17.649999999999999">
      <c r="D70" s="1002"/>
      <c r="F70" s="951"/>
      <c r="H70" s="951"/>
      <c r="L70" s="1003"/>
      <c r="M70" s="1004"/>
      <c r="N70" s="1005"/>
      <c r="O70" s="1006"/>
      <c r="P70" s="1006"/>
      <c r="Q70" s="1006"/>
      <c r="S70" s="1007"/>
      <c r="Z70" s="901">
        <v>41764</v>
      </c>
      <c r="AA70" s="901">
        <v>41766</v>
      </c>
      <c r="AB70" s="901">
        <v>41791</v>
      </c>
      <c r="AC70" s="901">
        <v>41764</v>
      </c>
      <c r="AD70" s="876" t="s">
        <v>1080</v>
      </c>
      <c r="AE70" s="876">
        <v>0.22500000000000001</v>
      </c>
      <c r="AF70" s="1000" t="e">
        <f t="shared" si="0"/>
        <v>#NAME?</v>
      </c>
      <c r="AG70" s="971" t="e">
        <f ca="1">IF(AC70="","",_xll.RHistory($AA$41,".Close","END:"&amp;AC70&amp;" NBROWS:1 ADJUSTED:NO INTERVAL:1D",,"TSREPEAT:NO"))</f>
        <v>#NAME?</v>
      </c>
      <c r="AH70" s="971" t="e">
        <f ca="1">IF(AC70="","",_xll.RHistory($AA$41,".Close","END:"&amp;AC70&amp;" NBROWS:1 ADJUSTED:YES INTERVAL:1D",,"TSREPEAT:NO"))</f>
        <v>#NAME?</v>
      </c>
    </row>
    <row r="71" spans="2:34" ht="17.649999999999999">
      <c r="D71" s="1002"/>
      <c r="F71" s="951"/>
      <c r="H71" s="951"/>
      <c r="L71" s="1003"/>
      <c r="M71" s="1004"/>
      <c r="N71" s="1005"/>
      <c r="O71" s="1006"/>
      <c r="P71" s="1006"/>
      <c r="Q71" s="1006"/>
      <c r="S71" s="1007"/>
      <c r="Z71" s="901">
        <v>41856</v>
      </c>
      <c r="AA71" s="901">
        <v>41858</v>
      </c>
      <c r="AB71" s="901">
        <v>41883</v>
      </c>
      <c r="AC71" s="901">
        <v>41856</v>
      </c>
      <c r="AD71" s="876" t="s">
        <v>1080</v>
      </c>
      <c r="AE71" s="876">
        <v>0.22500000000000001</v>
      </c>
      <c r="AF71" s="1000" t="e">
        <f t="shared" si="0"/>
        <v>#NAME?</v>
      </c>
      <c r="AG71" s="971" t="e">
        <f ca="1">IF(AC71="","",_xll.RHistory($AA$41,".Close","END:"&amp;AC71&amp;" NBROWS:1 ADJUSTED:NO INTERVAL:1D",,"TSREPEAT:NO"))</f>
        <v>#NAME?</v>
      </c>
      <c r="AH71" s="971" t="e">
        <f ca="1">IF(AC71="","",_xll.RHistory($AA$41,".Close","END:"&amp;AC71&amp;" NBROWS:1 ADJUSTED:YES INTERVAL:1D",,"TSREPEAT:NO"))</f>
        <v>#NAME?</v>
      </c>
    </row>
    <row r="72" spans="2:34" ht="17.649999999999999">
      <c r="D72" s="1002"/>
      <c r="F72" s="951"/>
      <c r="H72" s="951"/>
      <c r="L72" s="1003"/>
      <c r="M72" s="1004"/>
      <c r="N72" s="1005"/>
      <c r="O72" s="1006"/>
      <c r="P72" s="1006"/>
      <c r="Q72" s="1006"/>
      <c r="S72" s="1007"/>
      <c r="Z72" s="901">
        <v>41948</v>
      </c>
      <c r="AA72" s="901">
        <v>41950</v>
      </c>
      <c r="AB72" s="901">
        <v>41974</v>
      </c>
      <c r="AC72" s="901">
        <v>41948</v>
      </c>
      <c r="AD72" s="876" t="s">
        <v>1080</v>
      </c>
      <c r="AE72" s="876">
        <v>0.22500000000000001</v>
      </c>
      <c r="AF72" s="1000" t="e">
        <f t="shared" si="0"/>
        <v>#NAME?</v>
      </c>
      <c r="AG72" s="971" t="e">
        <f ca="1">IF(AC72="","",_xll.RHistory($AA$41,".Close","END:"&amp;AC72&amp;" NBROWS:1 ADJUSTED:NO INTERVAL:1D",,"TSREPEAT:NO"))</f>
        <v>#NAME?</v>
      </c>
      <c r="AH72" s="971" t="e">
        <f ca="1">IF(AC72="","",_xll.RHistory($AA$41,".Close","END:"&amp;AC72&amp;" NBROWS:1 ADJUSTED:YES INTERVAL:1D",,"TSREPEAT:NO"))</f>
        <v>#NAME?</v>
      </c>
    </row>
    <row r="73" spans="2:34" ht="17.649999999999999">
      <c r="D73" s="1002"/>
      <c r="L73" s="1003"/>
      <c r="M73" s="1004"/>
      <c r="N73" s="1005"/>
      <c r="O73" s="1006"/>
      <c r="P73" s="1006"/>
      <c r="Q73" s="1006"/>
      <c r="S73" s="1007"/>
      <c r="Z73" s="901">
        <v>42039</v>
      </c>
      <c r="AA73" s="901">
        <v>42042</v>
      </c>
      <c r="AB73" s="901">
        <v>42064</v>
      </c>
      <c r="AC73" s="901">
        <v>42039</v>
      </c>
      <c r="AD73" s="876" t="s">
        <v>1080</v>
      </c>
      <c r="AE73" s="876">
        <v>0.24</v>
      </c>
      <c r="AF73" s="1000" t="e">
        <f t="shared" si="0"/>
        <v>#NAME?</v>
      </c>
      <c r="AG73" s="971" t="e">
        <f ca="1">IF(AC73="","",_xll.RHistory($AA$41,".Close","END:"&amp;AC73&amp;" NBROWS:1 ADJUSTED:NO INTERVAL:1D",,"TSREPEAT:NO"))</f>
        <v>#NAME?</v>
      </c>
      <c r="AH73" s="971" t="e">
        <f ca="1">IF(AC73="","",_xll.RHistory($AA$41,".Close","END:"&amp;AC73&amp;" NBROWS:1 ADJUSTED:YES INTERVAL:1D",,"TSREPEAT:NO"))</f>
        <v>#NAME?</v>
      </c>
    </row>
    <row r="74" spans="2:34" ht="17.649999999999999">
      <c r="D74" s="1002"/>
      <c r="L74" s="1003"/>
      <c r="M74" s="1004"/>
      <c r="N74" s="1005"/>
      <c r="O74" s="1006"/>
      <c r="P74" s="1006"/>
      <c r="Q74" s="1006"/>
      <c r="S74" s="1007"/>
      <c r="Z74" s="901">
        <v>42129</v>
      </c>
      <c r="AA74" s="901">
        <v>42131</v>
      </c>
      <c r="AB74" s="901">
        <v>42156</v>
      </c>
      <c r="AC74" s="901">
        <v>42129</v>
      </c>
      <c r="AD74" s="876" t="s">
        <v>1080</v>
      </c>
      <c r="AE74" s="876">
        <v>0.24</v>
      </c>
      <c r="AF74" s="1000" t="e">
        <f t="shared" si="0"/>
        <v>#NAME?</v>
      </c>
      <c r="AG74" s="971" t="e">
        <f ca="1">IF(AC74="","",_xll.RHistory($AA$41,".Close","END:"&amp;AC74&amp;" NBROWS:1 ADJUSTED:NO INTERVAL:1D",,"TSREPEAT:NO"))</f>
        <v>#NAME?</v>
      </c>
      <c r="AH74" s="971" t="e">
        <f ca="1">IF(AC74="","",_xll.RHistory($AA$41,".Close","END:"&amp;AC74&amp;" NBROWS:1 ADJUSTED:YES INTERVAL:1D",,"TSREPEAT:NO"))</f>
        <v>#NAME?</v>
      </c>
    </row>
    <row r="75" spans="2:34" ht="17.649999999999999">
      <c r="D75" s="1002"/>
      <c r="L75" s="1003"/>
      <c r="M75" s="1004"/>
      <c r="N75" s="1005"/>
      <c r="O75" s="1006"/>
      <c r="P75" s="1006"/>
      <c r="Q75" s="1006"/>
      <c r="S75" s="1007"/>
      <c r="Z75" s="901">
        <v>42221</v>
      </c>
      <c r="AA75" s="901">
        <v>42223</v>
      </c>
      <c r="AB75" s="901">
        <v>42248</v>
      </c>
      <c r="AC75" s="901">
        <v>42221</v>
      </c>
      <c r="AD75" s="876" t="s">
        <v>1080</v>
      </c>
      <c r="AE75" s="876">
        <v>0.24</v>
      </c>
      <c r="AF75" s="1000" t="e">
        <f t="shared" si="0"/>
        <v>#NAME?</v>
      </c>
      <c r="AG75" s="971" t="e">
        <f ca="1">IF(AC75="","",_xll.RHistory($AA$41,".Close","END:"&amp;AC75&amp;" NBROWS:1 ADJUSTED:NO INTERVAL:1D",,"TSREPEAT:NO"))</f>
        <v>#NAME?</v>
      </c>
      <c r="AH75" s="971" t="e">
        <f ca="1">IF(AC75="","",_xll.RHistory($AA$41,".Close","END:"&amp;AC75&amp;" NBROWS:1 ADJUSTED:YES INTERVAL:1D",,"TSREPEAT:NO"))</f>
        <v>#NAME?</v>
      </c>
    </row>
    <row r="76" spans="2:34" ht="17.649999999999999">
      <c r="D76" s="1002"/>
      <c r="L76" s="1003"/>
      <c r="M76" s="1004"/>
      <c r="N76" s="1005"/>
      <c r="O76" s="1006"/>
      <c r="P76" s="1006"/>
      <c r="Q76" s="1006"/>
      <c r="S76" s="1007"/>
      <c r="Z76" s="901">
        <v>42312</v>
      </c>
      <c r="AA76" s="901">
        <v>42315</v>
      </c>
      <c r="AB76" s="901">
        <v>42339</v>
      </c>
      <c r="AC76" s="901">
        <v>42312</v>
      </c>
      <c r="AD76" s="876" t="s">
        <v>1080</v>
      </c>
      <c r="AE76" s="876">
        <v>0.24</v>
      </c>
      <c r="AF76" s="1000" t="e">
        <f t="shared" si="0"/>
        <v>#NAME?</v>
      </c>
      <c r="AG76" s="971" t="e">
        <f ca="1">IF(AC76="","",_xll.RHistory($AA$41,".Close","END:"&amp;AC76&amp;" NBROWS:1 ADJUSTED:NO INTERVAL:1D",,"TSREPEAT:NO"))</f>
        <v>#NAME?</v>
      </c>
      <c r="AH76" s="971" t="e">
        <f ca="1">IF(AC76="","",_xll.RHistory($AA$41,".Close","END:"&amp;AC76&amp;" NBROWS:1 ADJUSTED:YES INTERVAL:1D",,"TSREPEAT:NO"))</f>
        <v>#NAME?</v>
      </c>
    </row>
    <row r="77" spans="2:34" ht="17.649999999999999">
      <c r="D77" s="1002"/>
      <c r="L77" s="1003"/>
      <c r="M77" s="1004"/>
      <c r="N77" s="1005"/>
      <c r="O77" s="1006"/>
      <c r="P77" s="1006"/>
      <c r="Q77" s="1006"/>
      <c r="S77" s="1007"/>
      <c r="Z77" s="901">
        <v>42403</v>
      </c>
      <c r="AA77" s="901">
        <v>42407</v>
      </c>
      <c r="AB77" s="901">
        <v>42430</v>
      </c>
      <c r="AC77" s="901">
        <v>42403</v>
      </c>
      <c r="AD77" s="876" t="s">
        <v>1080</v>
      </c>
      <c r="AE77" s="876">
        <v>0.26</v>
      </c>
      <c r="AF77" s="1000" t="e">
        <f t="shared" si="0"/>
        <v>#NAME?</v>
      </c>
      <c r="AG77" s="971" t="e">
        <f ca="1">IF(AC77="","",_xll.RHistory($AA$41,".Close","END:"&amp;AC77&amp;" NBROWS:1 ADJUSTED:NO INTERVAL:1D",,"TSREPEAT:NO"))</f>
        <v>#NAME?</v>
      </c>
      <c r="AH77" s="971" t="e">
        <f ca="1">IF(AC77="","",_xll.RHistory($AA$41,".Close","END:"&amp;AC77&amp;" NBROWS:1 ADJUSTED:YES INTERVAL:1D",,"TSREPEAT:NO"))</f>
        <v>#NAME?</v>
      </c>
    </row>
    <row r="78" spans="2:34" ht="17.649999999999999">
      <c r="D78" s="1002"/>
      <c r="L78" s="1003"/>
      <c r="M78" s="1004"/>
      <c r="N78" s="1005"/>
      <c r="O78" s="1006"/>
      <c r="P78" s="1006"/>
      <c r="Q78" s="1006"/>
      <c r="S78" s="1007"/>
      <c r="Z78" s="901">
        <v>42494</v>
      </c>
      <c r="AA78" s="901">
        <v>42497</v>
      </c>
      <c r="AB78" s="901">
        <v>42522</v>
      </c>
      <c r="AC78" s="901">
        <v>42494</v>
      </c>
      <c r="AD78" s="876" t="s">
        <v>1080</v>
      </c>
      <c r="AE78" s="876">
        <v>0.26</v>
      </c>
      <c r="AF78" s="1000" t="e">
        <f t="shared" si="0"/>
        <v>#NAME?</v>
      </c>
      <c r="AG78" s="971" t="e">
        <f ca="1">IF(AC78="","",_xll.RHistory($AA$41,".Close","END:"&amp;AC78&amp;" NBROWS:1 ADJUSTED:NO INTERVAL:1D",,"TSREPEAT:NO"))</f>
        <v>#NAME?</v>
      </c>
      <c r="AH78" s="971" t="e">
        <f ca="1">IF(AC78="","",_xll.RHistory($AA$41,".Close","END:"&amp;AC78&amp;" NBROWS:1 ADJUSTED:YES INTERVAL:1D",,"TSREPEAT:NO"))</f>
        <v>#NAME?</v>
      </c>
    </row>
    <row r="79" spans="2:34" ht="17.649999999999999">
      <c r="D79" s="1002"/>
      <c r="L79" s="1003"/>
      <c r="M79" s="1004"/>
      <c r="N79" s="1005"/>
      <c r="O79" s="1006"/>
      <c r="P79" s="1006"/>
      <c r="Q79" s="1006"/>
      <c r="S79" s="1007"/>
      <c r="Z79" s="901">
        <v>42585</v>
      </c>
      <c r="AA79" s="901">
        <v>42589</v>
      </c>
      <c r="AB79" s="901">
        <v>42614</v>
      </c>
      <c r="AC79" s="901">
        <v>42585</v>
      </c>
      <c r="AD79" s="876" t="s">
        <v>1080</v>
      </c>
      <c r="AE79" s="876">
        <v>0.26</v>
      </c>
      <c r="AF79" s="1000" t="e">
        <f t="shared" si="0"/>
        <v>#NAME?</v>
      </c>
      <c r="AG79" s="971" t="e">
        <f ca="1">IF(AC79="","",_xll.RHistory($AA$41,".Close","END:"&amp;AC79&amp;" NBROWS:1 ADJUSTED:NO INTERVAL:1D",,"TSREPEAT:NO"))</f>
        <v>#NAME?</v>
      </c>
      <c r="AH79" s="971" t="e">
        <f ca="1">IF(AC79="","",_xll.RHistory($AA$41,".Close","END:"&amp;AC79&amp;" NBROWS:1 ADJUSTED:YES INTERVAL:1D",,"TSREPEAT:NO"))</f>
        <v>#NAME?</v>
      </c>
    </row>
    <row r="80" spans="2:34" ht="17.649999999999999">
      <c r="D80" s="1002"/>
      <c r="L80" s="1003"/>
      <c r="M80" s="1004"/>
      <c r="N80" s="1005"/>
      <c r="O80" s="1006"/>
      <c r="P80" s="1006"/>
      <c r="Q80" s="1006"/>
      <c r="S80" s="1007"/>
      <c r="Z80" s="901">
        <v>42677</v>
      </c>
      <c r="AA80" s="901">
        <v>42681</v>
      </c>
      <c r="AB80" s="901">
        <v>42705</v>
      </c>
      <c r="AC80" s="901">
        <v>42677</v>
      </c>
      <c r="AD80" s="876" t="s">
        <v>1080</v>
      </c>
      <c r="AE80" s="876">
        <v>0.26</v>
      </c>
      <c r="AF80" s="1000" t="e">
        <f t="shared" si="0"/>
        <v>#NAME?</v>
      </c>
      <c r="AG80" s="971" t="e">
        <f ca="1">IF(AC80="","",_xll.RHistory($AA$41,".Close","END:"&amp;AC80&amp;" NBROWS:1 ADJUSTED:NO INTERVAL:1D",,"TSREPEAT:NO"))</f>
        <v>#NAME?</v>
      </c>
      <c r="AH80" s="971" t="e">
        <f ca="1">IF(AC80="","",_xll.RHistory($AA$41,".Close","END:"&amp;AC80&amp;" NBROWS:1 ADJUSTED:YES INTERVAL:1D",,"TSREPEAT:NO"))</f>
        <v>#NAME?</v>
      </c>
    </row>
    <row r="81" spans="4:34" ht="17.649999999999999">
      <c r="D81" s="1002"/>
      <c r="L81" s="1003"/>
      <c r="M81" s="1004"/>
      <c r="N81" s="1005"/>
      <c r="O81" s="1006"/>
      <c r="P81" s="1006"/>
      <c r="Q81" s="1006"/>
      <c r="S81" s="1007"/>
      <c r="Z81" s="901">
        <v>42769</v>
      </c>
      <c r="AA81" s="901">
        <v>42773</v>
      </c>
      <c r="AB81" s="901">
        <v>42795</v>
      </c>
      <c r="AC81" s="901">
        <v>42769</v>
      </c>
      <c r="AD81" s="876" t="s">
        <v>1080</v>
      </c>
      <c r="AE81" s="876">
        <v>0.26</v>
      </c>
      <c r="AF81" s="1000" t="e">
        <f t="shared" si="0"/>
        <v>#NAME?</v>
      </c>
      <c r="AG81" s="971" t="e">
        <f ca="1">IF(AC81="","",_xll.RHistory($AA$41,".Close","END:"&amp;AC81&amp;" NBROWS:1 ADJUSTED:NO INTERVAL:1D",,"TSREPEAT:NO"))</f>
        <v>#NAME?</v>
      </c>
      <c r="AH81" s="971" t="e">
        <f ca="1">IF(AC81="","",_xll.RHistory($AA$41,".Close","END:"&amp;AC81&amp;" NBROWS:1 ADJUSTED:YES INTERVAL:1D",,"TSREPEAT:NO"))</f>
        <v>#NAME?</v>
      </c>
    </row>
    <row r="82" spans="4:34" ht="17.649999999999999">
      <c r="D82" s="1002"/>
      <c r="L82" s="1003"/>
      <c r="M82" s="1004"/>
      <c r="N82" s="1005"/>
      <c r="O82" s="1006"/>
      <c r="P82" s="1006"/>
      <c r="Q82" s="1006"/>
      <c r="S82" s="1007"/>
      <c r="Z82" s="901">
        <v>42858</v>
      </c>
      <c r="AA82" s="901">
        <v>42862</v>
      </c>
      <c r="AB82" s="901">
        <v>42887</v>
      </c>
      <c r="AC82" s="901">
        <v>42858</v>
      </c>
      <c r="AD82" s="876" t="s">
        <v>1080</v>
      </c>
      <c r="AE82" s="876">
        <v>0.27250000000000002</v>
      </c>
      <c r="AF82" s="1000" t="e">
        <f t="shared" si="0"/>
        <v>#NAME?</v>
      </c>
      <c r="AG82" s="971" t="e">
        <f ca="1">IF(AC82="","",_xll.RHistory($AA$41,".Close","END:"&amp;AC82&amp;" NBROWS:1 ADJUSTED:NO INTERVAL:1D",,"TSREPEAT:NO"))</f>
        <v>#NAME?</v>
      </c>
      <c r="AH82" s="971" t="e">
        <f ca="1">IF(AC82="","",_xll.RHistory($AA$41,".Close","END:"&amp;AC82&amp;" NBROWS:1 ADJUSTED:YES INTERVAL:1D",,"TSREPEAT:NO"))</f>
        <v>#NAME?</v>
      </c>
    </row>
    <row r="83" spans="4:34" ht="17.649999999999999">
      <c r="D83" s="1002"/>
      <c r="L83" s="1003"/>
      <c r="M83" s="1004"/>
      <c r="N83" s="1005"/>
      <c r="O83" s="1006"/>
      <c r="P83" s="1006"/>
      <c r="Q83" s="1006"/>
      <c r="S83" s="1007"/>
      <c r="Z83" s="901">
        <v>42950</v>
      </c>
      <c r="AA83" s="901">
        <v>42954</v>
      </c>
      <c r="AB83" s="901">
        <v>42979</v>
      </c>
      <c r="AC83" s="901">
        <v>42950</v>
      </c>
      <c r="AD83" s="876" t="s">
        <v>1080</v>
      </c>
      <c r="AE83" s="876">
        <v>0.27250000000000002</v>
      </c>
      <c r="AF83" s="1000" t="e">
        <f t="shared" si="0"/>
        <v>#NAME?</v>
      </c>
      <c r="AG83" s="971" t="e">
        <f ca="1">IF(AC83="","",_xll.RHistory($AA$41,".Close","END:"&amp;AC83&amp;" NBROWS:1 ADJUSTED:NO INTERVAL:1D",,"TSREPEAT:NO"))</f>
        <v>#NAME?</v>
      </c>
      <c r="AH83" s="971" t="e">
        <f ca="1">IF(AC83="","",_xll.RHistory($AA$41,".Close","END:"&amp;AC83&amp;" NBROWS:1 ADJUSTED:YES INTERVAL:1D",,"TSREPEAT:NO"))</f>
        <v>#NAME?</v>
      </c>
    </row>
    <row r="84" spans="4:34" ht="17.649999999999999">
      <c r="D84" s="1002"/>
      <c r="L84" s="1003"/>
      <c r="M84" s="1004"/>
      <c r="N84" s="1005"/>
      <c r="O84" s="1006"/>
      <c r="P84" s="1006"/>
      <c r="Q84" s="1006"/>
      <c r="S84" s="1007"/>
      <c r="Z84" s="901">
        <v>43045</v>
      </c>
      <c r="AA84" s="901">
        <v>43046</v>
      </c>
      <c r="AB84" s="901">
        <v>43070</v>
      </c>
      <c r="AC84" s="901">
        <v>43045</v>
      </c>
      <c r="AD84" s="876" t="s">
        <v>1080</v>
      </c>
      <c r="AE84" s="876">
        <v>0.27250000000000002</v>
      </c>
      <c r="AF84" s="1000" t="e">
        <f t="shared" si="0"/>
        <v>#NAME?</v>
      </c>
      <c r="AG84" s="971" t="e">
        <f ca="1">IF(AC84="","",_xll.RHistory($AA$41,".Close","END:"&amp;AC84&amp;" NBROWS:1 ADJUSTED:NO INTERVAL:1D",,"TSREPEAT:NO"))</f>
        <v>#NAME?</v>
      </c>
      <c r="AH84" s="971" t="e">
        <f ca="1">IF(AC84="","",_xll.RHistory($AA$41,".Close","END:"&amp;AC84&amp;" NBROWS:1 ADJUSTED:YES INTERVAL:1D",,"TSREPEAT:NO"))</f>
        <v>#NAME?</v>
      </c>
    </row>
    <row r="85" spans="4:34" ht="17.649999999999999">
      <c r="D85" s="1002"/>
      <c r="L85" s="1003"/>
      <c r="M85" s="1004"/>
      <c r="N85" s="1005"/>
      <c r="O85" s="1006"/>
      <c r="P85" s="1006"/>
      <c r="Q85" s="1006"/>
      <c r="S85" s="1007"/>
      <c r="Z85" s="901">
        <v>43137</v>
      </c>
      <c r="AA85" s="901">
        <v>43138</v>
      </c>
      <c r="AB85" s="901">
        <v>43160</v>
      </c>
      <c r="AC85" s="901">
        <v>43137</v>
      </c>
      <c r="AD85" s="876" t="s">
        <v>1080</v>
      </c>
      <c r="AE85" s="876">
        <v>0.3</v>
      </c>
      <c r="AF85" s="1000" t="e">
        <f t="shared" si="0"/>
        <v>#NAME?</v>
      </c>
      <c r="AG85" s="971" t="e">
        <f ca="1">IF(AC85="","",_xll.RHistory($AA$41,".Close","END:"&amp;AC85&amp;" NBROWS:1 ADJUSTED:NO INTERVAL:1D",,"TSREPEAT:NO"))</f>
        <v>#NAME?</v>
      </c>
      <c r="AH85" s="971" t="e">
        <f ca="1">IF(AC85="","",_xll.RHistory($AA$41,".Close","END:"&amp;AC85&amp;" NBROWS:1 ADJUSTED:YES INTERVAL:1D",,"TSREPEAT:NO"))</f>
        <v>#NAME?</v>
      </c>
    </row>
    <row r="86" spans="4:34" ht="17.649999999999999">
      <c r="D86" s="1002"/>
      <c r="L86" s="1003"/>
      <c r="M86" s="1004"/>
      <c r="N86" s="1005"/>
      <c r="O86" s="1006"/>
      <c r="P86" s="1006"/>
      <c r="Q86" s="1006"/>
      <c r="S86" s="1007"/>
      <c r="Z86" s="901">
        <v>43224</v>
      </c>
      <c r="AA86" s="901">
        <v>43227</v>
      </c>
      <c r="AB86" s="901">
        <v>43252</v>
      </c>
      <c r="AC86" s="901">
        <v>43224</v>
      </c>
      <c r="AD86" s="876" t="s">
        <v>1080</v>
      </c>
      <c r="AE86" s="876">
        <v>0.3</v>
      </c>
      <c r="AF86" s="1000" t="e">
        <f t="shared" si="0"/>
        <v>#NAME?</v>
      </c>
      <c r="AG86" s="971" t="e">
        <f ca="1">IF(AC86="","",_xll.RHistory($AA$41,".Close","END:"&amp;AC86&amp;" NBROWS:1 ADJUSTED:NO INTERVAL:1D",,"TSREPEAT:NO"))</f>
        <v>#NAME?</v>
      </c>
      <c r="AH86" s="971" t="e">
        <f ca="1">IF(AC86="","",_xll.RHistory($AA$41,".Close","END:"&amp;AC86&amp;" NBROWS:1 ADJUSTED:YES INTERVAL:1D",,"TSREPEAT:NO"))</f>
        <v>#NAME?</v>
      </c>
    </row>
    <row r="87" spans="4:34" ht="17.649999999999999">
      <c r="D87" s="1002"/>
      <c r="L87" s="1003"/>
      <c r="M87" s="1004"/>
      <c r="N87" s="1005"/>
      <c r="O87" s="1006"/>
      <c r="P87" s="1006"/>
      <c r="Q87" s="1006"/>
      <c r="S87" s="1007"/>
      <c r="Z87" s="901">
        <v>43318</v>
      </c>
      <c r="AA87" s="901">
        <v>43319</v>
      </c>
      <c r="AB87" s="901">
        <v>43344</v>
      </c>
      <c r="AC87" s="901">
        <v>43318</v>
      </c>
      <c r="AD87" s="876" t="s">
        <v>1080</v>
      </c>
      <c r="AE87" s="876">
        <v>0.3</v>
      </c>
      <c r="AF87" s="1000" t="e">
        <f t="shared" si="0"/>
        <v>#NAME?</v>
      </c>
      <c r="AG87" s="971" t="e">
        <f ca="1">IF(AC87="","",_xll.RHistory($AA$41,".Close","END:"&amp;AC87&amp;" NBROWS:1 ADJUSTED:NO INTERVAL:1D",,"TSREPEAT:NO"))</f>
        <v>#NAME?</v>
      </c>
      <c r="AH87" s="971" t="e">
        <f ca="1">IF(AC87="","",_xll.RHistory($AA$41,".Close","END:"&amp;AC87&amp;" NBROWS:1 ADJUSTED:YES INTERVAL:1D",,"TSREPEAT:NO"))</f>
        <v>#NAME?</v>
      </c>
    </row>
    <row r="88" spans="4:34" ht="17.649999999999999">
      <c r="D88" s="1002"/>
      <c r="L88" s="1003"/>
      <c r="M88" s="1004"/>
      <c r="N88" s="1005"/>
      <c r="O88" s="1006"/>
      <c r="P88" s="1006"/>
      <c r="Q88" s="1006"/>
      <c r="S88" s="1007"/>
      <c r="Z88" s="901">
        <v>43410</v>
      </c>
      <c r="AA88" s="901">
        <v>43411</v>
      </c>
      <c r="AB88" s="901">
        <v>43435</v>
      </c>
      <c r="AC88" s="901">
        <v>43410</v>
      </c>
      <c r="AD88" s="876" t="s">
        <v>1080</v>
      </c>
      <c r="AE88" s="876">
        <v>0.3</v>
      </c>
      <c r="AF88" s="1000" t="e">
        <f t="shared" si="0"/>
        <v>#NAME?</v>
      </c>
      <c r="AG88" s="971" t="e">
        <f ca="1">IF(AC88="","",_xll.RHistory($AA$41,".Close","END:"&amp;AC88&amp;" NBROWS:1 ADJUSTED:NO INTERVAL:1D",,"TSREPEAT:NO"))</f>
        <v>#NAME?</v>
      </c>
      <c r="AH88" s="971" t="e">
        <f ca="1">IF(AC88="","",_xll.RHistory($AA$41,".Close","END:"&amp;AC88&amp;" NBROWS:1 ADJUSTED:YES INTERVAL:1D",,"TSREPEAT:NO"))</f>
        <v>#NAME?</v>
      </c>
    </row>
    <row r="89" spans="4:34" ht="17.649999999999999">
      <c r="D89" s="1002"/>
      <c r="L89" s="1003"/>
      <c r="M89" s="1004"/>
      <c r="N89" s="1005"/>
      <c r="O89" s="1006"/>
      <c r="P89" s="1006"/>
      <c r="Q89" s="1006"/>
      <c r="S89" s="1007"/>
      <c r="Z89" s="901">
        <v>43502</v>
      </c>
      <c r="AA89" s="901">
        <v>43503</v>
      </c>
      <c r="AB89" s="901">
        <v>43525</v>
      </c>
      <c r="AC89" s="901">
        <v>43502</v>
      </c>
      <c r="AD89" s="876" t="s">
        <v>1080</v>
      </c>
      <c r="AE89" s="876">
        <v>0.315</v>
      </c>
      <c r="AF89" s="1000" t="e">
        <f t="shared" si="0"/>
        <v>#NAME?</v>
      </c>
      <c r="AG89" s="971" t="e">
        <f ca="1">IF(AC89="","",_xll.RHistory($AA$41,".Close","END:"&amp;AC89&amp;" NBROWS:1 ADJUSTED:NO INTERVAL:1D",,"TSREPEAT:NO"))</f>
        <v>#NAME?</v>
      </c>
      <c r="AH89" s="971" t="e">
        <f ca="1">IF(AC89="","",_xll.RHistory($AA$41,".Close","END:"&amp;AC89&amp;" NBROWS:1 ADJUSTED:YES INTERVAL:1D",,"TSREPEAT:NO"))</f>
        <v>#NAME?</v>
      </c>
    </row>
    <row r="90" spans="4:34" ht="17.649999999999999">
      <c r="D90" s="1002"/>
      <c r="L90" s="1003"/>
      <c r="M90" s="1004"/>
      <c r="N90" s="1005"/>
      <c r="O90" s="1006"/>
      <c r="P90" s="1006"/>
      <c r="Q90" s="1006"/>
      <c r="S90" s="1007"/>
      <c r="Z90" s="901">
        <v>43591</v>
      </c>
      <c r="AA90" s="901">
        <v>43592</v>
      </c>
      <c r="AB90" s="901">
        <v>43617</v>
      </c>
      <c r="AC90" s="901">
        <v>43591</v>
      </c>
      <c r="AD90" s="876" t="s">
        <v>1080</v>
      </c>
      <c r="AE90" s="876">
        <v>0.315</v>
      </c>
      <c r="AF90" s="1000" t="e">
        <f t="shared" si="0"/>
        <v>#NAME?</v>
      </c>
      <c r="AG90" s="971" t="e">
        <f ca="1">IF(AC90="","",_xll.RHistory($AA$41,".Close","END:"&amp;AC90&amp;" NBROWS:1 ADJUSTED:NO INTERVAL:1D",,"TSREPEAT:NO"))</f>
        <v>#NAME?</v>
      </c>
      <c r="AH90" s="971" t="e">
        <f ca="1">IF(AC90="","",_xll.RHistory($AA$41,".Close","END:"&amp;AC90&amp;" NBROWS:1 ADJUSTED:YES INTERVAL:1D",,"TSREPEAT:NO"))</f>
        <v>#NAME?</v>
      </c>
    </row>
    <row r="91" spans="4:34" ht="17.649999999999999">
      <c r="D91" s="1002"/>
      <c r="K91" s="901"/>
      <c r="L91" s="1003"/>
      <c r="M91" s="1004"/>
      <c r="N91" s="1005"/>
      <c r="O91" s="1006"/>
      <c r="P91" s="1006"/>
      <c r="Q91" s="1006"/>
      <c r="S91" s="1007"/>
      <c r="Z91" s="901">
        <v>43683</v>
      </c>
      <c r="AA91" s="901">
        <v>43684</v>
      </c>
      <c r="AB91" s="901">
        <v>43709</v>
      </c>
      <c r="AC91" s="901">
        <v>43683</v>
      </c>
      <c r="AD91" s="876" t="s">
        <v>1080</v>
      </c>
      <c r="AE91" s="876">
        <v>0.315</v>
      </c>
      <c r="AF91" s="1000" t="e">
        <f t="shared" si="0"/>
        <v>#NAME?</v>
      </c>
      <c r="AG91" s="971" t="e">
        <f ca="1">IF(AC91="","",_xll.RHistory($AA$41,".Close","END:"&amp;AC91&amp;" NBROWS:1 ADJUSTED:NO INTERVAL:1D",,"TSREPEAT:NO"))</f>
        <v>#NAME?</v>
      </c>
      <c r="AH91" s="971" t="e">
        <f ca="1">IF(AC91="","",_xll.RHistory($AA$41,".Close","END:"&amp;AC91&amp;" NBROWS:1 ADJUSTED:YES INTERVAL:1D",,"TSREPEAT:NO"))</f>
        <v>#NAME?</v>
      </c>
    </row>
    <row r="92" spans="4:34" ht="17.649999999999999">
      <c r="D92" s="1002"/>
      <c r="L92" s="1003"/>
      <c r="M92" s="1004"/>
      <c r="N92" s="1005"/>
      <c r="O92" s="1006"/>
      <c r="P92" s="1006"/>
      <c r="Q92" s="1006"/>
      <c r="S92" s="1007"/>
      <c r="Z92" s="901">
        <v>43775</v>
      </c>
      <c r="AA92" s="901">
        <v>43776</v>
      </c>
      <c r="AB92" s="901">
        <v>43800</v>
      </c>
      <c r="AC92" s="901">
        <v>43775</v>
      </c>
      <c r="AD92" s="876" t="s">
        <v>1080</v>
      </c>
      <c r="AE92" s="876">
        <v>0.315</v>
      </c>
      <c r="AF92" s="1000" t="e">
        <f t="shared" si="0"/>
        <v>#NAME?</v>
      </c>
      <c r="AG92" s="971" t="e">
        <f ca="1">IF(AC92="","",_xll.RHistory($AA$41,".Close","END:"&amp;AC92&amp;" NBROWS:1 ADJUSTED:NO INTERVAL:1D",,"TSREPEAT:NO"))</f>
        <v>#NAME?</v>
      </c>
      <c r="AH92" s="971" t="e">
        <f ca="1">IF(AC92="","",_xll.RHistory($AA$41,".Close","END:"&amp;AC92&amp;" NBROWS:1 ADJUSTED:YES INTERVAL:1D",,"TSREPEAT:NO"))</f>
        <v>#NAME?</v>
      </c>
    </row>
    <row r="93" spans="4:34" ht="17.649999999999999">
      <c r="D93" s="1002"/>
      <c r="L93" s="1003"/>
      <c r="M93" s="1004"/>
      <c r="N93" s="1005"/>
      <c r="O93" s="1006"/>
      <c r="P93" s="1006"/>
      <c r="Q93" s="1006"/>
      <c r="S93" s="1007"/>
      <c r="Z93" s="901">
        <v>43867</v>
      </c>
      <c r="AA93" s="901">
        <v>43868</v>
      </c>
      <c r="AB93" s="901">
        <v>43891</v>
      </c>
      <c r="AC93" s="901">
        <v>43867</v>
      </c>
      <c r="AD93" s="876" t="s">
        <v>1080</v>
      </c>
      <c r="AE93" s="876">
        <v>0.33</v>
      </c>
      <c r="AF93" s="1000" t="e">
        <f t="shared" si="0"/>
        <v>#NAME?</v>
      </c>
      <c r="AG93" s="971" t="e">
        <f ca="1">IF(AC93="","",_xll.RHistory($AA$41,".Close","END:"&amp;AC93&amp;" NBROWS:1 ADJUSTED:NO INTERVAL:1D",,"TSREPEAT:NO"))</f>
        <v>#NAME?</v>
      </c>
      <c r="AH93" s="971" t="e">
        <f ca="1">IF(AC93="","",_xll.RHistory($AA$41,".Close","END:"&amp;AC93&amp;" NBROWS:1 ADJUSTED:YES INTERVAL:1D",,"TSREPEAT:NO"))</f>
        <v>#NAME?</v>
      </c>
    </row>
    <row r="94" spans="4:34" ht="17.649999999999999">
      <c r="D94" s="1002"/>
      <c r="L94" s="1003"/>
      <c r="M94" s="1004"/>
      <c r="N94" s="1005"/>
      <c r="O94" s="1006"/>
      <c r="P94" s="1006"/>
      <c r="Q94" s="1006"/>
      <c r="S94" s="1007"/>
      <c r="Z94" s="901">
        <v>43957</v>
      </c>
      <c r="AA94" s="901">
        <v>43958</v>
      </c>
      <c r="AB94" s="901">
        <v>43983</v>
      </c>
      <c r="AC94" s="901">
        <v>43957</v>
      </c>
      <c r="AD94" s="876" t="s">
        <v>1080</v>
      </c>
      <c r="AE94" s="876">
        <v>0.33</v>
      </c>
      <c r="AF94" s="1000" t="e">
        <f t="shared" si="0"/>
        <v>#NAME?</v>
      </c>
      <c r="AG94" s="971" t="e">
        <f ca="1">IF(AC94="","",_xll.RHistory($AA$41,".Close","END:"&amp;AC94&amp;" NBROWS:1 ADJUSTED:NO INTERVAL:1D",,"TSREPEAT:NO"))</f>
        <v>#NAME?</v>
      </c>
      <c r="AH94" s="971" t="e">
        <f ca="1">IF(AC94="","",_xll.RHistory($AA$41,".Close","END:"&amp;AC94&amp;" NBROWS:1 ADJUSTED:YES INTERVAL:1D",,"TSREPEAT:NO"))</f>
        <v>#NAME?</v>
      </c>
    </row>
    <row r="95" spans="4:34" ht="17.649999999999999">
      <c r="D95" s="1002"/>
      <c r="L95" s="1003"/>
      <c r="M95" s="1004"/>
      <c r="N95" s="1005"/>
      <c r="O95" s="1006"/>
      <c r="P95" s="1006"/>
      <c r="Q95" s="1006"/>
      <c r="S95" s="1007"/>
      <c r="T95" s="925"/>
      <c r="Z95" s="901">
        <v>44049</v>
      </c>
      <c r="AA95" s="901">
        <v>44050</v>
      </c>
      <c r="AB95" s="901">
        <v>44075</v>
      </c>
      <c r="AC95" s="901">
        <v>44049</v>
      </c>
      <c r="AD95" s="876" t="s">
        <v>1080</v>
      </c>
      <c r="AE95" s="876">
        <v>0.33</v>
      </c>
      <c r="AF95" s="1000" t="e">
        <f t="shared" si="0"/>
        <v>#NAME?</v>
      </c>
      <c r="AG95" s="971" t="e">
        <f ca="1">IF(AC95="","",_xll.RHistory($AA$41,".Close","END:"&amp;AC95&amp;" NBROWS:1 ADJUSTED:NO INTERVAL:1D",,"TSREPEAT:NO"))</f>
        <v>#NAME?</v>
      </c>
      <c r="AH95" s="971" t="e">
        <f ca="1">IF(AC95="","",_xll.RHistory($AA$41,".Close","END:"&amp;AC95&amp;" NBROWS:1 ADJUSTED:YES INTERVAL:1D",,"TSREPEAT:NO"))</f>
        <v>#NAME?</v>
      </c>
    </row>
    <row r="96" spans="4:34" ht="17.649999999999999">
      <c r="D96" s="1002"/>
      <c r="L96" s="1003"/>
      <c r="M96" s="1004"/>
      <c r="N96" s="1005"/>
      <c r="O96" s="1006"/>
      <c r="P96" s="1006"/>
      <c r="Q96" s="1006"/>
      <c r="S96" s="1007"/>
      <c r="Z96" s="901">
        <v>44140</v>
      </c>
      <c r="AA96" s="901">
        <v>44142</v>
      </c>
      <c r="AB96" s="901">
        <v>44166</v>
      </c>
      <c r="AC96" s="901">
        <v>44140</v>
      </c>
      <c r="AD96" s="876" t="s">
        <v>1080</v>
      </c>
      <c r="AE96" s="876">
        <v>0.33</v>
      </c>
      <c r="AF96" s="1000" t="e">
        <f t="shared" si="0"/>
        <v>#NAME?</v>
      </c>
      <c r="AG96" s="971" t="e">
        <f ca="1">IF(AC96="","",_xll.RHistory($AA$41,".Close","END:"&amp;AC96&amp;" NBROWS:1 ADJUSTED:NO INTERVAL:1D",,"TSREPEAT:NO"))</f>
        <v>#NAME?</v>
      </c>
      <c r="AH96" s="971" t="e">
        <f ca="1">IF(AC96="","",_xll.RHistory($AA$41,".Close","END:"&amp;AC96&amp;" NBROWS:1 ADJUSTED:YES INTERVAL:1D",,"TSREPEAT:NO"))</f>
        <v>#NAME?</v>
      </c>
    </row>
    <row r="97" spans="4:34" ht="17.649999999999999">
      <c r="D97" s="1002"/>
      <c r="L97" s="1003"/>
      <c r="M97" s="1004"/>
      <c r="N97" s="1005"/>
      <c r="O97" s="1006"/>
      <c r="P97" s="1006"/>
      <c r="Q97" s="1006"/>
      <c r="S97" s="1007"/>
      <c r="Z97" s="901">
        <v>44231</v>
      </c>
      <c r="AA97" s="901">
        <v>44234</v>
      </c>
      <c r="AB97" s="901">
        <v>44256</v>
      </c>
      <c r="AC97" s="901">
        <v>44231</v>
      </c>
      <c r="AD97" s="876" t="s">
        <v>1080</v>
      </c>
      <c r="AE97" s="876">
        <v>0.34749999999999998</v>
      </c>
      <c r="AF97" s="1000" t="e">
        <f t="shared" si="0"/>
        <v>#NAME?</v>
      </c>
      <c r="AG97" s="971" t="e">
        <f ca="1">IF(AC97="","",_xll.RHistory($AA$41,".Close","END:"&amp;AC97&amp;" NBROWS:1 ADJUSTED:NO INTERVAL:1D",,"TSREPEAT:NO"))</f>
        <v>#NAME?</v>
      </c>
      <c r="AH97" s="971" t="e">
        <f ca="1">IF(AC97="","",_xll.RHistory($AA$41,".Close","END:"&amp;AC97&amp;" NBROWS:1 ADJUSTED:YES INTERVAL:1D",,"TSREPEAT:NO"))</f>
        <v>#NAME?</v>
      </c>
    </row>
    <row r="98" spans="4:34" ht="17.649999999999999">
      <c r="D98" s="1002"/>
      <c r="L98" s="1003"/>
      <c r="M98" s="1004"/>
      <c r="N98" s="1005"/>
      <c r="O98" s="1006"/>
      <c r="P98" s="1006"/>
      <c r="Q98" s="1006"/>
      <c r="S98" s="1007"/>
      <c r="Z98" s="901">
        <v>44322</v>
      </c>
      <c r="AA98" s="901">
        <v>44323</v>
      </c>
      <c r="AB98" s="901">
        <v>44348</v>
      </c>
      <c r="AC98" s="901">
        <v>44322</v>
      </c>
      <c r="AD98" s="876" t="s">
        <v>1080</v>
      </c>
      <c r="AE98" s="876">
        <v>0.34749999999999998</v>
      </c>
      <c r="AF98" s="1000" t="e">
        <f t="shared" si="0"/>
        <v>#NAME?</v>
      </c>
      <c r="AG98" s="971" t="e">
        <f ca="1">IF(AC98="","",_xll.RHistory($AA$41,".Close","END:"&amp;AC98&amp;" NBROWS:1 ADJUSTED:NO INTERVAL:1D",,"TSREPEAT:NO"))</f>
        <v>#NAME?</v>
      </c>
      <c r="AH98" s="971" t="e">
        <f ca="1">IF(AC98="","",_xll.RHistory($AA$41,".Close","END:"&amp;AC98&amp;" NBROWS:1 ADJUSTED:YES INTERVAL:1D",,"TSREPEAT:NO"))</f>
        <v>#NAME?</v>
      </c>
    </row>
    <row r="99" spans="4:34" ht="17.649999999999999">
      <c r="D99" s="1002"/>
      <c r="L99" s="1003"/>
      <c r="M99" s="1004"/>
      <c r="N99" s="1005"/>
      <c r="O99" s="1006"/>
      <c r="P99" s="1006"/>
      <c r="Q99" s="1006"/>
      <c r="S99" s="1007"/>
      <c r="Z99" s="901">
        <v>44413</v>
      </c>
      <c r="AA99" s="901">
        <v>44415</v>
      </c>
      <c r="AB99" s="901">
        <v>44440</v>
      </c>
      <c r="AC99" s="901">
        <v>44413</v>
      </c>
      <c r="AD99" s="876" t="s">
        <v>1080</v>
      </c>
      <c r="AE99" s="876">
        <v>0.34749999999999998</v>
      </c>
      <c r="AF99" s="1000" t="e">
        <f t="shared" si="0"/>
        <v>#NAME?</v>
      </c>
      <c r="AG99" s="971" t="e">
        <f ca="1">IF(AC99="","",_xll.RHistory($AA$41,".Close","END:"&amp;AC99&amp;" NBROWS:1 ADJUSTED:NO INTERVAL:1D",,"TSREPEAT:NO"))</f>
        <v>#NAME?</v>
      </c>
      <c r="AH99" s="971" t="e">
        <f ca="1">IF(AC99="","",_xll.RHistory($AA$41,".Close","END:"&amp;AC99&amp;" NBROWS:1 ADJUSTED:YES INTERVAL:1D",,"TSREPEAT:NO"))</f>
        <v>#NAME?</v>
      </c>
    </row>
    <row r="100" spans="4:34" ht="17.649999999999999">
      <c r="D100" s="1002"/>
      <c r="L100" s="1003"/>
      <c r="M100" s="1004"/>
      <c r="N100" s="1005"/>
      <c r="O100" s="1006"/>
      <c r="P100" s="1006"/>
      <c r="Q100" s="1006"/>
      <c r="S100" s="1007"/>
      <c r="Z100" s="901">
        <v>44504</v>
      </c>
      <c r="AA100" s="901">
        <v>44507</v>
      </c>
      <c r="AB100" s="901">
        <v>44531</v>
      </c>
      <c r="AC100" s="901">
        <v>44504</v>
      </c>
      <c r="AD100" s="876" t="s">
        <v>1080</v>
      </c>
      <c r="AE100" s="876">
        <v>0.34749999999999998</v>
      </c>
      <c r="AF100" s="1000" t="e">
        <f t="shared" si="0"/>
        <v>#NAME?</v>
      </c>
      <c r="AG100" s="971" t="e">
        <f ca="1">IF(AC100="","",_xll.RHistory($AA$41,".Close","END:"&amp;AC100&amp;" NBROWS:1 ADJUSTED:NO INTERVAL:1D",,"TSREPEAT:NO"))</f>
        <v>#NAME?</v>
      </c>
      <c r="AH100" s="971" t="e">
        <f ca="1">IF(AC100="","",_xll.RHistory($AA$41,".Close","END:"&amp;AC100&amp;" NBROWS:1 ADJUSTED:YES INTERVAL:1D",,"TSREPEAT:NO"))</f>
        <v>#NAME?</v>
      </c>
    </row>
    <row r="101" spans="4:34" ht="17.649999999999999">
      <c r="D101" s="1002"/>
      <c r="L101" s="1003"/>
      <c r="M101" s="1004"/>
      <c r="N101" s="1005"/>
      <c r="O101" s="1006"/>
      <c r="P101" s="1006"/>
      <c r="Q101" s="1006"/>
      <c r="S101" s="951"/>
      <c r="Z101" s="901">
        <v>44596</v>
      </c>
      <c r="AA101" s="901">
        <v>44599</v>
      </c>
      <c r="AB101" s="901">
        <v>44621</v>
      </c>
      <c r="AC101" s="901">
        <v>44596</v>
      </c>
      <c r="AD101" s="876" t="s">
        <v>1080</v>
      </c>
      <c r="AE101" s="876">
        <v>0.36499999999999999</v>
      </c>
      <c r="AF101" s="1000" t="e">
        <f t="shared" si="0"/>
        <v>#NAME?</v>
      </c>
      <c r="AG101" s="971" t="e">
        <f ca="1">IF(AC101="","",_xll.RHistory($AA$41,".Close","END:"&amp;AC101&amp;" NBROWS:1 ADJUSTED:NO INTERVAL:1D",,"TSREPEAT:NO"))</f>
        <v>#NAME?</v>
      </c>
      <c r="AH101" s="971" t="e">
        <f ca="1">IF(AC101="","",_xll.RHistory($AA$41,".Close","END:"&amp;AC101&amp;" NBROWS:1 ADJUSTED:YES INTERVAL:1D",,"TSREPEAT:NO"))</f>
        <v>#NAME?</v>
      </c>
    </row>
    <row r="102" spans="4:34" ht="17.649999999999999">
      <c r="D102" s="1002"/>
      <c r="L102" s="1003"/>
      <c r="M102" s="1004"/>
      <c r="N102" s="1005"/>
      <c r="O102" s="1006"/>
      <c r="P102" s="1006"/>
      <c r="Q102" s="1006"/>
      <c r="Z102" s="901"/>
      <c r="AA102" s="901"/>
      <c r="AB102" s="901"/>
      <c r="AC102" s="901"/>
      <c r="AF102" s="1000" t="str">
        <f t="shared" si="0"/>
        <v/>
      </c>
      <c r="AG102" s="971" t="str">
        <f>IF(AC102="","",_xll.RHistory($AA$41,".Close","END:"&amp;AC102&amp;" NBROWS:1 ADJUSTED:NO INTERVAL:1D",,"TSREPEAT:NO"))</f>
        <v/>
      </c>
      <c r="AH102" s="971" t="str">
        <f>IF(AC102="","",_xll.RHistory($AA$41,".Close","END:"&amp;AC102&amp;" NBROWS:1 ADJUSTED:YES INTERVAL:1D",,"TSREPEAT:NO"))</f>
        <v/>
      </c>
    </row>
    <row r="103" spans="4:34" ht="17.649999999999999">
      <c r="D103" s="1002"/>
      <c r="L103" s="1003"/>
      <c r="M103" s="1004"/>
      <c r="N103" s="1005"/>
      <c r="O103" s="1006"/>
      <c r="P103" s="1006"/>
      <c r="Q103" s="1006"/>
      <c r="Z103" s="901"/>
      <c r="AA103" s="901"/>
      <c r="AB103" s="901"/>
      <c r="AC103" s="901"/>
      <c r="AF103" s="1000" t="str">
        <f t="shared" si="0"/>
        <v/>
      </c>
      <c r="AG103" s="971" t="str">
        <f>IF(AC103="","",_xll.RHistory($AA$41,".Close","END:"&amp;AC103&amp;" NBROWS:1 ADJUSTED:NO INTERVAL:1D",,"TSREPEAT:NO"))</f>
        <v/>
      </c>
      <c r="AH103" s="971" t="str">
        <f>IF(AC103="","",_xll.RHistory($AA$41,".Close","END:"&amp;AC103&amp;" NBROWS:1 ADJUSTED:YES INTERVAL:1D",,"TSREPEAT:NO"))</f>
        <v/>
      </c>
    </row>
    <row r="104" spans="4:34" ht="17.649999999999999">
      <c r="D104" s="1002"/>
      <c r="L104" s="1003"/>
      <c r="M104" s="1004"/>
      <c r="N104" s="1005"/>
      <c r="O104" s="1006"/>
      <c r="P104" s="1006"/>
      <c r="Q104" s="1006"/>
      <c r="Z104" s="901"/>
      <c r="AA104" s="901"/>
      <c r="AB104" s="901"/>
      <c r="AC104" s="901"/>
      <c r="AF104" s="1000" t="str">
        <f t="shared" si="0"/>
        <v/>
      </c>
      <c r="AG104" s="971" t="str">
        <f>IF(AC104="","",_xll.RHistory($AA$41,".Close","END:"&amp;AC104&amp;" NBROWS:1 ADJUSTED:NO INTERVAL:1D",,"TSREPEAT:NO"))</f>
        <v/>
      </c>
      <c r="AH104" s="971" t="str">
        <f>IF(AC104="","",_xll.RHistory($AA$41,".Close","END:"&amp;AC104&amp;" NBROWS:1 ADJUSTED:YES INTERVAL:1D",,"TSREPEAT:NO"))</f>
        <v/>
      </c>
    </row>
    <row r="105" spans="4:34" ht="17.649999999999999">
      <c r="D105" s="1002"/>
      <c r="L105" s="1003"/>
      <c r="M105" s="1004"/>
      <c r="N105" s="1005"/>
      <c r="O105" s="1006"/>
      <c r="P105" s="1006"/>
      <c r="Q105" s="1006"/>
      <c r="Z105" s="901"/>
      <c r="AA105" s="901"/>
      <c r="AB105" s="901"/>
      <c r="AC105" s="901"/>
      <c r="AF105" s="1000" t="str">
        <f t="shared" si="0"/>
        <v/>
      </c>
      <c r="AG105" s="971" t="str">
        <f>IF(AC105="","",_xll.RHistory($AA$41,".Close","END:"&amp;AC105&amp;" NBROWS:1 ADJUSTED:NO INTERVAL:1D",,"TSREPEAT:NO"))</f>
        <v/>
      </c>
      <c r="AH105" s="971" t="str">
        <f>IF(AC105="","",_xll.RHistory($AA$41,".Close","END:"&amp;AC105&amp;" NBROWS:1 ADJUSTED:YES INTERVAL:1D",,"TSREPEAT:NO"))</f>
        <v/>
      </c>
    </row>
    <row r="106" spans="4:34" ht="17.649999999999999">
      <c r="D106" s="1002"/>
      <c r="L106" s="1003"/>
      <c r="M106" s="1004"/>
      <c r="N106" s="1005"/>
      <c r="O106" s="1006"/>
      <c r="P106" s="1006"/>
      <c r="Q106" s="1006"/>
      <c r="Z106" s="901"/>
      <c r="AA106" s="901"/>
      <c r="AB106" s="901"/>
      <c r="AC106" s="901"/>
      <c r="AF106" s="1000" t="str">
        <f t="shared" si="0"/>
        <v/>
      </c>
      <c r="AG106" s="971" t="str">
        <f>IF(AC106="","",_xll.RHistory($AA$41,".Close","END:"&amp;AC106&amp;" NBROWS:1 ADJUSTED:NO INTERVAL:1D",,"TSREPEAT:NO"))</f>
        <v/>
      </c>
      <c r="AH106" s="971" t="str">
        <f>IF(AC106="","",_xll.RHistory($AA$41,".Close","END:"&amp;AC106&amp;" NBROWS:1 ADJUSTED:YES INTERVAL:1D",,"TSREPEAT:NO"))</f>
        <v/>
      </c>
    </row>
    <row r="107" spans="4:34" ht="17.649999999999999">
      <c r="D107" s="1002"/>
      <c r="L107" s="1003"/>
      <c r="M107" s="1004"/>
      <c r="N107" s="1005"/>
      <c r="O107" s="1006"/>
      <c r="P107" s="1006"/>
      <c r="Q107" s="1006"/>
      <c r="Z107" s="901"/>
      <c r="AA107" s="901"/>
      <c r="AB107" s="901"/>
      <c r="AC107" s="901"/>
      <c r="AF107" s="1000" t="str">
        <f t="shared" si="0"/>
        <v/>
      </c>
      <c r="AG107" s="971" t="str">
        <f>IF(AC107="","",_xll.RHistory($AA$41,".Close","END:"&amp;AC107&amp;" NBROWS:1 ADJUSTED:NO INTERVAL:1D",,"TSREPEAT:NO"))</f>
        <v/>
      </c>
      <c r="AH107" s="971" t="str">
        <f>IF(AC107="","",_xll.RHistory($AA$41,".Close","END:"&amp;AC107&amp;" NBROWS:1 ADJUSTED:YES INTERVAL:1D",,"TSREPEAT:NO"))</f>
        <v/>
      </c>
    </row>
    <row r="108" spans="4:34" ht="17.649999999999999">
      <c r="D108" s="1002"/>
      <c r="L108" s="1003"/>
      <c r="M108" s="1004"/>
      <c r="N108" s="1005"/>
      <c r="O108" s="1006"/>
      <c r="P108" s="1006"/>
      <c r="Q108" s="1006"/>
      <c r="Z108" s="901"/>
      <c r="AA108" s="901"/>
      <c r="AB108" s="901"/>
      <c r="AC108" s="901"/>
      <c r="AF108" s="1000" t="str">
        <f t="shared" si="0"/>
        <v/>
      </c>
      <c r="AG108" s="971" t="str">
        <f>IF(AC108="","",_xll.RHistory($AA$41,".Close","END:"&amp;AC108&amp;" NBROWS:1 ADJUSTED:NO INTERVAL:1D",,"TSREPEAT:NO"))</f>
        <v/>
      </c>
      <c r="AH108" s="971" t="str">
        <f>IF(AC108="","",_xll.RHistory($AA$41,".Close","END:"&amp;AC108&amp;" NBROWS:1 ADJUSTED:YES INTERVAL:1D",,"TSREPEAT:NO"))</f>
        <v/>
      </c>
    </row>
    <row r="109" spans="4:34" ht="17.649999999999999">
      <c r="D109" s="1002"/>
      <c r="L109" s="1003"/>
      <c r="M109" s="1004"/>
      <c r="N109" s="1005"/>
      <c r="O109" s="1006"/>
      <c r="P109" s="1006"/>
      <c r="Q109" s="1006"/>
      <c r="Z109" s="901"/>
      <c r="AA109" s="901"/>
      <c r="AB109" s="901"/>
      <c r="AC109" s="901"/>
      <c r="AF109" s="1000" t="str">
        <f t="shared" si="0"/>
        <v/>
      </c>
      <c r="AG109" s="971" t="str">
        <f>IF(AC109="","",_xll.RHistory($AA$41,".Close","END:"&amp;AC109&amp;" NBROWS:1 ADJUSTED:NO INTERVAL:1D",,"TSREPEAT:NO"))</f>
        <v/>
      </c>
      <c r="AH109" s="971" t="str">
        <f>IF(AC109="","",_xll.RHistory($AA$41,".Close","END:"&amp;AC109&amp;" NBROWS:1 ADJUSTED:YES INTERVAL:1D",,"TSREPEAT:NO"))</f>
        <v/>
      </c>
    </row>
    <row r="110" spans="4:34" ht="17.649999999999999">
      <c r="D110" s="1002"/>
      <c r="L110" s="1003"/>
      <c r="M110" s="1004"/>
      <c r="N110" s="1005"/>
      <c r="O110" s="1006"/>
      <c r="P110" s="1006"/>
      <c r="Q110" s="1006"/>
      <c r="Z110" s="901"/>
      <c r="AA110" s="901"/>
      <c r="AB110" s="901"/>
      <c r="AC110" s="901"/>
      <c r="AF110" s="1000" t="str">
        <f t="shared" si="0"/>
        <v/>
      </c>
      <c r="AG110" s="971" t="str">
        <f>IF(AC110="","",_xll.RHistory($AA$41,".Close","END:"&amp;AC110&amp;" NBROWS:1 ADJUSTED:NO INTERVAL:1D",,"TSREPEAT:NO"))</f>
        <v/>
      </c>
      <c r="AH110" s="971" t="str">
        <f>IF(AC110="","",_xll.RHistory($AA$41,".Close","END:"&amp;AC110&amp;" NBROWS:1 ADJUSTED:YES INTERVAL:1D",,"TSREPEAT:NO"))</f>
        <v/>
      </c>
    </row>
    <row r="111" spans="4:34" ht="17.649999999999999">
      <c r="D111" s="1002"/>
      <c r="L111" s="1003"/>
      <c r="M111" s="1004"/>
      <c r="N111" s="1005"/>
      <c r="O111" s="1006"/>
      <c r="P111" s="1006"/>
      <c r="Q111" s="1006"/>
      <c r="Z111" s="901"/>
      <c r="AA111" s="901"/>
      <c r="AB111" s="901"/>
      <c r="AC111" s="901"/>
      <c r="AF111" s="1000" t="str">
        <f t="shared" si="0"/>
        <v/>
      </c>
      <c r="AG111" s="971" t="str">
        <f>IF(AC111="","",_xll.RHistory($AA$41,".Close","END:"&amp;AC111&amp;" NBROWS:1 ADJUSTED:NO INTERVAL:1D",,"TSREPEAT:NO"))</f>
        <v/>
      </c>
      <c r="AH111" s="971" t="str">
        <f>IF(AC111="","",_xll.RHistory($AA$41,".Close","END:"&amp;AC111&amp;" NBROWS:1 ADJUSTED:YES INTERVAL:1D",,"TSREPEAT:NO"))</f>
        <v/>
      </c>
    </row>
    <row r="112" spans="4:34" ht="17.649999999999999">
      <c r="D112" s="1002"/>
      <c r="L112" s="1003"/>
      <c r="M112" s="1004"/>
      <c r="N112" s="1008"/>
      <c r="O112" s="1006"/>
      <c r="P112" s="1006"/>
      <c r="Q112" s="1006"/>
      <c r="Z112" s="901"/>
      <c r="AA112" s="901"/>
      <c r="AB112" s="901"/>
      <c r="AC112" s="901"/>
      <c r="AF112" s="1000" t="str">
        <f t="shared" si="0"/>
        <v/>
      </c>
      <c r="AG112" s="971" t="str">
        <f>IF(AC112="","",_xll.RHistory($AA$41,".Close","END:"&amp;AC112&amp;" NBROWS:1 ADJUSTED:NO INTERVAL:1D",,"TSREPEAT:NO"))</f>
        <v/>
      </c>
      <c r="AH112" s="971" t="str">
        <f>IF(AC112="","",_xll.RHistory($AA$41,".Close","END:"&amp;AC112&amp;" NBROWS:1 ADJUSTED:YES INTERVAL:1D",,"TSREPEAT:NO"))</f>
        <v/>
      </c>
    </row>
    <row r="113" spans="4:34" ht="17.649999999999999">
      <c r="D113" s="1002"/>
      <c r="L113" s="1003"/>
      <c r="M113" s="1004"/>
      <c r="N113" s="1008"/>
      <c r="O113" s="1006"/>
      <c r="P113" s="1006"/>
      <c r="Q113" s="1006"/>
      <c r="Z113" s="901"/>
      <c r="AA113" s="901"/>
      <c r="AB113" s="901"/>
      <c r="AC113" s="901"/>
      <c r="AF113" s="1000" t="str">
        <f t="shared" si="0"/>
        <v/>
      </c>
      <c r="AG113" s="971" t="str">
        <f>IF(AC113="","",_xll.RHistory($AA$41,".Close","END:"&amp;AC113&amp;" NBROWS:1 ADJUSTED:NO INTERVAL:1D",,"TSREPEAT:NO"))</f>
        <v/>
      </c>
      <c r="AH113" s="971" t="str">
        <f>IF(AC113="","",_xll.RHistory($AA$41,".Close","END:"&amp;AC113&amp;" NBROWS:1 ADJUSTED:YES INTERVAL:1D",,"TSREPEAT:NO"))</f>
        <v/>
      </c>
    </row>
    <row r="114" spans="4:34" ht="17.649999999999999">
      <c r="D114" s="1002"/>
      <c r="L114" s="1003"/>
      <c r="M114" s="1004"/>
      <c r="N114" s="1005"/>
      <c r="O114" s="1006"/>
      <c r="P114" s="1006"/>
      <c r="Q114" s="1006"/>
      <c r="Z114" s="901"/>
      <c r="AA114" s="901"/>
      <c r="AB114" s="901"/>
      <c r="AC114" s="901"/>
      <c r="AF114" s="1000" t="str">
        <f t="shared" si="0"/>
        <v/>
      </c>
      <c r="AG114" s="971" t="str">
        <f>IF(AC114="","",_xll.RHistory($AA$41,".Close","END:"&amp;AC114&amp;" NBROWS:1 ADJUSTED:NO INTERVAL:1D",,"TSREPEAT:NO"))</f>
        <v/>
      </c>
      <c r="AH114" s="971" t="str">
        <f>IF(AC114="","",_xll.RHistory($AA$41,".Close","END:"&amp;AC114&amp;" NBROWS:1 ADJUSTED:YES INTERVAL:1D",,"TSREPEAT:NO"))</f>
        <v/>
      </c>
    </row>
    <row r="115" spans="4:34" ht="17.649999999999999">
      <c r="D115" s="1002"/>
      <c r="L115" s="1003"/>
      <c r="M115" s="1004"/>
      <c r="N115" s="1005"/>
      <c r="O115" s="1006"/>
      <c r="P115" s="1006"/>
      <c r="Q115" s="1006"/>
      <c r="Z115" s="901"/>
      <c r="AA115" s="901"/>
      <c r="AB115" s="901"/>
      <c r="AC115" s="901"/>
      <c r="AF115" s="1000" t="str">
        <f t="shared" si="0"/>
        <v/>
      </c>
      <c r="AG115" s="971" t="str">
        <f>IF(AC115="","",_xll.RHistory($AA$41,".Close","END:"&amp;AC115&amp;" NBROWS:1 ADJUSTED:NO INTERVAL:1D",,"TSREPEAT:NO"))</f>
        <v/>
      </c>
      <c r="AH115" s="971" t="str">
        <f>IF(AC115="","",_xll.RHistory($AA$41,".Close","END:"&amp;AC115&amp;" NBROWS:1 ADJUSTED:YES INTERVAL:1D",,"TSREPEAT:NO"))</f>
        <v/>
      </c>
    </row>
    <row r="116" spans="4:34" ht="17.649999999999999">
      <c r="D116" s="1002"/>
      <c r="L116" s="1003"/>
      <c r="M116" s="1004"/>
      <c r="N116" s="1005"/>
      <c r="O116" s="1006"/>
      <c r="P116" s="1006"/>
      <c r="Q116" s="1006"/>
      <c r="Z116" s="901"/>
      <c r="AA116" s="901"/>
      <c r="AB116" s="901"/>
      <c r="AC116" s="901"/>
      <c r="AF116" s="1000" t="str">
        <f t="shared" si="0"/>
        <v/>
      </c>
      <c r="AG116" s="971" t="str">
        <f>IF(AC116="","",_xll.RHistory($AA$41,".Close","END:"&amp;AC116&amp;" NBROWS:1 ADJUSTED:NO INTERVAL:1D",,"TSREPEAT:NO"))</f>
        <v/>
      </c>
      <c r="AH116" s="971" t="str">
        <f>IF(AC116="","",_xll.RHistory($AA$41,".Close","END:"&amp;AC116&amp;" NBROWS:1 ADJUSTED:YES INTERVAL:1D",,"TSREPEAT:NO"))</f>
        <v/>
      </c>
    </row>
    <row r="117" spans="4:34" ht="17.649999999999999">
      <c r="D117" s="1002"/>
      <c r="L117" s="1003"/>
      <c r="M117" s="1004"/>
      <c r="N117" s="1005"/>
      <c r="O117" s="1006"/>
      <c r="P117" s="1006"/>
      <c r="Q117" s="1006"/>
      <c r="Z117" s="901"/>
      <c r="AA117" s="901"/>
      <c r="AB117" s="901"/>
      <c r="AC117" s="901"/>
      <c r="AF117" s="1000" t="str">
        <f t="shared" si="0"/>
        <v/>
      </c>
      <c r="AG117" s="971" t="str">
        <f>IF(AC117="","",_xll.RHistory($AA$41,".Close","END:"&amp;AC117&amp;" NBROWS:1 ADJUSTED:NO INTERVAL:1D",,"TSREPEAT:NO"))</f>
        <v/>
      </c>
      <c r="AH117" s="971" t="str">
        <f>IF(AC117="","",_xll.RHistory($AA$41,".Close","END:"&amp;AC117&amp;" NBROWS:1 ADJUSTED:YES INTERVAL:1D",,"TSREPEAT:NO"))</f>
        <v/>
      </c>
    </row>
    <row r="118" spans="4:34" ht="17.649999999999999">
      <c r="D118" s="1002"/>
      <c r="L118" s="1003"/>
      <c r="M118" s="1004"/>
      <c r="N118" s="1005"/>
      <c r="O118" s="1006"/>
      <c r="P118" s="1006"/>
      <c r="Q118" s="1006"/>
      <c r="Z118" s="901"/>
      <c r="AA118" s="901"/>
      <c r="AB118" s="901"/>
      <c r="AC118" s="901"/>
      <c r="AF118" s="1000" t="str">
        <f t="shared" si="0"/>
        <v/>
      </c>
      <c r="AG118" s="971" t="str">
        <f>IF(AC118="","",_xll.RHistory($AA$41,".Close","END:"&amp;AC118&amp;" NBROWS:1 ADJUSTED:NO INTERVAL:1D",,"TSREPEAT:NO"))</f>
        <v/>
      </c>
      <c r="AH118" s="971" t="str">
        <f>IF(AC118="","",_xll.RHistory($AA$41,".Close","END:"&amp;AC118&amp;" NBROWS:1 ADJUSTED:YES INTERVAL:1D",,"TSREPEAT:NO"))</f>
        <v/>
      </c>
    </row>
    <row r="119" spans="4:34" ht="17.649999999999999">
      <c r="D119" s="1002"/>
      <c r="L119" s="1003"/>
      <c r="M119" s="1004"/>
      <c r="N119" s="1005"/>
      <c r="O119" s="1006"/>
      <c r="P119" s="1006"/>
      <c r="Q119" s="1006"/>
      <c r="Z119" s="901"/>
      <c r="AA119" s="901"/>
      <c r="AB119" s="901"/>
      <c r="AC119" s="901"/>
      <c r="AF119" s="1000" t="str">
        <f t="shared" si="0"/>
        <v/>
      </c>
      <c r="AG119" s="971" t="str">
        <f>IF(AC119="","",_xll.RHistory($AA$41,".Close","END:"&amp;AC119&amp;" NBROWS:1 ADJUSTED:NO INTERVAL:1D",,"TSREPEAT:NO"))</f>
        <v/>
      </c>
      <c r="AH119" s="971" t="str">
        <f>IF(AC119="","",_xll.RHistory($AA$41,".Close","END:"&amp;AC119&amp;" NBROWS:1 ADJUSTED:YES INTERVAL:1D",,"TSREPEAT:NO"))</f>
        <v/>
      </c>
    </row>
    <row r="120" spans="4:34" ht="17.649999999999999">
      <c r="D120" s="1002"/>
      <c r="L120" s="1003"/>
      <c r="M120" s="1004"/>
      <c r="N120" s="1005"/>
      <c r="O120" s="1006"/>
      <c r="P120" s="1006"/>
      <c r="Q120" s="1006"/>
      <c r="Z120" s="901"/>
      <c r="AA120" s="901"/>
      <c r="AB120" s="901"/>
      <c r="AC120" s="901"/>
      <c r="AF120" s="1000" t="str">
        <f t="shared" si="0"/>
        <v/>
      </c>
      <c r="AG120" s="971" t="str">
        <f>IF(AC120="","",_xll.RHistory($AA$41,".Close","END:"&amp;AC120&amp;" NBROWS:1 ADJUSTED:NO INTERVAL:1D",,"TSREPEAT:NO"))</f>
        <v/>
      </c>
      <c r="AH120" s="971" t="str">
        <f>IF(AC120="","",_xll.RHistory($AA$41,".Close","END:"&amp;AC120&amp;" NBROWS:1 ADJUSTED:YES INTERVAL:1D",,"TSREPEAT:NO"))</f>
        <v/>
      </c>
    </row>
    <row r="121" spans="4:34" ht="17.649999999999999">
      <c r="D121" s="1002"/>
      <c r="L121" s="1003"/>
      <c r="M121" s="1004"/>
      <c r="N121" s="1005"/>
      <c r="O121" s="1006"/>
      <c r="P121" s="1006"/>
      <c r="Q121" s="1006"/>
      <c r="Z121" s="901"/>
      <c r="AA121" s="901"/>
      <c r="AB121" s="901"/>
      <c r="AC121" s="901"/>
      <c r="AF121" s="1000" t="str">
        <f t="shared" si="0"/>
        <v/>
      </c>
      <c r="AG121" s="971" t="str">
        <f>IF(AC121="","",_xll.RHistory($AA$41,".Close","END:"&amp;AC121&amp;" NBROWS:1 ADJUSTED:NO INTERVAL:1D",,"TSREPEAT:NO"))</f>
        <v/>
      </c>
      <c r="AH121" s="971" t="str">
        <f>IF(AC121="","",_xll.RHistory($AA$41,".Close","END:"&amp;AC121&amp;" NBROWS:1 ADJUSTED:YES INTERVAL:1D",,"TSREPEAT:NO"))</f>
        <v/>
      </c>
    </row>
    <row r="122" spans="4:34" ht="17.649999999999999">
      <c r="D122" s="1002"/>
      <c r="L122" s="1003"/>
      <c r="M122" s="1004"/>
      <c r="N122" s="1005"/>
      <c r="O122" s="1006"/>
      <c r="P122" s="1006"/>
      <c r="Q122" s="1006"/>
      <c r="Z122" s="901"/>
      <c r="AA122" s="901"/>
      <c r="AB122" s="901"/>
      <c r="AC122" s="901"/>
      <c r="AF122" s="1000" t="str">
        <f t="shared" si="0"/>
        <v/>
      </c>
      <c r="AG122" s="971" t="str">
        <f>IF(AC122="","",_xll.RHistory($AA$41,".Close","END:"&amp;AC122&amp;" NBROWS:1 ADJUSTED:NO INTERVAL:1D",,"TSREPEAT:NO"))</f>
        <v/>
      </c>
      <c r="AH122" s="971" t="str">
        <f>IF(AC122="","",_xll.RHistory($AA$41,".Close","END:"&amp;AC122&amp;" NBROWS:1 ADJUSTED:YES INTERVAL:1D",,"TSREPEAT:NO"))</f>
        <v/>
      </c>
    </row>
    <row r="123" spans="4:34" ht="17.649999999999999">
      <c r="D123" s="1002"/>
      <c r="L123" s="1003"/>
      <c r="M123" s="1004"/>
      <c r="N123" s="1005"/>
      <c r="O123" s="1006"/>
      <c r="P123" s="1006"/>
      <c r="Q123" s="1006"/>
      <c r="Z123" s="901"/>
      <c r="AA123" s="901"/>
      <c r="AB123" s="901"/>
      <c r="AC123" s="901"/>
      <c r="AF123" s="1000" t="str">
        <f t="shared" si="0"/>
        <v/>
      </c>
      <c r="AG123" s="971" t="str">
        <f>IF(AC123="","",_xll.RHistory($AA$41,".Close","END:"&amp;AC123&amp;" NBROWS:1 ADJUSTED:NO INTERVAL:1D",,"TSREPEAT:NO"))</f>
        <v/>
      </c>
      <c r="AH123" s="971" t="str">
        <f>IF(AC123="","",_xll.RHistory($AA$41,".Close","END:"&amp;AC123&amp;" NBROWS:1 ADJUSTED:YES INTERVAL:1D",,"TSREPEAT:NO"))</f>
        <v/>
      </c>
    </row>
    <row r="124" spans="4:34" ht="17.649999999999999">
      <c r="D124" s="1002"/>
      <c r="L124" s="1003"/>
      <c r="M124" s="1004"/>
      <c r="N124" s="1005"/>
      <c r="O124" s="1006"/>
      <c r="P124" s="1006"/>
      <c r="Q124" s="1006"/>
      <c r="Z124" s="901"/>
      <c r="AA124" s="901"/>
      <c r="AB124" s="901"/>
      <c r="AC124" s="901"/>
      <c r="AF124" s="1000" t="str">
        <f t="shared" si="0"/>
        <v/>
      </c>
      <c r="AG124" s="971" t="str">
        <f>IF(AC124="","",_xll.RHistory($AA$41,".Close","END:"&amp;AC124&amp;" NBROWS:1 ADJUSTED:NO INTERVAL:1D",,"TSREPEAT:NO"))</f>
        <v/>
      </c>
      <c r="AH124" s="971" t="str">
        <f>IF(AC124="","",_xll.RHistory($AA$41,".Close","END:"&amp;AC124&amp;" NBROWS:1 ADJUSTED:YES INTERVAL:1D",,"TSREPEAT:NO"))</f>
        <v/>
      </c>
    </row>
    <row r="125" spans="4:34" ht="17.649999999999999">
      <c r="D125" s="1002"/>
      <c r="L125" s="1003"/>
      <c r="M125" s="1004"/>
      <c r="N125" s="1005"/>
      <c r="O125" s="1006"/>
      <c r="P125" s="1006"/>
      <c r="Q125" s="1006"/>
      <c r="Z125" s="901"/>
      <c r="AA125" s="901"/>
      <c r="AB125" s="901"/>
      <c r="AC125" s="901"/>
      <c r="AF125" s="1000" t="str">
        <f t="shared" si="0"/>
        <v/>
      </c>
      <c r="AG125" s="971" t="str">
        <f>IF(AC125="","",_xll.RHistory($AA$41,".Close","END:"&amp;AC125&amp;" NBROWS:1 ADJUSTED:NO INTERVAL:1D",,"TSREPEAT:NO"))</f>
        <v/>
      </c>
      <c r="AH125" s="971" t="str">
        <f>IF(AC125="","",_xll.RHistory($AA$41,".Close","END:"&amp;AC125&amp;" NBROWS:1 ADJUSTED:YES INTERVAL:1D",,"TSREPEAT:NO"))</f>
        <v/>
      </c>
    </row>
    <row r="126" spans="4:34" ht="17.649999999999999">
      <c r="D126" s="1002"/>
      <c r="L126" s="1003"/>
      <c r="M126" s="1004"/>
      <c r="N126" s="1005"/>
      <c r="O126" s="1006"/>
      <c r="P126" s="1006"/>
      <c r="Q126" s="1006"/>
      <c r="Z126" s="901"/>
      <c r="AA126" s="901"/>
      <c r="AB126" s="901"/>
      <c r="AC126" s="901"/>
      <c r="AF126" s="1000" t="str">
        <f t="shared" si="0"/>
        <v/>
      </c>
      <c r="AG126" s="971" t="str">
        <f>IF(AC126="","",_xll.RHistory($AA$41,".Close","END:"&amp;AC126&amp;" NBROWS:1 ADJUSTED:NO INTERVAL:1D",,"TSREPEAT:NO"))</f>
        <v/>
      </c>
      <c r="AH126" s="971" t="str">
        <f>IF(AC126="","",_xll.RHistory($AA$41,".Close","END:"&amp;AC126&amp;" NBROWS:1 ADJUSTED:YES INTERVAL:1D",,"TSREPEAT:NO"))</f>
        <v/>
      </c>
    </row>
    <row r="127" spans="4:34" ht="17.649999999999999">
      <c r="D127" s="1002"/>
      <c r="L127" s="1003"/>
      <c r="M127" s="1004"/>
      <c r="N127" s="1005"/>
      <c r="O127" s="1006"/>
      <c r="P127" s="1006"/>
      <c r="Q127" s="1006"/>
      <c r="Z127" s="901"/>
      <c r="AA127" s="901"/>
      <c r="AB127" s="901"/>
      <c r="AC127" s="901"/>
      <c r="AF127" s="1000" t="str">
        <f t="shared" ref="AF127:AF150" si="1">IF(AE127&lt;&gt;"",IF($AA$44="Yes",$AC$55,$AA$45),"")</f>
        <v/>
      </c>
      <c r="AG127" s="971" t="str">
        <f>IF(AC127="","",_xll.RHistory($AA$41,".Close","END:"&amp;AC127&amp;" NBROWS:1 ADJUSTED:NO INTERVAL:1D",,"TSREPEAT:NO"))</f>
        <v/>
      </c>
      <c r="AH127" s="971" t="str">
        <f>IF(AC127="","",_xll.RHistory($AA$41,".Close","END:"&amp;AC127&amp;" NBROWS:1 ADJUSTED:YES INTERVAL:1D",,"TSREPEAT:NO"))</f>
        <v/>
      </c>
    </row>
    <row r="128" spans="4:34" ht="17.649999999999999">
      <c r="D128" s="1002"/>
      <c r="L128" s="1003"/>
      <c r="M128" s="1004"/>
      <c r="N128" s="1005"/>
      <c r="O128" s="1006"/>
      <c r="P128" s="1006"/>
      <c r="Q128" s="1006"/>
      <c r="Z128" s="901"/>
      <c r="AA128" s="901"/>
      <c r="AB128" s="901"/>
      <c r="AC128" s="901"/>
      <c r="AF128" s="1000" t="str">
        <f t="shared" si="1"/>
        <v/>
      </c>
      <c r="AG128" s="971" t="str">
        <f>IF(AC128="","",_xll.RHistory($AA$41,".Close","END:"&amp;AC128&amp;" NBROWS:1 ADJUSTED:NO INTERVAL:1D",,"TSREPEAT:NO"))</f>
        <v/>
      </c>
      <c r="AH128" s="971" t="str">
        <f>IF(AC128="","",_xll.RHistory($AA$41,".Close","END:"&amp;AC128&amp;" NBROWS:1 ADJUSTED:YES INTERVAL:1D",,"TSREPEAT:NO"))</f>
        <v/>
      </c>
    </row>
    <row r="129" spans="4:34" ht="17.649999999999999">
      <c r="D129" s="1002"/>
      <c r="L129" s="1003"/>
      <c r="M129" s="1004"/>
      <c r="N129" s="1005"/>
      <c r="O129" s="1006"/>
      <c r="P129" s="1006"/>
      <c r="Q129" s="1006"/>
      <c r="Z129" s="901"/>
      <c r="AA129" s="901"/>
      <c r="AB129" s="901"/>
      <c r="AC129" s="901"/>
      <c r="AF129" s="1000" t="str">
        <f t="shared" si="1"/>
        <v/>
      </c>
      <c r="AG129" s="971" t="str">
        <f>IF(AC129="","",_xll.RHistory($AA$41,".Close","END:"&amp;AC129&amp;" NBROWS:1 ADJUSTED:NO INTERVAL:1D",,"TSREPEAT:NO"))</f>
        <v/>
      </c>
      <c r="AH129" s="971" t="str">
        <f>IF(AC129="","",_xll.RHistory($AA$41,".Close","END:"&amp;AC129&amp;" NBROWS:1 ADJUSTED:YES INTERVAL:1D",,"TSREPEAT:NO"))</f>
        <v/>
      </c>
    </row>
    <row r="130" spans="4:34" ht="17.649999999999999">
      <c r="D130" s="1002"/>
      <c r="L130" s="1003"/>
      <c r="M130" s="1004"/>
      <c r="N130" s="1005"/>
      <c r="O130" s="1006"/>
      <c r="P130" s="1006"/>
      <c r="Q130" s="1006"/>
      <c r="Z130" s="901"/>
      <c r="AA130" s="901"/>
      <c r="AB130" s="901"/>
      <c r="AC130" s="901"/>
      <c r="AF130" s="1000" t="str">
        <f t="shared" si="1"/>
        <v/>
      </c>
      <c r="AG130" s="971" t="str">
        <f>IF(AC130="","",_xll.RHistory($AA$41,".Close","END:"&amp;AC130&amp;" NBROWS:1 ADJUSTED:NO INTERVAL:1D",,"TSREPEAT:NO"))</f>
        <v/>
      </c>
      <c r="AH130" s="971" t="str">
        <f>IF(AC130="","",_xll.RHistory($AA$41,".Close","END:"&amp;AC130&amp;" NBROWS:1 ADJUSTED:YES INTERVAL:1D",,"TSREPEAT:NO"))</f>
        <v/>
      </c>
    </row>
    <row r="131" spans="4:34" ht="17.649999999999999">
      <c r="D131" s="1002"/>
      <c r="L131" s="1003"/>
      <c r="M131" s="1004"/>
      <c r="N131" s="1005"/>
      <c r="O131" s="1006"/>
      <c r="P131" s="1006"/>
      <c r="Q131" s="1006"/>
      <c r="Z131" s="901"/>
      <c r="AA131" s="901"/>
      <c r="AB131" s="901"/>
      <c r="AC131" s="901"/>
      <c r="AF131" s="1000" t="str">
        <f t="shared" si="1"/>
        <v/>
      </c>
      <c r="AG131" s="971" t="str">
        <f>IF(AC131="","",_xll.RHistory($AA$41,".Close","END:"&amp;AC131&amp;" NBROWS:1 ADJUSTED:NO INTERVAL:1D",,"TSREPEAT:NO"))</f>
        <v/>
      </c>
      <c r="AH131" s="971" t="str">
        <f>IF(AC131="","",_xll.RHistory($AA$41,".Close","END:"&amp;AC131&amp;" NBROWS:1 ADJUSTED:YES INTERVAL:1D",,"TSREPEAT:NO"))</f>
        <v/>
      </c>
    </row>
    <row r="132" spans="4:34" ht="17.649999999999999">
      <c r="D132" s="1002"/>
      <c r="L132" s="1003"/>
      <c r="M132" s="1004"/>
      <c r="N132" s="1005"/>
      <c r="O132" s="1006"/>
      <c r="P132" s="1006"/>
      <c r="Q132" s="1006"/>
      <c r="Z132" s="901"/>
      <c r="AA132" s="901"/>
      <c r="AB132" s="901"/>
      <c r="AC132" s="901"/>
      <c r="AF132" s="1000" t="str">
        <f t="shared" si="1"/>
        <v/>
      </c>
      <c r="AG132" s="971" t="str">
        <f>IF(AC132="","",_xll.RHistory($AA$41,".Close","END:"&amp;AC132&amp;" NBROWS:1 ADJUSTED:NO INTERVAL:1D",,"TSREPEAT:NO"))</f>
        <v/>
      </c>
      <c r="AH132" s="971" t="str">
        <f>IF(AC132="","",_xll.RHistory($AA$41,".Close","END:"&amp;AC132&amp;" NBROWS:1 ADJUSTED:YES INTERVAL:1D",,"TSREPEAT:NO"))</f>
        <v/>
      </c>
    </row>
    <row r="133" spans="4:34" ht="17.649999999999999">
      <c r="D133" s="1002"/>
      <c r="L133" s="1003"/>
      <c r="M133" s="1004"/>
      <c r="N133" s="1005"/>
      <c r="O133" s="1006"/>
      <c r="P133" s="1006"/>
      <c r="Q133" s="1006"/>
      <c r="Z133" s="901"/>
      <c r="AA133" s="901"/>
      <c r="AB133" s="901"/>
      <c r="AC133" s="901"/>
      <c r="AF133" s="1000" t="str">
        <f t="shared" si="1"/>
        <v/>
      </c>
      <c r="AG133" s="971" t="str">
        <f>IF(AC133="","",_xll.RHistory($AA$41,".Close","END:"&amp;AC133&amp;" NBROWS:1 ADJUSTED:NO INTERVAL:1D",,"TSREPEAT:NO"))</f>
        <v/>
      </c>
      <c r="AH133" s="971" t="str">
        <f>IF(AC133="","",_xll.RHistory($AA$41,".Close","END:"&amp;AC133&amp;" NBROWS:1 ADJUSTED:YES INTERVAL:1D",,"TSREPEAT:NO"))</f>
        <v/>
      </c>
    </row>
    <row r="134" spans="4:34" ht="17.649999999999999">
      <c r="D134" s="1002"/>
      <c r="L134" s="1003"/>
      <c r="M134" s="1004"/>
      <c r="N134" s="1005"/>
      <c r="O134" s="1006"/>
      <c r="P134" s="1006"/>
      <c r="Q134" s="1006"/>
      <c r="Z134" s="901"/>
      <c r="AA134" s="901"/>
      <c r="AB134" s="901"/>
      <c r="AC134" s="901"/>
      <c r="AF134" s="1000" t="str">
        <f t="shared" si="1"/>
        <v/>
      </c>
      <c r="AG134" s="971" t="str">
        <f>IF(AC134="","",_xll.RHistory($AA$41,".Close","END:"&amp;AC134&amp;" NBROWS:1 ADJUSTED:NO INTERVAL:1D",,"TSREPEAT:NO"))</f>
        <v/>
      </c>
      <c r="AH134" s="971" t="str">
        <f>IF(AC134="","",_xll.RHistory($AA$41,".Close","END:"&amp;AC134&amp;" NBROWS:1 ADJUSTED:YES INTERVAL:1D",,"TSREPEAT:NO"))</f>
        <v/>
      </c>
    </row>
    <row r="135" spans="4:34" ht="17.649999999999999">
      <c r="D135" s="1002"/>
      <c r="L135" s="1003"/>
      <c r="M135" s="1004"/>
      <c r="N135" s="1005"/>
      <c r="O135" s="1006"/>
      <c r="P135" s="1006"/>
      <c r="Q135" s="1006"/>
      <c r="Z135" s="901"/>
      <c r="AA135" s="901"/>
      <c r="AB135" s="901"/>
      <c r="AC135" s="901"/>
      <c r="AF135" s="1000" t="str">
        <f t="shared" si="1"/>
        <v/>
      </c>
      <c r="AG135" s="971" t="str">
        <f>IF(AC135="","",_xll.RHistory($AA$41,".Close","END:"&amp;AC135&amp;" NBROWS:1 ADJUSTED:NO INTERVAL:1D",,"TSREPEAT:NO"))</f>
        <v/>
      </c>
      <c r="AH135" s="971" t="str">
        <f>IF(AC135="","",_xll.RHistory($AA$41,".Close","END:"&amp;AC135&amp;" NBROWS:1 ADJUSTED:YES INTERVAL:1D",,"TSREPEAT:NO"))</f>
        <v/>
      </c>
    </row>
    <row r="136" spans="4:34" ht="17.649999999999999">
      <c r="D136" s="1002"/>
      <c r="L136" s="1003"/>
      <c r="M136" s="1004"/>
      <c r="N136" s="1005"/>
      <c r="O136" s="1006"/>
      <c r="P136" s="1006"/>
      <c r="Q136" s="1006"/>
      <c r="Z136" s="901"/>
      <c r="AA136" s="901"/>
      <c r="AB136" s="901"/>
      <c r="AC136" s="901"/>
      <c r="AF136" s="1000" t="str">
        <f t="shared" si="1"/>
        <v/>
      </c>
      <c r="AG136" s="971" t="str">
        <f>IF(AC136="","",_xll.RHistory($AA$41,".Close","END:"&amp;AC136&amp;" NBROWS:1 ADJUSTED:NO INTERVAL:1D",,"TSREPEAT:NO"))</f>
        <v/>
      </c>
      <c r="AH136" s="971" t="str">
        <f>IF(AC136="","",_xll.RHistory($AA$41,".Close","END:"&amp;AC136&amp;" NBROWS:1 ADJUSTED:YES INTERVAL:1D",,"TSREPEAT:NO"))</f>
        <v/>
      </c>
    </row>
    <row r="137" spans="4:34" ht="17.649999999999999">
      <c r="D137" s="1002"/>
      <c r="L137" s="1003"/>
      <c r="M137" s="1004"/>
      <c r="N137" s="1005"/>
      <c r="O137" s="1006"/>
      <c r="P137" s="1006"/>
      <c r="Q137" s="1006"/>
      <c r="Z137" s="901"/>
      <c r="AA137" s="901"/>
      <c r="AB137" s="901"/>
      <c r="AC137" s="901"/>
      <c r="AF137" s="1000" t="str">
        <f t="shared" si="1"/>
        <v/>
      </c>
      <c r="AG137" s="971" t="str">
        <f>IF(AC137="","",_xll.RHistory($AA$41,".Close","END:"&amp;AC137&amp;" NBROWS:1 ADJUSTED:NO INTERVAL:1D",,"TSREPEAT:NO"))</f>
        <v/>
      </c>
      <c r="AH137" s="971" t="str">
        <f>IF(AC137="","",_xll.RHistory($AA$41,".Close","END:"&amp;AC137&amp;" NBROWS:1 ADJUSTED:YES INTERVAL:1D",,"TSREPEAT:NO"))</f>
        <v/>
      </c>
    </row>
    <row r="138" spans="4:34" ht="17.649999999999999">
      <c r="D138" s="1002"/>
      <c r="L138" s="1003"/>
      <c r="M138" s="1004"/>
      <c r="N138" s="1005"/>
      <c r="O138" s="1006"/>
      <c r="P138" s="1006"/>
      <c r="Q138" s="1006"/>
      <c r="Z138" s="901"/>
      <c r="AA138" s="901"/>
      <c r="AB138" s="901"/>
      <c r="AC138" s="901"/>
      <c r="AF138" s="1000" t="str">
        <f t="shared" si="1"/>
        <v/>
      </c>
      <c r="AG138" s="971" t="str">
        <f>IF(AC138="","",_xll.RHistory($AA$41,".Close","END:"&amp;AC138&amp;" NBROWS:1 ADJUSTED:NO INTERVAL:1D",,"TSREPEAT:NO"))</f>
        <v/>
      </c>
      <c r="AH138" s="971" t="str">
        <f>IF(AC138="","",_xll.RHistory($AA$41,".Close","END:"&amp;AC138&amp;" NBROWS:1 ADJUSTED:YES INTERVAL:1D",,"TSREPEAT:NO"))</f>
        <v/>
      </c>
    </row>
    <row r="139" spans="4:34" ht="17.649999999999999">
      <c r="D139" s="1002"/>
      <c r="L139" s="1003"/>
      <c r="M139" s="1004"/>
      <c r="N139" s="1005"/>
      <c r="O139" s="1006"/>
      <c r="P139" s="1006"/>
      <c r="Q139" s="1006"/>
      <c r="Z139" s="901"/>
      <c r="AA139" s="901"/>
      <c r="AB139" s="901"/>
      <c r="AC139" s="901"/>
      <c r="AF139" s="1000" t="str">
        <f t="shared" si="1"/>
        <v/>
      </c>
      <c r="AG139" s="971" t="str">
        <f>IF(AC139="","",_xll.RHistory($AA$41,".Close","END:"&amp;AC139&amp;" NBROWS:1 ADJUSTED:NO INTERVAL:1D",,"TSREPEAT:NO"))</f>
        <v/>
      </c>
      <c r="AH139" s="971" t="str">
        <f>IF(AC139="","",_xll.RHistory($AA$41,".Close","END:"&amp;AC139&amp;" NBROWS:1 ADJUSTED:YES INTERVAL:1D",,"TSREPEAT:NO"))</f>
        <v/>
      </c>
    </row>
    <row r="140" spans="4:34" ht="17.649999999999999">
      <c r="D140" s="1002"/>
      <c r="L140" s="1003"/>
      <c r="M140" s="1004"/>
      <c r="N140" s="1005"/>
      <c r="O140" s="1006"/>
      <c r="P140" s="1006"/>
      <c r="Q140" s="1006"/>
      <c r="Z140" s="901"/>
      <c r="AA140" s="901"/>
      <c r="AB140" s="901"/>
      <c r="AC140" s="901"/>
      <c r="AF140" s="1000" t="str">
        <f t="shared" si="1"/>
        <v/>
      </c>
      <c r="AG140" s="971" t="str">
        <f>IF(AC140="","",_xll.RHistory($AA$41,".Close","END:"&amp;AC140&amp;" NBROWS:1 ADJUSTED:NO INTERVAL:1D",,"TSREPEAT:NO"))</f>
        <v/>
      </c>
      <c r="AH140" s="971" t="str">
        <f>IF(AC140="","",_xll.RHistory($AA$41,".Close","END:"&amp;AC140&amp;" NBROWS:1 ADJUSTED:YES INTERVAL:1D",,"TSREPEAT:NO"))</f>
        <v/>
      </c>
    </row>
    <row r="141" spans="4:34" ht="17.649999999999999">
      <c r="D141" s="1002"/>
      <c r="L141" s="1003"/>
      <c r="M141" s="1004"/>
      <c r="N141" s="1005"/>
      <c r="O141" s="1006"/>
      <c r="P141" s="1006"/>
      <c r="Q141" s="1006"/>
      <c r="Z141" s="901"/>
      <c r="AA141" s="901"/>
      <c r="AB141" s="901"/>
      <c r="AC141" s="901"/>
      <c r="AF141" s="1000" t="str">
        <f t="shared" si="1"/>
        <v/>
      </c>
      <c r="AG141" s="971" t="str">
        <f>IF(AC141="","",_xll.RHistory($AA$41,".Close","END:"&amp;AC141&amp;" NBROWS:1 ADJUSTED:NO INTERVAL:1D",,"TSREPEAT:NO"))</f>
        <v/>
      </c>
      <c r="AH141" s="971" t="str">
        <f>IF(AC141="","",_xll.RHistory($AA$41,".Close","END:"&amp;AC141&amp;" NBROWS:1 ADJUSTED:YES INTERVAL:1D",,"TSREPEAT:NO"))</f>
        <v/>
      </c>
    </row>
    <row r="142" spans="4:34" ht="17.649999999999999">
      <c r="D142" s="1002"/>
      <c r="L142" s="1003"/>
      <c r="M142" s="1004"/>
      <c r="N142" s="1005"/>
      <c r="O142" s="1006"/>
      <c r="P142" s="1006"/>
      <c r="Q142" s="1006"/>
      <c r="Z142" s="901"/>
      <c r="AA142" s="901"/>
      <c r="AB142" s="901"/>
      <c r="AC142" s="901"/>
      <c r="AF142" s="1000" t="str">
        <f t="shared" si="1"/>
        <v/>
      </c>
      <c r="AG142" s="971" t="str">
        <f>IF(AC142="","",_xll.RHistory($AA$41,".Close","END:"&amp;AC142&amp;" NBROWS:1 ADJUSTED:NO INTERVAL:1D",,"TSREPEAT:NO"))</f>
        <v/>
      </c>
      <c r="AH142" s="971" t="str">
        <f>IF(AC142="","",_xll.RHistory($AA$41,".Close","END:"&amp;AC142&amp;" NBROWS:1 ADJUSTED:YES INTERVAL:1D",,"TSREPEAT:NO"))</f>
        <v/>
      </c>
    </row>
    <row r="143" spans="4:34" ht="17.649999999999999">
      <c r="D143" s="1002"/>
      <c r="L143" s="1003"/>
      <c r="M143" s="1004"/>
      <c r="N143" s="1005"/>
      <c r="O143" s="1006"/>
      <c r="P143" s="1006"/>
      <c r="Q143" s="1006"/>
      <c r="Z143" s="901"/>
      <c r="AA143" s="901"/>
      <c r="AB143" s="901"/>
      <c r="AC143" s="901"/>
      <c r="AF143" s="1000" t="str">
        <f t="shared" si="1"/>
        <v/>
      </c>
      <c r="AG143" s="971" t="str">
        <f>IF(AC143="","",_xll.RHistory($AA$41,".Close","END:"&amp;AC143&amp;" NBROWS:1 ADJUSTED:NO INTERVAL:1D",,"TSREPEAT:NO"))</f>
        <v/>
      </c>
      <c r="AH143" s="971" t="str">
        <f>IF(AC143="","",_xll.RHistory($AA$41,".Close","END:"&amp;AC143&amp;" NBROWS:1 ADJUSTED:YES INTERVAL:1D",,"TSREPEAT:NO"))</f>
        <v/>
      </c>
    </row>
    <row r="144" spans="4:34" ht="17.649999999999999">
      <c r="D144" s="1002"/>
      <c r="L144" s="1003"/>
      <c r="M144" s="1004"/>
      <c r="N144" s="1005"/>
      <c r="O144" s="1006"/>
      <c r="P144" s="1006"/>
      <c r="Q144" s="1006"/>
      <c r="Z144" s="901"/>
      <c r="AA144" s="901"/>
      <c r="AB144" s="901"/>
      <c r="AC144" s="901"/>
      <c r="AF144" s="1000" t="str">
        <f t="shared" si="1"/>
        <v/>
      </c>
      <c r="AG144" s="971" t="str">
        <f>IF(AC144="","",_xll.RHistory($AA$41,".Close","END:"&amp;AC144&amp;" NBROWS:1 ADJUSTED:NO INTERVAL:1D",,"TSREPEAT:NO"))</f>
        <v/>
      </c>
      <c r="AH144" s="971" t="str">
        <f>IF(AC144="","",_xll.RHistory($AA$41,".Close","END:"&amp;AC144&amp;" NBROWS:1 ADJUSTED:YES INTERVAL:1D",,"TSREPEAT:NO"))</f>
        <v/>
      </c>
    </row>
    <row r="145" spans="4:34" ht="17.649999999999999">
      <c r="D145" s="1002"/>
      <c r="L145" s="1003"/>
      <c r="M145" s="1004"/>
      <c r="N145" s="1005"/>
      <c r="O145" s="1006"/>
      <c r="P145" s="1006"/>
      <c r="Q145" s="1006"/>
      <c r="Z145" s="901"/>
      <c r="AA145" s="901"/>
      <c r="AB145" s="901"/>
      <c r="AC145" s="901"/>
      <c r="AF145" s="1000" t="str">
        <f t="shared" si="1"/>
        <v/>
      </c>
      <c r="AG145" s="971" t="str">
        <f>IF(AC145="","",_xll.RHistory($AA$41,".Close","END:"&amp;AC145&amp;" NBROWS:1 ADJUSTED:NO INTERVAL:1D",,"TSREPEAT:NO"))</f>
        <v/>
      </c>
      <c r="AH145" s="971" t="str">
        <f>IF(AC145="","",_xll.RHistory($AA$41,".Close","END:"&amp;AC145&amp;" NBROWS:1 ADJUSTED:YES INTERVAL:1D",,"TSREPEAT:NO"))</f>
        <v/>
      </c>
    </row>
    <row r="146" spans="4:34" ht="17.649999999999999">
      <c r="D146" s="1002"/>
      <c r="L146" s="1003"/>
      <c r="M146" s="1004"/>
      <c r="N146" s="1005"/>
      <c r="O146" s="1006"/>
      <c r="P146" s="1006"/>
      <c r="Q146" s="1006"/>
      <c r="Z146" s="901"/>
      <c r="AA146" s="901"/>
      <c r="AB146" s="901"/>
      <c r="AC146" s="901"/>
      <c r="AF146" s="1000" t="str">
        <f t="shared" si="1"/>
        <v/>
      </c>
      <c r="AG146" s="971" t="str">
        <f>IF(AC146="","",_xll.RHistory($AA$41,".Close","END:"&amp;AC146&amp;" NBROWS:1 ADJUSTED:NO INTERVAL:1D",,"TSREPEAT:NO"))</f>
        <v/>
      </c>
      <c r="AH146" s="971" t="str">
        <f>IF(AC146="","",_xll.RHistory($AA$41,".Close","END:"&amp;AC146&amp;" NBROWS:1 ADJUSTED:YES INTERVAL:1D",,"TSREPEAT:NO"))</f>
        <v/>
      </c>
    </row>
    <row r="147" spans="4:34" ht="17.649999999999999">
      <c r="D147" s="1002"/>
      <c r="L147" s="1003"/>
      <c r="M147" s="1004"/>
      <c r="N147" s="1005"/>
      <c r="O147" s="1006"/>
      <c r="P147" s="1006"/>
      <c r="Q147" s="1006"/>
      <c r="Z147" s="901"/>
      <c r="AA147" s="901"/>
      <c r="AB147" s="901"/>
      <c r="AC147" s="901"/>
      <c r="AF147" s="1000" t="str">
        <f t="shared" si="1"/>
        <v/>
      </c>
      <c r="AG147" s="971" t="str">
        <f>IF(AC147="","",_xll.RHistory($AA$41,".Close","END:"&amp;AC147&amp;" NBROWS:1 ADJUSTED:NO INTERVAL:1D",,"TSREPEAT:NO"))</f>
        <v/>
      </c>
      <c r="AH147" s="971" t="str">
        <f>IF(AC147="","",_xll.RHistory($AA$41,".Close","END:"&amp;AC147&amp;" NBROWS:1 ADJUSTED:YES INTERVAL:1D",,"TSREPEAT:NO"))</f>
        <v/>
      </c>
    </row>
    <row r="148" spans="4:34" ht="17.649999999999999">
      <c r="D148" s="1002"/>
      <c r="L148" s="1003"/>
      <c r="M148" s="1004"/>
      <c r="N148" s="1005"/>
      <c r="O148" s="1006"/>
      <c r="P148" s="1006"/>
      <c r="Q148" s="1006"/>
      <c r="Z148" s="901"/>
      <c r="AA148" s="901"/>
      <c r="AB148" s="901"/>
      <c r="AC148" s="901"/>
      <c r="AF148" s="1000" t="str">
        <f t="shared" si="1"/>
        <v/>
      </c>
      <c r="AG148" s="971" t="str">
        <f>IF(AC148="","",_xll.RHistory($AA$41,".Close","END:"&amp;AC148&amp;" NBROWS:1 ADJUSTED:NO INTERVAL:1D",,"TSREPEAT:NO"))</f>
        <v/>
      </c>
      <c r="AH148" s="971" t="str">
        <f>IF(AC148="","",_xll.RHistory($AA$41,".Close","END:"&amp;AC148&amp;" NBROWS:1 ADJUSTED:YES INTERVAL:1D",,"TSREPEAT:NO"))</f>
        <v/>
      </c>
    </row>
    <row r="149" spans="4:34" ht="17.649999999999999">
      <c r="D149" s="1002"/>
      <c r="L149" s="1003"/>
      <c r="M149" s="1004"/>
      <c r="N149" s="1005"/>
      <c r="O149" s="1006"/>
      <c r="P149" s="1006"/>
      <c r="Q149" s="1006"/>
      <c r="Z149" s="901"/>
      <c r="AA149" s="901"/>
      <c r="AB149" s="901"/>
      <c r="AC149" s="901"/>
      <c r="AF149" s="1000" t="str">
        <f t="shared" si="1"/>
        <v/>
      </c>
      <c r="AG149" s="971" t="str">
        <f>IF(AC149="","",_xll.RHistory($AA$41,".Close","END:"&amp;AC149&amp;" NBROWS:1 ADJUSTED:NO INTERVAL:1D",,"TSREPEAT:NO"))</f>
        <v/>
      </c>
      <c r="AH149" s="971" t="str">
        <f>IF(AC149="","",_xll.RHistory($AA$41,".Close","END:"&amp;AC149&amp;" NBROWS:1 ADJUSTED:YES INTERVAL:1D",,"TSREPEAT:NO"))</f>
        <v/>
      </c>
    </row>
    <row r="150" spans="4:34" ht="17.649999999999999">
      <c r="D150" s="1002"/>
      <c r="L150" s="1003"/>
      <c r="M150" s="1004"/>
      <c r="N150" s="1005"/>
      <c r="O150" s="1006"/>
      <c r="P150" s="1006"/>
      <c r="Q150" s="1006"/>
      <c r="Z150" s="901"/>
      <c r="AA150" s="901"/>
      <c r="AB150" s="901"/>
      <c r="AC150" s="901"/>
      <c r="AF150" s="1000" t="str">
        <f t="shared" si="1"/>
        <v/>
      </c>
      <c r="AG150" s="971" t="str">
        <f>IF(AC150="","",_xll.RHistory($AA$41,".Close","END:"&amp;AC150&amp;" NBROWS:1 ADJUSTED:NO INTERVAL:1D",,"TSREPEAT:NO"))</f>
        <v/>
      </c>
      <c r="AH150" s="971" t="str">
        <f>IF(AC150="","",_xll.RHistory($AA$41,".Close","END:"&amp;AC150&amp;" NBROWS:1 ADJUSTED:YES INTERVAL:1D",,"TSREPEAT:NO"))</f>
        <v/>
      </c>
    </row>
    <row r="151" spans="4:34" ht="17.649999999999999">
      <c r="D151" s="1002"/>
      <c r="L151" s="1003"/>
      <c r="M151" s="1004"/>
      <c r="N151" s="1005"/>
      <c r="O151" s="1006"/>
      <c r="P151" s="1006"/>
      <c r="Q151" s="1006"/>
      <c r="Z151" s="901"/>
      <c r="AA151" s="901"/>
      <c r="AB151" s="901"/>
      <c r="AC151" s="901"/>
    </row>
    <row r="152" spans="4:34" ht="17.649999999999999">
      <c r="D152" s="1002"/>
      <c r="L152" s="1003"/>
      <c r="M152" s="1004"/>
      <c r="N152" s="1005"/>
      <c r="O152" s="1006"/>
      <c r="P152" s="1006"/>
      <c r="Q152" s="1006"/>
      <c r="Z152" s="901"/>
      <c r="AA152" s="901"/>
      <c r="AB152" s="901"/>
      <c r="AC152" s="901"/>
    </row>
    <row r="153" spans="4:34" ht="17.649999999999999">
      <c r="D153" s="1002"/>
      <c r="L153" s="1003"/>
      <c r="M153" s="1004"/>
      <c r="N153" s="1005"/>
      <c r="O153" s="1006"/>
      <c r="P153" s="1006"/>
      <c r="Q153" s="1006"/>
      <c r="Z153" s="901"/>
      <c r="AA153" s="901"/>
      <c r="AB153" s="901"/>
      <c r="AC153" s="901"/>
    </row>
    <row r="154" spans="4:34" ht="17.649999999999999">
      <c r="D154" s="1002"/>
      <c r="L154" s="1003"/>
      <c r="M154" s="1004"/>
      <c r="N154" s="1005"/>
      <c r="O154" s="1006"/>
      <c r="P154" s="1006"/>
      <c r="Q154" s="1006"/>
      <c r="Z154" s="901"/>
      <c r="AA154" s="901"/>
      <c r="AB154" s="901"/>
      <c r="AC154" s="901"/>
    </row>
    <row r="155" spans="4:34" ht="17.649999999999999">
      <c r="D155" s="1002"/>
      <c r="L155" s="1003"/>
      <c r="M155" s="1004"/>
      <c r="N155" s="1005"/>
      <c r="O155" s="1006"/>
      <c r="P155" s="1006"/>
      <c r="Q155" s="1006"/>
      <c r="Z155" s="901"/>
      <c r="AA155" s="901"/>
      <c r="AB155" s="901"/>
      <c r="AC155" s="901"/>
    </row>
    <row r="156" spans="4:34" ht="17.649999999999999">
      <c r="D156" s="1002"/>
      <c r="L156" s="1003"/>
      <c r="M156" s="1004"/>
      <c r="N156" s="1005"/>
      <c r="O156" s="1006"/>
      <c r="P156" s="1006"/>
      <c r="Q156" s="1006"/>
      <c r="Z156" s="901"/>
      <c r="AA156" s="901"/>
      <c r="AB156" s="901"/>
      <c r="AC156" s="901"/>
    </row>
    <row r="157" spans="4:34" ht="17.649999999999999">
      <c r="D157" s="1002"/>
      <c r="L157" s="1003"/>
      <c r="M157" s="1004"/>
      <c r="N157" s="1005"/>
      <c r="O157" s="1006"/>
      <c r="P157" s="1006"/>
      <c r="Q157" s="1006"/>
      <c r="Z157" s="901"/>
      <c r="AA157" s="901"/>
      <c r="AB157" s="901"/>
      <c r="AC157" s="901"/>
    </row>
    <row r="158" spans="4:34">
      <c r="D158" s="1002"/>
      <c r="Z158" s="901"/>
      <c r="AA158" s="901"/>
      <c r="AB158" s="901"/>
      <c r="AC158" s="901"/>
    </row>
    <row r="159" spans="4:34">
      <c r="D159" s="1002"/>
      <c r="Z159" s="901"/>
      <c r="AA159" s="901"/>
      <c r="AB159" s="901"/>
      <c r="AC159" s="901"/>
    </row>
    <row r="160" spans="4:34">
      <c r="D160" s="1002"/>
      <c r="Z160" s="901"/>
      <c r="AA160" s="901"/>
      <c r="AB160" s="901"/>
      <c r="AC160" s="901"/>
    </row>
    <row r="161" spans="4:31">
      <c r="D161" s="1002"/>
      <c r="Z161" s="901"/>
      <c r="AA161" s="901"/>
      <c r="AB161" s="901"/>
      <c r="AC161" s="901"/>
    </row>
    <row r="162" spans="4:31">
      <c r="D162" s="1002"/>
      <c r="Z162" s="901"/>
      <c r="AA162" s="901"/>
      <c r="AB162" s="901"/>
      <c r="AC162" s="901"/>
    </row>
    <row r="163" spans="4:31">
      <c r="D163" s="1002"/>
      <c r="Z163" s="901"/>
      <c r="AA163" s="901"/>
      <c r="AB163" s="901"/>
      <c r="AC163" s="901"/>
    </row>
    <row r="164" spans="4:31">
      <c r="D164" s="1002"/>
      <c r="Z164" s="901"/>
      <c r="AA164" s="901"/>
      <c r="AB164" s="901"/>
      <c r="AC164" s="901"/>
    </row>
    <row r="165" spans="4:31">
      <c r="D165" s="1002"/>
      <c r="Z165" s="901"/>
      <c r="AA165" s="901"/>
      <c r="AB165" s="901"/>
      <c r="AC165" s="901"/>
    </row>
    <row r="166" spans="4:31">
      <c r="D166" s="1002"/>
      <c r="Z166" s="901"/>
      <c r="AA166" s="901"/>
      <c r="AB166" s="901"/>
      <c r="AC166" s="901"/>
    </row>
    <row r="167" spans="4:31">
      <c r="D167" s="1002"/>
      <c r="AE167" s="951"/>
    </row>
    <row r="168" spans="4:31">
      <c r="D168" s="1002"/>
    </row>
    <row r="169" spans="4:31">
      <c r="D169" s="1002"/>
    </row>
    <row r="170" spans="4:31">
      <c r="D170" s="1002"/>
    </row>
    <row r="171" spans="4:31">
      <c r="D171" s="1002"/>
    </row>
    <row r="172" spans="4:31">
      <c r="D172" s="1002"/>
    </row>
    <row r="173" spans="4:31">
      <c r="D173" s="1002"/>
    </row>
    <row r="174" spans="4:31">
      <c r="D174" s="1002"/>
    </row>
    <row r="175" spans="4:31">
      <c r="D175" s="1002"/>
    </row>
    <row r="176" spans="4:31">
      <c r="D176" s="1002"/>
    </row>
    <row r="177" spans="4:4">
      <c r="D177" s="1002"/>
    </row>
    <row r="178" spans="4:4">
      <c r="D178" s="1002"/>
    </row>
    <row r="179" spans="4:4">
      <c r="D179" s="1002"/>
    </row>
    <row r="180" spans="4:4">
      <c r="D180" s="1002"/>
    </row>
    <row r="181" spans="4:4">
      <c r="D181" s="1002"/>
    </row>
    <row r="182" spans="4:4">
      <c r="D182" s="1002"/>
    </row>
    <row r="183" spans="4:4">
      <c r="D183" s="1002"/>
    </row>
    <row r="184" spans="4:4">
      <c r="D184" s="1002"/>
    </row>
    <row r="185" spans="4:4">
      <c r="D185" s="1002"/>
    </row>
    <row r="186" spans="4:4">
      <c r="D186" s="1002"/>
    </row>
    <row r="187" spans="4:4">
      <c r="D187" s="1002"/>
    </row>
    <row r="188" spans="4:4">
      <c r="D188" s="1002"/>
    </row>
    <row r="189" spans="4:4">
      <c r="D189" s="1002"/>
    </row>
    <row r="190" spans="4:4">
      <c r="D190" s="1002"/>
    </row>
    <row r="191" spans="4:4">
      <c r="D191" s="1002"/>
    </row>
    <row r="192" spans="4:4">
      <c r="D192" s="1002"/>
    </row>
    <row r="193" spans="4:4">
      <c r="D193" s="1002"/>
    </row>
    <row r="194" spans="4:4">
      <c r="D194" s="1002"/>
    </row>
    <row r="195" spans="4:4">
      <c r="D195" s="1002"/>
    </row>
    <row r="196" spans="4:4">
      <c r="D196" s="1002"/>
    </row>
    <row r="197" spans="4:4">
      <c r="D197" s="1002"/>
    </row>
    <row r="198" spans="4:4">
      <c r="D198" s="1002"/>
    </row>
    <row r="199" spans="4:4">
      <c r="D199" s="1002"/>
    </row>
    <row r="200" spans="4:4">
      <c r="D200" s="1002"/>
    </row>
    <row r="201" spans="4:4">
      <c r="D201" s="1002"/>
    </row>
    <row r="202" spans="4:4">
      <c r="D202" s="1002"/>
    </row>
    <row r="203" spans="4:4">
      <c r="D203" s="1002"/>
    </row>
    <row r="204" spans="4:4">
      <c r="D204" s="1002"/>
    </row>
    <row r="205" spans="4:4">
      <c r="D205" s="1002"/>
    </row>
    <row r="206" spans="4:4">
      <c r="D206" s="1002"/>
    </row>
    <row r="207" spans="4:4">
      <c r="D207" s="1002"/>
    </row>
    <row r="208" spans="4:4">
      <c r="D208" s="1002"/>
    </row>
    <row r="209" spans="4:4">
      <c r="D209" s="1002"/>
    </row>
    <row r="210" spans="4:4">
      <c r="D210" s="1002"/>
    </row>
    <row r="211" spans="4:4">
      <c r="D211" s="1002"/>
    </row>
    <row r="212" spans="4:4">
      <c r="D212" s="1002"/>
    </row>
    <row r="213" spans="4:4">
      <c r="D213" s="1002"/>
    </row>
    <row r="214" spans="4:4">
      <c r="D214" s="1002"/>
    </row>
    <row r="215" spans="4:4">
      <c r="D215" s="1002"/>
    </row>
    <row r="216" spans="4:4">
      <c r="D216" s="1002"/>
    </row>
    <row r="217" spans="4:4">
      <c r="D217" s="1002"/>
    </row>
    <row r="218" spans="4:4">
      <c r="D218" s="1002"/>
    </row>
    <row r="219" spans="4:4">
      <c r="D219" s="1002"/>
    </row>
    <row r="220" spans="4:4">
      <c r="D220" s="1002"/>
    </row>
    <row r="221" spans="4:4">
      <c r="D221" s="1002"/>
    </row>
    <row r="222" spans="4:4">
      <c r="D222" s="1002"/>
    </row>
    <row r="223" spans="4:4">
      <c r="D223" s="1002"/>
    </row>
    <row r="224" spans="4:4">
      <c r="D224" s="1002"/>
    </row>
    <row r="225" spans="4:4">
      <c r="D225" s="1002"/>
    </row>
    <row r="226" spans="4:4">
      <c r="D226" s="1002"/>
    </row>
    <row r="227" spans="4:4">
      <c r="D227" s="1002"/>
    </row>
    <row r="228" spans="4:4">
      <c r="D228" s="1002"/>
    </row>
    <row r="229" spans="4:4">
      <c r="D229" s="1002"/>
    </row>
    <row r="230" spans="4:4">
      <c r="D230" s="1002"/>
    </row>
    <row r="231" spans="4:4">
      <c r="D231" s="1002"/>
    </row>
    <row r="232" spans="4:4">
      <c r="D232" s="1002"/>
    </row>
    <row r="233" spans="4:4">
      <c r="D233" s="1002"/>
    </row>
    <row r="234" spans="4:4">
      <c r="D234" s="1002"/>
    </row>
    <row r="235" spans="4:4">
      <c r="D235" s="1002"/>
    </row>
    <row r="236" spans="4:4">
      <c r="D236" s="1002"/>
    </row>
    <row r="237" spans="4:4">
      <c r="D237" s="1002"/>
    </row>
    <row r="238" spans="4:4">
      <c r="D238" s="1002"/>
    </row>
    <row r="239" spans="4:4">
      <c r="D239" s="1002"/>
    </row>
    <row r="240" spans="4:4">
      <c r="D240" s="1002"/>
    </row>
    <row r="241" spans="4:4">
      <c r="D241" s="1002"/>
    </row>
    <row r="242" spans="4:4">
      <c r="D242" s="1002"/>
    </row>
    <row r="243" spans="4:4">
      <c r="D243" s="1002"/>
    </row>
    <row r="244" spans="4:4">
      <c r="D244" s="1002"/>
    </row>
    <row r="245" spans="4:4">
      <c r="D245" s="1002"/>
    </row>
    <row r="246" spans="4:4">
      <c r="D246" s="1002"/>
    </row>
    <row r="247" spans="4:4">
      <c r="D247" s="1002"/>
    </row>
    <row r="248" spans="4:4">
      <c r="D248" s="1002"/>
    </row>
    <row r="249" spans="4:4">
      <c r="D249" s="1002"/>
    </row>
    <row r="250" spans="4:4">
      <c r="D250" s="1002"/>
    </row>
    <row r="251" spans="4:4">
      <c r="D251" s="1002"/>
    </row>
    <row r="252" spans="4:4">
      <c r="D252" s="1002"/>
    </row>
    <row r="253" spans="4:4">
      <c r="D253" s="1002"/>
    </row>
    <row r="254" spans="4:4">
      <c r="D254" s="1002"/>
    </row>
    <row r="255" spans="4:4">
      <c r="D255" s="1002"/>
    </row>
    <row r="256" spans="4:4">
      <c r="D256" s="1002"/>
    </row>
    <row r="257" spans="4:4">
      <c r="D257" s="1002"/>
    </row>
    <row r="258" spans="4:4">
      <c r="D258" s="1002"/>
    </row>
    <row r="259" spans="4:4">
      <c r="D259" s="1002"/>
    </row>
    <row r="260" spans="4:4">
      <c r="D260" s="1002"/>
    </row>
    <row r="261" spans="4:4">
      <c r="D261" s="1002"/>
    </row>
    <row r="262" spans="4:4">
      <c r="D262" s="1002"/>
    </row>
    <row r="263" spans="4:4">
      <c r="D263" s="1002"/>
    </row>
    <row r="264" spans="4:4">
      <c r="D264" s="1002"/>
    </row>
    <row r="265" spans="4:4">
      <c r="D265" s="1002"/>
    </row>
    <row r="266" spans="4:4">
      <c r="D266" s="1002"/>
    </row>
    <row r="267" spans="4:4">
      <c r="D267" s="1002"/>
    </row>
    <row r="268" spans="4:4">
      <c r="D268" s="1002"/>
    </row>
    <row r="269" spans="4:4">
      <c r="D269" s="1002"/>
    </row>
    <row r="270" spans="4:4">
      <c r="D270" s="1002"/>
    </row>
    <row r="271" spans="4:4">
      <c r="D271" s="1002"/>
    </row>
    <row r="272" spans="4:4">
      <c r="D272" s="1002"/>
    </row>
    <row r="273" spans="4:4">
      <c r="D273" s="1002"/>
    </row>
    <row r="274" spans="4:4">
      <c r="D274" s="1002"/>
    </row>
    <row r="275" spans="4:4">
      <c r="D275" s="1002"/>
    </row>
    <row r="276" spans="4:4">
      <c r="D276" s="1002"/>
    </row>
    <row r="277" spans="4:4">
      <c r="D277" s="1002"/>
    </row>
    <row r="278" spans="4:4">
      <c r="D278" s="1002"/>
    </row>
    <row r="279" spans="4:4">
      <c r="D279" s="1002"/>
    </row>
    <row r="280" spans="4:4">
      <c r="D280" s="1002"/>
    </row>
    <row r="281" spans="4:4">
      <c r="D281" s="1002"/>
    </row>
    <row r="282" spans="4:4">
      <c r="D282" s="1002"/>
    </row>
    <row r="283" spans="4:4">
      <c r="D283" s="1002"/>
    </row>
    <row r="284" spans="4:4">
      <c r="D284" s="1002"/>
    </row>
  </sheetData>
  <mergeCells count="7">
    <mergeCell ref="Z52:AF52"/>
    <mergeCell ref="AA40:AB40"/>
    <mergeCell ref="AA41:AB41"/>
    <mergeCell ref="AA42:AB42"/>
    <mergeCell ref="AA43:AB43"/>
    <mergeCell ref="AA44:AB44"/>
    <mergeCell ref="AA45:AB45"/>
  </mergeCells>
  <conditionalFormatting sqref="H11">
    <cfRule type="containsText" dxfId="30" priority="3" operator="containsText" text="CHECK">
      <formula>NOT(ISERROR(SEARCH("CHECK",H11)))</formula>
    </cfRule>
    <cfRule type="containsText" dxfId="29" priority="4" operator="containsText" text="OK">
      <formula>NOT(ISERROR(SEARCH("OK",H11)))</formula>
    </cfRule>
  </conditionalFormatting>
  <conditionalFormatting sqref="H62">
    <cfRule type="containsText" dxfId="28" priority="30" operator="containsText" text="CHECK">
      <formula>NOT(ISERROR(SEARCH("CHECK",H62)))</formula>
    </cfRule>
    <cfRule type="containsText" dxfId="27" priority="31" operator="containsText" text="OK">
      <formula>NOT(ISERROR(SEARCH("OK",H62)))</formula>
    </cfRule>
  </conditionalFormatting>
  <conditionalFormatting sqref="I15:O15">
    <cfRule type="expression" dxfId="26" priority="27">
      <formula>I15&lt;0</formula>
    </cfRule>
  </conditionalFormatting>
  <conditionalFormatting sqref="J11">
    <cfRule type="containsText" dxfId="25" priority="1" operator="containsText" text="CHECK">
      <formula>NOT(ISERROR(SEARCH("CHECK",J11)))</formula>
    </cfRule>
    <cfRule type="containsText" dxfId="24" priority="2" operator="containsText" text="OK">
      <formula>NOT(ISERROR(SEARCH("OK",J11)))</formula>
    </cfRule>
  </conditionalFormatting>
  <conditionalFormatting sqref="J62:K62">
    <cfRule type="containsText" dxfId="23" priority="28" operator="containsText" text="CHECK">
      <formula>NOT(ISERROR(SEARCH("CHECK",J62)))</formula>
    </cfRule>
    <cfRule type="containsText" dxfId="22" priority="29" operator="containsText" text="OK">
      <formula>NOT(ISERROR(SEARCH("OK",J62)))</formula>
    </cfRule>
  </conditionalFormatting>
  <conditionalFormatting sqref="Z45:Z46">
    <cfRule type="expression" dxfId="21" priority="25">
      <formula>$C$9="Yes"</formula>
    </cfRule>
    <cfRule type="expression" dxfId="20" priority="26">
      <formula>$C$9="No"</formula>
    </cfRule>
  </conditionalFormatting>
  <conditionalFormatting sqref="Z55:AC55">
    <cfRule type="expression" dxfId="19" priority="21">
      <formula>$B55=""</formula>
    </cfRule>
    <cfRule type="expression" dxfId="18" priority="22">
      <formula>$B55&lt;&gt;""</formula>
    </cfRule>
  </conditionalFormatting>
  <conditionalFormatting sqref="AA45:AB45">
    <cfRule type="expression" dxfId="17" priority="5">
      <formula>$C$9="No"</formula>
    </cfRule>
    <cfRule type="expression" dxfId="16" priority="6">
      <formula>$C$9="Yes"</formula>
    </cfRule>
  </conditionalFormatting>
  <conditionalFormatting sqref="AA48:AB48">
    <cfRule type="expression" dxfId="15" priority="17">
      <formula>$B48="NULL"</formula>
    </cfRule>
    <cfRule type="expression" dxfId="14" priority="18">
      <formula>$B48=""</formula>
    </cfRule>
    <cfRule type="expression" dxfId="13" priority="19">
      <formula>$B48&lt;&gt;""</formula>
    </cfRule>
  </conditionalFormatting>
  <conditionalFormatting sqref="AA62:AF62 AF63:AF150">
    <cfRule type="expression" dxfId="12" priority="15">
      <formula>$B62=""</formula>
    </cfRule>
    <cfRule type="expression" dxfId="11" priority="16">
      <formula>$B62&lt;&gt;""</formula>
    </cfRule>
  </conditionalFormatting>
  <conditionalFormatting sqref="AA62:AG62 AF63:AG150">
    <cfRule type="expression" dxfId="10" priority="13">
      <formula>$B62="NULL"</formula>
    </cfRule>
    <cfRule type="expression" dxfId="9" priority="20">
      <formula>$B62="NULL"</formula>
    </cfRule>
  </conditionalFormatting>
  <conditionalFormatting sqref="AG62:AG150">
    <cfRule type="expression" dxfId="8" priority="14">
      <formula>$B62&lt;&gt;""</formula>
    </cfRule>
    <cfRule type="expression" dxfId="7" priority="23">
      <formula>$B62=""</formula>
    </cfRule>
    <cfRule type="expression" dxfId="6" priority="24">
      <formula>$B62&lt;&gt;""</formula>
    </cfRule>
  </conditionalFormatting>
  <conditionalFormatting sqref="AG62:AH150">
    <cfRule type="expression" dxfId="5" priority="11">
      <formula>$B62=""</formula>
    </cfRule>
  </conditionalFormatting>
  <conditionalFormatting sqref="AH62:AH150">
    <cfRule type="expression" dxfId="4" priority="7">
      <formula>$B62="NULL"</formula>
    </cfRule>
    <cfRule type="expression" dxfId="3" priority="8">
      <formula>$B62=""</formula>
    </cfRule>
    <cfRule type="expression" dxfId="2" priority="9">
      <formula>$B62&lt;&gt;""</formula>
    </cfRule>
    <cfRule type="expression" dxfId="1" priority="10">
      <formula>$B62="NULL"</formula>
    </cfRule>
    <cfRule type="expression" dxfId="0" priority="12">
      <formula>$B62&lt;&gt;""</formula>
    </cfRule>
  </conditionalFormatting>
  <dataValidations count="5">
    <dataValidation type="list" allowBlank="1" showInputMessage="1" showErrorMessage="1" sqref="AA43:AB43" xr:uid="{E696FCA9-3E0C-42B8-BA47-877C7EB14DAF}">
      <formula1>$AH$31:$AH$35</formula1>
    </dataValidation>
    <dataValidation type="list" allowBlank="1" showInputMessage="1" showErrorMessage="1" sqref="AA42:AB42" xr:uid="{B39B3307-059E-4815-B44D-6EDD36C9177C}">
      <formula1>$AA$31:$AA$35</formula1>
    </dataValidation>
    <dataValidation type="list" allowBlank="1" showInputMessage="1" showErrorMessage="1" sqref="AA40:AB40" xr:uid="{B7DC2D50-168A-4032-B3C0-2C7EB5B79462}">
      <formula1>$AL$31:$AL$36</formula1>
    </dataValidation>
    <dataValidation type="textLength" operator="equal" allowBlank="1" showInputMessage="1" showErrorMessage="1" sqref="AA45:AA46 AB46" xr:uid="{049F2B16-E80A-4ACC-A9A3-E19E810A0C5B}">
      <formula1>3</formula1>
    </dataValidation>
    <dataValidation type="list" allowBlank="1" showInputMessage="1" showErrorMessage="1" sqref="AA44:AB44" xr:uid="{AE63F2D3-8AAD-4D58-8B95-F47B597C1F56}">
      <formula1>"Yes,No"</formula1>
    </dataValidation>
  </dataValidations>
  <hyperlinks>
    <hyperlink ref="Z52" r:id="rId1" xr:uid="{5043AEFF-E1A4-48D8-9E0F-2CA7E35DFA59}"/>
  </hyperlinks>
  <pageMargins left="0.7" right="0.7" top="0.75" bottom="0.75" header="0.3" footer="0.3"/>
  <pageSetup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BC671-E6E8-4652-B466-4C59858830F2}">
  <sheetPr codeName="Sheet22"/>
  <dimension ref="C2:R63"/>
  <sheetViews>
    <sheetView showGridLines="0" workbookViewId="0"/>
  </sheetViews>
  <sheetFormatPr defaultColWidth="10.36328125" defaultRowHeight="10.5"/>
  <cols>
    <col min="1" max="2" width="10.36328125" style="130"/>
    <col min="3" max="9" width="10.36328125" style="130" bestFit="1" customWidth="1"/>
    <col min="10" max="11" width="10.36328125" style="130"/>
    <col min="12" max="12" width="11.36328125" style="130" bestFit="1" customWidth="1"/>
    <col min="13" max="16" width="11.1796875" style="130" bestFit="1" customWidth="1"/>
    <col min="17" max="17" width="10.36328125" style="130" bestFit="1" customWidth="1"/>
    <col min="18" max="18" width="11.81640625" style="130" bestFit="1" customWidth="1"/>
    <col min="19" max="16384" width="10.36328125" style="130"/>
  </cols>
  <sheetData>
    <row r="2" spans="3:18">
      <c r="C2" s="130" t="s">
        <v>1082</v>
      </c>
      <c r="L2" s="130" t="s">
        <v>1083</v>
      </c>
    </row>
    <row r="4" spans="3:18" ht="10.9" thickBot="1">
      <c r="C4" s="294" t="s">
        <v>926</v>
      </c>
      <c r="D4" s="295" t="s">
        <v>139</v>
      </c>
      <c r="E4" s="295" t="s">
        <v>1084</v>
      </c>
      <c r="F4" s="295" t="s">
        <v>1085</v>
      </c>
      <c r="G4" s="295" t="s">
        <v>1086</v>
      </c>
      <c r="H4" s="295" t="s">
        <v>937</v>
      </c>
      <c r="I4" s="295" t="s">
        <v>1087</v>
      </c>
      <c r="L4" s="1052" t="s">
        <v>926</v>
      </c>
      <c r="M4" s="1053" t="s">
        <v>139</v>
      </c>
      <c r="N4" s="1053" t="s">
        <v>1084</v>
      </c>
      <c r="O4" s="1053" t="s">
        <v>1085</v>
      </c>
      <c r="P4" s="1053" t="s">
        <v>1086</v>
      </c>
      <c r="Q4" s="1053" t="s">
        <v>937</v>
      </c>
      <c r="R4" s="1053" t="s">
        <v>1087</v>
      </c>
    </row>
    <row r="5" spans="3:18" ht="10.9" thickBot="1">
      <c r="C5" s="296">
        <v>42767</v>
      </c>
      <c r="D5" s="297">
        <v>0.94530000000000003</v>
      </c>
      <c r="E5" s="298">
        <v>0.92620000000000002</v>
      </c>
      <c r="F5" s="298">
        <v>0.95299999999999996</v>
      </c>
      <c r="G5" s="298">
        <v>0.9234</v>
      </c>
      <c r="H5" s="298">
        <v>0</v>
      </c>
      <c r="I5" s="299">
        <v>2.1000000000000001E-2</v>
      </c>
      <c r="L5" s="1054">
        <v>44593</v>
      </c>
      <c r="M5" s="300">
        <v>781.54</v>
      </c>
      <c r="N5" s="301">
        <v>556.66999999999996</v>
      </c>
      <c r="O5" s="301">
        <v>556.66999999999996</v>
      </c>
      <c r="P5" s="301">
        <v>556.66999999999996</v>
      </c>
      <c r="Q5" s="301">
        <v>0</v>
      </c>
      <c r="R5" s="302">
        <v>8.9300000000000004E-2</v>
      </c>
    </row>
    <row r="6" spans="3:18" ht="10.9" thickBot="1">
      <c r="C6" s="303">
        <v>42795</v>
      </c>
      <c r="D6" s="304">
        <v>0.9385</v>
      </c>
      <c r="E6" s="305">
        <v>0.9456</v>
      </c>
      <c r="F6" s="305">
        <v>0.95289999999999997</v>
      </c>
      <c r="G6" s="305">
        <v>0.91690000000000005</v>
      </c>
      <c r="H6" s="305">
        <v>0</v>
      </c>
      <c r="I6" s="306">
        <v>-7.1999999999999998E-3</v>
      </c>
      <c r="L6" s="1054">
        <v>44562</v>
      </c>
      <c r="M6" s="300">
        <v>717.44</v>
      </c>
      <c r="N6" s="301">
        <v>556.66999999999996</v>
      </c>
      <c r="O6" s="301">
        <v>556.66999999999996</v>
      </c>
      <c r="P6" s="301">
        <v>556.66999999999996</v>
      </c>
      <c r="Q6" s="301">
        <v>0</v>
      </c>
      <c r="R6" s="302">
        <v>0.186</v>
      </c>
    </row>
    <row r="7" spans="3:18" ht="10.9" thickBot="1">
      <c r="C7" s="303">
        <v>42826</v>
      </c>
      <c r="D7" s="304">
        <v>0.91749999999999998</v>
      </c>
      <c r="E7" s="305">
        <v>0.93799999999999994</v>
      </c>
      <c r="F7" s="305">
        <v>0.94620000000000004</v>
      </c>
      <c r="G7" s="305">
        <v>0.91310000000000002</v>
      </c>
      <c r="H7" s="305">
        <v>0</v>
      </c>
      <c r="I7" s="306">
        <v>-2.24E-2</v>
      </c>
      <c r="L7" s="1054">
        <v>44531</v>
      </c>
      <c r="M7" s="307">
        <v>604.91</v>
      </c>
      <c r="N7" s="301">
        <v>584.22</v>
      </c>
      <c r="O7" s="301">
        <v>584.22</v>
      </c>
      <c r="P7" s="301">
        <v>584.22</v>
      </c>
      <c r="Q7" s="301">
        <v>0</v>
      </c>
      <c r="R7" s="308">
        <v>-6.6E-3</v>
      </c>
    </row>
    <row r="8" spans="3:18" ht="10.9" thickBot="1">
      <c r="C8" s="303">
        <v>42856</v>
      </c>
      <c r="D8" s="304">
        <v>0.88919999999999999</v>
      </c>
      <c r="E8" s="305">
        <v>0.91679999999999995</v>
      </c>
      <c r="F8" s="305">
        <v>0.92259999999999998</v>
      </c>
      <c r="G8" s="305">
        <v>0.88739999999999997</v>
      </c>
      <c r="H8" s="305">
        <v>0</v>
      </c>
      <c r="I8" s="306">
        <v>-3.0800000000000001E-2</v>
      </c>
      <c r="L8" s="1054">
        <v>44501</v>
      </c>
      <c r="M8" s="307">
        <v>608.92999999999995</v>
      </c>
      <c r="N8" s="301">
        <v>763.46</v>
      </c>
      <c r="O8" s="301">
        <v>763.46</v>
      </c>
      <c r="P8" s="301">
        <v>763.46</v>
      </c>
      <c r="Q8" s="301">
        <v>0</v>
      </c>
      <c r="R8" s="308">
        <v>-0.2029</v>
      </c>
    </row>
    <row r="9" spans="3:18" ht="10.9" thickBot="1">
      <c r="C9" s="303">
        <v>42887</v>
      </c>
      <c r="D9" s="304">
        <v>0.875</v>
      </c>
      <c r="E9" s="305">
        <v>0.88939999999999997</v>
      </c>
      <c r="F9" s="305">
        <v>0.89949999999999997</v>
      </c>
      <c r="G9" s="305">
        <v>0.87360000000000004</v>
      </c>
      <c r="H9" s="305">
        <v>0</v>
      </c>
      <c r="I9" s="306">
        <v>-1.6E-2</v>
      </c>
      <c r="L9" s="1054">
        <v>44470</v>
      </c>
      <c r="M9" s="307">
        <v>763.95</v>
      </c>
      <c r="N9" s="301">
        <v>692.25</v>
      </c>
      <c r="O9" s="301">
        <v>692.25</v>
      </c>
      <c r="P9" s="301">
        <v>692.25</v>
      </c>
      <c r="Q9" s="301">
        <v>0</v>
      </c>
      <c r="R9" s="308">
        <v>-1.2999999999999999E-3</v>
      </c>
    </row>
    <row r="10" spans="3:18" ht="10.9" thickBot="1">
      <c r="C10" s="303">
        <v>42917</v>
      </c>
      <c r="D10" s="304">
        <v>0.84430000000000005</v>
      </c>
      <c r="E10" s="305">
        <v>0.87560000000000004</v>
      </c>
      <c r="F10" s="305">
        <v>0.88400000000000001</v>
      </c>
      <c r="G10" s="305">
        <v>0.84409999999999996</v>
      </c>
      <c r="H10" s="305">
        <v>0</v>
      </c>
      <c r="I10" s="306">
        <v>-3.5099999999999999E-2</v>
      </c>
      <c r="L10" s="1054">
        <v>44440</v>
      </c>
      <c r="M10" s="300">
        <v>764.95</v>
      </c>
      <c r="N10" s="301">
        <v>738.55</v>
      </c>
      <c r="O10" s="301">
        <v>738.55</v>
      </c>
      <c r="P10" s="301">
        <v>738.55</v>
      </c>
      <c r="Q10" s="301">
        <v>0</v>
      </c>
      <c r="R10" s="302">
        <v>6.4000000000000003E-3</v>
      </c>
    </row>
    <row r="11" spans="3:18" ht="10.9" thickBot="1">
      <c r="C11" s="303">
        <v>42948</v>
      </c>
      <c r="D11" s="304">
        <v>0.83950000000000002</v>
      </c>
      <c r="E11" s="305">
        <v>0.84440000000000004</v>
      </c>
      <c r="F11" s="305">
        <v>0.85750000000000004</v>
      </c>
      <c r="G11" s="305">
        <v>0.82850000000000001</v>
      </c>
      <c r="H11" s="305">
        <v>0</v>
      </c>
      <c r="I11" s="306">
        <v>-5.7000000000000002E-3</v>
      </c>
      <c r="L11" s="1054">
        <v>44409</v>
      </c>
      <c r="M11" s="300">
        <v>760.06</v>
      </c>
      <c r="N11" s="301">
        <v>599.76</v>
      </c>
      <c r="O11" s="301">
        <v>599.76</v>
      </c>
      <c r="P11" s="301">
        <v>599.76</v>
      </c>
      <c r="Q11" s="301">
        <v>0</v>
      </c>
      <c r="R11" s="302">
        <v>0.12540000000000001</v>
      </c>
    </row>
    <row r="12" spans="3:18" ht="10.9" thickBot="1">
      <c r="C12" s="303">
        <v>42979</v>
      </c>
      <c r="D12" s="309">
        <v>0.84630000000000005</v>
      </c>
      <c r="E12" s="305">
        <v>0.83960000000000001</v>
      </c>
      <c r="F12" s="305">
        <v>0.85350000000000004</v>
      </c>
      <c r="G12" s="305">
        <v>0.82689999999999997</v>
      </c>
      <c r="H12" s="305">
        <v>0</v>
      </c>
      <c r="I12" s="310">
        <v>8.0999999999999996E-3</v>
      </c>
      <c r="L12" s="1054">
        <v>44378</v>
      </c>
      <c r="M12" s="300">
        <v>675.39</v>
      </c>
      <c r="N12" s="301">
        <v>573.20000000000005</v>
      </c>
      <c r="O12" s="301">
        <v>573.20000000000005</v>
      </c>
      <c r="P12" s="301">
        <v>573.20000000000005</v>
      </c>
      <c r="Q12" s="301">
        <v>0</v>
      </c>
      <c r="R12" s="302">
        <v>0.1119</v>
      </c>
    </row>
    <row r="13" spans="3:18" ht="10.9" thickBot="1">
      <c r="C13" s="303">
        <v>43009</v>
      </c>
      <c r="D13" s="309">
        <v>0.85850000000000004</v>
      </c>
      <c r="E13" s="305">
        <v>0.84619999999999995</v>
      </c>
      <c r="F13" s="305">
        <v>0.86399999999999999</v>
      </c>
      <c r="G13" s="305">
        <v>0.8417</v>
      </c>
      <c r="H13" s="305">
        <v>0</v>
      </c>
      <c r="I13" s="310">
        <v>1.44E-2</v>
      </c>
      <c r="L13" s="1054">
        <v>44348</v>
      </c>
      <c r="M13" s="300">
        <v>607.42999999999995</v>
      </c>
      <c r="N13" s="301">
        <v>512.66</v>
      </c>
      <c r="O13" s="301">
        <v>512.66</v>
      </c>
      <c r="P13" s="301">
        <v>512.66</v>
      </c>
      <c r="Q13" s="301">
        <v>0</v>
      </c>
      <c r="R13" s="302">
        <v>3.95E-2</v>
      </c>
    </row>
    <row r="14" spans="3:18" ht="10.9" thickBot="1">
      <c r="C14" s="303">
        <v>43040</v>
      </c>
      <c r="D14" s="304">
        <v>0.83989999999999998</v>
      </c>
      <c r="E14" s="305">
        <v>0.85870000000000002</v>
      </c>
      <c r="F14" s="305">
        <v>0.86550000000000005</v>
      </c>
      <c r="G14" s="305">
        <v>0.83599999999999997</v>
      </c>
      <c r="H14" s="305">
        <v>0</v>
      </c>
      <c r="I14" s="306">
        <v>-2.1700000000000001E-2</v>
      </c>
      <c r="L14" s="1054">
        <v>44317</v>
      </c>
      <c r="M14" s="300">
        <v>584.33000000000004</v>
      </c>
      <c r="N14" s="301">
        <v>551.25</v>
      </c>
      <c r="O14" s="301">
        <v>551.25</v>
      </c>
      <c r="P14" s="301">
        <v>551.25</v>
      </c>
      <c r="Q14" s="301">
        <v>0</v>
      </c>
      <c r="R14" s="302">
        <v>0.13009999999999999</v>
      </c>
    </row>
    <row r="15" spans="3:18" ht="10.9" thickBot="1">
      <c r="C15" s="303">
        <v>43070</v>
      </c>
      <c r="D15" s="304">
        <v>0.83330000000000004</v>
      </c>
      <c r="E15" s="305">
        <v>0.84</v>
      </c>
      <c r="F15" s="305">
        <v>0.85350000000000004</v>
      </c>
      <c r="G15" s="305">
        <v>0.83130000000000004</v>
      </c>
      <c r="H15" s="305">
        <v>0</v>
      </c>
      <c r="I15" s="306">
        <v>-7.9000000000000008E-3</v>
      </c>
      <c r="L15" s="1054">
        <v>44287</v>
      </c>
      <c r="M15" s="300">
        <v>517.07000000000005</v>
      </c>
      <c r="N15" s="301">
        <v>479.59</v>
      </c>
      <c r="O15" s="301">
        <v>479.59</v>
      </c>
      <c r="P15" s="301">
        <v>479.59</v>
      </c>
      <c r="Q15" s="301">
        <v>0</v>
      </c>
      <c r="R15" s="302">
        <v>0.24399999999999999</v>
      </c>
    </row>
    <row r="16" spans="3:18" ht="10.9" thickBot="1">
      <c r="C16" s="303">
        <v>43101</v>
      </c>
      <c r="D16" s="304">
        <v>0.80500000000000005</v>
      </c>
      <c r="E16" s="305">
        <v>0.83320000000000005</v>
      </c>
      <c r="F16" s="305">
        <v>0.83919999999999995</v>
      </c>
      <c r="G16" s="305">
        <v>0.79759999999999998</v>
      </c>
      <c r="H16" s="305">
        <v>0</v>
      </c>
      <c r="I16" s="306">
        <v>-3.4000000000000002E-2</v>
      </c>
      <c r="L16" s="1054">
        <v>44256</v>
      </c>
      <c r="M16" s="300">
        <v>415.64</v>
      </c>
      <c r="N16" s="301">
        <v>358.31</v>
      </c>
      <c r="O16" s="301">
        <v>358.31</v>
      </c>
      <c r="P16" s="301">
        <v>358.31</v>
      </c>
      <c r="Q16" s="301">
        <v>0</v>
      </c>
      <c r="R16" s="302">
        <v>0.21299999999999999</v>
      </c>
    </row>
    <row r="17" spans="3:18" ht="10.9" thickBot="1">
      <c r="C17" s="303">
        <v>43132</v>
      </c>
      <c r="D17" s="309">
        <v>0.81989999999999996</v>
      </c>
      <c r="E17" s="305">
        <v>0.80549999999999999</v>
      </c>
      <c r="F17" s="305">
        <v>0.82050000000000001</v>
      </c>
      <c r="G17" s="305">
        <v>0.79649999999999999</v>
      </c>
      <c r="H17" s="305">
        <v>0</v>
      </c>
      <c r="I17" s="310">
        <v>1.8499999999999999E-2</v>
      </c>
      <c r="L17" s="1054">
        <v>44228</v>
      </c>
      <c r="M17" s="300">
        <v>342.66</v>
      </c>
      <c r="N17" s="301">
        <v>315.87</v>
      </c>
      <c r="O17" s="301">
        <v>315.87</v>
      </c>
      <c r="P17" s="301">
        <v>315.87</v>
      </c>
      <c r="Q17" s="301">
        <v>0</v>
      </c>
      <c r="R17" s="302">
        <v>3.95E-2</v>
      </c>
    </row>
    <row r="18" spans="3:18" ht="10.9" thickBot="1">
      <c r="C18" s="303">
        <v>43160</v>
      </c>
      <c r="D18" s="304">
        <v>0.81140000000000001</v>
      </c>
      <c r="E18" s="305">
        <v>0.82</v>
      </c>
      <c r="F18" s="305">
        <v>0.82269999999999999</v>
      </c>
      <c r="G18" s="305">
        <v>0.80149999999999999</v>
      </c>
      <c r="H18" s="305">
        <v>0</v>
      </c>
      <c r="I18" s="306">
        <v>-1.04E-2</v>
      </c>
      <c r="L18" s="1054">
        <v>44197</v>
      </c>
      <c r="M18" s="300">
        <v>329.65</v>
      </c>
      <c r="N18" s="301">
        <v>315.32</v>
      </c>
      <c r="O18" s="301">
        <v>315.32</v>
      </c>
      <c r="P18" s="301">
        <v>315.32</v>
      </c>
      <c r="Q18" s="301">
        <v>0</v>
      </c>
      <c r="R18" s="302">
        <v>5.4300000000000001E-2</v>
      </c>
    </row>
    <row r="19" spans="3:18" ht="10.9" thickBot="1">
      <c r="C19" s="303">
        <v>43191</v>
      </c>
      <c r="D19" s="309">
        <v>0.82779999999999998</v>
      </c>
      <c r="E19" s="305">
        <v>0.8115</v>
      </c>
      <c r="F19" s="305">
        <v>0.8296</v>
      </c>
      <c r="G19" s="305">
        <v>0.80549999999999999</v>
      </c>
      <c r="H19" s="305">
        <v>0</v>
      </c>
      <c r="I19" s="310">
        <v>2.0199999999999999E-2</v>
      </c>
      <c r="L19" s="1054">
        <v>44166</v>
      </c>
      <c r="M19" s="300">
        <v>312.67</v>
      </c>
      <c r="N19" s="301">
        <v>285.55</v>
      </c>
      <c r="O19" s="301">
        <v>285.55</v>
      </c>
      <c r="P19" s="301">
        <v>285.55</v>
      </c>
      <c r="Q19" s="301">
        <v>0</v>
      </c>
      <c r="R19" s="302">
        <v>9.0800000000000006E-2</v>
      </c>
    </row>
    <row r="20" spans="3:18" ht="10.9" thickBot="1">
      <c r="C20" s="303">
        <v>43221</v>
      </c>
      <c r="D20" s="309">
        <v>0.85509999999999997</v>
      </c>
      <c r="E20" s="305">
        <v>0.82799999999999996</v>
      </c>
      <c r="F20" s="305">
        <v>0.86890000000000001</v>
      </c>
      <c r="G20" s="305">
        <v>0.82730000000000004</v>
      </c>
      <c r="H20" s="305">
        <v>0</v>
      </c>
      <c r="I20" s="310">
        <v>3.3000000000000002E-2</v>
      </c>
      <c r="L20" s="1054">
        <v>44136</v>
      </c>
      <c r="M20" s="300">
        <v>286.64999999999998</v>
      </c>
      <c r="N20" s="301">
        <v>283.33999999999997</v>
      </c>
      <c r="O20" s="301">
        <v>283.33999999999997</v>
      </c>
      <c r="P20" s="301">
        <v>283.33999999999997</v>
      </c>
      <c r="Q20" s="301">
        <v>0</v>
      </c>
      <c r="R20" s="302">
        <v>7.4399999999999994E-2</v>
      </c>
    </row>
    <row r="21" spans="3:18" ht="10.9" thickBot="1">
      <c r="C21" s="303">
        <v>43252</v>
      </c>
      <c r="D21" s="309">
        <v>0.85570000000000002</v>
      </c>
      <c r="E21" s="305">
        <v>0.85529999999999995</v>
      </c>
      <c r="F21" s="305">
        <v>0.86899999999999999</v>
      </c>
      <c r="G21" s="305">
        <v>0.84370000000000001</v>
      </c>
      <c r="H21" s="305">
        <v>0</v>
      </c>
      <c r="I21" s="310">
        <v>6.9999999999999999E-4</v>
      </c>
      <c r="L21" s="1054">
        <v>44105</v>
      </c>
      <c r="M21" s="307">
        <v>266.81</v>
      </c>
      <c r="N21" s="301">
        <v>270.11</v>
      </c>
      <c r="O21" s="301">
        <v>270.11</v>
      </c>
      <c r="P21" s="301">
        <v>270.11</v>
      </c>
      <c r="Q21" s="301">
        <v>0</v>
      </c>
      <c r="R21" s="308">
        <v>-0.1449</v>
      </c>
    </row>
    <row r="22" spans="3:18" ht="10.9" thickBot="1">
      <c r="C22" s="303">
        <v>43282</v>
      </c>
      <c r="D22" s="304">
        <v>0.85529999999999995</v>
      </c>
      <c r="E22" s="305">
        <v>0.85829999999999995</v>
      </c>
      <c r="F22" s="305">
        <v>0.86399999999999999</v>
      </c>
      <c r="G22" s="305">
        <v>0.84809999999999997</v>
      </c>
      <c r="H22" s="305">
        <v>0</v>
      </c>
      <c r="I22" s="306">
        <v>-5.0000000000000001E-4</v>
      </c>
      <c r="L22" s="1054">
        <v>44075</v>
      </c>
      <c r="M22" s="307">
        <v>312.01</v>
      </c>
      <c r="N22" s="301">
        <v>329.43</v>
      </c>
      <c r="O22" s="301">
        <v>329.43</v>
      </c>
      <c r="P22" s="301">
        <v>329.43</v>
      </c>
      <c r="Q22" s="301">
        <v>0</v>
      </c>
      <c r="R22" s="308">
        <v>-2.07E-2</v>
      </c>
    </row>
    <row r="23" spans="3:18" ht="10.9" thickBot="1">
      <c r="C23" s="303">
        <v>43313</v>
      </c>
      <c r="D23" s="309">
        <v>0.86170000000000002</v>
      </c>
      <c r="E23" s="305">
        <v>0.85540000000000005</v>
      </c>
      <c r="F23" s="305">
        <v>0.88500000000000001</v>
      </c>
      <c r="G23" s="305">
        <v>0.85219999999999996</v>
      </c>
      <c r="H23" s="305">
        <v>0</v>
      </c>
      <c r="I23" s="310">
        <v>7.4999999999999997E-3</v>
      </c>
      <c r="L23" s="1054">
        <v>44044</v>
      </c>
      <c r="M23" s="300">
        <v>318.62</v>
      </c>
      <c r="N23" s="301">
        <v>276.18</v>
      </c>
      <c r="O23" s="301">
        <v>276.18</v>
      </c>
      <c r="P23" s="301">
        <v>276.18</v>
      </c>
      <c r="Q23" s="301">
        <v>0</v>
      </c>
      <c r="R23" s="302">
        <v>0.44500000000000001</v>
      </c>
    </row>
    <row r="24" spans="3:18" ht="10.9" thickBot="1">
      <c r="C24" s="303">
        <v>43344</v>
      </c>
      <c r="D24" s="304">
        <v>0.86129999999999995</v>
      </c>
      <c r="E24" s="305">
        <v>0.86229999999999996</v>
      </c>
      <c r="F24" s="305">
        <v>0.86760000000000004</v>
      </c>
      <c r="G24" s="305">
        <v>0.84630000000000005</v>
      </c>
      <c r="H24" s="305">
        <v>0</v>
      </c>
      <c r="I24" s="306">
        <v>-5.0000000000000001E-4</v>
      </c>
      <c r="L24" s="1054">
        <v>44013</v>
      </c>
      <c r="M24" s="300">
        <v>220.5</v>
      </c>
      <c r="N24" s="301">
        <v>217.74</v>
      </c>
      <c r="O24" s="301">
        <v>217.74</v>
      </c>
      <c r="P24" s="301">
        <v>217.74</v>
      </c>
      <c r="Q24" s="301">
        <v>0</v>
      </c>
      <c r="R24" s="302">
        <v>0.16669999999999999</v>
      </c>
    </row>
    <row r="25" spans="3:18" ht="10.9" thickBot="1">
      <c r="C25" s="303">
        <v>43374</v>
      </c>
      <c r="D25" s="309">
        <v>0.88390000000000002</v>
      </c>
      <c r="E25" s="305">
        <v>0.86150000000000004</v>
      </c>
      <c r="F25" s="305">
        <v>0.88490000000000002</v>
      </c>
      <c r="G25" s="305">
        <v>0.86</v>
      </c>
      <c r="H25" s="305">
        <v>0</v>
      </c>
      <c r="I25" s="310">
        <v>2.6200000000000001E-2</v>
      </c>
      <c r="L25" s="1054">
        <v>43983</v>
      </c>
      <c r="M25" s="300">
        <v>189</v>
      </c>
      <c r="N25" s="301">
        <v>198.45</v>
      </c>
      <c r="O25" s="301">
        <v>198.45</v>
      </c>
      <c r="P25" s="301">
        <v>198.45</v>
      </c>
      <c r="Q25" s="301">
        <v>0</v>
      </c>
      <c r="R25" s="302">
        <v>5.6899999999999999E-2</v>
      </c>
    </row>
    <row r="26" spans="3:18" ht="10.9" thickBot="1">
      <c r="C26" s="303">
        <v>43405</v>
      </c>
      <c r="D26" s="304">
        <v>0.88349999999999995</v>
      </c>
      <c r="E26" s="305">
        <v>0.8841</v>
      </c>
      <c r="F26" s="305">
        <v>0.89170000000000005</v>
      </c>
      <c r="G26" s="305">
        <v>0.86950000000000005</v>
      </c>
      <c r="H26" s="305">
        <v>0</v>
      </c>
      <c r="I26" s="306">
        <v>-5.0000000000000001E-4</v>
      </c>
      <c r="L26" s="1054">
        <v>43952</v>
      </c>
      <c r="M26" s="307">
        <v>178.83</v>
      </c>
      <c r="N26" s="301">
        <v>187.43</v>
      </c>
      <c r="O26" s="301">
        <v>187.43</v>
      </c>
      <c r="P26" s="301">
        <v>187.43</v>
      </c>
      <c r="Q26" s="301">
        <v>0</v>
      </c>
      <c r="R26" s="308">
        <v>-0.17119999999999999</v>
      </c>
    </row>
    <row r="27" spans="3:18" ht="10.9" thickBot="1">
      <c r="C27" s="303">
        <v>43435</v>
      </c>
      <c r="D27" s="304">
        <v>0.87170000000000003</v>
      </c>
      <c r="E27" s="305">
        <v>0.88380000000000003</v>
      </c>
      <c r="F27" s="305">
        <v>0.88739999999999997</v>
      </c>
      <c r="G27" s="305">
        <v>0.87050000000000005</v>
      </c>
      <c r="H27" s="305">
        <v>0</v>
      </c>
      <c r="I27" s="306">
        <v>-1.34E-2</v>
      </c>
      <c r="L27" s="1054">
        <v>43922</v>
      </c>
      <c r="M27" s="307">
        <v>215.76</v>
      </c>
      <c r="N27" s="301">
        <v>237.04</v>
      </c>
      <c r="O27" s="301">
        <v>237.04</v>
      </c>
      <c r="P27" s="301">
        <v>237.04</v>
      </c>
      <c r="Q27" s="301">
        <v>0</v>
      </c>
      <c r="R27" s="308">
        <v>-0.2576</v>
      </c>
    </row>
    <row r="28" spans="3:18" ht="10.9" thickBot="1">
      <c r="C28" s="303">
        <v>43466</v>
      </c>
      <c r="D28" s="309">
        <v>0.87350000000000005</v>
      </c>
      <c r="E28" s="305">
        <v>0.87219999999999998</v>
      </c>
      <c r="F28" s="305">
        <v>0.88590000000000002</v>
      </c>
      <c r="G28" s="305">
        <v>0.86429999999999996</v>
      </c>
      <c r="H28" s="305">
        <v>0</v>
      </c>
      <c r="I28" s="310">
        <v>2.0999999999999999E-3</v>
      </c>
      <c r="L28" s="1054">
        <v>43891</v>
      </c>
      <c r="M28" s="307">
        <v>290.62</v>
      </c>
      <c r="N28" s="301">
        <v>300.98</v>
      </c>
      <c r="O28" s="301">
        <v>300.98</v>
      </c>
      <c r="P28" s="301">
        <v>300.98</v>
      </c>
      <c r="Q28" s="301">
        <v>0</v>
      </c>
      <c r="R28" s="308">
        <v>-3.27E-2</v>
      </c>
    </row>
    <row r="29" spans="3:18" ht="10.9" thickBot="1">
      <c r="C29" s="303">
        <v>43497</v>
      </c>
      <c r="D29" s="309">
        <v>0.87939999999999996</v>
      </c>
      <c r="E29" s="305">
        <v>0.87370000000000003</v>
      </c>
      <c r="F29" s="305">
        <v>0.89029999999999998</v>
      </c>
      <c r="G29" s="305">
        <v>0.87039999999999995</v>
      </c>
      <c r="H29" s="305">
        <v>0</v>
      </c>
      <c r="I29" s="310">
        <v>6.7999999999999996E-3</v>
      </c>
      <c r="L29" s="1054">
        <v>43862</v>
      </c>
      <c r="M29" s="307">
        <v>300.43</v>
      </c>
      <c r="N29" s="301">
        <v>300.43</v>
      </c>
      <c r="O29" s="301">
        <v>300.43</v>
      </c>
      <c r="P29" s="301">
        <v>300.43</v>
      </c>
      <c r="Q29" s="301">
        <v>0</v>
      </c>
      <c r="R29" s="308">
        <v>-3.0200000000000001E-2</v>
      </c>
    </row>
    <row r="30" spans="3:18" ht="10.9" thickBot="1">
      <c r="C30" s="303">
        <v>43525</v>
      </c>
      <c r="D30" s="309">
        <v>0.89129999999999998</v>
      </c>
      <c r="E30" s="305">
        <v>0.87849999999999995</v>
      </c>
      <c r="F30" s="305">
        <v>0.89480000000000004</v>
      </c>
      <c r="G30" s="305">
        <v>0.87339999999999995</v>
      </c>
      <c r="H30" s="305">
        <v>0</v>
      </c>
      <c r="I30" s="310">
        <v>1.35E-2</v>
      </c>
      <c r="L30" s="1054">
        <v>43831</v>
      </c>
      <c r="M30" s="307">
        <v>309.8</v>
      </c>
      <c r="N30" s="301">
        <v>309.8</v>
      </c>
      <c r="O30" s="301">
        <v>309.8</v>
      </c>
      <c r="P30" s="301">
        <v>309.8</v>
      </c>
      <c r="Q30" s="301">
        <v>0</v>
      </c>
      <c r="R30" s="308">
        <v>-2.92E-2</v>
      </c>
    </row>
    <row r="31" spans="3:18" ht="10.9" thickBot="1">
      <c r="C31" s="303">
        <v>43556</v>
      </c>
      <c r="D31" s="309">
        <v>0.89159999999999995</v>
      </c>
      <c r="E31" s="305">
        <v>0.89139999999999997</v>
      </c>
      <c r="F31" s="305">
        <v>0.9</v>
      </c>
      <c r="G31" s="305">
        <v>0.88290000000000002</v>
      </c>
      <c r="H31" s="305">
        <v>0</v>
      </c>
      <c r="I31" s="310">
        <v>2.9999999999999997E-4</v>
      </c>
      <c r="L31" s="1054">
        <v>43800</v>
      </c>
      <c r="M31" s="307">
        <v>319.13</v>
      </c>
      <c r="N31" s="301">
        <v>319.13</v>
      </c>
      <c r="O31" s="301">
        <v>319.13</v>
      </c>
      <c r="P31" s="301">
        <v>319.13</v>
      </c>
      <c r="Q31" s="301">
        <v>0</v>
      </c>
      <c r="R31" s="308">
        <v>-7.1099999999999997E-2</v>
      </c>
    </row>
    <row r="32" spans="3:18" ht="10.9" thickBot="1">
      <c r="C32" s="303">
        <v>43586</v>
      </c>
      <c r="D32" s="309">
        <v>0.89400000000000002</v>
      </c>
      <c r="E32" s="305">
        <v>0.89159999999999995</v>
      </c>
      <c r="F32" s="305">
        <v>0.90029999999999999</v>
      </c>
      <c r="G32" s="305">
        <v>0.88759999999999994</v>
      </c>
      <c r="H32" s="305">
        <v>0</v>
      </c>
      <c r="I32" s="310">
        <v>2.7000000000000001E-3</v>
      </c>
      <c r="L32" s="1054">
        <v>43770</v>
      </c>
      <c r="M32" s="307">
        <v>343.54</v>
      </c>
      <c r="N32" s="301">
        <v>343.54</v>
      </c>
      <c r="O32" s="301">
        <v>343.54</v>
      </c>
      <c r="P32" s="301">
        <v>343.54</v>
      </c>
      <c r="Q32" s="301">
        <v>0</v>
      </c>
      <c r="R32" s="308">
        <v>-0.1198</v>
      </c>
    </row>
    <row r="33" spans="3:18" ht="10.9" thickBot="1">
      <c r="C33" s="303">
        <v>43617</v>
      </c>
      <c r="D33" s="304">
        <v>0.87939999999999996</v>
      </c>
      <c r="E33" s="305">
        <v>0.89539999999999997</v>
      </c>
      <c r="F33" s="305">
        <v>0.89639999999999997</v>
      </c>
      <c r="G33" s="305">
        <v>0.87619999999999998</v>
      </c>
      <c r="H33" s="305">
        <v>0</v>
      </c>
      <c r="I33" s="306">
        <v>-1.6299999999999999E-2</v>
      </c>
      <c r="L33" s="1054">
        <v>43739</v>
      </c>
      <c r="M33" s="307">
        <v>390.29</v>
      </c>
      <c r="N33" s="301">
        <v>390.29</v>
      </c>
      <c r="O33" s="301">
        <v>390.29</v>
      </c>
      <c r="P33" s="301">
        <v>390.29</v>
      </c>
      <c r="Q33" s="301">
        <v>0</v>
      </c>
      <c r="R33" s="308">
        <v>-5.5999999999999999E-3</v>
      </c>
    </row>
    <row r="34" spans="3:18" ht="10.9" thickBot="1">
      <c r="C34" s="303">
        <v>43647</v>
      </c>
      <c r="D34" s="309">
        <v>0.90269999999999995</v>
      </c>
      <c r="E34" s="305">
        <v>0.87949999999999995</v>
      </c>
      <c r="F34" s="305">
        <v>0.9042</v>
      </c>
      <c r="G34" s="305">
        <v>0.87909999999999999</v>
      </c>
      <c r="H34" s="305">
        <v>0</v>
      </c>
      <c r="I34" s="310">
        <v>2.6499999999999999E-2</v>
      </c>
      <c r="L34" s="1054">
        <v>43709</v>
      </c>
      <c r="M34" s="300">
        <v>392.49</v>
      </c>
      <c r="N34" s="301">
        <v>392.49</v>
      </c>
      <c r="O34" s="301">
        <v>392.49</v>
      </c>
      <c r="P34" s="301">
        <v>392.49</v>
      </c>
      <c r="Q34" s="301">
        <v>0</v>
      </c>
      <c r="R34" s="302">
        <v>1.3100000000000001E-2</v>
      </c>
    </row>
    <row r="35" spans="3:18" ht="10.9" thickBot="1">
      <c r="C35" s="303">
        <v>43678</v>
      </c>
      <c r="D35" s="309">
        <v>0.90969999999999995</v>
      </c>
      <c r="E35" s="305">
        <v>0.90290000000000004</v>
      </c>
      <c r="F35" s="305">
        <v>0.91220000000000001</v>
      </c>
      <c r="G35" s="305">
        <v>0.88880000000000003</v>
      </c>
      <c r="H35" s="305">
        <v>0</v>
      </c>
      <c r="I35" s="310">
        <v>7.7999999999999996E-3</v>
      </c>
      <c r="L35" s="1054">
        <v>43678</v>
      </c>
      <c r="M35" s="307">
        <v>387.42</v>
      </c>
      <c r="N35" s="301">
        <v>387.42</v>
      </c>
      <c r="O35" s="301">
        <v>387.42</v>
      </c>
      <c r="P35" s="301">
        <v>387.42</v>
      </c>
      <c r="Q35" s="301">
        <v>0</v>
      </c>
      <c r="R35" s="308">
        <v>-1.7299999999999999E-2</v>
      </c>
    </row>
    <row r="36" spans="3:18" ht="10.9" thickBot="1">
      <c r="C36" s="303">
        <v>43709</v>
      </c>
      <c r="D36" s="309">
        <v>0.9173</v>
      </c>
      <c r="E36" s="305">
        <v>0.91</v>
      </c>
      <c r="F36" s="305">
        <v>0.91869999999999996</v>
      </c>
      <c r="G36" s="305">
        <v>0.90010000000000001</v>
      </c>
      <c r="H36" s="305">
        <v>0</v>
      </c>
      <c r="I36" s="310">
        <v>8.3999999999999995E-3</v>
      </c>
      <c r="L36" s="1054">
        <v>43647</v>
      </c>
      <c r="M36" s="307">
        <v>394.25</v>
      </c>
      <c r="N36" s="301">
        <v>394.25</v>
      </c>
      <c r="O36" s="301">
        <v>394.25</v>
      </c>
      <c r="P36" s="301">
        <v>394.25</v>
      </c>
      <c r="Q36" s="301">
        <v>0</v>
      </c>
      <c r="R36" s="308">
        <v>-4.6399999999999997E-2</v>
      </c>
    </row>
    <row r="37" spans="3:18" ht="10.9" thickBot="1">
      <c r="C37" s="303">
        <v>43739</v>
      </c>
      <c r="D37" s="304">
        <v>0.89649999999999996</v>
      </c>
      <c r="E37" s="305">
        <v>0.91739999999999999</v>
      </c>
      <c r="F37" s="305">
        <v>0.91930000000000001</v>
      </c>
      <c r="G37" s="305">
        <v>0.89449999999999996</v>
      </c>
      <c r="H37" s="305">
        <v>0</v>
      </c>
      <c r="I37" s="306">
        <v>-2.2700000000000001E-2</v>
      </c>
      <c r="L37" s="1054">
        <v>43617</v>
      </c>
      <c r="M37" s="307">
        <v>413.44</v>
      </c>
      <c r="N37" s="301">
        <v>413.44</v>
      </c>
      <c r="O37" s="301">
        <v>413.44</v>
      </c>
      <c r="P37" s="301">
        <v>413.44</v>
      </c>
      <c r="Q37" s="301">
        <v>0</v>
      </c>
      <c r="R37" s="308">
        <v>-1.5699999999999999E-2</v>
      </c>
    </row>
    <row r="38" spans="3:18" ht="10.9" thickBot="1">
      <c r="C38" s="303">
        <v>43770</v>
      </c>
      <c r="D38" s="309">
        <v>0.90749999999999997</v>
      </c>
      <c r="E38" s="305">
        <v>0.89670000000000005</v>
      </c>
      <c r="F38" s="305">
        <v>0.91069999999999995</v>
      </c>
      <c r="G38" s="305">
        <v>0.89480000000000004</v>
      </c>
      <c r="H38" s="305">
        <v>0</v>
      </c>
      <c r="I38" s="310">
        <v>1.23E-2</v>
      </c>
      <c r="L38" s="1054">
        <v>43586</v>
      </c>
      <c r="M38" s="300">
        <v>420.05</v>
      </c>
      <c r="N38" s="301">
        <v>420.05</v>
      </c>
      <c r="O38" s="301">
        <v>420.05</v>
      </c>
      <c r="P38" s="301">
        <v>420.05</v>
      </c>
      <c r="Q38" s="301">
        <v>0</v>
      </c>
      <c r="R38" s="302">
        <v>5.4000000000000003E-3</v>
      </c>
    </row>
    <row r="39" spans="3:18" ht="10.9" thickBot="1">
      <c r="C39" s="303">
        <v>43800</v>
      </c>
      <c r="D39" s="304">
        <v>0.89170000000000005</v>
      </c>
      <c r="E39" s="305">
        <v>0.90790000000000004</v>
      </c>
      <c r="F39" s="305">
        <v>0.90890000000000004</v>
      </c>
      <c r="G39" s="305">
        <v>0.88970000000000005</v>
      </c>
      <c r="H39" s="305">
        <v>0</v>
      </c>
      <c r="I39" s="306">
        <v>-1.7399999999999999E-2</v>
      </c>
      <c r="L39" s="1055">
        <v>43556</v>
      </c>
      <c r="M39" s="311">
        <v>417.78</v>
      </c>
      <c r="N39" s="312">
        <v>417.78</v>
      </c>
      <c r="O39" s="312">
        <v>417.78</v>
      </c>
      <c r="P39" s="312">
        <v>417.78</v>
      </c>
      <c r="Q39" s="312">
        <v>0</v>
      </c>
      <c r="R39" s="313">
        <v>-1.37E-2</v>
      </c>
    </row>
    <row r="40" spans="3:18" ht="10.9" thickBot="1">
      <c r="C40" s="303">
        <v>43831</v>
      </c>
      <c r="D40" s="309">
        <v>0.90129999999999999</v>
      </c>
      <c r="E40" s="305">
        <v>0.89180000000000004</v>
      </c>
      <c r="F40" s="305">
        <v>0.90980000000000005</v>
      </c>
      <c r="G40" s="305">
        <v>0.89070000000000005</v>
      </c>
      <c r="H40" s="305">
        <v>0</v>
      </c>
      <c r="I40" s="310">
        <v>1.0800000000000001E-2</v>
      </c>
    </row>
    <row r="41" spans="3:18" ht="10.9" thickBot="1">
      <c r="C41" s="303">
        <v>43862</v>
      </c>
      <c r="D41" s="309">
        <v>0.90680000000000005</v>
      </c>
      <c r="E41" s="305">
        <v>0.90149999999999997</v>
      </c>
      <c r="F41" s="305">
        <v>0.92800000000000005</v>
      </c>
      <c r="G41" s="305">
        <v>0.9012</v>
      </c>
      <c r="H41" s="305">
        <v>0</v>
      </c>
      <c r="I41" s="310">
        <v>6.1000000000000004E-3</v>
      </c>
    </row>
    <row r="42" spans="3:18" ht="10.9" thickBot="1">
      <c r="C42" s="303">
        <v>43891</v>
      </c>
      <c r="D42" s="304">
        <v>0.90639999999999998</v>
      </c>
      <c r="E42" s="305">
        <v>0.90890000000000004</v>
      </c>
      <c r="F42" s="305">
        <v>0.94020000000000004</v>
      </c>
      <c r="G42" s="305">
        <v>0.87009999999999998</v>
      </c>
      <c r="H42" s="305">
        <v>0</v>
      </c>
      <c r="I42" s="306">
        <v>-4.0000000000000002E-4</v>
      </c>
    </row>
    <row r="43" spans="3:18" ht="10.9" thickBot="1">
      <c r="C43" s="303">
        <v>43922</v>
      </c>
      <c r="D43" s="309">
        <v>0.91249999999999998</v>
      </c>
      <c r="E43" s="305">
        <v>0.90649999999999997</v>
      </c>
      <c r="F43" s="305">
        <v>0.93230000000000002</v>
      </c>
      <c r="G43" s="305">
        <v>0.90580000000000005</v>
      </c>
      <c r="H43" s="305">
        <v>0</v>
      </c>
      <c r="I43" s="310">
        <v>6.7000000000000002E-3</v>
      </c>
    </row>
    <row r="44" spans="3:18" ht="10.9" thickBot="1">
      <c r="C44" s="303">
        <v>43952</v>
      </c>
      <c r="D44" s="304">
        <v>0.90090000000000003</v>
      </c>
      <c r="E44" s="305">
        <v>0.91279999999999994</v>
      </c>
      <c r="F44" s="305">
        <v>0.92879999999999996</v>
      </c>
      <c r="G44" s="305">
        <v>0.89710000000000001</v>
      </c>
      <c r="H44" s="305">
        <v>0</v>
      </c>
      <c r="I44" s="306">
        <v>-1.2699999999999999E-2</v>
      </c>
    </row>
    <row r="45" spans="3:18" ht="10.9" thickBot="1">
      <c r="C45" s="303">
        <v>43983</v>
      </c>
      <c r="D45" s="304">
        <v>0.8901</v>
      </c>
      <c r="E45" s="305">
        <v>0.90110000000000001</v>
      </c>
      <c r="F45" s="305">
        <v>0.90129999999999999</v>
      </c>
      <c r="G45" s="305">
        <v>0.87549999999999994</v>
      </c>
      <c r="H45" s="305">
        <v>0</v>
      </c>
      <c r="I45" s="306">
        <v>-1.2E-2</v>
      </c>
    </row>
    <row r="46" spans="3:18" ht="10.9" thickBot="1">
      <c r="C46" s="303">
        <v>44013</v>
      </c>
      <c r="D46" s="304">
        <v>0.8488</v>
      </c>
      <c r="E46" s="305">
        <v>0.89029999999999998</v>
      </c>
      <c r="F46" s="305">
        <v>0.89410000000000001</v>
      </c>
      <c r="G46" s="305">
        <v>0.8397</v>
      </c>
      <c r="H46" s="305">
        <v>0</v>
      </c>
      <c r="I46" s="306">
        <v>-4.6399999999999997E-2</v>
      </c>
    </row>
    <row r="47" spans="3:18" ht="10.9" thickBot="1">
      <c r="C47" s="303">
        <v>44044</v>
      </c>
      <c r="D47" s="304">
        <v>0.8377</v>
      </c>
      <c r="E47" s="305">
        <v>0.84860000000000002</v>
      </c>
      <c r="F47" s="305">
        <v>0.85499999999999998</v>
      </c>
      <c r="G47" s="305">
        <v>0.8357</v>
      </c>
      <c r="H47" s="305">
        <v>0</v>
      </c>
      <c r="I47" s="306">
        <v>-1.3100000000000001E-2</v>
      </c>
    </row>
    <row r="48" spans="3:18" ht="10.9" thickBot="1">
      <c r="C48" s="303">
        <v>44075</v>
      </c>
      <c r="D48" s="309">
        <v>0.85309999999999997</v>
      </c>
      <c r="E48" s="305">
        <v>0.83779999999999999</v>
      </c>
      <c r="F48" s="305">
        <v>0.86119999999999997</v>
      </c>
      <c r="G48" s="305">
        <v>0.83250000000000002</v>
      </c>
      <c r="H48" s="305">
        <v>0</v>
      </c>
      <c r="I48" s="310">
        <v>1.84E-2</v>
      </c>
    </row>
    <row r="49" spans="3:9" ht="10.9" thickBot="1">
      <c r="C49" s="303">
        <v>44105</v>
      </c>
      <c r="D49" s="309">
        <v>0.85829999999999995</v>
      </c>
      <c r="E49" s="305">
        <v>0.85329999999999995</v>
      </c>
      <c r="F49" s="305">
        <v>0.85909999999999997</v>
      </c>
      <c r="G49" s="305">
        <v>0.8417</v>
      </c>
      <c r="H49" s="305">
        <v>0</v>
      </c>
      <c r="I49" s="310">
        <v>6.1000000000000004E-3</v>
      </c>
    </row>
    <row r="50" spans="3:9" ht="10.9" thickBot="1">
      <c r="C50" s="303">
        <v>44136</v>
      </c>
      <c r="D50" s="304">
        <v>0.83809999999999996</v>
      </c>
      <c r="E50" s="305">
        <v>0.85770000000000002</v>
      </c>
      <c r="F50" s="305">
        <v>0.86180000000000001</v>
      </c>
      <c r="G50" s="305">
        <v>0.83299999999999996</v>
      </c>
      <c r="H50" s="305">
        <v>0</v>
      </c>
      <c r="I50" s="306">
        <v>-2.35E-2</v>
      </c>
    </row>
    <row r="51" spans="3:9" ht="10.9" thickBot="1">
      <c r="C51" s="303">
        <v>44166</v>
      </c>
      <c r="D51" s="304">
        <v>0.81850000000000001</v>
      </c>
      <c r="E51" s="305">
        <v>0.83830000000000005</v>
      </c>
      <c r="F51" s="305">
        <v>0.83850000000000002</v>
      </c>
      <c r="G51" s="305">
        <v>0.81230000000000002</v>
      </c>
      <c r="H51" s="305">
        <v>0</v>
      </c>
      <c r="I51" s="306">
        <v>-2.3400000000000001E-2</v>
      </c>
    </row>
    <row r="52" spans="3:9" ht="10.9" thickBot="1">
      <c r="C52" s="303">
        <v>44197</v>
      </c>
      <c r="D52" s="309">
        <v>0.82389999999999997</v>
      </c>
      <c r="E52" s="305">
        <v>0.81759999999999999</v>
      </c>
      <c r="F52" s="305">
        <v>0.8296</v>
      </c>
      <c r="G52" s="305">
        <v>0.80979999999999996</v>
      </c>
      <c r="H52" s="305">
        <v>0</v>
      </c>
      <c r="I52" s="310">
        <v>6.6E-3</v>
      </c>
    </row>
    <row r="53" spans="3:9" ht="10.9" thickBot="1">
      <c r="C53" s="303">
        <v>44228</v>
      </c>
      <c r="D53" s="309">
        <v>0.82799999999999996</v>
      </c>
      <c r="E53" s="305">
        <v>0.82379999999999998</v>
      </c>
      <c r="F53" s="305">
        <v>0.8367</v>
      </c>
      <c r="G53" s="305">
        <v>0.81679999999999997</v>
      </c>
      <c r="H53" s="305">
        <v>0</v>
      </c>
      <c r="I53" s="310">
        <v>5.0000000000000001E-3</v>
      </c>
    </row>
    <row r="54" spans="3:9" ht="10.9" thickBot="1">
      <c r="C54" s="303">
        <v>44256</v>
      </c>
      <c r="D54" s="309">
        <v>0.85240000000000005</v>
      </c>
      <c r="E54" s="305">
        <v>0.82779999999999998</v>
      </c>
      <c r="F54" s="305">
        <v>0.85440000000000005</v>
      </c>
      <c r="G54" s="305">
        <v>0.82550000000000001</v>
      </c>
      <c r="H54" s="305">
        <v>0</v>
      </c>
      <c r="I54" s="310">
        <v>2.9499999999999998E-2</v>
      </c>
    </row>
    <row r="55" spans="3:9" ht="10.9" thickBot="1">
      <c r="C55" s="303">
        <v>44287</v>
      </c>
      <c r="D55" s="304">
        <v>0.83179999999999998</v>
      </c>
      <c r="E55" s="305">
        <v>0.85250000000000004</v>
      </c>
      <c r="F55" s="305">
        <v>0.8538</v>
      </c>
      <c r="G55" s="305">
        <v>0.82299999999999995</v>
      </c>
      <c r="H55" s="305">
        <v>0</v>
      </c>
      <c r="I55" s="306">
        <v>-2.4199999999999999E-2</v>
      </c>
    </row>
    <row r="56" spans="3:9" ht="10.9" thickBot="1">
      <c r="C56" s="303">
        <v>44317</v>
      </c>
      <c r="D56" s="304">
        <v>0.81769999999999998</v>
      </c>
      <c r="E56" s="305">
        <v>0.83109999999999995</v>
      </c>
      <c r="F56" s="305">
        <v>0.83430000000000004</v>
      </c>
      <c r="G56" s="305">
        <v>0.81520000000000004</v>
      </c>
      <c r="H56" s="305">
        <v>0</v>
      </c>
      <c r="I56" s="306">
        <v>-1.7000000000000001E-2</v>
      </c>
    </row>
    <row r="57" spans="3:9" ht="10.9" thickBot="1">
      <c r="C57" s="303">
        <v>44348</v>
      </c>
      <c r="D57" s="309">
        <v>0.84330000000000005</v>
      </c>
      <c r="E57" s="305">
        <v>0.81779999999999997</v>
      </c>
      <c r="F57" s="305">
        <v>0.84430000000000005</v>
      </c>
      <c r="G57" s="305">
        <v>0.81599999999999995</v>
      </c>
      <c r="H57" s="305">
        <v>0</v>
      </c>
      <c r="I57" s="310">
        <v>3.1300000000000001E-2</v>
      </c>
    </row>
    <row r="58" spans="3:9" ht="10.9" thickBot="1">
      <c r="C58" s="303">
        <v>44378</v>
      </c>
      <c r="D58" s="304">
        <v>0.84230000000000005</v>
      </c>
      <c r="E58" s="305">
        <v>0.84319999999999995</v>
      </c>
      <c r="F58" s="305">
        <v>0.85099999999999998</v>
      </c>
      <c r="G58" s="305">
        <v>0.83960000000000001</v>
      </c>
      <c r="H58" s="305">
        <v>0</v>
      </c>
      <c r="I58" s="306">
        <v>-1.1999999999999999E-3</v>
      </c>
    </row>
    <row r="59" spans="3:9" ht="10.9" thickBot="1">
      <c r="C59" s="303">
        <v>44409</v>
      </c>
      <c r="D59" s="309">
        <v>0.84670000000000001</v>
      </c>
      <c r="E59" s="305">
        <v>0.84289999999999998</v>
      </c>
      <c r="F59" s="305">
        <v>0.85740000000000005</v>
      </c>
      <c r="G59" s="305">
        <v>0.84030000000000005</v>
      </c>
      <c r="H59" s="305">
        <v>0</v>
      </c>
      <c r="I59" s="310">
        <v>5.1999999999999998E-3</v>
      </c>
    </row>
    <row r="60" spans="3:9" ht="10.9" thickBot="1">
      <c r="C60" s="303">
        <v>44440</v>
      </c>
      <c r="D60" s="309">
        <v>0.86319999999999997</v>
      </c>
      <c r="E60" s="305">
        <v>0.8468</v>
      </c>
      <c r="F60" s="305">
        <v>0.8649</v>
      </c>
      <c r="G60" s="305">
        <v>0.8397</v>
      </c>
      <c r="H60" s="305">
        <v>0</v>
      </c>
      <c r="I60" s="310">
        <v>1.95E-2</v>
      </c>
    </row>
    <row r="61" spans="3:9" ht="10.9" thickBot="1">
      <c r="C61" s="303">
        <v>44470</v>
      </c>
      <c r="D61" s="309">
        <v>0.86470000000000002</v>
      </c>
      <c r="E61" s="305">
        <v>0.86339999999999995</v>
      </c>
      <c r="F61" s="305">
        <v>0.86770000000000003</v>
      </c>
      <c r="G61" s="305">
        <v>0.85519999999999996</v>
      </c>
      <c r="H61" s="305">
        <v>0</v>
      </c>
      <c r="I61" s="310">
        <v>1.6999999999999999E-3</v>
      </c>
    </row>
    <row r="62" spans="3:9" ht="10.9" thickBot="1">
      <c r="C62" s="303">
        <v>44501</v>
      </c>
      <c r="D62" s="309">
        <v>0.88190000000000002</v>
      </c>
      <c r="E62" s="305">
        <v>0.86509999999999998</v>
      </c>
      <c r="F62" s="305">
        <v>0.89400000000000002</v>
      </c>
      <c r="G62" s="305">
        <v>0.86080000000000001</v>
      </c>
      <c r="H62" s="305">
        <v>0</v>
      </c>
      <c r="I62" s="310">
        <v>1.9900000000000001E-2</v>
      </c>
    </row>
    <row r="63" spans="3:9">
      <c r="C63" s="314">
        <v>44531</v>
      </c>
      <c r="D63" s="315">
        <v>0.87939999999999996</v>
      </c>
      <c r="E63" s="316">
        <v>0.88200000000000001</v>
      </c>
      <c r="F63" s="316">
        <v>0.8911</v>
      </c>
      <c r="G63" s="316">
        <v>0.87819999999999998</v>
      </c>
      <c r="H63" s="316">
        <v>0</v>
      </c>
      <c r="I63" s="317">
        <v>-2.8E-3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1B2B8-2CFA-41A1-9EE8-50AB2D7EF6F7}">
  <sheetPr codeName="Sheet2">
    <tabColor theme="9" tint="0.59999389629810485"/>
  </sheetPr>
  <dimension ref="A1:E126"/>
  <sheetViews>
    <sheetView showGridLines="0" zoomScaleNormal="100" workbookViewId="0"/>
  </sheetViews>
  <sheetFormatPr defaultRowHeight="10.5"/>
  <cols>
    <col min="1" max="1" width="1.81640625" customWidth="1"/>
    <col min="2" max="2" width="3.81640625" customWidth="1"/>
  </cols>
  <sheetData>
    <row r="1" spans="1:3">
      <c r="A1" s="36" t="s">
        <v>1088</v>
      </c>
    </row>
    <row r="3" spans="1:3">
      <c r="B3" s="36" t="s">
        <v>1089</v>
      </c>
    </row>
    <row r="4" spans="1:3">
      <c r="B4" s="241"/>
      <c r="C4" t="s">
        <v>1090</v>
      </c>
    </row>
    <row r="5" spans="1:3">
      <c r="B5" s="241"/>
      <c r="C5" t="s">
        <v>1091</v>
      </c>
    </row>
    <row r="6" spans="1:3">
      <c r="B6" s="241"/>
      <c r="C6" t="s">
        <v>1092</v>
      </c>
    </row>
    <row r="7" spans="1:3">
      <c r="B7" s="241"/>
      <c r="C7" t="s">
        <v>1093</v>
      </c>
    </row>
    <row r="8" spans="1:3">
      <c r="B8" s="241"/>
      <c r="C8" t="s">
        <v>1094</v>
      </c>
    </row>
    <row r="9" spans="1:3">
      <c r="B9" s="241"/>
      <c r="C9" t="s">
        <v>1095</v>
      </c>
    </row>
    <row r="10" spans="1:3">
      <c r="B10" s="241"/>
      <c r="C10" t="s">
        <v>1096</v>
      </c>
    </row>
    <row r="11" spans="1:3">
      <c r="B11" s="241"/>
    </row>
    <row r="12" spans="1:3">
      <c r="B12" s="241"/>
      <c r="C12" t="s">
        <v>1097</v>
      </c>
    </row>
    <row r="13" spans="1:3">
      <c r="B13" s="241"/>
      <c r="C13" t="s">
        <v>1098</v>
      </c>
    </row>
    <row r="14" spans="1:3">
      <c r="B14" s="241"/>
      <c r="C14" t="s">
        <v>1099</v>
      </c>
    </row>
    <row r="15" spans="1:3">
      <c r="B15" s="241"/>
      <c r="C15" t="s">
        <v>1100</v>
      </c>
    </row>
    <row r="16" spans="1:3">
      <c r="B16" s="241"/>
      <c r="C16" t="s">
        <v>1101</v>
      </c>
    </row>
    <row r="17" spans="2:3">
      <c r="B17" s="241"/>
      <c r="C17" t="s">
        <v>1102</v>
      </c>
    </row>
    <row r="18" spans="2:3">
      <c r="B18" s="241"/>
      <c r="C18" t="s">
        <v>1103</v>
      </c>
    </row>
    <row r="25" spans="2:3">
      <c r="B25" s="36" t="s">
        <v>1104</v>
      </c>
    </row>
    <row r="26" spans="2:3">
      <c r="B26" s="241"/>
      <c r="C26" t="s">
        <v>1105</v>
      </c>
    </row>
    <row r="27" spans="2:3">
      <c r="B27" s="241"/>
      <c r="C27" t="s">
        <v>1106</v>
      </c>
    </row>
    <row r="28" spans="2:3">
      <c r="B28" s="241"/>
      <c r="C28" t="s">
        <v>1107</v>
      </c>
    </row>
    <row r="29" spans="2:3">
      <c r="B29" s="241"/>
      <c r="C29" t="s">
        <v>1108</v>
      </c>
    </row>
    <row r="31" spans="2:3">
      <c r="B31" s="36" t="s">
        <v>1104</v>
      </c>
    </row>
    <row r="32" spans="2:3">
      <c r="B32" s="241"/>
      <c r="C32" t="s">
        <v>1109</v>
      </c>
    </row>
    <row r="33" spans="2:5">
      <c r="B33" s="241"/>
      <c r="C33" t="s">
        <v>1110</v>
      </c>
    </row>
    <row r="34" spans="2:5">
      <c r="B34" s="241"/>
      <c r="C34" t="s">
        <v>1111</v>
      </c>
    </row>
    <row r="36" spans="2:5">
      <c r="B36" s="36" t="s">
        <v>1104</v>
      </c>
    </row>
    <row r="37" spans="2:5">
      <c r="B37" s="241"/>
      <c r="C37" t="s">
        <v>1112</v>
      </c>
    </row>
    <row r="38" spans="2:5">
      <c r="B38" s="241"/>
      <c r="C38" t="s">
        <v>1113</v>
      </c>
    </row>
    <row r="39" spans="2:5">
      <c r="B39" s="241"/>
      <c r="C39" t="s">
        <v>1114</v>
      </c>
    </row>
    <row r="40" spans="2:5">
      <c r="B40" s="36"/>
    </row>
    <row r="41" spans="2:5">
      <c r="B41" s="36" t="s">
        <v>1115</v>
      </c>
    </row>
    <row r="42" spans="2:5">
      <c r="B42" s="241"/>
      <c r="C42" t="s">
        <v>1116</v>
      </c>
    </row>
    <row r="43" spans="2:5">
      <c r="B43" s="241"/>
      <c r="C43" t="s">
        <v>1117</v>
      </c>
    </row>
    <row r="45" spans="2:5">
      <c r="B45" s="36" t="s">
        <v>1118</v>
      </c>
      <c r="E45" t="s">
        <v>1119</v>
      </c>
    </row>
    <row r="46" spans="2:5">
      <c r="B46" s="241"/>
      <c r="C46" t="s">
        <v>1120</v>
      </c>
    </row>
    <row r="47" spans="2:5">
      <c r="B47" s="241"/>
      <c r="C47">
        <v>20</v>
      </c>
    </row>
    <row r="49" spans="2:5">
      <c r="B49" s="36" t="s">
        <v>1117</v>
      </c>
      <c r="E49" t="s">
        <v>1121</v>
      </c>
    </row>
    <row r="50" spans="2:5">
      <c r="B50" s="241"/>
      <c r="C50" t="s">
        <v>1122</v>
      </c>
    </row>
    <row r="55" spans="2:5">
      <c r="B55" s="241" t="s">
        <v>9</v>
      </c>
      <c r="C55" s="292" t="s">
        <v>1123</v>
      </c>
    </row>
    <row r="59" spans="2:5">
      <c r="B59" s="241" t="s">
        <v>9</v>
      </c>
      <c r="C59" t="s">
        <v>1124</v>
      </c>
    </row>
    <row r="60" spans="2:5">
      <c r="C60" t="s">
        <v>1125</v>
      </c>
    </row>
    <row r="61" spans="2:5">
      <c r="C61" t="s">
        <v>1126</v>
      </c>
    </row>
    <row r="62" spans="2:5">
      <c r="C62" t="s">
        <v>1127</v>
      </c>
    </row>
    <row r="63" spans="2:5">
      <c r="C63" t="s">
        <v>1128</v>
      </c>
    </row>
    <row r="67" spans="2:3">
      <c r="B67" s="241"/>
      <c r="C67" s="292" t="s">
        <v>1129</v>
      </c>
    </row>
    <row r="68" spans="2:3">
      <c r="B68" s="241"/>
      <c r="C68" s="292" t="s">
        <v>1130</v>
      </c>
    </row>
    <row r="69" spans="2:3">
      <c r="B69" s="241"/>
      <c r="C69" s="292"/>
    </row>
    <row r="73" spans="2:3">
      <c r="B73" s="241"/>
      <c r="C73" t="s">
        <v>1131</v>
      </c>
    </row>
    <row r="74" spans="2:3">
      <c r="C74" t="s">
        <v>1132</v>
      </c>
    </row>
    <row r="75" spans="2:3">
      <c r="C75" t="s">
        <v>1133</v>
      </c>
    </row>
    <row r="77" spans="2:3">
      <c r="B77" s="241"/>
      <c r="C77" t="s">
        <v>1134</v>
      </c>
    </row>
    <row r="78" spans="2:3">
      <c r="C78" t="s">
        <v>1135</v>
      </c>
    </row>
    <row r="80" spans="2:3">
      <c r="B80" s="241"/>
      <c r="C80" t="s">
        <v>1136</v>
      </c>
    </row>
    <row r="81" spans="2:3">
      <c r="C81" t="s">
        <v>1137</v>
      </c>
    </row>
    <row r="82" spans="2:3">
      <c r="C82" s="242" t="s">
        <v>1138</v>
      </c>
    </row>
    <row r="83" spans="2:3">
      <c r="C83" t="s">
        <v>1139</v>
      </c>
    </row>
    <row r="85" spans="2:3">
      <c r="B85" s="241"/>
      <c r="C85" t="s">
        <v>1140</v>
      </c>
    </row>
    <row r="86" spans="2:3">
      <c r="C86" t="s">
        <v>1141</v>
      </c>
    </row>
    <row r="87" spans="2:3">
      <c r="C87" t="s">
        <v>1142</v>
      </c>
    </row>
    <row r="89" spans="2:3">
      <c r="B89" s="241"/>
      <c r="C89" s="36" t="s">
        <v>1143</v>
      </c>
    </row>
    <row r="91" spans="2:3">
      <c r="B91" s="241"/>
      <c r="C91" t="s">
        <v>1144</v>
      </c>
    </row>
    <row r="93" spans="2:3">
      <c r="B93" s="241"/>
      <c r="C93" t="s">
        <v>1145</v>
      </c>
    </row>
    <row r="101" spans="2:3">
      <c r="B101" s="36" t="s">
        <v>1146</v>
      </c>
    </row>
    <row r="102" spans="2:3">
      <c r="B102" s="241"/>
      <c r="C102" t="s">
        <v>1147</v>
      </c>
    </row>
    <row r="103" spans="2:3">
      <c r="B103" s="241"/>
    </row>
    <row r="104" spans="2:3">
      <c r="B104" s="241"/>
    </row>
    <row r="106" spans="2:3">
      <c r="B106" s="36" t="s">
        <v>1148</v>
      </c>
    </row>
    <row r="107" spans="2:3">
      <c r="B107" s="241"/>
      <c r="C107" t="s">
        <v>1149</v>
      </c>
    </row>
    <row r="108" spans="2:3">
      <c r="B108" s="241"/>
      <c r="C108" t="s">
        <v>1150</v>
      </c>
    </row>
    <row r="111" spans="2:3">
      <c r="B111" s="36" t="s">
        <v>511</v>
      </c>
    </row>
    <row r="112" spans="2:3">
      <c r="B112" s="241"/>
    </row>
    <row r="113" spans="2:3">
      <c r="B113" s="241"/>
    </row>
    <row r="114" spans="2:3">
      <c r="B114" s="241"/>
    </row>
    <row r="116" spans="2:3">
      <c r="B116" s="36" t="s">
        <v>502</v>
      </c>
    </row>
    <row r="117" spans="2:3">
      <c r="B117" s="241"/>
      <c r="C117" t="s">
        <v>1151</v>
      </c>
    </row>
    <row r="118" spans="2:3">
      <c r="B118" s="241"/>
      <c r="C118" t="s">
        <v>1152</v>
      </c>
    </row>
    <row r="119" spans="2:3">
      <c r="B119" s="241"/>
    </row>
    <row r="120" spans="2:3">
      <c r="B120" s="241"/>
    </row>
    <row r="122" spans="2:3">
      <c r="B122" s="36" t="s">
        <v>1153</v>
      </c>
    </row>
    <row r="123" spans="2:3">
      <c r="B123" s="241"/>
      <c r="C123" t="s">
        <v>1154</v>
      </c>
    </row>
    <row r="125" spans="2:3">
      <c r="B125" s="36" t="s">
        <v>1155</v>
      </c>
    </row>
    <row r="126" spans="2:3">
      <c r="B126" s="241"/>
      <c r="C126" t="s">
        <v>336</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2E892-2342-4749-AB20-E41FFD1C5823}">
  <sheetPr codeName="Sheet14">
    <tabColor theme="7" tint="0.59999389629810485"/>
  </sheetPr>
  <dimension ref="A1:M60"/>
  <sheetViews>
    <sheetView showGridLines="0" zoomScaleNormal="100" workbookViewId="0">
      <pane xSplit="4" ySplit="11" topLeftCell="E12" activePane="bottomRight" state="frozen"/>
      <selection pane="topRight" activeCell="E7" sqref="E7"/>
      <selection pane="bottomLeft" activeCell="E7" sqref="E7"/>
      <selection pane="bottomRight" activeCell="E12" sqref="E12"/>
    </sheetView>
  </sheetViews>
  <sheetFormatPr defaultColWidth="15.81640625" defaultRowHeight="10.5" outlineLevelRow="1" outlineLevelCol="1"/>
  <cols>
    <col min="1" max="2" width="1.81640625" style="184" customWidth="1"/>
    <col min="3" max="3" width="12.1796875" style="184" bestFit="1" customWidth="1"/>
    <col min="4" max="4" width="12.81640625" style="184" hidden="1" customWidth="1" outlineLevel="1"/>
    <col min="5" max="5" width="15.81640625" style="187" customWidth="1" collapsed="1"/>
    <col min="6" max="12" width="15.81640625" style="187" customWidth="1"/>
    <col min="13" max="13" width="1.81640625" style="187" customWidth="1"/>
  </cols>
  <sheetData>
    <row r="1" spans="1:13" ht="11.25" customHeight="1">
      <c r="A1" s="183" t="s">
        <v>914</v>
      </c>
      <c r="E1" s="184"/>
      <c r="F1" s="184"/>
      <c r="G1" s="184"/>
      <c r="H1" s="184"/>
      <c r="I1" s="184"/>
      <c r="J1" s="184"/>
      <c r="K1" s="184"/>
      <c r="L1" s="184"/>
      <c r="M1" s="184"/>
    </row>
    <row r="2" spans="1:13" ht="11.25" customHeight="1">
      <c r="A2" s="185" t="s">
        <v>1156</v>
      </c>
      <c r="E2" s="184"/>
      <c r="F2" s="184"/>
      <c r="G2" s="184"/>
      <c r="H2" s="184"/>
      <c r="I2" s="184"/>
      <c r="J2" s="184"/>
      <c r="K2" s="184"/>
      <c r="L2" s="184"/>
      <c r="M2" s="184"/>
    </row>
    <row r="3" spans="1:13" ht="11.25" customHeight="1">
      <c r="E3" s="186" t="s">
        <v>500</v>
      </c>
      <c r="F3" s="184"/>
      <c r="H3" s="184"/>
      <c r="I3" s="184"/>
      <c r="J3" s="184"/>
      <c r="K3" s="184"/>
      <c r="L3" s="184"/>
      <c r="M3" s="184"/>
    </row>
    <row r="4" spans="1:13" ht="11.25" customHeight="1">
      <c r="E4" s="186" t="s">
        <v>637</v>
      </c>
      <c r="F4" s="184"/>
      <c r="H4" s="184"/>
      <c r="I4" s="184"/>
      <c r="J4" s="184"/>
      <c r="K4" s="184"/>
      <c r="L4" s="184"/>
      <c r="M4" s="184"/>
    </row>
    <row r="5" spans="1:13" ht="11.25" customHeight="1">
      <c r="E5" s="184"/>
      <c r="F5" s="184"/>
      <c r="G5" s="184"/>
      <c r="H5" s="184"/>
      <c r="I5" s="184"/>
      <c r="J5" s="184"/>
      <c r="K5" s="184"/>
      <c r="L5" s="184"/>
      <c r="M5" s="184"/>
    </row>
    <row r="6" spans="1:13" s="189" customFormat="1" hidden="1" outlineLevel="1">
      <c r="A6" s="185"/>
      <c r="B6" s="185"/>
      <c r="C6" s="185"/>
      <c r="D6" s="188" t="s">
        <v>684</v>
      </c>
      <c r="E6" s="185" t="s">
        <v>1157</v>
      </c>
      <c r="F6" s="185" t="s">
        <v>1157</v>
      </c>
      <c r="G6" s="185" t="s">
        <v>1157</v>
      </c>
      <c r="H6" s="185" t="s">
        <v>1157</v>
      </c>
      <c r="I6" s="185" t="s">
        <v>1157</v>
      </c>
      <c r="J6" s="185" t="s">
        <v>1157</v>
      </c>
      <c r="K6" s="185" t="s">
        <v>1157</v>
      </c>
      <c r="L6" s="185" t="s">
        <v>1157</v>
      </c>
      <c r="M6" s="185"/>
    </row>
    <row r="7" spans="1:13" s="189" customFormat="1" hidden="1" outlineLevel="1">
      <c r="A7" s="185"/>
      <c r="B7" s="185"/>
      <c r="C7" s="185"/>
      <c r="D7" s="188" t="s">
        <v>916</v>
      </c>
      <c r="E7" s="185" t="s">
        <v>917</v>
      </c>
      <c r="F7" s="185" t="s">
        <v>918</v>
      </c>
      <c r="G7" s="185" t="s">
        <v>919</v>
      </c>
      <c r="H7" s="185" t="s">
        <v>920</v>
      </c>
      <c r="I7" s="185" t="s">
        <v>921</v>
      </c>
      <c r="J7" s="185" t="s">
        <v>922</v>
      </c>
      <c r="K7" s="185" t="s">
        <v>923</v>
      </c>
      <c r="L7" s="185" t="s">
        <v>924</v>
      </c>
      <c r="M7" s="185"/>
    </row>
    <row r="8" spans="1:13" ht="11.25" customHeight="1" collapsed="1">
      <c r="E8" s="183"/>
      <c r="F8" s="183"/>
      <c r="G8" s="183"/>
      <c r="H8" s="183"/>
      <c r="I8" s="183"/>
      <c r="J8" s="183"/>
      <c r="K8" s="183"/>
      <c r="L8" s="183"/>
      <c r="M8" s="183"/>
    </row>
    <row r="9" spans="1:13" s="36" customFormat="1" ht="11.25" customHeight="1">
      <c r="A9" s="183"/>
      <c r="B9" s="183"/>
      <c r="C9" s="183"/>
      <c r="D9" s="183"/>
      <c r="E9" s="190" t="s">
        <v>925</v>
      </c>
      <c r="F9" s="190"/>
      <c r="G9" s="190"/>
      <c r="H9" s="190"/>
      <c r="I9" s="190"/>
      <c r="J9" s="190"/>
      <c r="K9" s="190"/>
      <c r="L9" s="190"/>
      <c r="M9" s="183"/>
    </row>
    <row r="10" spans="1:13" ht="5.25" customHeight="1">
      <c r="E10" s="1050"/>
      <c r="F10" s="1051"/>
      <c r="G10" s="184"/>
      <c r="H10" s="184"/>
      <c r="I10" s="184"/>
      <c r="J10" s="184"/>
      <c r="K10" s="184"/>
      <c r="L10" s="184"/>
      <c r="M10" s="183"/>
    </row>
    <row r="11" spans="1:13">
      <c r="A11" s="191"/>
      <c r="B11" s="191"/>
      <c r="C11" s="192" t="s">
        <v>926</v>
      </c>
      <c r="D11" s="192" t="s">
        <v>927</v>
      </c>
      <c r="E11" s="192" t="e" cm="1">
        <f t="array" ref="E11">IF(Thomson=1,_xll.TR(E7,"TR.CommonName"),E11)</f>
        <v>#NAME?</v>
      </c>
      <c r="F11" s="192" t="e" cm="1">
        <f t="array" ref="F11">IF(Thomson=1,_xll.TR(F7,"TR.CommonName"),F11)</f>
        <v>#NAME?</v>
      </c>
      <c r="G11" s="192" t="e" cm="1">
        <f t="array" ref="G11">IF(Thomson=1,_xll.TR(G7,"TR.CommonName"),G11)</f>
        <v>#NAME?</v>
      </c>
      <c r="H11" s="192" t="e" cm="1">
        <f t="array" ref="H11">IF(Thomson=1,_xll.TR(H7,"TR.CommonName"),H11)</f>
        <v>#NAME?</v>
      </c>
      <c r="I11" s="192" t="e" cm="1">
        <f t="array" ref="I11">IF(Thomson=1,_xll.TR(I7,"TR.CommonName"),I11)</f>
        <v>#NAME?</v>
      </c>
      <c r="J11" s="192" t="e" cm="1">
        <f t="array" ref="J11">IF(Thomson=1,_xll.TR(J7,"TR.CommonName"),J11)</f>
        <v>#NAME?</v>
      </c>
      <c r="K11" s="192" t="e" cm="1">
        <f t="array" ref="K11">IF(Thomson=1,_xll.TR(K7,"TR.CommonName"),K11)</f>
        <v>#NAME?</v>
      </c>
      <c r="L11" s="192" t="e" cm="1">
        <f t="array" ref="L11">IF(Thomson=1,_xll.TR(L7,"TR.CommonName"),L11)</f>
        <v>#NAME?</v>
      </c>
      <c r="M11" s="183"/>
    </row>
    <row r="12" spans="1:13" ht="5.25" customHeight="1">
      <c r="A12"/>
      <c r="B12"/>
      <c r="C12"/>
      <c r="D12"/>
      <c r="E12"/>
      <c r="F12"/>
      <c r="G12"/>
      <c r="H12"/>
      <c r="I12"/>
      <c r="J12"/>
      <c r="K12"/>
      <c r="L12"/>
      <c r="M12"/>
    </row>
    <row r="13" spans="1:13" ht="11.25" hidden="1" customHeight="1" outlineLevel="1">
      <c r="A13"/>
      <c r="B13"/>
      <c r="C13" t="s">
        <v>929</v>
      </c>
      <c r="D13"/>
      <c r="E13" s="193">
        <v>1</v>
      </c>
      <c r="F13" s="193">
        <v>1</v>
      </c>
      <c r="G13" s="193">
        <v>1</v>
      </c>
      <c r="H13" s="193">
        <v>1</v>
      </c>
      <c r="I13" s="193">
        <v>1</v>
      </c>
      <c r="J13" s="193">
        <v>1</v>
      </c>
      <c r="K13" s="193">
        <v>1</v>
      </c>
      <c r="L13" s="193">
        <v>1</v>
      </c>
      <c r="M13"/>
    </row>
    <row r="14" spans="1:13" ht="11.25" hidden="1" customHeight="1" outlineLevel="1">
      <c r="A14"/>
      <c r="B14"/>
      <c r="C14" t="s">
        <v>930</v>
      </c>
      <c r="D14"/>
      <c r="E14" s="193">
        <v>30</v>
      </c>
      <c r="F14" s="193">
        <v>30</v>
      </c>
      <c r="G14" s="193">
        <v>30</v>
      </c>
      <c r="H14" s="193">
        <v>30</v>
      </c>
      <c r="I14" s="193">
        <v>30</v>
      </c>
      <c r="J14" s="193">
        <v>30</v>
      </c>
      <c r="K14" s="193">
        <v>30</v>
      </c>
      <c r="L14" s="193">
        <v>30</v>
      </c>
      <c r="M14"/>
    </row>
    <row r="15" spans="1:13" ht="11.25" customHeight="1" collapsed="1">
      <c r="A15"/>
      <c r="B15"/>
      <c r="C15"/>
      <c r="D15"/>
      <c r="E15"/>
      <c r="F15"/>
      <c r="G15"/>
      <c r="H15"/>
      <c r="I15"/>
      <c r="J15"/>
      <c r="K15"/>
      <c r="L15"/>
      <c r="M15"/>
    </row>
    <row r="16" spans="1:13" s="36" customFormat="1" ht="11.25" customHeight="1">
      <c r="C16" s="194" t="s">
        <v>681</v>
      </c>
      <c r="E16" s="195" t="e">
        <f t="shared" ref="E16:L16" si="0">+AVERAGEIFS(E20:E99,E20:E99,"&lt;"&amp;E$14,E20:E99,"&gt;"&amp;E$13)</f>
        <v>#DIV/0!</v>
      </c>
      <c r="F16" s="195" t="e">
        <f t="shared" si="0"/>
        <v>#DIV/0!</v>
      </c>
      <c r="G16" s="195" t="e">
        <f t="shared" si="0"/>
        <v>#DIV/0!</v>
      </c>
      <c r="H16" s="195" t="e">
        <f t="shared" si="0"/>
        <v>#DIV/0!</v>
      </c>
      <c r="I16" s="195" t="e">
        <f t="shared" si="0"/>
        <v>#DIV/0!</v>
      </c>
      <c r="J16" s="195" t="e">
        <f t="shared" si="0"/>
        <v>#DIV/0!</v>
      </c>
      <c r="K16" s="195" t="e">
        <f t="shared" si="0"/>
        <v>#DIV/0!</v>
      </c>
      <c r="L16" s="195" t="e">
        <f t="shared" si="0"/>
        <v>#DIV/0!</v>
      </c>
    </row>
    <row r="17" spans="1:13" s="36" customFormat="1" ht="11.25" customHeight="1">
      <c r="C17" s="194" t="s">
        <v>931</v>
      </c>
      <c r="E17" s="195" t="e" cm="1">
        <f t="array" ref="E17">+E16-_xlfn.STDEV.P(IF(E20:E96&lt;E$14,IF(E20:E96&gt;E$13,E20:E96)))</f>
        <v>#DIV/0!</v>
      </c>
      <c r="F17" s="195" t="e" cm="1">
        <f t="array" ref="F17">+F16-_xlfn.STDEV.P(IF(F20:F96&lt;F$14,IF(F20:F96&gt;F$13,F20:F96)))</f>
        <v>#DIV/0!</v>
      </c>
      <c r="G17" s="195" t="e" cm="1">
        <f t="array" ref="G17">+G16-_xlfn.STDEV.P(IF(G20:G96&lt;G$14,IF(G20:G96&gt;G$13,G20:G96)))</f>
        <v>#DIV/0!</v>
      </c>
      <c r="H17" s="195" t="e" cm="1">
        <f t="array" ref="H17">+H16-_xlfn.STDEV.P(IF(H20:H96&lt;H$14,IF(H20:H96&gt;H$13,H20:H96)))</f>
        <v>#DIV/0!</v>
      </c>
      <c r="I17" s="195" t="e" cm="1">
        <f t="array" ref="I17">+I16-_xlfn.STDEV.P(IF(I20:I96&lt;I$14,IF(I20:I96&gt;I$13,I20:I96)))</f>
        <v>#DIV/0!</v>
      </c>
      <c r="J17" s="195" t="e" cm="1">
        <f t="array" ref="J17">+J16-_xlfn.STDEV.P(IF(J20:J96&lt;J$14,IF(J20:J96&gt;J$13,J20:J96)))</f>
        <v>#DIV/0!</v>
      </c>
      <c r="K17" s="195" t="e" cm="1">
        <f t="array" ref="K17">+K16-_xlfn.STDEV.P(IF(K20:K96&lt;K$14,IF(K20:K96&gt;K$13,K20:K96)))</f>
        <v>#DIV/0!</v>
      </c>
      <c r="L17" s="195" t="e" cm="1">
        <f t="array" ref="L17">+L16-_xlfn.STDEV.P(IF(L20:L96&lt;L$14,IF(L20:L96&gt;L$13,L20:L96)))</f>
        <v>#DIV/0!</v>
      </c>
    </row>
    <row r="18" spans="1:13" s="36" customFormat="1" ht="11.25" customHeight="1">
      <c r="C18" s="194" t="s">
        <v>932</v>
      </c>
      <c r="E18" s="195" t="e" cm="1">
        <f t="array" ref="E18">+E16+_xlfn.STDEV.P(IF(E20:E96&lt;E$14,IF(E20:E96&gt;E$13,E20:E96)))</f>
        <v>#DIV/0!</v>
      </c>
      <c r="F18" s="195" t="e" cm="1">
        <f t="array" ref="F18">+F16+_xlfn.STDEV.P(IF(F20:F96&lt;F$14,IF(F20:F96&gt;F$13,F20:F96)))</f>
        <v>#DIV/0!</v>
      </c>
      <c r="G18" s="195" t="e" cm="1">
        <f t="array" ref="G18">+G16+_xlfn.STDEV.P(IF(G20:G96&lt;G$14,IF(G20:G96&gt;G$13,G20:G96)))</f>
        <v>#DIV/0!</v>
      </c>
      <c r="H18" s="195" t="e" cm="1">
        <f t="array" ref="H18">+H16+_xlfn.STDEV.P(IF(H20:H96&lt;H$14,IF(H20:H96&gt;H$13,H20:H96)))</f>
        <v>#DIV/0!</v>
      </c>
      <c r="I18" s="195" t="e" cm="1">
        <f t="array" ref="I18">+I16+_xlfn.STDEV.P(IF(I20:I96&lt;I$14,IF(I20:I96&gt;I$13,I20:I96)))</f>
        <v>#DIV/0!</v>
      </c>
      <c r="J18" s="195" t="e" cm="1">
        <f t="array" ref="J18">+J16+_xlfn.STDEV.P(IF(J20:J96&lt;J$14,IF(J20:J96&gt;J$13,J20:J96)))</f>
        <v>#DIV/0!</v>
      </c>
      <c r="K18" s="195" t="e" cm="1">
        <f t="array" ref="K18">+K16+_xlfn.STDEV.P(IF(K20:K96&lt;K$14,IF(K20:K96&gt;K$13,K20:K96)))</f>
        <v>#DIV/0!</v>
      </c>
      <c r="L18" s="195" t="e" cm="1">
        <f t="array" ref="L18">+L16+_xlfn.STDEV.P(IF(L20:L96&lt;L$14,IF(L20:L96&gt;L$13,L20:L96)))</f>
        <v>#DIV/0!</v>
      </c>
    </row>
    <row r="19" spans="1:13" ht="5.25" customHeight="1">
      <c r="A19"/>
      <c r="B19"/>
      <c r="C19"/>
      <c r="D19"/>
      <c r="E19"/>
      <c r="F19"/>
      <c r="G19"/>
      <c r="H19"/>
      <c r="I19"/>
      <c r="J19"/>
      <c r="K19"/>
      <c r="L19"/>
      <c r="M19"/>
    </row>
    <row r="20" spans="1:13" ht="11.25" customHeight="1">
      <c r="C20" s="200">
        <v>40908</v>
      </c>
      <c r="D20" s="197">
        <f>+C20+45</f>
        <v>40953</v>
      </c>
      <c r="E20" s="187" t="e" cm="1">
        <f t="array" ref="E20">IF(Thomson=1,_xll.TR(E$7,E$6,"Sdate=#1 Period=#2 NULL=BLANK",,$D20,$E$4),E20)</f>
        <v>#NAME?</v>
      </c>
      <c r="F20" s="187" t="e" cm="1">
        <f t="array" ref="F20">IF(Thomson=1,_xll.TR(F$7,F$6,"Sdate=#1 Period=#2 NULL=BLANK",,$D20,$E$4),F20)</f>
        <v>#NAME?</v>
      </c>
      <c r="G20" s="187" t="e" cm="1">
        <f t="array" ref="G20">IF(Thomson=1,_xll.TR(G$7,G$6,"Sdate=#1 Period=#2 NULL=BLANK",,$D20,$E$4),G20)</f>
        <v>#NAME?</v>
      </c>
      <c r="H20" s="187" t="e" cm="1">
        <f t="array" ref="H20">IF(Thomson=1,_xll.TR(H$7,H$6,"Sdate=#1 Period=#2 NULL=BLANK",,$D20,$E$4),H20)</f>
        <v>#NAME?</v>
      </c>
      <c r="I20" s="187" t="e" cm="1">
        <f t="array" ref="I20">IF(Thomson=1,_xll.TR(I$7,I$6,"Sdate=#1 Period=#2 NULL=BLANK",,$D20,$E$4),I20)</f>
        <v>#NAME?</v>
      </c>
      <c r="J20" s="187" t="e" cm="1">
        <f t="array" ref="J20">IF(Thomson=1,_xll.TR(J$7,J$6,"Sdate=#1 Period=#2 NULL=BLANK",,$D20,$E$4),J20)</f>
        <v>#NAME?</v>
      </c>
      <c r="K20" s="187" t="e" cm="1">
        <f t="array" ref="K20">IF(Thomson=1,_xll.TR(K$7,K$6,"Sdate=#1 Period=#2 NULL=BLANK",,$D20,$E$4),K20)</f>
        <v>#NAME?</v>
      </c>
      <c r="L20" s="187" t="e" cm="1">
        <f t="array" ref="L20">IF(Thomson=1,_xll.TR(L$7,L$6,"Sdate=#1 Period=#2 NULL=BLANK",,$D20,$E$4),L20)</f>
        <v>#NAME?</v>
      </c>
    </row>
    <row r="21" spans="1:13" ht="11.25" customHeight="1">
      <c r="C21" s="196">
        <f>+EOMONTH(C20,3)</f>
        <v>40999</v>
      </c>
      <c r="D21" s="197">
        <f t="shared" ref="D21:D60" si="1">+C21+45</f>
        <v>41044</v>
      </c>
      <c r="E21" s="187" t="e" cm="1">
        <f t="array" ref="E21">IF(Thomson=1,_xll.TR(E$7,E$6,"Sdate=#1 Period=#2 NULL=BLANK",,$D21,"NTM"),E21)</f>
        <v>#NAME?</v>
      </c>
      <c r="F21" s="187" t="e" cm="1">
        <f t="array" ref="F21">IF(Thomson=1,_xll.TR(F$7,F$6,"Sdate=#1 Period=#2 NULL=BLANK",,$D21,$E$4),F21)</f>
        <v>#NAME?</v>
      </c>
      <c r="G21" s="187" t="e" cm="1">
        <f t="array" ref="G21">IF(Thomson=1,_xll.TR(G$7,G$6,"Sdate=#1 Period=#2 NULL=BLANK",,$D21,"NTM"),G21)</f>
        <v>#NAME?</v>
      </c>
      <c r="H21" s="187" t="e" cm="1">
        <f t="array" ref="H21">IF(Thomson=1,_xll.TR(H$7,H$6,"Sdate=#1 Period=#2 NULL=BLANK",,$D21,"NTM"),H21)</f>
        <v>#NAME?</v>
      </c>
      <c r="I21" s="187" t="e" cm="1">
        <f t="array" ref="I21">IF(Thomson=1,_xll.TR(I$7,I$6,"Sdate=#1 Period=#2 NULL=BLANK",,$D21,"NTM"),I21)</f>
        <v>#NAME?</v>
      </c>
      <c r="J21" s="187" t="e" cm="1">
        <f t="array" ref="J21">IF(Thomson=1,_xll.TR(J$7,J$6,"Sdate=#1 Period=#2 NULL=BLANK",,$D21,"NTM"),J21)</f>
        <v>#NAME?</v>
      </c>
      <c r="K21" s="187" t="e" cm="1">
        <f t="array" ref="K21">IF(Thomson=1,_xll.TR(K$7,K$6,"Sdate=#1 Period=#2 NULL=BLANK",,$D21,"NTM"),K21)</f>
        <v>#NAME?</v>
      </c>
      <c r="L21" s="187" t="e" cm="1">
        <f t="array" ref="L21">IF(Thomson=1,_xll.TR(L$7,L$6,"Sdate=#1 Period=#2 NULL=BLANK",,$D21,"NTM"),L21)</f>
        <v>#NAME?</v>
      </c>
    </row>
    <row r="22" spans="1:13" ht="11.25" customHeight="1">
      <c r="C22" s="198">
        <f t="shared" ref="C22:C60" si="2">+EOMONTH(C21,3)</f>
        <v>41090</v>
      </c>
      <c r="D22" s="197">
        <f t="shared" si="1"/>
        <v>41135</v>
      </c>
      <c r="E22" s="187" t="e" cm="1">
        <f t="array" ref="E22">IF(Thomson=1,_xll.TR(E$7,E$6,"Sdate=#1 Period=#2 NULL=BLANK",,$D22,"NTM"),E22)</f>
        <v>#NAME?</v>
      </c>
      <c r="F22" s="187" t="e" cm="1">
        <f t="array" ref="F22">IF(Thomson=1,_xll.TR(F$7,F$6,"Sdate=#1 Period=#2 NULL=BLANK",,$D22,$E$4),F22)</f>
        <v>#NAME?</v>
      </c>
      <c r="G22" s="187" t="e" cm="1">
        <f t="array" ref="G22">IF(Thomson=1,_xll.TR(G$7,G$6,"Sdate=#1 Period=#2 NULL=BLANK",,$D22,"NTM"),G22)</f>
        <v>#NAME?</v>
      </c>
      <c r="H22" s="187" t="e" cm="1">
        <f t="array" ref="H22">IF(Thomson=1,_xll.TR(H$7,H$6,"Sdate=#1 Period=#2 NULL=BLANK",,$D22,"NTM"),H22)</f>
        <v>#NAME?</v>
      </c>
      <c r="I22" s="187" t="e" cm="1">
        <f t="array" ref="I22">IF(Thomson=1,_xll.TR(I$7,I$6,"Sdate=#1 Period=#2 NULL=BLANK",,$D22,"NTM"),I22)</f>
        <v>#NAME?</v>
      </c>
      <c r="J22" s="187" t="e" cm="1">
        <f t="array" ref="J22">IF(Thomson=1,_xll.TR(J$7,J$6,"Sdate=#1 Period=#2 NULL=BLANK",,$D22,"NTM"),J22)</f>
        <v>#NAME?</v>
      </c>
      <c r="K22" s="187" t="e" cm="1">
        <f t="array" ref="K22">IF(Thomson=1,_xll.TR(K$7,K$6,"Sdate=#1 Period=#2 NULL=BLANK",,$D22,"NTM"),K22)</f>
        <v>#NAME?</v>
      </c>
      <c r="L22" s="187" t="e" cm="1">
        <f t="array" ref="L22">IF(Thomson=1,_xll.TR(L$7,L$6,"Sdate=#1 Period=#2 NULL=BLANK",,$D22,"NTM"),L22)</f>
        <v>#NAME?</v>
      </c>
    </row>
    <row r="23" spans="1:13" ht="11.25" customHeight="1">
      <c r="C23" s="199">
        <f t="shared" si="2"/>
        <v>41182</v>
      </c>
      <c r="D23" s="197">
        <f t="shared" si="1"/>
        <v>41227</v>
      </c>
      <c r="E23" s="187" t="e" cm="1">
        <f t="array" ref="E23">IF(Thomson=1,_xll.TR(E$7,E$6,"Sdate=#1 Period=#2 NULL=BLANK",,$D23,"NTM"),E23)</f>
        <v>#NAME?</v>
      </c>
      <c r="F23" s="187" t="e" cm="1">
        <f t="array" ref="F23">IF(Thomson=1,_xll.TR(F$7,F$6,"Sdate=#1 Period=#2 NULL=BLANK",,$D23,"NTM"),F23)</f>
        <v>#NAME?</v>
      </c>
      <c r="G23" s="187" t="e" cm="1">
        <f t="array" ref="G23">IF(Thomson=1,_xll.TR(G$7,G$6,"Sdate=#1 Period=#2 NULL=BLANK",,$D23,"NTM"),G23)</f>
        <v>#NAME?</v>
      </c>
      <c r="H23" s="187" t="e" cm="1">
        <f t="array" ref="H23">IF(Thomson=1,_xll.TR(H$7,H$6,"Sdate=#1 Period=#2 NULL=BLANK",,$D23,"NTM"),H23)</f>
        <v>#NAME?</v>
      </c>
      <c r="I23" s="187" t="e" cm="1">
        <f t="array" ref="I23">IF(Thomson=1,_xll.TR(I$7,I$6,"Sdate=#1 Period=#2 NULL=BLANK",,$D23,"NTM"),I23)</f>
        <v>#NAME?</v>
      </c>
      <c r="J23" s="187" t="e" cm="1">
        <f t="array" ref="J23">IF(Thomson=1,_xll.TR(J$7,J$6,"Sdate=#1 Period=#2 NULL=BLANK",,$D23,"NTM"),J23)</f>
        <v>#NAME?</v>
      </c>
      <c r="K23" s="187" t="e" cm="1">
        <f t="array" ref="K23">IF(Thomson=1,_xll.TR(K$7,K$6,"Sdate=#1 Period=#2 NULL=BLANK",,$D23,"NTM"),K23)</f>
        <v>#NAME?</v>
      </c>
      <c r="L23" s="187" t="e" cm="1">
        <f t="array" ref="L23">IF(Thomson=1,_xll.TR(L$7,L$6,"Sdate=#1 Period=#2 NULL=BLANK",,$D23,"NTM"),L23)</f>
        <v>#NAME?</v>
      </c>
    </row>
    <row r="24" spans="1:13" ht="11.25" customHeight="1">
      <c r="C24" s="200">
        <f t="shared" si="2"/>
        <v>41274</v>
      </c>
      <c r="D24" s="197">
        <f t="shared" si="1"/>
        <v>41319</v>
      </c>
      <c r="E24" s="187" t="e" cm="1">
        <f t="array" ref="E24">IF(Thomson=1,_xll.TR(E$7,E$6,"Sdate=#1 Period=#2 NULL=BLANK",,$D24,"NTM"),E24)</f>
        <v>#NAME?</v>
      </c>
      <c r="F24" s="187" t="e" cm="1">
        <f t="array" ref="F24">IF(Thomson=1,_xll.TR(F$7,F$6,"Sdate=#1 Period=#2 NULL=BLANK",,$D24,"NTM"),F24)</f>
        <v>#NAME?</v>
      </c>
      <c r="G24" s="187" t="e" cm="1">
        <f t="array" ref="G24">IF(Thomson=1,_xll.TR(G$7,G$6,"Sdate=#1 Period=#2 NULL=BLANK",,$D24,"NTM"),G24)</f>
        <v>#NAME?</v>
      </c>
      <c r="H24" s="187" t="e" cm="1">
        <f t="array" ref="H24">IF(Thomson=1,_xll.TR(H$7,H$6,"Sdate=#1 Period=#2 NULL=BLANK",,$D24,"NTM"),H24)</f>
        <v>#NAME?</v>
      </c>
      <c r="I24" s="187" t="e" cm="1">
        <f t="array" ref="I24">IF(Thomson=1,_xll.TR(I$7,I$6,"Sdate=#1 Period=#2 NULL=BLANK",,$D24,"NTM"),I24)</f>
        <v>#NAME?</v>
      </c>
      <c r="J24" s="187" t="e" cm="1">
        <f t="array" ref="J24">IF(Thomson=1,_xll.TR(J$7,J$6,"Sdate=#1 Period=#2 NULL=BLANK",,$D24,"NTM"),J24)</f>
        <v>#NAME?</v>
      </c>
      <c r="K24" s="187" t="e" cm="1">
        <f t="array" ref="K24">IF(Thomson=1,_xll.TR(K$7,K$6,"Sdate=#1 Period=#2 NULL=BLANK",,$D24,"NTM"),K24)</f>
        <v>#NAME?</v>
      </c>
      <c r="L24" s="187" t="e" cm="1">
        <f t="array" ref="L24">IF(Thomson=1,_xll.TR(L$7,L$6,"Sdate=#1 Period=#2 NULL=BLANK",,$D24,"NTM"),L24)</f>
        <v>#NAME?</v>
      </c>
    </row>
    <row r="25" spans="1:13" ht="11.25" customHeight="1">
      <c r="C25" s="196">
        <f t="shared" si="2"/>
        <v>41364</v>
      </c>
      <c r="D25" s="197">
        <f t="shared" si="1"/>
        <v>41409</v>
      </c>
      <c r="E25" s="187" t="e" cm="1">
        <f t="array" ref="E25">IF(Thomson=1,_xll.TR(E$7,E$6,"Sdate=#1 Period=#2 NULL=BLANK",,$D25,"NTM"),E25)</f>
        <v>#NAME?</v>
      </c>
      <c r="F25" s="187" t="e" cm="1">
        <f t="array" ref="F25">IF(Thomson=1,_xll.TR(F$7,F$6,"Sdate=#1 Period=#2 NULL=BLANK",,$D25,"NTM"),F25)</f>
        <v>#NAME?</v>
      </c>
      <c r="G25" s="187" t="e" cm="1">
        <f t="array" ref="G25">IF(Thomson=1,_xll.TR(G$7,G$6,"Sdate=#1 Period=#2 NULL=BLANK",,$D25,"NTM"),G25)</f>
        <v>#NAME?</v>
      </c>
      <c r="H25" s="187" t="e" cm="1">
        <f t="array" ref="H25">IF(Thomson=1,_xll.TR(H$7,H$6,"Sdate=#1 Period=#2 NULL=BLANK",,$D25,"NTM"),H25)</f>
        <v>#NAME?</v>
      </c>
      <c r="I25" s="187" t="e" cm="1">
        <f t="array" ref="I25">IF(Thomson=1,_xll.TR(I$7,I$6,"Sdate=#1 Period=#2 NULL=BLANK",,$D25,"NTM"),I25)</f>
        <v>#NAME?</v>
      </c>
      <c r="J25" s="187" t="e" cm="1">
        <f t="array" ref="J25">IF(Thomson=1,_xll.TR(J$7,J$6,"Sdate=#1 Period=#2 NULL=BLANK",,$D25,"NTM"),J25)</f>
        <v>#NAME?</v>
      </c>
      <c r="K25" s="187" t="e" cm="1">
        <f t="array" ref="K25">IF(Thomson=1,_xll.TR(K$7,K$6,"Sdate=#1 Period=#2 NULL=BLANK",,$D25,"NTM"),K25)</f>
        <v>#NAME?</v>
      </c>
      <c r="L25" s="187" t="e" cm="1">
        <f t="array" ref="L25">IF(Thomson=1,_xll.TR(L$7,L$6,"Sdate=#1 Period=#2 NULL=BLANK",,$D25,"NTM"),L25)</f>
        <v>#NAME?</v>
      </c>
    </row>
    <row r="26" spans="1:13" ht="11.25" customHeight="1">
      <c r="C26" s="198">
        <f t="shared" si="2"/>
        <v>41455</v>
      </c>
      <c r="D26" s="197">
        <f t="shared" si="1"/>
        <v>41500</v>
      </c>
      <c r="E26" s="187" t="e" cm="1">
        <f t="array" ref="E26">IF(Thomson=1,_xll.TR(E$7,E$6,"Sdate=#1 Period=#2 NULL=BLANK",,$D26,"NTM"),E26)</f>
        <v>#NAME?</v>
      </c>
      <c r="F26" s="187" t="e" cm="1">
        <f t="array" ref="F26">IF(Thomson=1,_xll.TR(F$7,F$6,"Sdate=#1 Period=#2 NULL=BLANK",,$D26,"NTM"),F26)</f>
        <v>#NAME?</v>
      </c>
      <c r="G26" s="187" t="e" cm="1">
        <f t="array" ref="G26">IF(Thomson=1,_xll.TR(G$7,G$6,"Sdate=#1 Period=#2 NULL=BLANK",,$D26,"NTM"),G26)</f>
        <v>#NAME?</v>
      </c>
      <c r="H26" s="187" t="e" cm="1">
        <f t="array" ref="H26">IF(Thomson=1,_xll.TR(H$7,H$6,"Sdate=#1 Period=#2 NULL=BLANK",,$D26,"NTM"),H26)</f>
        <v>#NAME?</v>
      </c>
      <c r="I26" s="187" t="e" cm="1">
        <f t="array" ref="I26">IF(Thomson=1,_xll.TR(I$7,I$6,"Sdate=#1 Period=#2 NULL=BLANK",,$D26,"NTM"),I26)</f>
        <v>#NAME?</v>
      </c>
      <c r="J26" s="187" t="e" cm="1">
        <f t="array" ref="J26">IF(Thomson=1,_xll.TR(J$7,J$6,"Sdate=#1 Period=#2 NULL=BLANK",,$D26,"NTM"),J26)</f>
        <v>#NAME?</v>
      </c>
      <c r="K26" s="187" t="e" cm="1">
        <f t="array" ref="K26">IF(Thomson=1,_xll.TR(K$7,K$6,"Sdate=#1 Period=#2 NULL=BLANK",,$D26,"NTM"),K26)</f>
        <v>#NAME?</v>
      </c>
      <c r="L26" s="187" t="e" cm="1">
        <f t="array" ref="L26">IF(Thomson=1,_xll.TR(L$7,L$6,"Sdate=#1 Period=#2 NULL=BLANK",,$D26,"NTM"),L26)</f>
        <v>#NAME?</v>
      </c>
    </row>
    <row r="27" spans="1:13" ht="11.25" customHeight="1">
      <c r="C27" s="199">
        <f t="shared" si="2"/>
        <v>41547</v>
      </c>
      <c r="D27" s="197">
        <f t="shared" si="1"/>
        <v>41592</v>
      </c>
      <c r="E27" s="187" t="e" cm="1">
        <f t="array" ref="E27">IF(Thomson=1,_xll.TR(E$7,E$6,"Sdate=#1 Period=#2 NULL=BLANK",,$D27,"NTM"),E27)</f>
        <v>#NAME?</v>
      </c>
      <c r="F27" s="187" t="e" cm="1">
        <f t="array" ref="F27">IF(Thomson=1,_xll.TR(F$7,F$6,"Sdate=#1 Period=#2 NULL=BLANK",,$D27,"NTM"),F27)</f>
        <v>#NAME?</v>
      </c>
      <c r="G27" s="187" t="e" cm="1">
        <f t="array" ref="G27">IF(Thomson=1,_xll.TR(G$7,G$6,"Sdate=#1 Period=#2 NULL=BLANK",,$D27,"NTM"),G27)</f>
        <v>#NAME?</v>
      </c>
      <c r="H27" s="187" t="e" cm="1">
        <f t="array" ref="H27">IF(Thomson=1,_xll.TR(H$7,H$6,"Sdate=#1 Period=#2 NULL=BLANK",,$D27,"NTM"),H27)</f>
        <v>#NAME?</v>
      </c>
      <c r="I27" s="187" t="e" cm="1">
        <f t="array" ref="I27">IF(Thomson=1,_xll.TR(I$7,I$6,"Sdate=#1 Period=#2 NULL=BLANK",,$D27,"NTM"),I27)</f>
        <v>#NAME?</v>
      </c>
      <c r="J27" s="187" t="e" cm="1">
        <f t="array" ref="J27">IF(Thomson=1,_xll.TR(J$7,J$6,"Sdate=#1 Period=#2 NULL=BLANK",,$D27,"NTM"),J27)</f>
        <v>#NAME?</v>
      </c>
      <c r="K27" s="187" t="e" cm="1">
        <f t="array" ref="K27">IF(Thomson=1,_xll.TR(K$7,K$6,"Sdate=#1 Period=#2 NULL=BLANK",,$D27,"NTM"),K27)</f>
        <v>#NAME?</v>
      </c>
      <c r="L27" s="187" t="e" cm="1">
        <f t="array" ref="L27">IF(Thomson=1,_xll.TR(L$7,L$6,"Sdate=#1 Period=#2 NULL=BLANK",,$D27,"NTM"),L27)</f>
        <v>#NAME?</v>
      </c>
    </row>
    <row r="28" spans="1:13" ht="11.25" customHeight="1">
      <c r="C28" s="200">
        <f t="shared" si="2"/>
        <v>41639</v>
      </c>
      <c r="D28" s="197">
        <f t="shared" si="1"/>
        <v>41684</v>
      </c>
      <c r="E28" s="187" t="e" cm="1">
        <f t="array" ref="E28">IF(Thomson=1,_xll.TR(E$7,E$6,"Sdate=#1 Period=#2 NULL=BLANK",,$D28,"NTM"),E28)</f>
        <v>#NAME?</v>
      </c>
      <c r="F28" s="187" t="e" cm="1">
        <f t="array" ref="F28">IF(Thomson=1,_xll.TR(F$7,F$6,"Sdate=#1 Period=#2 NULL=BLANK",,$D28,"NTM"),F28)</f>
        <v>#NAME?</v>
      </c>
      <c r="G28" s="187" t="e" cm="1">
        <f t="array" ref="G28">IF(Thomson=1,_xll.TR(G$7,G$6,"Sdate=#1 Period=#2 NULL=BLANK",,$D28,"NTM"),G28)</f>
        <v>#NAME?</v>
      </c>
      <c r="H28" s="187" t="e" cm="1">
        <f t="array" ref="H28">IF(Thomson=1,_xll.TR(H$7,H$6,"Sdate=#1 Period=#2 NULL=BLANK",,$D28,"NTM"),H28)</f>
        <v>#NAME?</v>
      </c>
      <c r="I28" s="187" t="e" cm="1">
        <f t="array" ref="I28">IF(Thomson=1,_xll.TR(I$7,I$6,"Sdate=#1 Period=#2 NULL=BLANK",,$D28,"NTM"),I28)</f>
        <v>#NAME?</v>
      </c>
      <c r="J28" s="187" t="e" cm="1">
        <f t="array" ref="J28">IF(Thomson=1,_xll.TR(J$7,J$6,"Sdate=#1 Period=#2 NULL=BLANK",,$D28,"NTM"),J28)</f>
        <v>#NAME?</v>
      </c>
      <c r="K28" s="187" t="e" cm="1">
        <f t="array" ref="K28">IF(Thomson=1,_xll.TR(K$7,K$6,"Sdate=#1 Period=#2 NULL=BLANK",,$D28,"NTM"),K28)</f>
        <v>#NAME?</v>
      </c>
      <c r="L28" s="187" t="e" cm="1">
        <f t="array" ref="L28">IF(Thomson=1,_xll.TR(L$7,L$6,"Sdate=#1 Period=#2 NULL=BLANK",,$D28,"NTM"),L28)</f>
        <v>#NAME?</v>
      </c>
    </row>
    <row r="29" spans="1:13" ht="11.25" customHeight="1">
      <c r="C29" s="196">
        <f t="shared" si="2"/>
        <v>41729</v>
      </c>
      <c r="D29" s="197">
        <f t="shared" si="1"/>
        <v>41774</v>
      </c>
      <c r="E29" s="187" t="e" cm="1">
        <f t="array" ref="E29">IF(Thomson=1,_xll.TR(E$7,E$6,"Sdate=#1 Period=#2 NULL=BLANK",,$D29,"NTM"),E29)</f>
        <v>#NAME?</v>
      </c>
      <c r="F29" s="187" t="e" cm="1">
        <f t="array" ref="F29">IF(Thomson=1,_xll.TR(F$7,F$6,"Sdate=#1 Period=#2 NULL=BLANK",,$D29,"NTM"),F29)</f>
        <v>#NAME?</v>
      </c>
      <c r="G29" s="187" t="e" cm="1">
        <f t="array" ref="G29">IF(Thomson=1,_xll.TR(G$7,G$6,"Sdate=#1 Period=#2 NULL=BLANK",,$D29,"NTM"),G29)</f>
        <v>#NAME?</v>
      </c>
      <c r="H29" s="187" t="e" cm="1">
        <f t="array" ref="H29">IF(Thomson=1,_xll.TR(H$7,H$6,"Sdate=#1 Period=#2 NULL=BLANK",,$D29,"NTM"),H29)</f>
        <v>#NAME?</v>
      </c>
      <c r="I29" s="187" t="e" cm="1">
        <f t="array" ref="I29">IF(Thomson=1,_xll.TR(I$7,I$6,"Sdate=#1 Period=#2 NULL=BLANK",,$D29,"NTM"),I29)</f>
        <v>#NAME?</v>
      </c>
      <c r="J29" s="187" t="e" cm="1">
        <f t="array" ref="J29">IF(Thomson=1,_xll.TR(J$7,J$6,"Sdate=#1 Period=#2 NULL=BLANK",,$D29,"NTM"),J29)</f>
        <v>#NAME?</v>
      </c>
      <c r="K29" s="187" t="e" cm="1">
        <f t="array" ref="K29">IF(Thomson=1,_xll.TR(K$7,K$6,"Sdate=#1 Period=#2 NULL=BLANK",,$D29,"NTM"),K29)</f>
        <v>#NAME?</v>
      </c>
      <c r="L29" s="187" t="e" cm="1">
        <f t="array" ref="L29">IF(Thomson=1,_xll.TR(L$7,L$6,"Sdate=#1 Period=#2 NULL=BLANK",,$D29,"NTM"),L29)</f>
        <v>#NAME?</v>
      </c>
    </row>
    <row r="30" spans="1:13" ht="11.25" customHeight="1">
      <c r="C30" s="198">
        <f t="shared" si="2"/>
        <v>41820</v>
      </c>
      <c r="D30" s="197">
        <f t="shared" si="1"/>
        <v>41865</v>
      </c>
      <c r="E30" s="187" t="e" cm="1">
        <f t="array" ref="E30">IF(Thomson=1,_xll.TR(E$7,E$6,"Sdate=#1 Period=#2 NULL=BLANK",,$D30,"NTM"),E30)</f>
        <v>#NAME?</v>
      </c>
      <c r="F30" s="187" t="e" cm="1">
        <f t="array" ref="F30">IF(Thomson=1,_xll.TR(F$7,F$6,"Sdate=#1 Period=#2 NULL=BLANK",,$D30,"NTM"),F30)</f>
        <v>#NAME?</v>
      </c>
      <c r="G30" s="187" t="e" cm="1">
        <f t="array" ref="G30">IF(Thomson=1,_xll.TR(G$7,G$6,"Sdate=#1 Period=#2 NULL=BLANK",,$D30,"NTM"),G30)</f>
        <v>#NAME?</v>
      </c>
      <c r="H30" s="187" t="e" cm="1">
        <f t="array" ref="H30">IF(Thomson=1,_xll.TR(H$7,H$6,"Sdate=#1 Period=#2 NULL=BLANK",,$D30,"NTM"),H30)</f>
        <v>#NAME?</v>
      </c>
      <c r="I30" s="187" t="e" cm="1">
        <f t="array" ref="I30">IF(Thomson=1,_xll.TR(I$7,I$6,"Sdate=#1 Period=#2 NULL=BLANK",,$D30,"NTM"),I30)</f>
        <v>#NAME?</v>
      </c>
      <c r="J30" s="187" t="e" cm="1">
        <f t="array" ref="J30">IF(Thomson=1,_xll.TR(J$7,J$6,"Sdate=#1 Period=#2 NULL=BLANK",,$D30,"NTM"),J30)</f>
        <v>#NAME?</v>
      </c>
      <c r="K30" s="187" t="e" cm="1">
        <f t="array" ref="K30">IF(Thomson=1,_xll.TR(K$7,K$6,"Sdate=#1 Period=#2 NULL=BLANK",,$D30,"NTM"),K30)</f>
        <v>#NAME?</v>
      </c>
      <c r="L30" s="187" t="e" cm="1">
        <f t="array" ref="L30">IF(Thomson=1,_xll.TR(L$7,L$6,"Sdate=#1 Period=#2 NULL=BLANK",,$D30,"NTM"),L30)</f>
        <v>#NAME?</v>
      </c>
    </row>
    <row r="31" spans="1:13" ht="11.25" customHeight="1">
      <c r="C31" s="199">
        <f t="shared" si="2"/>
        <v>41912</v>
      </c>
      <c r="D31" s="197">
        <f t="shared" si="1"/>
        <v>41957</v>
      </c>
      <c r="E31" s="187" t="e" cm="1">
        <f t="array" ref="E31">IF(Thomson=1,_xll.TR(E$7,E$6,"Sdate=#1 Period=#2 NULL=BLANK",,$D31,"NTM"),E31)</f>
        <v>#NAME?</v>
      </c>
      <c r="F31" s="187" t="e" cm="1">
        <f t="array" ref="F31">IF(Thomson=1,_xll.TR(F$7,F$6,"Sdate=#1 Period=#2 NULL=BLANK",,$D31,"NTM"),F31)</f>
        <v>#NAME?</v>
      </c>
      <c r="G31" s="187" t="e" cm="1">
        <f t="array" ref="G31">IF(Thomson=1,_xll.TR(G$7,G$6,"Sdate=#1 Period=#2 NULL=BLANK",,$D31,"NTM"),G31)</f>
        <v>#NAME?</v>
      </c>
      <c r="H31" s="187" t="e" cm="1">
        <f t="array" ref="H31">IF(Thomson=1,_xll.TR(H$7,H$6,"Sdate=#1 Period=#2 NULL=BLANK",,$D31,"NTM"),H31)</f>
        <v>#NAME?</v>
      </c>
      <c r="I31" s="187" t="e" cm="1">
        <f t="array" ref="I31">IF(Thomson=1,_xll.TR(I$7,I$6,"Sdate=#1 Period=#2 NULL=BLANK",,$D31,"NTM"),I31)</f>
        <v>#NAME?</v>
      </c>
      <c r="J31" s="187" t="e" cm="1">
        <f t="array" ref="J31">IF(Thomson=1,_xll.TR(J$7,J$6,"Sdate=#1 Period=#2 NULL=BLANK",,$D31,"NTM"),J31)</f>
        <v>#NAME?</v>
      </c>
      <c r="K31" s="187" t="e" cm="1">
        <f t="array" ref="K31">IF(Thomson=1,_xll.TR(K$7,K$6,"Sdate=#1 Period=#2 NULL=BLANK",,$D31,"NTM"),K31)</f>
        <v>#NAME?</v>
      </c>
      <c r="L31" s="187" t="e" cm="1">
        <f t="array" ref="L31">IF(Thomson=1,_xll.TR(L$7,L$6,"Sdate=#1 Period=#2 NULL=BLANK",,$D31,"NTM"),L31)</f>
        <v>#NAME?</v>
      </c>
    </row>
    <row r="32" spans="1:13" ht="11.25" customHeight="1">
      <c r="C32" s="200">
        <f t="shared" si="2"/>
        <v>42004</v>
      </c>
      <c r="D32" s="197">
        <f t="shared" si="1"/>
        <v>42049</v>
      </c>
      <c r="E32" s="187" t="e" cm="1">
        <f t="array" ref="E32">IF(Thomson=1,_xll.TR(E$7,E$6,"Sdate=#1 Period=#2 NULL=BLANK",,$D32,"NTM"),E32)</f>
        <v>#NAME?</v>
      </c>
      <c r="F32" s="187" t="e" cm="1">
        <f t="array" ref="F32">IF(Thomson=1,_xll.TR(F$7,F$6,"Sdate=#1 Period=#2 NULL=BLANK",,$D32,"NTM"),F32)</f>
        <v>#NAME?</v>
      </c>
      <c r="G32" s="187" t="e" cm="1">
        <f t="array" ref="G32">IF(Thomson=1,_xll.TR(G$7,G$6,"Sdate=#1 Period=#2 NULL=BLANK",,$D32,"NTM"),G32)</f>
        <v>#NAME?</v>
      </c>
      <c r="H32" s="187" t="e" cm="1">
        <f t="array" ref="H32">IF(Thomson=1,_xll.TR(H$7,H$6,"Sdate=#1 Period=#2 NULL=BLANK",,$D32,"NTM"),H32)</f>
        <v>#NAME?</v>
      </c>
      <c r="I32" s="187" t="e" cm="1">
        <f t="array" ref="I32">IF(Thomson=1,_xll.TR(I$7,I$6,"Sdate=#1 Period=#2 NULL=BLANK",,$D32,"NTM"),I32)</f>
        <v>#NAME?</v>
      </c>
      <c r="J32" s="187" t="e" cm="1">
        <f t="array" ref="J32">IF(Thomson=1,_xll.TR(J$7,J$6,"Sdate=#1 Period=#2 NULL=BLANK",,$D32,"NTM"),J32)</f>
        <v>#NAME?</v>
      </c>
      <c r="K32" s="187" t="e" cm="1">
        <f t="array" ref="K32">IF(Thomson=1,_xll.TR(K$7,K$6,"Sdate=#1 Period=#2 NULL=BLANK",,$D32,"NTM"),K32)</f>
        <v>#NAME?</v>
      </c>
      <c r="L32" s="187" t="e" cm="1">
        <f t="array" ref="L32">IF(Thomson=1,_xll.TR(L$7,L$6,"Sdate=#1 Period=#2 NULL=BLANK",,$D32,"NTM"),L32)</f>
        <v>#NAME?</v>
      </c>
    </row>
    <row r="33" spans="3:12" ht="11.25" customHeight="1">
      <c r="C33" s="196">
        <f t="shared" si="2"/>
        <v>42094</v>
      </c>
      <c r="D33" s="197">
        <f t="shared" si="1"/>
        <v>42139</v>
      </c>
      <c r="E33" s="187" t="e" cm="1">
        <f t="array" ref="E33">IF(Thomson=1,_xll.TR(E$7,E$6,"Sdate=#1 Period=#2 NULL=BLANK",,$D33,"NTM"),E33)</f>
        <v>#NAME?</v>
      </c>
      <c r="F33" s="187" t="e" cm="1">
        <f t="array" ref="F33">IF(Thomson=1,_xll.TR(F$7,F$6,"Sdate=#1 Period=#2 NULL=BLANK",,$D33,"NTM"),F33)</f>
        <v>#NAME?</v>
      </c>
      <c r="G33" s="187" t="e" cm="1">
        <f t="array" ref="G33">IF(Thomson=1,_xll.TR(G$7,G$6,"Sdate=#1 Period=#2 NULL=BLANK",,$D33,"NTM"),G33)</f>
        <v>#NAME?</v>
      </c>
      <c r="H33" s="187" t="e" cm="1">
        <f t="array" ref="H33">IF(Thomson=1,_xll.TR(H$7,H$6,"Sdate=#1 Period=#2 NULL=BLANK",,$D33,"NTM"),H33)</f>
        <v>#NAME?</v>
      </c>
      <c r="I33" s="187" t="e" cm="1">
        <f t="array" ref="I33">IF(Thomson=1,_xll.TR(I$7,I$6,"Sdate=#1 Period=#2 NULL=BLANK",,$D33,"NTM"),I33)</f>
        <v>#NAME?</v>
      </c>
      <c r="J33" s="187" t="e" cm="1">
        <f t="array" ref="J33">IF(Thomson=1,_xll.TR(J$7,J$6,"Sdate=#1 Period=#2 NULL=BLANK",,$D33,"NTM"),J33)</f>
        <v>#NAME?</v>
      </c>
      <c r="K33" s="187" t="e" cm="1">
        <f t="array" ref="K33">IF(Thomson=1,_xll.TR(K$7,K$6,"Sdate=#1 Period=#2 NULL=BLANK",,$D33,"NTM"),K33)</f>
        <v>#NAME?</v>
      </c>
      <c r="L33" s="187" t="e" cm="1">
        <f t="array" ref="L33">IF(Thomson=1,_xll.TR(L$7,L$6,"Sdate=#1 Period=#2 NULL=BLANK",,$D33,"NTM"),L33)</f>
        <v>#NAME?</v>
      </c>
    </row>
    <row r="34" spans="3:12" ht="11.25" customHeight="1">
      <c r="C34" s="198">
        <f t="shared" si="2"/>
        <v>42185</v>
      </c>
      <c r="D34" s="197">
        <f t="shared" si="1"/>
        <v>42230</v>
      </c>
      <c r="E34" s="187" t="e" cm="1">
        <f t="array" ref="E34">IF(Thomson=1,_xll.TR(E$7,E$6,"Sdate=#1 Period=#2 NULL=BLANK",,$D34,"NTM"),E34)</f>
        <v>#NAME?</v>
      </c>
      <c r="F34" s="187" t="e" cm="1">
        <f t="array" ref="F34">IF(Thomson=1,_xll.TR(F$7,F$6,"Sdate=#1 Period=#2 NULL=BLANK",,$D34,"NTM"),F34)</f>
        <v>#NAME?</v>
      </c>
      <c r="G34" s="187" t="e" cm="1">
        <f t="array" ref="G34">IF(Thomson=1,_xll.TR(G$7,G$6,"Sdate=#1 Period=#2 NULL=BLANK",,$D34,"NTM"),G34)</f>
        <v>#NAME?</v>
      </c>
      <c r="H34" s="187" t="e" cm="1">
        <f t="array" ref="H34">IF(Thomson=1,_xll.TR(H$7,H$6,"Sdate=#1 Period=#2 NULL=BLANK",,$D34,"NTM"),H34)</f>
        <v>#NAME?</v>
      </c>
      <c r="I34" s="187" t="e" cm="1">
        <f t="array" ref="I34">IF(Thomson=1,_xll.TR(I$7,I$6,"Sdate=#1 Period=#2 NULL=BLANK",,$D34,"NTM"),I34)</f>
        <v>#NAME?</v>
      </c>
      <c r="J34" s="187" t="e" cm="1">
        <f t="array" ref="J34">IF(Thomson=1,_xll.TR(J$7,J$6,"Sdate=#1 Period=#2 NULL=BLANK",,$D34,"NTM"),J34)</f>
        <v>#NAME?</v>
      </c>
      <c r="K34" s="187" t="e" cm="1">
        <f t="array" ref="K34">IF(Thomson=1,_xll.TR(K$7,K$6,"Sdate=#1 Period=#2 NULL=BLANK",,$D34,"NTM"),K34)</f>
        <v>#NAME?</v>
      </c>
      <c r="L34" s="187" t="e" cm="1">
        <f t="array" ref="L34">IF(Thomson=1,_xll.TR(L$7,L$6,"Sdate=#1 Period=#2 NULL=BLANK",,$D34,"NTM"),L34)</f>
        <v>#NAME?</v>
      </c>
    </row>
    <row r="35" spans="3:12" ht="11.25" customHeight="1">
      <c r="C35" s="199">
        <f t="shared" si="2"/>
        <v>42277</v>
      </c>
      <c r="D35" s="197">
        <f t="shared" si="1"/>
        <v>42322</v>
      </c>
      <c r="E35" s="187" t="e" cm="1">
        <f t="array" ref="E35">IF(Thomson=1,_xll.TR(E$7,E$6,"Sdate=#1 Period=#2 NULL=BLANK",,$D35,"NTM"),E35)</f>
        <v>#NAME?</v>
      </c>
      <c r="F35" s="187" t="e" cm="1">
        <f t="array" ref="F35">IF(Thomson=1,_xll.TR(F$7,F$6,"Sdate=#1 Period=#2 NULL=BLANK",,$D35,"NTM"),F35)</f>
        <v>#NAME?</v>
      </c>
      <c r="G35" s="187" t="e" cm="1">
        <f t="array" ref="G35">IF(Thomson=1,_xll.TR(G$7,G$6,"Sdate=#1 Period=#2 NULL=BLANK",,$D35,"NTM"),G35)</f>
        <v>#NAME?</v>
      </c>
      <c r="H35" s="187" t="e" cm="1">
        <f t="array" ref="H35">IF(Thomson=1,_xll.TR(H$7,H$6,"Sdate=#1 Period=#2 NULL=BLANK",,$D35,"NTM"),H35)</f>
        <v>#NAME?</v>
      </c>
      <c r="I35" s="187" t="e" cm="1">
        <f t="array" ref="I35">IF(Thomson=1,_xll.TR(I$7,I$6,"Sdate=#1 Period=#2 NULL=BLANK",,$D35,"NTM"),I35)</f>
        <v>#NAME?</v>
      </c>
      <c r="J35" s="187" t="e" cm="1">
        <f t="array" ref="J35">IF(Thomson=1,_xll.TR(J$7,J$6,"Sdate=#1 Period=#2 NULL=BLANK",,$D35,"NTM"),J35)</f>
        <v>#NAME?</v>
      </c>
      <c r="K35" s="187" t="e" cm="1">
        <f t="array" ref="K35">IF(Thomson=1,_xll.TR(K$7,K$6,"Sdate=#1 Period=#2 NULL=BLANK",,$D35,"NTM"),K35)</f>
        <v>#NAME?</v>
      </c>
      <c r="L35" s="187" t="e" cm="1">
        <f t="array" ref="L35">IF(Thomson=1,_xll.TR(L$7,L$6,"Sdate=#1 Period=#2 NULL=BLANK",,$D35,"NTM"),L35)</f>
        <v>#NAME?</v>
      </c>
    </row>
    <row r="36" spans="3:12" ht="11.25" customHeight="1">
      <c r="C36" s="200">
        <f t="shared" si="2"/>
        <v>42369</v>
      </c>
      <c r="D36" s="197">
        <f t="shared" si="1"/>
        <v>42414</v>
      </c>
      <c r="E36" s="187" t="e" cm="1">
        <f t="array" ref="E36">IF(Thomson=1,_xll.TR(E$7,E$6,"Sdate=#1 Period=#2 NULL=BLANK",,$D36,"NTM"),E36)</f>
        <v>#NAME?</v>
      </c>
      <c r="F36" s="187" t="e" cm="1">
        <f t="array" ref="F36">IF(Thomson=1,_xll.TR(F$7,F$6,"Sdate=#1 Period=#2 NULL=BLANK",,$D36,"NTM"),F36)</f>
        <v>#NAME?</v>
      </c>
      <c r="G36" s="187" t="e" cm="1">
        <f t="array" ref="G36">IF(Thomson=1,_xll.TR(G$7,G$6,"Sdate=#1 Period=#2 NULL=BLANK",,$D36,"NTM"),G36)</f>
        <v>#NAME?</v>
      </c>
      <c r="H36" s="187" t="e" cm="1">
        <f t="array" ref="H36">IF(Thomson=1,_xll.TR(H$7,H$6,"Sdate=#1 Period=#2 NULL=BLANK",,$D36,"NTM"),H36)</f>
        <v>#NAME?</v>
      </c>
      <c r="I36" s="187" t="e" cm="1">
        <f t="array" ref="I36">IF(Thomson=1,_xll.TR(I$7,I$6,"Sdate=#1 Period=#2 NULL=BLANK",,$D36,"NTM"),I36)</f>
        <v>#NAME?</v>
      </c>
      <c r="J36" s="187" t="e" cm="1">
        <f t="array" ref="J36">IF(Thomson=1,_xll.TR(J$7,J$6,"Sdate=#1 Period=#2 NULL=BLANK",,$D36,"NTM"),J36)</f>
        <v>#NAME?</v>
      </c>
      <c r="K36" s="187" t="e" cm="1">
        <f t="array" ref="K36">IF(Thomson=1,_xll.TR(K$7,K$6,"Sdate=#1 Period=#2 NULL=BLANK",,$D36,"NTM"),K36)</f>
        <v>#NAME?</v>
      </c>
      <c r="L36" s="187" t="e" cm="1">
        <f t="array" ref="L36">IF(Thomson=1,_xll.TR(L$7,L$6,"Sdate=#1 Period=#2 NULL=BLANK",,$D36,"NTM"),L36)</f>
        <v>#NAME?</v>
      </c>
    </row>
    <row r="37" spans="3:12" ht="11.25" customHeight="1">
      <c r="C37" s="196">
        <f t="shared" si="2"/>
        <v>42460</v>
      </c>
      <c r="D37" s="197">
        <f t="shared" si="1"/>
        <v>42505</v>
      </c>
      <c r="E37" s="187" t="e" cm="1">
        <f t="array" ref="E37">IF(Thomson=1,_xll.TR(E$7,E$6,"Sdate=#1 Period=#2 NULL=BLANK",,$D37,"NTM"),E37)</f>
        <v>#NAME?</v>
      </c>
      <c r="F37" s="187" t="e" cm="1">
        <f t="array" ref="F37">IF(Thomson=1,_xll.TR(F$7,F$6,"Sdate=#1 Period=#2 NULL=BLANK",,$D37,"NTM"),F37)</f>
        <v>#NAME?</v>
      </c>
      <c r="G37" s="187" t="e" cm="1">
        <f t="array" ref="G37">IF(Thomson=1,_xll.TR(G$7,G$6,"Sdate=#1 Period=#2 NULL=BLANK",,$D37,"NTM"),G37)</f>
        <v>#NAME?</v>
      </c>
      <c r="H37" s="187" t="e" cm="1">
        <f t="array" ref="H37">IF(Thomson=1,_xll.TR(H$7,H$6,"Sdate=#1 Period=#2 NULL=BLANK",,$D37,"NTM"),H37)</f>
        <v>#NAME?</v>
      </c>
      <c r="I37" s="187" t="e" cm="1">
        <f t="array" ref="I37">IF(Thomson=1,_xll.TR(I$7,I$6,"Sdate=#1 Period=#2 NULL=BLANK",,$D37,"NTM"),I37)</f>
        <v>#NAME?</v>
      </c>
      <c r="J37" s="187" t="e" cm="1">
        <f t="array" ref="J37">IF(Thomson=1,_xll.TR(J$7,J$6,"Sdate=#1 Period=#2 NULL=BLANK",,$D37,"NTM"),J37)</f>
        <v>#NAME?</v>
      </c>
      <c r="K37" s="187" t="e" cm="1">
        <f t="array" ref="K37">IF(Thomson=1,_xll.TR(K$7,K$6,"Sdate=#1 Period=#2 NULL=BLANK",,$D37,"NTM"),K37)</f>
        <v>#NAME?</v>
      </c>
      <c r="L37" s="187" t="e" cm="1">
        <f t="array" ref="L37">IF(Thomson=1,_xll.TR(L$7,L$6,"Sdate=#1 Period=#2 NULL=BLANK",,$D37,"NTM"),L37)</f>
        <v>#NAME?</v>
      </c>
    </row>
    <row r="38" spans="3:12" ht="11.25" customHeight="1">
      <c r="C38" s="198">
        <f t="shared" si="2"/>
        <v>42551</v>
      </c>
      <c r="D38" s="197">
        <f t="shared" si="1"/>
        <v>42596</v>
      </c>
      <c r="E38" s="187" t="e" cm="1">
        <f t="array" ref="E38">IF(Thomson=1,_xll.TR(E$7,E$6,"Sdate=#1 Period=#2 NULL=BLANK",,$D38,"NTM"),E38)</f>
        <v>#NAME?</v>
      </c>
      <c r="F38" s="187" t="e" cm="1">
        <f t="array" ref="F38">IF(Thomson=1,_xll.TR(F$7,F$6,"Sdate=#1 Period=#2 NULL=BLANK",,$D38,"NTM"),F38)</f>
        <v>#NAME?</v>
      </c>
      <c r="G38" s="187" t="e" cm="1">
        <f t="array" ref="G38">IF(Thomson=1,_xll.TR(G$7,G$6,"Sdate=#1 Period=#2 NULL=BLANK",,$D38,"NTM"),G38)</f>
        <v>#NAME?</v>
      </c>
      <c r="H38" s="187" t="e" cm="1">
        <f t="array" ref="H38">IF(Thomson=1,_xll.TR(H$7,H$6,"Sdate=#1 Period=#2 NULL=BLANK",,$D38,"NTM"),H38)</f>
        <v>#NAME?</v>
      </c>
      <c r="I38" s="187" t="e" cm="1">
        <f t="array" ref="I38">IF(Thomson=1,_xll.TR(I$7,I$6,"Sdate=#1 Period=#2 NULL=BLANK",,$D38,"NTM"),I38)</f>
        <v>#NAME?</v>
      </c>
      <c r="J38" s="187" t="e" cm="1">
        <f t="array" ref="J38">IF(Thomson=1,_xll.TR(J$7,J$6,"Sdate=#1 Period=#2 NULL=BLANK",,$D38,"NTM"),J38)</f>
        <v>#NAME?</v>
      </c>
      <c r="K38" s="187" t="e" cm="1">
        <f t="array" ref="K38">IF(Thomson=1,_xll.TR(K$7,K$6,"Sdate=#1 Period=#2 NULL=BLANK",,$D38,"NTM"),K38)</f>
        <v>#NAME?</v>
      </c>
      <c r="L38" s="187" t="e" cm="1">
        <f t="array" ref="L38">IF(Thomson=1,_xll.TR(L$7,L$6,"Sdate=#1 Period=#2 NULL=BLANK",,$D38,"NTM"),L38)</f>
        <v>#NAME?</v>
      </c>
    </row>
    <row r="39" spans="3:12" ht="11.25" customHeight="1">
      <c r="C39" s="199">
        <f t="shared" si="2"/>
        <v>42643</v>
      </c>
      <c r="D39" s="197">
        <f t="shared" si="1"/>
        <v>42688</v>
      </c>
      <c r="E39" s="187" t="e" cm="1">
        <f t="array" ref="E39">IF(Thomson=1,_xll.TR(E$7,E$6,"Sdate=#1 Period=#2 NULL=BLANK",,$D39,"NTM"),E39)</f>
        <v>#NAME?</v>
      </c>
      <c r="F39" s="187" t="e" cm="1">
        <f t="array" ref="F39">IF(Thomson=1,_xll.TR(F$7,F$6,"Sdate=#1 Period=#2 NULL=BLANK",,$D39,"NTM"),F39)</f>
        <v>#NAME?</v>
      </c>
      <c r="G39" s="187" t="e" cm="1">
        <f t="array" ref="G39">IF(Thomson=1,_xll.TR(G$7,G$6,"Sdate=#1 Period=#2 NULL=BLANK",,$D39,"NTM"),G39)</f>
        <v>#NAME?</v>
      </c>
      <c r="H39" s="187" t="e" cm="1">
        <f t="array" ref="H39">IF(Thomson=1,_xll.TR(H$7,H$6,"Sdate=#1 Period=#2 NULL=BLANK",,$D39,"NTM"),H39)</f>
        <v>#NAME?</v>
      </c>
      <c r="I39" s="187" t="e" cm="1">
        <f t="array" ref="I39">IF(Thomson=1,_xll.TR(I$7,I$6,"Sdate=#1 Period=#2 NULL=BLANK",,$D39,"NTM"),I39)</f>
        <v>#NAME?</v>
      </c>
      <c r="J39" s="187" t="e" cm="1">
        <f t="array" ref="J39">IF(Thomson=1,_xll.TR(J$7,J$6,"Sdate=#1 Period=#2 NULL=BLANK",,$D39,"NTM"),J39)</f>
        <v>#NAME?</v>
      </c>
      <c r="K39" s="187" t="e" cm="1">
        <f t="array" ref="K39">IF(Thomson=1,_xll.TR(K$7,K$6,"Sdate=#1 Period=#2 NULL=BLANK",,$D39,"NTM"),K39)</f>
        <v>#NAME?</v>
      </c>
      <c r="L39" s="187" t="e" cm="1">
        <f t="array" ref="L39">IF(Thomson=1,_xll.TR(L$7,L$6,"Sdate=#1 Period=#2 NULL=BLANK",,$D39,"NTM"),L39)</f>
        <v>#NAME?</v>
      </c>
    </row>
    <row r="40" spans="3:12" ht="11.25" customHeight="1">
      <c r="C40" s="200">
        <f t="shared" si="2"/>
        <v>42735</v>
      </c>
      <c r="D40" s="197">
        <f t="shared" si="1"/>
        <v>42780</v>
      </c>
      <c r="E40" s="187" t="e" cm="1">
        <f t="array" ref="E40">IF(Thomson=1,_xll.TR(E$7,E$6,"Sdate=#1 Period=#2 NULL=BLANK",,$D40,"NTM"),E40)</f>
        <v>#NAME?</v>
      </c>
      <c r="F40" s="187" t="e" cm="1">
        <f t="array" ref="F40">IF(Thomson=1,_xll.TR(F$7,F$6,"Sdate=#1 Period=#2 NULL=BLANK",,$D40,"NTM"),F40)</f>
        <v>#NAME?</v>
      </c>
      <c r="G40" s="187" t="e" cm="1">
        <f t="array" ref="G40">IF(Thomson=1,_xll.TR(G$7,G$6,"Sdate=#1 Period=#2 NULL=BLANK",,$D40,"NTM"),G40)</f>
        <v>#NAME?</v>
      </c>
      <c r="H40" s="187" t="e" cm="1">
        <f t="array" ref="H40">IF(Thomson=1,_xll.TR(H$7,H$6,"Sdate=#1 Period=#2 NULL=BLANK",,$D40,"NTM"),H40)</f>
        <v>#NAME?</v>
      </c>
      <c r="I40" s="187" t="e" cm="1">
        <f t="array" ref="I40">IF(Thomson=1,_xll.TR(I$7,I$6,"Sdate=#1 Period=#2 NULL=BLANK",,$D40,"NTM"),I40)</f>
        <v>#NAME?</v>
      </c>
      <c r="J40" s="187" t="e" cm="1">
        <f t="array" ref="J40">IF(Thomson=1,_xll.TR(J$7,J$6,"Sdate=#1 Period=#2 NULL=BLANK",,$D40,"NTM"),J40)</f>
        <v>#NAME?</v>
      </c>
      <c r="K40" s="187" t="e" cm="1">
        <f t="array" ref="K40">IF(Thomson=1,_xll.TR(K$7,K$6,"Sdate=#1 Period=#2 NULL=BLANK",,$D40,"NTM"),K40)</f>
        <v>#NAME?</v>
      </c>
      <c r="L40" s="187" t="e" cm="1">
        <f t="array" ref="L40">IF(Thomson=1,_xll.TR(L$7,L$6,"Sdate=#1 Period=#2 NULL=BLANK",,$D40,"NTM"),L40)</f>
        <v>#NAME?</v>
      </c>
    </row>
    <row r="41" spans="3:12" ht="11.25" customHeight="1">
      <c r="C41" s="196">
        <f t="shared" si="2"/>
        <v>42825</v>
      </c>
      <c r="D41" s="197">
        <f t="shared" si="1"/>
        <v>42870</v>
      </c>
      <c r="E41" s="187" t="e" cm="1">
        <f t="array" ref="E41">IF(Thomson=1,_xll.TR(E$7,E$6,"Sdate=#1 Period=#2 NULL=BLANK",,$D41,"NTM"),E41)</f>
        <v>#NAME?</v>
      </c>
      <c r="F41" s="187" t="e" cm="1">
        <f t="array" ref="F41">IF(Thomson=1,_xll.TR(F$7,F$6,"Sdate=#1 Period=#2 NULL=BLANK",,$D41,"NTM"),F41)</f>
        <v>#NAME?</v>
      </c>
      <c r="G41" s="187" t="e" cm="1">
        <f t="array" ref="G41">IF(Thomson=1,_xll.TR(G$7,G$6,"Sdate=#1 Period=#2 NULL=BLANK",,$D41,"NTM"),G41)</f>
        <v>#NAME?</v>
      </c>
      <c r="H41" s="187" t="e" cm="1">
        <f t="array" ref="H41">IF(Thomson=1,_xll.TR(H$7,H$6,"Sdate=#1 Period=#2 NULL=BLANK",,$D41,"NTM"),H41)</f>
        <v>#NAME?</v>
      </c>
      <c r="I41" s="187" t="e" cm="1">
        <f t="array" ref="I41">IF(Thomson=1,_xll.TR(I$7,I$6,"Sdate=#1 Period=#2 NULL=BLANK",,$D41,"NTM"),I41)</f>
        <v>#NAME?</v>
      </c>
      <c r="J41" s="187" t="e" cm="1">
        <f t="array" ref="J41">IF(Thomson=1,_xll.TR(J$7,J$6,"Sdate=#1 Period=#2 NULL=BLANK",,$D41,"NTM"),J41)</f>
        <v>#NAME?</v>
      </c>
      <c r="K41" s="187" t="e" cm="1">
        <f t="array" ref="K41">IF(Thomson=1,_xll.TR(K$7,K$6,"Sdate=#1 Period=#2 NULL=BLANK",,$D41,"NTM"),K41)</f>
        <v>#NAME?</v>
      </c>
      <c r="L41" s="187" t="e" cm="1">
        <f t="array" ref="L41">IF(Thomson=1,_xll.TR(L$7,L$6,"Sdate=#1 Period=#2 NULL=BLANK",,$D41,"NTM"),L41)</f>
        <v>#NAME?</v>
      </c>
    </row>
    <row r="42" spans="3:12" ht="11.25" customHeight="1">
      <c r="C42" s="198">
        <f t="shared" si="2"/>
        <v>42916</v>
      </c>
      <c r="D42" s="197">
        <f t="shared" si="1"/>
        <v>42961</v>
      </c>
      <c r="E42" s="187" t="e" cm="1">
        <f t="array" ref="E42">IF(Thomson=1,_xll.TR(E$7,E$6,"Sdate=#1 Period=#2 NULL=BLANK",,$D42,"NTM"),E42)</f>
        <v>#NAME?</v>
      </c>
      <c r="F42" s="187" t="e" cm="1">
        <f t="array" ref="F42">IF(Thomson=1,_xll.TR(F$7,F$6,"Sdate=#1 Period=#2 NULL=BLANK",,$D42,"NTM"),F42)</f>
        <v>#NAME?</v>
      </c>
      <c r="G42" s="187" t="e" cm="1">
        <f t="array" ref="G42">IF(Thomson=1,_xll.TR(G$7,G$6,"Sdate=#1 Period=#2 NULL=BLANK",,$D42,"NTM"),G42)</f>
        <v>#NAME?</v>
      </c>
      <c r="H42" s="187" t="e" cm="1">
        <f t="array" ref="H42">IF(Thomson=1,_xll.TR(H$7,H$6,"Sdate=#1 Period=#2 NULL=BLANK",,$D42,"NTM"),H42)</f>
        <v>#NAME?</v>
      </c>
      <c r="I42" s="187" t="e" cm="1">
        <f t="array" ref="I42">IF(Thomson=1,_xll.TR(I$7,I$6,"Sdate=#1 Period=#2 NULL=BLANK",,$D42,"NTM"),I42)</f>
        <v>#NAME?</v>
      </c>
      <c r="J42" s="187" t="e" cm="1">
        <f t="array" ref="J42">IF(Thomson=1,_xll.TR(J$7,J$6,"Sdate=#1 Period=#2 NULL=BLANK",,$D42,"NTM"),J42)</f>
        <v>#NAME?</v>
      </c>
      <c r="K42" s="187" t="e" cm="1">
        <f t="array" ref="K42">IF(Thomson=1,_xll.TR(K$7,K$6,"Sdate=#1 Period=#2 NULL=BLANK",,$D42,"NTM"),K42)</f>
        <v>#NAME?</v>
      </c>
      <c r="L42" s="187" t="e" cm="1">
        <f t="array" ref="L42">IF(Thomson=1,_xll.TR(L$7,L$6,"Sdate=#1 Period=#2 NULL=BLANK",,$D42,"NTM"),L42)</f>
        <v>#NAME?</v>
      </c>
    </row>
    <row r="43" spans="3:12" ht="11.25" customHeight="1">
      <c r="C43" s="199">
        <f t="shared" si="2"/>
        <v>43008</v>
      </c>
      <c r="D43" s="197">
        <f t="shared" si="1"/>
        <v>43053</v>
      </c>
      <c r="E43" s="187" t="e" cm="1">
        <f t="array" ref="E43">IF(Thomson=1,_xll.TR(E$7,E$6,"Sdate=#1 Period=#2 NULL=BLANK",,$D43,"NTM"),E43)</f>
        <v>#NAME?</v>
      </c>
      <c r="F43" s="187" t="e" cm="1">
        <f t="array" ref="F43">IF(Thomson=1,_xll.TR(F$7,F$6,"Sdate=#1 Period=#2 NULL=BLANK",,$D43,"NTM"),F43)</f>
        <v>#NAME?</v>
      </c>
      <c r="G43" s="187" t="e" cm="1">
        <f t="array" ref="G43">IF(Thomson=1,_xll.TR(G$7,G$6,"Sdate=#1 Period=#2 NULL=BLANK",,$D43,"NTM"),G43)</f>
        <v>#NAME?</v>
      </c>
      <c r="H43" s="187" t="e" cm="1">
        <f t="array" ref="H43">IF(Thomson=1,_xll.TR(H$7,H$6,"Sdate=#1 Period=#2 NULL=BLANK",,$D43,"NTM"),H43)</f>
        <v>#NAME?</v>
      </c>
      <c r="I43" s="187" t="e" cm="1">
        <f t="array" ref="I43">IF(Thomson=1,_xll.TR(I$7,I$6,"Sdate=#1 Period=#2 NULL=BLANK",,$D43,"NTM"),I43)</f>
        <v>#NAME?</v>
      </c>
      <c r="J43" s="187" t="e" cm="1">
        <f t="array" ref="J43">IF(Thomson=1,_xll.TR(J$7,J$6,"Sdate=#1 Period=#2 NULL=BLANK",,$D43,"NTM"),J43)</f>
        <v>#NAME?</v>
      </c>
      <c r="K43" s="187" t="e" cm="1">
        <f t="array" ref="K43">IF(Thomson=1,_xll.TR(K$7,K$6,"Sdate=#1 Period=#2 NULL=BLANK",,$D43,"NTM"),K43)</f>
        <v>#NAME?</v>
      </c>
      <c r="L43" s="187" t="e" cm="1">
        <f t="array" ref="L43">IF(Thomson=1,_xll.TR(L$7,L$6,"Sdate=#1 Period=#2 NULL=BLANK",,$D43,"NTM"),L43)</f>
        <v>#NAME?</v>
      </c>
    </row>
    <row r="44" spans="3:12" ht="11.25" customHeight="1">
      <c r="C44" s="200">
        <f t="shared" si="2"/>
        <v>43100</v>
      </c>
      <c r="D44" s="197">
        <f t="shared" si="1"/>
        <v>43145</v>
      </c>
      <c r="E44" s="187" t="e" cm="1">
        <f t="array" ref="E44">IF(Thomson=1,_xll.TR(E$7,E$6,"Sdate=#1 Period=#2 NULL=BLANK",,$D44,"NTM"),E44)</f>
        <v>#NAME?</v>
      </c>
      <c r="F44" s="187" t="e" cm="1">
        <f t="array" ref="F44">IF(Thomson=1,_xll.TR(F$7,F$6,"Sdate=#1 Period=#2 NULL=BLANK",,$D44,"NTM"),F44)</f>
        <v>#NAME?</v>
      </c>
      <c r="G44" s="187" t="e" cm="1">
        <f t="array" ref="G44">IF(Thomson=1,_xll.TR(G$7,G$6,"Sdate=#1 Period=#2 NULL=BLANK",,$D44,"NTM"),G44)</f>
        <v>#NAME?</v>
      </c>
      <c r="H44" s="187" t="e" cm="1">
        <f t="array" ref="H44">IF(Thomson=1,_xll.TR(H$7,H$6,"Sdate=#1 Period=#2 NULL=BLANK",,$D44,"NTM"),H44)</f>
        <v>#NAME?</v>
      </c>
      <c r="I44" s="187" t="e" cm="1">
        <f t="array" ref="I44">IF(Thomson=1,_xll.TR(I$7,I$6,"Sdate=#1 Period=#2 NULL=BLANK",,$D44,"NTM"),I44)</f>
        <v>#NAME?</v>
      </c>
      <c r="J44" s="187" t="e" cm="1">
        <f t="array" ref="J44">IF(Thomson=1,_xll.TR(J$7,J$6,"Sdate=#1 Period=#2 NULL=BLANK",,$D44,"NTM"),J44)</f>
        <v>#NAME?</v>
      </c>
      <c r="K44" s="187" t="e" cm="1">
        <f t="array" ref="K44">IF(Thomson=1,_xll.TR(K$7,K$6,"Sdate=#1 Period=#2 NULL=BLANK",,$D44,"NTM"),K44)</f>
        <v>#NAME?</v>
      </c>
      <c r="L44" s="187" t="e" cm="1">
        <f t="array" ref="L44">IF(Thomson=1,_xll.TR(L$7,L$6,"Sdate=#1 Period=#2 NULL=BLANK",,$D44,"NTM"),L44)</f>
        <v>#NAME?</v>
      </c>
    </row>
    <row r="45" spans="3:12" ht="11.25" customHeight="1">
      <c r="C45" s="196">
        <f t="shared" si="2"/>
        <v>43190</v>
      </c>
      <c r="D45" s="197">
        <f t="shared" si="1"/>
        <v>43235</v>
      </c>
      <c r="E45" s="187" t="e" cm="1">
        <f t="array" ref="E45">IF(Thomson=1,_xll.TR(E$7,E$6,"Sdate=#1 Period=#2 NULL=BLANK",,$D45,"NTM"),E45)</f>
        <v>#NAME?</v>
      </c>
      <c r="F45" s="187" t="e" cm="1">
        <f t="array" ref="F45">IF(Thomson=1,_xll.TR(F$7,F$6,"Sdate=#1 Period=#2 NULL=BLANK",,$D45,"NTM"),F45)</f>
        <v>#NAME?</v>
      </c>
      <c r="G45" s="187" t="e" cm="1">
        <f t="array" ref="G45">IF(Thomson=1,_xll.TR(G$7,G$6,"Sdate=#1 Period=#2 NULL=BLANK",,$D45,"NTM"),G45)</f>
        <v>#NAME?</v>
      </c>
      <c r="H45" s="187" t="e" cm="1">
        <f t="array" ref="H45">IF(Thomson=1,_xll.TR(H$7,H$6,"Sdate=#1 Period=#2 NULL=BLANK",,$D45,"NTM"),H45)</f>
        <v>#NAME?</v>
      </c>
      <c r="I45" s="187" t="e" cm="1">
        <f t="array" ref="I45">IF(Thomson=1,_xll.TR(I$7,I$6,"Sdate=#1 Period=#2 NULL=BLANK",,$D45,"NTM"),I45)</f>
        <v>#NAME?</v>
      </c>
      <c r="J45" s="187" t="e" cm="1">
        <f t="array" ref="J45">IF(Thomson=1,_xll.TR(J$7,J$6,"Sdate=#1 Period=#2 NULL=BLANK",,$D45,"NTM"),J45)</f>
        <v>#NAME?</v>
      </c>
      <c r="K45" s="187" t="e" cm="1">
        <f t="array" ref="K45">IF(Thomson=1,_xll.TR(K$7,K$6,"Sdate=#1 Period=#2 NULL=BLANK",,$D45,"NTM"),K45)</f>
        <v>#NAME?</v>
      </c>
      <c r="L45" s="187" t="e" cm="1">
        <f t="array" ref="L45">IF(Thomson=1,_xll.TR(L$7,L$6,"Sdate=#1 Period=#2 NULL=BLANK",,$D45,"NTM"),L45)</f>
        <v>#NAME?</v>
      </c>
    </row>
    <row r="46" spans="3:12" ht="11.25" customHeight="1">
      <c r="C46" s="198">
        <f t="shared" si="2"/>
        <v>43281</v>
      </c>
      <c r="D46" s="197">
        <f t="shared" si="1"/>
        <v>43326</v>
      </c>
      <c r="E46" s="187" t="e" cm="1">
        <f t="array" ref="E46">IF(Thomson=1,_xll.TR(E$7,E$6,"Sdate=#1 Period=#2 NULL=BLANK",,$D46,"NTM"),E46)</f>
        <v>#NAME?</v>
      </c>
      <c r="F46" s="187" t="e" cm="1">
        <f t="array" ref="F46">IF(Thomson=1,_xll.TR(F$7,F$6,"Sdate=#1 Period=#2 NULL=BLANK",,$D46,"NTM"),F46)</f>
        <v>#NAME?</v>
      </c>
      <c r="G46" s="187" t="e" cm="1">
        <f t="array" ref="G46">IF(Thomson=1,_xll.TR(G$7,G$6,"Sdate=#1 Period=#2 NULL=BLANK",,$D46,"NTM"),G46)</f>
        <v>#NAME?</v>
      </c>
      <c r="H46" s="187" t="e" cm="1">
        <f t="array" ref="H46">IF(Thomson=1,_xll.TR(H$7,H$6,"Sdate=#1 Period=#2 NULL=BLANK",,$D46,"NTM"),H46)</f>
        <v>#NAME?</v>
      </c>
      <c r="I46" s="187" t="e" cm="1">
        <f t="array" ref="I46">IF(Thomson=1,_xll.TR(I$7,I$6,"Sdate=#1 Period=#2 NULL=BLANK",,$D46,"NTM"),I46)</f>
        <v>#NAME?</v>
      </c>
      <c r="J46" s="187" t="e" cm="1">
        <f t="array" ref="J46">IF(Thomson=1,_xll.TR(J$7,J$6,"Sdate=#1 Period=#2 NULL=BLANK",,$D46,"NTM"),J46)</f>
        <v>#NAME?</v>
      </c>
      <c r="K46" s="187" t="e" cm="1">
        <f t="array" ref="K46">IF(Thomson=1,_xll.TR(K$7,K$6,"Sdate=#1 Period=#2 NULL=BLANK",,$D46,"NTM"),K46)</f>
        <v>#NAME?</v>
      </c>
      <c r="L46" s="187" t="e" cm="1">
        <f t="array" ref="L46">IF(Thomson=1,_xll.TR(L$7,L$6,"Sdate=#1 Period=#2 NULL=BLANK",,$D46,"NTM"),L46)</f>
        <v>#NAME?</v>
      </c>
    </row>
    <row r="47" spans="3:12" ht="11.25" customHeight="1">
      <c r="C47" s="199">
        <f t="shared" si="2"/>
        <v>43373</v>
      </c>
      <c r="D47" s="197">
        <f t="shared" si="1"/>
        <v>43418</v>
      </c>
      <c r="E47" s="187" t="e" cm="1">
        <f t="array" ref="E47">IF(Thomson=1,_xll.TR(E$7,E$6,"Sdate=#1 Period=#2 NULL=BLANK",,$D47,"NTM"),E47)</f>
        <v>#NAME?</v>
      </c>
      <c r="F47" s="187" t="e" cm="1">
        <f t="array" ref="F47">IF(Thomson=1,_xll.TR(F$7,F$6,"Sdate=#1 Period=#2 NULL=BLANK",,$D47,"NTM"),F47)</f>
        <v>#NAME?</v>
      </c>
      <c r="G47" s="187" t="e" cm="1">
        <f t="array" ref="G47">IF(Thomson=1,_xll.TR(G$7,G$6,"Sdate=#1 Period=#2 NULL=BLANK",,$D47,"NTM"),G47)</f>
        <v>#NAME?</v>
      </c>
      <c r="H47" s="187" t="e" cm="1">
        <f t="array" ref="H47">IF(Thomson=1,_xll.TR(H$7,H$6,"Sdate=#1 Period=#2 NULL=BLANK",,$D47,"NTM"),H47)</f>
        <v>#NAME?</v>
      </c>
      <c r="I47" s="187" t="e" cm="1">
        <f t="array" ref="I47">IF(Thomson=1,_xll.TR(I$7,I$6,"Sdate=#1 Period=#2 NULL=BLANK",,$D47,"NTM"),I47)</f>
        <v>#NAME?</v>
      </c>
      <c r="J47" s="187" t="e" cm="1">
        <f t="array" ref="J47">IF(Thomson=1,_xll.TR(J$7,J$6,"Sdate=#1 Period=#2 NULL=BLANK",,$D47,"NTM"),J47)</f>
        <v>#NAME?</v>
      </c>
      <c r="K47" s="187" t="e" cm="1">
        <f t="array" ref="K47">IF(Thomson=1,_xll.TR(K$7,K$6,"Sdate=#1 Period=#2 NULL=BLANK",,$D47,"NTM"),K47)</f>
        <v>#NAME?</v>
      </c>
      <c r="L47" s="187" t="e" cm="1">
        <f t="array" ref="L47">IF(Thomson=1,_xll.TR(L$7,L$6,"Sdate=#1 Period=#2 NULL=BLANK",,$D47,"NTM"),L47)</f>
        <v>#NAME?</v>
      </c>
    </row>
    <row r="48" spans="3:12" ht="11.25" customHeight="1">
      <c r="C48" s="200">
        <f t="shared" si="2"/>
        <v>43465</v>
      </c>
      <c r="D48" s="197">
        <f t="shared" si="1"/>
        <v>43510</v>
      </c>
      <c r="E48" s="187" t="e" cm="1">
        <f t="array" ref="E48">IF(Thomson=1,_xll.TR(E$7,E$6,"Sdate=#1 Period=#2 NULL=BLANK",,$D48,"NTM"),E48)</f>
        <v>#NAME?</v>
      </c>
      <c r="F48" s="187" t="e" cm="1">
        <f t="array" ref="F48">IF(Thomson=1,_xll.TR(F$7,F$6,"Sdate=#1 Period=#2 NULL=BLANK",,$D48,"NTM"),F48)</f>
        <v>#NAME?</v>
      </c>
      <c r="G48" s="187" t="e" cm="1">
        <f t="array" ref="G48">IF(Thomson=1,_xll.TR(G$7,G$6,"Sdate=#1 Period=#2 NULL=BLANK",,$D48,"NTM"),G48)</f>
        <v>#NAME?</v>
      </c>
      <c r="H48" s="187" t="e" cm="1">
        <f t="array" ref="H48">IF(Thomson=1,_xll.TR(H$7,H$6,"Sdate=#1 Period=#2 NULL=BLANK",,$D48,"NTM"),H48)</f>
        <v>#NAME?</v>
      </c>
      <c r="I48" s="187" t="e" cm="1">
        <f t="array" ref="I48">IF(Thomson=1,_xll.TR(I$7,I$6,"Sdate=#1 Period=#2 NULL=BLANK",,$D48,"NTM"),I48)</f>
        <v>#NAME?</v>
      </c>
      <c r="J48" s="187" t="e" cm="1">
        <f t="array" ref="J48">IF(Thomson=1,_xll.TR(J$7,J$6,"Sdate=#1 Period=#2 NULL=BLANK",,$D48,"NTM"),J48)</f>
        <v>#NAME?</v>
      </c>
      <c r="K48" s="187" t="e" cm="1">
        <f t="array" ref="K48">IF(Thomson=1,_xll.TR(K$7,K$6,"Sdate=#1 Period=#2 NULL=BLANK",,$D48,"NTM"),K48)</f>
        <v>#NAME?</v>
      </c>
      <c r="L48" s="187" t="e" cm="1">
        <f t="array" ref="L48">IF(Thomson=1,_xll.TR(L$7,L$6,"Sdate=#1 Period=#2 NULL=BLANK",,$D48,"NTM"),L48)</f>
        <v>#NAME?</v>
      </c>
    </row>
    <row r="49" spans="3:12" ht="11.25" customHeight="1">
      <c r="C49" s="196">
        <f t="shared" si="2"/>
        <v>43555</v>
      </c>
      <c r="D49" s="197">
        <f t="shared" si="1"/>
        <v>43600</v>
      </c>
      <c r="E49" s="187" t="e" cm="1">
        <f t="array" ref="E49">IF(Thomson=1,_xll.TR(E$7,E$6,"Sdate=#1 Period=#2 NULL=BLANK",,$D49,"NTM"),E49)</f>
        <v>#NAME?</v>
      </c>
      <c r="F49" s="187" t="e" cm="1">
        <f t="array" ref="F49">IF(Thomson=1,_xll.TR(F$7,F$6,"Sdate=#1 Period=#2 NULL=BLANK",,$D49,"NTM"),F49)</f>
        <v>#NAME?</v>
      </c>
      <c r="G49" s="187" t="e" cm="1">
        <f t="array" ref="G49">IF(Thomson=1,_xll.TR(G$7,G$6,"Sdate=#1 Period=#2 NULL=BLANK",,$D49,"NTM"),G49)</f>
        <v>#NAME?</v>
      </c>
      <c r="H49" s="187" t="e" cm="1">
        <f t="array" ref="H49">IF(Thomson=1,_xll.TR(H$7,H$6,"Sdate=#1 Period=#2 NULL=BLANK",,$D49,"NTM"),H49)</f>
        <v>#NAME?</v>
      </c>
      <c r="I49" s="187" t="e" cm="1">
        <f t="array" ref="I49">IF(Thomson=1,_xll.TR(I$7,I$6,"Sdate=#1 Period=#2 NULL=BLANK",,$D49,"NTM"),I49)</f>
        <v>#NAME?</v>
      </c>
      <c r="J49" s="187" t="e" cm="1">
        <f t="array" ref="J49">IF(Thomson=1,_xll.TR(J$7,J$6,"Sdate=#1 Period=#2 NULL=BLANK",,$D49,"NTM"),J49)</f>
        <v>#NAME?</v>
      </c>
      <c r="K49" s="187" t="e" cm="1">
        <f t="array" ref="K49">IF(Thomson=1,_xll.TR(K$7,K$6,"Sdate=#1 Period=#2 NULL=BLANK",,$D49,"NTM"),K49)</f>
        <v>#NAME?</v>
      </c>
      <c r="L49" s="187" t="e" cm="1">
        <f t="array" ref="L49">IF(Thomson=1,_xll.TR(L$7,L$6,"Sdate=#1 Period=#2 NULL=BLANK",,$D49,"NTM"),L49)</f>
        <v>#NAME?</v>
      </c>
    </row>
    <row r="50" spans="3:12" ht="11.25" customHeight="1">
      <c r="C50" s="198">
        <f t="shared" si="2"/>
        <v>43646</v>
      </c>
      <c r="D50" s="197">
        <f t="shared" si="1"/>
        <v>43691</v>
      </c>
      <c r="E50" s="187" t="e" cm="1">
        <f t="array" ref="E50">IF(Thomson=1,_xll.TR(E$7,E$6,"Sdate=#1 Period=#2 NULL=BLANK",,$D50,"NTM"),E50)</f>
        <v>#NAME?</v>
      </c>
      <c r="F50" s="187" t="e" cm="1">
        <f t="array" ref="F50">IF(Thomson=1,_xll.TR(F$7,F$6,"Sdate=#1 Period=#2 NULL=BLANK",,$D50,"NTM"),F50)</f>
        <v>#NAME?</v>
      </c>
      <c r="G50" s="187" t="e" cm="1">
        <f t="array" ref="G50">IF(Thomson=1,_xll.TR(G$7,G$6,"Sdate=#1 Period=#2 NULL=BLANK",,$D50,"NTM"),G50)</f>
        <v>#NAME?</v>
      </c>
      <c r="H50" s="187" t="e" cm="1">
        <f t="array" ref="H50">IF(Thomson=1,_xll.TR(H$7,H$6,"Sdate=#1 Period=#2 NULL=BLANK",,$D50,"NTM"),H50)</f>
        <v>#NAME?</v>
      </c>
      <c r="I50" s="187" t="e" cm="1">
        <f t="array" ref="I50">IF(Thomson=1,_xll.TR(I$7,I$6,"Sdate=#1 Period=#2 NULL=BLANK",,$D50,"NTM"),I50)</f>
        <v>#NAME?</v>
      </c>
      <c r="J50" s="187" t="e" cm="1">
        <f t="array" ref="J50">IF(Thomson=1,_xll.TR(J$7,J$6,"Sdate=#1 Period=#2 NULL=BLANK",,$D50,"NTM"),J50)</f>
        <v>#NAME?</v>
      </c>
      <c r="K50" s="187" t="e" cm="1">
        <f t="array" ref="K50">IF(Thomson=1,_xll.TR(K$7,K$6,"Sdate=#1 Period=#2 NULL=BLANK",,$D50,"NTM"),K50)</f>
        <v>#NAME?</v>
      </c>
      <c r="L50" s="187" t="e" cm="1">
        <f t="array" ref="L50">IF(Thomson=1,_xll.TR(L$7,L$6,"Sdate=#1 Period=#2 NULL=BLANK",,$D50,"NTM"),L50)</f>
        <v>#NAME?</v>
      </c>
    </row>
    <row r="51" spans="3:12">
      <c r="C51" s="199">
        <f t="shared" si="2"/>
        <v>43738</v>
      </c>
      <c r="D51" s="197">
        <f t="shared" si="1"/>
        <v>43783</v>
      </c>
      <c r="E51" s="187" t="e" cm="1">
        <f t="array" ref="E51">IF(Thomson=1,_xll.TR(E$7,E$6,"Sdate=#1 Period=#2 NULL=BLANK",,$D51,"NTM"),E51)</f>
        <v>#NAME?</v>
      </c>
      <c r="F51" s="187" t="e" cm="1">
        <f t="array" ref="F51">IF(Thomson=1,_xll.TR(F$7,F$6,"Sdate=#1 Period=#2 NULL=BLANK",,$D51,"NTM"),F51)</f>
        <v>#NAME?</v>
      </c>
      <c r="G51" s="187" t="e" cm="1">
        <f t="array" ref="G51">IF(Thomson=1,_xll.TR(G$7,G$6,"Sdate=#1 Period=#2 NULL=BLANK",,$D51,"NTM"),G51)</f>
        <v>#NAME?</v>
      </c>
      <c r="H51" s="187" t="e" cm="1">
        <f t="array" ref="H51">IF(Thomson=1,_xll.TR(H$7,H$6,"Sdate=#1 Period=#2 NULL=BLANK",,$D51,"NTM"),H51)</f>
        <v>#NAME?</v>
      </c>
      <c r="I51" s="187" t="e" cm="1">
        <f t="array" ref="I51">IF(Thomson=1,_xll.TR(I$7,I$6,"Sdate=#1 Period=#2 NULL=BLANK",,$D51,"NTM"),I51)</f>
        <v>#NAME?</v>
      </c>
      <c r="J51" s="187" t="e" cm="1">
        <f t="array" ref="J51">IF(Thomson=1,_xll.TR(J$7,J$6,"Sdate=#1 Period=#2 NULL=BLANK",,$D51,"NTM"),J51)</f>
        <v>#NAME?</v>
      </c>
      <c r="K51" s="187" t="e" cm="1">
        <f t="array" ref="K51">IF(Thomson=1,_xll.TR(K$7,K$6,"Sdate=#1 Period=#2 NULL=BLANK",,$D51,"NTM"),K51)</f>
        <v>#NAME?</v>
      </c>
      <c r="L51" s="187" t="e" cm="1">
        <f t="array" ref="L51">IF(Thomson=1,_xll.TR(L$7,L$6,"Sdate=#1 Period=#2 NULL=BLANK",,$D51,"NTM"),L51)</f>
        <v>#NAME?</v>
      </c>
    </row>
    <row r="52" spans="3:12">
      <c r="C52" s="200">
        <f t="shared" si="2"/>
        <v>43830</v>
      </c>
      <c r="D52" s="197">
        <f t="shared" si="1"/>
        <v>43875</v>
      </c>
      <c r="E52" s="187" t="e" cm="1">
        <f t="array" ref="E52">IF(Thomson=1,_xll.TR(E$7,E$6,"Sdate=#1 Period=#2 NULL=BLANK",,$D52,"NTM"),E52)</f>
        <v>#NAME?</v>
      </c>
      <c r="F52" s="187" t="e" cm="1">
        <f t="array" ref="F52">IF(Thomson=1,_xll.TR(F$7,F$6,"Sdate=#1 Period=#2 NULL=BLANK",,$D52,"NTM"),F52)</f>
        <v>#NAME?</v>
      </c>
      <c r="G52" s="187" t="e" cm="1">
        <f t="array" ref="G52">IF(Thomson=1,_xll.TR(G$7,G$6,"Sdate=#1 Period=#2 NULL=BLANK",,$D52,"NTM"),G52)</f>
        <v>#NAME?</v>
      </c>
      <c r="H52" s="187" t="e" cm="1">
        <f t="array" ref="H52">IF(Thomson=1,_xll.TR(H$7,H$6,"Sdate=#1 Period=#2 NULL=BLANK",,$D52,"NTM"),H52)</f>
        <v>#NAME?</v>
      </c>
      <c r="I52" s="187" t="e" cm="1">
        <f t="array" ref="I52">IF(Thomson=1,_xll.TR(I$7,I$6,"Sdate=#1 Period=#2 NULL=BLANK",,$D52,"NTM"),I52)</f>
        <v>#NAME?</v>
      </c>
      <c r="J52" s="187" t="e" cm="1">
        <f t="array" ref="J52">IF(Thomson=1,_xll.TR(J$7,J$6,"Sdate=#1 Period=#2 NULL=BLANK",,$D52,"NTM"),J52)</f>
        <v>#NAME?</v>
      </c>
      <c r="K52" s="187" t="e" cm="1">
        <f t="array" ref="K52">IF(Thomson=1,_xll.TR(K$7,K$6,"Sdate=#1 Period=#2 NULL=BLANK",,$D52,"NTM"),K52)</f>
        <v>#NAME?</v>
      </c>
      <c r="L52" s="187" t="e" cm="1">
        <f t="array" ref="L52">IF(Thomson=1,_xll.TR(L$7,L$6,"Sdate=#1 Period=#2 NULL=BLANK",,$D52,"NTM"),L52)</f>
        <v>#NAME?</v>
      </c>
    </row>
    <row r="53" spans="3:12">
      <c r="C53" s="196">
        <f t="shared" si="2"/>
        <v>43921</v>
      </c>
      <c r="D53" s="197">
        <f t="shared" si="1"/>
        <v>43966</v>
      </c>
      <c r="E53" s="187" t="e" cm="1">
        <f t="array" ref="E53">IF(Thomson=1,_xll.TR(E$7,E$6,"Sdate=#1 Period=#2 NULL=BLANK",,$D53,"NTM"),E53)</f>
        <v>#NAME?</v>
      </c>
      <c r="F53" s="187" t="e" cm="1">
        <f t="array" ref="F53">IF(Thomson=1,_xll.TR(F$7,F$6,"Sdate=#1 Period=#2 NULL=BLANK",,$D53,"NTM"),F53)</f>
        <v>#NAME?</v>
      </c>
      <c r="G53" s="187" t="e" cm="1">
        <f t="array" ref="G53">IF(Thomson=1,_xll.TR(G$7,G$6,"Sdate=#1 Period=#2 NULL=BLANK",,$D53,"NTM"),G53)</f>
        <v>#NAME?</v>
      </c>
      <c r="H53" s="187" t="e" cm="1">
        <f t="array" ref="H53">IF(Thomson=1,_xll.TR(H$7,H$6,"Sdate=#1 Period=#2 NULL=BLANK",,$D53,"NTM"),H53)</f>
        <v>#NAME?</v>
      </c>
      <c r="I53" s="187" t="e" cm="1">
        <f t="array" ref="I53">IF(Thomson=1,_xll.TR(I$7,I$6,"Sdate=#1 Period=#2 NULL=BLANK",,$D53,"NTM"),I53)</f>
        <v>#NAME?</v>
      </c>
      <c r="J53" s="187" t="e" cm="1">
        <f t="array" ref="J53">IF(Thomson=1,_xll.TR(J$7,J$6,"Sdate=#1 Period=#2 NULL=BLANK",,$D53,"NTM"),J53)</f>
        <v>#NAME?</v>
      </c>
      <c r="K53" s="187" t="e" cm="1">
        <f t="array" ref="K53">IF(Thomson=1,_xll.TR(K$7,K$6,"Sdate=#1 Period=#2 NULL=BLANK",,$D53,"NTM"),K53)</f>
        <v>#NAME?</v>
      </c>
      <c r="L53" s="187" t="e" cm="1">
        <f t="array" ref="L53">IF(Thomson=1,_xll.TR(L$7,L$6,"Sdate=#1 Period=#2 NULL=BLANK",,$D53,"NTM"),L53)</f>
        <v>#NAME?</v>
      </c>
    </row>
    <row r="54" spans="3:12">
      <c r="C54" s="198">
        <f t="shared" si="2"/>
        <v>44012</v>
      </c>
      <c r="D54" s="197">
        <f t="shared" si="1"/>
        <v>44057</v>
      </c>
      <c r="E54" s="187" t="e" cm="1">
        <f t="array" ref="E54">IF(Thomson=1,_xll.TR(E$7,E$6,"Sdate=#1 Period=#2 NULL=BLANK",,$D54,"NTM"),E54)</f>
        <v>#NAME?</v>
      </c>
      <c r="F54" s="187" t="e" cm="1">
        <f t="array" ref="F54">IF(Thomson=1,_xll.TR(F$7,F$6,"Sdate=#1 Period=#2 NULL=BLANK",,$D54,"NTM"),F54)</f>
        <v>#NAME?</v>
      </c>
      <c r="G54" s="187" t="e" cm="1">
        <f t="array" ref="G54">IF(Thomson=1,_xll.TR(G$7,G$6,"Sdate=#1 Period=#2 NULL=BLANK",,$D54,"NTM"),G54)</f>
        <v>#NAME?</v>
      </c>
      <c r="H54" s="187" t="e" cm="1">
        <f t="array" ref="H54">IF(Thomson=1,_xll.TR(H$7,H$6,"Sdate=#1 Period=#2 NULL=BLANK",,$D54,"NTM"),H54)</f>
        <v>#NAME?</v>
      </c>
      <c r="I54" s="187" t="e" cm="1">
        <f t="array" ref="I54">IF(Thomson=1,_xll.TR(I$7,I$6,"Sdate=#1 Period=#2 NULL=BLANK",,$D54,"NTM"),I54)</f>
        <v>#NAME?</v>
      </c>
      <c r="J54" s="187" t="e" cm="1">
        <f t="array" ref="J54">IF(Thomson=1,_xll.TR(J$7,J$6,"Sdate=#1 Period=#2 NULL=BLANK",,$D54,"NTM"),J54)</f>
        <v>#NAME?</v>
      </c>
      <c r="K54" s="187" t="e" cm="1">
        <f t="array" ref="K54">IF(Thomson=1,_xll.TR(K$7,K$6,"Sdate=#1 Period=#2 NULL=BLANK",,$D54,"NTM"),K54)</f>
        <v>#NAME?</v>
      </c>
      <c r="L54" s="187" t="e" cm="1">
        <f t="array" ref="L54">IF(Thomson=1,_xll.TR(L$7,L$6,"Sdate=#1 Period=#2 NULL=BLANK",,$D54,"NTM"),L54)</f>
        <v>#NAME?</v>
      </c>
    </row>
    <row r="55" spans="3:12">
      <c r="C55" s="199">
        <f t="shared" si="2"/>
        <v>44104</v>
      </c>
      <c r="D55" s="197">
        <f t="shared" si="1"/>
        <v>44149</v>
      </c>
      <c r="E55" s="187" t="e" cm="1">
        <f t="array" ref="E55">IF(Thomson=1,_xll.TR(E$7,E$6,"Sdate=#1 Period=#2 NULL=BLANK",,$D55,"NTM"),E55)</f>
        <v>#NAME?</v>
      </c>
      <c r="F55" s="187" t="e" cm="1">
        <f t="array" ref="F55">IF(Thomson=1,_xll.TR(F$7,F$6,"Sdate=#1 Period=#2 NULL=BLANK",,$D55,"NTM"),F55)</f>
        <v>#NAME?</v>
      </c>
      <c r="G55" s="187" t="e" cm="1">
        <f t="array" ref="G55">IF(Thomson=1,_xll.TR(G$7,G$6,"Sdate=#1 Period=#2 NULL=BLANK",,$D55,"NTM"),G55)</f>
        <v>#NAME?</v>
      </c>
      <c r="H55" s="187" t="e" cm="1">
        <f t="array" ref="H55">IF(Thomson=1,_xll.TR(H$7,H$6,"Sdate=#1 Period=#2 NULL=BLANK",,$D55,"NTM"),H55)</f>
        <v>#NAME?</v>
      </c>
      <c r="I55" s="187" t="e" cm="1">
        <f t="array" ref="I55">IF(Thomson=1,_xll.TR(I$7,I$6,"Sdate=#1 Period=#2 NULL=BLANK",,$D55,"NTM"),I55)</f>
        <v>#NAME?</v>
      </c>
      <c r="J55" s="187" t="e" cm="1">
        <f t="array" ref="J55">IF(Thomson=1,_xll.TR(J$7,J$6,"Sdate=#1 Period=#2 NULL=BLANK",,$D55,"NTM"),J55)</f>
        <v>#NAME?</v>
      </c>
      <c r="K55" s="187" t="e" cm="1">
        <f t="array" ref="K55">IF(Thomson=1,_xll.TR(K$7,K$6,"Sdate=#1 Period=#2 NULL=BLANK",,$D55,"NTM"),K55)</f>
        <v>#NAME?</v>
      </c>
      <c r="L55" s="187" t="e" cm="1">
        <f t="array" ref="L55">IF(Thomson=1,_xll.TR(L$7,L$6,"Sdate=#1 Period=#2 NULL=BLANK",,$D55,"NTM"),L55)</f>
        <v>#NAME?</v>
      </c>
    </row>
    <row r="56" spans="3:12">
      <c r="C56" s="200">
        <f t="shared" si="2"/>
        <v>44196</v>
      </c>
      <c r="D56" s="197">
        <f t="shared" si="1"/>
        <v>44241</v>
      </c>
      <c r="E56" s="187" t="e" cm="1">
        <f t="array" ref="E56">IF(Thomson=1,_xll.TR(E$7,E$6,"Sdate=#1 Period=#2 NULL=BLANK",,$D56,"NTM"),E56)</f>
        <v>#NAME?</v>
      </c>
      <c r="F56" s="187" t="e" cm="1">
        <f t="array" ref="F56">IF(Thomson=1,_xll.TR(F$7,F$6,"Sdate=#1 Period=#2 NULL=BLANK",,$D56,"NTM"),F56)</f>
        <v>#NAME?</v>
      </c>
      <c r="G56" s="187" t="e" cm="1">
        <f t="array" ref="G56">IF(Thomson=1,_xll.TR(G$7,G$6,"Sdate=#1 Period=#2 NULL=BLANK",,$D56,"NTM"),G56)</f>
        <v>#NAME?</v>
      </c>
      <c r="H56" s="187" t="e" cm="1">
        <f t="array" ref="H56">IF(Thomson=1,_xll.TR(H$7,H$6,"Sdate=#1 Period=#2 NULL=BLANK",,$D56,"NTM"),H56)</f>
        <v>#NAME?</v>
      </c>
      <c r="I56" s="187" t="e" cm="1">
        <f t="array" ref="I56">IF(Thomson=1,_xll.TR(I$7,I$6,"Sdate=#1 Period=#2 NULL=BLANK",,$D56,"NTM"),I56)</f>
        <v>#NAME?</v>
      </c>
      <c r="J56" s="187" t="e" cm="1">
        <f t="array" ref="J56">IF(Thomson=1,_xll.TR(J$7,J$6,"Sdate=#1 Period=#2 NULL=BLANK",,$D56,"NTM"),J56)</f>
        <v>#NAME?</v>
      </c>
      <c r="K56" s="187" t="e" cm="1">
        <f t="array" ref="K56">IF(Thomson=1,_xll.TR(K$7,K$6,"Sdate=#1 Period=#2 NULL=BLANK",,$D56,"NTM"),K56)</f>
        <v>#NAME?</v>
      </c>
      <c r="L56" s="187" t="e" cm="1">
        <f t="array" ref="L56">IF(Thomson=1,_xll.TR(L$7,L$6,"Sdate=#1 Period=#2 NULL=BLANK",,$D56,"NTM"),L56)</f>
        <v>#NAME?</v>
      </c>
    </row>
    <row r="57" spans="3:12">
      <c r="C57" s="196">
        <f t="shared" si="2"/>
        <v>44286</v>
      </c>
      <c r="D57" s="197">
        <f t="shared" si="1"/>
        <v>44331</v>
      </c>
      <c r="E57" s="187" t="e" cm="1">
        <f t="array" ref="E57">IF(Thomson=1,_xll.TR(E$7,E$6,"Sdate=#1 Period=#2 NULL=BLANK",,$D57,"NTM"),E57)</f>
        <v>#NAME?</v>
      </c>
      <c r="F57" s="187" t="e" cm="1">
        <f t="array" ref="F57">IF(Thomson=1,_xll.TR(F$7,F$6,"Sdate=#1 Period=#2 NULL=BLANK",,$D57,"NTM"),F57)</f>
        <v>#NAME?</v>
      </c>
      <c r="G57" s="187" t="e" cm="1">
        <f t="array" ref="G57">IF(Thomson=1,_xll.TR(G$7,G$6,"Sdate=#1 Period=#2 NULL=BLANK",,$D57,"NTM"),G57)</f>
        <v>#NAME?</v>
      </c>
      <c r="H57" s="187" t="e" cm="1">
        <f t="array" ref="H57">IF(Thomson=1,_xll.TR(H$7,H$6,"Sdate=#1 Period=#2 NULL=BLANK",,$D57,"NTM"),H57)</f>
        <v>#NAME?</v>
      </c>
      <c r="I57" s="187" t="e" cm="1">
        <f t="array" ref="I57">IF(Thomson=1,_xll.TR(I$7,I$6,"Sdate=#1 Period=#2 NULL=BLANK",,$D57,"NTM"),I57)</f>
        <v>#NAME?</v>
      </c>
      <c r="J57" s="187" t="e" cm="1">
        <f t="array" ref="J57">IF(Thomson=1,_xll.TR(J$7,J$6,"Sdate=#1 Period=#2 NULL=BLANK",,$D57,"NTM"),J57)</f>
        <v>#NAME?</v>
      </c>
      <c r="K57" s="187" t="e" cm="1">
        <f t="array" ref="K57">IF(Thomson=1,_xll.TR(K$7,K$6,"Sdate=#1 Period=#2 NULL=BLANK",,$D57,"NTM"),K57)</f>
        <v>#NAME?</v>
      </c>
      <c r="L57" s="187" t="e" cm="1">
        <f t="array" ref="L57">IF(Thomson=1,_xll.TR(L$7,L$6,"Sdate=#1 Period=#2 NULL=BLANK",,$D57,"NTM"),L57)</f>
        <v>#NAME?</v>
      </c>
    </row>
    <row r="58" spans="3:12">
      <c r="C58" s="198">
        <f t="shared" si="2"/>
        <v>44377</v>
      </c>
      <c r="D58" s="197">
        <f t="shared" si="1"/>
        <v>44422</v>
      </c>
      <c r="E58" s="187" t="e" cm="1">
        <f t="array" ref="E58">IF(Thomson=1,_xll.TR(E$7,E$6,"Sdate=#1 Period=#2 NULL=BLANK",,$D58,"NTM"),E58)</f>
        <v>#NAME?</v>
      </c>
      <c r="F58" s="187" t="e" cm="1">
        <f t="array" ref="F58">IF(Thomson=1,_xll.TR(F$7,F$6,"Sdate=#1 Period=#2 NULL=BLANK",,$D58,"NTM"),F58)</f>
        <v>#NAME?</v>
      </c>
      <c r="G58" s="187" t="e" cm="1">
        <f t="array" ref="G58">IF(Thomson=1,_xll.TR(G$7,G$6,"Sdate=#1 Period=#2 NULL=BLANK",,$D58,"NTM"),G58)</f>
        <v>#NAME?</v>
      </c>
      <c r="H58" s="187" t="e" cm="1">
        <f t="array" ref="H58">IF(Thomson=1,_xll.TR(H$7,H$6,"Sdate=#1 Period=#2 NULL=BLANK",,$D58,"NTM"),H58)</f>
        <v>#NAME?</v>
      </c>
      <c r="I58" s="187" t="e" cm="1">
        <f t="array" ref="I58">IF(Thomson=1,_xll.TR(I$7,I$6,"Sdate=#1 Period=#2 NULL=BLANK",,$D58,"NTM"),I58)</f>
        <v>#NAME?</v>
      </c>
      <c r="J58" s="187" t="e" cm="1">
        <f t="array" ref="J58">IF(Thomson=1,_xll.TR(J$7,J$6,"Sdate=#1 Period=#2 NULL=BLANK",,$D58,"NTM"),J58)</f>
        <v>#NAME?</v>
      </c>
      <c r="K58" s="187" t="e" cm="1">
        <f t="array" ref="K58">IF(Thomson=1,_xll.TR(K$7,K$6,"Sdate=#1 Period=#2 NULL=BLANK",,$D58,"NTM"),K58)</f>
        <v>#NAME?</v>
      </c>
      <c r="L58" s="187" t="e" cm="1">
        <f t="array" ref="L58">IF(Thomson=1,_xll.TR(L$7,L$6,"Sdate=#1 Period=#2 NULL=BLANK",,$D58,"NTM"),L58)</f>
        <v>#NAME?</v>
      </c>
    </row>
    <row r="59" spans="3:12">
      <c r="C59" s="199">
        <f t="shared" si="2"/>
        <v>44469</v>
      </c>
      <c r="D59" s="197">
        <f t="shared" si="1"/>
        <v>44514</v>
      </c>
      <c r="E59" s="187" t="e" cm="1">
        <f t="array" ref="E59">IF(Thomson=1,_xll.TR(E$7,E$6,"Sdate=#1 Period=#2 NULL=BLANK",,$D59,"NTM"),E59)</f>
        <v>#NAME?</v>
      </c>
      <c r="F59" s="187" t="e" cm="1">
        <f t="array" ref="F59">IF(Thomson=1,_xll.TR(F$7,F$6,"Sdate=#1 Period=#2 NULL=BLANK",,$D59,"NTM"),F59)</f>
        <v>#NAME?</v>
      </c>
      <c r="G59" s="187" t="e" cm="1">
        <f t="array" ref="G59">IF(Thomson=1,_xll.TR(G$7,G$6,"Sdate=#1 Period=#2 NULL=BLANK",,$D59,"NTM"),G59)</f>
        <v>#NAME?</v>
      </c>
      <c r="H59" s="187" t="e" cm="1">
        <f t="array" ref="H59">IF(Thomson=1,_xll.TR(H$7,H$6,"Sdate=#1 Period=#2 NULL=BLANK",,$D59,"NTM"),H59)</f>
        <v>#NAME?</v>
      </c>
      <c r="I59" s="187" t="e" cm="1">
        <f t="array" ref="I59">IF(Thomson=1,_xll.TR(I$7,I$6,"Sdate=#1 Period=#2 NULL=BLANK",,$D59,"NTM"),I59)</f>
        <v>#NAME?</v>
      </c>
      <c r="J59" s="187" t="e" cm="1">
        <f t="array" ref="J59">IF(Thomson=1,_xll.TR(J$7,J$6,"Sdate=#1 Period=#2 NULL=BLANK",,$D59,"NTM"),J59)</f>
        <v>#NAME?</v>
      </c>
      <c r="K59" s="187" t="e" cm="1">
        <f t="array" ref="K59">IF(Thomson=1,_xll.TR(K$7,K$6,"Sdate=#1 Period=#2 NULL=BLANK",,$D59,"NTM"),K59)</f>
        <v>#NAME?</v>
      </c>
      <c r="L59" s="187" t="e" cm="1">
        <f t="array" ref="L59">IF(Thomson=1,_xll.TR(L$7,L$6,"Sdate=#1 Period=#2 NULL=BLANK",,$D59,"NTM"),L59)</f>
        <v>#NAME?</v>
      </c>
    </row>
    <row r="60" spans="3:12">
      <c r="C60" s="200">
        <f t="shared" si="2"/>
        <v>44561</v>
      </c>
      <c r="D60" s="197">
        <f t="shared" si="1"/>
        <v>44606</v>
      </c>
      <c r="E60" s="187" t="e" cm="1">
        <f t="array" ref="E60">IF(Thomson=1,_xll.TR(E$7,E$6,"Sdate=#1 Period=#2 NULL=BLANK",,$D60,"NTM"),E60)</f>
        <v>#NAME?</v>
      </c>
      <c r="F60" s="187" t="e" cm="1">
        <f t="array" ref="F60">IF(Thomson=1,_xll.TR(F$7,F$6,"Sdate=#1 Period=#2 NULL=BLANK",,$D60,"NTM"),F60)</f>
        <v>#NAME?</v>
      </c>
      <c r="G60" s="187" t="e" cm="1">
        <f t="array" ref="G60">IF(Thomson=1,_xll.TR(G$7,G$6,"Sdate=#1 Period=#2 NULL=BLANK",,$D60,"NTM"),G60)</f>
        <v>#NAME?</v>
      </c>
      <c r="H60" s="187" t="e" cm="1">
        <f t="array" ref="H60">IF(Thomson=1,_xll.TR(H$7,H$6,"Sdate=#1 Period=#2 NULL=BLANK",,$D60,"NTM"),H60)</f>
        <v>#NAME?</v>
      </c>
      <c r="I60" s="187" t="e" cm="1">
        <f t="array" ref="I60">IF(Thomson=1,_xll.TR(I$7,I$6,"Sdate=#1 Period=#2 NULL=BLANK",,$D60,"NTM"),I60)</f>
        <v>#NAME?</v>
      </c>
      <c r="J60" s="187" t="e" cm="1">
        <f t="array" ref="J60">IF(Thomson=1,_xll.TR(J$7,J$6,"Sdate=#1 Period=#2 NULL=BLANK",,$D60,"NTM"),J60)</f>
        <v>#NAME?</v>
      </c>
      <c r="K60" s="187" t="e" cm="1">
        <f t="array" ref="K60">IF(Thomson=1,_xll.TR(K$7,K$6,"Sdate=#1 Period=#2 NULL=BLANK",,$D60,"NTM"),K60)</f>
        <v>#NAME?</v>
      </c>
      <c r="L60" s="187" t="e" cm="1">
        <f t="array" ref="L60">IF(Thomson=1,_xll.TR(L$7,L$6,"Sdate=#1 Period=#2 NULL=BLANK",,$D60,"NTM"),L60)</f>
        <v>#NAME?</v>
      </c>
    </row>
  </sheetData>
  <pageMargins left="0.7" right="0.7" top="0.75" bottom="0.75" header="0.3" footer="0.3"/>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793B8-B999-47FB-B5BF-B47EEBF46810}">
  <sheetPr codeName="Sheet15">
    <tabColor theme="7" tint="0.59999389629810485"/>
  </sheetPr>
  <dimension ref="A1:Q64"/>
  <sheetViews>
    <sheetView showGridLines="0" zoomScale="80" zoomScaleNormal="80" workbookViewId="0"/>
  </sheetViews>
  <sheetFormatPr defaultRowHeight="10.5"/>
  <cols>
    <col min="16" max="16" width="4.81640625" customWidth="1"/>
  </cols>
  <sheetData>
    <row r="1" spans="1:1">
      <c r="A1" s="36" t="str">
        <f>'Forward PE'!A1</f>
        <v>1 Yr Forward Multiples</v>
      </c>
    </row>
    <row r="2" spans="1:1">
      <c r="A2" s="189" t="str">
        <f>'Forward PE'!A2</f>
        <v>Forward PE</v>
      </c>
    </row>
    <row r="60" spans="17:17">
      <c r="Q60" s="189"/>
    </row>
    <row r="61" spans="17:17">
      <c r="Q61" s="189"/>
    </row>
    <row r="62" spans="17:17">
      <c r="Q62" s="189"/>
    </row>
    <row r="63" spans="17:17">
      <c r="Q63" s="189"/>
    </row>
    <row r="64" spans="17:17">
      <c r="Q64" s="38"/>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66F95-22DD-499A-B1DC-7FC419685CBD}">
  <sheetPr codeName="Sheet16">
    <tabColor theme="7" tint="0.59999389629810485"/>
  </sheetPr>
  <dimension ref="A1:M60"/>
  <sheetViews>
    <sheetView showGridLines="0" zoomScaleNormal="100" workbookViewId="0">
      <pane xSplit="4" ySplit="11" topLeftCell="E12" activePane="bottomRight" state="frozen"/>
      <selection pane="topRight" activeCell="E7" sqref="E7"/>
      <selection pane="bottomLeft" activeCell="E7" sqref="E7"/>
      <selection pane="bottomRight" activeCell="E12" sqref="E12"/>
    </sheetView>
  </sheetViews>
  <sheetFormatPr defaultColWidth="15.81640625" defaultRowHeight="10.5" outlineLevelRow="1" outlineLevelCol="1"/>
  <cols>
    <col min="1" max="2" width="1.81640625" style="184" customWidth="1"/>
    <col min="3" max="3" width="12.1796875" style="184" bestFit="1" customWidth="1"/>
    <col min="4" max="4" width="12.81640625" style="184" hidden="1" customWidth="1" outlineLevel="1"/>
    <col min="5" max="5" width="15.81640625" style="187" customWidth="1" collapsed="1"/>
    <col min="6" max="12" width="15.81640625" style="187" customWidth="1"/>
    <col min="13" max="13" width="1.81640625" style="187" customWidth="1"/>
  </cols>
  <sheetData>
    <row r="1" spans="1:13" ht="11.25" customHeight="1">
      <c r="A1" s="183" t="s">
        <v>914</v>
      </c>
      <c r="E1" s="184"/>
      <c r="F1" s="184"/>
      <c r="G1" s="184"/>
      <c r="H1" s="184"/>
      <c r="I1" s="184"/>
      <c r="J1" s="184"/>
      <c r="K1" s="184"/>
      <c r="L1" s="184"/>
      <c r="M1" s="184"/>
    </row>
    <row r="2" spans="1:13" ht="11.25" customHeight="1">
      <c r="A2" s="185" t="s">
        <v>1158</v>
      </c>
      <c r="E2" s="184"/>
      <c r="F2" s="184"/>
      <c r="G2" s="184"/>
      <c r="H2" s="184"/>
      <c r="I2" s="184"/>
      <c r="J2" s="184"/>
      <c r="K2" s="184"/>
      <c r="L2" s="184"/>
      <c r="M2" s="184"/>
    </row>
    <row r="3" spans="1:13" ht="11.25" customHeight="1">
      <c r="E3" s="186" t="s">
        <v>500</v>
      </c>
      <c r="F3" s="184"/>
      <c r="H3" s="184"/>
      <c r="I3" s="184"/>
      <c r="J3" s="184"/>
      <c r="K3" s="184"/>
      <c r="L3" s="184"/>
      <c r="M3" s="184"/>
    </row>
    <row r="4" spans="1:13" ht="11.25" customHeight="1">
      <c r="E4" s="186" t="s">
        <v>637</v>
      </c>
      <c r="F4" s="184"/>
      <c r="H4" s="184"/>
      <c r="I4" s="184"/>
      <c r="J4" s="184"/>
      <c r="K4" s="184"/>
      <c r="L4" s="184"/>
      <c r="M4" s="184"/>
    </row>
    <row r="5" spans="1:13" ht="11.25" customHeight="1">
      <c r="E5" s="184"/>
      <c r="F5" s="184"/>
      <c r="G5" s="184"/>
      <c r="H5" s="184"/>
      <c r="I5" s="184"/>
      <c r="J5" s="184"/>
      <c r="K5" s="184"/>
      <c r="L5" s="184"/>
      <c r="M5" s="184"/>
    </row>
    <row r="6" spans="1:13" s="189" customFormat="1" hidden="1" outlineLevel="1">
      <c r="A6" s="185"/>
      <c r="B6" s="185"/>
      <c r="C6" s="185"/>
      <c r="D6" s="188" t="s">
        <v>684</v>
      </c>
      <c r="E6" s="185" t="s">
        <v>1159</v>
      </c>
      <c r="F6" s="185" t="s">
        <v>1159</v>
      </c>
      <c r="G6" s="185" t="s">
        <v>1159</v>
      </c>
      <c r="H6" s="185" t="s">
        <v>1159</v>
      </c>
      <c r="I6" s="185" t="s">
        <v>1159</v>
      </c>
      <c r="J6" s="185" t="s">
        <v>1159</v>
      </c>
      <c r="K6" s="185" t="s">
        <v>1159</v>
      </c>
      <c r="L6" s="185" t="s">
        <v>1159</v>
      </c>
      <c r="M6" s="185"/>
    </row>
    <row r="7" spans="1:13" s="189" customFormat="1" hidden="1" outlineLevel="1">
      <c r="A7" s="185"/>
      <c r="B7" s="185"/>
      <c r="C7" s="185"/>
      <c r="D7" s="188" t="s">
        <v>916</v>
      </c>
      <c r="E7" s="185" t="s">
        <v>917</v>
      </c>
      <c r="F7" s="185" t="s">
        <v>918</v>
      </c>
      <c r="G7" s="185" t="s">
        <v>919</v>
      </c>
      <c r="H7" s="185" t="s">
        <v>920</v>
      </c>
      <c r="I7" s="185" t="s">
        <v>921</v>
      </c>
      <c r="J7" s="185" t="s">
        <v>922</v>
      </c>
      <c r="K7" s="185" t="s">
        <v>923</v>
      </c>
      <c r="L7" s="185" t="s">
        <v>924</v>
      </c>
      <c r="M7" s="185"/>
    </row>
    <row r="8" spans="1:13" ht="11.25" customHeight="1" collapsed="1">
      <c r="E8" s="183"/>
      <c r="F8" s="183"/>
      <c r="G8" s="183"/>
      <c r="H8" s="183"/>
      <c r="I8" s="183"/>
      <c r="J8" s="183"/>
      <c r="K8" s="183"/>
      <c r="L8" s="183"/>
      <c r="M8" s="183"/>
    </row>
    <row r="9" spans="1:13" s="36" customFormat="1" ht="11.25" customHeight="1">
      <c r="A9" s="183"/>
      <c r="B9" s="183"/>
      <c r="C9" s="183"/>
      <c r="D9" s="183"/>
      <c r="E9" s="190" t="s">
        <v>925</v>
      </c>
      <c r="F9" s="190"/>
      <c r="G9" s="190"/>
      <c r="H9" s="190"/>
      <c r="I9" s="190"/>
      <c r="J9" s="190"/>
      <c r="K9" s="190"/>
      <c r="L9" s="190"/>
      <c r="M9" s="183"/>
    </row>
    <row r="10" spans="1:13" ht="5.25" customHeight="1">
      <c r="E10" s="1050"/>
      <c r="F10" s="1051"/>
      <c r="G10" s="184"/>
      <c r="H10" s="184"/>
      <c r="I10" s="184"/>
      <c r="J10" s="184"/>
      <c r="K10" s="184"/>
      <c r="L10" s="184"/>
      <c r="M10" s="183"/>
    </row>
    <row r="11" spans="1:13">
      <c r="A11" s="191"/>
      <c r="B11" s="191"/>
      <c r="C11" s="192" t="s">
        <v>926</v>
      </c>
      <c r="D11" s="192" t="s">
        <v>927</v>
      </c>
      <c r="E11" s="192" t="e" cm="1">
        <f t="array" ref="E11">IF(Thomson=1,_xll.TR(E7,"TR.CommonName"),E11)</f>
        <v>#NAME?</v>
      </c>
      <c r="F11" s="192" t="e" cm="1">
        <f t="array" ref="F11">IF(Thomson=1,_xll.TR(F7,"TR.CommonName"),F11)</f>
        <v>#NAME?</v>
      </c>
      <c r="G11" s="192" t="e" cm="1">
        <f t="array" ref="G11">IF(Thomson=1,_xll.TR(G7,"TR.CommonName"),G11)</f>
        <v>#NAME?</v>
      </c>
      <c r="H11" s="192" t="e" cm="1">
        <f t="array" ref="H11">IF(Thomson=1,_xll.TR(H7,"TR.CommonName"),H11)</f>
        <v>#NAME?</v>
      </c>
      <c r="I11" s="192" t="e" cm="1">
        <f t="array" ref="I11">IF(Thomson=1,_xll.TR(I7,"TR.CommonName"),I11)</f>
        <v>#NAME?</v>
      </c>
      <c r="J11" s="192" t="e" cm="1">
        <f t="array" ref="J11">IF(Thomson=1,_xll.TR(J7,"TR.CommonName"),J11)</f>
        <v>#NAME?</v>
      </c>
      <c r="K11" s="192" t="e" cm="1">
        <f t="array" ref="K11">IF(Thomson=1,_xll.TR(K7,"TR.CommonName"),K11)</f>
        <v>#NAME?</v>
      </c>
      <c r="L11" s="192" t="e" cm="1">
        <f t="array" ref="L11">IF(Thomson=1,_xll.TR(L7,"TR.CommonName"),L11)</f>
        <v>#NAME?</v>
      </c>
      <c r="M11" s="183"/>
    </row>
    <row r="12" spans="1:13" ht="5.25" customHeight="1">
      <c r="A12"/>
      <c r="B12"/>
      <c r="C12"/>
      <c r="D12"/>
      <c r="E12"/>
      <c r="F12"/>
      <c r="G12"/>
      <c r="H12"/>
      <c r="I12"/>
      <c r="J12"/>
      <c r="K12"/>
      <c r="L12"/>
      <c r="M12"/>
    </row>
    <row r="13" spans="1:13" ht="11.25" hidden="1" customHeight="1" outlineLevel="1">
      <c r="A13"/>
      <c r="B13"/>
      <c r="C13" t="s">
        <v>929</v>
      </c>
      <c r="D13"/>
      <c r="E13" s="193">
        <v>0</v>
      </c>
      <c r="F13" s="193">
        <v>0</v>
      </c>
      <c r="G13" s="193">
        <v>0</v>
      </c>
      <c r="H13" s="193">
        <v>0</v>
      </c>
      <c r="I13" s="193">
        <v>0</v>
      </c>
      <c r="J13" s="193">
        <v>0</v>
      </c>
      <c r="K13" s="193">
        <v>0</v>
      </c>
      <c r="L13" s="193">
        <v>0</v>
      </c>
      <c r="M13"/>
    </row>
    <row r="14" spans="1:13" ht="11.25" hidden="1" customHeight="1" outlineLevel="1">
      <c r="A14"/>
      <c r="B14"/>
      <c r="C14" t="s">
        <v>930</v>
      </c>
      <c r="D14"/>
      <c r="E14" s="193">
        <v>30</v>
      </c>
      <c r="F14" s="193">
        <v>30</v>
      </c>
      <c r="G14" s="193">
        <v>30</v>
      </c>
      <c r="H14" s="193">
        <v>30</v>
      </c>
      <c r="I14" s="193">
        <v>30</v>
      </c>
      <c r="J14" s="193">
        <v>30</v>
      </c>
      <c r="K14" s="193">
        <v>30</v>
      </c>
      <c r="L14" s="193">
        <v>30</v>
      </c>
      <c r="M14"/>
    </row>
    <row r="15" spans="1:13" ht="11.25" customHeight="1" collapsed="1">
      <c r="A15"/>
      <c r="B15"/>
      <c r="C15"/>
      <c r="D15"/>
      <c r="E15"/>
      <c r="F15"/>
      <c r="G15"/>
      <c r="H15"/>
      <c r="I15"/>
      <c r="J15"/>
      <c r="K15"/>
      <c r="L15"/>
      <c r="M15"/>
    </row>
    <row r="16" spans="1:13" s="36" customFormat="1" ht="11.25" customHeight="1">
      <c r="C16" s="194" t="s">
        <v>681</v>
      </c>
      <c r="E16" s="195" t="e">
        <f t="shared" ref="E16:L16" si="0">+AVERAGEIFS(E20:E100,E20:E100,"&lt;"&amp;E$14,E20:E100,"&gt;"&amp;E$13)</f>
        <v>#DIV/0!</v>
      </c>
      <c r="F16" s="195" t="e">
        <f t="shared" si="0"/>
        <v>#DIV/0!</v>
      </c>
      <c r="G16" s="195" t="e">
        <f t="shared" si="0"/>
        <v>#DIV/0!</v>
      </c>
      <c r="H16" s="195" t="e">
        <f t="shared" si="0"/>
        <v>#DIV/0!</v>
      </c>
      <c r="I16" s="195" t="e">
        <f t="shared" si="0"/>
        <v>#DIV/0!</v>
      </c>
      <c r="J16" s="195" t="e">
        <f t="shared" si="0"/>
        <v>#DIV/0!</v>
      </c>
      <c r="K16" s="195" t="e">
        <f t="shared" si="0"/>
        <v>#DIV/0!</v>
      </c>
      <c r="L16" s="195" t="e">
        <f t="shared" si="0"/>
        <v>#DIV/0!</v>
      </c>
    </row>
    <row r="17" spans="1:13" s="36" customFormat="1" ht="11.25" customHeight="1">
      <c r="C17" s="194" t="s">
        <v>931</v>
      </c>
      <c r="E17" s="195" t="e" cm="1">
        <f t="array" ref="E17">+E16-_xlfn.STDEV.P(IF(E20:E97&lt;E$14,IF(E20:E97&gt;E$13,E20:E97)))</f>
        <v>#DIV/0!</v>
      </c>
      <c r="F17" s="195" t="e" cm="1">
        <f t="array" ref="F17">+F16-_xlfn.STDEV.P(IF(F20:F97&lt;F$14,IF(F20:F97&gt;F$13,F20:F97)))</f>
        <v>#DIV/0!</v>
      </c>
      <c r="G17" s="195" t="e" cm="1">
        <f t="array" ref="G17">+G16-_xlfn.STDEV.P(IF(G20:G97&lt;G$14,IF(G20:G97&gt;G$13,G20:G97)))</f>
        <v>#DIV/0!</v>
      </c>
      <c r="H17" s="195" t="e" cm="1">
        <f t="array" ref="H17">+H16-_xlfn.STDEV.P(IF(H20:H97&lt;H$14,IF(H20:H97&gt;H$13,H20:H97)))</f>
        <v>#DIV/0!</v>
      </c>
      <c r="I17" s="195" t="e" cm="1">
        <f t="array" ref="I17">+I16-_xlfn.STDEV.P(IF(I20:I97&lt;I$14,IF(I20:I97&gt;I$13,I20:I97)))</f>
        <v>#DIV/0!</v>
      </c>
      <c r="J17" s="195" t="e" cm="1">
        <f t="array" ref="J17">+J16-_xlfn.STDEV.P(IF(J20:J97&lt;J$14,IF(J20:J97&gt;J$13,J20:J97)))</f>
        <v>#DIV/0!</v>
      </c>
      <c r="K17" s="195" t="e" cm="1">
        <f t="array" ref="K17">+K16-_xlfn.STDEV.P(IF(K20:K97&lt;K$14,IF(K20:K97&gt;K$13,K20:K97)))</f>
        <v>#DIV/0!</v>
      </c>
      <c r="L17" s="195" t="e" cm="1">
        <f t="array" ref="L17">+L16-_xlfn.STDEV.P(IF(L20:L97&lt;L$14,IF(L20:L97&gt;L$13,L20:L97)))</f>
        <v>#DIV/0!</v>
      </c>
    </row>
    <row r="18" spans="1:13" s="36" customFormat="1" ht="11.25" customHeight="1">
      <c r="C18" s="194" t="s">
        <v>932</v>
      </c>
      <c r="E18" s="195" t="e" cm="1">
        <f t="array" ref="E18">+E16+_xlfn.STDEV.P(IF(E20:E97&lt;E$14,IF(E20:E97&gt;E$13,E20:E97)))</f>
        <v>#DIV/0!</v>
      </c>
      <c r="F18" s="195" t="e" cm="1">
        <f t="array" ref="F18">+F16+_xlfn.STDEV.P(IF(F20:F97&lt;F$14,IF(F20:F97&gt;F$13,F20:F97)))</f>
        <v>#DIV/0!</v>
      </c>
      <c r="G18" s="195" t="e" cm="1">
        <f t="array" ref="G18">+G16+_xlfn.STDEV.P(IF(G20:G97&lt;G$14,IF(G20:G97&gt;G$13,G20:G97)))</f>
        <v>#DIV/0!</v>
      </c>
      <c r="H18" s="195" t="e" cm="1">
        <f t="array" ref="H18">+H16+_xlfn.STDEV.P(IF(H20:H97&lt;H$14,IF(H20:H97&gt;H$13,H20:H97)))</f>
        <v>#DIV/0!</v>
      </c>
      <c r="I18" s="195" t="e" cm="1">
        <f t="array" ref="I18">+I16+_xlfn.STDEV.P(IF(I20:I97&lt;I$14,IF(I20:I97&gt;I$13,I20:I97)))</f>
        <v>#DIV/0!</v>
      </c>
      <c r="J18" s="195" t="e" cm="1">
        <f t="array" ref="J18">+J16+_xlfn.STDEV.P(IF(J20:J97&lt;J$14,IF(J20:J97&gt;J$13,J20:J97)))</f>
        <v>#DIV/0!</v>
      </c>
      <c r="K18" s="195" t="e" cm="1">
        <f t="array" ref="K18">+K16+_xlfn.STDEV.P(IF(K20:K97&lt;K$14,IF(K20:K97&gt;K$13,K20:K97)))</f>
        <v>#DIV/0!</v>
      </c>
      <c r="L18" s="195" t="e" cm="1">
        <f t="array" ref="L18">+L16+_xlfn.STDEV.P(IF(L20:L97&lt;L$14,IF(L20:L97&gt;L$13,L20:L97)))</f>
        <v>#DIV/0!</v>
      </c>
    </row>
    <row r="19" spans="1:13" ht="5.25" customHeight="1">
      <c r="A19"/>
      <c r="B19"/>
      <c r="C19"/>
      <c r="D19"/>
      <c r="E19"/>
      <c r="F19"/>
      <c r="G19"/>
      <c r="H19"/>
      <c r="I19"/>
      <c r="J19"/>
      <c r="K19"/>
      <c r="L19"/>
      <c r="M19"/>
    </row>
    <row r="20" spans="1:13" ht="11.25" customHeight="1">
      <c r="C20" s="200">
        <v>40908</v>
      </c>
      <c r="D20" s="197">
        <f>+C20+45</f>
        <v>40953</v>
      </c>
      <c r="E20" s="187" t="e" cm="1">
        <f t="array" ref="E20">IF(Thomson=1,_xll.TR(E$7,E$6,"Sdate=#1 Period=#2 NULL=BLANK",,$D20,$E$4),E20)</f>
        <v>#NAME?</v>
      </c>
      <c r="F20" s="187" t="e" cm="1">
        <f t="array" ref="F20">IF(Thomson=1,_xll.TR(F$7,F$6,"Sdate=#1 Period=#2 NULL=BLANK",,$D20,$E$4),F20)</f>
        <v>#NAME?</v>
      </c>
      <c r="G20" s="187" t="e" cm="1">
        <f t="array" ref="G20">IF(Thomson=1,_xll.TR(G$7,G$6,"Sdate=#1 Period=#2 NULL=BLANK",,$D20,$E$4),G20)</f>
        <v>#NAME?</v>
      </c>
      <c r="H20" s="187" t="e" cm="1">
        <f t="array" ref="H20">IF(Thomson=1,_xll.TR(H$7,H$6,"Sdate=#1 Period=#2 NULL=BLANK",,$D20,$E$4),H20)</f>
        <v>#NAME?</v>
      </c>
      <c r="I20" s="187" t="e" cm="1">
        <f t="array" ref="I20">IF(Thomson=1,_xll.TR(I$7,I$6,"Sdate=#1 Period=#2 NULL=BLANK",,$D20,$E$4),I20)</f>
        <v>#NAME?</v>
      </c>
      <c r="J20" s="187" t="e" cm="1">
        <f t="array" ref="J20">IF(Thomson=1,_xll.TR(J$7,J$6,"Sdate=#1 Period=#2 NULL=BLANK",,$D20,$E$4),J20)</f>
        <v>#NAME?</v>
      </c>
      <c r="K20" s="187" t="e" cm="1">
        <f t="array" ref="K20">IF(Thomson=1,_xll.TR(K$7,K$6,"Sdate=#1 Period=#2 NULL=BLANK",,$D20,$E$4),K20)</f>
        <v>#NAME?</v>
      </c>
      <c r="L20" s="187" t="e" cm="1">
        <f t="array" ref="L20">IF(Thomson=1,_xll.TR(L$7,L$6,"Sdate=#1 Period=#2 NULL=BLANK",,$D20,$E$4),L20)</f>
        <v>#NAME?</v>
      </c>
    </row>
    <row r="21" spans="1:13" ht="11.25" customHeight="1">
      <c r="C21" s="196">
        <f>+EOMONTH(C20,3)</f>
        <v>40999</v>
      </c>
      <c r="D21" s="197">
        <f t="shared" ref="D21:D59" si="1">+C21+45</f>
        <v>41044</v>
      </c>
      <c r="E21" s="187" t="e" cm="1">
        <f t="array" ref="E21">IF(Thomson=1,_xll.TR(E$7,E$6,"Sdate=#1 Period=#2 NULL=BLANK",,$D21,"NTM"),E21)</f>
        <v>#NAME?</v>
      </c>
      <c r="F21" s="187" t="e" cm="1">
        <f t="array" ref="F21">IF(Thomson=1,_xll.TR(F$7,F$6,"Sdate=#1 Period=#2 NULL=BLANK",,$D21,"NTM"),F21)</f>
        <v>#NAME?</v>
      </c>
      <c r="G21" s="187" t="e" cm="1">
        <f t="array" ref="G21">IF(Thomson=1,_xll.TR(G$7,G$6,"Sdate=#1 Period=#2 NULL=BLANK",,$D21,"NTM"),G21)</f>
        <v>#NAME?</v>
      </c>
      <c r="H21" s="187" t="e" cm="1">
        <f t="array" ref="H21">IF(Thomson=1,_xll.TR(H$7,H$6,"Sdate=#1 Period=#2 NULL=BLANK",,$D21,"NTM"),H21)</f>
        <v>#NAME?</v>
      </c>
      <c r="I21" s="187" t="e" cm="1">
        <f t="array" ref="I21">IF(Thomson=1,_xll.TR(I$7,I$6,"Sdate=#1 Period=#2 NULL=BLANK",,$D21,"NTM"),I21)</f>
        <v>#NAME?</v>
      </c>
      <c r="J21" s="187" t="e" cm="1">
        <f t="array" ref="J21">IF(Thomson=1,_xll.TR(J$7,J$6,"Sdate=#1 Period=#2 NULL=BLANK",,$D21,"NTM"),J21)</f>
        <v>#NAME?</v>
      </c>
      <c r="K21" s="187" t="e" cm="1">
        <f t="array" ref="K21">IF(Thomson=1,_xll.TR(K$7,K$6,"Sdate=#1 Period=#2 NULL=BLANK",,$D21,"NTM"),K21)</f>
        <v>#NAME?</v>
      </c>
      <c r="L21" s="187" t="e" cm="1">
        <f t="array" ref="L21">IF(Thomson=1,_xll.TR(L$7,L$6,"Sdate=#1 Period=#2 NULL=BLANK",,$D21,"NTM"),L21)</f>
        <v>#NAME?</v>
      </c>
    </row>
    <row r="22" spans="1:13" ht="11.25" customHeight="1">
      <c r="C22" s="198">
        <f t="shared" ref="C22:C60" si="2">+EOMONTH(C21,3)</f>
        <v>41090</v>
      </c>
      <c r="D22" s="197">
        <f t="shared" si="1"/>
        <v>41135</v>
      </c>
      <c r="E22" s="187" t="e" cm="1">
        <f t="array" ref="E22">IF(Thomson=1,_xll.TR(E$7,E$6,"Sdate=#1 Period=#2 NULL=BLANK",,$D22,"NTM"),E22)</f>
        <v>#NAME?</v>
      </c>
      <c r="F22" s="187" t="e" cm="1">
        <f t="array" ref="F22">IF(Thomson=1,_xll.TR(F$7,F$6,"Sdate=#1 Period=#2 NULL=BLANK",,$D22,"NTM"),F22)</f>
        <v>#NAME?</v>
      </c>
      <c r="G22" s="187" t="e" cm="1">
        <f t="array" ref="G22">IF(Thomson=1,_xll.TR(G$7,G$6,"Sdate=#1 Period=#2 NULL=BLANK",,$D22,"NTM"),G22)</f>
        <v>#NAME?</v>
      </c>
      <c r="H22" s="187" t="e" cm="1">
        <f t="array" ref="H22">IF(Thomson=1,_xll.TR(H$7,H$6,"Sdate=#1 Period=#2 NULL=BLANK",,$D22,"NTM"),H22)</f>
        <v>#NAME?</v>
      </c>
      <c r="I22" s="187" t="e" cm="1">
        <f t="array" ref="I22">IF(Thomson=1,_xll.TR(I$7,I$6,"Sdate=#1 Period=#2 NULL=BLANK",,$D22,"NTM"),I22)</f>
        <v>#NAME?</v>
      </c>
      <c r="J22" s="187" t="e" cm="1">
        <f t="array" ref="J22">IF(Thomson=1,_xll.TR(J$7,J$6,"Sdate=#1 Period=#2 NULL=BLANK",,$D22,"NTM"),J22)</f>
        <v>#NAME?</v>
      </c>
      <c r="K22" s="187" t="e" cm="1">
        <f t="array" ref="K22">IF(Thomson=1,_xll.TR(K$7,K$6,"Sdate=#1 Period=#2 NULL=BLANK",,$D22,"NTM"),K22)</f>
        <v>#NAME?</v>
      </c>
      <c r="L22" s="187" t="e" cm="1">
        <f t="array" ref="L22">IF(Thomson=1,_xll.TR(L$7,L$6,"Sdate=#1 Period=#2 NULL=BLANK",,$D22,"NTM"),L22)</f>
        <v>#NAME?</v>
      </c>
    </row>
    <row r="23" spans="1:13" ht="11.25" customHeight="1">
      <c r="C23" s="199">
        <f t="shared" si="2"/>
        <v>41182</v>
      </c>
      <c r="D23" s="197">
        <f t="shared" si="1"/>
        <v>41227</v>
      </c>
      <c r="E23" s="187" t="e" cm="1">
        <f t="array" ref="E23">IF(Thomson=1,_xll.TR(E$7,E$6,"Sdate=#1 Period=#2 NULL=BLANK",,$D23,"NTM"),E23)</f>
        <v>#NAME?</v>
      </c>
      <c r="F23" s="187" t="e" cm="1">
        <f t="array" ref="F23">IF(Thomson=1,_xll.TR(F$7,F$6,"Sdate=#1 Period=#2 NULL=BLANK",,$D23,"NTM"),F23)</f>
        <v>#NAME?</v>
      </c>
      <c r="G23" s="187" t="e" cm="1">
        <f t="array" ref="G23">IF(Thomson=1,_xll.TR(G$7,G$6,"Sdate=#1 Period=#2 NULL=BLANK",,$D23,"NTM"),G23)</f>
        <v>#NAME?</v>
      </c>
      <c r="H23" s="187" t="e" cm="1">
        <f t="array" ref="H23">IF(Thomson=1,_xll.TR(H$7,H$6,"Sdate=#1 Period=#2 NULL=BLANK",,$D23,"NTM"),H23)</f>
        <v>#NAME?</v>
      </c>
      <c r="I23" s="187" t="e" cm="1">
        <f t="array" ref="I23">IF(Thomson=1,_xll.TR(I$7,I$6,"Sdate=#1 Period=#2 NULL=BLANK",,$D23,"NTM"),I23)</f>
        <v>#NAME?</v>
      </c>
      <c r="J23" s="187" t="e" cm="1">
        <f t="array" ref="J23">IF(Thomson=1,_xll.TR(J$7,J$6,"Sdate=#1 Period=#2 NULL=BLANK",,$D23,"NTM"),J23)</f>
        <v>#NAME?</v>
      </c>
      <c r="K23" s="187" t="e" cm="1">
        <f t="array" ref="K23">IF(Thomson=1,_xll.TR(K$7,K$6,"Sdate=#1 Period=#2 NULL=BLANK",,$D23,"NTM"),K23)</f>
        <v>#NAME?</v>
      </c>
      <c r="L23" s="187" t="e" cm="1">
        <f t="array" ref="L23">IF(Thomson=1,_xll.TR(L$7,L$6,"Sdate=#1 Period=#2 NULL=BLANK",,$D23,"NTM"),L23)</f>
        <v>#NAME?</v>
      </c>
    </row>
    <row r="24" spans="1:13" ht="11.25" customHeight="1">
      <c r="C24" s="200">
        <f t="shared" si="2"/>
        <v>41274</v>
      </c>
      <c r="D24" s="197">
        <f t="shared" si="1"/>
        <v>41319</v>
      </c>
      <c r="E24" s="187" t="e" cm="1">
        <f t="array" ref="E24">IF(Thomson=1,_xll.TR(E$7,E$6,"Sdate=#1 Period=#2 NULL=BLANK",,$D24,"NTM"),E24)</f>
        <v>#NAME?</v>
      </c>
      <c r="F24" s="187" t="e" cm="1">
        <f t="array" ref="F24">IF(Thomson=1,_xll.TR(F$7,F$6,"Sdate=#1 Period=#2 NULL=BLANK",,$D24,"NTM"),F24)</f>
        <v>#NAME?</v>
      </c>
      <c r="G24" s="187" t="e" cm="1">
        <f t="array" ref="G24">IF(Thomson=1,_xll.TR(G$7,G$6,"Sdate=#1 Period=#2 NULL=BLANK",,$D24,"NTM"),G24)</f>
        <v>#NAME?</v>
      </c>
      <c r="H24" s="187" t="e" cm="1">
        <f t="array" ref="H24">IF(Thomson=1,_xll.TR(H$7,H$6,"Sdate=#1 Period=#2 NULL=BLANK",,$D24,"NTM"),H24)</f>
        <v>#NAME?</v>
      </c>
      <c r="I24" s="187" t="e" cm="1">
        <f t="array" ref="I24">IF(Thomson=1,_xll.TR(I$7,I$6,"Sdate=#1 Period=#2 NULL=BLANK",,$D24,"NTM"),I24)</f>
        <v>#NAME?</v>
      </c>
      <c r="J24" s="187" t="e" cm="1">
        <f t="array" ref="J24">IF(Thomson=1,_xll.TR(J$7,J$6,"Sdate=#1 Period=#2 NULL=BLANK",,$D24,"NTM"),J24)</f>
        <v>#NAME?</v>
      </c>
      <c r="K24" s="187" t="e" cm="1">
        <f t="array" ref="K24">IF(Thomson=1,_xll.TR(K$7,K$6,"Sdate=#1 Period=#2 NULL=BLANK",,$D24,"NTM"),K24)</f>
        <v>#NAME?</v>
      </c>
      <c r="L24" s="187" t="e" cm="1">
        <f t="array" ref="L24">IF(Thomson=1,_xll.TR(L$7,L$6,"Sdate=#1 Period=#2 NULL=BLANK",,$D24,"NTM"),L24)</f>
        <v>#NAME?</v>
      </c>
    </row>
    <row r="25" spans="1:13" ht="11.25" customHeight="1">
      <c r="C25" s="196">
        <f t="shared" si="2"/>
        <v>41364</v>
      </c>
      <c r="D25" s="197">
        <f t="shared" si="1"/>
        <v>41409</v>
      </c>
      <c r="E25" s="187" t="e" cm="1">
        <f t="array" ref="E25">IF(Thomson=1,_xll.TR(E$7,E$6,"Sdate=#1 Period=#2 NULL=BLANK",,$D25,"NTM"),E25)</f>
        <v>#NAME?</v>
      </c>
      <c r="F25" s="187" t="e" cm="1">
        <f t="array" ref="F25">IF(Thomson=1,_xll.TR(F$7,F$6,"Sdate=#1 Period=#2 NULL=BLANK",,$D25,"NTM"),F25)</f>
        <v>#NAME?</v>
      </c>
      <c r="G25" s="187" t="e" cm="1">
        <f t="array" ref="G25">IF(Thomson=1,_xll.TR(G$7,G$6,"Sdate=#1 Period=#2 NULL=BLANK",,$D25,"NTM"),G25)</f>
        <v>#NAME?</v>
      </c>
      <c r="H25" s="187" t="e" cm="1">
        <f t="array" ref="H25">IF(Thomson=1,_xll.TR(H$7,H$6,"Sdate=#1 Period=#2 NULL=BLANK",,$D25,"NTM"),H25)</f>
        <v>#NAME?</v>
      </c>
      <c r="I25" s="187" t="e" cm="1">
        <f t="array" ref="I25">IF(Thomson=1,_xll.TR(I$7,I$6,"Sdate=#1 Period=#2 NULL=BLANK",,$D25,"NTM"),I25)</f>
        <v>#NAME?</v>
      </c>
      <c r="J25" s="187" t="e" cm="1">
        <f t="array" ref="J25">IF(Thomson=1,_xll.TR(J$7,J$6,"Sdate=#1 Period=#2 NULL=BLANK",,$D25,"NTM"),J25)</f>
        <v>#NAME?</v>
      </c>
      <c r="K25" s="187" t="e" cm="1">
        <f t="array" ref="K25">IF(Thomson=1,_xll.TR(K$7,K$6,"Sdate=#1 Period=#2 NULL=BLANK",,$D25,"NTM"),K25)</f>
        <v>#NAME?</v>
      </c>
      <c r="L25" s="187" t="e" cm="1">
        <f t="array" ref="L25">IF(Thomson=1,_xll.TR(L$7,L$6,"Sdate=#1 Period=#2 NULL=BLANK",,$D25,"NTM"),L25)</f>
        <v>#NAME?</v>
      </c>
    </row>
    <row r="26" spans="1:13" ht="11.25" customHeight="1">
      <c r="C26" s="198">
        <f t="shared" si="2"/>
        <v>41455</v>
      </c>
      <c r="D26" s="197">
        <f t="shared" si="1"/>
        <v>41500</v>
      </c>
      <c r="E26" s="187" t="e" cm="1">
        <f t="array" ref="E26">IF(Thomson=1,_xll.TR(E$7,E$6,"Sdate=#1 Period=#2 NULL=BLANK",,$D26,"NTM"),E26)</f>
        <v>#NAME?</v>
      </c>
      <c r="F26" s="187" t="e" cm="1">
        <f t="array" ref="F26">IF(Thomson=1,_xll.TR(F$7,F$6,"Sdate=#1 Period=#2 NULL=BLANK",,$D26,"NTM"),F26)</f>
        <v>#NAME?</v>
      </c>
      <c r="G26" s="187" t="e" cm="1">
        <f t="array" ref="G26">IF(Thomson=1,_xll.TR(G$7,G$6,"Sdate=#1 Period=#2 NULL=BLANK",,$D26,"NTM"),G26)</f>
        <v>#NAME?</v>
      </c>
      <c r="H26" s="187" t="e" cm="1">
        <f t="array" ref="H26">IF(Thomson=1,_xll.TR(H$7,H$6,"Sdate=#1 Period=#2 NULL=BLANK",,$D26,"NTM"),H26)</f>
        <v>#NAME?</v>
      </c>
      <c r="I26" s="187" t="e" cm="1">
        <f t="array" ref="I26">IF(Thomson=1,_xll.TR(I$7,I$6,"Sdate=#1 Period=#2 NULL=BLANK",,$D26,"NTM"),I26)</f>
        <v>#NAME?</v>
      </c>
      <c r="J26" s="187" t="e" cm="1">
        <f t="array" ref="J26">IF(Thomson=1,_xll.TR(J$7,J$6,"Sdate=#1 Period=#2 NULL=BLANK",,$D26,"NTM"),J26)</f>
        <v>#NAME?</v>
      </c>
      <c r="K26" s="187" t="e" cm="1">
        <f t="array" ref="K26">IF(Thomson=1,_xll.TR(K$7,K$6,"Sdate=#1 Period=#2 NULL=BLANK",,$D26,"NTM"),K26)</f>
        <v>#NAME?</v>
      </c>
      <c r="L26" s="187" t="e" cm="1">
        <f t="array" ref="L26">IF(Thomson=1,_xll.TR(L$7,L$6,"Sdate=#1 Period=#2 NULL=BLANK",,$D26,"NTM"),L26)</f>
        <v>#NAME?</v>
      </c>
    </row>
    <row r="27" spans="1:13" ht="11.25" customHeight="1">
      <c r="C27" s="199">
        <f t="shared" si="2"/>
        <v>41547</v>
      </c>
      <c r="D27" s="197">
        <f t="shared" si="1"/>
        <v>41592</v>
      </c>
      <c r="E27" s="187" t="e" cm="1">
        <f t="array" ref="E27">IF(Thomson=1,_xll.TR(E$7,E$6,"Sdate=#1 Period=#2 NULL=BLANK",,$D27,"NTM"),E27)</f>
        <v>#NAME?</v>
      </c>
      <c r="F27" s="187" t="e" cm="1">
        <f t="array" ref="F27">IF(Thomson=1,_xll.TR(F$7,F$6,"Sdate=#1 Period=#2 NULL=BLANK",,$D27,"NTM"),F27)</f>
        <v>#NAME?</v>
      </c>
      <c r="G27" s="187" t="e" cm="1">
        <f t="array" ref="G27">IF(Thomson=1,_xll.TR(G$7,G$6,"Sdate=#1 Period=#2 NULL=BLANK",,$D27,"NTM"),G27)</f>
        <v>#NAME?</v>
      </c>
      <c r="H27" s="187" t="e" cm="1">
        <f t="array" ref="H27">IF(Thomson=1,_xll.TR(H$7,H$6,"Sdate=#1 Period=#2 NULL=BLANK",,$D27,"NTM"),H27)</f>
        <v>#NAME?</v>
      </c>
      <c r="I27" s="187" t="e" cm="1">
        <f t="array" ref="I27">IF(Thomson=1,_xll.TR(I$7,I$6,"Sdate=#1 Period=#2 NULL=BLANK",,$D27,"NTM"),I27)</f>
        <v>#NAME?</v>
      </c>
      <c r="J27" s="187" t="e" cm="1">
        <f t="array" ref="J27">IF(Thomson=1,_xll.TR(J$7,J$6,"Sdate=#1 Period=#2 NULL=BLANK",,$D27,"NTM"),J27)</f>
        <v>#NAME?</v>
      </c>
      <c r="K27" s="187" t="e" cm="1">
        <f t="array" ref="K27">IF(Thomson=1,_xll.TR(K$7,K$6,"Sdate=#1 Period=#2 NULL=BLANK",,$D27,"NTM"),K27)</f>
        <v>#NAME?</v>
      </c>
      <c r="L27" s="187" t="e" cm="1">
        <f t="array" ref="L27">IF(Thomson=1,_xll.TR(L$7,L$6,"Sdate=#1 Period=#2 NULL=BLANK",,$D27,"NTM"),L27)</f>
        <v>#NAME?</v>
      </c>
    </row>
    <row r="28" spans="1:13" ht="11.25" customHeight="1">
      <c r="C28" s="200">
        <f t="shared" si="2"/>
        <v>41639</v>
      </c>
      <c r="D28" s="197">
        <f t="shared" si="1"/>
        <v>41684</v>
      </c>
      <c r="E28" s="187" t="e" cm="1">
        <f t="array" ref="E28">IF(Thomson=1,_xll.TR(E$7,E$6,"Sdate=#1 Period=#2 NULL=BLANK",,$D28,"NTM"),E28)</f>
        <v>#NAME?</v>
      </c>
      <c r="F28" s="187" t="e" cm="1">
        <f t="array" ref="F28">IF(Thomson=1,_xll.TR(F$7,F$6,"Sdate=#1 Period=#2 NULL=BLANK",,$D28,"NTM"),F28)</f>
        <v>#NAME?</v>
      </c>
      <c r="G28" s="187" t="e" cm="1">
        <f t="array" ref="G28">IF(Thomson=1,_xll.TR(G$7,G$6,"Sdate=#1 Period=#2 NULL=BLANK",,$D28,"NTM"),G28)</f>
        <v>#NAME?</v>
      </c>
      <c r="H28" s="187" t="e" cm="1">
        <f t="array" ref="H28">IF(Thomson=1,_xll.TR(H$7,H$6,"Sdate=#1 Period=#2 NULL=BLANK",,$D28,"NTM"),H28)</f>
        <v>#NAME?</v>
      </c>
      <c r="I28" s="187" t="e" cm="1">
        <f t="array" ref="I28">IF(Thomson=1,_xll.TR(I$7,I$6,"Sdate=#1 Period=#2 NULL=BLANK",,$D28,"NTM"),I28)</f>
        <v>#NAME?</v>
      </c>
      <c r="J28" s="187" t="e" cm="1">
        <f t="array" ref="J28">IF(Thomson=1,_xll.TR(J$7,J$6,"Sdate=#1 Period=#2 NULL=BLANK",,$D28,"NTM"),J28)</f>
        <v>#NAME?</v>
      </c>
      <c r="K28" s="187" t="e" cm="1">
        <f t="array" ref="K28">IF(Thomson=1,_xll.TR(K$7,K$6,"Sdate=#1 Period=#2 NULL=BLANK",,$D28,"NTM"),K28)</f>
        <v>#NAME?</v>
      </c>
      <c r="L28" s="187" t="e" cm="1">
        <f t="array" ref="L28">IF(Thomson=1,_xll.TR(L$7,L$6,"Sdate=#1 Period=#2 NULL=BLANK",,$D28,"NTM"),L28)</f>
        <v>#NAME?</v>
      </c>
    </row>
    <row r="29" spans="1:13" ht="11.25" customHeight="1">
      <c r="C29" s="196">
        <f t="shared" si="2"/>
        <v>41729</v>
      </c>
      <c r="D29" s="197">
        <f t="shared" si="1"/>
        <v>41774</v>
      </c>
      <c r="E29" s="187" t="e" cm="1">
        <f t="array" ref="E29">IF(Thomson=1,_xll.TR(E$7,E$6,"Sdate=#1 Period=#2 NULL=BLANK",,$D29,"NTM"),E29)</f>
        <v>#NAME?</v>
      </c>
      <c r="F29" s="187" t="e" cm="1">
        <f t="array" ref="F29">IF(Thomson=1,_xll.TR(F$7,F$6,"Sdate=#1 Period=#2 NULL=BLANK",,$D29,"NTM"),F29)</f>
        <v>#NAME?</v>
      </c>
      <c r="G29" s="187" t="e" cm="1">
        <f t="array" ref="G29">IF(Thomson=1,_xll.TR(G$7,G$6,"Sdate=#1 Period=#2 NULL=BLANK",,$D29,"NTM"),G29)</f>
        <v>#NAME?</v>
      </c>
      <c r="H29" s="187" t="e" cm="1">
        <f t="array" ref="H29">IF(Thomson=1,_xll.TR(H$7,H$6,"Sdate=#1 Period=#2 NULL=BLANK",,$D29,"NTM"),H29)</f>
        <v>#NAME?</v>
      </c>
      <c r="I29" s="187" t="e" cm="1">
        <f t="array" ref="I29">IF(Thomson=1,_xll.TR(I$7,I$6,"Sdate=#1 Period=#2 NULL=BLANK",,$D29,"NTM"),I29)</f>
        <v>#NAME?</v>
      </c>
      <c r="J29" s="187" t="e" cm="1">
        <f t="array" ref="J29">IF(Thomson=1,_xll.TR(J$7,J$6,"Sdate=#1 Period=#2 NULL=BLANK",,$D29,"NTM"),J29)</f>
        <v>#NAME?</v>
      </c>
      <c r="K29" s="187" t="e" cm="1">
        <f t="array" ref="K29">IF(Thomson=1,_xll.TR(K$7,K$6,"Sdate=#1 Period=#2 NULL=BLANK",,$D29,"NTM"),K29)</f>
        <v>#NAME?</v>
      </c>
      <c r="L29" s="187" t="e" cm="1">
        <f t="array" ref="L29">IF(Thomson=1,_xll.TR(L$7,L$6,"Sdate=#1 Period=#2 NULL=BLANK",,$D29,"NTM"),L29)</f>
        <v>#NAME?</v>
      </c>
    </row>
    <row r="30" spans="1:13" ht="11.25" customHeight="1">
      <c r="C30" s="198">
        <f t="shared" si="2"/>
        <v>41820</v>
      </c>
      <c r="D30" s="197">
        <f t="shared" si="1"/>
        <v>41865</v>
      </c>
      <c r="E30" s="187" t="e" cm="1">
        <f t="array" ref="E30">IF(Thomson=1,_xll.TR(E$7,E$6,"Sdate=#1 Period=#2 NULL=BLANK",,$D30,"NTM"),E30)</f>
        <v>#NAME?</v>
      </c>
      <c r="F30" s="187" t="e" cm="1">
        <f t="array" ref="F30">IF(Thomson=1,_xll.TR(F$7,F$6,"Sdate=#1 Period=#2 NULL=BLANK",,$D30,"NTM"),F30)</f>
        <v>#NAME?</v>
      </c>
      <c r="G30" s="187" t="e" cm="1">
        <f t="array" ref="G30">IF(Thomson=1,_xll.TR(G$7,G$6,"Sdate=#1 Period=#2 NULL=BLANK",,$D30,"NTM"),G30)</f>
        <v>#NAME?</v>
      </c>
      <c r="H30" s="187" t="e" cm="1">
        <f t="array" ref="H30">IF(Thomson=1,_xll.TR(H$7,H$6,"Sdate=#1 Period=#2 NULL=BLANK",,$D30,"NTM"),H30)</f>
        <v>#NAME?</v>
      </c>
      <c r="I30" s="187" t="e" cm="1">
        <f t="array" ref="I30">IF(Thomson=1,_xll.TR(I$7,I$6,"Sdate=#1 Period=#2 NULL=BLANK",,$D30,"NTM"),I30)</f>
        <v>#NAME?</v>
      </c>
      <c r="J30" s="187" t="e" cm="1">
        <f t="array" ref="J30">IF(Thomson=1,_xll.TR(J$7,J$6,"Sdate=#1 Period=#2 NULL=BLANK",,$D30,"NTM"),J30)</f>
        <v>#NAME?</v>
      </c>
      <c r="K30" s="187" t="e" cm="1">
        <f t="array" ref="K30">IF(Thomson=1,_xll.TR(K$7,K$6,"Sdate=#1 Period=#2 NULL=BLANK",,$D30,"NTM"),K30)</f>
        <v>#NAME?</v>
      </c>
      <c r="L30" s="187" t="e" cm="1">
        <f t="array" ref="L30">IF(Thomson=1,_xll.TR(L$7,L$6,"Sdate=#1 Period=#2 NULL=BLANK",,$D30,"NTM"),L30)</f>
        <v>#NAME?</v>
      </c>
    </row>
    <row r="31" spans="1:13" ht="11.25" customHeight="1">
      <c r="C31" s="199">
        <f t="shared" si="2"/>
        <v>41912</v>
      </c>
      <c r="D31" s="197">
        <f t="shared" si="1"/>
        <v>41957</v>
      </c>
      <c r="E31" s="187" t="e" cm="1">
        <f t="array" ref="E31">IF(Thomson=1,_xll.TR(E$7,E$6,"Sdate=#1 Period=#2 NULL=BLANK",,$D31,"NTM"),E31)</f>
        <v>#NAME?</v>
      </c>
      <c r="F31" s="187" t="e" cm="1">
        <f t="array" ref="F31">IF(Thomson=1,_xll.TR(F$7,F$6,"Sdate=#1 Period=#2 NULL=BLANK",,$D31,"NTM"),F31)</f>
        <v>#NAME?</v>
      </c>
      <c r="G31" s="187" t="e" cm="1">
        <f t="array" ref="G31">IF(Thomson=1,_xll.TR(G$7,G$6,"Sdate=#1 Period=#2 NULL=BLANK",,$D31,"NTM"),G31)</f>
        <v>#NAME?</v>
      </c>
      <c r="H31" s="187" t="e" cm="1">
        <f t="array" ref="H31">IF(Thomson=1,_xll.TR(H$7,H$6,"Sdate=#1 Period=#2 NULL=BLANK",,$D31,"NTM"),H31)</f>
        <v>#NAME?</v>
      </c>
      <c r="I31" s="187" t="e" cm="1">
        <f t="array" ref="I31">IF(Thomson=1,_xll.TR(I$7,I$6,"Sdate=#1 Period=#2 NULL=BLANK",,$D31,"NTM"),I31)</f>
        <v>#NAME?</v>
      </c>
      <c r="J31" s="187" t="e" cm="1">
        <f t="array" ref="J31">IF(Thomson=1,_xll.TR(J$7,J$6,"Sdate=#1 Period=#2 NULL=BLANK",,$D31,"NTM"),J31)</f>
        <v>#NAME?</v>
      </c>
      <c r="K31" s="187" t="e" cm="1">
        <f t="array" ref="K31">IF(Thomson=1,_xll.TR(K$7,K$6,"Sdate=#1 Period=#2 NULL=BLANK",,$D31,"NTM"),K31)</f>
        <v>#NAME?</v>
      </c>
      <c r="L31" s="187" t="e" cm="1">
        <f t="array" ref="L31">IF(Thomson=1,_xll.TR(L$7,L$6,"Sdate=#1 Period=#2 NULL=BLANK",,$D31,"NTM"),L31)</f>
        <v>#NAME?</v>
      </c>
    </row>
    <row r="32" spans="1:13" ht="11.25" customHeight="1">
      <c r="C32" s="200">
        <f t="shared" si="2"/>
        <v>42004</v>
      </c>
      <c r="D32" s="197">
        <f t="shared" si="1"/>
        <v>42049</v>
      </c>
      <c r="E32" s="187" t="e" cm="1">
        <f t="array" ref="E32">IF(Thomson=1,_xll.TR(E$7,E$6,"Sdate=#1 Period=#2 NULL=BLANK",,$D32,"NTM"),E32)</f>
        <v>#NAME?</v>
      </c>
      <c r="F32" s="187" t="e" cm="1">
        <f t="array" ref="F32">IF(Thomson=1,_xll.TR(F$7,F$6,"Sdate=#1 Period=#2 NULL=BLANK",,$D32,"NTM"),F32)</f>
        <v>#NAME?</v>
      </c>
      <c r="G32" s="187" t="e" cm="1">
        <f t="array" ref="G32">IF(Thomson=1,_xll.TR(G$7,G$6,"Sdate=#1 Period=#2 NULL=BLANK",,$D32,"NTM"),G32)</f>
        <v>#NAME?</v>
      </c>
      <c r="H32" s="187" t="e" cm="1">
        <f t="array" ref="H32">IF(Thomson=1,_xll.TR(H$7,H$6,"Sdate=#1 Period=#2 NULL=BLANK",,$D32,"NTM"),H32)</f>
        <v>#NAME?</v>
      </c>
      <c r="I32" s="187" t="e" cm="1">
        <f t="array" ref="I32">IF(Thomson=1,_xll.TR(I$7,I$6,"Sdate=#1 Period=#2 NULL=BLANK",,$D32,"NTM"),I32)</f>
        <v>#NAME?</v>
      </c>
      <c r="J32" s="187" t="e" cm="1">
        <f t="array" ref="J32">IF(Thomson=1,_xll.TR(J$7,J$6,"Sdate=#1 Period=#2 NULL=BLANK",,$D32,"NTM"),J32)</f>
        <v>#NAME?</v>
      </c>
      <c r="K32" s="187" t="e" cm="1">
        <f t="array" ref="K32">IF(Thomson=1,_xll.TR(K$7,K$6,"Sdate=#1 Period=#2 NULL=BLANK",,$D32,"NTM"),K32)</f>
        <v>#NAME?</v>
      </c>
      <c r="L32" s="187" t="e" cm="1">
        <f t="array" ref="L32">IF(Thomson=1,_xll.TR(L$7,L$6,"Sdate=#1 Period=#2 NULL=BLANK",,$D32,"NTM"),L32)</f>
        <v>#NAME?</v>
      </c>
    </row>
    <row r="33" spans="3:12" ht="11.25" customHeight="1">
      <c r="C33" s="196">
        <f t="shared" si="2"/>
        <v>42094</v>
      </c>
      <c r="D33" s="197">
        <f t="shared" si="1"/>
        <v>42139</v>
      </c>
      <c r="E33" s="187" t="e" cm="1">
        <f t="array" ref="E33">IF(Thomson=1,_xll.TR(E$7,E$6,"Sdate=#1 Period=#2 NULL=BLANK",,$D33,"NTM"),E33)</f>
        <v>#NAME?</v>
      </c>
      <c r="F33" s="187" t="e" cm="1">
        <f t="array" ref="F33">IF(Thomson=1,_xll.TR(F$7,F$6,"Sdate=#1 Period=#2 NULL=BLANK",,$D33,"NTM"),F33)</f>
        <v>#NAME?</v>
      </c>
      <c r="G33" s="187" t="e" cm="1">
        <f t="array" ref="G33">IF(Thomson=1,_xll.TR(G$7,G$6,"Sdate=#1 Period=#2 NULL=BLANK",,$D33,"NTM"),G33)</f>
        <v>#NAME?</v>
      </c>
      <c r="H33" s="187" t="e" cm="1">
        <f t="array" ref="H33">IF(Thomson=1,_xll.TR(H$7,H$6,"Sdate=#1 Period=#2 NULL=BLANK",,$D33,"NTM"),H33)</f>
        <v>#NAME?</v>
      </c>
      <c r="I33" s="187" t="e" cm="1">
        <f t="array" ref="I33">IF(Thomson=1,_xll.TR(I$7,I$6,"Sdate=#1 Period=#2 NULL=BLANK",,$D33,"NTM"),I33)</f>
        <v>#NAME?</v>
      </c>
      <c r="J33" s="187" t="e" cm="1">
        <f t="array" ref="J33">IF(Thomson=1,_xll.TR(J$7,J$6,"Sdate=#1 Period=#2 NULL=BLANK",,$D33,"NTM"),J33)</f>
        <v>#NAME?</v>
      </c>
      <c r="K33" s="187" t="e" cm="1">
        <f t="array" ref="K33">IF(Thomson=1,_xll.TR(K$7,K$6,"Sdate=#1 Period=#2 NULL=BLANK",,$D33,"NTM"),K33)</f>
        <v>#NAME?</v>
      </c>
      <c r="L33" s="187" t="e" cm="1">
        <f t="array" ref="L33">IF(Thomson=1,_xll.TR(L$7,L$6,"Sdate=#1 Period=#2 NULL=BLANK",,$D33,"NTM"),L33)</f>
        <v>#NAME?</v>
      </c>
    </row>
    <row r="34" spans="3:12" ht="11.25" customHeight="1">
      <c r="C34" s="198">
        <f t="shared" si="2"/>
        <v>42185</v>
      </c>
      <c r="D34" s="197">
        <f t="shared" si="1"/>
        <v>42230</v>
      </c>
      <c r="E34" s="187" t="e" cm="1">
        <f t="array" ref="E34">IF(Thomson=1,_xll.TR(E$7,E$6,"Sdate=#1 Period=#2 NULL=BLANK",,$D34,"NTM"),E34)</f>
        <v>#NAME?</v>
      </c>
      <c r="F34" s="187" t="e" cm="1">
        <f t="array" ref="F34">IF(Thomson=1,_xll.TR(F$7,F$6,"Sdate=#1 Period=#2 NULL=BLANK",,$D34,"NTM"),F34)</f>
        <v>#NAME?</v>
      </c>
      <c r="G34" s="187" t="e" cm="1">
        <f t="array" ref="G34">IF(Thomson=1,_xll.TR(G$7,G$6,"Sdate=#1 Period=#2 NULL=BLANK",,$D34,"NTM"),G34)</f>
        <v>#NAME?</v>
      </c>
      <c r="H34" s="187" t="e" cm="1">
        <f t="array" ref="H34">IF(Thomson=1,_xll.TR(H$7,H$6,"Sdate=#1 Period=#2 NULL=BLANK",,$D34,"NTM"),H34)</f>
        <v>#NAME?</v>
      </c>
      <c r="I34" s="187" t="e" cm="1">
        <f t="array" ref="I34">IF(Thomson=1,_xll.TR(I$7,I$6,"Sdate=#1 Period=#2 NULL=BLANK",,$D34,"NTM"),I34)</f>
        <v>#NAME?</v>
      </c>
      <c r="J34" s="187" t="e" cm="1">
        <f t="array" ref="J34">IF(Thomson=1,_xll.TR(J$7,J$6,"Sdate=#1 Period=#2 NULL=BLANK",,$D34,"NTM"),J34)</f>
        <v>#NAME?</v>
      </c>
      <c r="K34" s="187" t="e" cm="1">
        <f t="array" ref="K34">IF(Thomson=1,_xll.TR(K$7,K$6,"Sdate=#1 Period=#2 NULL=BLANK",,$D34,"NTM"),K34)</f>
        <v>#NAME?</v>
      </c>
      <c r="L34" s="187" t="e" cm="1">
        <f t="array" ref="L34">IF(Thomson=1,_xll.TR(L$7,L$6,"Sdate=#1 Period=#2 NULL=BLANK",,$D34,"NTM"),L34)</f>
        <v>#NAME?</v>
      </c>
    </row>
    <row r="35" spans="3:12" ht="11.25" customHeight="1">
      <c r="C35" s="199">
        <f t="shared" si="2"/>
        <v>42277</v>
      </c>
      <c r="D35" s="197">
        <f t="shared" si="1"/>
        <v>42322</v>
      </c>
      <c r="E35" s="187" t="e" cm="1">
        <f t="array" ref="E35">IF(Thomson=1,_xll.TR(E$7,E$6,"Sdate=#1 Period=#2 NULL=BLANK",,$D35,"NTM"),E35)</f>
        <v>#NAME?</v>
      </c>
      <c r="F35" s="187" t="e" cm="1">
        <f t="array" ref="F35">IF(Thomson=1,_xll.TR(F$7,F$6,"Sdate=#1 Period=#2 NULL=BLANK",,$D35,"NTM"),F35)</f>
        <v>#NAME?</v>
      </c>
      <c r="G35" s="187" t="e" cm="1">
        <f t="array" ref="G35">IF(Thomson=1,_xll.TR(G$7,G$6,"Sdate=#1 Period=#2 NULL=BLANK",,$D35,"NTM"),G35)</f>
        <v>#NAME?</v>
      </c>
      <c r="H35" s="187" t="e" cm="1">
        <f t="array" ref="H35">IF(Thomson=1,_xll.TR(H$7,H$6,"Sdate=#1 Period=#2 NULL=BLANK",,$D35,"NTM"),H35)</f>
        <v>#NAME?</v>
      </c>
      <c r="I35" s="187" t="e" cm="1">
        <f t="array" ref="I35">IF(Thomson=1,_xll.TR(I$7,I$6,"Sdate=#1 Period=#2 NULL=BLANK",,$D35,"NTM"),I35)</f>
        <v>#NAME?</v>
      </c>
      <c r="J35" s="187" t="e" cm="1">
        <f t="array" ref="J35">IF(Thomson=1,_xll.TR(J$7,J$6,"Sdate=#1 Period=#2 NULL=BLANK",,$D35,"NTM"),J35)</f>
        <v>#NAME?</v>
      </c>
      <c r="K35" s="187" t="e" cm="1">
        <f t="array" ref="K35">IF(Thomson=1,_xll.TR(K$7,K$6,"Sdate=#1 Period=#2 NULL=BLANK",,$D35,"NTM"),K35)</f>
        <v>#NAME?</v>
      </c>
      <c r="L35" s="187" t="e" cm="1">
        <f t="array" ref="L35">IF(Thomson=1,_xll.TR(L$7,L$6,"Sdate=#1 Period=#2 NULL=BLANK",,$D35,"NTM"),L35)</f>
        <v>#NAME?</v>
      </c>
    </row>
    <row r="36" spans="3:12" ht="11.25" customHeight="1">
      <c r="C36" s="200">
        <f t="shared" si="2"/>
        <v>42369</v>
      </c>
      <c r="D36" s="197">
        <f t="shared" si="1"/>
        <v>42414</v>
      </c>
      <c r="E36" s="187" t="e" cm="1">
        <f t="array" ref="E36">IF(Thomson=1,_xll.TR(E$7,E$6,"Sdate=#1 Period=#2 NULL=BLANK",,$D36,"NTM"),E36)</f>
        <v>#NAME?</v>
      </c>
      <c r="F36" s="187" t="e" cm="1">
        <f t="array" ref="F36">IF(Thomson=1,_xll.TR(F$7,F$6,"Sdate=#1 Period=#2 NULL=BLANK",,$D36,"NTM"),F36)</f>
        <v>#NAME?</v>
      </c>
      <c r="G36" s="187" t="e" cm="1">
        <f t="array" ref="G36">IF(Thomson=1,_xll.TR(G$7,G$6,"Sdate=#1 Period=#2 NULL=BLANK",,$D36,"NTM"),G36)</f>
        <v>#NAME?</v>
      </c>
      <c r="H36" s="187" t="e" cm="1">
        <f t="array" ref="H36">IF(Thomson=1,_xll.TR(H$7,H$6,"Sdate=#1 Period=#2 NULL=BLANK",,$D36,"NTM"),H36)</f>
        <v>#NAME?</v>
      </c>
      <c r="I36" s="187" t="e" cm="1">
        <f t="array" ref="I36">IF(Thomson=1,_xll.TR(I$7,I$6,"Sdate=#1 Period=#2 NULL=BLANK",,$D36,"NTM"),I36)</f>
        <v>#NAME?</v>
      </c>
      <c r="J36" s="187" t="e" cm="1">
        <f t="array" ref="J36">IF(Thomson=1,_xll.TR(J$7,J$6,"Sdate=#1 Period=#2 NULL=BLANK",,$D36,"NTM"),J36)</f>
        <v>#NAME?</v>
      </c>
      <c r="K36" s="187" t="e" cm="1">
        <f t="array" ref="K36">IF(Thomson=1,_xll.TR(K$7,K$6,"Sdate=#1 Period=#2 NULL=BLANK",,$D36,"NTM"),K36)</f>
        <v>#NAME?</v>
      </c>
      <c r="L36" s="187" t="e" cm="1">
        <f t="array" ref="L36">IF(Thomson=1,_xll.TR(L$7,L$6,"Sdate=#1 Period=#2 NULL=BLANK",,$D36,"NTM"),L36)</f>
        <v>#NAME?</v>
      </c>
    </row>
    <row r="37" spans="3:12" ht="11.25" customHeight="1">
      <c r="C37" s="196">
        <f t="shared" si="2"/>
        <v>42460</v>
      </c>
      <c r="D37" s="197">
        <f t="shared" si="1"/>
        <v>42505</v>
      </c>
      <c r="E37" s="187" t="e" cm="1">
        <f t="array" ref="E37">IF(Thomson=1,_xll.TR(E$7,E$6,"Sdate=#1 Period=#2 NULL=BLANK",,$D37,"NTM"),E37)</f>
        <v>#NAME?</v>
      </c>
      <c r="F37" s="187" t="e" cm="1">
        <f t="array" ref="F37">IF(Thomson=1,_xll.TR(F$7,F$6,"Sdate=#1 Period=#2 NULL=BLANK",,$D37,"NTM"),F37)</f>
        <v>#NAME?</v>
      </c>
      <c r="G37" s="187" t="e" cm="1">
        <f t="array" ref="G37">IF(Thomson=1,_xll.TR(G$7,G$6,"Sdate=#1 Period=#2 NULL=BLANK",,$D37,"NTM"),G37)</f>
        <v>#NAME?</v>
      </c>
      <c r="H37" s="187" t="e" cm="1">
        <f t="array" ref="H37">IF(Thomson=1,_xll.TR(H$7,H$6,"Sdate=#1 Period=#2 NULL=BLANK",,$D37,"NTM"),H37)</f>
        <v>#NAME?</v>
      </c>
      <c r="I37" s="187" t="e" cm="1">
        <f t="array" ref="I37">IF(Thomson=1,_xll.TR(I$7,I$6,"Sdate=#1 Period=#2 NULL=BLANK",,$D37,"NTM"),I37)</f>
        <v>#NAME?</v>
      </c>
      <c r="J37" s="187" t="e" cm="1">
        <f t="array" ref="J37">IF(Thomson=1,_xll.TR(J$7,J$6,"Sdate=#1 Period=#2 NULL=BLANK",,$D37,"NTM"),J37)</f>
        <v>#NAME?</v>
      </c>
      <c r="K37" s="187" t="e" cm="1">
        <f t="array" ref="K37">IF(Thomson=1,_xll.TR(K$7,K$6,"Sdate=#1 Period=#2 NULL=BLANK",,$D37,"NTM"),K37)</f>
        <v>#NAME?</v>
      </c>
      <c r="L37" s="187" t="e" cm="1">
        <f t="array" ref="L37">IF(Thomson=1,_xll.TR(L$7,L$6,"Sdate=#1 Period=#2 NULL=BLANK",,$D37,"NTM"),L37)</f>
        <v>#NAME?</v>
      </c>
    </row>
    <row r="38" spans="3:12" ht="11.25" customHeight="1">
      <c r="C38" s="198">
        <f t="shared" si="2"/>
        <v>42551</v>
      </c>
      <c r="D38" s="197">
        <f t="shared" si="1"/>
        <v>42596</v>
      </c>
      <c r="E38" s="187" t="e" cm="1">
        <f t="array" ref="E38">IF(Thomson=1,_xll.TR(E$7,E$6,"Sdate=#1 Period=#2 NULL=BLANK",,$D38,"NTM"),E38)</f>
        <v>#NAME?</v>
      </c>
      <c r="F38" s="187" t="e" cm="1">
        <f t="array" ref="F38">IF(Thomson=1,_xll.TR(F$7,F$6,"Sdate=#1 Period=#2 NULL=BLANK",,$D38,"NTM"),F38)</f>
        <v>#NAME?</v>
      </c>
      <c r="G38" s="187" t="e" cm="1">
        <f t="array" ref="G38">IF(Thomson=1,_xll.TR(G$7,G$6,"Sdate=#1 Period=#2 NULL=BLANK",,$D38,"NTM"),G38)</f>
        <v>#NAME?</v>
      </c>
      <c r="H38" s="187" t="e" cm="1">
        <f t="array" ref="H38">IF(Thomson=1,_xll.TR(H$7,H$6,"Sdate=#1 Period=#2 NULL=BLANK",,$D38,"NTM"),H38)</f>
        <v>#NAME?</v>
      </c>
      <c r="I38" s="187" t="e" cm="1">
        <f t="array" ref="I38">IF(Thomson=1,_xll.TR(I$7,I$6,"Sdate=#1 Period=#2 NULL=BLANK",,$D38,"NTM"),I38)</f>
        <v>#NAME?</v>
      </c>
      <c r="J38" s="187" t="e" cm="1">
        <f t="array" ref="J38">IF(Thomson=1,_xll.TR(J$7,J$6,"Sdate=#1 Period=#2 NULL=BLANK",,$D38,"NTM"),J38)</f>
        <v>#NAME?</v>
      </c>
      <c r="K38" s="187" t="e" cm="1">
        <f t="array" ref="K38">IF(Thomson=1,_xll.TR(K$7,K$6,"Sdate=#1 Period=#2 NULL=BLANK",,$D38,"NTM"),K38)</f>
        <v>#NAME?</v>
      </c>
      <c r="L38" s="187" t="e" cm="1">
        <f t="array" ref="L38">IF(Thomson=1,_xll.TR(L$7,L$6,"Sdate=#1 Period=#2 NULL=BLANK",,$D38,"NTM"),L38)</f>
        <v>#NAME?</v>
      </c>
    </row>
    <row r="39" spans="3:12" ht="11.25" customHeight="1">
      <c r="C39" s="199">
        <f t="shared" si="2"/>
        <v>42643</v>
      </c>
      <c r="D39" s="197">
        <f t="shared" si="1"/>
        <v>42688</v>
      </c>
      <c r="E39" s="187" t="e" cm="1">
        <f t="array" ref="E39">IF(Thomson=1,_xll.TR(E$7,E$6,"Sdate=#1 Period=#2 NULL=BLANK",,$D39,"NTM"),E39)</f>
        <v>#NAME?</v>
      </c>
      <c r="F39" s="187" t="e" cm="1">
        <f t="array" ref="F39">IF(Thomson=1,_xll.TR(F$7,F$6,"Sdate=#1 Period=#2 NULL=BLANK",,$D39,"NTM"),F39)</f>
        <v>#NAME?</v>
      </c>
      <c r="G39" s="187" t="e" cm="1">
        <f t="array" ref="G39">IF(Thomson=1,_xll.TR(G$7,G$6,"Sdate=#1 Period=#2 NULL=BLANK",,$D39,"NTM"),G39)</f>
        <v>#NAME?</v>
      </c>
      <c r="H39" s="187" t="e" cm="1">
        <f t="array" ref="H39">IF(Thomson=1,_xll.TR(H$7,H$6,"Sdate=#1 Period=#2 NULL=BLANK",,$D39,"NTM"),H39)</f>
        <v>#NAME?</v>
      </c>
      <c r="I39" s="187" t="e" cm="1">
        <f t="array" ref="I39">IF(Thomson=1,_xll.TR(I$7,I$6,"Sdate=#1 Period=#2 NULL=BLANK",,$D39,"NTM"),I39)</f>
        <v>#NAME?</v>
      </c>
      <c r="J39" s="187" t="e" cm="1">
        <f t="array" ref="J39">IF(Thomson=1,_xll.TR(J$7,J$6,"Sdate=#1 Period=#2 NULL=BLANK",,$D39,"NTM"),J39)</f>
        <v>#NAME?</v>
      </c>
      <c r="K39" s="187" t="e" cm="1">
        <f t="array" ref="K39">IF(Thomson=1,_xll.TR(K$7,K$6,"Sdate=#1 Period=#2 NULL=BLANK",,$D39,"NTM"),K39)</f>
        <v>#NAME?</v>
      </c>
      <c r="L39" s="187" t="e" cm="1">
        <f t="array" ref="L39">IF(Thomson=1,_xll.TR(L$7,L$6,"Sdate=#1 Period=#2 NULL=BLANK",,$D39,"NTM"),L39)</f>
        <v>#NAME?</v>
      </c>
    </row>
    <row r="40" spans="3:12" ht="11.25" customHeight="1">
      <c r="C40" s="200">
        <f t="shared" si="2"/>
        <v>42735</v>
      </c>
      <c r="D40" s="197">
        <f t="shared" si="1"/>
        <v>42780</v>
      </c>
      <c r="E40" s="187" t="e" cm="1">
        <f t="array" ref="E40">IF(Thomson=1,_xll.TR(E$7,E$6,"Sdate=#1 Period=#2 NULL=BLANK",,$D40,"NTM"),E40)</f>
        <v>#NAME?</v>
      </c>
      <c r="F40" s="187" t="e" cm="1">
        <f t="array" ref="F40">IF(Thomson=1,_xll.TR(F$7,F$6,"Sdate=#1 Period=#2 NULL=BLANK",,$D40,"NTM"),F40)</f>
        <v>#NAME?</v>
      </c>
      <c r="G40" s="187" t="e" cm="1">
        <f t="array" ref="G40">IF(Thomson=1,_xll.TR(G$7,G$6,"Sdate=#1 Period=#2 NULL=BLANK",,$D40,"NTM"),G40)</f>
        <v>#NAME?</v>
      </c>
      <c r="H40" s="187" t="e" cm="1">
        <f t="array" ref="H40">IF(Thomson=1,_xll.TR(H$7,H$6,"Sdate=#1 Period=#2 NULL=BLANK",,$D40,"NTM"),H40)</f>
        <v>#NAME?</v>
      </c>
      <c r="I40" s="187" t="e" cm="1">
        <f t="array" ref="I40">IF(Thomson=1,_xll.TR(I$7,I$6,"Sdate=#1 Period=#2 NULL=BLANK",,$D40,"NTM"),I40)</f>
        <v>#NAME?</v>
      </c>
      <c r="J40" s="187" t="e" cm="1">
        <f t="array" ref="J40">IF(Thomson=1,_xll.TR(J$7,J$6,"Sdate=#1 Period=#2 NULL=BLANK",,$D40,"NTM"),J40)</f>
        <v>#NAME?</v>
      </c>
      <c r="K40" s="187" t="e" cm="1">
        <f t="array" ref="K40">IF(Thomson=1,_xll.TR(K$7,K$6,"Sdate=#1 Period=#2 NULL=BLANK",,$D40,"NTM"),K40)</f>
        <v>#NAME?</v>
      </c>
      <c r="L40" s="187" t="e" cm="1">
        <f t="array" ref="L40">IF(Thomson=1,_xll.TR(L$7,L$6,"Sdate=#1 Period=#2 NULL=BLANK",,$D40,"NTM"),L40)</f>
        <v>#NAME?</v>
      </c>
    </row>
    <row r="41" spans="3:12" ht="11.25" customHeight="1">
      <c r="C41" s="196">
        <f t="shared" si="2"/>
        <v>42825</v>
      </c>
      <c r="D41" s="197">
        <f t="shared" si="1"/>
        <v>42870</v>
      </c>
      <c r="E41" s="187" t="e" cm="1">
        <f t="array" ref="E41">IF(Thomson=1,_xll.TR(E$7,E$6,"Sdate=#1 Period=#2 NULL=BLANK",,$D41,"NTM"),E41)</f>
        <v>#NAME?</v>
      </c>
      <c r="F41" s="187" t="e" cm="1">
        <f t="array" ref="F41">IF(Thomson=1,_xll.TR(F$7,F$6,"Sdate=#1 Period=#2 NULL=BLANK",,$D41,"NTM"),F41)</f>
        <v>#NAME?</v>
      </c>
      <c r="G41" s="187" t="e" cm="1">
        <f t="array" ref="G41">IF(Thomson=1,_xll.TR(G$7,G$6,"Sdate=#1 Period=#2 NULL=BLANK",,$D41,"NTM"),G41)</f>
        <v>#NAME?</v>
      </c>
      <c r="H41" s="187" t="e" cm="1">
        <f t="array" ref="H41">IF(Thomson=1,_xll.TR(H$7,H$6,"Sdate=#1 Period=#2 NULL=BLANK",,$D41,"NTM"),H41)</f>
        <v>#NAME?</v>
      </c>
      <c r="I41" s="187" t="e" cm="1">
        <f t="array" ref="I41">IF(Thomson=1,_xll.TR(I$7,I$6,"Sdate=#1 Period=#2 NULL=BLANK",,$D41,"NTM"),I41)</f>
        <v>#NAME?</v>
      </c>
      <c r="J41" s="187" t="e" cm="1">
        <f t="array" ref="J41">IF(Thomson=1,_xll.TR(J$7,J$6,"Sdate=#1 Period=#2 NULL=BLANK",,$D41,"NTM"),J41)</f>
        <v>#NAME?</v>
      </c>
      <c r="K41" s="187" t="e" cm="1">
        <f t="array" ref="K41">IF(Thomson=1,_xll.TR(K$7,K$6,"Sdate=#1 Period=#2 NULL=BLANK",,$D41,"NTM"),K41)</f>
        <v>#NAME?</v>
      </c>
      <c r="L41" s="187" t="e" cm="1">
        <f t="array" ref="L41">IF(Thomson=1,_xll.TR(L$7,L$6,"Sdate=#1 Period=#2 NULL=BLANK",,$D41,"NTM"),L41)</f>
        <v>#NAME?</v>
      </c>
    </row>
    <row r="42" spans="3:12" ht="11.25" customHeight="1">
      <c r="C42" s="198">
        <f t="shared" si="2"/>
        <v>42916</v>
      </c>
      <c r="D42" s="197">
        <f t="shared" si="1"/>
        <v>42961</v>
      </c>
      <c r="E42" s="187" t="e" cm="1">
        <f t="array" ref="E42">IF(Thomson=1,_xll.TR(E$7,E$6,"Sdate=#1 Period=#2 NULL=BLANK",,$D42,"NTM"),E42)</f>
        <v>#NAME?</v>
      </c>
      <c r="F42" s="187" t="e" cm="1">
        <f t="array" ref="F42">IF(Thomson=1,_xll.TR(F$7,F$6,"Sdate=#1 Period=#2 NULL=BLANK",,$D42,"NTM"),F42)</f>
        <v>#NAME?</v>
      </c>
      <c r="G42" s="187" t="e" cm="1">
        <f t="array" ref="G42">IF(Thomson=1,_xll.TR(G$7,G$6,"Sdate=#1 Period=#2 NULL=BLANK",,$D42,"NTM"),G42)</f>
        <v>#NAME?</v>
      </c>
      <c r="H42" s="187" t="e" cm="1">
        <f t="array" ref="H42">IF(Thomson=1,_xll.TR(H$7,H$6,"Sdate=#1 Period=#2 NULL=BLANK",,$D42,"NTM"),H42)</f>
        <v>#NAME?</v>
      </c>
      <c r="I42" s="187" t="e" cm="1">
        <f t="array" ref="I42">IF(Thomson=1,_xll.TR(I$7,I$6,"Sdate=#1 Period=#2 NULL=BLANK",,$D42,"NTM"),I42)</f>
        <v>#NAME?</v>
      </c>
      <c r="J42" s="187" t="e" cm="1">
        <f t="array" ref="J42">IF(Thomson=1,_xll.TR(J$7,J$6,"Sdate=#1 Period=#2 NULL=BLANK",,$D42,"NTM"),J42)</f>
        <v>#NAME?</v>
      </c>
      <c r="K42" s="187" t="e" cm="1">
        <f t="array" ref="K42">IF(Thomson=1,_xll.TR(K$7,K$6,"Sdate=#1 Period=#2 NULL=BLANK",,$D42,"NTM"),K42)</f>
        <v>#NAME?</v>
      </c>
      <c r="L42" s="187" t="e" cm="1">
        <f t="array" ref="L42">IF(Thomson=1,_xll.TR(L$7,L$6,"Sdate=#1 Period=#2 NULL=BLANK",,$D42,"NTM"),L42)</f>
        <v>#NAME?</v>
      </c>
    </row>
    <row r="43" spans="3:12" ht="11.25" customHeight="1">
      <c r="C43" s="199">
        <f t="shared" si="2"/>
        <v>43008</v>
      </c>
      <c r="D43" s="197">
        <f t="shared" si="1"/>
        <v>43053</v>
      </c>
      <c r="E43" s="187" t="e" cm="1">
        <f t="array" ref="E43">IF(Thomson=1,_xll.TR(E$7,E$6,"Sdate=#1 Period=#2 NULL=BLANK",,$D43,"NTM"),E43)</f>
        <v>#NAME?</v>
      </c>
      <c r="F43" s="187" t="e" cm="1">
        <f t="array" ref="F43">IF(Thomson=1,_xll.TR(F$7,F$6,"Sdate=#1 Period=#2 NULL=BLANK",,$D43,"NTM"),F43)</f>
        <v>#NAME?</v>
      </c>
      <c r="G43" s="187" t="e" cm="1">
        <f t="array" ref="G43">IF(Thomson=1,_xll.TR(G$7,G$6,"Sdate=#1 Period=#2 NULL=BLANK",,$D43,"NTM"),G43)</f>
        <v>#NAME?</v>
      </c>
      <c r="H43" s="187" t="e" cm="1">
        <f t="array" ref="H43">IF(Thomson=1,_xll.TR(H$7,H$6,"Sdate=#1 Period=#2 NULL=BLANK",,$D43,"NTM"),H43)</f>
        <v>#NAME?</v>
      </c>
      <c r="I43" s="187" t="e" cm="1">
        <f t="array" ref="I43">IF(Thomson=1,_xll.TR(I$7,I$6,"Sdate=#1 Period=#2 NULL=BLANK",,$D43,"NTM"),I43)</f>
        <v>#NAME?</v>
      </c>
      <c r="J43" s="187" t="e" cm="1">
        <f t="array" ref="J43">IF(Thomson=1,_xll.TR(J$7,J$6,"Sdate=#1 Period=#2 NULL=BLANK",,$D43,"NTM"),J43)</f>
        <v>#NAME?</v>
      </c>
      <c r="K43" s="187" t="e" cm="1">
        <f t="array" ref="K43">IF(Thomson=1,_xll.TR(K$7,K$6,"Sdate=#1 Period=#2 NULL=BLANK",,$D43,"NTM"),K43)</f>
        <v>#NAME?</v>
      </c>
      <c r="L43" s="187" t="e" cm="1">
        <f t="array" ref="L43">IF(Thomson=1,_xll.TR(L$7,L$6,"Sdate=#1 Period=#2 NULL=BLANK",,$D43,"NTM"),L43)</f>
        <v>#NAME?</v>
      </c>
    </row>
    <row r="44" spans="3:12" ht="11.25" customHeight="1">
      <c r="C44" s="200">
        <f t="shared" si="2"/>
        <v>43100</v>
      </c>
      <c r="D44" s="197">
        <f t="shared" si="1"/>
        <v>43145</v>
      </c>
      <c r="E44" s="187" t="e" cm="1">
        <f t="array" ref="E44">IF(Thomson=1,_xll.TR(E$7,E$6,"Sdate=#1 Period=#2 NULL=BLANK",,$D44,"NTM"),E44)</f>
        <v>#NAME?</v>
      </c>
      <c r="F44" s="187" t="e" cm="1">
        <f t="array" ref="F44">IF(Thomson=1,_xll.TR(F$7,F$6,"Sdate=#1 Period=#2 NULL=BLANK",,$D44,"NTM"),F44)</f>
        <v>#NAME?</v>
      </c>
      <c r="G44" s="187" t="e" cm="1">
        <f t="array" ref="G44">IF(Thomson=1,_xll.TR(G$7,G$6,"Sdate=#1 Period=#2 NULL=BLANK",,$D44,"NTM"),G44)</f>
        <v>#NAME?</v>
      </c>
      <c r="H44" s="187" t="e" cm="1">
        <f t="array" ref="H44">IF(Thomson=1,_xll.TR(H$7,H$6,"Sdate=#1 Period=#2 NULL=BLANK",,$D44,"NTM"),H44)</f>
        <v>#NAME?</v>
      </c>
      <c r="I44" s="187" t="e" cm="1">
        <f t="array" ref="I44">IF(Thomson=1,_xll.TR(I$7,I$6,"Sdate=#1 Period=#2 NULL=BLANK",,$D44,"NTM"),I44)</f>
        <v>#NAME?</v>
      </c>
      <c r="J44" s="187" t="e" cm="1">
        <f t="array" ref="J44">IF(Thomson=1,_xll.TR(J$7,J$6,"Sdate=#1 Period=#2 NULL=BLANK",,$D44,"NTM"),J44)</f>
        <v>#NAME?</v>
      </c>
      <c r="K44" s="187" t="e" cm="1">
        <f t="array" ref="K44">IF(Thomson=1,_xll.TR(K$7,K$6,"Sdate=#1 Period=#2 NULL=BLANK",,$D44,"NTM"),K44)</f>
        <v>#NAME?</v>
      </c>
      <c r="L44" s="187" t="e" cm="1">
        <f t="array" ref="L44">IF(Thomson=1,_xll.TR(L$7,L$6,"Sdate=#1 Period=#2 NULL=BLANK",,$D44,"NTM"),L44)</f>
        <v>#NAME?</v>
      </c>
    </row>
    <row r="45" spans="3:12" ht="11.25" customHeight="1">
      <c r="C45" s="196">
        <f t="shared" si="2"/>
        <v>43190</v>
      </c>
      <c r="D45" s="197">
        <f t="shared" si="1"/>
        <v>43235</v>
      </c>
      <c r="E45" s="187" t="e" cm="1">
        <f t="array" ref="E45">IF(Thomson=1,_xll.TR(E$7,E$6,"Sdate=#1 Period=#2 NULL=BLANK",,$D45,"NTM"),E45)</f>
        <v>#NAME?</v>
      </c>
      <c r="F45" s="187" t="e" cm="1">
        <f t="array" ref="F45">IF(Thomson=1,_xll.TR(F$7,F$6,"Sdate=#1 Period=#2 NULL=BLANK",,$D45,"NTM"),F45)</f>
        <v>#NAME?</v>
      </c>
      <c r="G45" s="187" t="e" cm="1">
        <f t="array" ref="G45">IF(Thomson=1,_xll.TR(G$7,G$6,"Sdate=#1 Period=#2 NULL=BLANK",,$D45,"NTM"),G45)</f>
        <v>#NAME?</v>
      </c>
      <c r="H45" s="187" t="e" cm="1">
        <f t="array" ref="H45">IF(Thomson=1,_xll.TR(H$7,H$6,"Sdate=#1 Period=#2 NULL=BLANK",,$D45,"NTM"),H45)</f>
        <v>#NAME?</v>
      </c>
      <c r="I45" s="187" t="e" cm="1">
        <f t="array" ref="I45">IF(Thomson=1,_xll.TR(I$7,I$6,"Sdate=#1 Period=#2 NULL=BLANK",,$D45,"NTM"),I45)</f>
        <v>#NAME?</v>
      </c>
      <c r="J45" s="187" t="e" cm="1">
        <f t="array" ref="J45">IF(Thomson=1,_xll.TR(J$7,J$6,"Sdate=#1 Period=#2 NULL=BLANK",,$D45,"NTM"),J45)</f>
        <v>#NAME?</v>
      </c>
      <c r="K45" s="187" t="e" cm="1">
        <f t="array" ref="K45">IF(Thomson=1,_xll.TR(K$7,K$6,"Sdate=#1 Period=#2 NULL=BLANK",,$D45,"NTM"),K45)</f>
        <v>#NAME?</v>
      </c>
      <c r="L45" s="187" t="e" cm="1">
        <f t="array" ref="L45">IF(Thomson=1,_xll.TR(L$7,L$6,"Sdate=#1 Period=#2 NULL=BLANK",,$D45,"NTM"),L45)</f>
        <v>#NAME?</v>
      </c>
    </row>
    <row r="46" spans="3:12" ht="11.25" customHeight="1">
      <c r="C46" s="198">
        <f t="shared" si="2"/>
        <v>43281</v>
      </c>
      <c r="D46" s="197">
        <f t="shared" si="1"/>
        <v>43326</v>
      </c>
      <c r="E46" s="187" t="e" cm="1">
        <f t="array" ref="E46">IF(Thomson=1,_xll.TR(E$7,E$6,"Sdate=#1 Period=#2 NULL=BLANK",,$D46,"NTM"),E46)</f>
        <v>#NAME?</v>
      </c>
      <c r="F46" s="187" t="e" cm="1">
        <f t="array" ref="F46">IF(Thomson=1,_xll.TR(F$7,F$6,"Sdate=#1 Period=#2 NULL=BLANK",,$D46,"NTM"),F46)</f>
        <v>#NAME?</v>
      </c>
      <c r="G46" s="187" t="e" cm="1">
        <f t="array" ref="G46">IF(Thomson=1,_xll.TR(G$7,G$6,"Sdate=#1 Period=#2 NULL=BLANK",,$D46,"NTM"),G46)</f>
        <v>#NAME?</v>
      </c>
      <c r="H46" s="187" t="e" cm="1">
        <f t="array" ref="H46">IF(Thomson=1,_xll.TR(H$7,H$6,"Sdate=#1 Period=#2 NULL=BLANK",,$D46,"NTM"),H46)</f>
        <v>#NAME?</v>
      </c>
      <c r="I46" s="187" t="e" cm="1">
        <f t="array" ref="I46">IF(Thomson=1,_xll.TR(I$7,I$6,"Sdate=#1 Period=#2 NULL=BLANK",,$D46,"NTM"),I46)</f>
        <v>#NAME?</v>
      </c>
      <c r="J46" s="187" t="e" cm="1">
        <f t="array" ref="J46">IF(Thomson=1,_xll.TR(J$7,J$6,"Sdate=#1 Period=#2 NULL=BLANK",,$D46,"NTM"),J46)</f>
        <v>#NAME?</v>
      </c>
      <c r="K46" s="187" t="e" cm="1">
        <f t="array" ref="K46">IF(Thomson=1,_xll.TR(K$7,K$6,"Sdate=#1 Period=#2 NULL=BLANK",,$D46,"NTM"),K46)</f>
        <v>#NAME?</v>
      </c>
      <c r="L46" s="187" t="e" cm="1">
        <f t="array" ref="L46">IF(Thomson=1,_xll.TR(L$7,L$6,"Sdate=#1 Period=#2 NULL=BLANK",,$D46,"NTM"),L46)</f>
        <v>#NAME?</v>
      </c>
    </row>
    <row r="47" spans="3:12" ht="11.25" customHeight="1">
      <c r="C47" s="199">
        <f t="shared" si="2"/>
        <v>43373</v>
      </c>
      <c r="D47" s="197">
        <f t="shared" si="1"/>
        <v>43418</v>
      </c>
      <c r="E47" s="187" t="e" cm="1">
        <f t="array" ref="E47">IF(Thomson=1,_xll.TR(E$7,E$6,"Sdate=#1 Period=#2 NULL=BLANK",,$D47,"NTM"),E47)</f>
        <v>#NAME?</v>
      </c>
      <c r="F47" s="187" t="e" cm="1">
        <f t="array" ref="F47">IF(Thomson=1,_xll.TR(F$7,F$6,"Sdate=#1 Period=#2 NULL=BLANK",,$D47,"NTM"),F47)</f>
        <v>#NAME?</v>
      </c>
      <c r="G47" s="187" t="e" cm="1">
        <f t="array" ref="G47">IF(Thomson=1,_xll.TR(G$7,G$6,"Sdate=#1 Period=#2 NULL=BLANK",,$D47,"NTM"),G47)</f>
        <v>#NAME?</v>
      </c>
      <c r="H47" s="187" t="e" cm="1">
        <f t="array" ref="H47">IF(Thomson=1,_xll.TR(H$7,H$6,"Sdate=#1 Period=#2 NULL=BLANK",,$D47,"NTM"),H47)</f>
        <v>#NAME?</v>
      </c>
      <c r="I47" s="187" t="e" cm="1">
        <f t="array" ref="I47">IF(Thomson=1,_xll.TR(I$7,I$6,"Sdate=#1 Period=#2 NULL=BLANK",,$D47,"NTM"),I47)</f>
        <v>#NAME?</v>
      </c>
      <c r="J47" s="187" t="e" cm="1">
        <f t="array" ref="J47">IF(Thomson=1,_xll.TR(J$7,J$6,"Sdate=#1 Period=#2 NULL=BLANK",,$D47,"NTM"),J47)</f>
        <v>#NAME?</v>
      </c>
      <c r="K47" s="187" t="e" cm="1">
        <f t="array" ref="K47">IF(Thomson=1,_xll.TR(K$7,K$6,"Sdate=#1 Period=#2 NULL=BLANK",,$D47,"NTM"),K47)</f>
        <v>#NAME?</v>
      </c>
      <c r="L47" s="187" t="e" cm="1">
        <f t="array" ref="L47">IF(Thomson=1,_xll.TR(L$7,L$6,"Sdate=#1 Period=#2 NULL=BLANK",,$D47,"NTM"),L47)</f>
        <v>#NAME?</v>
      </c>
    </row>
    <row r="48" spans="3:12" ht="11.25" customHeight="1">
      <c r="C48" s="200">
        <f t="shared" si="2"/>
        <v>43465</v>
      </c>
      <c r="D48" s="197">
        <f t="shared" si="1"/>
        <v>43510</v>
      </c>
      <c r="E48" s="187" t="e" cm="1">
        <f t="array" ref="E48">IF(Thomson=1,_xll.TR(E$7,E$6,"Sdate=#1 Period=#2 NULL=BLANK",,$D48,"NTM"),E48)</f>
        <v>#NAME?</v>
      </c>
      <c r="F48" s="187" t="e" cm="1">
        <f t="array" ref="F48">IF(Thomson=1,_xll.TR(F$7,F$6,"Sdate=#1 Period=#2 NULL=BLANK",,$D48,"NTM"),F48)</f>
        <v>#NAME?</v>
      </c>
      <c r="G48" s="187" t="e" cm="1">
        <f t="array" ref="G48">IF(Thomson=1,_xll.TR(G$7,G$6,"Sdate=#1 Period=#2 NULL=BLANK",,$D48,"NTM"),G48)</f>
        <v>#NAME?</v>
      </c>
      <c r="H48" s="187" t="e" cm="1">
        <f t="array" ref="H48">IF(Thomson=1,_xll.TR(H$7,H$6,"Sdate=#1 Period=#2 NULL=BLANK",,$D48,"NTM"),H48)</f>
        <v>#NAME?</v>
      </c>
      <c r="I48" s="187" t="e" cm="1">
        <f t="array" ref="I48">IF(Thomson=1,_xll.TR(I$7,I$6,"Sdate=#1 Period=#2 NULL=BLANK",,$D48,"NTM"),I48)</f>
        <v>#NAME?</v>
      </c>
      <c r="J48" s="187" t="e" cm="1">
        <f t="array" ref="J48">IF(Thomson=1,_xll.TR(J$7,J$6,"Sdate=#1 Period=#2 NULL=BLANK",,$D48,"NTM"),J48)</f>
        <v>#NAME?</v>
      </c>
      <c r="K48" s="187" t="e" cm="1">
        <f t="array" ref="K48">IF(Thomson=1,_xll.TR(K$7,K$6,"Sdate=#1 Period=#2 NULL=BLANK",,$D48,"NTM"),K48)</f>
        <v>#NAME?</v>
      </c>
      <c r="L48" s="187" t="e" cm="1">
        <f t="array" ref="L48">IF(Thomson=1,_xll.TR(L$7,L$6,"Sdate=#1 Period=#2 NULL=BLANK",,$D48,"NTM"),L48)</f>
        <v>#NAME?</v>
      </c>
    </row>
    <row r="49" spans="3:12" ht="11.25" customHeight="1">
      <c r="C49" s="196">
        <f t="shared" si="2"/>
        <v>43555</v>
      </c>
      <c r="D49" s="197">
        <f t="shared" si="1"/>
        <v>43600</v>
      </c>
      <c r="E49" s="187" t="e" cm="1">
        <f t="array" ref="E49">IF(Thomson=1,_xll.TR(E$7,E$6,"Sdate=#1 Period=#2 NULL=BLANK",,$D49,"NTM"),E49)</f>
        <v>#NAME?</v>
      </c>
      <c r="F49" s="187" t="e" cm="1">
        <f t="array" ref="F49">IF(Thomson=1,_xll.TR(F$7,F$6,"Sdate=#1 Period=#2 NULL=BLANK",,$D49,"NTM"),F49)</f>
        <v>#NAME?</v>
      </c>
      <c r="G49" s="187" t="e" cm="1">
        <f t="array" ref="G49">IF(Thomson=1,_xll.TR(G$7,G$6,"Sdate=#1 Period=#2 NULL=BLANK",,$D49,"NTM"),G49)</f>
        <v>#NAME?</v>
      </c>
      <c r="H49" s="187" t="e" cm="1">
        <f t="array" ref="H49">IF(Thomson=1,_xll.TR(H$7,H$6,"Sdate=#1 Period=#2 NULL=BLANK",,$D49,"NTM"),H49)</f>
        <v>#NAME?</v>
      </c>
      <c r="I49" s="187" t="e" cm="1">
        <f t="array" ref="I49">IF(Thomson=1,_xll.TR(I$7,I$6,"Sdate=#1 Period=#2 NULL=BLANK",,$D49,"NTM"),I49)</f>
        <v>#NAME?</v>
      </c>
      <c r="J49" s="187" t="e" cm="1">
        <f t="array" ref="J49">IF(Thomson=1,_xll.TR(J$7,J$6,"Sdate=#1 Period=#2 NULL=BLANK",,$D49,"NTM"),J49)</f>
        <v>#NAME?</v>
      </c>
      <c r="K49" s="187" t="e" cm="1">
        <f t="array" ref="K49">IF(Thomson=1,_xll.TR(K$7,K$6,"Sdate=#1 Period=#2 NULL=BLANK",,$D49,"NTM"),K49)</f>
        <v>#NAME?</v>
      </c>
      <c r="L49" s="187" t="e" cm="1">
        <f t="array" ref="L49">IF(Thomson=1,_xll.TR(L$7,L$6,"Sdate=#1 Period=#2 NULL=BLANK",,$D49,"NTM"),L49)</f>
        <v>#NAME?</v>
      </c>
    </row>
    <row r="50" spans="3:12" ht="11.25" customHeight="1">
      <c r="C50" s="198">
        <f t="shared" si="2"/>
        <v>43646</v>
      </c>
      <c r="D50" s="197">
        <f t="shared" si="1"/>
        <v>43691</v>
      </c>
      <c r="E50" s="187" t="e" cm="1">
        <f t="array" ref="E50">IF(Thomson=1,_xll.TR(E$7,E$6,"Sdate=#1 Period=#2 NULL=BLANK",,$D50,"NTM"),E50)</f>
        <v>#NAME?</v>
      </c>
      <c r="F50" s="187" t="e" cm="1">
        <f t="array" ref="F50">IF(Thomson=1,_xll.TR(F$7,F$6,"Sdate=#1 Period=#2 NULL=BLANK",,$D50,"NTM"),F50)</f>
        <v>#NAME?</v>
      </c>
      <c r="G50" s="187" t="e" cm="1">
        <f t="array" ref="G50">IF(Thomson=1,_xll.TR(G$7,G$6,"Sdate=#1 Period=#2 NULL=BLANK",,$D50,"NTM"),G50)</f>
        <v>#NAME?</v>
      </c>
      <c r="H50" s="187" t="e" cm="1">
        <f t="array" ref="H50">IF(Thomson=1,_xll.TR(H$7,H$6,"Sdate=#1 Period=#2 NULL=BLANK",,$D50,"NTM"),H50)</f>
        <v>#NAME?</v>
      </c>
      <c r="I50" s="187" t="e" cm="1">
        <f t="array" ref="I50">IF(Thomson=1,_xll.TR(I$7,I$6,"Sdate=#1 Period=#2 NULL=BLANK",,$D50,"NTM"),I50)</f>
        <v>#NAME?</v>
      </c>
      <c r="J50" s="187" t="e" cm="1">
        <f t="array" ref="J50">IF(Thomson=1,_xll.TR(J$7,J$6,"Sdate=#1 Period=#2 NULL=BLANK",,$D50,"NTM"),J50)</f>
        <v>#NAME?</v>
      </c>
      <c r="K50" s="187" t="e" cm="1">
        <f t="array" ref="K50">IF(Thomson=1,_xll.TR(K$7,K$6,"Sdate=#1 Period=#2 NULL=BLANK",,$D50,"NTM"),K50)</f>
        <v>#NAME?</v>
      </c>
      <c r="L50" s="187" t="e" cm="1">
        <f t="array" ref="L50">IF(Thomson=1,_xll.TR(L$7,L$6,"Sdate=#1 Period=#2 NULL=BLANK",,$D50,"NTM"),L50)</f>
        <v>#NAME?</v>
      </c>
    </row>
    <row r="51" spans="3:12">
      <c r="C51" s="199">
        <f t="shared" si="2"/>
        <v>43738</v>
      </c>
      <c r="D51" s="197">
        <f t="shared" si="1"/>
        <v>43783</v>
      </c>
      <c r="E51" s="187" t="e" cm="1">
        <f t="array" ref="E51">IF(Thomson=1,_xll.TR(E$7,E$6,"Sdate=#1 Period=#2 NULL=BLANK",,$D51,"NTM"),E51)</f>
        <v>#NAME?</v>
      </c>
      <c r="F51" s="187" t="e" cm="1">
        <f t="array" ref="F51">IF(Thomson=1,_xll.TR(F$7,F$6,"Sdate=#1 Period=#2 NULL=BLANK",,$D51,"NTM"),F51)</f>
        <v>#NAME?</v>
      </c>
      <c r="G51" s="187" t="e" cm="1">
        <f t="array" ref="G51">IF(Thomson=1,_xll.TR(G$7,G$6,"Sdate=#1 Period=#2 NULL=BLANK",,$D51,"NTM"),G51)</f>
        <v>#NAME?</v>
      </c>
      <c r="H51" s="187" t="e" cm="1">
        <f t="array" ref="H51">IF(Thomson=1,_xll.TR(H$7,H$6,"Sdate=#1 Period=#2 NULL=BLANK",,$D51,"NTM"),H51)</f>
        <v>#NAME?</v>
      </c>
      <c r="I51" s="187" t="e" cm="1">
        <f t="array" ref="I51">IF(Thomson=1,_xll.TR(I$7,I$6,"Sdate=#1 Period=#2 NULL=BLANK",,$D51,"NTM"),I51)</f>
        <v>#NAME?</v>
      </c>
      <c r="J51" s="187" t="e" cm="1">
        <f t="array" ref="J51">IF(Thomson=1,_xll.TR(J$7,J$6,"Sdate=#1 Period=#2 NULL=BLANK",,$D51,"NTM"),J51)</f>
        <v>#NAME?</v>
      </c>
      <c r="K51" s="187" t="e" cm="1">
        <f t="array" ref="K51">IF(Thomson=1,_xll.TR(K$7,K$6,"Sdate=#1 Period=#2 NULL=BLANK",,$D51,"NTM"),K51)</f>
        <v>#NAME?</v>
      </c>
      <c r="L51" s="187" t="e" cm="1">
        <f t="array" ref="L51">IF(Thomson=1,_xll.TR(L$7,L$6,"Sdate=#1 Period=#2 NULL=BLANK",,$D51,"NTM"),L51)</f>
        <v>#NAME?</v>
      </c>
    </row>
    <row r="52" spans="3:12">
      <c r="C52" s="200">
        <f t="shared" si="2"/>
        <v>43830</v>
      </c>
      <c r="D52" s="197">
        <f t="shared" si="1"/>
        <v>43875</v>
      </c>
      <c r="E52" s="187" t="e" cm="1">
        <f t="array" ref="E52">IF(Thomson=1,_xll.TR(E$7,E$6,"Sdate=#1 Period=#2 NULL=BLANK",,$D52,"NTM"),E52)</f>
        <v>#NAME?</v>
      </c>
      <c r="F52" s="187" t="e" cm="1">
        <f t="array" ref="F52">IF(Thomson=1,_xll.TR(F$7,F$6,"Sdate=#1 Period=#2 NULL=BLANK",,$D52,"NTM"),F52)</f>
        <v>#NAME?</v>
      </c>
      <c r="G52" s="187" t="e" cm="1">
        <f t="array" ref="G52">IF(Thomson=1,_xll.TR(G$7,G$6,"Sdate=#1 Period=#2 NULL=BLANK",,$D52,"NTM"),G52)</f>
        <v>#NAME?</v>
      </c>
      <c r="H52" s="187" t="e" cm="1">
        <f t="array" ref="H52">IF(Thomson=1,_xll.TR(H$7,H$6,"Sdate=#1 Period=#2 NULL=BLANK",,$D52,"NTM"),H52)</f>
        <v>#NAME?</v>
      </c>
      <c r="I52" s="187" t="e" cm="1">
        <f t="array" ref="I52">IF(Thomson=1,_xll.TR(I$7,I$6,"Sdate=#1 Period=#2 NULL=BLANK",,$D52,"NTM"),I52)</f>
        <v>#NAME?</v>
      </c>
      <c r="J52" s="187" t="e" cm="1">
        <f t="array" ref="J52">IF(Thomson=1,_xll.TR(J$7,J$6,"Sdate=#1 Period=#2 NULL=BLANK",,$D52,"NTM"),J52)</f>
        <v>#NAME?</v>
      </c>
      <c r="K52" s="187" t="e" cm="1">
        <f t="array" ref="K52">IF(Thomson=1,_xll.TR(K$7,K$6,"Sdate=#1 Period=#2 NULL=BLANK",,$D52,"NTM"),K52)</f>
        <v>#NAME?</v>
      </c>
      <c r="L52" s="187" t="e" cm="1">
        <f t="array" ref="L52">IF(Thomson=1,_xll.TR(L$7,L$6,"Sdate=#1 Period=#2 NULL=BLANK",,$D52,"NTM"),L52)</f>
        <v>#NAME?</v>
      </c>
    </row>
    <row r="53" spans="3:12">
      <c r="C53" s="196">
        <f t="shared" si="2"/>
        <v>43921</v>
      </c>
      <c r="D53" s="197">
        <f t="shared" si="1"/>
        <v>43966</v>
      </c>
      <c r="E53" s="187" t="e" cm="1">
        <f t="array" ref="E53">IF(Thomson=1,_xll.TR(E$7,E$6,"Sdate=#1 Period=#2 NULL=BLANK",,$D53,"NTM"),E53)</f>
        <v>#NAME?</v>
      </c>
      <c r="F53" s="187" t="e" cm="1">
        <f t="array" ref="F53">IF(Thomson=1,_xll.TR(F$7,F$6,"Sdate=#1 Period=#2 NULL=BLANK",,$D53,"NTM"),F53)</f>
        <v>#NAME?</v>
      </c>
      <c r="G53" s="187" t="e" cm="1">
        <f t="array" ref="G53">IF(Thomson=1,_xll.TR(G$7,G$6,"Sdate=#1 Period=#2 NULL=BLANK",,$D53,"NTM"),G53)</f>
        <v>#NAME?</v>
      </c>
      <c r="H53" s="187" t="e" cm="1">
        <f t="array" ref="H53">IF(Thomson=1,_xll.TR(H$7,H$6,"Sdate=#1 Period=#2 NULL=BLANK",,$D53,"NTM"),H53)</f>
        <v>#NAME?</v>
      </c>
      <c r="I53" s="187" t="e" cm="1">
        <f t="array" ref="I53">IF(Thomson=1,_xll.TR(I$7,I$6,"Sdate=#1 Period=#2 NULL=BLANK",,$D53,"NTM"),I53)</f>
        <v>#NAME?</v>
      </c>
      <c r="J53" s="187" t="e" cm="1">
        <f t="array" ref="J53">IF(Thomson=1,_xll.TR(J$7,J$6,"Sdate=#1 Period=#2 NULL=BLANK",,$D53,"NTM"),J53)</f>
        <v>#NAME?</v>
      </c>
      <c r="K53" s="187" t="e" cm="1">
        <f t="array" ref="K53">IF(Thomson=1,_xll.TR(K$7,K$6,"Sdate=#1 Period=#2 NULL=BLANK",,$D53,"NTM"),K53)</f>
        <v>#NAME?</v>
      </c>
      <c r="L53" s="187" t="e" cm="1">
        <f t="array" ref="L53">IF(Thomson=1,_xll.TR(L$7,L$6,"Sdate=#1 Period=#2 NULL=BLANK",,$D53,"NTM"),L53)</f>
        <v>#NAME?</v>
      </c>
    </row>
    <row r="54" spans="3:12">
      <c r="C54" s="198">
        <f t="shared" si="2"/>
        <v>44012</v>
      </c>
      <c r="D54" s="197">
        <f t="shared" si="1"/>
        <v>44057</v>
      </c>
      <c r="E54" s="187" t="e" cm="1">
        <f t="array" ref="E54">IF(Thomson=1,_xll.TR(E$7,E$6,"Sdate=#1 Period=#2 NULL=BLANK",,$D54,"NTM"),E54)</f>
        <v>#NAME?</v>
      </c>
      <c r="F54" s="187" t="e" cm="1">
        <f t="array" ref="F54">IF(Thomson=1,_xll.TR(F$7,F$6,"Sdate=#1 Period=#2 NULL=BLANK",,$D54,"NTM"),F54)</f>
        <v>#NAME?</v>
      </c>
      <c r="G54" s="187" t="e" cm="1">
        <f t="array" ref="G54">IF(Thomson=1,_xll.TR(G$7,G$6,"Sdate=#1 Period=#2 NULL=BLANK",,$D54,"NTM"),G54)</f>
        <v>#NAME?</v>
      </c>
      <c r="H54" s="187" t="e" cm="1">
        <f t="array" ref="H54">IF(Thomson=1,_xll.TR(H$7,H$6,"Sdate=#1 Period=#2 NULL=BLANK",,$D54,"NTM"),H54)</f>
        <v>#NAME?</v>
      </c>
      <c r="I54" s="187" t="e" cm="1">
        <f t="array" ref="I54">IF(Thomson=1,_xll.TR(I$7,I$6,"Sdate=#1 Period=#2 NULL=BLANK",,$D54,"NTM"),I54)</f>
        <v>#NAME?</v>
      </c>
      <c r="J54" s="187" t="e" cm="1">
        <f t="array" ref="J54">IF(Thomson=1,_xll.TR(J$7,J$6,"Sdate=#1 Period=#2 NULL=BLANK",,$D54,"NTM"),J54)</f>
        <v>#NAME?</v>
      </c>
      <c r="K54" s="187" t="e" cm="1">
        <f t="array" ref="K54">IF(Thomson=1,_xll.TR(K$7,K$6,"Sdate=#1 Period=#2 NULL=BLANK",,$D54,"NTM"),K54)</f>
        <v>#NAME?</v>
      </c>
      <c r="L54" s="187" t="e" cm="1">
        <f t="array" ref="L54">IF(Thomson=1,_xll.TR(L$7,L$6,"Sdate=#1 Period=#2 NULL=BLANK",,$D54,"NTM"),L54)</f>
        <v>#NAME?</v>
      </c>
    </row>
    <row r="55" spans="3:12">
      <c r="C55" s="199">
        <f t="shared" si="2"/>
        <v>44104</v>
      </c>
      <c r="D55" s="197">
        <f t="shared" si="1"/>
        <v>44149</v>
      </c>
      <c r="E55" s="187" t="e" cm="1">
        <f t="array" ref="E55">IF(Thomson=1,_xll.TR(E$7,E$6,"Sdate=#1 Period=#2 NULL=BLANK",,$D55,"NTM"),E55)</f>
        <v>#NAME?</v>
      </c>
      <c r="F55" s="187" t="e" cm="1">
        <f t="array" ref="F55">IF(Thomson=1,_xll.TR(F$7,F$6,"Sdate=#1 Period=#2 NULL=BLANK",,$D55,"NTM"),F55)</f>
        <v>#NAME?</v>
      </c>
      <c r="G55" s="187" t="e" cm="1">
        <f t="array" ref="G55">IF(Thomson=1,_xll.TR(G$7,G$6,"Sdate=#1 Period=#2 NULL=BLANK",,$D55,"NTM"),G55)</f>
        <v>#NAME?</v>
      </c>
      <c r="H55" s="187" t="e" cm="1">
        <f t="array" ref="H55">IF(Thomson=1,_xll.TR(H$7,H$6,"Sdate=#1 Period=#2 NULL=BLANK",,$D55,"NTM"),H55)</f>
        <v>#NAME?</v>
      </c>
      <c r="I55" s="187" t="e" cm="1">
        <f t="array" ref="I55">IF(Thomson=1,_xll.TR(I$7,I$6,"Sdate=#1 Period=#2 NULL=BLANK",,$D55,"NTM"),I55)</f>
        <v>#NAME?</v>
      </c>
      <c r="J55" s="187" t="e" cm="1">
        <f t="array" ref="J55">IF(Thomson=1,_xll.TR(J$7,J$6,"Sdate=#1 Period=#2 NULL=BLANK",,$D55,"NTM"),J55)</f>
        <v>#NAME?</v>
      </c>
      <c r="K55" s="187" t="e" cm="1">
        <f t="array" ref="K55">IF(Thomson=1,_xll.TR(K$7,K$6,"Sdate=#1 Period=#2 NULL=BLANK",,$D55,"NTM"),K55)</f>
        <v>#NAME?</v>
      </c>
      <c r="L55" s="187" t="e" cm="1">
        <f t="array" ref="L55">IF(Thomson=1,_xll.TR(L$7,L$6,"Sdate=#1 Period=#2 NULL=BLANK",,$D55,"NTM"),L55)</f>
        <v>#NAME?</v>
      </c>
    </row>
    <row r="56" spans="3:12">
      <c r="C56" s="200">
        <f t="shared" si="2"/>
        <v>44196</v>
      </c>
      <c r="D56" s="197">
        <f t="shared" si="1"/>
        <v>44241</v>
      </c>
      <c r="E56" s="187" t="e" cm="1">
        <f t="array" ref="E56">IF(Thomson=1,_xll.TR(E$7,E$6,"Sdate=#1 Period=#2 NULL=BLANK",,$D56,"NTM"),E56)</f>
        <v>#NAME?</v>
      </c>
      <c r="F56" s="187" t="e" cm="1">
        <f t="array" ref="F56">IF(Thomson=1,_xll.TR(F$7,F$6,"Sdate=#1 Period=#2 NULL=BLANK",,$D56,"NTM"),F56)</f>
        <v>#NAME?</v>
      </c>
      <c r="G56" s="187" t="e" cm="1">
        <f t="array" ref="G56">IF(Thomson=1,_xll.TR(G$7,G$6,"Sdate=#1 Period=#2 NULL=BLANK",,$D56,"NTM"),G56)</f>
        <v>#NAME?</v>
      </c>
      <c r="H56" s="187" t="e" cm="1">
        <f t="array" ref="H56">IF(Thomson=1,_xll.TR(H$7,H$6,"Sdate=#1 Period=#2 NULL=BLANK",,$D56,"NTM"),H56)</f>
        <v>#NAME?</v>
      </c>
      <c r="I56" s="187" t="e" cm="1">
        <f t="array" ref="I56">IF(Thomson=1,_xll.TR(I$7,I$6,"Sdate=#1 Period=#2 NULL=BLANK",,$D56,"NTM"),I56)</f>
        <v>#NAME?</v>
      </c>
      <c r="J56" s="187" t="e" cm="1">
        <f t="array" ref="J56">IF(Thomson=1,_xll.TR(J$7,J$6,"Sdate=#1 Period=#2 NULL=BLANK",,$D56,"NTM"),J56)</f>
        <v>#NAME?</v>
      </c>
      <c r="K56" s="187" t="e" cm="1">
        <f t="array" ref="K56">IF(Thomson=1,_xll.TR(K$7,K$6,"Sdate=#1 Period=#2 NULL=BLANK",,$D56,"NTM"),K56)</f>
        <v>#NAME?</v>
      </c>
      <c r="L56" s="187" t="e" cm="1">
        <f t="array" ref="L56">IF(Thomson=1,_xll.TR(L$7,L$6,"Sdate=#1 Period=#2 NULL=BLANK",,$D56,"NTM"),L56)</f>
        <v>#NAME?</v>
      </c>
    </row>
    <row r="57" spans="3:12">
      <c r="C57" s="196">
        <f t="shared" si="2"/>
        <v>44286</v>
      </c>
      <c r="D57" s="197">
        <f t="shared" si="1"/>
        <v>44331</v>
      </c>
      <c r="E57" s="187" t="e" cm="1">
        <f t="array" ref="E57">IF(Thomson=1,_xll.TR(E$7,E$6,"Sdate=#1 Period=#2 NULL=BLANK",,$D57,"NTM"),E57)</f>
        <v>#NAME?</v>
      </c>
      <c r="F57" s="187" t="e" cm="1">
        <f t="array" ref="F57">IF(Thomson=1,_xll.TR(F$7,F$6,"Sdate=#1 Period=#2 NULL=BLANK",,$D57,"NTM"),F57)</f>
        <v>#NAME?</v>
      </c>
      <c r="G57" s="187" t="e" cm="1">
        <f t="array" ref="G57">IF(Thomson=1,_xll.TR(G$7,G$6,"Sdate=#1 Period=#2 NULL=BLANK",,$D57,"NTM"),G57)</f>
        <v>#NAME?</v>
      </c>
      <c r="H57" s="187" t="e" cm="1">
        <f t="array" ref="H57">IF(Thomson=1,_xll.TR(H$7,H$6,"Sdate=#1 Period=#2 NULL=BLANK",,$D57,"NTM"),H57)</f>
        <v>#NAME?</v>
      </c>
      <c r="I57" s="187" t="e" cm="1">
        <f t="array" ref="I57">IF(Thomson=1,_xll.TR(I$7,I$6,"Sdate=#1 Period=#2 NULL=BLANK",,$D57,"NTM"),I57)</f>
        <v>#NAME?</v>
      </c>
      <c r="J57" s="187" t="e" cm="1">
        <f t="array" ref="J57">IF(Thomson=1,_xll.TR(J$7,J$6,"Sdate=#1 Period=#2 NULL=BLANK",,$D57,"NTM"),J57)</f>
        <v>#NAME?</v>
      </c>
      <c r="K57" s="187" t="e" cm="1">
        <f t="array" ref="K57">IF(Thomson=1,_xll.TR(K$7,K$6,"Sdate=#1 Period=#2 NULL=BLANK",,$D57,"NTM"),K57)</f>
        <v>#NAME?</v>
      </c>
      <c r="L57" s="187" t="e" cm="1">
        <f t="array" ref="L57">IF(Thomson=1,_xll.TR(L$7,L$6,"Sdate=#1 Period=#2 NULL=BLANK",,$D57,"NTM"),L57)</f>
        <v>#NAME?</v>
      </c>
    </row>
    <row r="58" spans="3:12">
      <c r="C58" s="198">
        <f t="shared" si="2"/>
        <v>44377</v>
      </c>
      <c r="D58" s="197">
        <f t="shared" si="1"/>
        <v>44422</v>
      </c>
      <c r="E58" s="187" t="e" cm="1">
        <f t="array" ref="E58">IF(Thomson=1,_xll.TR(E$7,E$6,"Sdate=#1 Period=#2 NULL=BLANK",,$D58,"NTM"),E58)</f>
        <v>#NAME?</v>
      </c>
      <c r="F58" s="187" t="e" cm="1">
        <f t="array" ref="F58">IF(Thomson=1,_xll.TR(F$7,F$6,"Sdate=#1 Period=#2 NULL=BLANK",,$D58,"NTM"),F58)</f>
        <v>#NAME?</v>
      </c>
      <c r="G58" s="187" t="e" cm="1">
        <f t="array" ref="G58">IF(Thomson=1,_xll.TR(G$7,G$6,"Sdate=#1 Period=#2 NULL=BLANK",,$D58,"NTM"),G58)</f>
        <v>#NAME?</v>
      </c>
      <c r="H58" s="187" t="e" cm="1">
        <f t="array" ref="H58">IF(Thomson=1,_xll.TR(H$7,H$6,"Sdate=#1 Period=#2 NULL=BLANK",,$D58,"NTM"),H58)</f>
        <v>#NAME?</v>
      </c>
      <c r="I58" s="187" t="e" cm="1">
        <f t="array" ref="I58">IF(Thomson=1,_xll.TR(I$7,I$6,"Sdate=#1 Period=#2 NULL=BLANK",,$D58,"NTM"),I58)</f>
        <v>#NAME?</v>
      </c>
      <c r="J58" s="187" t="e" cm="1">
        <f t="array" ref="J58">IF(Thomson=1,_xll.TR(J$7,J$6,"Sdate=#1 Period=#2 NULL=BLANK",,$D58,"NTM"),J58)</f>
        <v>#NAME?</v>
      </c>
      <c r="K58" s="187" t="e" cm="1">
        <f t="array" ref="K58">IF(Thomson=1,_xll.TR(K$7,K$6,"Sdate=#1 Period=#2 NULL=BLANK",,$D58,"NTM"),K58)</f>
        <v>#NAME?</v>
      </c>
      <c r="L58" s="187" t="e" cm="1">
        <f t="array" ref="L58">IF(Thomson=1,_xll.TR(L$7,L$6,"Sdate=#1 Period=#2 NULL=BLANK",,$D58,"NTM"),L58)</f>
        <v>#NAME?</v>
      </c>
    </row>
    <row r="59" spans="3:12">
      <c r="C59" s="199">
        <f t="shared" si="2"/>
        <v>44469</v>
      </c>
      <c r="D59" s="197">
        <f t="shared" si="1"/>
        <v>44514</v>
      </c>
      <c r="E59" s="187" t="e" cm="1">
        <f t="array" ref="E59">IF(Thomson=1,_xll.TR(E$7,E$6,"Sdate=#1 Period=#2 NULL=BLANK",,$D59,"NTM"),E59)</f>
        <v>#NAME?</v>
      </c>
      <c r="F59" s="187" t="e" cm="1">
        <f t="array" ref="F59">IF(Thomson=1,_xll.TR(F$7,F$6,"Sdate=#1 Period=#2 NULL=BLANK",,$D59,"NTM"),F59)</f>
        <v>#NAME?</v>
      </c>
      <c r="G59" s="187" t="e" cm="1">
        <f t="array" ref="G59">IF(Thomson=1,_xll.TR(G$7,G$6,"Sdate=#1 Period=#2 NULL=BLANK",,$D59,"NTM"),G59)</f>
        <v>#NAME?</v>
      </c>
      <c r="H59" s="187" t="e" cm="1">
        <f t="array" ref="H59">IF(Thomson=1,_xll.TR(H$7,H$6,"Sdate=#1 Period=#2 NULL=BLANK",,$D59,"NTM"),H59)</f>
        <v>#NAME?</v>
      </c>
      <c r="I59" s="187" t="e" cm="1">
        <f t="array" ref="I59">IF(Thomson=1,_xll.TR(I$7,I$6,"Sdate=#1 Period=#2 NULL=BLANK",,$D59,"NTM"),I59)</f>
        <v>#NAME?</v>
      </c>
      <c r="J59" s="187" t="e" cm="1">
        <f t="array" ref="J59">IF(Thomson=1,_xll.TR(J$7,J$6,"Sdate=#1 Period=#2 NULL=BLANK",,$D59,"NTM"),J59)</f>
        <v>#NAME?</v>
      </c>
      <c r="K59" s="187" t="e" cm="1">
        <f t="array" ref="K59">IF(Thomson=1,_xll.TR(K$7,K$6,"Sdate=#1 Period=#2 NULL=BLANK",,$D59,"NTM"),K59)</f>
        <v>#NAME?</v>
      </c>
      <c r="L59" s="187" t="e" cm="1">
        <f t="array" ref="L59">IF(Thomson=1,_xll.TR(L$7,L$6,"Sdate=#1 Period=#2 NULL=BLANK",,$D59,"NTM"),L59)</f>
        <v>#NAME?</v>
      </c>
    </row>
    <row r="60" spans="3:12">
      <c r="C60" s="200">
        <f t="shared" si="2"/>
        <v>44561</v>
      </c>
      <c r="D60" s="197">
        <f ca="1">TODAY()</f>
        <v>45863</v>
      </c>
      <c r="E60" s="187" t="e" cm="1">
        <f t="array" ref="E60">IF(Thomson=1,_xll.TR(E$7,E$6,"Sdate=#1 Period=#2 NULL=BLANK",,$D60,"NTM"),E60)</f>
        <v>#NAME?</v>
      </c>
      <c r="F60" s="187" t="e" cm="1">
        <f t="array" ref="F60">IF(Thomson=1,_xll.TR(F$7,F$6,"Sdate=#1 Period=#2 NULL=BLANK",,$D60,"NTM"),F60)</f>
        <v>#NAME?</v>
      </c>
      <c r="G60" s="187" t="e" cm="1">
        <f t="array" ref="G60">IF(Thomson=1,_xll.TR(G$7,G$6,"Sdate=#1 Period=#2 NULL=BLANK",,$D60,"NTM"),G60)</f>
        <v>#NAME?</v>
      </c>
      <c r="H60" s="187" t="e" cm="1">
        <f t="array" ref="H60">IF(Thomson=1,_xll.TR(H$7,H$6,"Sdate=#1 Period=#2 NULL=BLANK",,$D60,"NTM"),H60)</f>
        <v>#NAME?</v>
      </c>
      <c r="I60" s="187" t="e" cm="1">
        <f t="array" ref="I60">IF(Thomson=1,_xll.TR(I$7,I$6,"Sdate=#1 Period=#2 NULL=BLANK",,$D60,"NTM"),I60)</f>
        <v>#NAME?</v>
      </c>
      <c r="J60" s="187" t="e" cm="1">
        <f t="array" ref="J60">IF(Thomson=1,_xll.TR(J$7,J$6,"Sdate=#1 Period=#2 NULL=BLANK",,$D60,"NTM"),J60)</f>
        <v>#NAME?</v>
      </c>
      <c r="K60" s="187" t="e" cm="1">
        <f t="array" ref="K60">IF(Thomson=1,_xll.TR(K$7,K$6,"Sdate=#1 Period=#2 NULL=BLANK",,$D60,"NTM"),K60)</f>
        <v>#NAME?</v>
      </c>
      <c r="L60" s="187" t="e" cm="1">
        <f t="array" ref="L60">IF(Thomson=1,_xll.TR(L$7,L$6,"Sdate=#1 Period=#2 NULL=BLANK",,$D60,"NTM"),L60)</f>
        <v>#NAME?</v>
      </c>
    </row>
  </sheetData>
  <pageMargins left="0.7" right="0.7" top="0.75" bottom="0.75" header="0.3" footer="0.3"/>
  <pageSetup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8192A-C4C6-4FB5-B678-022C22BD67C1}">
  <sheetPr codeName="Sheet17">
    <tabColor theme="7" tint="0.59999389629810485"/>
  </sheetPr>
  <dimension ref="A1:Q64"/>
  <sheetViews>
    <sheetView showGridLines="0" topLeftCell="A76" zoomScaleNormal="100" workbookViewId="0"/>
  </sheetViews>
  <sheetFormatPr defaultRowHeight="10.5"/>
  <cols>
    <col min="16" max="16" width="4.81640625" customWidth="1"/>
  </cols>
  <sheetData>
    <row r="1" spans="1:1">
      <c r="A1" s="36" t="str">
        <f>'Forward EV Revenue'!A1</f>
        <v>1 Yr Forward Multiples</v>
      </c>
    </row>
    <row r="2" spans="1:1">
      <c r="A2" s="189" t="str">
        <f>'Forward EV Revenue'!A2</f>
        <v>Forward EV Revenue</v>
      </c>
    </row>
    <row r="60" spans="17:17">
      <c r="Q60" s="189"/>
    </row>
    <row r="61" spans="17:17">
      <c r="Q61" s="189"/>
    </row>
    <row r="62" spans="17:17">
      <c r="Q62" s="189"/>
    </row>
    <row r="63" spans="17:17">
      <c r="Q63" s="189"/>
    </row>
    <row r="64" spans="17:17">
      <c r="Q64" s="38"/>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01322-0EA2-4E52-998E-868A5E92AD04}">
  <dimension ref="A1:BS172"/>
  <sheetViews>
    <sheetView showGridLines="0" zoomScaleNormal="100" workbookViewId="0">
      <pane xSplit="4" ySplit="6" topLeftCell="Z7" activePane="bottomRight" state="frozen"/>
      <selection pane="topRight"/>
      <selection pane="bottomLeft"/>
      <selection pane="bottomRight"/>
    </sheetView>
  </sheetViews>
  <sheetFormatPr defaultColWidth="9.81640625" defaultRowHeight="10.5" outlineLevelRow="2" outlineLevelCol="1"/>
  <cols>
    <col min="1" max="2" width="1.81640625" customWidth="1"/>
    <col min="3" max="3" width="30.6328125" customWidth="1"/>
    <col min="4" max="41" width="11.6328125" customWidth="1"/>
    <col min="42" max="45" width="11.6328125" customWidth="1" outlineLevel="1"/>
    <col min="46" max="71" width="11.6328125" customWidth="1"/>
  </cols>
  <sheetData>
    <row r="1" spans="1:71" s="338" customFormat="1">
      <c r="A1" s="342" t="s">
        <v>10</v>
      </c>
      <c r="T1" s="416"/>
      <c r="U1" s="416"/>
      <c r="V1" s="416"/>
      <c r="W1" s="416"/>
      <c r="X1" s="416"/>
      <c r="Y1" s="416"/>
      <c r="Z1" s="416"/>
      <c r="AA1" s="416"/>
      <c r="AB1" s="416"/>
      <c r="AG1"/>
    </row>
    <row r="2" spans="1:71" s="338" customFormat="1">
      <c r="A2" s="346" t="s">
        <v>11</v>
      </c>
      <c r="U2" s="413"/>
      <c r="V2" s="413"/>
      <c r="W2" s="413"/>
      <c r="X2" s="413"/>
      <c r="Y2" s="413"/>
      <c r="Z2" s="413"/>
      <c r="AA2" s="413"/>
      <c r="AB2" s="413"/>
      <c r="AG2"/>
      <c r="AJ2" s="372"/>
      <c r="AK2" s="372"/>
      <c r="AL2" s="372"/>
      <c r="AM2" s="372"/>
    </row>
    <row r="3" spans="1:71" s="338" customFormat="1">
      <c r="A3" s="342" t="s">
        <v>12</v>
      </c>
      <c r="X3" s="372"/>
      <c r="Y3" s="372"/>
      <c r="Z3" s="372"/>
      <c r="AA3" s="372"/>
      <c r="AB3" s="372"/>
      <c r="AC3" s="416"/>
      <c r="AD3" s="416"/>
      <c r="AE3" s="416"/>
      <c r="AF3" s="416"/>
      <c r="AG3"/>
      <c r="AI3" s="415"/>
      <c r="AJ3" s="414"/>
      <c r="AK3" s="414"/>
      <c r="AL3" s="414"/>
      <c r="AM3" s="414"/>
      <c r="AN3" s="369"/>
      <c r="AO3" s="369"/>
      <c r="AP3" s="369"/>
      <c r="AQ3" s="369"/>
      <c r="AR3" s="369"/>
    </row>
    <row r="4" spans="1:71" s="338" customFormat="1">
      <c r="T4" s="413"/>
      <c r="U4" s="413"/>
      <c r="V4" s="413"/>
      <c r="W4" s="413"/>
      <c r="X4" s="413"/>
      <c r="Y4" s="413"/>
      <c r="Z4" s="413"/>
      <c r="AA4" s="413"/>
      <c r="AB4" s="413"/>
      <c r="AG4"/>
      <c r="AJ4" s="369"/>
      <c r="AK4" s="369"/>
      <c r="AL4" s="369"/>
      <c r="AM4" s="369"/>
    </row>
    <row r="5" spans="1:71" s="400" customFormat="1" ht="11.25" customHeight="1">
      <c r="B5" s="411"/>
      <c r="C5" s="412" t="s">
        <v>2</v>
      </c>
      <c r="D5" s="411"/>
      <c r="E5" s="409">
        <f t="shared" ref="E5:AF5" si="0">YEAR(E6)</f>
        <v>2016</v>
      </c>
      <c r="F5" s="408">
        <f t="shared" si="0"/>
        <v>2016</v>
      </c>
      <c r="G5" s="407">
        <f t="shared" si="0"/>
        <v>2016</v>
      </c>
      <c r="H5" s="410">
        <f t="shared" si="0"/>
        <v>2016</v>
      </c>
      <c r="I5" s="409">
        <f t="shared" si="0"/>
        <v>2017</v>
      </c>
      <c r="J5" s="408">
        <f t="shared" si="0"/>
        <v>2017</v>
      </c>
      <c r="K5" s="407">
        <f t="shared" si="0"/>
        <v>2017</v>
      </c>
      <c r="L5" s="410">
        <f t="shared" si="0"/>
        <v>2017</v>
      </c>
      <c r="M5" s="409">
        <f t="shared" si="0"/>
        <v>2018</v>
      </c>
      <c r="N5" s="408">
        <f t="shared" si="0"/>
        <v>2018</v>
      </c>
      <c r="O5" s="407">
        <f t="shared" si="0"/>
        <v>2018</v>
      </c>
      <c r="P5" s="410">
        <f t="shared" si="0"/>
        <v>2018</v>
      </c>
      <c r="Q5" s="409">
        <f t="shared" si="0"/>
        <v>2019</v>
      </c>
      <c r="R5" s="408">
        <f t="shared" si="0"/>
        <v>2019</v>
      </c>
      <c r="S5" s="407">
        <f t="shared" si="0"/>
        <v>2019</v>
      </c>
      <c r="T5" s="410">
        <f t="shared" si="0"/>
        <v>2019</v>
      </c>
      <c r="U5" s="409">
        <f t="shared" si="0"/>
        <v>2020</v>
      </c>
      <c r="V5" s="408">
        <f t="shared" si="0"/>
        <v>2020</v>
      </c>
      <c r="W5" s="407">
        <f t="shared" si="0"/>
        <v>2020</v>
      </c>
      <c r="X5" s="410">
        <f t="shared" si="0"/>
        <v>2020</v>
      </c>
      <c r="Y5" s="409">
        <f t="shared" si="0"/>
        <v>2021</v>
      </c>
      <c r="Z5" s="408">
        <f t="shared" si="0"/>
        <v>2021</v>
      </c>
      <c r="AA5" s="407">
        <f t="shared" si="0"/>
        <v>2021</v>
      </c>
      <c r="AB5" s="410">
        <f t="shared" si="0"/>
        <v>2021</v>
      </c>
      <c r="AC5" s="406">
        <f t="shared" si="0"/>
        <v>2022</v>
      </c>
      <c r="AD5" s="405">
        <f t="shared" si="0"/>
        <v>2022</v>
      </c>
      <c r="AE5" s="404">
        <f t="shared" si="0"/>
        <v>2022</v>
      </c>
      <c r="AF5" s="418">
        <f t="shared" si="0"/>
        <v>2022</v>
      </c>
      <c r="AG5"/>
      <c r="AH5" s="403">
        <f t="shared" ref="AH5:AS5" si="1">+YEAR(AH6)</f>
        <v>2014</v>
      </c>
      <c r="AI5" s="403">
        <f t="shared" si="1"/>
        <v>2015</v>
      </c>
      <c r="AJ5" s="403">
        <f t="shared" si="1"/>
        <v>2016</v>
      </c>
      <c r="AK5" s="403">
        <f t="shared" si="1"/>
        <v>2017</v>
      </c>
      <c r="AL5" s="403">
        <f t="shared" si="1"/>
        <v>2018</v>
      </c>
      <c r="AM5" s="403">
        <f t="shared" si="1"/>
        <v>2019</v>
      </c>
      <c r="AN5" s="419">
        <f t="shared" si="1"/>
        <v>2020</v>
      </c>
      <c r="AO5" s="419">
        <f t="shared" si="1"/>
        <v>2021</v>
      </c>
      <c r="AP5" s="420">
        <f t="shared" si="1"/>
        <v>2022</v>
      </c>
      <c r="AQ5" s="420">
        <f t="shared" si="1"/>
        <v>2023</v>
      </c>
      <c r="AR5" s="420">
        <f t="shared" si="1"/>
        <v>2024</v>
      </c>
      <c r="AS5" s="420">
        <f t="shared" si="1"/>
        <v>2025</v>
      </c>
      <c r="AV5" s="402" t="s">
        <v>13</v>
      </c>
      <c r="AW5" s="401"/>
      <c r="AX5" s="401"/>
      <c r="AY5" s="401"/>
      <c r="AZ5" s="401"/>
      <c r="BA5" s="401"/>
      <c r="BB5" s="401"/>
      <c r="BC5" s="401"/>
      <c r="BD5" s="401"/>
      <c r="BE5" s="401"/>
      <c r="BF5" s="401"/>
      <c r="BG5" s="401"/>
      <c r="BH5" s="401"/>
      <c r="BI5" s="401"/>
      <c r="BJ5" s="401"/>
      <c r="BK5" s="401"/>
      <c r="BL5" s="401"/>
      <c r="BM5" s="401"/>
      <c r="BN5" s="401"/>
      <c r="BO5" s="401"/>
      <c r="BP5" s="401"/>
      <c r="BQ5" s="401"/>
      <c r="BR5" s="401"/>
      <c r="BS5" s="401"/>
    </row>
    <row r="6" spans="1:71" s="391" customFormat="1" ht="11.25" customHeight="1">
      <c r="B6" s="399"/>
      <c r="C6" s="398" t="s">
        <v>3</v>
      </c>
      <c r="D6" s="397"/>
      <c r="E6" s="396">
        <v>42460</v>
      </c>
      <c r="F6" s="396">
        <f t="shared" ref="F6:AF6" si="2">+EOMONTH(E6,3)</f>
        <v>42551</v>
      </c>
      <c r="G6" s="396">
        <f t="shared" si="2"/>
        <v>42643</v>
      </c>
      <c r="H6" s="396">
        <f t="shared" si="2"/>
        <v>42735</v>
      </c>
      <c r="I6" s="396">
        <f t="shared" si="2"/>
        <v>42825</v>
      </c>
      <c r="J6" s="396">
        <f t="shared" si="2"/>
        <v>42916</v>
      </c>
      <c r="K6" s="396">
        <f t="shared" si="2"/>
        <v>43008</v>
      </c>
      <c r="L6" s="396">
        <f t="shared" si="2"/>
        <v>43100</v>
      </c>
      <c r="M6" s="396">
        <f t="shared" si="2"/>
        <v>43190</v>
      </c>
      <c r="N6" s="396">
        <f t="shared" si="2"/>
        <v>43281</v>
      </c>
      <c r="O6" s="396">
        <f t="shared" si="2"/>
        <v>43373</v>
      </c>
      <c r="P6" s="396">
        <f t="shared" si="2"/>
        <v>43465</v>
      </c>
      <c r="Q6" s="396">
        <f t="shared" si="2"/>
        <v>43555</v>
      </c>
      <c r="R6" s="396">
        <f t="shared" si="2"/>
        <v>43646</v>
      </c>
      <c r="S6" s="396">
        <f t="shared" si="2"/>
        <v>43738</v>
      </c>
      <c r="T6" s="396">
        <f t="shared" si="2"/>
        <v>43830</v>
      </c>
      <c r="U6" s="396">
        <f t="shared" si="2"/>
        <v>43921</v>
      </c>
      <c r="V6" s="396">
        <f t="shared" si="2"/>
        <v>44012</v>
      </c>
      <c r="W6" s="396">
        <f t="shared" si="2"/>
        <v>44104</v>
      </c>
      <c r="X6" s="396">
        <f t="shared" si="2"/>
        <v>44196</v>
      </c>
      <c r="Y6" s="396">
        <f t="shared" si="2"/>
        <v>44286</v>
      </c>
      <c r="Z6" s="396">
        <f t="shared" si="2"/>
        <v>44377</v>
      </c>
      <c r="AA6" s="396">
        <f t="shared" si="2"/>
        <v>44469</v>
      </c>
      <c r="AB6" s="396">
        <f t="shared" si="2"/>
        <v>44561</v>
      </c>
      <c r="AC6" s="396">
        <f t="shared" si="2"/>
        <v>44651</v>
      </c>
      <c r="AD6" s="396">
        <f t="shared" si="2"/>
        <v>44742</v>
      </c>
      <c r="AE6" s="396">
        <f t="shared" si="2"/>
        <v>44834</v>
      </c>
      <c r="AF6" s="396">
        <f t="shared" si="2"/>
        <v>44926</v>
      </c>
      <c r="AG6"/>
      <c r="AH6" s="395">
        <v>42004</v>
      </c>
      <c r="AI6" s="394">
        <f t="shared" ref="AI6:AS6" si="3">+EOMONTH(AH6,12)</f>
        <v>42369</v>
      </c>
      <c r="AJ6" s="394">
        <f t="shared" si="3"/>
        <v>42735</v>
      </c>
      <c r="AK6" s="394">
        <f t="shared" si="3"/>
        <v>43100</v>
      </c>
      <c r="AL6" s="394">
        <f t="shared" si="3"/>
        <v>43465</v>
      </c>
      <c r="AM6" s="394">
        <f t="shared" si="3"/>
        <v>43830</v>
      </c>
      <c r="AN6" s="394">
        <f t="shared" si="3"/>
        <v>44196</v>
      </c>
      <c r="AO6" s="394">
        <f t="shared" si="3"/>
        <v>44561</v>
      </c>
      <c r="AP6" s="394">
        <f t="shared" si="3"/>
        <v>44926</v>
      </c>
      <c r="AQ6" s="394">
        <f t="shared" si="3"/>
        <v>45291</v>
      </c>
      <c r="AR6" s="394">
        <f t="shared" si="3"/>
        <v>45657</v>
      </c>
      <c r="AS6" s="394">
        <f t="shared" si="3"/>
        <v>46022</v>
      </c>
      <c r="AV6" s="393">
        <v>42460</v>
      </c>
      <c r="AW6" s="392">
        <f t="shared" ref="AW6:BG6" si="4">+EOMONTH(AV6,3)</f>
        <v>42551</v>
      </c>
      <c r="AX6" s="392">
        <f t="shared" si="4"/>
        <v>42643</v>
      </c>
      <c r="AY6" s="392">
        <f t="shared" si="4"/>
        <v>42735</v>
      </c>
      <c r="AZ6" s="392">
        <f t="shared" si="4"/>
        <v>42825</v>
      </c>
      <c r="BA6" s="392">
        <f t="shared" si="4"/>
        <v>42916</v>
      </c>
      <c r="BB6" s="392">
        <f t="shared" si="4"/>
        <v>43008</v>
      </c>
      <c r="BC6" s="392">
        <f t="shared" si="4"/>
        <v>43100</v>
      </c>
      <c r="BD6" s="392">
        <f t="shared" si="4"/>
        <v>43190</v>
      </c>
      <c r="BE6" s="392">
        <f t="shared" si="4"/>
        <v>43281</v>
      </c>
      <c r="BF6" s="392">
        <f t="shared" si="4"/>
        <v>43373</v>
      </c>
      <c r="BG6" s="392">
        <f t="shared" si="4"/>
        <v>43465</v>
      </c>
      <c r="BH6" s="392">
        <v>43555</v>
      </c>
      <c r="BI6" s="392">
        <f t="shared" ref="BI6:BS6" si="5">+EOMONTH(BH6,3)</f>
        <v>43646</v>
      </c>
      <c r="BJ6" s="392">
        <f t="shared" si="5"/>
        <v>43738</v>
      </c>
      <c r="BK6" s="392">
        <f t="shared" si="5"/>
        <v>43830</v>
      </c>
      <c r="BL6" s="392">
        <f t="shared" si="5"/>
        <v>43921</v>
      </c>
      <c r="BM6" s="392">
        <f t="shared" si="5"/>
        <v>44012</v>
      </c>
      <c r="BN6" s="392">
        <f t="shared" si="5"/>
        <v>44104</v>
      </c>
      <c r="BO6" s="392">
        <f t="shared" si="5"/>
        <v>44196</v>
      </c>
      <c r="BP6" s="392">
        <f t="shared" si="5"/>
        <v>44286</v>
      </c>
      <c r="BQ6" s="392">
        <f t="shared" si="5"/>
        <v>44377</v>
      </c>
      <c r="BR6" s="392">
        <f t="shared" si="5"/>
        <v>44469</v>
      </c>
      <c r="BS6" s="392">
        <f t="shared" si="5"/>
        <v>44561</v>
      </c>
    </row>
    <row r="7" spans="1:71" s="338" customFormat="1">
      <c r="I7" s="390"/>
      <c r="AG7"/>
    </row>
    <row r="8" spans="1:71" s="363" customFormat="1" ht="11.25" customHeight="1">
      <c r="B8" s="367" t="s">
        <v>9</v>
      </c>
      <c r="C8" s="366" t="s">
        <v>14</v>
      </c>
      <c r="D8" s="364"/>
      <c r="E8" s="364"/>
      <c r="F8" s="364"/>
      <c r="G8" s="364"/>
      <c r="H8" s="364"/>
      <c r="I8" s="365"/>
      <c r="J8" s="365"/>
      <c r="K8" s="365"/>
      <c r="L8" s="365"/>
      <c r="M8" s="365"/>
      <c r="N8" s="365"/>
      <c r="O8" s="365"/>
      <c r="P8" s="365"/>
      <c r="Q8" s="365"/>
      <c r="R8" s="365"/>
      <c r="S8" s="365"/>
      <c r="T8" s="365"/>
      <c r="U8" s="365"/>
      <c r="V8" s="365"/>
      <c r="W8" s="365"/>
      <c r="X8" s="365"/>
      <c r="Y8" s="365"/>
      <c r="Z8" s="365"/>
      <c r="AA8" s="365"/>
      <c r="AB8" s="364"/>
      <c r="AC8" s="364"/>
      <c r="AD8" s="364"/>
      <c r="AE8" s="364"/>
      <c r="AF8" s="364"/>
      <c r="AG8"/>
      <c r="AH8" s="364"/>
      <c r="AI8" s="364"/>
      <c r="AJ8" s="364"/>
      <c r="AK8" s="364"/>
      <c r="AL8" s="364"/>
      <c r="AM8" s="364"/>
      <c r="AN8" s="364"/>
      <c r="AO8" s="364"/>
      <c r="AP8" s="364"/>
      <c r="AQ8" s="364"/>
      <c r="AR8" s="364"/>
      <c r="AS8" s="364"/>
    </row>
    <row r="9" spans="1:71" s="363" customFormat="1" ht="11.25" customHeight="1">
      <c r="B9" s="342"/>
      <c r="C9" s="293"/>
      <c r="D9" s="50"/>
      <c r="E9" s="50"/>
      <c r="F9" s="50"/>
      <c r="G9" s="50"/>
      <c r="H9" s="50"/>
      <c r="I9" s="74"/>
      <c r="J9" s="74"/>
      <c r="K9" s="74"/>
      <c r="L9" s="74"/>
      <c r="M9" s="74"/>
      <c r="N9" s="74"/>
      <c r="O9" s="74"/>
      <c r="P9" s="74"/>
      <c r="Q9" s="74"/>
      <c r="R9" s="74"/>
      <c r="S9" s="74"/>
      <c r="T9" s="74"/>
      <c r="U9" s="74"/>
      <c r="V9" s="74"/>
      <c r="W9" s="74"/>
      <c r="X9" s="74"/>
      <c r="Y9" s="74"/>
      <c r="Z9" s="74"/>
      <c r="AA9" s="74"/>
      <c r="AB9" s="50"/>
      <c r="AC9" s="50"/>
      <c r="AD9" s="50"/>
      <c r="AE9" s="50"/>
      <c r="AF9" s="50"/>
      <c r="AG9"/>
      <c r="AH9" s="50"/>
      <c r="AI9" s="50"/>
      <c r="AJ9" s="50"/>
      <c r="AK9" s="50"/>
      <c r="AL9" s="50"/>
      <c r="AM9" s="50"/>
      <c r="AN9" s="50"/>
      <c r="AO9" s="50"/>
      <c r="AP9" s="50"/>
      <c r="AQ9" s="50"/>
      <c r="AR9" s="50"/>
      <c r="AS9" s="50"/>
    </row>
    <row r="10" spans="1:71" s="338" customFormat="1">
      <c r="C10" s="423" t="s">
        <v>15</v>
      </c>
      <c r="AG10"/>
      <c r="AI10" s="416"/>
      <c r="AJ10" s="416"/>
      <c r="AK10" s="416"/>
      <c r="AL10" s="416"/>
      <c r="AM10" s="416"/>
      <c r="AN10" s="416"/>
      <c r="AO10" s="416"/>
    </row>
    <row r="11" spans="1:71" s="338" customFormat="1">
      <c r="C11" s="342"/>
      <c r="AG11"/>
    </row>
    <row r="12" spans="1:71" s="338" customFormat="1">
      <c r="C12" s="361" t="s">
        <v>16</v>
      </c>
      <c r="E12" s="345">
        <v>7199</v>
      </c>
      <c r="F12" s="345">
        <v>6938</v>
      </c>
      <c r="G12" s="345">
        <v>8258</v>
      </c>
      <c r="H12" s="345">
        <v>8356</v>
      </c>
      <c r="I12" s="345">
        <v>7397</v>
      </c>
      <c r="J12" s="345">
        <v>7634</v>
      </c>
      <c r="K12" s="345">
        <v>8132</v>
      </c>
      <c r="L12" s="345">
        <v>8063</v>
      </c>
      <c r="M12" s="345">
        <v>7615</v>
      </c>
      <c r="N12" s="345">
        <v>8065</v>
      </c>
      <c r="O12" s="345">
        <v>9023</v>
      </c>
      <c r="P12" s="345">
        <v>8531</v>
      </c>
      <c r="Q12" s="345">
        <v>7824</v>
      </c>
      <c r="R12" s="345">
        <v>7925</v>
      </c>
      <c r="S12" s="345">
        <v>8379</v>
      </c>
      <c r="T12" s="345">
        <v>8553</v>
      </c>
      <c r="U12" s="345">
        <v>8712</v>
      </c>
      <c r="V12" s="345">
        <v>8229</v>
      </c>
      <c r="W12" s="345">
        <v>8762</v>
      </c>
      <c r="X12" s="345">
        <v>9939</v>
      </c>
      <c r="Y12" s="345">
        <v>9617</v>
      </c>
      <c r="Z12" s="345">
        <v>9397</v>
      </c>
      <c r="AA12" s="345">
        <v>8954</v>
      </c>
      <c r="AB12" s="345">
        <v>9408</v>
      </c>
      <c r="AC12" s="344">
        <f>Y12*(1+AC13)</f>
        <v>9136.15</v>
      </c>
      <c r="AD12" s="344">
        <f>Z12*(1+AD13)</f>
        <v>8222.375</v>
      </c>
      <c r="AE12" s="344">
        <f>AA12*(1+AE13)</f>
        <v>7834.75</v>
      </c>
      <c r="AF12" s="344">
        <f>AB12*(1+AF13)</f>
        <v>8467.2000000000007</v>
      </c>
      <c r="AG12"/>
      <c r="AH12" s="345">
        <v>33235</v>
      </c>
      <c r="AI12" s="345">
        <v>30680</v>
      </c>
      <c r="AJ12" s="355">
        <f t="shared" ref="AJ12:AP12" si="6">+SUMIF($E$5:$AF$5,AJ$5,$E12:$AF12)</f>
        <v>30751</v>
      </c>
      <c r="AK12" s="355">
        <f t="shared" si="6"/>
        <v>31226</v>
      </c>
      <c r="AL12" s="355">
        <f t="shared" si="6"/>
        <v>33234</v>
      </c>
      <c r="AM12" s="355">
        <f t="shared" si="6"/>
        <v>32681</v>
      </c>
      <c r="AN12" s="355">
        <f t="shared" si="6"/>
        <v>35642</v>
      </c>
      <c r="AO12" s="355">
        <f t="shared" si="6"/>
        <v>37376</v>
      </c>
      <c r="AP12" s="355">
        <f t="shared" si="6"/>
        <v>33660.475000000006</v>
      </c>
      <c r="AQ12" s="344">
        <f>AP12*(1+AQ13)</f>
        <v>31135.939375000005</v>
      </c>
      <c r="AR12" s="344">
        <f>AQ12*(1+AR13)</f>
        <v>31447.298768750006</v>
      </c>
      <c r="AS12" s="344">
        <f>AR12*(1+AS13)</f>
        <v>32390.717731812507</v>
      </c>
    </row>
    <row r="13" spans="1:71" s="346" customFormat="1" outlineLevel="1">
      <c r="C13" s="389" t="s">
        <v>17</v>
      </c>
      <c r="E13" s="348"/>
      <c r="F13" s="348"/>
      <c r="G13" s="348"/>
      <c r="H13" s="348"/>
      <c r="I13" s="347">
        <f t="shared" ref="I13:AB13" si="7">IFERROR(+I12/E12-1,"NA ")</f>
        <v>2.7503819974996624E-2</v>
      </c>
      <c r="J13" s="347">
        <f t="shared" si="7"/>
        <v>0.10031709426347657</v>
      </c>
      <c r="K13" s="347">
        <f t="shared" si="7"/>
        <v>-1.5257931702591376E-2</v>
      </c>
      <c r="L13" s="347">
        <f t="shared" si="7"/>
        <v>-3.506462422211587E-2</v>
      </c>
      <c r="M13" s="347">
        <f t="shared" si="7"/>
        <v>2.9471407327294807E-2</v>
      </c>
      <c r="N13" s="347">
        <f t="shared" si="7"/>
        <v>5.6457951270631357E-2</v>
      </c>
      <c r="O13" s="347">
        <f t="shared" si="7"/>
        <v>0.10956714215445151</v>
      </c>
      <c r="P13" s="347">
        <f t="shared" si="7"/>
        <v>5.8042912067468588E-2</v>
      </c>
      <c r="Q13" s="347">
        <f t="shared" si="7"/>
        <v>2.7445830597504939E-2</v>
      </c>
      <c r="R13" s="347">
        <f t="shared" si="7"/>
        <v>-1.7358958462492247E-2</v>
      </c>
      <c r="S13" s="347">
        <f t="shared" si="7"/>
        <v>-7.1373157486423588E-2</v>
      </c>
      <c r="T13" s="347">
        <f t="shared" si="7"/>
        <v>2.5788301488687271E-3</v>
      </c>
      <c r="U13" s="347">
        <f t="shared" si="7"/>
        <v>0.11349693251533743</v>
      </c>
      <c r="V13" s="347">
        <f t="shared" si="7"/>
        <v>3.8359621451104164E-2</v>
      </c>
      <c r="W13" s="347">
        <f t="shared" si="7"/>
        <v>4.5709511874925335E-2</v>
      </c>
      <c r="X13" s="347">
        <f t="shared" si="7"/>
        <v>0.16204840406874776</v>
      </c>
      <c r="Y13" s="347">
        <f t="shared" si="7"/>
        <v>0.10387970615243347</v>
      </c>
      <c r="Z13" s="347">
        <f t="shared" si="7"/>
        <v>0.14193705188965855</v>
      </c>
      <c r="AA13" s="347">
        <f t="shared" si="7"/>
        <v>2.1912805295594584E-2</v>
      </c>
      <c r="AB13" s="347">
        <f t="shared" si="7"/>
        <v>-5.3425897977663728E-2</v>
      </c>
      <c r="AC13" s="578">
        <f>Assumptions!U10</f>
        <v>-0.05</v>
      </c>
      <c r="AD13" s="578">
        <f>Assumptions!V10</f>
        <v>-0.125</v>
      </c>
      <c r="AE13" s="578">
        <f>Assumptions!W10</f>
        <v>-0.125</v>
      </c>
      <c r="AF13" s="578">
        <f>Assumptions!X10</f>
        <v>-0.1</v>
      </c>
      <c r="AG13"/>
      <c r="AH13" s="348"/>
      <c r="AI13" s="347">
        <f>IFERROR(AI12/AH12-1,"NA ")</f>
        <v>-7.6876786520234663E-2</v>
      </c>
      <c r="AJ13" s="347">
        <f t="shared" ref="AJ13:AP13" si="8">IFERROR(AJ12/AI12-1,"NA ")</f>
        <v>2.3142112125162928E-3</v>
      </c>
      <c r="AK13" s="347">
        <f t="shared" si="8"/>
        <v>1.5446652141393846E-2</v>
      </c>
      <c r="AL13" s="347">
        <f t="shared" si="8"/>
        <v>6.4305386536860354E-2</v>
      </c>
      <c r="AM13" s="347">
        <f t="shared" si="8"/>
        <v>-1.6639585966179204E-2</v>
      </c>
      <c r="AN13" s="347">
        <f t="shared" si="8"/>
        <v>9.0603102720234974E-2</v>
      </c>
      <c r="AO13" s="347">
        <f t="shared" si="8"/>
        <v>4.8650468548341763E-2</v>
      </c>
      <c r="AP13" s="347">
        <f t="shared" si="8"/>
        <v>-9.9409380351027199E-2</v>
      </c>
      <c r="AQ13" s="578">
        <f>Assumptions!AG10</f>
        <v>-7.4999999999999997E-2</v>
      </c>
      <c r="AR13" s="578">
        <f>Assumptions!AH10</f>
        <v>0.01</v>
      </c>
      <c r="AS13" s="578">
        <f>Assumptions!AI10</f>
        <v>0.03</v>
      </c>
    </row>
    <row r="14" spans="1:71" s="50" customFormat="1" ht="5.25" customHeight="1" outlineLevel="1">
      <c r="AG14"/>
    </row>
    <row r="15" spans="1:71" s="338" customFormat="1">
      <c r="C15" s="361" t="s">
        <v>18</v>
      </c>
      <c r="E15" s="345">
        <v>350</v>
      </c>
      <c r="F15" s="345">
        <v>400</v>
      </c>
      <c r="G15" s="345">
        <v>634</v>
      </c>
      <c r="H15" s="345">
        <v>773</v>
      </c>
      <c r="I15" s="345">
        <v>579</v>
      </c>
      <c r="J15" s="345">
        <v>579</v>
      </c>
      <c r="K15" s="345">
        <v>728</v>
      </c>
      <c r="L15" s="345">
        <v>891</v>
      </c>
      <c r="M15" s="345">
        <v>605</v>
      </c>
      <c r="N15" s="345">
        <v>663</v>
      </c>
      <c r="O15" s="345">
        <v>1211</v>
      </c>
      <c r="P15" s="345">
        <v>1291</v>
      </c>
      <c r="Q15" s="345">
        <v>762</v>
      </c>
      <c r="R15" s="345">
        <v>916</v>
      </c>
      <c r="S15" s="345">
        <v>1330</v>
      </c>
      <c r="T15" s="345">
        <v>1457</v>
      </c>
      <c r="U15" s="345">
        <v>1063</v>
      </c>
      <c r="V15" s="345">
        <v>1267</v>
      </c>
      <c r="W15" s="345">
        <v>1085</v>
      </c>
      <c r="X15" s="345">
        <v>1000</v>
      </c>
      <c r="Y15" s="345">
        <v>988</v>
      </c>
      <c r="Z15" s="345">
        <v>712</v>
      </c>
      <c r="AA15" s="345">
        <v>710</v>
      </c>
      <c r="AB15" s="345">
        <v>725</v>
      </c>
      <c r="AC15" s="344">
        <f>Y15*(1+AC16)</f>
        <v>938.59999999999991</v>
      </c>
      <c r="AD15" s="344">
        <f>Z15*(1+AD16)</f>
        <v>623</v>
      </c>
      <c r="AE15" s="344">
        <f>AA15*(1+AE16)</f>
        <v>621.25</v>
      </c>
      <c r="AF15" s="344">
        <f>AB15*(1+AF16)</f>
        <v>670.625</v>
      </c>
      <c r="AG15"/>
      <c r="AH15" s="345">
        <v>1637</v>
      </c>
      <c r="AI15" s="345">
        <v>1539</v>
      </c>
      <c r="AJ15" s="355">
        <f t="shared" ref="AJ15:AP15" si="9">+SUMIF($E$5:$AF$5,AJ$5,$E15:$AF15)</f>
        <v>2157</v>
      </c>
      <c r="AK15" s="355">
        <f t="shared" si="9"/>
        <v>2777</v>
      </c>
      <c r="AL15" s="355">
        <f t="shared" si="9"/>
        <v>3770</v>
      </c>
      <c r="AM15" s="355">
        <f t="shared" si="9"/>
        <v>4465</v>
      </c>
      <c r="AN15" s="355">
        <f t="shared" si="9"/>
        <v>4415</v>
      </c>
      <c r="AO15" s="355">
        <f t="shared" si="9"/>
        <v>3135</v>
      </c>
      <c r="AP15" s="355">
        <f t="shared" si="9"/>
        <v>2853.4749999999999</v>
      </c>
      <c r="AQ15" s="344">
        <f>AP15*(1+AQ16)</f>
        <v>2710.80125</v>
      </c>
      <c r="AR15" s="344">
        <f>AQ15*(1+AR16)</f>
        <v>2737.9092624999998</v>
      </c>
      <c r="AS15" s="344">
        <f>AR15*(1+AS16)</f>
        <v>2820.0465403749999</v>
      </c>
    </row>
    <row r="16" spans="1:71" s="346" customFormat="1" outlineLevel="1">
      <c r="C16" s="389" t="s">
        <v>17</v>
      </c>
      <c r="E16" s="348"/>
      <c r="F16" s="348"/>
      <c r="G16" s="348"/>
      <c r="H16" s="348"/>
      <c r="I16" s="347">
        <f t="shared" ref="I16:AB16" si="10">IFERROR(+I15/E15-1,"NA ")</f>
        <v>0.65428571428571436</v>
      </c>
      <c r="J16" s="347">
        <f t="shared" si="10"/>
        <v>0.44750000000000001</v>
      </c>
      <c r="K16" s="347">
        <f t="shared" si="10"/>
        <v>0.1482649842271293</v>
      </c>
      <c r="L16" s="347">
        <f t="shared" si="10"/>
        <v>0.15265200517464428</v>
      </c>
      <c r="M16" s="347">
        <f t="shared" si="10"/>
        <v>4.4905008635578669E-2</v>
      </c>
      <c r="N16" s="347">
        <f t="shared" si="10"/>
        <v>0.14507772020725396</v>
      </c>
      <c r="O16" s="347">
        <f t="shared" si="10"/>
        <v>0.66346153846153855</v>
      </c>
      <c r="P16" s="347">
        <f t="shared" si="10"/>
        <v>0.44893378226711556</v>
      </c>
      <c r="Q16" s="347">
        <f t="shared" si="10"/>
        <v>0.25950413223140489</v>
      </c>
      <c r="R16" s="347">
        <f t="shared" si="10"/>
        <v>0.38159879336349922</v>
      </c>
      <c r="S16" s="347">
        <f t="shared" si="10"/>
        <v>9.8265895953757232E-2</v>
      </c>
      <c r="T16" s="347">
        <f t="shared" si="10"/>
        <v>0.12858249419055001</v>
      </c>
      <c r="U16" s="347">
        <f t="shared" si="10"/>
        <v>0.39501312335957994</v>
      </c>
      <c r="V16" s="347">
        <f t="shared" si="10"/>
        <v>0.38318777292576423</v>
      </c>
      <c r="W16" s="347">
        <f t="shared" si="10"/>
        <v>-0.18421052631578949</v>
      </c>
      <c r="X16" s="347">
        <f t="shared" si="10"/>
        <v>-0.31365820178448867</v>
      </c>
      <c r="Y16" s="347">
        <f t="shared" si="10"/>
        <v>-7.0555032925681993E-2</v>
      </c>
      <c r="Z16" s="347">
        <f t="shared" si="10"/>
        <v>-0.43804262036306241</v>
      </c>
      <c r="AA16" s="347">
        <f t="shared" si="10"/>
        <v>-0.34562211981566815</v>
      </c>
      <c r="AB16" s="347">
        <f t="shared" si="10"/>
        <v>-0.27500000000000002</v>
      </c>
      <c r="AC16" s="578">
        <f>Assumptions!U15</f>
        <v>-0.05</v>
      </c>
      <c r="AD16" s="578">
        <f>Assumptions!V15</f>
        <v>-0.125</v>
      </c>
      <c r="AE16" s="578">
        <f>Assumptions!W15</f>
        <v>-0.125</v>
      </c>
      <c r="AF16" s="578">
        <f>Assumptions!X15</f>
        <v>-7.4999999999999997E-2</v>
      </c>
      <c r="AG16"/>
      <c r="AH16" s="348"/>
      <c r="AI16" s="347">
        <f>IFERROR(AI15/AH15-1,"NA ")</f>
        <v>-5.9865607819181377E-2</v>
      </c>
      <c r="AJ16" s="347">
        <f t="shared" ref="AJ16:AP16" si="11">IFERROR(AJ15/AI15-1,"NA ")</f>
        <v>0.40155945419103323</v>
      </c>
      <c r="AK16" s="347">
        <f t="shared" si="11"/>
        <v>0.28743625405656004</v>
      </c>
      <c r="AL16" s="347">
        <f t="shared" si="11"/>
        <v>0.35758012243428161</v>
      </c>
      <c r="AM16" s="347">
        <f t="shared" si="11"/>
        <v>0.18435013262599464</v>
      </c>
      <c r="AN16" s="347">
        <f t="shared" si="11"/>
        <v>-1.1198208286674172E-2</v>
      </c>
      <c r="AO16" s="347">
        <f t="shared" si="11"/>
        <v>-0.28992072480181197</v>
      </c>
      <c r="AP16" s="347">
        <f t="shared" si="11"/>
        <v>-8.980063795853277E-2</v>
      </c>
      <c r="AQ16" s="578">
        <f>Assumptions!AG15</f>
        <v>-0.05</v>
      </c>
      <c r="AR16" s="578">
        <f>Assumptions!AH15</f>
        <v>0.01</v>
      </c>
      <c r="AS16" s="578">
        <f>Assumptions!AI15</f>
        <v>0.03</v>
      </c>
    </row>
    <row r="17" spans="3:45" s="50" customFormat="1" ht="5.25" customHeight="1" outlineLevel="1">
      <c r="AG17"/>
    </row>
    <row r="18" spans="3:45" s="342" customFormat="1">
      <c r="C18" s="360" t="s">
        <v>19</v>
      </c>
      <c r="E18" s="352">
        <f>E12+E15</f>
        <v>7549</v>
      </c>
      <c r="F18" s="352">
        <f t="shared" ref="F18:AB18" si="12">F12+F15</f>
        <v>7338</v>
      </c>
      <c r="G18" s="352">
        <f t="shared" si="12"/>
        <v>8892</v>
      </c>
      <c r="H18" s="352">
        <f t="shared" si="12"/>
        <v>9129</v>
      </c>
      <c r="I18" s="352">
        <f t="shared" si="12"/>
        <v>7976</v>
      </c>
      <c r="J18" s="352">
        <f t="shared" si="12"/>
        <v>8213</v>
      </c>
      <c r="K18" s="352">
        <f t="shared" si="12"/>
        <v>8860</v>
      </c>
      <c r="L18" s="352">
        <f t="shared" si="12"/>
        <v>8954</v>
      </c>
      <c r="M18" s="352">
        <f t="shared" si="12"/>
        <v>8220</v>
      </c>
      <c r="N18" s="352">
        <f t="shared" si="12"/>
        <v>8728</v>
      </c>
      <c r="O18" s="352">
        <f t="shared" si="12"/>
        <v>10234</v>
      </c>
      <c r="P18" s="352">
        <f t="shared" si="12"/>
        <v>9822</v>
      </c>
      <c r="Q18" s="352">
        <f t="shared" si="12"/>
        <v>8586</v>
      </c>
      <c r="R18" s="352">
        <f t="shared" si="12"/>
        <v>8841</v>
      </c>
      <c r="S18" s="352">
        <f t="shared" si="12"/>
        <v>9709</v>
      </c>
      <c r="T18" s="352">
        <f t="shared" si="12"/>
        <v>10010</v>
      </c>
      <c r="U18" s="352">
        <f t="shared" si="12"/>
        <v>9775</v>
      </c>
      <c r="V18" s="352">
        <f t="shared" si="12"/>
        <v>9496</v>
      </c>
      <c r="W18" s="352">
        <f t="shared" si="12"/>
        <v>9847</v>
      </c>
      <c r="X18" s="352">
        <f t="shared" si="12"/>
        <v>10939</v>
      </c>
      <c r="Y18" s="352">
        <f t="shared" si="12"/>
        <v>10605</v>
      </c>
      <c r="Z18" s="352">
        <f t="shared" si="12"/>
        <v>10109</v>
      </c>
      <c r="AA18" s="352">
        <f t="shared" si="12"/>
        <v>9664</v>
      </c>
      <c r="AB18" s="352">
        <f t="shared" si="12"/>
        <v>10133</v>
      </c>
      <c r="AC18" s="352">
        <f>AC12+AC15</f>
        <v>10074.75</v>
      </c>
      <c r="AD18" s="352">
        <f>AD12+AD15</f>
        <v>8845.375</v>
      </c>
      <c r="AE18" s="352">
        <f>AE12+AE15</f>
        <v>8456</v>
      </c>
      <c r="AF18" s="352">
        <f>AF12+AF15</f>
        <v>9137.8250000000007</v>
      </c>
      <c r="AG18"/>
      <c r="AH18" s="352">
        <f t="shared" ref="AH18:AS18" si="13">AH12+AH15</f>
        <v>34872</v>
      </c>
      <c r="AI18" s="352">
        <f t="shared" si="13"/>
        <v>32219</v>
      </c>
      <c r="AJ18" s="352">
        <f t="shared" si="13"/>
        <v>32908</v>
      </c>
      <c r="AK18" s="352">
        <f t="shared" si="13"/>
        <v>34003</v>
      </c>
      <c r="AL18" s="352">
        <f t="shared" si="13"/>
        <v>37004</v>
      </c>
      <c r="AM18" s="352">
        <f t="shared" si="13"/>
        <v>37146</v>
      </c>
      <c r="AN18" s="352">
        <f t="shared" si="13"/>
        <v>40057</v>
      </c>
      <c r="AO18" s="352">
        <f t="shared" si="13"/>
        <v>40511</v>
      </c>
      <c r="AP18" s="352">
        <f t="shared" si="13"/>
        <v>36513.950000000004</v>
      </c>
      <c r="AQ18" s="352">
        <f t="shared" si="13"/>
        <v>33846.740625000006</v>
      </c>
      <c r="AR18" s="352">
        <f t="shared" si="13"/>
        <v>34185.208031250004</v>
      </c>
      <c r="AS18" s="352">
        <f t="shared" si="13"/>
        <v>35210.764272187509</v>
      </c>
    </row>
    <row r="19" spans="3:45" s="346" customFormat="1" outlineLevel="1">
      <c r="C19" s="424" t="s">
        <v>17</v>
      </c>
      <c r="E19" s="348"/>
      <c r="F19" s="348"/>
      <c r="G19" s="348"/>
      <c r="H19" s="348"/>
      <c r="I19" s="347">
        <f t="shared" ref="I19:AB19" si="14">IFERROR(+I18/E18-1,"NA ")</f>
        <v>5.656378328255407E-2</v>
      </c>
      <c r="J19" s="347">
        <f t="shared" si="14"/>
        <v>0.11924230035431993</v>
      </c>
      <c r="K19" s="347">
        <f t="shared" si="14"/>
        <v>-3.598740440845738E-3</v>
      </c>
      <c r="L19" s="347">
        <f t="shared" si="14"/>
        <v>-1.9169679044802268E-2</v>
      </c>
      <c r="M19" s="347">
        <f t="shared" si="14"/>
        <v>3.0591775325977899E-2</v>
      </c>
      <c r="N19" s="347">
        <f t="shared" si="14"/>
        <v>6.2705466942651888E-2</v>
      </c>
      <c r="O19" s="347">
        <f t="shared" si="14"/>
        <v>0.15507900677200892</v>
      </c>
      <c r="P19" s="347">
        <f t="shared" si="14"/>
        <v>9.6939915121733389E-2</v>
      </c>
      <c r="Q19" s="347">
        <f t="shared" si="14"/>
        <v>4.4525547445255498E-2</v>
      </c>
      <c r="R19" s="347">
        <f t="shared" si="14"/>
        <v>1.2946837763519792E-2</v>
      </c>
      <c r="S19" s="347">
        <f t="shared" si="14"/>
        <v>-5.129958960328318E-2</v>
      </c>
      <c r="T19" s="347">
        <f t="shared" si="14"/>
        <v>1.9140704540826725E-2</v>
      </c>
      <c r="U19" s="347">
        <f t="shared" si="14"/>
        <v>0.13848124854414157</v>
      </c>
      <c r="V19" s="347">
        <f t="shared" si="14"/>
        <v>7.4086641782603824E-2</v>
      </c>
      <c r="W19" s="347">
        <f t="shared" si="14"/>
        <v>1.4213616232361836E-2</v>
      </c>
      <c r="X19" s="347">
        <f t="shared" si="14"/>
        <v>9.280719280719274E-2</v>
      </c>
      <c r="Y19" s="347">
        <f t="shared" si="14"/>
        <v>8.4910485933503921E-2</v>
      </c>
      <c r="Z19" s="347">
        <f t="shared" si="14"/>
        <v>6.4553496208930028E-2</v>
      </c>
      <c r="AA19" s="347">
        <f t="shared" si="14"/>
        <v>-1.8584340408246192E-2</v>
      </c>
      <c r="AB19" s="347">
        <f t="shared" si="14"/>
        <v>-7.3681323704177681E-2</v>
      </c>
      <c r="AC19" s="347">
        <f>IFERROR(+AC18/Y18-1,"NA ")</f>
        <v>-5.0000000000000044E-2</v>
      </c>
      <c r="AD19" s="347">
        <f>IFERROR(+AD18/Z18-1,"NA ")</f>
        <v>-0.125</v>
      </c>
      <c r="AE19" s="347">
        <f>IFERROR(+AE18/AA18-1,"NA ")</f>
        <v>-0.125</v>
      </c>
      <c r="AF19" s="347">
        <f>IFERROR(+AF18/AB18-1,"NA ")</f>
        <v>-9.8211289845060668E-2</v>
      </c>
      <c r="AG19"/>
      <c r="AH19" s="348"/>
      <c r="AI19" s="347">
        <f>IFERROR(AI18/AH18-1,"NA ")</f>
        <v>-7.607822895159444E-2</v>
      </c>
      <c r="AJ19" s="347">
        <f t="shared" ref="AJ19:AO19" si="15">IFERROR(AJ18/AI18-1,"NA ")</f>
        <v>2.1384897110400702E-2</v>
      </c>
      <c r="AK19" s="347">
        <f t="shared" si="15"/>
        <v>3.3274583687856962E-2</v>
      </c>
      <c r="AL19" s="347">
        <f t="shared" si="15"/>
        <v>8.825691850719064E-2</v>
      </c>
      <c r="AM19" s="347">
        <f t="shared" si="15"/>
        <v>3.8374229812994098E-3</v>
      </c>
      <c r="AN19" s="347">
        <f t="shared" si="15"/>
        <v>7.8366445916114857E-2</v>
      </c>
      <c r="AO19" s="347">
        <f t="shared" si="15"/>
        <v>1.1333849264797635E-2</v>
      </c>
      <c r="AP19" s="347">
        <f>IFERROR(AP18/AO18-1,"NA ")</f>
        <v>-9.8665794475574442E-2</v>
      </c>
      <c r="AQ19" s="347">
        <f>IFERROR(AQ18/AP18-1,"NA ")</f>
        <v>-7.3046311752083759E-2</v>
      </c>
      <c r="AR19" s="347">
        <f>IFERROR(AR18/AQ18-1,"NA ")</f>
        <v>1.0000000000000009E-2</v>
      </c>
      <c r="AS19" s="347">
        <f>IFERROR(AS18/AR18-1,"NA ")</f>
        <v>3.0000000000000249E-2</v>
      </c>
    </row>
    <row r="20" spans="3:45" s="342" customFormat="1">
      <c r="C20" s="343"/>
      <c r="E20" s="358"/>
      <c r="F20" s="358"/>
      <c r="G20" s="358"/>
      <c r="H20" s="362"/>
      <c r="I20" s="358"/>
      <c r="J20" s="358"/>
      <c r="K20" s="358"/>
      <c r="L20" s="455"/>
      <c r="M20" s="358"/>
      <c r="N20" s="358"/>
      <c r="O20" s="358"/>
      <c r="P20" s="455"/>
      <c r="Q20" s="358"/>
      <c r="R20" s="358"/>
      <c r="S20" s="358"/>
      <c r="T20" s="455"/>
      <c r="U20" s="358"/>
      <c r="V20" s="358"/>
      <c r="W20" s="358"/>
      <c r="X20" s="358"/>
      <c r="Y20" s="358"/>
      <c r="Z20" s="358"/>
      <c r="AA20" s="358"/>
      <c r="AB20" s="358"/>
      <c r="AG20"/>
      <c r="AH20" s="358"/>
      <c r="AI20" s="358"/>
      <c r="AJ20" s="358"/>
      <c r="AK20" s="358"/>
      <c r="AL20" s="358"/>
      <c r="AM20" s="358"/>
      <c r="AN20" s="358"/>
      <c r="AO20" s="353"/>
    </row>
    <row r="21" spans="3:45" s="342" customFormat="1">
      <c r="C21" s="423" t="s">
        <v>20</v>
      </c>
      <c r="E21" s="358"/>
      <c r="F21" s="358"/>
      <c r="G21" s="358"/>
      <c r="H21" s="362"/>
      <c r="I21" s="358"/>
      <c r="J21" s="358"/>
      <c r="K21" s="358"/>
      <c r="L21" s="455"/>
      <c r="M21" s="358"/>
      <c r="N21" s="358"/>
      <c r="O21" s="358"/>
      <c r="P21" s="455"/>
      <c r="Q21" s="358"/>
      <c r="R21" s="358"/>
      <c r="S21" s="358"/>
      <c r="T21" s="455"/>
      <c r="U21" s="358"/>
      <c r="V21" s="358"/>
      <c r="W21" s="358"/>
      <c r="X21" s="358"/>
      <c r="Y21" s="358"/>
      <c r="Z21" s="358"/>
      <c r="AA21" s="358"/>
      <c r="AB21" s="358"/>
      <c r="AG21"/>
      <c r="AH21" s="358"/>
      <c r="AI21" s="358"/>
      <c r="AJ21" s="358"/>
      <c r="AK21" s="358"/>
      <c r="AL21" s="358"/>
      <c r="AM21" s="358"/>
      <c r="AN21" s="358"/>
      <c r="AO21" s="353"/>
      <c r="AP21" s="345"/>
    </row>
    <row r="22" spans="3:45" s="342" customFormat="1">
      <c r="E22" s="358"/>
      <c r="F22" s="358"/>
      <c r="G22" s="358"/>
      <c r="H22" s="362"/>
      <c r="I22" s="358"/>
      <c r="J22" s="358"/>
      <c r="K22" s="358"/>
      <c r="L22" s="455"/>
      <c r="M22" s="358"/>
      <c r="N22" s="358"/>
      <c r="O22" s="358"/>
      <c r="P22" s="455"/>
      <c r="Q22" s="358"/>
      <c r="R22" s="358"/>
      <c r="S22" s="358"/>
      <c r="T22" s="455"/>
      <c r="U22" s="358"/>
      <c r="V22" s="358"/>
      <c r="W22" s="358"/>
      <c r="X22" s="358"/>
      <c r="Y22" s="358"/>
      <c r="Z22" s="358"/>
      <c r="AA22" s="358"/>
      <c r="AB22" s="358"/>
      <c r="AG22"/>
      <c r="AH22" s="358"/>
      <c r="AI22" s="358"/>
      <c r="AJ22" s="358"/>
      <c r="AK22" s="358"/>
      <c r="AL22" s="358"/>
      <c r="AM22" s="358"/>
      <c r="AN22" s="358"/>
      <c r="AO22" s="353"/>
    </row>
    <row r="23" spans="3:45" s="338" customFormat="1">
      <c r="C23" s="361" t="s">
        <v>16</v>
      </c>
      <c r="E23" s="345">
        <v>3707</v>
      </c>
      <c r="F23" s="345">
        <v>3718</v>
      </c>
      <c r="G23" s="345">
        <v>4164</v>
      </c>
      <c r="H23" s="345">
        <v>4306</v>
      </c>
      <c r="I23" s="345">
        <v>3879</v>
      </c>
      <c r="J23" s="345">
        <v>4026</v>
      </c>
      <c r="K23" s="345">
        <v>4439</v>
      </c>
      <c r="L23" s="345">
        <v>5095</v>
      </c>
      <c r="M23" s="345">
        <v>4824</v>
      </c>
      <c r="N23" s="345">
        <v>5100</v>
      </c>
      <c r="O23" s="345">
        <v>5637</v>
      </c>
      <c r="P23" s="345">
        <v>5594</v>
      </c>
      <c r="Q23" s="345">
        <v>4482</v>
      </c>
      <c r="R23" s="345">
        <v>4553</v>
      </c>
      <c r="S23" s="345">
        <v>5819</v>
      </c>
      <c r="T23" s="345">
        <v>6587</v>
      </c>
      <c r="U23" s="345">
        <v>6427</v>
      </c>
      <c r="V23" s="345">
        <v>6181</v>
      </c>
      <c r="W23" s="345">
        <v>5151</v>
      </c>
      <c r="X23" s="345">
        <v>5297</v>
      </c>
      <c r="Y23" s="345">
        <v>4811</v>
      </c>
      <c r="Z23" s="345">
        <v>5703</v>
      </c>
      <c r="AA23" s="345">
        <v>5747</v>
      </c>
      <c r="AB23" s="345">
        <v>6442</v>
      </c>
      <c r="AC23" s="344">
        <f>Y23*(1+AC24)</f>
        <v>5532.65</v>
      </c>
      <c r="AD23" s="344">
        <f>Z23*(1+AD24)</f>
        <v>5132.7</v>
      </c>
      <c r="AE23" s="344">
        <f>AA23*(1+AE24)</f>
        <v>5172.3</v>
      </c>
      <c r="AF23" s="344">
        <f>AB23*(1+AF24)</f>
        <v>5153.6000000000004</v>
      </c>
      <c r="AG23"/>
      <c r="AH23" s="345">
        <v>13341</v>
      </c>
      <c r="AI23" s="345">
        <v>14856</v>
      </c>
      <c r="AJ23" s="355">
        <f t="shared" ref="AJ23:AP23" si="16">+SUMIF($E$5:$AF$5,AJ$5,$E23:$AF23)</f>
        <v>15895</v>
      </c>
      <c r="AK23" s="355">
        <f t="shared" si="16"/>
        <v>17439</v>
      </c>
      <c r="AL23" s="355">
        <f t="shared" si="16"/>
        <v>21155</v>
      </c>
      <c r="AM23" s="355">
        <f t="shared" si="16"/>
        <v>21441</v>
      </c>
      <c r="AN23" s="355">
        <f t="shared" si="16"/>
        <v>23056</v>
      </c>
      <c r="AO23" s="355">
        <f t="shared" si="16"/>
        <v>22703</v>
      </c>
      <c r="AP23" s="355">
        <f t="shared" si="16"/>
        <v>20991.25</v>
      </c>
      <c r="AQ23" s="344">
        <f>AP23*(1+AQ24)</f>
        <v>18892.125</v>
      </c>
      <c r="AR23" s="344">
        <f>AQ23*(1+AR24)</f>
        <v>19458.888750000002</v>
      </c>
      <c r="AS23" s="344">
        <f>AR23*(1+AS24)</f>
        <v>20042.655412500004</v>
      </c>
    </row>
    <row r="24" spans="3:45" s="346" customFormat="1" outlineLevel="1">
      <c r="C24" s="389" t="s">
        <v>17</v>
      </c>
      <c r="E24" s="348"/>
      <c r="F24" s="348"/>
      <c r="G24" s="348"/>
      <c r="H24" s="348"/>
      <c r="I24" s="347">
        <f t="shared" ref="I24:AB24" si="17">IFERROR(+I23/E23-1,"NA ")</f>
        <v>4.6398705152414399E-2</v>
      </c>
      <c r="J24" s="347">
        <f t="shared" si="17"/>
        <v>8.2840236686390512E-2</v>
      </c>
      <c r="K24" s="347">
        <f t="shared" si="17"/>
        <v>6.6042267050912651E-2</v>
      </c>
      <c r="L24" s="347">
        <f t="shared" si="17"/>
        <v>0.18323269856014868</v>
      </c>
      <c r="M24" s="347">
        <f t="shared" si="17"/>
        <v>0.24361948955916479</v>
      </c>
      <c r="N24" s="347">
        <f t="shared" si="17"/>
        <v>0.26676602086438161</v>
      </c>
      <c r="O24" s="347">
        <f t="shared" si="17"/>
        <v>0.26988060373958089</v>
      </c>
      <c r="P24" s="347">
        <f t="shared" si="17"/>
        <v>9.7939156035328656E-2</v>
      </c>
      <c r="Q24" s="347">
        <f t="shared" si="17"/>
        <v>-7.089552238805974E-2</v>
      </c>
      <c r="R24" s="347">
        <f t="shared" si="17"/>
        <v>-0.10725490196078435</v>
      </c>
      <c r="S24" s="347">
        <f t="shared" si="17"/>
        <v>3.2286677310626288E-2</v>
      </c>
      <c r="T24" s="347">
        <f t="shared" si="17"/>
        <v>0.17751161959242046</v>
      </c>
      <c r="U24" s="347">
        <f t="shared" si="17"/>
        <v>0.43395805443998214</v>
      </c>
      <c r="V24" s="347">
        <f t="shared" si="17"/>
        <v>0.35756643971008129</v>
      </c>
      <c r="W24" s="347">
        <f t="shared" si="17"/>
        <v>-0.11479635676233024</v>
      </c>
      <c r="X24" s="347">
        <f t="shared" si="17"/>
        <v>-0.19584029148322457</v>
      </c>
      <c r="Y24" s="347">
        <f t="shared" si="17"/>
        <v>-0.25143924070328305</v>
      </c>
      <c r="Z24" s="347">
        <f t="shared" si="17"/>
        <v>-7.733376476298337E-2</v>
      </c>
      <c r="AA24" s="347">
        <f t="shared" si="17"/>
        <v>0.11570568821588045</v>
      </c>
      <c r="AB24" s="347">
        <f t="shared" si="17"/>
        <v>0.21616009061733066</v>
      </c>
      <c r="AC24" s="578">
        <f>Assumptions!U20</f>
        <v>0.15</v>
      </c>
      <c r="AD24" s="578">
        <f>Assumptions!V20</f>
        <v>-0.1</v>
      </c>
      <c r="AE24" s="578">
        <f>Assumptions!W20</f>
        <v>-0.1</v>
      </c>
      <c r="AF24" s="578">
        <f>Assumptions!X20</f>
        <v>-0.2</v>
      </c>
      <c r="AG24"/>
      <c r="AH24" s="348"/>
      <c r="AI24" s="347">
        <f>IFERROR(AI23/AH23-1,"NA ")</f>
        <v>0.11355970317067676</v>
      </c>
      <c r="AJ24" s="347">
        <f t="shared" ref="AJ24:AP24" si="18">IFERROR(AJ23/AI23-1,"NA ")</f>
        <v>6.9938072159396958E-2</v>
      </c>
      <c r="AK24" s="347">
        <f t="shared" si="18"/>
        <v>9.7137464611513069E-2</v>
      </c>
      <c r="AL24" s="347">
        <f t="shared" si="18"/>
        <v>0.21308561270715054</v>
      </c>
      <c r="AM24" s="347">
        <f t="shared" si="18"/>
        <v>1.3519262585677039E-2</v>
      </c>
      <c r="AN24" s="347">
        <f t="shared" si="18"/>
        <v>7.5322979338650287E-2</v>
      </c>
      <c r="AO24" s="347">
        <f t="shared" si="18"/>
        <v>-1.5310548230395571E-2</v>
      </c>
      <c r="AP24" s="347">
        <f t="shared" si="18"/>
        <v>-7.5397524556226059E-2</v>
      </c>
      <c r="AQ24" s="578">
        <f>Assumptions!AG20</f>
        <v>-0.1</v>
      </c>
      <c r="AR24" s="578">
        <f>Assumptions!AH20</f>
        <v>0.03</v>
      </c>
      <c r="AS24" s="578">
        <f>Assumptions!AI20</f>
        <v>0.03</v>
      </c>
    </row>
    <row r="25" spans="3:45" s="50" customFormat="1" ht="5.25" customHeight="1" outlineLevel="1">
      <c r="AG25"/>
    </row>
    <row r="26" spans="3:45" s="338" customFormat="1">
      <c r="C26" s="361" t="s">
        <v>18</v>
      </c>
      <c r="E26" s="345">
        <v>292</v>
      </c>
      <c r="F26" s="345">
        <v>309</v>
      </c>
      <c r="G26" s="345">
        <v>378</v>
      </c>
      <c r="H26" s="345">
        <v>362</v>
      </c>
      <c r="I26" s="345">
        <v>353</v>
      </c>
      <c r="J26" s="345">
        <v>346</v>
      </c>
      <c r="K26" s="345">
        <v>439</v>
      </c>
      <c r="L26" s="345">
        <v>487</v>
      </c>
      <c r="M26" s="345">
        <v>410</v>
      </c>
      <c r="N26" s="345">
        <v>449</v>
      </c>
      <c r="O26" s="345">
        <v>502</v>
      </c>
      <c r="P26" s="345">
        <v>475</v>
      </c>
      <c r="Q26" s="345">
        <v>420</v>
      </c>
      <c r="R26" s="345">
        <v>430</v>
      </c>
      <c r="S26" s="345">
        <v>564</v>
      </c>
      <c r="T26" s="345">
        <v>626</v>
      </c>
      <c r="U26" s="345">
        <v>566</v>
      </c>
      <c r="V26" s="345">
        <v>936</v>
      </c>
      <c r="W26" s="345">
        <v>754</v>
      </c>
      <c r="X26" s="345">
        <v>791</v>
      </c>
      <c r="Y26" s="345">
        <v>753</v>
      </c>
      <c r="Z26" s="345">
        <v>752</v>
      </c>
      <c r="AA26" s="345">
        <v>749</v>
      </c>
      <c r="AB26" s="345">
        <v>864</v>
      </c>
      <c r="AC26" s="344">
        <f>Y26*(1+AC27)</f>
        <v>865.94999999999993</v>
      </c>
      <c r="AD26" s="344">
        <f>Z26*(1+AD27)</f>
        <v>676.80000000000007</v>
      </c>
      <c r="AE26" s="344">
        <f>AA26*(1+AE27)</f>
        <v>674.1</v>
      </c>
      <c r="AF26" s="344">
        <f>AB26*(1+AF27)</f>
        <v>691.2</v>
      </c>
      <c r="AG26"/>
      <c r="AH26" s="345">
        <v>1055</v>
      </c>
      <c r="AI26" s="345">
        <v>1125</v>
      </c>
      <c r="AJ26" s="355">
        <f t="shared" ref="AJ26:AP26" si="19">+SUMIF($E$5:$AF$5,AJ$5,$E26:$AF26)</f>
        <v>1341</v>
      </c>
      <c r="AK26" s="355">
        <f t="shared" si="19"/>
        <v>1625</v>
      </c>
      <c r="AL26" s="355">
        <f t="shared" si="19"/>
        <v>1836</v>
      </c>
      <c r="AM26" s="355">
        <f t="shared" si="19"/>
        <v>2040</v>
      </c>
      <c r="AN26" s="355">
        <f t="shared" si="19"/>
        <v>3047</v>
      </c>
      <c r="AO26" s="355">
        <f t="shared" si="19"/>
        <v>3118</v>
      </c>
      <c r="AP26" s="355">
        <f t="shared" si="19"/>
        <v>2908.05</v>
      </c>
      <c r="AQ26" s="344">
        <f>AP26*(1+AQ27)</f>
        <v>2762.6475</v>
      </c>
      <c r="AR26" s="344">
        <f>AQ26*(1+AR27)</f>
        <v>2900.7798750000002</v>
      </c>
      <c r="AS26" s="344">
        <f>AR26*(1+AS27)</f>
        <v>2987.8032712500003</v>
      </c>
    </row>
    <row r="27" spans="3:45" s="346" customFormat="1" outlineLevel="1">
      <c r="C27" s="389" t="s">
        <v>17</v>
      </c>
      <c r="E27" s="348"/>
      <c r="F27" s="348"/>
      <c r="G27" s="348"/>
      <c r="H27" s="348"/>
      <c r="I27" s="347">
        <f t="shared" ref="I27:AB27" si="20">IFERROR(+I26/E26-1,"NA ")</f>
        <v>0.20890410958904115</v>
      </c>
      <c r="J27" s="347">
        <f t="shared" si="20"/>
        <v>0.11974110032362462</v>
      </c>
      <c r="K27" s="347">
        <f t="shared" si="20"/>
        <v>0.16137566137566139</v>
      </c>
      <c r="L27" s="347">
        <f t="shared" si="20"/>
        <v>0.34530386740331487</v>
      </c>
      <c r="M27" s="347">
        <f t="shared" si="20"/>
        <v>0.16147308781869696</v>
      </c>
      <c r="N27" s="347">
        <f t="shared" si="20"/>
        <v>0.29768786127167624</v>
      </c>
      <c r="O27" s="347">
        <f t="shared" si="20"/>
        <v>0.14350797266514803</v>
      </c>
      <c r="P27" s="347">
        <f t="shared" si="20"/>
        <v>-2.4640657084188944E-2</v>
      </c>
      <c r="Q27" s="347">
        <f t="shared" si="20"/>
        <v>2.4390243902439046E-2</v>
      </c>
      <c r="R27" s="347">
        <f t="shared" si="20"/>
        <v>-4.2316258351893121E-2</v>
      </c>
      <c r="S27" s="347">
        <f t="shared" si="20"/>
        <v>0.12350597609561742</v>
      </c>
      <c r="T27" s="347">
        <f t="shared" si="20"/>
        <v>0.31789473684210523</v>
      </c>
      <c r="U27" s="347">
        <f t="shared" si="20"/>
        <v>0.34761904761904772</v>
      </c>
      <c r="V27" s="347">
        <f t="shared" si="20"/>
        <v>1.1767441860465118</v>
      </c>
      <c r="W27" s="347">
        <f t="shared" si="20"/>
        <v>0.33687943262411357</v>
      </c>
      <c r="X27" s="347">
        <f t="shared" si="20"/>
        <v>0.26357827476038342</v>
      </c>
      <c r="Y27" s="347">
        <f t="shared" si="20"/>
        <v>0.33038869257950521</v>
      </c>
      <c r="Z27" s="347">
        <f t="shared" si="20"/>
        <v>-0.19658119658119655</v>
      </c>
      <c r="AA27" s="347">
        <f t="shared" si="20"/>
        <v>-6.6312997347479641E-3</v>
      </c>
      <c r="AB27" s="347">
        <f t="shared" si="20"/>
        <v>9.228824273072056E-2</v>
      </c>
      <c r="AC27" s="578">
        <f>Assumptions!U25</f>
        <v>0.15</v>
      </c>
      <c r="AD27" s="578">
        <f>Assumptions!V25</f>
        <v>-0.1</v>
      </c>
      <c r="AE27" s="578">
        <f>Assumptions!W25</f>
        <v>-0.1</v>
      </c>
      <c r="AF27" s="578">
        <f>Assumptions!X25</f>
        <v>-0.2</v>
      </c>
      <c r="AG27"/>
      <c r="AH27" s="348"/>
      <c r="AI27" s="347">
        <f>IFERROR(AI26/AH26-1,"NA ")</f>
        <v>6.6350710900473953E-2</v>
      </c>
      <c r="AJ27" s="347">
        <f t="shared" ref="AJ27:AP27" si="21">IFERROR(AJ26/AI26-1,"NA ")</f>
        <v>0.19199999999999995</v>
      </c>
      <c r="AK27" s="347">
        <f t="shared" si="21"/>
        <v>0.21178225205070844</v>
      </c>
      <c r="AL27" s="347">
        <f t="shared" si="21"/>
        <v>0.12984615384615394</v>
      </c>
      <c r="AM27" s="347">
        <f t="shared" si="21"/>
        <v>0.11111111111111116</v>
      </c>
      <c r="AN27" s="347">
        <f t="shared" si="21"/>
        <v>0.49362745098039218</v>
      </c>
      <c r="AO27" s="347">
        <f t="shared" si="21"/>
        <v>2.3301608139153274E-2</v>
      </c>
      <c r="AP27" s="347">
        <f t="shared" si="21"/>
        <v>-6.7334830019243008E-2</v>
      </c>
      <c r="AQ27" s="578">
        <f>Assumptions!AG25</f>
        <v>-0.05</v>
      </c>
      <c r="AR27" s="578">
        <f>Assumptions!AH25</f>
        <v>0.05</v>
      </c>
      <c r="AS27" s="578">
        <f>Assumptions!AI25</f>
        <v>0.03</v>
      </c>
    </row>
    <row r="28" spans="3:45" s="50" customFormat="1" ht="5.25" customHeight="1" outlineLevel="1">
      <c r="AG28"/>
    </row>
    <row r="29" spans="3:45" s="342" customFormat="1">
      <c r="C29" s="360" t="s">
        <v>19</v>
      </c>
      <c r="E29" s="352">
        <f>E23+E26</f>
        <v>3999</v>
      </c>
      <c r="F29" s="352">
        <f t="shared" ref="F29:AB29" si="22">F23+F26</f>
        <v>4027</v>
      </c>
      <c r="G29" s="352">
        <f t="shared" si="22"/>
        <v>4542</v>
      </c>
      <c r="H29" s="352">
        <f t="shared" si="22"/>
        <v>4668</v>
      </c>
      <c r="I29" s="352">
        <f t="shared" si="22"/>
        <v>4232</v>
      </c>
      <c r="J29" s="352">
        <f t="shared" si="22"/>
        <v>4372</v>
      </c>
      <c r="K29" s="352">
        <f t="shared" si="22"/>
        <v>4878</v>
      </c>
      <c r="L29" s="352">
        <f t="shared" si="22"/>
        <v>5582</v>
      </c>
      <c r="M29" s="352">
        <f t="shared" si="22"/>
        <v>5234</v>
      </c>
      <c r="N29" s="352">
        <f t="shared" si="22"/>
        <v>5549</v>
      </c>
      <c r="O29" s="352">
        <f t="shared" si="22"/>
        <v>6139</v>
      </c>
      <c r="P29" s="352">
        <f t="shared" si="22"/>
        <v>6069</v>
      </c>
      <c r="Q29" s="352">
        <f t="shared" si="22"/>
        <v>4902</v>
      </c>
      <c r="R29" s="352">
        <f t="shared" si="22"/>
        <v>4983</v>
      </c>
      <c r="S29" s="352">
        <f t="shared" si="22"/>
        <v>6383</v>
      </c>
      <c r="T29" s="352">
        <f t="shared" si="22"/>
        <v>7213</v>
      </c>
      <c r="U29" s="352">
        <f t="shared" si="22"/>
        <v>6993</v>
      </c>
      <c r="V29" s="352">
        <f t="shared" si="22"/>
        <v>7117</v>
      </c>
      <c r="W29" s="352">
        <f t="shared" si="22"/>
        <v>5905</v>
      </c>
      <c r="X29" s="352">
        <f t="shared" si="22"/>
        <v>6088</v>
      </c>
      <c r="Y29" s="352">
        <f t="shared" si="22"/>
        <v>5564</v>
      </c>
      <c r="Z29" s="352">
        <f t="shared" si="22"/>
        <v>6455</v>
      </c>
      <c r="AA29" s="352">
        <f t="shared" si="22"/>
        <v>6496</v>
      </c>
      <c r="AB29" s="352">
        <f t="shared" si="22"/>
        <v>7306</v>
      </c>
      <c r="AC29" s="352">
        <f>AC23+AC26</f>
        <v>6398.5999999999995</v>
      </c>
      <c r="AD29" s="352">
        <f>AD23+AD26</f>
        <v>5809.5</v>
      </c>
      <c r="AE29" s="352">
        <f>AE23+AE26</f>
        <v>5846.4000000000005</v>
      </c>
      <c r="AF29" s="352">
        <f t="shared" ref="AF29:AS29" si="23">AF23+AF26</f>
        <v>5844.8</v>
      </c>
      <c r="AG29"/>
      <c r="AH29" s="352">
        <f t="shared" si="23"/>
        <v>14396</v>
      </c>
      <c r="AI29" s="352">
        <f t="shared" si="23"/>
        <v>15981</v>
      </c>
      <c r="AJ29" s="352">
        <f t="shared" si="23"/>
        <v>17236</v>
      </c>
      <c r="AK29" s="352">
        <f t="shared" si="23"/>
        <v>19064</v>
      </c>
      <c r="AL29" s="352">
        <f t="shared" si="23"/>
        <v>22991</v>
      </c>
      <c r="AM29" s="352">
        <f t="shared" si="23"/>
        <v>23481</v>
      </c>
      <c r="AN29" s="352">
        <f t="shared" si="23"/>
        <v>26103</v>
      </c>
      <c r="AO29" s="352">
        <f t="shared" si="23"/>
        <v>25821</v>
      </c>
      <c r="AP29" s="352">
        <f t="shared" si="23"/>
        <v>23899.3</v>
      </c>
      <c r="AQ29" s="352">
        <f t="shared" si="23"/>
        <v>21654.772499999999</v>
      </c>
      <c r="AR29" s="352">
        <f t="shared" si="23"/>
        <v>22359.668625000002</v>
      </c>
      <c r="AS29" s="352">
        <f t="shared" si="23"/>
        <v>23030.458683750003</v>
      </c>
    </row>
    <row r="30" spans="3:45" s="346" customFormat="1" outlineLevel="1">
      <c r="C30" s="424" t="s">
        <v>17</v>
      </c>
      <c r="E30" s="348"/>
      <c r="F30" s="348"/>
      <c r="G30" s="348"/>
      <c r="H30" s="348"/>
      <c r="I30" s="347">
        <f t="shared" ref="I30:AB30" si="24">IFERROR(+I29/E29-1,"NA ")</f>
        <v>5.8264566141535301E-2</v>
      </c>
      <c r="J30" s="347">
        <f t="shared" si="24"/>
        <v>8.5671715917556401E-2</v>
      </c>
      <c r="K30" s="347">
        <f t="shared" si="24"/>
        <v>7.3976221928665709E-2</v>
      </c>
      <c r="L30" s="347">
        <f t="shared" si="24"/>
        <v>0.19580119965724085</v>
      </c>
      <c r="M30" s="347">
        <f t="shared" si="24"/>
        <v>0.23676748582230633</v>
      </c>
      <c r="N30" s="347">
        <f t="shared" si="24"/>
        <v>0.26921317474839901</v>
      </c>
      <c r="O30" s="347">
        <f t="shared" si="24"/>
        <v>0.2585075850758507</v>
      </c>
      <c r="P30" s="347">
        <f t="shared" si="24"/>
        <v>8.7244715155858188E-2</v>
      </c>
      <c r="Q30" s="347">
        <f t="shared" si="24"/>
        <v>-6.3431410011463463E-2</v>
      </c>
      <c r="R30" s="347">
        <f t="shared" si="24"/>
        <v>-0.10200036042530181</v>
      </c>
      <c r="S30" s="347">
        <f t="shared" si="24"/>
        <v>3.9745886952272436E-2</v>
      </c>
      <c r="T30" s="347">
        <f t="shared" si="24"/>
        <v>0.18849892898335807</v>
      </c>
      <c r="U30" s="347">
        <f t="shared" si="24"/>
        <v>0.42656058751529979</v>
      </c>
      <c r="V30" s="347">
        <f t="shared" si="24"/>
        <v>0.42825607064017657</v>
      </c>
      <c r="W30" s="347">
        <f t="shared" si="24"/>
        <v>-7.4886417045276543E-2</v>
      </c>
      <c r="X30" s="347">
        <f t="shared" si="24"/>
        <v>-0.15596839040621102</v>
      </c>
      <c r="Y30" s="347">
        <f t="shared" si="24"/>
        <v>-0.20434720434720433</v>
      </c>
      <c r="Z30" s="347">
        <f t="shared" si="24"/>
        <v>-9.3016720528312447E-2</v>
      </c>
      <c r="AA30" s="347">
        <f t="shared" si="24"/>
        <v>0.10008467400508048</v>
      </c>
      <c r="AB30" s="347">
        <f t="shared" si="24"/>
        <v>0.20006570302233895</v>
      </c>
      <c r="AC30" s="347">
        <f>IFERROR(+AC29/Y29-1,"NA ")</f>
        <v>0.14999999999999991</v>
      </c>
      <c r="AD30" s="347">
        <f>IFERROR(+AD29/Z29-1,"NA ")</f>
        <v>-9.9999999999999978E-2</v>
      </c>
      <c r="AE30" s="347">
        <f>IFERROR(+AE29/AA29-1,"NA ")</f>
        <v>-9.9999999999999867E-2</v>
      </c>
      <c r="AF30" s="347">
        <f>IFERROR(+AF29/AB29-1,"NA ")</f>
        <v>-0.19999999999999996</v>
      </c>
      <c r="AG30"/>
      <c r="AH30" s="348"/>
      <c r="AI30" s="347">
        <f>IFERROR(AI29/AH29-1,"NA ")</f>
        <v>0.11010002778549599</v>
      </c>
      <c r="AJ30" s="347">
        <f t="shared" ref="AJ30:AO30" si="25">IFERROR(AJ29/AI29-1,"NA ")</f>
        <v>7.8530755271885466E-2</v>
      </c>
      <c r="AK30" s="347">
        <f t="shared" si="25"/>
        <v>0.10605708981202144</v>
      </c>
      <c r="AL30" s="347">
        <f t="shared" si="25"/>
        <v>0.2059903483004617</v>
      </c>
      <c r="AM30" s="347">
        <f t="shared" si="25"/>
        <v>2.1312687573398215E-2</v>
      </c>
      <c r="AN30" s="347">
        <f t="shared" si="25"/>
        <v>0.11166475022358502</v>
      </c>
      <c r="AO30" s="347">
        <f t="shared" si="25"/>
        <v>-1.0803355936099268E-2</v>
      </c>
      <c r="AP30" s="347">
        <f>IFERROR(AP29/AO29-1,"NA ")</f>
        <v>-7.442391851593666E-2</v>
      </c>
      <c r="AQ30" s="347">
        <f>IFERROR(AQ29/AP29-1,"NA ")</f>
        <v>-9.3916035197683656E-2</v>
      </c>
      <c r="AR30" s="347">
        <f>IFERROR(AR29/AQ29-1,"NA ")</f>
        <v>3.2551536849440676E-2</v>
      </c>
      <c r="AS30" s="347">
        <f>IFERROR(AS29/AR29-1,"NA ")</f>
        <v>3.0000000000000027E-2</v>
      </c>
    </row>
    <row r="31" spans="3:45" s="338" customFormat="1">
      <c r="C31" s="343"/>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45"/>
      <c r="AG31"/>
      <c r="AH31" s="345"/>
      <c r="AI31" s="345"/>
      <c r="AJ31" s="345"/>
      <c r="AK31" s="345"/>
      <c r="AL31" s="345"/>
      <c r="AM31" s="345"/>
      <c r="AN31" s="345"/>
      <c r="AO31" s="345"/>
    </row>
    <row r="32" spans="3:45" s="338" customFormat="1">
      <c r="C32" s="423" t="s">
        <v>21</v>
      </c>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c r="AH32" s="345"/>
      <c r="AI32" s="345"/>
      <c r="AJ32" s="345"/>
      <c r="AK32" s="345"/>
      <c r="AL32" s="345"/>
      <c r="AM32" s="345"/>
      <c r="AN32" s="345"/>
      <c r="AO32" s="345"/>
      <c r="AP32" s="345"/>
    </row>
    <row r="33" spans="3:61" s="338" customFormat="1">
      <c r="C33" s="342"/>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c r="AH33" s="345"/>
      <c r="AI33" s="345"/>
      <c r="AJ33" s="345"/>
      <c r="AK33" s="345"/>
      <c r="AL33" s="345"/>
      <c r="AM33" s="345"/>
      <c r="AN33" s="345"/>
      <c r="AO33" s="345"/>
    </row>
    <row r="34" spans="3:61" s="338" customFormat="1">
      <c r="C34" s="361" t="s">
        <v>22</v>
      </c>
      <c r="E34" s="348"/>
      <c r="F34" s="348"/>
      <c r="G34" s="348"/>
      <c r="H34" s="348"/>
      <c r="I34" s="348"/>
      <c r="J34" s="348"/>
      <c r="K34" s="348"/>
      <c r="L34" s="348"/>
      <c r="M34" s="457">
        <v>840</v>
      </c>
      <c r="N34" s="348"/>
      <c r="O34" s="345">
        <v>919</v>
      </c>
      <c r="P34" s="348"/>
      <c r="Q34" s="345">
        <v>910</v>
      </c>
      <c r="R34" s="345">
        <v>986</v>
      </c>
      <c r="S34" s="345">
        <v>1005</v>
      </c>
      <c r="T34" s="345">
        <v>920</v>
      </c>
      <c r="U34" s="345">
        <v>883</v>
      </c>
      <c r="V34" s="345">
        <v>670</v>
      </c>
      <c r="W34" s="345">
        <v>677</v>
      </c>
      <c r="X34" s="345">
        <v>777</v>
      </c>
      <c r="Y34" s="345">
        <v>914</v>
      </c>
      <c r="Z34" s="345">
        <v>984</v>
      </c>
      <c r="AA34" s="345">
        <v>1042</v>
      </c>
      <c r="AB34" s="345">
        <v>1058</v>
      </c>
      <c r="AC34" s="344">
        <f>Y34*(1+AC35)</f>
        <v>959.7</v>
      </c>
      <c r="AD34" s="344">
        <f>Z34*(1+AD35)</f>
        <v>1033.2</v>
      </c>
      <c r="AE34" s="344">
        <f>AA34*(1+AE35)</f>
        <v>1094.1000000000001</v>
      </c>
      <c r="AF34" s="344">
        <f>AB34*(1+AF35)</f>
        <v>1110.9000000000001</v>
      </c>
      <c r="AG34"/>
      <c r="AH34" s="345">
        <v>1814</v>
      </c>
      <c r="AI34" s="345">
        <v>1976</v>
      </c>
      <c r="AJ34" s="484"/>
      <c r="AK34" s="484"/>
      <c r="AL34" s="484"/>
      <c r="AM34" s="355">
        <f>+SUMIF($E$5:$AF$5,AM$5,$E34:$AF34)</f>
        <v>3821</v>
      </c>
      <c r="AN34" s="355">
        <f>+SUMIF($E$5:$AF$5,AN$5,$E34:$AF34)</f>
        <v>3007</v>
      </c>
      <c r="AO34" s="355">
        <f>+SUMIF($E$5:$AF$5,AO$5,$E34:$AF34)</f>
        <v>3998</v>
      </c>
      <c r="AP34" s="355">
        <f>+SUMIF($E$5:$AF$5,AP$5,$E34:$AF34)</f>
        <v>4197.8999999999996</v>
      </c>
      <c r="AQ34" s="344">
        <f>AP34*(1+AQ35)</f>
        <v>4449.7739999999994</v>
      </c>
      <c r="AR34" s="344">
        <f>AQ34*(1+AR35)</f>
        <v>4805.7559199999996</v>
      </c>
      <c r="AS34" s="344">
        <f>AR34*(1+AS35)</f>
        <v>5286.3315119999997</v>
      </c>
    </row>
    <row r="35" spans="3:61" s="346" customFormat="1" outlineLevel="1">
      <c r="C35" s="389" t="s">
        <v>17</v>
      </c>
      <c r="E35" s="348"/>
      <c r="F35" s="348"/>
      <c r="G35" s="348"/>
      <c r="H35" s="348"/>
      <c r="I35" s="348"/>
      <c r="J35" s="348"/>
      <c r="K35" s="348"/>
      <c r="L35" s="348"/>
      <c r="M35" s="457"/>
      <c r="N35" s="348"/>
      <c r="O35" s="348"/>
      <c r="P35" s="348"/>
      <c r="Q35" s="348"/>
      <c r="R35" s="348"/>
      <c r="S35" s="348"/>
      <c r="T35" s="348"/>
      <c r="U35" s="348"/>
      <c r="V35" s="347">
        <f t="shared" ref="V35:AB35" si="26">IFERROR(+V34/R34-1,"NA ")</f>
        <v>-0.32048681541582147</v>
      </c>
      <c r="W35" s="347">
        <f t="shared" si="26"/>
        <v>-0.3263681592039801</v>
      </c>
      <c r="X35" s="347">
        <f t="shared" si="26"/>
        <v>-0.1554347826086957</v>
      </c>
      <c r="Y35" s="347">
        <f t="shared" si="26"/>
        <v>3.5107587768969495E-2</v>
      </c>
      <c r="Z35" s="347">
        <f t="shared" si="26"/>
        <v>0.46865671641791051</v>
      </c>
      <c r="AA35" s="347">
        <f t="shared" si="26"/>
        <v>0.53914327917282123</v>
      </c>
      <c r="AB35" s="347">
        <f t="shared" si="26"/>
        <v>0.36164736164736166</v>
      </c>
      <c r="AC35" s="421">
        <v>0.05</v>
      </c>
      <c r="AD35" s="421">
        <v>0.05</v>
      </c>
      <c r="AE35" s="421">
        <v>0.05</v>
      </c>
      <c r="AF35" s="421">
        <v>0.05</v>
      </c>
      <c r="AG35"/>
      <c r="AH35" s="348"/>
      <c r="AI35" s="347">
        <f>IFERROR(AI34/AH34-1,"NA ")</f>
        <v>8.9305402425578828E-2</v>
      </c>
      <c r="AJ35" s="484"/>
      <c r="AK35" s="484"/>
      <c r="AL35" s="484"/>
      <c r="AM35" s="484"/>
      <c r="AN35" s="347">
        <f>IFERROR(AN34/AM34-1,"NA ")</f>
        <v>-0.21303323737241564</v>
      </c>
      <c r="AO35" s="347">
        <f>IFERROR(AO34/AN34-1,"NA ")</f>
        <v>0.3295643498503491</v>
      </c>
      <c r="AP35" s="347">
        <f>IFERROR(AP34/AO34-1,"NA ")</f>
        <v>4.9999999999999822E-2</v>
      </c>
      <c r="AQ35" s="421">
        <v>0.06</v>
      </c>
      <c r="AR35" s="421">
        <v>0.08</v>
      </c>
      <c r="AS35" s="421">
        <v>0.1</v>
      </c>
    </row>
    <row r="36" spans="3:61" ht="5.25" customHeight="1" outlineLevel="1">
      <c r="E36" s="457"/>
      <c r="F36" s="457"/>
      <c r="G36" s="457"/>
      <c r="H36" s="457"/>
      <c r="I36" s="457"/>
      <c r="J36" s="457"/>
      <c r="K36" s="457"/>
      <c r="L36" s="457"/>
      <c r="M36" s="457"/>
      <c r="N36" s="457"/>
      <c r="P36" s="457"/>
    </row>
    <row r="37" spans="3:61" s="338" customFormat="1">
      <c r="C37" s="361" t="s">
        <v>23</v>
      </c>
      <c r="E37" s="348"/>
      <c r="F37" s="348"/>
      <c r="G37" s="348"/>
      <c r="H37" s="348"/>
      <c r="I37" s="348"/>
      <c r="J37" s="348"/>
      <c r="K37" s="348"/>
      <c r="L37" s="348"/>
      <c r="M37" s="457">
        <v>151</v>
      </c>
      <c r="N37" s="348"/>
      <c r="O37" s="345">
        <v>191</v>
      </c>
      <c r="P37" s="348"/>
      <c r="Q37" s="345">
        <v>209</v>
      </c>
      <c r="R37" s="345">
        <v>201</v>
      </c>
      <c r="S37" s="345">
        <v>229</v>
      </c>
      <c r="T37" s="345">
        <v>240</v>
      </c>
      <c r="U37" s="345">
        <v>254</v>
      </c>
      <c r="V37" s="345">
        <v>146</v>
      </c>
      <c r="W37" s="345">
        <v>234</v>
      </c>
      <c r="X37" s="345">
        <v>333</v>
      </c>
      <c r="Y37" s="345">
        <v>377</v>
      </c>
      <c r="Z37" s="345">
        <v>327</v>
      </c>
      <c r="AA37" s="345">
        <v>326</v>
      </c>
      <c r="AB37" s="345">
        <v>356</v>
      </c>
      <c r="AC37" s="344">
        <f>Y37*(1+AC38)</f>
        <v>452.4</v>
      </c>
      <c r="AD37" s="344">
        <f>Z37*(1+AD38)</f>
        <v>457.79999999999995</v>
      </c>
      <c r="AE37" s="344">
        <f>AA37*(1+AE38)</f>
        <v>456.4</v>
      </c>
      <c r="AF37" s="344">
        <f>AB37*(1+AF38)</f>
        <v>498.4</v>
      </c>
      <c r="AG37"/>
      <c r="AH37" s="345">
        <v>328</v>
      </c>
      <c r="AI37" s="345">
        <v>322</v>
      </c>
      <c r="AJ37" s="484"/>
      <c r="AK37" s="484"/>
      <c r="AL37" s="484"/>
      <c r="AM37" s="355">
        <f>+SUMIF($E$5:$AF$5,AM$5,$E37:$AF37)</f>
        <v>879</v>
      </c>
      <c r="AN37" s="355">
        <f>+SUMIF($E$5:$AF$5,AN$5,$E37:$AF37)</f>
        <v>967</v>
      </c>
      <c r="AO37" s="355">
        <f>+SUMIF($E$5:$AF$5,AO$5,$E37:$AF37)</f>
        <v>1386</v>
      </c>
      <c r="AP37" s="355">
        <f>+SUMIF($E$5:$AF$5,AP$5,$E37:$AF37)</f>
        <v>1865</v>
      </c>
      <c r="AQ37" s="344">
        <f>AP37*(1+AQ38)</f>
        <v>2424.5</v>
      </c>
      <c r="AR37" s="344">
        <f>AQ37*(1+AR38)</f>
        <v>3151.85</v>
      </c>
      <c r="AS37" s="344">
        <f>AR37*(1+AS38)</f>
        <v>3939.8125</v>
      </c>
      <c r="AU37" s="372"/>
    </row>
    <row r="38" spans="3:61" s="346" customFormat="1" outlineLevel="1">
      <c r="C38" s="389" t="s">
        <v>17</v>
      </c>
      <c r="E38" s="348"/>
      <c r="F38" s="348"/>
      <c r="G38" s="348"/>
      <c r="H38" s="348"/>
      <c r="I38" s="348"/>
      <c r="J38" s="348"/>
      <c r="K38" s="348"/>
      <c r="L38" s="348"/>
      <c r="M38" s="457"/>
      <c r="N38" s="348"/>
      <c r="O38" s="348"/>
      <c r="P38" s="348"/>
      <c r="Q38" s="348"/>
      <c r="R38" s="348"/>
      <c r="S38" s="348"/>
      <c r="T38" s="348"/>
      <c r="U38" s="348"/>
      <c r="V38" s="347">
        <f t="shared" ref="V38:AB38" si="27">IFERROR(+V37/R37-1,"NA ")</f>
        <v>-0.27363184079601988</v>
      </c>
      <c r="W38" s="347">
        <f t="shared" si="27"/>
        <v>2.1834061135371119E-2</v>
      </c>
      <c r="X38" s="347">
        <f t="shared" si="27"/>
        <v>0.38749999999999996</v>
      </c>
      <c r="Y38" s="347">
        <f t="shared" si="27"/>
        <v>0.48425196850393704</v>
      </c>
      <c r="Z38" s="347">
        <f t="shared" si="27"/>
        <v>1.2397260273972601</v>
      </c>
      <c r="AA38" s="347">
        <f t="shared" si="27"/>
        <v>0.3931623931623931</v>
      </c>
      <c r="AB38" s="347">
        <f t="shared" si="27"/>
        <v>6.9069069069069178E-2</v>
      </c>
      <c r="AC38" s="421">
        <v>0.2</v>
      </c>
      <c r="AD38" s="421">
        <v>0.4</v>
      </c>
      <c r="AE38" s="421">
        <v>0.4</v>
      </c>
      <c r="AF38" s="421">
        <v>0.4</v>
      </c>
      <c r="AG38"/>
      <c r="AH38" s="348"/>
      <c r="AI38" s="347">
        <f>IFERROR(AI37/AH37-1,"NA ")</f>
        <v>-1.8292682926829285E-2</v>
      </c>
      <c r="AJ38" s="484"/>
      <c r="AK38" s="484"/>
      <c r="AL38" s="484"/>
      <c r="AM38" s="484"/>
      <c r="AN38" s="347">
        <f>IFERROR(AN37/AM37-1,"NA ")</f>
        <v>0.10011376564277596</v>
      </c>
      <c r="AO38" s="347">
        <f>IFERROR(AO37/AN37-1,"NA ")</f>
        <v>0.43329886246122018</v>
      </c>
      <c r="AP38" s="347">
        <f>IFERROR(AP37/AO37-1,"NA ")</f>
        <v>0.34559884559884568</v>
      </c>
      <c r="AQ38" s="421">
        <v>0.3</v>
      </c>
      <c r="AR38" s="421">
        <v>0.3</v>
      </c>
      <c r="AS38" s="421">
        <v>0.25</v>
      </c>
    </row>
    <row r="39" spans="3:61" ht="5.25" customHeight="1" outlineLevel="1">
      <c r="E39" s="457"/>
      <c r="F39" s="457"/>
      <c r="G39" s="457"/>
      <c r="H39" s="457"/>
      <c r="I39" s="457"/>
      <c r="J39" s="457"/>
      <c r="K39" s="457"/>
      <c r="L39" s="457"/>
      <c r="M39" s="457"/>
      <c r="N39" s="457"/>
      <c r="O39" s="457"/>
      <c r="P39" s="457"/>
      <c r="Q39" s="457"/>
      <c r="R39" s="457"/>
      <c r="S39" s="457"/>
      <c r="T39" s="457"/>
      <c r="U39" s="457"/>
    </row>
    <row r="40" spans="3:61" s="342" customFormat="1">
      <c r="C40" s="360" t="s">
        <v>19</v>
      </c>
      <c r="E40" s="456">
        <v>651</v>
      </c>
      <c r="F40" s="456">
        <v>572</v>
      </c>
      <c r="G40" s="456">
        <v>689</v>
      </c>
      <c r="H40" s="456">
        <v>726</v>
      </c>
      <c r="I40" s="456">
        <v>721</v>
      </c>
      <c r="J40" s="456">
        <v>720</v>
      </c>
      <c r="K40" s="456">
        <v>849</v>
      </c>
      <c r="L40" s="460">
        <v>879</v>
      </c>
      <c r="M40" s="341">
        <f>M34+M37</f>
        <v>991</v>
      </c>
      <c r="N40" s="456">
        <v>1053</v>
      </c>
      <c r="O40" s="456">
        <v>1110</v>
      </c>
      <c r="P40" s="460">
        <v>999</v>
      </c>
      <c r="Q40" s="341">
        <f t="shared" ref="Q40:AB40" si="28">Q34+Q37</f>
        <v>1119</v>
      </c>
      <c r="R40" s="341">
        <f t="shared" si="28"/>
        <v>1187</v>
      </c>
      <c r="S40" s="341">
        <f t="shared" si="28"/>
        <v>1234</v>
      </c>
      <c r="T40" s="341">
        <f t="shared" si="28"/>
        <v>1160</v>
      </c>
      <c r="U40" s="341">
        <f t="shared" si="28"/>
        <v>1137</v>
      </c>
      <c r="V40" s="341">
        <f t="shared" si="28"/>
        <v>816</v>
      </c>
      <c r="W40" s="341">
        <f t="shared" si="28"/>
        <v>911</v>
      </c>
      <c r="X40" s="341">
        <f t="shared" si="28"/>
        <v>1110</v>
      </c>
      <c r="Y40" s="341">
        <f t="shared" si="28"/>
        <v>1291</v>
      </c>
      <c r="Z40" s="341">
        <f t="shared" si="28"/>
        <v>1311</v>
      </c>
      <c r="AA40" s="341">
        <f t="shared" si="28"/>
        <v>1368</v>
      </c>
      <c r="AB40" s="341">
        <f t="shared" si="28"/>
        <v>1414</v>
      </c>
      <c r="AC40" s="352">
        <f>AC34+AC37</f>
        <v>1412.1</v>
      </c>
      <c r="AD40" s="352">
        <f>AD34+AD37</f>
        <v>1491</v>
      </c>
      <c r="AE40" s="352">
        <f>AE34+AE37</f>
        <v>1550.5</v>
      </c>
      <c r="AF40" s="352">
        <f>AF34+AF37</f>
        <v>1609.3000000000002</v>
      </c>
      <c r="AG40"/>
      <c r="AH40" s="341">
        <f>AH34+AH37</f>
        <v>2142</v>
      </c>
      <c r="AI40" s="341">
        <f>AI34+AI37</f>
        <v>2298</v>
      </c>
      <c r="AJ40" s="341">
        <f>+SUMIF($E$5:$AF$5,AJ$5,$E40:$AF40)</f>
        <v>2638</v>
      </c>
      <c r="AK40" s="341">
        <f>+SUMIF($E$5:$AF$5,AK$5,$E40:$AF40)</f>
        <v>3169</v>
      </c>
      <c r="AL40" s="341">
        <f>+SUMIF($E$5:$AF$5,AL$5,$E40:$AF40)</f>
        <v>4153</v>
      </c>
      <c r="AM40" s="341">
        <f t="shared" ref="AM40:AS40" si="29">AM34+AM37</f>
        <v>4700</v>
      </c>
      <c r="AN40" s="341">
        <f t="shared" si="29"/>
        <v>3974</v>
      </c>
      <c r="AO40" s="341">
        <f t="shared" si="29"/>
        <v>5384</v>
      </c>
      <c r="AP40" s="352">
        <f t="shared" si="29"/>
        <v>6062.9</v>
      </c>
      <c r="AQ40" s="352">
        <f t="shared" si="29"/>
        <v>6874.2739999999994</v>
      </c>
      <c r="AR40" s="352">
        <f t="shared" si="29"/>
        <v>7957.60592</v>
      </c>
      <c r="AS40" s="352">
        <f t="shared" si="29"/>
        <v>9226.1440120000007</v>
      </c>
    </row>
    <row r="41" spans="3:61" s="346" customFormat="1" outlineLevel="1">
      <c r="C41" s="424" t="s">
        <v>17</v>
      </c>
      <c r="E41" s="348"/>
      <c r="F41" s="348"/>
      <c r="G41" s="348"/>
      <c r="H41" s="348"/>
      <c r="I41" s="347">
        <f t="shared" ref="I41:AB41" si="30">IFERROR(+I40/E40-1,"NA ")</f>
        <v>0.10752688172043001</v>
      </c>
      <c r="J41" s="347">
        <f t="shared" si="30"/>
        <v>0.25874125874125875</v>
      </c>
      <c r="K41" s="347">
        <f t="shared" si="30"/>
        <v>0.23222060957910018</v>
      </c>
      <c r="L41" s="347">
        <f t="shared" si="30"/>
        <v>0.21074380165289264</v>
      </c>
      <c r="M41" s="347">
        <f t="shared" si="30"/>
        <v>0.37447988904299589</v>
      </c>
      <c r="N41" s="347">
        <f t="shared" si="30"/>
        <v>0.46249999999999991</v>
      </c>
      <c r="O41" s="347">
        <f t="shared" si="30"/>
        <v>0.30742049469964661</v>
      </c>
      <c r="P41" s="347">
        <f t="shared" si="30"/>
        <v>0.13651877133105805</v>
      </c>
      <c r="Q41" s="347">
        <f t="shared" si="30"/>
        <v>0.12916246215943494</v>
      </c>
      <c r="R41" s="347">
        <f t="shared" si="30"/>
        <v>0.12725546058879389</v>
      </c>
      <c r="S41" s="347">
        <f t="shared" si="30"/>
        <v>0.11171171171171168</v>
      </c>
      <c r="T41" s="347">
        <f t="shared" si="30"/>
        <v>0.16116116116116119</v>
      </c>
      <c r="U41" s="347">
        <f t="shared" si="30"/>
        <v>1.6085790884718509E-2</v>
      </c>
      <c r="V41" s="347">
        <f t="shared" si="30"/>
        <v>-0.31255265374894692</v>
      </c>
      <c r="W41" s="347">
        <f t="shared" si="30"/>
        <v>-0.2617504051863857</v>
      </c>
      <c r="X41" s="347">
        <f t="shared" si="30"/>
        <v>-4.31034482758621E-2</v>
      </c>
      <c r="Y41" s="347">
        <f t="shared" si="30"/>
        <v>0.13544415127528575</v>
      </c>
      <c r="Z41" s="347">
        <f t="shared" si="30"/>
        <v>0.60661764705882359</v>
      </c>
      <c r="AA41" s="347">
        <f t="shared" si="30"/>
        <v>0.50164654226125127</v>
      </c>
      <c r="AB41" s="347">
        <f t="shared" si="30"/>
        <v>0.27387387387387396</v>
      </c>
      <c r="AC41" s="347">
        <f>IFERROR(+AC40/Y40-1,"NA ")</f>
        <v>9.380325329202166E-2</v>
      </c>
      <c r="AD41" s="347">
        <f>IFERROR(+AD40/Z40-1,"NA ")</f>
        <v>0.13729977116704806</v>
      </c>
      <c r="AE41" s="347">
        <f>IFERROR(+AE40/AA40-1,"NA ")</f>
        <v>0.13340643274853803</v>
      </c>
      <c r="AF41" s="347">
        <f>IFERROR(+AF40/AB40-1,"NA ")</f>
        <v>0.13811881188118824</v>
      </c>
      <c r="AG41"/>
      <c r="AH41" s="348"/>
      <c r="AI41" s="347">
        <f>IFERROR(AI40/AH40-1,"NA ")</f>
        <v>7.2829131652661028E-2</v>
      </c>
      <c r="AJ41" s="347">
        <f t="shared" ref="AJ41:AO41" si="31">IFERROR(AJ40/AI40-1,"NA ")</f>
        <v>0.14795474325500435</v>
      </c>
      <c r="AK41" s="347">
        <f t="shared" si="31"/>
        <v>0.20128885519332829</v>
      </c>
      <c r="AL41" s="347">
        <f t="shared" si="31"/>
        <v>0.31050804670242971</v>
      </c>
      <c r="AM41" s="347">
        <f t="shared" si="31"/>
        <v>0.13171201541054667</v>
      </c>
      <c r="AN41" s="347">
        <f t="shared" si="31"/>
        <v>-0.15446808510638299</v>
      </c>
      <c r="AO41" s="347">
        <f t="shared" si="31"/>
        <v>0.35480624056366383</v>
      </c>
      <c r="AP41" s="347">
        <f>IFERROR(AP40/AO40-1,"NA ")</f>
        <v>0.12609583952451708</v>
      </c>
      <c r="AQ41" s="347">
        <f>IFERROR(AQ40/AP40-1,"NA ")</f>
        <v>0.13382605683748694</v>
      </c>
      <c r="AR41" s="347">
        <f>IFERROR(AR40/AQ40-1,"NA ")</f>
        <v>0.15759219373565858</v>
      </c>
      <c r="AS41" s="347">
        <f>IFERROR(AS40/AR40-1,"NA ")</f>
        <v>0.15941202727968218</v>
      </c>
    </row>
    <row r="42" spans="3:61" s="338" customFormat="1">
      <c r="C42" s="343"/>
      <c r="H42" s="359"/>
      <c r="N42" s="339"/>
      <c r="O42" s="339"/>
      <c r="Q42" s="339"/>
      <c r="R42" s="339"/>
      <c r="S42" s="339"/>
      <c r="U42" s="339"/>
      <c r="X42" s="339"/>
      <c r="Y42" s="339"/>
      <c r="Z42" s="339"/>
      <c r="AA42" s="339"/>
      <c r="AB42" s="339"/>
      <c r="AG42"/>
      <c r="AH42" s="339"/>
      <c r="AI42" s="339"/>
      <c r="AJ42" s="339"/>
      <c r="AK42" s="339"/>
      <c r="AL42" s="339"/>
      <c r="AM42" s="339"/>
      <c r="AN42" s="339"/>
      <c r="AO42" s="339"/>
      <c r="BI42"/>
    </row>
    <row r="43" spans="3:61" s="338" customFormat="1">
      <c r="C43" s="338" t="s">
        <v>24</v>
      </c>
      <c r="E43" s="345">
        <v>557</v>
      </c>
      <c r="F43" s="345">
        <v>554</v>
      </c>
      <c r="G43" s="345">
        <v>649</v>
      </c>
      <c r="H43" s="345">
        <v>816</v>
      </c>
      <c r="I43" s="345">
        <v>866</v>
      </c>
      <c r="J43" s="345">
        <v>874</v>
      </c>
      <c r="K43" s="345">
        <v>891</v>
      </c>
      <c r="L43" s="345">
        <v>889</v>
      </c>
      <c r="M43" s="345">
        <v>1040</v>
      </c>
      <c r="N43" s="345">
        <v>1079</v>
      </c>
      <c r="O43" s="345">
        <v>1081</v>
      </c>
      <c r="P43" s="345">
        <v>1107</v>
      </c>
      <c r="Q43" s="345">
        <v>915</v>
      </c>
      <c r="R43" s="345">
        <v>940</v>
      </c>
      <c r="S43" s="345">
        <v>1290</v>
      </c>
      <c r="T43" s="345">
        <v>1217</v>
      </c>
      <c r="U43" s="345">
        <v>1338</v>
      </c>
      <c r="V43" s="345">
        <v>1659</v>
      </c>
      <c r="W43" s="345">
        <v>1153</v>
      </c>
      <c r="X43" s="345">
        <v>1208</v>
      </c>
      <c r="Y43" s="345">
        <v>1107</v>
      </c>
      <c r="Z43" s="345">
        <v>1098</v>
      </c>
      <c r="AA43" s="345">
        <v>1105</v>
      </c>
      <c r="AB43" s="345">
        <v>996</v>
      </c>
      <c r="AC43" s="344">
        <f>Y43*(1+AC44)</f>
        <v>0</v>
      </c>
      <c r="AD43" s="344">
        <f>Z43*(1+AD44)</f>
        <v>0</v>
      </c>
      <c r="AE43" s="344">
        <f>AA43*(1+AE44)</f>
        <v>0</v>
      </c>
      <c r="AF43" s="344">
        <f>AB43*(1+AF44)</f>
        <v>0</v>
      </c>
      <c r="AG43"/>
      <c r="AH43" s="345">
        <v>2146</v>
      </c>
      <c r="AI43" s="345">
        <v>2597</v>
      </c>
      <c r="AJ43" s="355">
        <f t="shared" ref="AJ43:AP43" si="32">+SUMIF($E$5:$AF$5,AJ$5,$E43:$AF43)</f>
        <v>2576</v>
      </c>
      <c r="AK43" s="355">
        <f t="shared" si="32"/>
        <v>3520</v>
      </c>
      <c r="AL43" s="355">
        <f t="shared" si="32"/>
        <v>4307</v>
      </c>
      <c r="AM43" s="355">
        <f t="shared" si="32"/>
        <v>4362</v>
      </c>
      <c r="AN43" s="355">
        <f t="shared" si="32"/>
        <v>5358</v>
      </c>
      <c r="AO43" s="355">
        <f t="shared" si="32"/>
        <v>4306</v>
      </c>
      <c r="AP43" s="355">
        <f t="shared" si="32"/>
        <v>0</v>
      </c>
      <c r="AQ43" s="344">
        <f>AP43*(1+AQ44)</f>
        <v>0</v>
      </c>
      <c r="AR43" s="344">
        <f>AQ43*(1+AR44)</f>
        <v>0</v>
      </c>
      <c r="AS43" s="344">
        <f>AR43*(1+AS44)</f>
        <v>0</v>
      </c>
      <c r="BF43" s="416"/>
    </row>
    <row r="44" spans="3:61" s="346" customFormat="1" outlineLevel="1">
      <c r="C44" s="349" t="s">
        <v>17</v>
      </c>
      <c r="E44" s="348"/>
      <c r="F44" s="348"/>
      <c r="G44" s="348"/>
      <c r="H44" s="348"/>
      <c r="I44" s="347">
        <f t="shared" ref="I44:AB44" si="33">IFERROR(+I43/E43-1,"NA ")</f>
        <v>0.55475763016157997</v>
      </c>
      <c r="J44" s="347">
        <f t="shared" si="33"/>
        <v>0.57761732851985559</v>
      </c>
      <c r="K44" s="347">
        <f t="shared" si="33"/>
        <v>0.37288135593220328</v>
      </c>
      <c r="L44" s="347">
        <f t="shared" si="33"/>
        <v>8.9460784313725394E-2</v>
      </c>
      <c r="M44" s="347">
        <f t="shared" si="33"/>
        <v>0.2009237875288683</v>
      </c>
      <c r="N44" s="347">
        <f t="shared" si="33"/>
        <v>0.23455377574370706</v>
      </c>
      <c r="O44" s="347">
        <f t="shared" si="33"/>
        <v>0.21324354657687983</v>
      </c>
      <c r="P44" s="347">
        <f t="shared" si="33"/>
        <v>0.24521934758155228</v>
      </c>
      <c r="Q44" s="347">
        <f t="shared" si="33"/>
        <v>-0.12019230769230771</v>
      </c>
      <c r="R44" s="347">
        <f t="shared" si="33"/>
        <v>-0.12882298424467098</v>
      </c>
      <c r="S44" s="347">
        <f t="shared" si="33"/>
        <v>0.19333950046253467</v>
      </c>
      <c r="T44" s="347">
        <f t="shared" si="33"/>
        <v>9.9367660343270048E-2</v>
      </c>
      <c r="U44" s="347">
        <f t="shared" si="33"/>
        <v>0.46229508196721314</v>
      </c>
      <c r="V44" s="347">
        <f t="shared" si="33"/>
        <v>0.76489361702127656</v>
      </c>
      <c r="W44" s="347">
        <f t="shared" si="33"/>
        <v>-0.10620155038759693</v>
      </c>
      <c r="X44" s="347">
        <f t="shared" si="33"/>
        <v>-7.3952341824157219E-3</v>
      </c>
      <c r="Y44" s="347">
        <f t="shared" si="33"/>
        <v>-0.17264573991031396</v>
      </c>
      <c r="Z44" s="347">
        <f t="shared" si="33"/>
        <v>-0.33815551537070521</v>
      </c>
      <c r="AA44" s="347">
        <f t="shared" si="33"/>
        <v>-4.1630529054640042E-2</v>
      </c>
      <c r="AB44" s="347">
        <f t="shared" si="33"/>
        <v>-0.17549668874172186</v>
      </c>
      <c r="AC44" s="421">
        <v>-1</v>
      </c>
      <c r="AD44" s="421">
        <v>-1</v>
      </c>
      <c r="AE44" s="421">
        <v>-1</v>
      </c>
      <c r="AF44" s="421">
        <v>-1</v>
      </c>
      <c r="AG44"/>
      <c r="AH44" s="348"/>
      <c r="AI44" s="347">
        <f>IFERROR(AI43/AH43-1,"NA ")</f>
        <v>0.21015843429636538</v>
      </c>
      <c r="AJ44" s="347">
        <f t="shared" ref="AJ44:AP44" si="34">IFERROR(AJ43/AI43-1,"NA ")</f>
        <v>-8.0862533692722671E-3</v>
      </c>
      <c r="AK44" s="347">
        <f t="shared" si="34"/>
        <v>0.36645962732919246</v>
      </c>
      <c r="AL44" s="347">
        <f t="shared" si="34"/>
        <v>0.2235795454545455</v>
      </c>
      <c r="AM44" s="347">
        <f t="shared" si="34"/>
        <v>1.2769909449732886E-2</v>
      </c>
      <c r="AN44" s="347">
        <f t="shared" si="34"/>
        <v>0.22833562585969736</v>
      </c>
      <c r="AO44" s="347">
        <f t="shared" si="34"/>
        <v>-0.19634191862635308</v>
      </c>
      <c r="AP44" s="347">
        <f t="shared" si="34"/>
        <v>-1</v>
      </c>
      <c r="AQ44" s="421">
        <v>0.05</v>
      </c>
      <c r="AR44" s="421">
        <v>0.05</v>
      </c>
      <c r="AS44" s="421">
        <v>0.05</v>
      </c>
    </row>
    <row r="45" spans="3:61" ht="5.25" customHeight="1" outlineLevel="1"/>
    <row r="46" spans="3:61" s="338" customFormat="1">
      <c r="C46" s="338" t="s">
        <v>25</v>
      </c>
      <c r="E46" s="345">
        <v>359</v>
      </c>
      <c r="F46" s="345">
        <v>465</v>
      </c>
      <c r="G46" s="345">
        <v>425</v>
      </c>
      <c r="H46" s="345">
        <v>420</v>
      </c>
      <c r="I46" s="345">
        <v>425</v>
      </c>
      <c r="J46" s="345">
        <v>440</v>
      </c>
      <c r="K46" s="345">
        <v>469</v>
      </c>
      <c r="L46" s="345">
        <v>568</v>
      </c>
      <c r="M46" s="345">
        <v>498</v>
      </c>
      <c r="N46" s="345">
        <v>517</v>
      </c>
      <c r="O46" s="345">
        <v>496</v>
      </c>
      <c r="P46" s="345">
        <v>612</v>
      </c>
      <c r="Q46" s="345">
        <v>486</v>
      </c>
      <c r="R46" s="345">
        <v>489</v>
      </c>
      <c r="S46" s="345">
        <v>507</v>
      </c>
      <c r="T46" s="345">
        <v>505</v>
      </c>
      <c r="U46" s="345">
        <v>519</v>
      </c>
      <c r="V46" s="345">
        <v>501</v>
      </c>
      <c r="W46" s="345">
        <v>411</v>
      </c>
      <c r="X46" s="345">
        <v>422</v>
      </c>
      <c r="Y46" s="345">
        <v>486</v>
      </c>
      <c r="Z46" s="345">
        <v>486</v>
      </c>
      <c r="AA46" s="345">
        <v>478</v>
      </c>
      <c r="AB46" s="345">
        <v>484</v>
      </c>
      <c r="AC46" s="344">
        <f>Y46*(1+AC47)</f>
        <v>510.3</v>
      </c>
      <c r="AD46" s="344">
        <f>Z46*(1+AD47)</f>
        <v>510.3</v>
      </c>
      <c r="AE46" s="344">
        <f>AA46*(1+AE47)</f>
        <v>501.90000000000003</v>
      </c>
      <c r="AF46" s="344">
        <f>AB46*(1+AF47)</f>
        <v>508.20000000000005</v>
      </c>
      <c r="AG46"/>
      <c r="AH46" s="345">
        <v>0</v>
      </c>
      <c r="AI46" s="345">
        <v>0</v>
      </c>
      <c r="AJ46" s="355">
        <f t="shared" ref="AJ46:AP46" si="35">+SUMIF($E$5:$AF$5,AJ$5,$E46:$AF46)</f>
        <v>1669</v>
      </c>
      <c r="AK46" s="355">
        <f t="shared" si="35"/>
        <v>1902</v>
      </c>
      <c r="AL46" s="355">
        <f t="shared" si="35"/>
        <v>2123</v>
      </c>
      <c r="AM46" s="355">
        <f t="shared" si="35"/>
        <v>1987</v>
      </c>
      <c r="AN46" s="355">
        <f t="shared" si="35"/>
        <v>1853</v>
      </c>
      <c r="AO46" s="355">
        <f t="shared" si="35"/>
        <v>1934</v>
      </c>
      <c r="AP46" s="355">
        <f t="shared" si="35"/>
        <v>2030.7</v>
      </c>
      <c r="AQ46" s="344">
        <f>AP46*(1+AQ47)</f>
        <v>2132.2350000000001</v>
      </c>
      <c r="AR46" s="344">
        <f>AQ46*(1+AR47)</f>
        <v>2238.8467500000002</v>
      </c>
      <c r="AS46" s="344">
        <f>AR46*(1+AS47)</f>
        <v>2350.7890875000003</v>
      </c>
    </row>
    <row r="47" spans="3:61" s="346" customFormat="1" outlineLevel="1">
      <c r="C47" s="349" t="s">
        <v>17</v>
      </c>
      <c r="E47" s="348"/>
      <c r="F47" s="348"/>
      <c r="G47" s="348"/>
      <c r="H47" s="348"/>
      <c r="I47" s="347">
        <f t="shared" ref="I47:AB47" si="36">IFERROR(+I46/E46-1,"NA ")</f>
        <v>0.18384401114206139</v>
      </c>
      <c r="J47" s="347">
        <f t="shared" si="36"/>
        <v>-5.3763440860215006E-2</v>
      </c>
      <c r="K47" s="347">
        <f t="shared" si="36"/>
        <v>0.10352941176470587</v>
      </c>
      <c r="L47" s="347">
        <f t="shared" si="36"/>
        <v>0.35238095238095246</v>
      </c>
      <c r="M47" s="347">
        <f t="shared" si="36"/>
        <v>0.17176470588235304</v>
      </c>
      <c r="N47" s="347">
        <f t="shared" si="36"/>
        <v>0.17500000000000004</v>
      </c>
      <c r="O47" s="347">
        <f t="shared" si="36"/>
        <v>5.7569296375266532E-2</v>
      </c>
      <c r="P47" s="347">
        <f t="shared" si="36"/>
        <v>7.7464788732394263E-2</v>
      </c>
      <c r="Q47" s="347">
        <f t="shared" si="36"/>
        <v>-2.4096385542168641E-2</v>
      </c>
      <c r="R47" s="347">
        <f t="shared" si="36"/>
        <v>-5.4158607350096699E-2</v>
      </c>
      <c r="S47" s="347">
        <f t="shared" si="36"/>
        <v>2.2177419354838745E-2</v>
      </c>
      <c r="T47" s="347">
        <f t="shared" si="36"/>
        <v>-0.17483660130718959</v>
      </c>
      <c r="U47" s="347">
        <f t="shared" si="36"/>
        <v>6.7901234567901314E-2</v>
      </c>
      <c r="V47" s="347">
        <f t="shared" si="36"/>
        <v>2.4539877300613577E-2</v>
      </c>
      <c r="W47" s="347">
        <f t="shared" si="36"/>
        <v>-0.18934911242603547</v>
      </c>
      <c r="X47" s="347">
        <f t="shared" si="36"/>
        <v>-0.16435643564356439</v>
      </c>
      <c r="Y47" s="347">
        <f t="shared" si="36"/>
        <v>-6.3583815028901758E-2</v>
      </c>
      <c r="Z47" s="347">
        <f t="shared" si="36"/>
        <v>-2.9940119760479056E-2</v>
      </c>
      <c r="AA47" s="347">
        <f t="shared" si="36"/>
        <v>0.16301703163017023</v>
      </c>
      <c r="AB47" s="347">
        <f t="shared" si="36"/>
        <v>0.14691943127962093</v>
      </c>
      <c r="AC47" s="421">
        <v>0.05</v>
      </c>
      <c r="AD47" s="421">
        <v>0.05</v>
      </c>
      <c r="AE47" s="421">
        <v>0.05</v>
      </c>
      <c r="AF47" s="421">
        <v>0.05</v>
      </c>
      <c r="AG47"/>
      <c r="AH47" s="348"/>
      <c r="AI47" s="347" t="str">
        <f>IFERROR(AI46/AH46-1,"NA ")</f>
        <v xml:space="preserve">NA </v>
      </c>
      <c r="AJ47" s="347" t="str">
        <f t="shared" ref="AJ47:AP47" si="37">IFERROR(AJ46/AI46-1,"NA ")</f>
        <v xml:space="preserve">NA </v>
      </c>
      <c r="AK47" s="347">
        <f t="shared" si="37"/>
        <v>0.13960455362492508</v>
      </c>
      <c r="AL47" s="347">
        <f t="shared" si="37"/>
        <v>0.11619348054679279</v>
      </c>
      <c r="AM47" s="347">
        <f t="shared" si="37"/>
        <v>-6.4060292039566646E-2</v>
      </c>
      <c r="AN47" s="347">
        <f t="shared" si="37"/>
        <v>-6.7438349270256714E-2</v>
      </c>
      <c r="AO47" s="347">
        <f t="shared" si="37"/>
        <v>4.3712898003237965E-2</v>
      </c>
      <c r="AP47" s="347">
        <f t="shared" si="37"/>
        <v>5.0000000000000044E-2</v>
      </c>
      <c r="AQ47" s="421">
        <v>0.05</v>
      </c>
      <c r="AR47" s="421">
        <v>0.05</v>
      </c>
      <c r="AS47" s="421">
        <v>0.05</v>
      </c>
    </row>
    <row r="48" spans="3:61" s="346" customFormat="1" ht="5.25" customHeight="1" outlineLevel="1">
      <c r="C48" s="349"/>
      <c r="E48" s="348"/>
      <c r="F48" s="348"/>
      <c r="G48" s="348"/>
      <c r="H48" s="348"/>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c r="AF48" s="347"/>
      <c r="AG48"/>
      <c r="AH48" s="348"/>
      <c r="AI48" s="347"/>
      <c r="AJ48" s="347"/>
      <c r="AK48" s="347"/>
      <c r="AL48" s="347"/>
      <c r="AM48" s="347"/>
      <c r="AN48" s="347"/>
      <c r="AO48" s="347"/>
      <c r="AP48"/>
      <c r="AQ48"/>
      <c r="AR48"/>
      <c r="AS48"/>
    </row>
    <row r="49" spans="2:45" s="338" customFormat="1">
      <c r="C49" s="338" t="s">
        <v>26</v>
      </c>
      <c r="E49" s="345">
        <f>50+537</f>
        <v>587</v>
      </c>
      <c r="F49" s="345">
        <v>577</v>
      </c>
      <c r="G49" s="345">
        <v>581</v>
      </c>
      <c r="H49" s="345">
        <v>615</v>
      </c>
      <c r="I49" s="345">
        <v>576</v>
      </c>
      <c r="J49" s="345">
        <v>144</v>
      </c>
      <c r="K49" s="345">
        <v>202</v>
      </c>
      <c r="L49" s="345">
        <v>181</v>
      </c>
      <c r="M49" s="345">
        <v>83</v>
      </c>
      <c r="N49" s="345">
        <v>36</v>
      </c>
      <c r="O49" s="345">
        <v>103</v>
      </c>
      <c r="P49" s="345">
        <v>48</v>
      </c>
      <c r="Q49" s="345">
        <v>53</v>
      </c>
      <c r="R49" s="345">
        <v>65</v>
      </c>
      <c r="S49" s="345">
        <v>67</v>
      </c>
      <c r="T49" s="345">
        <v>104</v>
      </c>
      <c r="U49" s="345">
        <v>66</v>
      </c>
      <c r="V49" s="345">
        <v>139</v>
      </c>
      <c r="W49" s="345">
        <v>106</v>
      </c>
      <c r="X49" s="345">
        <v>211</v>
      </c>
      <c r="Y49" s="345">
        <v>620</v>
      </c>
      <c r="Z49" s="345">
        <v>172</v>
      </c>
      <c r="AA49" s="345">
        <v>81</v>
      </c>
      <c r="AB49" s="345">
        <v>195</v>
      </c>
      <c r="AC49" s="344">
        <f>Y49*(1+AC50)</f>
        <v>651</v>
      </c>
      <c r="AD49" s="344">
        <f>Z49*(1+AD50)</f>
        <v>180.6</v>
      </c>
      <c r="AE49" s="344">
        <f>AA49*(1+AE50)</f>
        <v>85.05</v>
      </c>
      <c r="AF49" s="344">
        <f>AB49*(1+AF50)</f>
        <v>204.75</v>
      </c>
      <c r="AG49"/>
      <c r="AH49" s="345">
        <v>2314</v>
      </c>
      <c r="AI49" s="345">
        <v>2260</v>
      </c>
      <c r="AJ49" s="355">
        <f t="shared" ref="AJ49:AP49" si="38">+SUMIF($E$5:$AF$5,AJ$5,$E49:$AF49)</f>
        <v>2360</v>
      </c>
      <c r="AK49" s="355">
        <f t="shared" si="38"/>
        <v>1103</v>
      </c>
      <c r="AL49" s="355">
        <f t="shared" si="38"/>
        <v>270</v>
      </c>
      <c r="AM49" s="355">
        <f t="shared" si="38"/>
        <v>289</v>
      </c>
      <c r="AN49" s="355">
        <f t="shared" si="38"/>
        <v>522</v>
      </c>
      <c r="AO49" s="355">
        <f t="shared" si="38"/>
        <v>1068</v>
      </c>
      <c r="AP49" s="355">
        <f t="shared" si="38"/>
        <v>1121.4000000000001</v>
      </c>
      <c r="AQ49" s="344">
        <f>AP49*(1+AQ50)</f>
        <v>1177.4700000000003</v>
      </c>
      <c r="AR49" s="344">
        <f>AQ49*(1+AR50)</f>
        <v>1236.3435000000004</v>
      </c>
      <c r="AS49" s="344">
        <f>AR49*(1+AS50)</f>
        <v>1298.1606750000005</v>
      </c>
    </row>
    <row r="50" spans="2:45" s="346" customFormat="1" outlineLevel="1">
      <c r="C50" s="349" t="s">
        <v>17</v>
      </c>
      <c r="E50" s="348"/>
      <c r="F50" s="348"/>
      <c r="G50" s="348"/>
      <c r="H50" s="348"/>
      <c r="I50" s="347">
        <f t="shared" ref="I50:AB50" si="39">IFERROR(+I49/E49-1,"NA ")</f>
        <v>-1.8739352640545159E-2</v>
      </c>
      <c r="J50" s="347">
        <f t="shared" si="39"/>
        <v>-0.75043327556325823</v>
      </c>
      <c r="K50" s="347">
        <f t="shared" si="39"/>
        <v>-0.65232358003442337</v>
      </c>
      <c r="L50" s="347">
        <f t="shared" si="39"/>
        <v>-0.7056910569105691</v>
      </c>
      <c r="M50" s="347">
        <f t="shared" si="39"/>
        <v>-0.85590277777777779</v>
      </c>
      <c r="N50" s="347">
        <f t="shared" si="39"/>
        <v>-0.75</v>
      </c>
      <c r="O50" s="347">
        <f t="shared" si="39"/>
        <v>-0.49009900990099009</v>
      </c>
      <c r="P50" s="347">
        <f t="shared" si="39"/>
        <v>-0.73480662983425415</v>
      </c>
      <c r="Q50" s="347">
        <f t="shared" si="39"/>
        <v>-0.36144578313253017</v>
      </c>
      <c r="R50" s="347">
        <f t="shared" si="39"/>
        <v>0.80555555555555558</v>
      </c>
      <c r="S50" s="347">
        <f t="shared" si="39"/>
        <v>-0.34951456310679607</v>
      </c>
      <c r="T50" s="347">
        <f t="shared" si="39"/>
        <v>1.1666666666666665</v>
      </c>
      <c r="U50" s="347">
        <f t="shared" si="39"/>
        <v>0.24528301886792447</v>
      </c>
      <c r="V50" s="347">
        <f t="shared" si="39"/>
        <v>1.1384615384615384</v>
      </c>
      <c r="W50" s="347">
        <f t="shared" si="39"/>
        <v>0.58208955223880587</v>
      </c>
      <c r="X50" s="347">
        <f t="shared" si="39"/>
        <v>1.0288461538461537</v>
      </c>
      <c r="Y50" s="347">
        <f t="shared" si="39"/>
        <v>8.3939393939393945</v>
      </c>
      <c r="Z50" s="347">
        <f t="shared" si="39"/>
        <v>0.23741007194244612</v>
      </c>
      <c r="AA50" s="347">
        <f t="shared" si="39"/>
        <v>-0.23584905660377353</v>
      </c>
      <c r="AB50" s="347">
        <f t="shared" si="39"/>
        <v>-7.582938388625593E-2</v>
      </c>
      <c r="AC50" s="421">
        <v>0.05</v>
      </c>
      <c r="AD50" s="421">
        <v>0.05</v>
      </c>
      <c r="AE50" s="421">
        <v>0.05</v>
      </c>
      <c r="AF50" s="421">
        <v>0.05</v>
      </c>
      <c r="AG50"/>
      <c r="AH50" s="348"/>
      <c r="AI50" s="347">
        <f>IFERROR(AI49/AH49-1,"NA ")</f>
        <v>-2.3336214347450257E-2</v>
      </c>
      <c r="AJ50" s="347">
        <f t="shared" ref="AJ50:AP50" si="40">IFERROR(AJ49/AI49-1,"NA ")</f>
        <v>4.4247787610619538E-2</v>
      </c>
      <c r="AK50" s="347">
        <f t="shared" si="40"/>
        <v>-0.53262711864406787</v>
      </c>
      <c r="AL50" s="347">
        <f t="shared" si="40"/>
        <v>-0.75521305530371707</v>
      </c>
      <c r="AM50" s="347">
        <f t="shared" si="40"/>
        <v>7.0370370370370416E-2</v>
      </c>
      <c r="AN50" s="347">
        <f t="shared" si="40"/>
        <v>0.80622837370242206</v>
      </c>
      <c r="AO50" s="347">
        <f t="shared" si="40"/>
        <v>1.0459770114942528</v>
      </c>
      <c r="AP50" s="347">
        <f t="shared" si="40"/>
        <v>5.0000000000000044E-2</v>
      </c>
      <c r="AQ50" s="421">
        <v>0.05</v>
      </c>
      <c r="AR50" s="421">
        <v>0.05</v>
      </c>
      <c r="AS50" s="421">
        <v>0.05</v>
      </c>
    </row>
    <row r="51" spans="2:45" s="346" customFormat="1" ht="5.25" customHeight="1" outlineLevel="1">
      <c r="C51" s="349"/>
      <c r="E51" s="348"/>
      <c r="F51" s="348"/>
      <c r="G51" s="348"/>
      <c r="H51" s="348"/>
      <c r="I51" s="347"/>
      <c r="J51" s="347"/>
      <c r="K51" s="347"/>
      <c r="L51" s="347"/>
      <c r="M51" s="347"/>
      <c r="N51" s="347"/>
      <c r="O51" s="347"/>
      <c r="P51" s="347"/>
      <c r="Q51" s="347"/>
      <c r="R51" s="347"/>
      <c r="S51" s="347"/>
      <c r="T51" s="347"/>
      <c r="U51" s="347"/>
      <c r="V51" s="347"/>
      <c r="W51" s="347"/>
      <c r="X51" s="347"/>
      <c r="Y51" s="347"/>
      <c r="Z51" s="347"/>
      <c r="AA51" s="347"/>
      <c r="AB51" s="347"/>
      <c r="AC51" s="347"/>
      <c r="AD51" s="347"/>
      <c r="AE51" s="347"/>
      <c r="AF51" s="347"/>
      <c r="AG51"/>
      <c r="AH51" s="348"/>
      <c r="AI51" s="347"/>
      <c r="AJ51" s="347"/>
      <c r="AK51" s="347"/>
      <c r="AL51" s="347"/>
      <c r="AM51" s="347"/>
      <c r="AN51" s="347"/>
      <c r="AO51" s="347"/>
      <c r="AP51" s="347"/>
      <c r="AQ51" s="347"/>
      <c r="AR51" s="347"/>
      <c r="AS51" s="347"/>
    </row>
    <row r="52" spans="2:45" s="342" customFormat="1">
      <c r="C52" s="343" t="s">
        <v>27</v>
      </c>
      <c r="E52" s="341">
        <f t="shared" ref="E52:AA52" si="41">E18+E29+E40+E43+E46+E49</f>
        <v>13702</v>
      </c>
      <c r="F52" s="341">
        <f t="shared" si="41"/>
        <v>13533</v>
      </c>
      <c r="G52" s="341">
        <f t="shared" si="41"/>
        <v>15778</v>
      </c>
      <c r="H52" s="341">
        <f t="shared" si="41"/>
        <v>16374</v>
      </c>
      <c r="I52" s="341">
        <f t="shared" si="41"/>
        <v>14796</v>
      </c>
      <c r="J52" s="341">
        <f t="shared" si="41"/>
        <v>14763</v>
      </c>
      <c r="K52" s="341">
        <f t="shared" si="41"/>
        <v>16149</v>
      </c>
      <c r="L52" s="341">
        <f t="shared" si="41"/>
        <v>17053</v>
      </c>
      <c r="M52" s="341">
        <f t="shared" si="41"/>
        <v>16066</v>
      </c>
      <c r="N52" s="341">
        <f t="shared" si="41"/>
        <v>16962</v>
      </c>
      <c r="O52" s="341">
        <f t="shared" si="41"/>
        <v>19163</v>
      </c>
      <c r="P52" s="341">
        <f>P18+P29+P40+P43+P46+P49</f>
        <v>18657</v>
      </c>
      <c r="Q52" s="341">
        <f t="shared" si="41"/>
        <v>16061</v>
      </c>
      <c r="R52" s="341">
        <f t="shared" si="41"/>
        <v>16505</v>
      </c>
      <c r="S52" s="341">
        <f t="shared" si="41"/>
        <v>19190</v>
      </c>
      <c r="T52" s="341">
        <f t="shared" si="41"/>
        <v>20209</v>
      </c>
      <c r="U52" s="341">
        <f t="shared" si="41"/>
        <v>19828</v>
      </c>
      <c r="V52" s="341">
        <f t="shared" si="41"/>
        <v>19728</v>
      </c>
      <c r="W52" s="341">
        <f t="shared" si="41"/>
        <v>18333</v>
      </c>
      <c r="X52" s="341">
        <f t="shared" si="41"/>
        <v>19978</v>
      </c>
      <c r="Y52" s="341">
        <f t="shared" si="41"/>
        <v>19673</v>
      </c>
      <c r="Z52" s="341">
        <f t="shared" si="41"/>
        <v>19631</v>
      </c>
      <c r="AA52" s="341">
        <f t="shared" si="41"/>
        <v>19192</v>
      </c>
      <c r="AB52" s="341">
        <f>AB18+AB29+AB40+AB43+AB46+AB49</f>
        <v>20528</v>
      </c>
      <c r="AC52" s="341">
        <f>AC18+AC29+AC40+AC43+AC46+AC49</f>
        <v>19046.749999999996</v>
      </c>
      <c r="AD52" s="341">
        <f>AD18+AD29+AD40+AD43+AD46+AD49</f>
        <v>16836.774999999998</v>
      </c>
      <c r="AE52" s="341">
        <f>AE18+AE29+AE40+AE43+AE46+AE49</f>
        <v>16439.850000000002</v>
      </c>
      <c r="AF52" s="341">
        <f>AF18+AF29+AF40+AF43+AF46+AF49</f>
        <v>17304.875</v>
      </c>
      <c r="AG52"/>
      <c r="AH52" s="341">
        <f>AH18+AH29+AH40+AH43+AH46+AH49</f>
        <v>55870</v>
      </c>
      <c r="AI52" s="341">
        <f>AI18+AI29+AI40+AI43+AI46+AI49</f>
        <v>55355</v>
      </c>
      <c r="AJ52" s="341">
        <f t="shared" ref="AJ52:AO52" si="42">AJ18+AJ29+AJ40+AJ43+AJ46+AJ49</f>
        <v>59387</v>
      </c>
      <c r="AK52" s="341">
        <f t="shared" si="42"/>
        <v>62761</v>
      </c>
      <c r="AL52" s="341">
        <f t="shared" si="42"/>
        <v>70848</v>
      </c>
      <c r="AM52" s="341">
        <f t="shared" si="42"/>
        <v>71965</v>
      </c>
      <c r="AN52" s="341">
        <f t="shared" si="42"/>
        <v>77867</v>
      </c>
      <c r="AO52" s="341">
        <f t="shared" si="42"/>
        <v>79024</v>
      </c>
      <c r="AP52" s="341">
        <f>AP18+AP29+AP40+AP43+AP46+AP49</f>
        <v>69628.249999999985</v>
      </c>
      <c r="AQ52" s="341">
        <f>AQ18+AQ29+AQ40+AQ43+AQ46+AQ49</f>
        <v>65685.492125000004</v>
      </c>
      <c r="AR52" s="341">
        <f>AR18+AR29+AR40+AR43+AR46+AR49</f>
        <v>67977.672826250011</v>
      </c>
      <c r="AS52" s="341">
        <f>AS18+AS29+AS40+AS43+AS46+AS49</f>
        <v>71116.316730437524</v>
      </c>
    </row>
    <row r="53" spans="2:45" s="346" customFormat="1" outlineLevel="1">
      <c r="C53" s="389" t="s">
        <v>17</v>
      </c>
      <c r="E53" s="348"/>
      <c r="F53" s="348"/>
      <c r="G53" s="348"/>
      <c r="H53" s="348"/>
      <c r="I53" s="347">
        <f t="shared" ref="I53:AB53" si="43">IFERROR(+I52/E52-1,"NA ")</f>
        <v>7.9842358779740108E-2</v>
      </c>
      <c r="J53" s="347">
        <f t="shared" si="43"/>
        <v>9.0888938151185927E-2</v>
      </c>
      <c r="K53" s="347">
        <f t="shared" si="43"/>
        <v>2.3513753327417897E-2</v>
      </c>
      <c r="L53" s="347">
        <f t="shared" si="43"/>
        <v>4.1468181262977799E-2</v>
      </c>
      <c r="M53" s="347">
        <f t="shared" si="43"/>
        <v>8.5834009191673388E-2</v>
      </c>
      <c r="N53" s="347">
        <f t="shared" si="43"/>
        <v>0.14895346474293847</v>
      </c>
      <c r="O53" s="347">
        <f t="shared" si="43"/>
        <v>0.18663694346399162</v>
      </c>
      <c r="P53" s="347">
        <f t="shared" si="43"/>
        <v>9.4059696241130641E-2</v>
      </c>
      <c r="Q53" s="347">
        <f t="shared" si="43"/>
        <v>-3.1121623303875801E-4</v>
      </c>
      <c r="R53" s="347">
        <f t="shared" si="43"/>
        <v>-2.6942577526235079E-2</v>
      </c>
      <c r="S53" s="347">
        <f t="shared" si="43"/>
        <v>1.4089651933413272E-3</v>
      </c>
      <c r="T53" s="347">
        <f t="shared" si="43"/>
        <v>8.3185935573779179E-2</v>
      </c>
      <c r="U53" s="347">
        <f t="shared" si="43"/>
        <v>0.2345433036548159</v>
      </c>
      <c r="V53" s="347">
        <f t="shared" si="43"/>
        <v>0.19527415934565284</v>
      </c>
      <c r="W53" s="347">
        <f t="shared" si="43"/>
        <v>-4.4658676393955155E-2</v>
      </c>
      <c r="X53" s="347">
        <f t="shared" si="43"/>
        <v>-1.143055074471766E-2</v>
      </c>
      <c r="Y53" s="347">
        <f t="shared" si="43"/>
        <v>-7.817228162194878E-3</v>
      </c>
      <c r="Z53" s="347">
        <f t="shared" si="43"/>
        <v>-4.9168694241686905E-3</v>
      </c>
      <c r="AA53" s="347">
        <f t="shared" si="43"/>
        <v>4.6855397370861196E-2</v>
      </c>
      <c r="AB53" s="347">
        <f t="shared" si="43"/>
        <v>2.7530283311642867E-2</v>
      </c>
      <c r="AC53" s="347">
        <f>IFERROR(+AC52/Y52-1,"NA ")</f>
        <v>-3.1832969043867454E-2</v>
      </c>
      <c r="AD53" s="347">
        <f>IFERROR(+AD52/Z52-1,"NA ")</f>
        <v>-0.14233737456064399</v>
      </c>
      <c r="AE53" s="347">
        <f>IFERROR(+AE52/AA52-1,"NA ")</f>
        <v>-0.14340089620675267</v>
      </c>
      <c r="AF53" s="347">
        <f>IFERROR(+AF52/AB52-1,"NA ")</f>
        <v>-0.15701115549493372</v>
      </c>
      <c r="AG53"/>
      <c r="AH53" s="348"/>
      <c r="AI53" s="347">
        <f>IFERROR(AI52/AH52-1,"NA ")</f>
        <v>-9.2178270986218447E-3</v>
      </c>
      <c r="AJ53" s="347">
        <f t="shared" ref="AJ53:AO53" si="44">IFERROR(AJ52/AI52-1,"NA ")</f>
        <v>7.283894860446205E-2</v>
      </c>
      <c r="AK53" s="347">
        <f t="shared" si="44"/>
        <v>5.6813780793776525E-2</v>
      </c>
      <c r="AL53" s="347">
        <f t="shared" si="44"/>
        <v>0.12885390608817571</v>
      </c>
      <c r="AM53" s="347">
        <f t="shared" si="44"/>
        <v>1.576614724480585E-2</v>
      </c>
      <c r="AN53" s="347">
        <f t="shared" si="44"/>
        <v>8.2012089210032668E-2</v>
      </c>
      <c r="AO53" s="347">
        <f t="shared" si="44"/>
        <v>1.4858669269395275E-2</v>
      </c>
      <c r="AP53" s="347">
        <f>IFERROR(AP52/AO52-1,"NA ")</f>
        <v>-0.11889742356752397</v>
      </c>
      <c r="AQ53" s="347">
        <f>IFERROR(AQ52/AP52-1,"NA ")</f>
        <v>-5.6625836136912522E-2</v>
      </c>
      <c r="AR53" s="347">
        <f>IFERROR(AR52/AQ52-1,"NA ")</f>
        <v>3.4896300950108872E-2</v>
      </c>
      <c r="AS53" s="347">
        <f>IFERROR(AS52/AR52-1,"NA ")</f>
        <v>4.6171688051308335E-2</v>
      </c>
    </row>
    <row r="54" spans="2:45">
      <c r="AO54" s="347"/>
      <c r="AP54" s="347"/>
      <c r="AQ54" s="347"/>
      <c r="AR54" s="347"/>
      <c r="AS54" s="347"/>
    </row>
    <row r="55" spans="2:45" s="363" customFormat="1" ht="11.25" customHeight="1">
      <c r="B55" s="367" t="s">
        <v>9</v>
      </c>
      <c r="C55" s="366" t="s">
        <v>28</v>
      </c>
      <c r="D55" s="364"/>
      <c r="E55" s="364"/>
      <c r="F55" s="364"/>
      <c r="G55" s="364"/>
      <c r="H55" s="364"/>
      <c r="I55" s="365"/>
      <c r="J55" s="365"/>
      <c r="K55" s="365"/>
      <c r="L55" s="365"/>
      <c r="M55" s="365"/>
      <c r="N55" s="365"/>
      <c r="O55" s="365"/>
      <c r="P55" s="365"/>
      <c r="Q55" s="365"/>
      <c r="R55" s="365"/>
      <c r="S55" s="365"/>
      <c r="T55" s="365"/>
      <c r="U55" s="365"/>
      <c r="V55" s="365"/>
      <c r="W55" s="365"/>
      <c r="X55" s="365"/>
      <c r="Y55" s="365"/>
      <c r="Z55" s="365"/>
      <c r="AA55" s="365"/>
      <c r="AB55" s="364"/>
      <c r="AC55" s="364"/>
      <c r="AD55" s="364"/>
      <c r="AE55" s="364"/>
      <c r="AF55" s="364"/>
      <c r="AG55"/>
      <c r="AH55" s="364"/>
      <c r="AI55" s="364"/>
      <c r="AJ55" s="364"/>
      <c r="AK55" s="364"/>
      <c r="AL55" s="364"/>
      <c r="AM55" s="364"/>
      <c r="AN55" s="364"/>
      <c r="AO55" s="364"/>
      <c r="AP55" s="364"/>
      <c r="AQ55" s="364"/>
      <c r="AR55" s="364"/>
      <c r="AS55" s="364"/>
    </row>
    <row r="57" spans="2:45">
      <c r="C57" t="s">
        <v>29</v>
      </c>
      <c r="U57" s="32">
        <v>9775</v>
      </c>
      <c r="V57" s="32">
        <v>9496</v>
      </c>
      <c r="W57" s="32">
        <v>9847</v>
      </c>
      <c r="X57" s="32">
        <v>10939</v>
      </c>
      <c r="Y57" s="32">
        <v>10605</v>
      </c>
      <c r="Z57" s="32">
        <v>10109</v>
      </c>
      <c r="AA57" s="32">
        <v>9664</v>
      </c>
      <c r="AB57" s="32">
        <v>10133</v>
      </c>
      <c r="AC57" s="32">
        <v>9477</v>
      </c>
      <c r="AD57" s="32">
        <v>9781</v>
      </c>
      <c r="AE57" s="32">
        <v>10453</v>
      </c>
      <c r="AF57" s="32">
        <v>10671</v>
      </c>
      <c r="AN57" s="355">
        <f>+SUMIF($E$5:$AF$5,AN$5,$E57:$AF57)</f>
        <v>40057</v>
      </c>
      <c r="AO57" s="355">
        <f>+SUMIF($E$5:$AF$5,AO$5,$E57:$AF57)</f>
        <v>40511</v>
      </c>
      <c r="AP57" s="355">
        <f>+SUMIF($E$5:$AF$5,AP$5,$E57:$AF57)</f>
        <v>40382</v>
      </c>
      <c r="AQ57" s="32">
        <v>39939</v>
      </c>
      <c r="AR57" s="32">
        <v>38796</v>
      </c>
    </row>
    <row r="58" spans="2:45" s="346" customFormat="1" outlineLevel="1">
      <c r="C58" s="389" t="s">
        <v>17</v>
      </c>
      <c r="E58" s="348"/>
      <c r="F58" s="348"/>
      <c r="G58" s="348"/>
      <c r="H58" s="348"/>
      <c r="I58"/>
      <c r="J58"/>
      <c r="K58"/>
      <c r="L58"/>
      <c r="M58"/>
      <c r="N58"/>
      <c r="O58"/>
      <c r="P58"/>
      <c r="Q58"/>
      <c r="R58"/>
      <c r="S58"/>
      <c r="T58"/>
      <c r="U58" s="347" t="str">
        <f t="shared" ref="U58:AF58" si="45">IFERROR(+U57/Q57-1,"NA ")</f>
        <v xml:space="preserve">NA </v>
      </c>
      <c r="V58" s="347" t="str">
        <f t="shared" si="45"/>
        <v xml:space="preserve">NA </v>
      </c>
      <c r="W58" s="347" t="str">
        <f t="shared" si="45"/>
        <v xml:space="preserve">NA </v>
      </c>
      <c r="X58" s="347" t="str">
        <f t="shared" si="45"/>
        <v xml:space="preserve">NA </v>
      </c>
      <c r="Y58" s="347">
        <f t="shared" si="45"/>
        <v>8.4910485933503921E-2</v>
      </c>
      <c r="Z58" s="347">
        <f t="shared" si="45"/>
        <v>6.4553496208930028E-2</v>
      </c>
      <c r="AA58" s="347">
        <f t="shared" si="45"/>
        <v>-1.8584340408246192E-2</v>
      </c>
      <c r="AB58" s="347">
        <f t="shared" si="45"/>
        <v>-7.3681323704177681E-2</v>
      </c>
      <c r="AC58" s="347">
        <f t="shared" si="45"/>
        <v>-0.1063649222065064</v>
      </c>
      <c r="AD58" s="347">
        <f t="shared" si="45"/>
        <v>-3.2446334949055244E-2</v>
      </c>
      <c r="AE58" s="347">
        <f t="shared" si="45"/>
        <v>8.1643211920529701E-2</v>
      </c>
      <c r="AF58" s="347">
        <f t="shared" si="45"/>
        <v>5.3093851771439882E-2</v>
      </c>
      <c r="AG58"/>
      <c r="AH58"/>
      <c r="AI58"/>
      <c r="AJ58"/>
      <c r="AK58"/>
      <c r="AL58"/>
      <c r="AM58"/>
      <c r="AN58" s="347" t="str">
        <f>IFERROR(AN57/AM57-1,"NA ")</f>
        <v xml:space="preserve">NA </v>
      </c>
      <c r="AO58" s="347">
        <f>IFERROR(AO57/AN57-1,"NA ")</f>
        <v>1.1333849264797635E-2</v>
      </c>
      <c r="AP58" s="347">
        <f>IFERROR(AP57/AO57-1,"NA ")</f>
        <v>-3.1843203080644811E-3</v>
      </c>
      <c r="AQ58" s="347">
        <f>IFERROR(AQ57/AP57-1,"NA ")</f>
        <v>-1.0970234262790313E-2</v>
      </c>
      <c r="AR58" s="347">
        <f>IFERROR(AR57/AQ57-1,"NA ")</f>
        <v>-2.861864343123266E-2</v>
      </c>
      <c r="AS58"/>
    </row>
    <row r="59" spans="2:45" s="50" customFormat="1" ht="5.25" customHeight="1" outlineLevel="1">
      <c r="AG59"/>
      <c r="AH59"/>
      <c r="AI59"/>
      <c r="AJ59"/>
      <c r="AK59"/>
      <c r="AL59"/>
      <c r="AM59"/>
    </row>
    <row r="60" spans="2:45">
      <c r="C60" t="s">
        <v>30</v>
      </c>
      <c r="U60" s="32">
        <v>6603</v>
      </c>
      <c r="V60" s="32">
        <v>6225</v>
      </c>
      <c r="W60" s="32">
        <v>5325</v>
      </c>
      <c r="X60" s="32">
        <v>5436</v>
      </c>
      <c r="Y60" s="32">
        <v>5019</v>
      </c>
      <c r="Z60" s="32">
        <v>5872</v>
      </c>
      <c r="AA60" s="32">
        <v>5870</v>
      </c>
      <c r="AB60" s="32">
        <v>6559</v>
      </c>
      <c r="AC60" s="32">
        <v>6023</v>
      </c>
      <c r="AD60" s="32">
        <v>5915</v>
      </c>
      <c r="AE60" s="32">
        <v>5924</v>
      </c>
      <c r="AF60" s="32">
        <v>5989</v>
      </c>
      <c r="AN60" s="355">
        <f>+SUMIF($E$5:$AF$5,AN$5,$E60:$AF60)</f>
        <v>23589</v>
      </c>
      <c r="AO60" s="355">
        <f>+SUMIF($E$5:$AF$5,AO$5,$E60:$AF60)</f>
        <v>23320</v>
      </c>
      <c r="AP60" s="355">
        <f>+SUMIF($E$5:$AF$5,AP$5,$E60:$AF60)</f>
        <v>23851</v>
      </c>
      <c r="AQ60" s="32">
        <v>25011</v>
      </c>
      <c r="AR60" s="32">
        <v>26823</v>
      </c>
    </row>
    <row r="61" spans="2:45" s="346" customFormat="1" outlineLevel="1">
      <c r="C61" s="389" t="s">
        <v>17</v>
      </c>
      <c r="E61" s="348"/>
      <c r="F61" s="348"/>
      <c r="G61" s="348"/>
      <c r="H61" s="348"/>
      <c r="I61"/>
      <c r="J61"/>
      <c r="K61"/>
      <c r="L61"/>
      <c r="M61"/>
      <c r="N61"/>
      <c r="O61"/>
      <c r="P61"/>
      <c r="Q61"/>
      <c r="R61"/>
      <c r="S61"/>
      <c r="T61"/>
      <c r="U61" s="347" t="str">
        <f t="shared" ref="U61:AF61" si="46">IFERROR(+U60/Q60-1,"NA ")</f>
        <v xml:space="preserve">NA </v>
      </c>
      <c r="V61" s="347" t="str">
        <f t="shared" si="46"/>
        <v xml:space="preserve">NA </v>
      </c>
      <c r="W61" s="347" t="str">
        <f t="shared" si="46"/>
        <v xml:space="preserve">NA </v>
      </c>
      <c r="X61" s="347" t="str">
        <f t="shared" si="46"/>
        <v xml:space="preserve">NA </v>
      </c>
      <c r="Y61" s="347">
        <f t="shared" si="46"/>
        <v>-0.23989095865515675</v>
      </c>
      <c r="Z61" s="347">
        <f t="shared" si="46"/>
        <v>-5.6706827309236929E-2</v>
      </c>
      <c r="AA61" s="347">
        <f t="shared" si="46"/>
        <v>0.1023474178403756</v>
      </c>
      <c r="AB61" s="347">
        <f t="shared" si="46"/>
        <v>0.20658572479764525</v>
      </c>
      <c r="AC61" s="347">
        <f t="shared" si="46"/>
        <v>0.20003984857541335</v>
      </c>
      <c r="AD61" s="347">
        <f t="shared" si="46"/>
        <v>7.3228882833786813E-3</v>
      </c>
      <c r="AE61" s="347">
        <f t="shared" si="46"/>
        <v>9.1993185689949186E-3</v>
      </c>
      <c r="AF61" s="347">
        <f t="shared" si="46"/>
        <v>-8.6903491385882048E-2</v>
      </c>
      <c r="AG61"/>
      <c r="AH61"/>
      <c r="AI61"/>
      <c r="AJ61"/>
      <c r="AK61"/>
      <c r="AL61"/>
      <c r="AM61"/>
      <c r="AN61" s="347" t="str">
        <f>IFERROR(AN60/AM60-1,"NA ")</f>
        <v xml:space="preserve">NA </v>
      </c>
      <c r="AO61" s="347">
        <f>IFERROR(AO60/AN60-1,"NA ")</f>
        <v>-1.1403620331510433E-2</v>
      </c>
      <c r="AP61" s="347">
        <f>IFERROR(AP60/AO60-1,"NA ")</f>
        <v>2.2770154373928042E-2</v>
      </c>
      <c r="AQ61" s="347">
        <f>IFERROR(AQ60/AP60-1,"NA ")</f>
        <v>4.8635277346861683E-2</v>
      </c>
      <c r="AR61" s="347">
        <f>IFERROR(AR60/AQ60-1,"NA ")</f>
        <v>7.2448122825956585E-2</v>
      </c>
      <c r="AS61"/>
    </row>
    <row r="62" spans="2:45" s="50" customFormat="1" ht="5.25" customHeight="1" outlineLevel="1">
      <c r="AG62"/>
      <c r="AH62"/>
      <c r="AI62"/>
      <c r="AJ62"/>
      <c r="AK62"/>
      <c r="AL62"/>
      <c r="AM62"/>
    </row>
    <row r="63" spans="2:45">
      <c r="C63" t="s">
        <v>31</v>
      </c>
      <c r="U63" s="32">
        <v>1792</v>
      </c>
      <c r="V63" s="32">
        <v>2060</v>
      </c>
      <c r="W63" s="32">
        <v>1672</v>
      </c>
      <c r="X63" s="32">
        <v>1857</v>
      </c>
      <c r="Y63" s="32">
        <v>1933</v>
      </c>
      <c r="Z63" s="32">
        <v>1961</v>
      </c>
      <c r="AA63" s="32">
        <v>1991</v>
      </c>
      <c r="AB63" s="32">
        <v>2172</v>
      </c>
      <c r="AC63" s="32">
        <v>2076</v>
      </c>
      <c r="AD63" s="32">
        <v>2100</v>
      </c>
      <c r="AE63" s="32">
        <v>2150</v>
      </c>
      <c r="AF63" s="32">
        <v>2253</v>
      </c>
      <c r="AN63" s="355">
        <f>+SUMIF($E$5:$AF$5,AN$5,$E63:$AF63)</f>
        <v>7381</v>
      </c>
      <c r="AO63" s="355">
        <f>+SUMIF($E$5:$AF$5,AO$5,$E63:$AF63)</f>
        <v>8057</v>
      </c>
      <c r="AP63" s="355">
        <f>+SUMIF($E$5:$AF$5,AP$5,$E63:$AF63)</f>
        <v>8579</v>
      </c>
      <c r="AQ63" s="32">
        <v>9335</v>
      </c>
      <c r="AR63" s="32">
        <v>10227</v>
      </c>
    </row>
    <row r="64" spans="2:45" s="346" customFormat="1" outlineLevel="1">
      <c r="C64" s="389" t="s">
        <v>17</v>
      </c>
      <c r="E64" s="348"/>
      <c r="F64" s="348"/>
      <c r="G64" s="348"/>
      <c r="H64" s="348"/>
      <c r="I64"/>
      <c r="J64"/>
      <c r="K64"/>
      <c r="L64"/>
      <c r="M64"/>
      <c r="N64"/>
      <c r="O64"/>
      <c r="P64"/>
      <c r="Q64"/>
      <c r="R64"/>
      <c r="S64"/>
      <c r="T64"/>
      <c r="U64" s="347" t="str">
        <f t="shared" ref="U64:AF64" si="47">IFERROR(+U63/Q63-1,"NA ")</f>
        <v xml:space="preserve">NA </v>
      </c>
      <c r="V64" s="347" t="str">
        <f t="shared" si="47"/>
        <v xml:space="preserve">NA </v>
      </c>
      <c r="W64" s="347" t="str">
        <f t="shared" si="47"/>
        <v xml:space="preserve">NA </v>
      </c>
      <c r="X64" s="347" t="str">
        <f t="shared" si="47"/>
        <v xml:space="preserve">NA </v>
      </c>
      <c r="Y64" s="347">
        <f t="shared" si="47"/>
        <v>7.8683035714285809E-2</v>
      </c>
      <c r="Z64" s="347">
        <f t="shared" si="47"/>
        <v>-4.8058252427184422E-2</v>
      </c>
      <c r="AA64" s="347">
        <f t="shared" si="47"/>
        <v>0.19078947368421062</v>
      </c>
      <c r="AB64" s="347">
        <f t="shared" si="47"/>
        <v>0.1696284329563813</v>
      </c>
      <c r="AC64" s="347">
        <f t="shared" si="47"/>
        <v>7.3978272115882149E-2</v>
      </c>
      <c r="AD64" s="347">
        <f t="shared" si="47"/>
        <v>7.0882202957674556E-2</v>
      </c>
      <c r="AE64" s="347">
        <f t="shared" si="47"/>
        <v>7.9859367152184779E-2</v>
      </c>
      <c r="AF64" s="347">
        <f t="shared" si="47"/>
        <v>3.7292817679557944E-2</v>
      </c>
      <c r="AG64"/>
      <c r="AH64"/>
      <c r="AI64"/>
      <c r="AJ64"/>
      <c r="AK64"/>
      <c r="AL64"/>
      <c r="AM64"/>
      <c r="AN64" s="347" t="str">
        <f>IFERROR(AN63/AM63-1,"NA ")</f>
        <v xml:space="preserve">NA </v>
      </c>
      <c r="AO64" s="347">
        <f>IFERROR(AO63/AN63-1,"NA ")</f>
        <v>9.1586505893510362E-2</v>
      </c>
      <c r="AP64" s="347">
        <f>IFERROR(AP63/AO63-1,"NA ")</f>
        <v>6.4788382772744235E-2</v>
      </c>
      <c r="AQ64" s="347">
        <f>IFERROR(AQ63/AP63-1,"NA ")</f>
        <v>8.8122158759762259E-2</v>
      </c>
      <c r="AR64" s="347">
        <f>IFERROR(AR63/AQ63-1,"NA ")</f>
        <v>9.5554365291912191E-2</v>
      </c>
      <c r="AS64"/>
    </row>
    <row r="65" spans="3:45" s="50" customFormat="1" ht="5.25" customHeight="1" outlineLevel="1">
      <c r="AG65"/>
      <c r="AH65"/>
      <c r="AI65"/>
      <c r="AJ65"/>
      <c r="AK65"/>
      <c r="AL65"/>
      <c r="AM65"/>
    </row>
    <row r="66" spans="3:45">
      <c r="C66" t="s">
        <v>32</v>
      </c>
      <c r="U66" s="32">
        <v>0</v>
      </c>
      <c r="V66" s="32">
        <v>0</v>
      </c>
      <c r="W66" s="32">
        <v>0</v>
      </c>
      <c r="X66" s="32">
        <v>0</v>
      </c>
      <c r="Y66" s="32">
        <v>5</v>
      </c>
      <c r="Z66" s="32">
        <v>5</v>
      </c>
      <c r="AA66" s="32">
        <v>5</v>
      </c>
      <c r="AB66" s="32">
        <v>5</v>
      </c>
      <c r="AC66" s="32">
        <v>26</v>
      </c>
      <c r="AD66" s="32">
        <v>85</v>
      </c>
      <c r="AE66" s="32">
        <v>148</v>
      </c>
      <c r="AF66" s="32">
        <v>166</v>
      </c>
      <c r="AN66" s="355">
        <f>+SUMIF($E$5:$AF$5,AN$5,$E66:$AF66)</f>
        <v>0</v>
      </c>
      <c r="AO66" s="355">
        <f>+SUMIF($E$5:$AF$5,AO$5,$E66:$AF66)</f>
        <v>20</v>
      </c>
      <c r="AP66" s="355">
        <f>+SUMIF($E$5:$AF$5,AP$5,$E66:$AF66)</f>
        <v>425</v>
      </c>
      <c r="AQ66" s="32">
        <v>643</v>
      </c>
      <c r="AR66" s="32">
        <v>782</v>
      </c>
    </row>
    <row r="67" spans="3:45" s="346" customFormat="1" outlineLevel="1">
      <c r="C67" s="389" t="s">
        <v>17</v>
      </c>
      <c r="E67" s="348"/>
      <c r="F67" s="348"/>
      <c r="G67" s="348"/>
      <c r="H67" s="348"/>
      <c r="I67"/>
      <c r="J67"/>
      <c r="K67"/>
      <c r="L67"/>
      <c r="M67"/>
      <c r="N67"/>
      <c r="O67"/>
      <c r="P67"/>
      <c r="Q67"/>
      <c r="R67"/>
      <c r="S67"/>
      <c r="T67"/>
      <c r="U67" s="347" t="str">
        <f t="shared" ref="U67:AF67" si="48">IFERROR(+U66/Q66-1,"NA ")</f>
        <v xml:space="preserve">NA </v>
      </c>
      <c r="V67" s="347" t="str">
        <f t="shared" si="48"/>
        <v xml:space="preserve">NA </v>
      </c>
      <c r="W67" s="347" t="str">
        <f t="shared" si="48"/>
        <v xml:space="preserve">NA </v>
      </c>
      <c r="X67" s="347" t="str">
        <f t="shared" si="48"/>
        <v xml:space="preserve">NA </v>
      </c>
      <c r="Y67" s="347" t="str">
        <f t="shared" si="48"/>
        <v xml:space="preserve">NA </v>
      </c>
      <c r="Z67" s="347" t="str">
        <f t="shared" si="48"/>
        <v xml:space="preserve">NA </v>
      </c>
      <c r="AA67" s="347" t="str">
        <f t="shared" si="48"/>
        <v xml:space="preserve">NA </v>
      </c>
      <c r="AB67" s="347" t="str">
        <f t="shared" si="48"/>
        <v xml:space="preserve">NA </v>
      </c>
      <c r="AC67" s="347">
        <f t="shared" si="48"/>
        <v>4.2</v>
      </c>
      <c r="AD67" s="347">
        <f t="shared" si="48"/>
        <v>16</v>
      </c>
      <c r="AE67" s="347">
        <f t="shared" si="48"/>
        <v>28.6</v>
      </c>
      <c r="AF67" s="347">
        <f t="shared" si="48"/>
        <v>32.200000000000003</v>
      </c>
      <c r="AG67"/>
      <c r="AH67"/>
      <c r="AI67"/>
      <c r="AJ67"/>
      <c r="AK67"/>
      <c r="AL67"/>
      <c r="AM67"/>
      <c r="AN67" s="347" t="str">
        <f>IFERROR(AN66/AM66-1,"NA ")</f>
        <v xml:space="preserve">NA </v>
      </c>
      <c r="AO67" s="347" t="str">
        <f>IFERROR(AO66/AN66-1,"NA ")</f>
        <v xml:space="preserve">NA </v>
      </c>
      <c r="AP67" s="347">
        <f>IFERROR(AP66/AO66-1,"NA ")</f>
        <v>20.25</v>
      </c>
      <c r="AQ67" s="347">
        <f>IFERROR(AQ66/AP66-1,"NA ")</f>
        <v>0.51294117647058823</v>
      </c>
      <c r="AR67" s="347">
        <f>IFERROR(AR66/AQ66-1,"NA ")</f>
        <v>0.21617418351477458</v>
      </c>
      <c r="AS67"/>
    </row>
    <row r="68" spans="3:45" s="50" customFormat="1" ht="5.25" customHeight="1" outlineLevel="1">
      <c r="AG68"/>
      <c r="AH68"/>
      <c r="AI68"/>
      <c r="AJ68"/>
      <c r="AK68"/>
      <c r="AL68"/>
      <c r="AM68"/>
    </row>
    <row r="69" spans="3:45">
      <c r="C69" t="s">
        <v>23</v>
      </c>
      <c r="U69" s="32">
        <v>254</v>
      </c>
      <c r="V69" s="32">
        <v>146</v>
      </c>
      <c r="W69" s="32">
        <v>234</v>
      </c>
      <c r="X69" s="32">
        <v>333</v>
      </c>
      <c r="Y69" s="32">
        <v>377</v>
      </c>
      <c r="Z69" s="32">
        <v>327</v>
      </c>
      <c r="AA69" s="32">
        <v>326</v>
      </c>
      <c r="AB69" s="32">
        <v>356</v>
      </c>
      <c r="AC69" s="32">
        <v>399</v>
      </c>
      <c r="AD69" s="32">
        <v>379</v>
      </c>
      <c r="AE69" s="32">
        <v>409</v>
      </c>
      <c r="AF69" s="32">
        <v>421</v>
      </c>
      <c r="AN69" s="355">
        <f>+SUMIF($E$5:$AF$5,AN$5,$E69:$AF69)</f>
        <v>967</v>
      </c>
      <c r="AO69" s="355">
        <f>+SUMIF($E$5:$AF$5,AO$5,$E69:$AF69)</f>
        <v>1386</v>
      </c>
      <c r="AP69" s="355">
        <f>+SUMIF($E$5:$AF$5,AP$5,$E69:$AF69)</f>
        <v>1608</v>
      </c>
      <c r="AQ69" s="32">
        <v>2083</v>
      </c>
      <c r="AR69" s="32">
        <v>2664</v>
      </c>
    </row>
    <row r="70" spans="3:45" s="346" customFormat="1" outlineLevel="1">
      <c r="C70" s="389" t="s">
        <v>17</v>
      </c>
      <c r="E70" s="348"/>
      <c r="F70" s="348"/>
      <c r="G70" s="348"/>
      <c r="H70" s="348"/>
      <c r="I70"/>
      <c r="J70"/>
      <c r="K70"/>
      <c r="L70"/>
      <c r="M70"/>
      <c r="N70"/>
      <c r="O70"/>
      <c r="P70"/>
      <c r="Q70"/>
      <c r="R70"/>
      <c r="S70"/>
      <c r="T70"/>
      <c r="U70" s="347" t="str">
        <f t="shared" ref="U70:AF70" si="49">IFERROR(+U69/Q69-1,"NA ")</f>
        <v xml:space="preserve">NA </v>
      </c>
      <c r="V70" s="347" t="str">
        <f t="shared" si="49"/>
        <v xml:space="preserve">NA </v>
      </c>
      <c r="W70" s="347" t="str">
        <f t="shared" si="49"/>
        <v xml:space="preserve">NA </v>
      </c>
      <c r="X70" s="347" t="str">
        <f t="shared" si="49"/>
        <v xml:space="preserve">NA </v>
      </c>
      <c r="Y70" s="347">
        <f t="shared" si="49"/>
        <v>0.48425196850393704</v>
      </c>
      <c r="Z70" s="347">
        <f t="shared" si="49"/>
        <v>1.2397260273972601</v>
      </c>
      <c r="AA70" s="347">
        <f t="shared" si="49"/>
        <v>0.3931623931623931</v>
      </c>
      <c r="AB70" s="347">
        <f t="shared" si="49"/>
        <v>6.9069069069069178E-2</v>
      </c>
      <c r="AC70" s="347">
        <f t="shared" si="49"/>
        <v>5.8355437665782439E-2</v>
      </c>
      <c r="AD70" s="347">
        <f t="shared" si="49"/>
        <v>0.15902140672782883</v>
      </c>
      <c r="AE70" s="347">
        <f t="shared" si="49"/>
        <v>0.25460122699386512</v>
      </c>
      <c r="AF70" s="347">
        <f t="shared" si="49"/>
        <v>0.18258426966292141</v>
      </c>
      <c r="AG70"/>
      <c r="AH70"/>
      <c r="AI70"/>
      <c r="AJ70"/>
      <c r="AK70"/>
      <c r="AL70"/>
      <c r="AM70"/>
      <c r="AN70" s="347" t="str">
        <f>IFERROR(AN69/AM69-1,"NA ")</f>
        <v xml:space="preserve">NA </v>
      </c>
      <c r="AO70" s="347">
        <f>IFERROR(AO69/AN69-1,"NA ")</f>
        <v>0.43329886246122018</v>
      </c>
      <c r="AP70" s="347">
        <f>IFERROR(AP69/AO69-1,"NA ")</f>
        <v>0.16017316017316019</v>
      </c>
      <c r="AQ70" s="347">
        <f>IFERROR(AQ69/AP69-1,"NA ")</f>
        <v>0.29539800995024867</v>
      </c>
      <c r="AR70" s="347">
        <f>IFERROR(AR69/AQ69-1,"NA ")</f>
        <v>0.27892462794047046</v>
      </c>
      <c r="AS70"/>
    </row>
    <row r="71" spans="3:45" s="50" customFormat="1" ht="5.25" customHeight="1" outlineLevel="1">
      <c r="AG71"/>
      <c r="AH71"/>
      <c r="AI71"/>
      <c r="AJ71"/>
      <c r="AK71"/>
      <c r="AL71"/>
      <c r="AM71"/>
    </row>
    <row r="72" spans="3:45">
      <c r="C72" t="s">
        <v>33</v>
      </c>
      <c r="U72" s="32">
        <v>0</v>
      </c>
      <c r="V72" s="32">
        <v>0</v>
      </c>
      <c r="W72" s="32">
        <v>0</v>
      </c>
      <c r="X72" s="32">
        <v>0</v>
      </c>
      <c r="Y72" s="32">
        <v>175</v>
      </c>
      <c r="Z72" s="32">
        <v>200</v>
      </c>
      <c r="AA72" s="32">
        <v>225</v>
      </c>
      <c r="AB72" s="32">
        <v>250</v>
      </c>
      <c r="AC72" s="32">
        <v>255</v>
      </c>
      <c r="AD72" s="32">
        <v>252</v>
      </c>
      <c r="AE72" s="32">
        <v>252</v>
      </c>
      <c r="AF72" s="32">
        <v>255</v>
      </c>
      <c r="AN72" s="355">
        <f>+SUMIF($E$5:$AF$5,AN$5,$E72:$AF72)</f>
        <v>0</v>
      </c>
      <c r="AO72" s="355">
        <f>+SUMIF($E$5:$AF$5,AO$5,$E72:$AF72)</f>
        <v>850</v>
      </c>
      <c r="AP72" s="355">
        <f>+SUMIF($E$5:$AF$5,AP$5,$E72:$AF72)</f>
        <v>1014</v>
      </c>
      <c r="AQ72" s="32">
        <v>1174</v>
      </c>
      <c r="AR72" s="32">
        <v>1411</v>
      </c>
    </row>
    <row r="73" spans="3:45" s="346" customFormat="1" outlineLevel="1">
      <c r="C73" s="389" t="s">
        <v>17</v>
      </c>
      <c r="E73" s="348"/>
      <c r="F73" s="348"/>
      <c r="G73" s="348"/>
      <c r="H73" s="348"/>
      <c r="I73"/>
      <c r="J73"/>
      <c r="K73"/>
      <c r="L73"/>
      <c r="M73"/>
      <c r="N73"/>
      <c r="O73"/>
      <c r="P73"/>
      <c r="Q73"/>
      <c r="R73"/>
      <c r="S73"/>
      <c r="T73"/>
      <c r="U73" s="347" t="str">
        <f t="shared" ref="U73:AF73" si="50">IFERROR(+U72/Q72-1,"NA ")</f>
        <v xml:space="preserve">NA </v>
      </c>
      <c r="V73" s="347" t="str">
        <f t="shared" si="50"/>
        <v xml:space="preserve">NA </v>
      </c>
      <c r="W73" s="347" t="str">
        <f t="shared" si="50"/>
        <v xml:space="preserve">NA </v>
      </c>
      <c r="X73" s="347" t="str">
        <f t="shared" si="50"/>
        <v xml:space="preserve">NA </v>
      </c>
      <c r="Y73" s="347" t="str">
        <f t="shared" si="50"/>
        <v xml:space="preserve">NA </v>
      </c>
      <c r="Z73" s="347" t="str">
        <f t="shared" si="50"/>
        <v xml:space="preserve">NA </v>
      </c>
      <c r="AA73" s="347" t="str">
        <f t="shared" si="50"/>
        <v xml:space="preserve">NA </v>
      </c>
      <c r="AB73" s="347" t="str">
        <f t="shared" si="50"/>
        <v xml:space="preserve">NA </v>
      </c>
      <c r="AC73" s="347">
        <f t="shared" si="50"/>
        <v>0.45714285714285707</v>
      </c>
      <c r="AD73" s="347">
        <f t="shared" si="50"/>
        <v>0.26</v>
      </c>
      <c r="AE73" s="347">
        <f t="shared" si="50"/>
        <v>0.12000000000000011</v>
      </c>
      <c r="AF73" s="347">
        <f t="shared" si="50"/>
        <v>2.0000000000000018E-2</v>
      </c>
      <c r="AG73"/>
      <c r="AH73"/>
      <c r="AI73"/>
      <c r="AJ73"/>
      <c r="AK73"/>
      <c r="AL73"/>
      <c r="AM73"/>
      <c r="AN73" s="347" t="str">
        <f>IFERROR(AN72/AM72-1,"NA ")</f>
        <v xml:space="preserve">NA </v>
      </c>
      <c r="AO73" s="347" t="str">
        <f>IFERROR(AO72/AN72-1,"NA ")</f>
        <v xml:space="preserve">NA </v>
      </c>
      <c r="AP73" s="347">
        <f>IFERROR(AP72/AO72-1,"NA ")</f>
        <v>0.19294117647058817</v>
      </c>
      <c r="AQ73" s="347">
        <f>IFERROR(AQ72/AP72-1,"NA ")</f>
        <v>0.15779092702169617</v>
      </c>
      <c r="AR73" s="347">
        <f>IFERROR(AR72/AQ72-1,"NA ")</f>
        <v>0.20187393526405462</v>
      </c>
      <c r="AS73"/>
    </row>
    <row r="74" spans="3:45" s="50" customFormat="1" ht="5.25" customHeight="1" outlineLevel="1">
      <c r="AG74"/>
      <c r="AH74"/>
      <c r="AI74"/>
      <c r="AJ74"/>
      <c r="AK74"/>
      <c r="AL74"/>
      <c r="AM74"/>
    </row>
    <row r="75" spans="3:45">
      <c r="C75" t="s">
        <v>34</v>
      </c>
      <c r="U75" s="32">
        <v>163</v>
      </c>
      <c r="V75" s="32">
        <v>257</v>
      </c>
      <c r="W75" s="32">
        <v>188</v>
      </c>
      <c r="X75" s="32">
        <v>298</v>
      </c>
      <c r="Y75" s="32">
        <v>452</v>
      </c>
      <c r="Z75" s="32">
        <v>59</v>
      </c>
      <c r="AA75" s="32">
        <v>6</v>
      </c>
      <c r="AB75" s="32">
        <v>57</v>
      </c>
      <c r="AC75" s="32">
        <v>57</v>
      </c>
      <c r="AD75" s="32">
        <v>57</v>
      </c>
      <c r="AE75" s="32">
        <v>57</v>
      </c>
      <c r="AF75" s="32">
        <v>57</v>
      </c>
      <c r="AN75" s="355">
        <f>+SUMIF($E$5:$AF$5,AN$5,$E75:$AF75)</f>
        <v>906</v>
      </c>
      <c r="AO75" s="355">
        <f>+SUMIF($E$5:$AF$5,AO$5,$E75:$AF75)</f>
        <v>574</v>
      </c>
      <c r="AP75" s="355">
        <f>+SUMIF($E$5:$AF$5,AP$5,$E75:$AF75)</f>
        <v>228</v>
      </c>
      <c r="AQ75" s="32">
        <v>229</v>
      </c>
      <c r="AR75" s="32">
        <v>229</v>
      </c>
    </row>
    <row r="76" spans="3:45" s="346" customFormat="1" outlineLevel="1">
      <c r="C76" s="389" t="s">
        <v>17</v>
      </c>
      <c r="E76" s="348"/>
      <c r="F76" s="348"/>
      <c r="G76" s="348"/>
      <c r="H76" s="348"/>
      <c r="I76"/>
      <c r="J76"/>
      <c r="K76"/>
      <c r="L76"/>
      <c r="M76"/>
      <c r="N76"/>
      <c r="O76"/>
      <c r="P76"/>
      <c r="Q76"/>
      <c r="R76"/>
      <c r="S76"/>
      <c r="T76"/>
      <c r="U76" s="347" t="str">
        <f t="shared" ref="U76:AF76" si="51">IFERROR(+U75/Q75-1,"NA ")</f>
        <v xml:space="preserve">NA </v>
      </c>
      <c r="V76" s="347" t="str">
        <f t="shared" si="51"/>
        <v xml:space="preserve">NA </v>
      </c>
      <c r="W76" s="347" t="str">
        <f t="shared" si="51"/>
        <v xml:space="preserve">NA </v>
      </c>
      <c r="X76" s="347" t="str">
        <f t="shared" si="51"/>
        <v xml:space="preserve">NA </v>
      </c>
      <c r="Y76" s="347">
        <f t="shared" si="51"/>
        <v>1.7730061349693251</v>
      </c>
      <c r="Z76" s="347">
        <f t="shared" si="51"/>
        <v>-0.77042801556420237</v>
      </c>
      <c r="AA76" s="347">
        <f t="shared" si="51"/>
        <v>-0.96808510638297873</v>
      </c>
      <c r="AB76" s="347">
        <f t="shared" si="51"/>
        <v>-0.8087248322147651</v>
      </c>
      <c r="AC76" s="347">
        <f t="shared" si="51"/>
        <v>-0.87389380530973448</v>
      </c>
      <c r="AD76" s="347">
        <f t="shared" si="51"/>
        <v>-3.3898305084745783E-2</v>
      </c>
      <c r="AE76" s="347">
        <f t="shared" si="51"/>
        <v>8.5</v>
      </c>
      <c r="AF76" s="347">
        <f t="shared" si="51"/>
        <v>0</v>
      </c>
      <c r="AG76"/>
      <c r="AH76"/>
      <c r="AI76"/>
      <c r="AJ76"/>
      <c r="AK76"/>
      <c r="AL76"/>
      <c r="AM76"/>
      <c r="AN76" s="347" t="str">
        <f>IFERROR(AN75/AM75-1,"NA ")</f>
        <v xml:space="preserve">NA </v>
      </c>
      <c r="AO76" s="347">
        <f>IFERROR(AO75/AN75-1,"NA ")</f>
        <v>-0.36644591611479027</v>
      </c>
      <c r="AP76" s="347">
        <f>IFERROR(AP75/AO75-1,"NA ")</f>
        <v>-0.60278745644599296</v>
      </c>
      <c r="AQ76" s="347">
        <f>IFERROR(AQ75/AP75-1,"NA ")</f>
        <v>4.3859649122806044E-3</v>
      </c>
      <c r="AR76" s="347">
        <f>IFERROR(AR75/AQ75-1,"NA ")</f>
        <v>0</v>
      </c>
      <c r="AS76"/>
    </row>
    <row r="77" spans="3:45" s="50" customFormat="1" ht="5.25" customHeight="1" outlineLevel="1">
      <c r="AG77"/>
      <c r="AH77"/>
      <c r="AI77"/>
      <c r="AJ77"/>
      <c r="AK77"/>
      <c r="AL77"/>
      <c r="AM77"/>
    </row>
    <row r="78" spans="3:45" s="36" customFormat="1">
      <c r="C78" s="33" t="s">
        <v>35</v>
      </c>
      <c r="U78" s="240">
        <f>+U57+U60+U63+U66+U69+U72+U75</f>
        <v>18587</v>
      </c>
      <c r="V78" s="240">
        <f t="shared" ref="V78:AF78" si="52">+V57+V60+V63+V66+V69+V72+V75</f>
        <v>18184</v>
      </c>
      <c r="W78" s="240">
        <f t="shared" si="52"/>
        <v>17266</v>
      </c>
      <c r="X78" s="240">
        <f t="shared" si="52"/>
        <v>18863</v>
      </c>
      <c r="Y78" s="240">
        <f t="shared" si="52"/>
        <v>18566</v>
      </c>
      <c r="Z78" s="240">
        <f t="shared" si="52"/>
        <v>18533</v>
      </c>
      <c r="AA78" s="240">
        <f t="shared" si="52"/>
        <v>18087</v>
      </c>
      <c r="AB78" s="240">
        <f t="shared" si="52"/>
        <v>19532</v>
      </c>
      <c r="AC78" s="240">
        <f t="shared" si="52"/>
        <v>18313</v>
      </c>
      <c r="AD78" s="240">
        <f t="shared" si="52"/>
        <v>18569</v>
      </c>
      <c r="AE78" s="240">
        <f t="shared" si="52"/>
        <v>19393</v>
      </c>
      <c r="AF78" s="240">
        <f t="shared" si="52"/>
        <v>19812</v>
      </c>
      <c r="AN78" s="240">
        <f>+AN57+AN60+AN63+AN66+AN69+AN72+AN75</f>
        <v>72900</v>
      </c>
      <c r="AO78" s="240">
        <f>+AO57+AO60+AO63+AO66+AO69+AO72+AO75</f>
        <v>74718</v>
      </c>
      <c r="AP78" s="240">
        <f>+AP57+AP60+AP63+AP66+AP69+AP72+AP75</f>
        <v>76087</v>
      </c>
      <c r="AQ78" s="240">
        <f>+AQ57+AQ60+AQ63+AQ66+AQ69+AQ72+AQ75</f>
        <v>78414</v>
      </c>
      <c r="AR78" s="240">
        <f>+AR57+AR60+AR63+AR66+AR69+AR72+AR75</f>
        <v>80932</v>
      </c>
    </row>
    <row r="79" spans="3:45" s="346" customFormat="1" outlineLevel="1">
      <c r="C79" s="389" t="s">
        <v>17</v>
      </c>
      <c r="E79" s="348"/>
      <c r="F79" s="348"/>
      <c r="G79" s="348"/>
      <c r="H79" s="348"/>
      <c r="I79"/>
      <c r="J79"/>
      <c r="K79"/>
      <c r="L79"/>
      <c r="M79"/>
      <c r="N79"/>
      <c r="O79"/>
      <c r="P79"/>
      <c r="Q79"/>
      <c r="R79"/>
      <c r="S79"/>
      <c r="T79"/>
      <c r="U79" s="347" t="str">
        <f t="shared" ref="U79:AF79" si="53">IFERROR(+U78/Q78-1,"NA ")</f>
        <v xml:space="preserve">NA </v>
      </c>
      <c r="V79" s="347" t="str">
        <f t="shared" si="53"/>
        <v xml:space="preserve">NA </v>
      </c>
      <c r="W79" s="347" t="str">
        <f t="shared" si="53"/>
        <v xml:space="preserve">NA </v>
      </c>
      <c r="X79" s="347" t="str">
        <f t="shared" si="53"/>
        <v xml:space="preserve">NA </v>
      </c>
      <c r="Y79" s="347">
        <f t="shared" si="53"/>
        <v>-1.1298219185452707E-3</v>
      </c>
      <c r="Z79" s="347">
        <f t="shared" si="53"/>
        <v>1.9192696876374926E-2</v>
      </c>
      <c r="AA79" s="347">
        <f t="shared" si="53"/>
        <v>4.7550098459399948E-2</v>
      </c>
      <c r="AB79" s="347">
        <f t="shared" si="53"/>
        <v>3.5466256692996856E-2</v>
      </c>
      <c r="AC79" s="347">
        <f t="shared" si="53"/>
        <v>-1.3627060217602072E-2</v>
      </c>
      <c r="AD79" s="347">
        <f t="shared" si="53"/>
        <v>1.9424809798738174E-3</v>
      </c>
      <c r="AE79" s="347">
        <f t="shared" si="53"/>
        <v>7.2206557195775956E-2</v>
      </c>
      <c r="AF79" s="347">
        <f t="shared" si="53"/>
        <v>1.4335449518738441E-2</v>
      </c>
      <c r="AG79"/>
      <c r="AH79"/>
      <c r="AI79"/>
      <c r="AJ79"/>
      <c r="AK79"/>
      <c r="AL79"/>
      <c r="AM79"/>
      <c r="AN79" s="347" t="str">
        <f>IFERROR(AN78/AM78-1,"NA ")</f>
        <v xml:space="preserve">NA </v>
      </c>
      <c r="AO79" s="347">
        <f>IFERROR(AO78/AN78-1,"NA ")</f>
        <v>2.4938271604938222E-2</v>
      </c>
      <c r="AP79" s="347">
        <f>IFERROR(AP78/AO78-1,"NA ")</f>
        <v>1.832222489895341E-2</v>
      </c>
      <c r="AQ79" s="347">
        <f>IFERROR(AQ78/AP78-1,"NA ")</f>
        <v>3.0583411095193691E-2</v>
      </c>
      <c r="AR79" s="347">
        <f>IFERROR(AR78/AQ78-1,"NA ")</f>
        <v>3.2111612722218075E-2</v>
      </c>
      <c r="AS79"/>
    </row>
    <row r="81" spans="2:46" s="363" customFormat="1" ht="11.25" customHeight="1">
      <c r="B81" s="367" t="s">
        <v>9</v>
      </c>
      <c r="C81" s="366" t="s">
        <v>36</v>
      </c>
      <c r="D81" s="364"/>
      <c r="E81" s="364"/>
      <c r="F81" s="364"/>
      <c r="G81" s="364"/>
      <c r="H81" s="364"/>
      <c r="I81" s="365"/>
      <c r="J81" s="365"/>
      <c r="K81" s="365"/>
      <c r="L81" s="365"/>
      <c r="M81" s="365"/>
      <c r="N81" s="365"/>
      <c r="O81" s="365"/>
      <c r="P81" s="365"/>
      <c r="Q81" s="365"/>
      <c r="R81" s="365"/>
      <c r="S81" s="365"/>
      <c r="T81" s="365"/>
      <c r="U81" s="365"/>
      <c r="V81" s="365"/>
      <c r="W81" s="365"/>
      <c r="X81" s="365"/>
      <c r="Y81" s="365"/>
      <c r="Z81" s="365"/>
      <c r="AA81" s="365"/>
      <c r="AB81" s="364"/>
      <c r="AC81" s="364"/>
      <c r="AD81" s="364"/>
      <c r="AE81" s="364"/>
      <c r="AF81" s="364"/>
      <c r="AG81"/>
      <c r="AH81" s="364"/>
      <c r="AI81" s="364"/>
      <c r="AJ81" s="364"/>
      <c r="AK81" s="364"/>
      <c r="AL81" s="364"/>
      <c r="AM81" s="364"/>
      <c r="AN81" s="364"/>
      <c r="AO81" s="364"/>
      <c r="AP81" s="364"/>
      <c r="AQ81" s="364"/>
      <c r="AR81" s="364"/>
      <c r="AS81" s="364"/>
    </row>
    <row r="82" spans="2:46" ht="11.25" customHeight="1"/>
    <row r="83" spans="2:46" s="338" customFormat="1">
      <c r="C83" s="338" t="s">
        <v>15</v>
      </c>
      <c r="E83" s="345">
        <v>1885</v>
      </c>
      <c r="F83" s="345">
        <v>1911</v>
      </c>
      <c r="G83" s="345">
        <v>3327</v>
      </c>
      <c r="H83" s="345">
        <v>3523</v>
      </c>
      <c r="I83" s="345">
        <v>3031</v>
      </c>
      <c r="J83" s="345">
        <v>3025</v>
      </c>
      <c r="K83" s="345">
        <v>3600</v>
      </c>
      <c r="L83" s="345">
        <v>3263</v>
      </c>
      <c r="M83" s="345">
        <v>2791</v>
      </c>
      <c r="N83" s="345">
        <v>3234</v>
      </c>
      <c r="O83" s="345">
        <v>4532</v>
      </c>
      <c r="P83" s="345">
        <v>3665</v>
      </c>
      <c r="Q83" s="345">
        <v>3072</v>
      </c>
      <c r="R83" s="345">
        <v>3737</v>
      </c>
      <c r="S83" s="345">
        <v>4305</v>
      </c>
      <c r="T83" s="345">
        <v>4088</v>
      </c>
      <c r="U83" s="345">
        <v>4225</v>
      </c>
      <c r="V83" s="345">
        <v>2842</v>
      </c>
      <c r="W83" s="345">
        <v>3554</v>
      </c>
      <c r="X83" s="345">
        <v>4508</v>
      </c>
      <c r="Y83" s="345">
        <v>4120</v>
      </c>
      <c r="Z83" s="345">
        <v>3760</v>
      </c>
      <c r="AA83" s="345">
        <v>3317</v>
      </c>
      <c r="AB83" s="345">
        <v>3475</v>
      </c>
      <c r="AC83" s="344">
        <f>AC18*AC85</f>
        <v>3425.4150000000004</v>
      </c>
      <c r="AD83" s="344">
        <f>AD18*AD85</f>
        <v>3007.4275000000002</v>
      </c>
      <c r="AE83" s="344">
        <f>AE18*AE85</f>
        <v>2875.0400000000004</v>
      </c>
      <c r="AF83" s="344">
        <f>AF18*AF85</f>
        <v>3106.8605000000007</v>
      </c>
      <c r="AG83"/>
      <c r="AH83" s="345">
        <v>10327</v>
      </c>
      <c r="AI83" s="345">
        <v>8166</v>
      </c>
      <c r="AJ83" s="355">
        <f t="shared" ref="AJ83:AP83" si="54">+SUMIF($E$5:$AF$5,AJ$5,$E83:$AF83)</f>
        <v>10646</v>
      </c>
      <c r="AK83" s="355">
        <f t="shared" si="54"/>
        <v>12919</v>
      </c>
      <c r="AL83" s="355">
        <f t="shared" si="54"/>
        <v>14222</v>
      </c>
      <c r="AM83" s="355">
        <f t="shared" si="54"/>
        <v>15202</v>
      </c>
      <c r="AN83" s="355">
        <f t="shared" si="54"/>
        <v>15129</v>
      </c>
      <c r="AO83" s="355">
        <f t="shared" si="54"/>
        <v>14672</v>
      </c>
      <c r="AP83" s="355">
        <f t="shared" si="54"/>
        <v>12414.743000000002</v>
      </c>
      <c r="AQ83" s="344">
        <f>AQ18*AQ85</f>
        <v>11846.359218750002</v>
      </c>
      <c r="AR83" s="344">
        <f>AR18*AR85</f>
        <v>11964.822810937501</v>
      </c>
      <c r="AS83" s="344">
        <f>AS18*AS85</f>
        <v>12323.767495265627</v>
      </c>
    </row>
    <row r="84" spans="2:46" s="346" customFormat="1" outlineLevel="1">
      <c r="C84" s="349" t="s">
        <v>17</v>
      </c>
      <c r="E84" s="348"/>
      <c r="F84" s="348"/>
      <c r="G84" s="348"/>
      <c r="H84" s="348"/>
      <c r="I84" s="347">
        <f t="shared" ref="I84:AF84" si="55">IFERROR(+I83/E83-1,"NA ")</f>
        <v>0.60795755968169751</v>
      </c>
      <c r="J84" s="347">
        <f t="shared" si="55"/>
        <v>0.58294086865515427</v>
      </c>
      <c r="K84" s="347">
        <f t="shared" si="55"/>
        <v>8.2055906221821351E-2</v>
      </c>
      <c r="L84" s="347">
        <f t="shared" si="55"/>
        <v>-7.3800738007380073E-2</v>
      </c>
      <c r="M84" s="347">
        <f t="shared" si="55"/>
        <v>-7.9181788188716573E-2</v>
      </c>
      <c r="N84" s="347">
        <f t="shared" si="55"/>
        <v>6.9090909090909092E-2</v>
      </c>
      <c r="O84" s="347">
        <f t="shared" si="55"/>
        <v>0.25888888888888895</v>
      </c>
      <c r="P84" s="347">
        <f t="shared" si="55"/>
        <v>0.12319950965369286</v>
      </c>
      <c r="Q84" s="347">
        <f t="shared" si="55"/>
        <v>0.10068075958437839</v>
      </c>
      <c r="R84" s="347">
        <f t="shared" si="55"/>
        <v>0.15553494124922707</v>
      </c>
      <c r="S84" s="347">
        <f t="shared" si="55"/>
        <v>-5.0088261253309785E-2</v>
      </c>
      <c r="T84" s="347">
        <f t="shared" si="55"/>
        <v>0.11541609822646648</v>
      </c>
      <c r="U84" s="347">
        <f t="shared" si="55"/>
        <v>0.37532552083333326</v>
      </c>
      <c r="V84" s="347">
        <f t="shared" si="55"/>
        <v>-0.23949692266523948</v>
      </c>
      <c r="W84" s="347">
        <f t="shared" si="55"/>
        <v>-0.1744483159117306</v>
      </c>
      <c r="X84" s="347">
        <f t="shared" si="55"/>
        <v>0.10273972602739723</v>
      </c>
      <c r="Y84" s="347">
        <f t="shared" si="55"/>
        <v>-2.4852071005917131E-2</v>
      </c>
      <c r="Z84" s="347">
        <f t="shared" si="55"/>
        <v>0.32301196340605198</v>
      </c>
      <c r="AA84" s="347">
        <f t="shared" si="55"/>
        <v>-6.6685424873382138E-2</v>
      </c>
      <c r="AB84" s="347">
        <f t="shared" si="55"/>
        <v>-0.229148181011535</v>
      </c>
      <c r="AC84" s="347">
        <f t="shared" si="55"/>
        <v>-0.16858859223300959</v>
      </c>
      <c r="AD84" s="347">
        <f t="shared" si="55"/>
        <v>-0.20015226063829783</v>
      </c>
      <c r="AE84" s="347">
        <f t="shared" si="55"/>
        <v>-0.1332408803135362</v>
      </c>
      <c r="AF84" s="347">
        <f t="shared" si="55"/>
        <v>-0.10593942446043147</v>
      </c>
      <c r="AG84"/>
      <c r="AH84" s="348"/>
      <c r="AI84" s="347">
        <f>IFERROR(AI83/AH83-1,"NA ")</f>
        <v>-0.20925728672412125</v>
      </c>
      <c r="AJ84" s="347">
        <f t="shared" ref="AJ84:AP84" si="56">IFERROR(AJ83/AI83-1,"NA ")</f>
        <v>0.30369826108253739</v>
      </c>
      <c r="AK84" s="347">
        <f t="shared" si="56"/>
        <v>0.21350742062746564</v>
      </c>
      <c r="AL84" s="347">
        <f t="shared" si="56"/>
        <v>0.10085919962845424</v>
      </c>
      <c r="AM84" s="347">
        <f t="shared" si="56"/>
        <v>6.8907326676979297E-2</v>
      </c>
      <c r="AN84" s="347">
        <f t="shared" si="56"/>
        <v>-4.801999736876672E-3</v>
      </c>
      <c r="AO84" s="347">
        <f t="shared" si="56"/>
        <v>-3.0206887434727991E-2</v>
      </c>
      <c r="AP84" s="347">
        <f t="shared" si="56"/>
        <v>-0.15384794165757887</v>
      </c>
      <c r="AQ84" s="347">
        <f>IFERROR(AQ83/AP83-1,"NA ")</f>
        <v>-4.5782967980086298E-2</v>
      </c>
      <c r="AR84" s="347">
        <f>IFERROR(AR83/AQ83-1,"NA ")</f>
        <v>1.0000000000000009E-2</v>
      </c>
      <c r="AS84" s="347">
        <f>IFERROR(AS83/AR83-1,"NA ")</f>
        <v>3.0000000000000027E-2</v>
      </c>
    </row>
    <row r="85" spans="2:46" s="346" customFormat="1" outlineLevel="1">
      <c r="C85" s="349" t="s">
        <v>37</v>
      </c>
      <c r="E85" s="347">
        <f t="shared" ref="E85:AB85" si="57">IFERROR(E83/E18,"NA ")</f>
        <v>0.24970194727778514</v>
      </c>
      <c r="F85" s="347">
        <f t="shared" si="57"/>
        <v>0.26042518397383485</v>
      </c>
      <c r="G85" s="347">
        <f t="shared" si="57"/>
        <v>0.37415654520917679</v>
      </c>
      <c r="H85" s="347">
        <f t="shared" si="57"/>
        <v>0.38591302442764813</v>
      </c>
      <c r="I85" s="347">
        <f t="shared" si="57"/>
        <v>0.38001504513540624</v>
      </c>
      <c r="J85" s="347">
        <f t="shared" si="57"/>
        <v>0.36831851942043103</v>
      </c>
      <c r="K85" s="347">
        <f t="shared" si="57"/>
        <v>0.40632054176072235</v>
      </c>
      <c r="L85" s="347">
        <f t="shared" si="57"/>
        <v>0.36441813714540988</v>
      </c>
      <c r="M85" s="347">
        <f t="shared" si="57"/>
        <v>0.33953771289537715</v>
      </c>
      <c r="N85" s="347">
        <f t="shared" si="57"/>
        <v>0.37053162236480292</v>
      </c>
      <c r="O85" s="347">
        <f t="shared" si="57"/>
        <v>0.4428376001563416</v>
      </c>
      <c r="P85" s="347">
        <f t="shared" si="57"/>
        <v>0.37314192628792509</v>
      </c>
      <c r="Q85" s="347">
        <f t="shared" si="57"/>
        <v>0.35779175401816909</v>
      </c>
      <c r="R85" s="347">
        <f t="shared" si="57"/>
        <v>0.42268974097952722</v>
      </c>
      <c r="S85" s="347">
        <f t="shared" si="57"/>
        <v>0.44340302811824078</v>
      </c>
      <c r="T85" s="347">
        <f t="shared" si="57"/>
        <v>0.40839160839160837</v>
      </c>
      <c r="U85" s="347">
        <f t="shared" si="57"/>
        <v>0.43222506393861893</v>
      </c>
      <c r="V85" s="347">
        <f t="shared" si="57"/>
        <v>0.29928390901432184</v>
      </c>
      <c r="W85" s="347">
        <f t="shared" si="57"/>
        <v>0.36092210825632171</v>
      </c>
      <c r="X85" s="347">
        <f t="shared" si="57"/>
        <v>0.41210348295090959</v>
      </c>
      <c r="Y85" s="347">
        <f t="shared" si="57"/>
        <v>0.38849599245638849</v>
      </c>
      <c r="Z85" s="347">
        <f t="shared" si="57"/>
        <v>0.37194579087941437</v>
      </c>
      <c r="AA85" s="347">
        <f t="shared" si="57"/>
        <v>0.34323261589403975</v>
      </c>
      <c r="AB85" s="347">
        <f t="shared" si="57"/>
        <v>0.34293891246422581</v>
      </c>
      <c r="AC85" s="421">
        <v>0.34</v>
      </c>
      <c r="AD85" s="421">
        <v>0.34</v>
      </c>
      <c r="AE85" s="421">
        <v>0.34</v>
      </c>
      <c r="AF85" s="421">
        <v>0.34</v>
      </c>
      <c r="AG85"/>
      <c r="AH85" s="347">
        <f t="shared" ref="AH85:AP85" si="58">IFERROR(AH83/AH18,"NA ")</f>
        <v>0.29614016976370727</v>
      </c>
      <c r="AI85" s="347">
        <f t="shared" si="58"/>
        <v>0.25345293150004655</v>
      </c>
      <c r="AJ85" s="347">
        <f t="shared" si="58"/>
        <v>0.32350796158988698</v>
      </c>
      <c r="AK85" s="347">
        <f t="shared" si="58"/>
        <v>0.37993706437667263</v>
      </c>
      <c r="AL85" s="347">
        <f t="shared" si="58"/>
        <v>0.38433682845097827</v>
      </c>
      <c r="AM85" s="347">
        <f t="shared" si="58"/>
        <v>0.40924998653960049</v>
      </c>
      <c r="AN85" s="347">
        <f t="shared" si="58"/>
        <v>0.37768679631525076</v>
      </c>
      <c r="AO85" s="347">
        <f t="shared" si="58"/>
        <v>0.36217323689862013</v>
      </c>
      <c r="AP85" s="347">
        <f t="shared" si="58"/>
        <v>0.34</v>
      </c>
      <c r="AQ85" s="421">
        <v>0.35</v>
      </c>
      <c r="AR85" s="421">
        <v>0.35</v>
      </c>
      <c r="AS85" s="421">
        <v>0.35</v>
      </c>
    </row>
    <row r="86" spans="2:46" ht="5.25" customHeight="1" outlineLevel="1"/>
    <row r="87" spans="2:46" s="338" customFormat="1">
      <c r="C87" s="338" t="s">
        <v>20</v>
      </c>
      <c r="E87" s="345">
        <v>1764</v>
      </c>
      <c r="F87" s="345">
        <v>1765</v>
      </c>
      <c r="G87" s="345">
        <v>2110</v>
      </c>
      <c r="H87" s="345">
        <v>1881</v>
      </c>
      <c r="I87" s="345">
        <v>1487</v>
      </c>
      <c r="J87" s="345">
        <v>1661</v>
      </c>
      <c r="K87" s="345">
        <v>2255</v>
      </c>
      <c r="L87" s="345">
        <v>2992</v>
      </c>
      <c r="M87" s="345">
        <v>2602</v>
      </c>
      <c r="N87" s="345">
        <v>2737</v>
      </c>
      <c r="O87" s="345">
        <v>3082</v>
      </c>
      <c r="P87" s="345">
        <v>3055</v>
      </c>
      <c r="Q87" s="345">
        <v>1841</v>
      </c>
      <c r="R87" s="345">
        <v>1800</v>
      </c>
      <c r="S87" s="345">
        <v>3115</v>
      </c>
      <c r="T87" s="345">
        <v>3471</v>
      </c>
      <c r="U87" s="345">
        <v>3492</v>
      </c>
      <c r="V87" s="345">
        <v>3099</v>
      </c>
      <c r="W87" s="345">
        <v>1903</v>
      </c>
      <c r="X87" s="345">
        <v>2077</v>
      </c>
      <c r="Y87" s="345">
        <v>1273</v>
      </c>
      <c r="Z87" s="345">
        <v>1941</v>
      </c>
      <c r="AA87" s="345">
        <v>2057</v>
      </c>
      <c r="AB87" s="345">
        <v>1726</v>
      </c>
      <c r="AC87" s="344">
        <f>AC29*AC89</f>
        <v>1919.5799999999997</v>
      </c>
      <c r="AD87" s="344">
        <f>AD29*AD89</f>
        <v>1742.85</v>
      </c>
      <c r="AE87" s="344">
        <f>AE29*AE89</f>
        <v>1753.92</v>
      </c>
      <c r="AF87" s="344">
        <f>AF29*AF89</f>
        <v>1753.44</v>
      </c>
      <c r="AG87"/>
      <c r="AH87" s="345">
        <v>7380</v>
      </c>
      <c r="AI87" s="345">
        <v>7847</v>
      </c>
      <c r="AJ87" s="355">
        <f t="shared" ref="AJ87:AP87" si="59">+SUMIF($E$5:$AF$5,AJ$5,$E87:$AF87)</f>
        <v>7520</v>
      </c>
      <c r="AK87" s="355">
        <f t="shared" si="59"/>
        <v>8395</v>
      </c>
      <c r="AL87" s="355">
        <f t="shared" si="59"/>
        <v>11476</v>
      </c>
      <c r="AM87" s="355">
        <f t="shared" si="59"/>
        <v>10227</v>
      </c>
      <c r="AN87" s="355">
        <f t="shared" si="59"/>
        <v>10571</v>
      </c>
      <c r="AO87" s="355">
        <f t="shared" si="59"/>
        <v>6997</v>
      </c>
      <c r="AP87" s="355">
        <f t="shared" si="59"/>
        <v>7169.7899999999991</v>
      </c>
      <c r="AQ87" s="344">
        <f>AQ29*AQ89</f>
        <v>6496.4317499999997</v>
      </c>
      <c r="AR87" s="344">
        <f>AR29*AR89</f>
        <v>6707.9005875000003</v>
      </c>
      <c r="AS87" s="344">
        <f>AS29*AS89</f>
        <v>6909.1376051250008</v>
      </c>
    </row>
    <row r="88" spans="2:46" s="346" customFormat="1" outlineLevel="1">
      <c r="C88" s="349" t="s">
        <v>17</v>
      </c>
      <c r="E88" s="348"/>
      <c r="F88" s="348"/>
      <c r="G88" s="348"/>
      <c r="H88" s="348"/>
      <c r="I88" s="347">
        <f t="shared" ref="I88:AF88" si="60">IFERROR(+I87/E87-1,"NA ")</f>
        <v>-0.15702947845804993</v>
      </c>
      <c r="J88" s="347">
        <f t="shared" si="60"/>
        <v>-5.8923512747875328E-2</v>
      </c>
      <c r="K88" s="347">
        <f t="shared" si="60"/>
        <v>6.872037914691953E-2</v>
      </c>
      <c r="L88" s="347">
        <f t="shared" si="60"/>
        <v>0.59064327485380108</v>
      </c>
      <c r="M88" s="347">
        <f t="shared" si="60"/>
        <v>0.74983187626092795</v>
      </c>
      <c r="N88" s="347">
        <f t="shared" si="60"/>
        <v>0.64780252859723064</v>
      </c>
      <c r="O88" s="347">
        <f t="shared" si="60"/>
        <v>0.36674057649667402</v>
      </c>
      <c r="P88" s="347">
        <f t="shared" si="60"/>
        <v>2.1056149732620266E-2</v>
      </c>
      <c r="Q88" s="347">
        <f t="shared" si="60"/>
        <v>-0.29246733282090698</v>
      </c>
      <c r="R88" s="347">
        <f t="shared" si="60"/>
        <v>-0.34234563390573625</v>
      </c>
      <c r="S88" s="347">
        <f t="shared" si="60"/>
        <v>1.0707332900713906E-2</v>
      </c>
      <c r="T88" s="347">
        <f t="shared" si="60"/>
        <v>0.13617021276595742</v>
      </c>
      <c r="U88" s="347">
        <f t="shared" si="60"/>
        <v>0.89679521998913625</v>
      </c>
      <c r="V88" s="347">
        <f t="shared" si="60"/>
        <v>0.72166666666666668</v>
      </c>
      <c r="W88" s="347">
        <f t="shared" si="60"/>
        <v>-0.38908507223113964</v>
      </c>
      <c r="X88" s="347">
        <f t="shared" si="60"/>
        <v>-0.40161336790550273</v>
      </c>
      <c r="Y88" s="347">
        <f t="shared" si="60"/>
        <v>-0.63545246277205036</v>
      </c>
      <c r="Z88" s="347">
        <f t="shared" si="60"/>
        <v>-0.37366892545982577</v>
      </c>
      <c r="AA88" s="347">
        <f t="shared" si="60"/>
        <v>8.092485549132955E-2</v>
      </c>
      <c r="AB88" s="347">
        <f t="shared" si="60"/>
        <v>-0.16899374097255659</v>
      </c>
      <c r="AC88" s="347">
        <f t="shared" si="60"/>
        <v>0.50791830322073817</v>
      </c>
      <c r="AD88" s="347">
        <f t="shared" si="60"/>
        <v>-0.10208655332302941</v>
      </c>
      <c r="AE88" s="347">
        <f t="shared" si="60"/>
        <v>-0.14734078755469127</v>
      </c>
      <c r="AF88" s="347">
        <f t="shared" si="60"/>
        <v>1.589803012746227E-2</v>
      </c>
      <c r="AG88"/>
      <c r="AH88" s="348"/>
      <c r="AI88" s="347">
        <f>IFERROR(AI87/AH87-1,"NA ")</f>
        <v>6.3279132791328019E-2</v>
      </c>
      <c r="AJ88" s="347">
        <f t="shared" ref="AJ88:AS88" si="61">IFERROR(AJ87/AI87-1,"NA ")</f>
        <v>-4.1671976551548418E-2</v>
      </c>
      <c r="AK88" s="347">
        <f t="shared" si="61"/>
        <v>0.11635638297872331</v>
      </c>
      <c r="AL88" s="347">
        <f t="shared" si="61"/>
        <v>0.36700416914830258</v>
      </c>
      <c r="AM88" s="347">
        <f t="shared" si="61"/>
        <v>-0.10883583130010455</v>
      </c>
      <c r="AN88" s="347">
        <f t="shared" si="61"/>
        <v>3.3636452527622929E-2</v>
      </c>
      <c r="AO88" s="347">
        <f t="shared" si="61"/>
        <v>-0.33809478762652545</v>
      </c>
      <c r="AP88" s="347">
        <f t="shared" si="61"/>
        <v>2.4694869229669791E-2</v>
      </c>
      <c r="AQ88" s="347">
        <f t="shared" si="61"/>
        <v>-9.3916035197683545E-2</v>
      </c>
      <c r="AR88" s="347">
        <f t="shared" si="61"/>
        <v>3.2551536849440454E-2</v>
      </c>
      <c r="AS88" s="347">
        <f t="shared" si="61"/>
        <v>3.0000000000000027E-2</v>
      </c>
    </row>
    <row r="89" spans="2:46" s="346" customFormat="1" outlineLevel="1">
      <c r="C89" s="349" t="s">
        <v>37</v>
      </c>
      <c r="E89" s="347">
        <f t="shared" ref="E89:AB89" si="62">IFERROR(E87/E29,"NA ")</f>
        <v>0.44111027756939236</v>
      </c>
      <c r="F89" s="347">
        <f t="shared" si="62"/>
        <v>0.43829153215793393</v>
      </c>
      <c r="G89" s="347">
        <f t="shared" si="62"/>
        <v>0.46455306032584764</v>
      </c>
      <c r="H89" s="347">
        <f t="shared" si="62"/>
        <v>0.40295629820051415</v>
      </c>
      <c r="I89" s="347">
        <f t="shared" si="62"/>
        <v>0.35137051039697542</v>
      </c>
      <c r="J89" s="347">
        <f t="shared" si="62"/>
        <v>0.37991765782250686</v>
      </c>
      <c r="K89" s="347">
        <f t="shared" si="62"/>
        <v>0.46227962279622797</v>
      </c>
      <c r="L89" s="347">
        <f t="shared" si="62"/>
        <v>0.53600859906843423</v>
      </c>
      <c r="M89" s="347">
        <f t="shared" si="62"/>
        <v>0.49713412304165072</v>
      </c>
      <c r="N89" s="347">
        <f t="shared" si="62"/>
        <v>0.49324202559019642</v>
      </c>
      <c r="O89" s="347">
        <f t="shared" si="62"/>
        <v>0.50203616224140735</v>
      </c>
      <c r="P89" s="347">
        <f t="shared" si="62"/>
        <v>0.50337782171692202</v>
      </c>
      <c r="Q89" s="347">
        <f t="shared" si="62"/>
        <v>0.37556099551203592</v>
      </c>
      <c r="R89" s="347">
        <f t="shared" si="62"/>
        <v>0.36122817579771221</v>
      </c>
      <c r="S89" s="347">
        <f t="shared" si="62"/>
        <v>0.48801503994986684</v>
      </c>
      <c r="T89" s="347">
        <f t="shared" si="62"/>
        <v>0.48121447386662969</v>
      </c>
      <c r="U89" s="347">
        <f t="shared" si="62"/>
        <v>0.49935649935649934</v>
      </c>
      <c r="V89" s="347">
        <f t="shared" si="62"/>
        <v>0.43543627933117884</v>
      </c>
      <c r="W89" s="347">
        <f t="shared" si="62"/>
        <v>0.3222692633361558</v>
      </c>
      <c r="X89" s="347">
        <f t="shared" si="62"/>
        <v>0.34116294349540077</v>
      </c>
      <c r="Y89" s="347">
        <f t="shared" si="62"/>
        <v>0.22879223580158159</v>
      </c>
      <c r="Z89" s="347">
        <f t="shared" si="62"/>
        <v>0.30069713400464754</v>
      </c>
      <c r="AA89" s="347">
        <f t="shared" si="62"/>
        <v>0.31665640394088668</v>
      </c>
      <c r="AB89" s="347">
        <f t="shared" si="62"/>
        <v>0.23624418286339993</v>
      </c>
      <c r="AC89" s="421">
        <v>0.3</v>
      </c>
      <c r="AD89" s="421">
        <v>0.3</v>
      </c>
      <c r="AE89" s="421">
        <v>0.3</v>
      </c>
      <c r="AF89" s="421">
        <v>0.3</v>
      </c>
      <c r="AG89"/>
      <c r="AH89" s="347">
        <f t="shared" ref="AH89:AP89" si="63">IFERROR(AH87/AH29,"NA ")</f>
        <v>0.51264240066685185</v>
      </c>
      <c r="AI89" s="347">
        <f t="shared" si="63"/>
        <v>0.49102058694699957</v>
      </c>
      <c r="AJ89" s="347">
        <f t="shared" si="63"/>
        <v>0.43629612439080995</v>
      </c>
      <c r="AK89" s="347">
        <f t="shared" si="63"/>
        <v>0.44035879143936213</v>
      </c>
      <c r="AL89" s="347">
        <f t="shared" si="63"/>
        <v>0.49915184202514029</v>
      </c>
      <c r="AM89" s="347">
        <f t="shared" si="63"/>
        <v>0.43554363102082533</v>
      </c>
      <c r="AN89" s="347">
        <f t="shared" si="63"/>
        <v>0.4049726085124315</v>
      </c>
      <c r="AO89" s="347">
        <f t="shared" si="63"/>
        <v>0.27098098447000502</v>
      </c>
      <c r="AP89" s="347">
        <f t="shared" si="63"/>
        <v>0.3</v>
      </c>
      <c r="AQ89" s="421">
        <v>0.3</v>
      </c>
      <c r="AR89" s="421">
        <v>0.3</v>
      </c>
      <c r="AS89" s="421">
        <v>0.3</v>
      </c>
    </row>
    <row r="90" spans="2:46" ht="5.25" customHeight="1" outlineLevel="1">
      <c r="AC90" t="s">
        <v>38</v>
      </c>
    </row>
    <row r="91" spans="2:46" s="338" customFormat="1">
      <c r="C91" s="338" t="s">
        <v>22</v>
      </c>
      <c r="E91" s="345">
        <v>123</v>
      </c>
      <c r="F91" s="345">
        <v>89</v>
      </c>
      <c r="G91" s="345">
        <v>191</v>
      </c>
      <c r="H91" s="345">
        <v>182</v>
      </c>
      <c r="I91" s="345">
        <v>105</v>
      </c>
      <c r="J91" s="345">
        <v>139</v>
      </c>
      <c r="K91" s="345">
        <v>146</v>
      </c>
      <c r="L91" s="345">
        <v>260</v>
      </c>
      <c r="M91" s="345">
        <v>227</v>
      </c>
      <c r="N91" s="345">
        <v>243</v>
      </c>
      <c r="O91" s="345">
        <v>321</v>
      </c>
      <c r="P91" s="345">
        <v>189</v>
      </c>
      <c r="Q91" s="345">
        <v>251</v>
      </c>
      <c r="R91" s="345">
        <v>294</v>
      </c>
      <c r="S91" s="345">
        <v>309</v>
      </c>
      <c r="T91" s="345">
        <v>243</v>
      </c>
      <c r="U91" s="345">
        <v>243</v>
      </c>
      <c r="V91" s="345">
        <v>70</v>
      </c>
      <c r="W91" s="345">
        <v>61</v>
      </c>
      <c r="X91" s="345">
        <v>123</v>
      </c>
      <c r="Y91" s="345">
        <v>212</v>
      </c>
      <c r="Z91" s="345">
        <v>287</v>
      </c>
      <c r="AA91" s="345">
        <v>276</v>
      </c>
      <c r="AB91" s="345">
        <v>270</v>
      </c>
      <c r="AC91" s="344">
        <f>AC34*AC93</f>
        <v>287.91000000000003</v>
      </c>
      <c r="AD91" s="344">
        <f>AD34*AD93</f>
        <v>309.95999999999998</v>
      </c>
      <c r="AE91" s="344">
        <f>AE34*AE93</f>
        <v>328.23</v>
      </c>
      <c r="AF91" s="344">
        <f>AF34*AF93</f>
        <v>333.27000000000004</v>
      </c>
      <c r="AG91"/>
      <c r="AH91" s="345">
        <v>583</v>
      </c>
      <c r="AI91" s="345">
        <v>515</v>
      </c>
      <c r="AJ91" s="355">
        <f t="shared" ref="AJ91:AP91" si="64">+SUMIF($E$5:$AF$5,AJ$5,$E91:$AF91)</f>
        <v>585</v>
      </c>
      <c r="AK91" s="355">
        <f t="shared" si="64"/>
        <v>650</v>
      </c>
      <c r="AL91" s="355">
        <f t="shared" si="64"/>
        <v>980</v>
      </c>
      <c r="AM91" s="355">
        <f t="shared" si="64"/>
        <v>1097</v>
      </c>
      <c r="AN91" s="355">
        <f t="shared" si="64"/>
        <v>497</v>
      </c>
      <c r="AO91" s="355">
        <f t="shared" si="64"/>
        <v>1045</v>
      </c>
      <c r="AP91" s="355">
        <f t="shared" si="64"/>
        <v>1259.3700000000001</v>
      </c>
      <c r="AQ91" s="344">
        <f>AQ34*AQ93</f>
        <v>1334.9321999999997</v>
      </c>
      <c r="AR91" s="344">
        <f>AR34*AR93</f>
        <v>1441.7267759999997</v>
      </c>
      <c r="AS91" s="344">
        <f>AS34*AS93</f>
        <v>1585.8994535999998</v>
      </c>
      <c r="AT91"/>
    </row>
    <row r="92" spans="2:46" s="346" customFormat="1" outlineLevel="1">
      <c r="C92" s="349" t="s">
        <v>17</v>
      </c>
      <c r="E92" s="348"/>
      <c r="F92" s="348"/>
      <c r="G92" s="348"/>
      <c r="H92" s="348"/>
      <c r="I92" s="347">
        <f t="shared" ref="I92:AF92" si="65">IFERROR(+I91/E91-1,"NA ")</f>
        <v>-0.14634146341463417</v>
      </c>
      <c r="J92" s="347">
        <f t="shared" si="65"/>
        <v>0.5617977528089888</v>
      </c>
      <c r="K92" s="347">
        <f t="shared" si="65"/>
        <v>-0.23560209424083767</v>
      </c>
      <c r="L92" s="347">
        <f t="shared" si="65"/>
        <v>0.4285714285714286</v>
      </c>
      <c r="M92" s="347">
        <f t="shared" si="65"/>
        <v>1.1619047619047618</v>
      </c>
      <c r="N92" s="347">
        <f t="shared" si="65"/>
        <v>0.74820143884892087</v>
      </c>
      <c r="O92" s="347">
        <f t="shared" si="65"/>
        <v>1.1986301369863015</v>
      </c>
      <c r="P92" s="347">
        <f t="shared" si="65"/>
        <v>-0.27307692307692311</v>
      </c>
      <c r="Q92" s="347">
        <f t="shared" si="65"/>
        <v>0.10572687224669597</v>
      </c>
      <c r="R92" s="347">
        <f t="shared" si="65"/>
        <v>0.20987654320987659</v>
      </c>
      <c r="S92" s="347">
        <f t="shared" si="65"/>
        <v>-3.7383177570093462E-2</v>
      </c>
      <c r="T92" s="347">
        <f t="shared" si="65"/>
        <v>0.28571428571428581</v>
      </c>
      <c r="U92" s="347">
        <f t="shared" si="65"/>
        <v>-3.1872509960159334E-2</v>
      </c>
      <c r="V92" s="347">
        <f t="shared" si="65"/>
        <v>-0.76190476190476186</v>
      </c>
      <c r="W92" s="347">
        <f t="shared" si="65"/>
        <v>-0.80258899676375406</v>
      </c>
      <c r="X92" s="347">
        <f t="shared" si="65"/>
        <v>-0.49382716049382713</v>
      </c>
      <c r="Y92" s="347">
        <f t="shared" si="65"/>
        <v>-0.12757201646090532</v>
      </c>
      <c r="Z92" s="347">
        <f t="shared" si="65"/>
        <v>3.0999999999999996</v>
      </c>
      <c r="AA92" s="347">
        <f t="shared" si="65"/>
        <v>3.5245901639344259</v>
      </c>
      <c r="AB92" s="347">
        <f t="shared" si="65"/>
        <v>1.1951219512195124</v>
      </c>
      <c r="AC92" s="347">
        <f t="shared" si="65"/>
        <v>0.35806603773584911</v>
      </c>
      <c r="AD92" s="347">
        <f t="shared" si="65"/>
        <v>7.9999999999999849E-2</v>
      </c>
      <c r="AE92" s="347">
        <f t="shared" si="65"/>
        <v>0.18923913043478269</v>
      </c>
      <c r="AF92" s="347">
        <f t="shared" si="65"/>
        <v>0.2343333333333335</v>
      </c>
      <c r="AG92"/>
      <c r="AH92" s="348"/>
      <c r="AI92" s="347">
        <f>IFERROR(AI91/AH91-1,"NA ")</f>
        <v>-0.11663807890222988</v>
      </c>
      <c r="AJ92" s="347">
        <f t="shared" ref="AJ92:AS92" si="66">IFERROR(AJ91/AI91-1,"NA ")</f>
        <v>0.13592233009708732</v>
      </c>
      <c r="AK92" s="347">
        <f t="shared" si="66"/>
        <v>0.11111111111111116</v>
      </c>
      <c r="AL92" s="347">
        <f t="shared" si="66"/>
        <v>0.50769230769230766</v>
      </c>
      <c r="AM92" s="347">
        <f t="shared" si="66"/>
        <v>0.1193877551020408</v>
      </c>
      <c r="AN92" s="347">
        <f t="shared" si="66"/>
        <v>-0.54694621695533274</v>
      </c>
      <c r="AO92" s="347">
        <f t="shared" si="66"/>
        <v>1.1026156941649901</v>
      </c>
      <c r="AP92" s="347">
        <f t="shared" si="66"/>
        <v>0.20513875598086129</v>
      </c>
      <c r="AQ92" s="347">
        <f t="shared" si="66"/>
        <v>5.9999999999999609E-2</v>
      </c>
      <c r="AR92" s="347">
        <f t="shared" si="66"/>
        <v>8.0000000000000071E-2</v>
      </c>
      <c r="AS92" s="347">
        <f t="shared" si="66"/>
        <v>0.10000000000000009</v>
      </c>
    </row>
    <row r="93" spans="2:46" s="346" customFormat="1" outlineLevel="1">
      <c r="C93" s="349" t="s">
        <v>37</v>
      </c>
      <c r="E93" s="347" t="str">
        <f t="shared" ref="E93:AB93" si="67">IFERROR(E91/E34,"NA ")</f>
        <v xml:space="preserve">NA </v>
      </c>
      <c r="F93" s="347" t="str">
        <f t="shared" si="67"/>
        <v xml:space="preserve">NA </v>
      </c>
      <c r="G93" s="347" t="str">
        <f t="shared" si="67"/>
        <v xml:space="preserve">NA </v>
      </c>
      <c r="H93" s="347" t="str">
        <f t="shared" si="67"/>
        <v xml:space="preserve">NA </v>
      </c>
      <c r="I93" s="347" t="str">
        <f t="shared" si="67"/>
        <v xml:space="preserve">NA </v>
      </c>
      <c r="J93" s="347" t="str">
        <f t="shared" si="67"/>
        <v xml:space="preserve">NA </v>
      </c>
      <c r="K93" s="347" t="str">
        <f t="shared" si="67"/>
        <v xml:space="preserve">NA </v>
      </c>
      <c r="L93" s="347" t="str">
        <f t="shared" si="67"/>
        <v xml:space="preserve">NA </v>
      </c>
      <c r="M93" s="347">
        <f t="shared" si="67"/>
        <v>0.27023809523809522</v>
      </c>
      <c r="N93" s="347" t="str">
        <f t="shared" si="67"/>
        <v xml:space="preserve">NA </v>
      </c>
      <c r="O93" s="347">
        <f t="shared" si="67"/>
        <v>0.34929270946681173</v>
      </c>
      <c r="P93" s="347" t="str">
        <f t="shared" si="67"/>
        <v xml:space="preserve">NA </v>
      </c>
      <c r="Q93" s="347">
        <f t="shared" si="67"/>
        <v>0.27582417582417584</v>
      </c>
      <c r="R93" s="347">
        <f t="shared" si="67"/>
        <v>0.29817444219066935</v>
      </c>
      <c r="S93" s="347">
        <f t="shared" si="67"/>
        <v>0.30746268656716419</v>
      </c>
      <c r="T93" s="347">
        <f t="shared" si="67"/>
        <v>0.26413043478260867</v>
      </c>
      <c r="U93" s="347">
        <f t="shared" si="67"/>
        <v>0.27519818799546997</v>
      </c>
      <c r="V93" s="347">
        <f t="shared" si="67"/>
        <v>0.1044776119402985</v>
      </c>
      <c r="W93" s="347">
        <f t="shared" si="67"/>
        <v>9.0103397341211228E-2</v>
      </c>
      <c r="X93" s="347">
        <f t="shared" si="67"/>
        <v>0.15830115830115829</v>
      </c>
      <c r="Y93" s="347">
        <f t="shared" si="67"/>
        <v>0.23194748358862144</v>
      </c>
      <c r="Z93" s="347">
        <f t="shared" si="67"/>
        <v>0.29166666666666669</v>
      </c>
      <c r="AA93" s="347">
        <f t="shared" si="67"/>
        <v>0.26487523992322459</v>
      </c>
      <c r="AB93" s="347">
        <f t="shared" si="67"/>
        <v>0.2551984877126654</v>
      </c>
      <c r="AC93" s="421">
        <v>0.3</v>
      </c>
      <c r="AD93" s="421">
        <v>0.3</v>
      </c>
      <c r="AE93" s="421">
        <v>0.3</v>
      </c>
      <c r="AF93" s="421">
        <v>0.3</v>
      </c>
      <c r="AG93"/>
      <c r="AH93" s="347">
        <f t="shared" ref="AH93:AP93" si="68">IFERROR(AH91/AH34,"NA ")</f>
        <v>0.32138919514884234</v>
      </c>
      <c r="AI93" s="347">
        <f t="shared" si="68"/>
        <v>0.26062753036437247</v>
      </c>
      <c r="AJ93" s="347" t="str">
        <f t="shared" si="68"/>
        <v xml:space="preserve">NA </v>
      </c>
      <c r="AK93" s="347" t="str">
        <f t="shared" si="68"/>
        <v xml:space="preserve">NA </v>
      </c>
      <c r="AL93" s="347" t="str">
        <f t="shared" si="68"/>
        <v xml:space="preserve">NA </v>
      </c>
      <c r="AM93" s="347">
        <f t="shared" si="68"/>
        <v>0.28709761842449621</v>
      </c>
      <c r="AN93" s="347">
        <f t="shared" si="68"/>
        <v>0.16528101097439307</v>
      </c>
      <c r="AO93" s="347">
        <f t="shared" si="68"/>
        <v>0.26138069034517258</v>
      </c>
      <c r="AP93" s="347">
        <f t="shared" si="68"/>
        <v>0.30000000000000004</v>
      </c>
      <c r="AQ93" s="421">
        <v>0.3</v>
      </c>
      <c r="AR93" s="421">
        <v>0.3</v>
      </c>
      <c r="AS93" s="421">
        <v>0.3</v>
      </c>
    </row>
    <row r="94" spans="2:46" ht="5.25" customHeight="1" outlineLevel="1"/>
    <row r="95" spans="2:46" s="338" customFormat="1">
      <c r="C95" s="338" t="s">
        <v>23</v>
      </c>
      <c r="E95" s="345">
        <v>0</v>
      </c>
      <c r="F95" s="345">
        <v>0</v>
      </c>
      <c r="G95" s="345">
        <v>0</v>
      </c>
      <c r="H95" s="345">
        <v>0</v>
      </c>
      <c r="I95" s="345">
        <v>0</v>
      </c>
      <c r="J95" s="345">
        <v>0</v>
      </c>
      <c r="K95" s="345">
        <v>0</v>
      </c>
      <c r="L95" s="345"/>
      <c r="M95" s="345">
        <v>10</v>
      </c>
      <c r="N95" s="345">
        <v>44</v>
      </c>
      <c r="O95" s="345">
        <v>52</v>
      </c>
      <c r="P95" s="345">
        <v>37</v>
      </c>
      <c r="Q95" s="345">
        <v>68</v>
      </c>
      <c r="R95" s="345">
        <v>53</v>
      </c>
      <c r="S95" s="345">
        <v>67</v>
      </c>
      <c r="T95" s="345">
        <v>57</v>
      </c>
      <c r="U95" s="345">
        <v>88</v>
      </c>
      <c r="V95" s="345">
        <v>-4</v>
      </c>
      <c r="W95" s="345">
        <v>47</v>
      </c>
      <c r="X95" s="345">
        <v>110</v>
      </c>
      <c r="Y95" s="345">
        <v>147</v>
      </c>
      <c r="Z95" s="345">
        <v>109</v>
      </c>
      <c r="AA95" s="345">
        <v>105</v>
      </c>
      <c r="AB95" s="345">
        <v>99</v>
      </c>
      <c r="AC95" s="344">
        <f>AC37*AC97</f>
        <v>149.292</v>
      </c>
      <c r="AD95" s="344">
        <f>AD37*AD97</f>
        <v>151.07399999999998</v>
      </c>
      <c r="AE95" s="344">
        <f>AE37*AE97</f>
        <v>150.61199999999999</v>
      </c>
      <c r="AF95" s="344">
        <f>AF37*AF97</f>
        <v>164.47200000000001</v>
      </c>
      <c r="AG95"/>
      <c r="AH95" s="345">
        <v>0</v>
      </c>
      <c r="AI95" s="345">
        <v>0</v>
      </c>
      <c r="AJ95" s="355">
        <f t="shared" ref="AJ95:AP95" si="69">+SUMIF($E$5:$AF$5,AJ$5,$E95:$AF95)</f>
        <v>0</v>
      </c>
      <c r="AK95" s="355">
        <f t="shared" si="69"/>
        <v>0</v>
      </c>
      <c r="AL95" s="355">
        <f t="shared" si="69"/>
        <v>143</v>
      </c>
      <c r="AM95" s="355">
        <f t="shared" si="69"/>
        <v>245</v>
      </c>
      <c r="AN95" s="355">
        <f t="shared" si="69"/>
        <v>241</v>
      </c>
      <c r="AO95" s="355">
        <f t="shared" si="69"/>
        <v>460</v>
      </c>
      <c r="AP95" s="355">
        <f t="shared" si="69"/>
        <v>615.44999999999993</v>
      </c>
      <c r="AQ95" s="344">
        <f>AQ37*AQ97</f>
        <v>800.08500000000004</v>
      </c>
      <c r="AR95" s="344">
        <f>AR37*AR97</f>
        <v>1040.1105</v>
      </c>
      <c r="AS95" s="344">
        <f>AS37*AS97</f>
        <v>1300.1381250000002</v>
      </c>
    </row>
    <row r="96" spans="2:46" s="346" customFormat="1" outlineLevel="1">
      <c r="C96" s="349" t="s">
        <v>17</v>
      </c>
      <c r="E96" s="348"/>
      <c r="F96" s="348"/>
      <c r="G96" s="348"/>
      <c r="H96" s="348"/>
      <c r="I96" s="347" t="str">
        <f t="shared" ref="I96:AF96" si="70">IFERROR(+I95/E95-1,"NA ")</f>
        <v xml:space="preserve">NA </v>
      </c>
      <c r="J96" s="347" t="str">
        <f t="shared" si="70"/>
        <v xml:space="preserve">NA </v>
      </c>
      <c r="K96" s="347" t="str">
        <f t="shared" si="70"/>
        <v xml:space="preserve">NA </v>
      </c>
      <c r="L96" s="347" t="str">
        <f t="shared" si="70"/>
        <v xml:space="preserve">NA </v>
      </c>
      <c r="M96" s="347" t="str">
        <f t="shared" si="70"/>
        <v xml:space="preserve">NA </v>
      </c>
      <c r="N96" s="347" t="str">
        <f t="shared" si="70"/>
        <v xml:space="preserve">NA </v>
      </c>
      <c r="O96" s="347" t="str">
        <f t="shared" si="70"/>
        <v xml:space="preserve">NA </v>
      </c>
      <c r="P96" s="347" t="str">
        <f t="shared" si="70"/>
        <v xml:space="preserve">NA </v>
      </c>
      <c r="Q96" s="347">
        <f t="shared" si="70"/>
        <v>5.8</v>
      </c>
      <c r="R96" s="347">
        <f t="shared" si="70"/>
        <v>0.20454545454545459</v>
      </c>
      <c r="S96" s="347">
        <f t="shared" si="70"/>
        <v>0.28846153846153855</v>
      </c>
      <c r="T96" s="347">
        <f t="shared" si="70"/>
        <v>0.54054054054054057</v>
      </c>
      <c r="U96" s="347">
        <f t="shared" si="70"/>
        <v>0.29411764705882359</v>
      </c>
      <c r="V96" s="347">
        <f t="shared" si="70"/>
        <v>-1.0754716981132075</v>
      </c>
      <c r="W96" s="347">
        <f t="shared" si="70"/>
        <v>-0.29850746268656714</v>
      </c>
      <c r="X96" s="347">
        <f t="shared" si="70"/>
        <v>0.92982456140350878</v>
      </c>
      <c r="Y96" s="347">
        <f t="shared" si="70"/>
        <v>0.67045454545454541</v>
      </c>
      <c r="Z96" s="347">
        <f t="shared" si="70"/>
        <v>-28.25</v>
      </c>
      <c r="AA96" s="347">
        <f t="shared" si="70"/>
        <v>1.2340425531914891</v>
      </c>
      <c r="AB96" s="347">
        <f t="shared" si="70"/>
        <v>-9.9999999999999978E-2</v>
      </c>
      <c r="AC96" s="347">
        <f t="shared" si="70"/>
        <v>1.5591836734693887E-2</v>
      </c>
      <c r="AD96" s="347">
        <f t="shared" si="70"/>
        <v>0.3859999999999999</v>
      </c>
      <c r="AE96" s="347">
        <f t="shared" si="70"/>
        <v>0.4343999999999999</v>
      </c>
      <c r="AF96" s="347">
        <f t="shared" si="70"/>
        <v>0.66133333333333333</v>
      </c>
      <c r="AG96"/>
      <c r="AH96" s="348"/>
      <c r="AI96" s="347" t="str">
        <f>IFERROR(AI95/AH95-1,"NA ")</f>
        <v xml:space="preserve">NA </v>
      </c>
      <c r="AJ96" s="347" t="str">
        <f t="shared" ref="AJ96:AS96" si="71">IFERROR(AJ95/AI95-1,"NA ")</f>
        <v xml:space="preserve">NA </v>
      </c>
      <c r="AK96" s="347" t="str">
        <f t="shared" si="71"/>
        <v xml:space="preserve">NA </v>
      </c>
      <c r="AL96" s="347" t="str">
        <f t="shared" si="71"/>
        <v xml:space="preserve">NA </v>
      </c>
      <c r="AM96" s="347">
        <f t="shared" si="71"/>
        <v>0.71328671328671334</v>
      </c>
      <c r="AN96" s="347">
        <f t="shared" si="71"/>
        <v>-1.6326530612244872E-2</v>
      </c>
      <c r="AO96" s="347">
        <f t="shared" si="71"/>
        <v>0.90871369294605819</v>
      </c>
      <c r="AP96" s="347">
        <f t="shared" si="71"/>
        <v>0.33793478260869558</v>
      </c>
      <c r="AQ96" s="347">
        <f t="shared" si="71"/>
        <v>0.30000000000000027</v>
      </c>
      <c r="AR96" s="347">
        <f t="shared" si="71"/>
        <v>0.30000000000000004</v>
      </c>
      <c r="AS96" s="347">
        <f t="shared" si="71"/>
        <v>0.25000000000000022</v>
      </c>
    </row>
    <row r="97" spans="3:60" s="346" customFormat="1" outlineLevel="1">
      <c r="C97" s="349" t="s">
        <v>37</v>
      </c>
      <c r="E97" s="347" t="str">
        <f t="shared" ref="E97:AB97" si="72">IFERROR(E95/E37,"NA ")</f>
        <v xml:space="preserve">NA </v>
      </c>
      <c r="F97" s="347" t="str">
        <f t="shared" si="72"/>
        <v xml:space="preserve">NA </v>
      </c>
      <c r="G97" s="347" t="str">
        <f t="shared" si="72"/>
        <v xml:space="preserve">NA </v>
      </c>
      <c r="H97" s="347" t="str">
        <f t="shared" si="72"/>
        <v xml:space="preserve">NA </v>
      </c>
      <c r="I97" s="347" t="str">
        <f t="shared" si="72"/>
        <v xml:space="preserve">NA </v>
      </c>
      <c r="J97" s="347" t="str">
        <f t="shared" si="72"/>
        <v xml:space="preserve">NA </v>
      </c>
      <c r="K97" s="347" t="str">
        <f t="shared" si="72"/>
        <v xml:space="preserve">NA </v>
      </c>
      <c r="L97" s="347" t="str">
        <f t="shared" si="72"/>
        <v xml:space="preserve">NA </v>
      </c>
      <c r="M97" s="347">
        <f t="shared" si="72"/>
        <v>6.6225165562913912E-2</v>
      </c>
      <c r="N97" s="347" t="str">
        <f t="shared" si="72"/>
        <v xml:space="preserve">NA </v>
      </c>
      <c r="O97" s="347">
        <f t="shared" si="72"/>
        <v>0.27225130890052357</v>
      </c>
      <c r="P97" s="347" t="str">
        <f t="shared" si="72"/>
        <v xml:space="preserve">NA </v>
      </c>
      <c r="Q97" s="347">
        <f t="shared" si="72"/>
        <v>0.32535885167464113</v>
      </c>
      <c r="R97" s="347">
        <f t="shared" si="72"/>
        <v>0.26368159203980102</v>
      </c>
      <c r="S97" s="347">
        <f t="shared" si="72"/>
        <v>0.29257641921397382</v>
      </c>
      <c r="T97" s="347">
        <f t="shared" si="72"/>
        <v>0.23749999999999999</v>
      </c>
      <c r="U97" s="347">
        <f t="shared" si="72"/>
        <v>0.34645669291338582</v>
      </c>
      <c r="V97" s="347">
        <f t="shared" si="72"/>
        <v>-2.7397260273972601E-2</v>
      </c>
      <c r="W97" s="347">
        <f t="shared" si="72"/>
        <v>0.20085470085470086</v>
      </c>
      <c r="X97" s="347">
        <f t="shared" si="72"/>
        <v>0.33033033033033032</v>
      </c>
      <c r="Y97" s="347">
        <f t="shared" si="72"/>
        <v>0.38992042440318303</v>
      </c>
      <c r="Z97" s="347">
        <f t="shared" si="72"/>
        <v>0.33333333333333331</v>
      </c>
      <c r="AA97" s="347">
        <f t="shared" si="72"/>
        <v>0.32208588957055212</v>
      </c>
      <c r="AB97" s="347">
        <f t="shared" si="72"/>
        <v>0.27808988764044945</v>
      </c>
      <c r="AC97" s="421">
        <v>0.33</v>
      </c>
      <c r="AD97" s="421">
        <v>0.33</v>
      </c>
      <c r="AE97" s="421">
        <v>0.33</v>
      </c>
      <c r="AF97" s="421">
        <v>0.33</v>
      </c>
      <c r="AG97"/>
      <c r="AH97" s="347">
        <f t="shared" ref="AH97:AP97" si="73">IFERROR(AH95/AH37,"NA ")</f>
        <v>0</v>
      </c>
      <c r="AI97" s="347">
        <f t="shared" si="73"/>
        <v>0</v>
      </c>
      <c r="AJ97" s="347" t="str">
        <f t="shared" si="73"/>
        <v xml:space="preserve">NA </v>
      </c>
      <c r="AK97" s="347" t="str">
        <f t="shared" si="73"/>
        <v xml:space="preserve">NA </v>
      </c>
      <c r="AL97" s="347" t="str">
        <f t="shared" si="73"/>
        <v xml:space="preserve">NA </v>
      </c>
      <c r="AM97" s="347">
        <f t="shared" si="73"/>
        <v>0.27872582480091013</v>
      </c>
      <c r="AN97" s="347">
        <f t="shared" si="73"/>
        <v>0.24922440537745605</v>
      </c>
      <c r="AO97" s="347">
        <f t="shared" si="73"/>
        <v>0.3318903318903319</v>
      </c>
      <c r="AP97" s="347">
        <f t="shared" si="73"/>
        <v>0.32999999999999996</v>
      </c>
      <c r="AQ97" s="421">
        <v>0.33</v>
      </c>
      <c r="AR97" s="421">
        <v>0.33</v>
      </c>
      <c r="AS97" s="421">
        <v>0.33</v>
      </c>
      <c r="BH97" s="475" t="s">
        <v>39</v>
      </c>
    </row>
    <row r="98" spans="3:60" ht="5.25" customHeight="1" outlineLevel="1"/>
    <row r="99" spans="3:60" s="338" customFormat="1">
      <c r="C99" s="338" t="s">
        <v>24</v>
      </c>
      <c r="E99" s="345">
        <v>-95</v>
      </c>
      <c r="F99" s="345">
        <v>-224</v>
      </c>
      <c r="G99" s="345">
        <v>-134</v>
      </c>
      <c r="H99" s="345">
        <v>-91</v>
      </c>
      <c r="I99" s="345">
        <v>-129</v>
      </c>
      <c r="J99" s="345">
        <v>-110</v>
      </c>
      <c r="K99" s="345">
        <v>-52</v>
      </c>
      <c r="L99" s="345">
        <v>31</v>
      </c>
      <c r="M99" s="345">
        <v>-81</v>
      </c>
      <c r="N99" s="345">
        <v>-65</v>
      </c>
      <c r="O99" s="345">
        <v>160</v>
      </c>
      <c r="P99" s="345">
        <v>-19</v>
      </c>
      <c r="Q99" s="345">
        <v>-297</v>
      </c>
      <c r="R99" s="345">
        <v>-284</v>
      </c>
      <c r="S99" s="345">
        <v>-499</v>
      </c>
      <c r="T99" s="345">
        <v>-96</v>
      </c>
      <c r="U99" s="345">
        <v>-66</v>
      </c>
      <c r="V99" s="345">
        <v>322</v>
      </c>
      <c r="W99" s="345">
        <v>29</v>
      </c>
      <c r="X99" s="345">
        <v>76</v>
      </c>
      <c r="Y99" s="345">
        <v>171</v>
      </c>
      <c r="Z99" s="345">
        <v>402</v>
      </c>
      <c r="AA99" s="345">
        <v>442</v>
      </c>
      <c r="AB99" s="345">
        <v>354</v>
      </c>
      <c r="AC99" s="344">
        <f>AC43*AC101</f>
        <v>0</v>
      </c>
      <c r="AD99" s="344">
        <f>AD43*AD101</f>
        <v>0</v>
      </c>
      <c r="AE99" s="344">
        <f>AE43*AE101</f>
        <v>0</v>
      </c>
      <c r="AF99" s="344">
        <f>AF43*AF101</f>
        <v>0</v>
      </c>
      <c r="AG99"/>
      <c r="AH99" s="345">
        <v>255</v>
      </c>
      <c r="AI99" s="345">
        <v>239</v>
      </c>
      <c r="AJ99" s="355">
        <f t="shared" ref="AJ99:AP99" si="74">+SUMIF($E$5:$AF$5,AJ$5,$E99:$AF99)</f>
        <v>-544</v>
      </c>
      <c r="AK99" s="355">
        <f t="shared" si="74"/>
        <v>-260</v>
      </c>
      <c r="AL99" s="355">
        <f t="shared" si="74"/>
        <v>-5</v>
      </c>
      <c r="AM99" s="355">
        <f t="shared" si="74"/>
        <v>-1176</v>
      </c>
      <c r="AN99" s="355">
        <f t="shared" si="74"/>
        <v>361</v>
      </c>
      <c r="AO99" s="355">
        <f t="shared" si="74"/>
        <v>1369</v>
      </c>
      <c r="AP99" s="355">
        <f t="shared" si="74"/>
        <v>0</v>
      </c>
      <c r="AQ99" s="344">
        <f>AQ43*AQ101</f>
        <v>0</v>
      </c>
      <c r="AR99" s="344">
        <f>AR43*AR101</f>
        <v>0</v>
      </c>
      <c r="AS99" s="344">
        <f>AS43*AS101</f>
        <v>0</v>
      </c>
    </row>
    <row r="100" spans="3:60" s="346" customFormat="1" outlineLevel="1">
      <c r="C100" s="349" t="s">
        <v>17</v>
      </c>
      <c r="E100" s="348"/>
      <c r="F100" s="348"/>
      <c r="G100" s="348"/>
      <c r="H100" s="348"/>
      <c r="I100" s="347">
        <f t="shared" ref="I100:AF100" si="75">IFERROR(+I99/E99-1,"NA ")</f>
        <v>0.35789473684210527</v>
      </c>
      <c r="J100" s="347">
        <f t="shared" si="75"/>
        <v>-0.5089285714285714</v>
      </c>
      <c r="K100" s="347">
        <f t="shared" si="75"/>
        <v>-0.61194029850746268</v>
      </c>
      <c r="L100" s="347">
        <f t="shared" si="75"/>
        <v>-1.3406593406593408</v>
      </c>
      <c r="M100" s="347">
        <f t="shared" si="75"/>
        <v>-0.37209302325581395</v>
      </c>
      <c r="N100" s="347">
        <f t="shared" si="75"/>
        <v>-0.40909090909090906</v>
      </c>
      <c r="O100" s="347">
        <f t="shared" si="75"/>
        <v>-4.0769230769230766</v>
      </c>
      <c r="P100" s="347">
        <f t="shared" si="75"/>
        <v>-1.6129032258064515</v>
      </c>
      <c r="Q100" s="347">
        <f t="shared" si="75"/>
        <v>2.6666666666666665</v>
      </c>
      <c r="R100" s="347">
        <f t="shared" si="75"/>
        <v>3.3692307692307688</v>
      </c>
      <c r="S100" s="347">
        <f t="shared" si="75"/>
        <v>-4.1187500000000004</v>
      </c>
      <c r="T100" s="347">
        <f t="shared" si="75"/>
        <v>4.0526315789473681</v>
      </c>
      <c r="U100" s="347">
        <f t="shared" si="75"/>
        <v>-0.77777777777777779</v>
      </c>
      <c r="V100" s="347">
        <f t="shared" si="75"/>
        <v>-2.1338028169014085</v>
      </c>
      <c r="W100" s="347">
        <f t="shared" si="75"/>
        <v>-1.0581162324649298</v>
      </c>
      <c r="X100" s="347">
        <f t="shared" si="75"/>
        <v>-1.7916666666666665</v>
      </c>
      <c r="Y100" s="347">
        <f t="shared" si="75"/>
        <v>-3.5909090909090908</v>
      </c>
      <c r="Z100" s="347">
        <f t="shared" si="75"/>
        <v>0.24844720496894412</v>
      </c>
      <c r="AA100" s="347">
        <f t="shared" si="75"/>
        <v>14.241379310344827</v>
      </c>
      <c r="AB100" s="347">
        <f t="shared" si="75"/>
        <v>3.6578947368421053</v>
      </c>
      <c r="AC100" s="347">
        <f t="shared" si="75"/>
        <v>-1</v>
      </c>
      <c r="AD100" s="347">
        <f t="shared" si="75"/>
        <v>-1</v>
      </c>
      <c r="AE100" s="347">
        <f t="shared" si="75"/>
        <v>-1</v>
      </c>
      <c r="AF100" s="347">
        <f t="shared" si="75"/>
        <v>-1</v>
      </c>
      <c r="AG100"/>
      <c r="AH100" s="348"/>
      <c r="AI100" s="347">
        <f>IFERROR(AI99/AH99-1,"NA ")</f>
        <v>-6.2745098039215685E-2</v>
      </c>
      <c r="AJ100" s="347">
        <f t="shared" ref="AJ100:AS100" si="76">IFERROR(AJ99/AI99-1,"NA ")</f>
        <v>-3.2761506276150629</v>
      </c>
      <c r="AK100" s="347">
        <f t="shared" si="76"/>
        <v>-0.52205882352941169</v>
      </c>
      <c r="AL100" s="347">
        <f t="shared" si="76"/>
        <v>-0.98076923076923073</v>
      </c>
      <c r="AM100" s="347">
        <f t="shared" si="76"/>
        <v>234.2</v>
      </c>
      <c r="AN100" s="347">
        <f t="shared" si="76"/>
        <v>-1.3069727891156462</v>
      </c>
      <c r="AO100" s="347">
        <f t="shared" si="76"/>
        <v>2.7922437673130194</v>
      </c>
      <c r="AP100" s="347">
        <f t="shared" si="76"/>
        <v>-1</v>
      </c>
      <c r="AQ100" s="347" t="str">
        <f t="shared" si="76"/>
        <v xml:space="preserve">NA </v>
      </c>
      <c r="AR100" s="347" t="str">
        <f t="shared" si="76"/>
        <v xml:space="preserve">NA </v>
      </c>
      <c r="AS100" s="347" t="str">
        <f t="shared" si="76"/>
        <v xml:space="preserve">NA </v>
      </c>
    </row>
    <row r="101" spans="3:60" s="346" customFormat="1" outlineLevel="1">
      <c r="C101" s="349" t="s">
        <v>37</v>
      </c>
      <c r="E101" s="347">
        <f t="shared" ref="E101:AB101" si="77">IFERROR(E99/E43,"NA ")</f>
        <v>-0.17055655296229802</v>
      </c>
      <c r="F101" s="347">
        <f t="shared" si="77"/>
        <v>-0.40433212996389889</v>
      </c>
      <c r="G101" s="347">
        <f t="shared" si="77"/>
        <v>-0.20647149460708783</v>
      </c>
      <c r="H101" s="347">
        <f t="shared" si="77"/>
        <v>-0.11151960784313726</v>
      </c>
      <c r="I101" s="347">
        <f t="shared" si="77"/>
        <v>-0.1489607390300231</v>
      </c>
      <c r="J101" s="347">
        <f t="shared" si="77"/>
        <v>-0.12585812356979406</v>
      </c>
      <c r="K101" s="347">
        <f t="shared" si="77"/>
        <v>-5.8361391694725026E-2</v>
      </c>
      <c r="L101" s="347">
        <f t="shared" si="77"/>
        <v>3.4870641169853771E-2</v>
      </c>
      <c r="M101" s="347">
        <f t="shared" si="77"/>
        <v>-7.7884615384615385E-2</v>
      </c>
      <c r="N101" s="347">
        <f t="shared" si="77"/>
        <v>-6.0240963855421686E-2</v>
      </c>
      <c r="O101" s="347">
        <f t="shared" si="77"/>
        <v>0.14801110083256244</v>
      </c>
      <c r="P101" s="347">
        <f t="shared" si="77"/>
        <v>-1.7163504968383016E-2</v>
      </c>
      <c r="Q101" s="347">
        <f t="shared" si="77"/>
        <v>-0.32459016393442625</v>
      </c>
      <c r="R101" s="347">
        <f t="shared" si="77"/>
        <v>-0.30212765957446808</v>
      </c>
      <c r="S101" s="347">
        <f t="shared" si="77"/>
        <v>-0.38682170542635658</v>
      </c>
      <c r="T101" s="347">
        <f t="shared" si="77"/>
        <v>-7.8882497945768279E-2</v>
      </c>
      <c r="U101" s="347">
        <f t="shared" si="77"/>
        <v>-4.9327354260089683E-2</v>
      </c>
      <c r="V101" s="347">
        <f t="shared" si="77"/>
        <v>0.1940928270042194</v>
      </c>
      <c r="W101" s="347">
        <f t="shared" si="77"/>
        <v>2.5151777970511709E-2</v>
      </c>
      <c r="X101" s="347">
        <f t="shared" si="77"/>
        <v>6.2913907284768214E-2</v>
      </c>
      <c r="Y101" s="347">
        <f t="shared" si="77"/>
        <v>0.15447154471544716</v>
      </c>
      <c r="Z101" s="347">
        <f t="shared" si="77"/>
        <v>0.36612021857923499</v>
      </c>
      <c r="AA101" s="347">
        <f t="shared" si="77"/>
        <v>0.4</v>
      </c>
      <c r="AB101" s="347">
        <f t="shared" si="77"/>
        <v>0.35542168674698793</v>
      </c>
      <c r="AC101" s="421">
        <v>0.3</v>
      </c>
      <c r="AD101" s="421">
        <v>0.3</v>
      </c>
      <c r="AE101" s="421">
        <v>0.3</v>
      </c>
      <c r="AF101" s="421">
        <v>0.3</v>
      </c>
      <c r="AG101"/>
      <c r="AH101" s="347">
        <f t="shared" ref="AH101:AP101" si="78">IFERROR(AH99/AH43,"NA ")</f>
        <v>0.11882572227399814</v>
      </c>
      <c r="AI101" s="347">
        <f t="shared" si="78"/>
        <v>9.2029264536003075E-2</v>
      </c>
      <c r="AJ101" s="347">
        <f t="shared" si="78"/>
        <v>-0.21118012422360249</v>
      </c>
      <c r="AK101" s="347">
        <f t="shared" si="78"/>
        <v>-7.3863636363636367E-2</v>
      </c>
      <c r="AL101" s="347">
        <f t="shared" si="78"/>
        <v>-1.1609008590666356E-3</v>
      </c>
      <c r="AM101" s="347">
        <f t="shared" si="78"/>
        <v>-0.26960110041265473</v>
      </c>
      <c r="AN101" s="347">
        <f t="shared" si="78"/>
        <v>6.7375886524822695E-2</v>
      </c>
      <c r="AO101" s="347">
        <f t="shared" si="78"/>
        <v>0.31792847189967488</v>
      </c>
      <c r="AP101" s="347" t="str">
        <f t="shared" si="78"/>
        <v xml:space="preserve">NA </v>
      </c>
      <c r="AQ101" s="421">
        <v>0.3</v>
      </c>
      <c r="AR101" s="421">
        <v>0.3</v>
      </c>
      <c r="AS101" s="421">
        <v>0.3</v>
      </c>
    </row>
    <row r="102" spans="3:60" ht="5.25" customHeight="1" outlineLevel="1"/>
    <row r="103" spans="3:60" s="338" customFormat="1">
      <c r="C103" s="338" t="s">
        <v>25</v>
      </c>
      <c r="E103" s="345">
        <v>-200</v>
      </c>
      <c r="F103" s="345">
        <v>-62</v>
      </c>
      <c r="G103" s="345">
        <v>78</v>
      </c>
      <c r="H103" s="345">
        <v>80</v>
      </c>
      <c r="I103" s="345">
        <v>92</v>
      </c>
      <c r="J103" s="345">
        <v>97</v>
      </c>
      <c r="K103" s="345">
        <v>113</v>
      </c>
      <c r="L103" s="345">
        <v>156</v>
      </c>
      <c r="M103" s="345">
        <v>97</v>
      </c>
      <c r="N103" s="345">
        <v>101</v>
      </c>
      <c r="O103" s="345">
        <v>106</v>
      </c>
      <c r="P103" s="345">
        <v>162</v>
      </c>
      <c r="Q103" s="345">
        <v>89</v>
      </c>
      <c r="R103" s="345">
        <v>52</v>
      </c>
      <c r="S103" s="345">
        <v>92</v>
      </c>
      <c r="T103" s="345">
        <v>85</v>
      </c>
      <c r="U103" s="345">
        <v>97</v>
      </c>
      <c r="V103" s="345">
        <v>80</v>
      </c>
      <c r="W103" s="345">
        <v>40</v>
      </c>
      <c r="X103" s="345">
        <v>43</v>
      </c>
      <c r="Y103" s="345">
        <v>88</v>
      </c>
      <c r="Z103" s="345">
        <v>82</v>
      </c>
      <c r="AA103" s="345">
        <v>76</v>
      </c>
      <c r="AB103" s="345">
        <v>51</v>
      </c>
      <c r="AC103" s="344">
        <f>AC46*AC105</f>
        <v>153.09</v>
      </c>
      <c r="AD103" s="344">
        <f>AD46*AD105</f>
        <v>153.09</v>
      </c>
      <c r="AE103" s="344">
        <f>AE46*AE105</f>
        <v>150.57</v>
      </c>
      <c r="AF103" s="344">
        <f>AF46*AF105</f>
        <v>152.46</v>
      </c>
      <c r="AG103"/>
      <c r="AH103" s="345">
        <v>0</v>
      </c>
      <c r="AI103" s="345">
        <v>0</v>
      </c>
      <c r="AJ103" s="355">
        <f t="shared" ref="AJ103:AP103" si="79">+SUMIF($E$5:$AF$5,AJ$5,$E103:$AF103)</f>
        <v>-104</v>
      </c>
      <c r="AK103" s="355">
        <f t="shared" si="79"/>
        <v>458</v>
      </c>
      <c r="AL103" s="355">
        <f t="shared" si="79"/>
        <v>466</v>
      </c>
      <c r="AM103" s="355">
        <f t="shared" si="79"/>
        <v>318</v>
      </c>
      <c r="AN103" s="355">
        <f t="shared" si="79"/>
        <v>260</v>
      </c>
      <c r="AO103" s="355">
        <f t="shared" si="79"/>
        <v>297</v>
      </c>
      <c r="AP103" s="355">
        <f t="shared" si="79"/>
        <v>609.21</v>
      </c>
      <c r="AQ103" s="344">
        <f>AQ46*AQ105</f>
        <v>639.67050000000006</v>
      </c>
      <c r="AR103" s="344">
        <f>AR46*AR105</f>
        <v>671.65402500000005</v>
      </c>
      <c r="AS103" s="344">
        <f>AS46*AS105</f>
        <v>705.23672625000006</v>
      </c>
    </row>
    <row r="104" spans="3:60" s="346" customFormat="1" outlineLevel="1">
      <c r="C104" s="349" t="s">
        <v>17</v>
      </c>
      <c r="E104" s="348"/>
      <c r="F104" s="348"/>
      <c r="G104" s="348"/>
      <c r="H104" s="348"/>
      <c r="I104" s="347">
        <f t="shared" ref="I104:AF104" si="80">IFERROR(+I103/E103-1,"NA ")</f>
        <v>-1.46</v>
      </c>
      <c r="J104" s="347">
        <f t="shared" si="80"/>
        <v>-2.564516129032258</v>
      </c>
      <c r="K104" s="347">
        <f t="shared" si="80"/>
        <v>0.44871794871794868</v>
      </c>
      <c r="L104" s="347">
        <f t="shared" si="80"/>
        <v>0.95</v>
      </c>
      <c r="M104" s="347">
        <f t="shared" si="80"/>
        <v>5.4347826086956541E-2</v>
      </c>
      <c r="N104" s="347">
        <f t="shared" si="80"/>
        <v>4.1237113402061931E-2</v>
      </c>
      <c r="O104" s="347">
        <f t="shared" si="80"/>
        <v>-6.1946902654867242E-2</v>
      </c>
      <c r="P104" s="347">
        <f t="shared" si="80"/>
        <v>3.8461538461538547E-2</v>
      </c>
      <c r="Q104" s="347">
        <f t="shared" si="80"/>
        <v>-8.2474226804123751E-2</v>
      </c>
      <c r="R104" s="347">
        <f t="shared" si="80"/>
        <v>-0.48514851485148514</v>
      </c>
      <c r="S104" s="347">
        <f t="shared" si="80"/>
        <v>-0.13207547169811318</v>
      </c>
      <c r="T104" s="347">
        <f t="shared" si="80"/>
        <v>-0.47530864197530864</v>
      </c>
      <c r="U104" s="347">
        <f t="shared" si="80"/>
        <v>8.98876404494382E-2</v>
      </c>
      <c r="V104" s="347">
        <f t="shared" si="80"/>
        <v>0.53846153846153855</v>
      </c>
      <c r="W104" s="347">
        <f t="shared" si="80"/>
        <v>-0.56521739130434789</v>
      </c>
      <c r="X104" s="347">
        <f t="shared" si="80"/>
        <v>-0.49411764705882355</v>
      </c>
      <c r="Y104" s="347">
        <f t="shared" si="80"/>
        <v>-9.2783505154639179E-2</v>
      </c>
      <c r="Z104" s="347">
        <f t="shared" si="80"/>
        <v>2.4999999999999911E-2</v>
      </c>
      <c r="AA104" s="347">
        <f t="shared" si="80"/>
        <v>0.89999999999999991</v>
      </c>
      <c r="AB104" s="347">
        <f t="shared" si="80"/>
        <v>0.18604651162790709</v>
      </c>
      <c r="AC104" s="347">
        <f t="shared" si="80"/>
        <v>0.73965909090909099</v>
      </c>
      <c r="AD104" s="347">
        <f t="shared" si="80"/>
        <v>0.86695121951219511</v>
      </c>
      <c r="AE104" s="347">
        <f t="shared" si="80"/>
        <v>0.98118421052631577</v>
      </c>
      <c r="AF104" s="347">
        <f t="shared" si="80"/>
        <v>1.9894117647058827</v>
      </c>
      <c r="AG104"/>
      <c r="AH104" s="348"/>
      <c r="AI104" s="347" t="str">
        <f>IFERROR(AI103/AH103-1,"NA ")</f>
        <v xml:space="preserve">NA </v>
      </c>
      <c r="AJ104" s="347" t="str">
        <f t="shared" ref="AJ104:AS104" si="81">IFERROR(AJ103/AI103-1,"NA ")</f>
        <v xml:space="preserve">NA </v>
      </c>
      <c r="AK104" s="347">
        <f t="shared" si="81"/>
        <v>-5.4038461538461542</v>
      </c>
      <c r="AL104" s="347">
        <f t="shared" si="81"/>
        <v>1.7467248908296984E-2</v>
      </c>
      <c r="AM104" s="347">
        <f t="shared" si="81"/>
        <v>-0.31759656652360513</v>
      </c>
      <c r="AN104" s="347">
        <f t="shared" si="81"/>
        <v>-0.1823899371069182</v>
      </c>
      <c r="AO104" s="347">
        <f t="shared" si="81"/>
        <v>0.14230769230769225</v>
      </c>
      <c r="AP104" s="347">
        <f t="shared" si="81"/>
        <v>1.0512121212121213</v>
      </c>
      <c r="AQ104" s="347">
        <f t="shared" si="81"/>
        <v>5.0000000000000044E-2</v>
      </c>
      <c r="AR104" s="347">
        <f t="shared" si="81"/>
        <v>5.0000000000000044E-2</v>
      </c>
      <c r="AS104" s="347">
        <f t="shared" si="81"/>
        <v>5.0000000000000044E-2</v>
      </c>
    </row>
    <row r="105" spans="3:60" s="346" customFormat="1" outlineLevel="1">
      <c r="C105" s="349" t="s">
        <v>37</v>
      </c>
      <c r="E105" s="347">
        <f t="shared" ref="E105:AB105" si="82">IFERROR(E103/E46,"NA ")</f>
        <v>-0.55710306406685239</v>
      </c>
      <c r="F105" s="347">
        <f t="shared" si="82"/>
        <v>-0.13333333333333333</v>
      </c>
      <c r="G105" s="347">
        <f t="shared" si="82"/>
        <v>0.18352941176470589</v>
      </c>
      <c r="H105" s="347">
        <f t="shared" si="82"/>
        <v>0.19047619047619047</v>
      </c>
      <c r="I105" s="347">
        <f t="shared" si="82"/>
        <v>0.21647058823529411</v>
      </c>
      <c r="J105" s="347">
        <f t="shared" si="82"/>
        <v>0.22045454545454546</v>
      </c>
      <c r="K105" s="347">
        <f t="shared" si="82"/>
        <v>0.24093816631130063</v>
      </c>
      <c r="L105" s="347">
        <f t="shared" si="82"/>
        <v>0.27464788732394368</v>
      </c>
      <c r="M105" s="347">
        <f t="shared" si="82"/>
        <v>0.19477911646586346</v>
      </c>
      <c r="N105" s="347">
        <f t="shared" si="82"/>
        <v>0.195357833655706</v>
      </c>
      <c r="O105" s="347">
        <f t="shared" si="82"/>
        <v>0.21370967741935484</v>
      </c>
      <c r="P105" s="347">
        <f t="shared" si="82"/>
        <v>0.26470588235294118</v>
      </c>
      <c r="Q105" s="347">
        <f t="shared" si="82"/>
        <v>0.1831275720164609</v>
      </c>
      <c r="R105" s="347">
        <f t="shared" si="82"/>
        <v>0.10633946830265849</v>
      </c>
      <c r="S105" s="347">
        <f t="shared" si="82"/>
        <v>0.1814595660749507</v>
      </c>
      <c r="T105" s="347">
        <f t="shared" si="82"/>
        <v>0.16831683168316833</v>
      </c>
      <c r="U105" s="347">
        <f t="shared" si="82"/>
        <v>0.18689788053949905</v>
      </c>
      <c r="V105" s="347">
        <f t="shared" si="82"/>
        <v>0.15968063872255489</v>
      </c>
      <c r="W105" s="347">
        <f t="shared" si="82"/>
        <v>9.7323600973236016E-2</v>
      </c>
      <c r="X105" s="347">
        <f t="shared" si="82"/>
        <v>0.1018957345971564</v>
      </c>
      <c r="Y105" s="347">
        <f t="shared" si="82"/>
        <v>0.18106995884773663</v>
      </c>
      <c r="Z105" s="347">
        <f t="shared" si="82"/>
        <v>0.16872427983539096</v>
      </c>
      <c r="AA105" s="347">
        <f t="shared" si="82"/>
        <v>0.15899581589958159</v>
      </c>
      <c r="AB105" s="347">
        <f t="shared" si="82"/>
        <v>0.10537190082644628</v>
      </c>
      <c r="AC105" s="421">
        <v>0.3</v>
      </c>
      <c r="AD105" s="421">
        <v>0.3</v>
      </c>
      <c r="AE105" s="421">
        <v>0.3</v>
      </c>
      <c r="AF105" s="421">
        <v>0.3</v>
      </c>
      <c r="AG105"/>
      <c r="AH105" s="347" t="str">
        <f t="shared" ref="AH105:AP105" si="83">IFERROR(AH103/AH46,"NA ")</f>
        <v xml:space="preserve">NA </v>
      </c>
      <c r="AI105" s="347" t="str">
        <f t="shared" si="83"/>
        <v xml:space="preserve">NA </v>
      </c>
      <c r="AJ105" s="347">
        <f t="shared" si="83"/>
        <v>-6.2312762133013781E-2</v>
      </c>
      <c r="AK105" s="347">
        <f t="shared" si="83"/>
        <v>0.24079915878023134</v>
      </c>
      <c r="AL105" s="347">
        <f t="shared" si="83"/>
        <v>0.21950070654733866</v>
      </c>
      <c r="AM105" s="347">
        <f t="shared" si="83"/>
        <v>0.16004026170105687</v>
      </c>
      <c r="AN105" s="347">
        <f t="shared" si="83"/>
        <v>0.14031300593631948</v>
      </c>
      <c r="AO105" s="347">
        <f t="shared" si="83"/>
        <v>0.15356773526370218</v>
      </c>
      <c r="AP105" s="347">
        <f t="shared" si="83"/>
        <v>0.3</v>
      </c>
      <c r="AQ105" s="421">
        <v>0.3</v>
      </c>
      <c r="AR105" s="421">
        <v>0.3</v>
      </c>
      <c r="AS105" s="421">
        <v>0.3</v>
      </c>
    </row>
    <row r="106" spans="3:60" ht="5.25" customHeight="1" outlineLevel="1"/>
    <row r="107" spans="3:60" s="338" customFormat="1">
      <c r="C107" s="338" t="s">
        <v>26</v>
      </c>
      <c r="E107" s="345">
        <f>-994+85</f>
        <v>-909</v>
      </c>
      <c r="F107" s="345">
        <v>-2161</v>
      </c>
      <c r="G107" s="345">
        <v>-1110</v>
      </c>
      <c r="H107" s="345">
        <v>-1049</v>
      </c>
      <c r="I107" s="345">
        <v>-954</v>
      </c>
      <c r="J107" s="345">
        <v>-970</v>
      </c>
      <c r="K107" s="345">
        <v>-921</v>
      </c>
      <c r="L107" s="345">
        <v>-1267</v>
      </c>
      <c r="M107" s="345">
        <v>-1176</v>
      </c>
      <c r="N107" s="345">
        <v>-1021</v>
      </c>
      <c r="O107" s="345">
        <v>-904</v>
      </c>
      <c r="P107" s="345">
        <v>-865</v>
      </c>
      <c r="Q107" s="345">
        <v>-850</v>
      </c>
      <c r="R107" s="345">
        <v>-1035</v>
      </c>
      <c r="S107" s="345">
        <v>-942</v>
      </c>
      <c r="T107" s="345">
        <v>-1051</v>
      </c>
      <c r="U107" s="345">
        <v>-1041</v>
      </c>
      <c r="V107" s="345">
        <v>-712</v>
      </c>
      <c r="W107" s="345">
        <v>-575</v>
      </c>
      <c r="X107" s="345">
        <v>-1053</v>
      </c>
      <c r="Y107" s="345">
        <v>-2317</v>
      </c>
      <c r="Z107" s="345">
        <v>-1035</v>
      </c>
      <c r="AA107" s="345">
        <v>-1046</v>
      </c>
      <c r="AB107" s="345">
        <v>-986</v>
      </c>
      <c r="AC107" s="344">
        <f>AC49*AC109</f>
        <v>195.29999999999998</v>
      </c>
      <c r="AD107" s="344">
        <f>AD49*AD109</f>
        <v>54.18</v>
      </c>
      <c r="AE107" s="344">
        <f>AE49*AE109</f>
        <v>25.514999999999997</v>
      </c>
      <c r="AF107" s="344">
        <f>AF49*AF109</f>
        <v>61.424999999999997</v>
      </c>
      <c r="AG107"/>
      <c r="AH107" s="345">
        <v>-3198</v>
      </c>
      <c r="AI107" s="345">
        <v>-2765</v>
      </c>
      <c r="AJ107" s="355">
        <f t="shared" ref="AJ107:AP107" si="84">+SUMIF($E$5:$AF$5,AJ$5,$E107:$AF107)</f>
        <v>-5229</v>
      </c>
      <c r="AK107" s="355">
        <f t="shared" si="84"/>
        <v>-4112</v>
      </c>
      <c r="AL107" s="355">
        <f t="shared" si="84"/>
        <v>-3966</v>
      </c>
      <c r="AM107" s="355">
        <f t="shared" si="84"/>
        <v>-3878</v>
      </c>
      <c r="AN107" s="355">
        <f t="shared" si="84"/>
        <v>-3381</v>
      </c>
      <c r="AO107" s="355">
        <f t="shared" si="84"/>
        <v>-5384</v>
      </c>
      <c r="AP107" s="355">
        <f t="shared" si="84"/>
        <v>336.42</v>
      </c>
      <c r="AQ107" s="344">
        <f>AQ49*AQ109</f>
        <v>353.24100000000004</v>
      </c>
      <c r="AR107" s="344">
        <f>AR49*AR109</f>
        <v>370.90305000000012</v>
      </c>
      <c r="AS107" s="344">
        <f>AS49*AS109</f>
        <v>389.44820250000015</v>
      </c>
    </row>
    <row r="108" spans="3:60" s="346" customFormat="1" outlineLevel="1">
      <c r="C108" s="349" t="s">
        <v>17</v>
      </c>
      <c r="E108" s="348"/>
      <c r="F108" s="348"/>
      <c r="G108" s="348"/>
      <c r="H108" s="348"/>
      <c r="I108" s="347">
        <f t="shared" ref="I108:AF108" si="85">IFERROR(+I107/E107-1,"NA ")</f>
        <v>4.9504950495049549E-2</v>
      </c>
      <c r="J108" s="347">
        <f t="shared" si="85"/>
        <v>-0.55113373438223046</v>
      </c>
      <c r="K108" s="347">
        <f t="shared" si="85"/>
        <v>-0.17027027027027031</v>
      </c>
      <c r="L108" s="347">
        <f t="shared" si="85"/>
        <v>0.20781696854146814</v>
      </c>
      <c r="M108" s="347">
        <f t="shared" si="85"/>
        <v>0.23270440251572322</v>
      </c>
      <c r="N108" s="347">
        <f t="shared" si="85"/>
        <v>5.2577319587628901E-2</v>
      </c>
      <c r="O108" s="347">
        <f t="shared" si="85"/>
        <v>-1.8458197611292082E-2</v>
      </c>
      <c r="P108" s="347">
        <f t="shared" si="85"/>
        <v>-0.3172849250197316</v>
      </c>
      <c r="Q108" s="347">
        <f t="shared" si="85"/>
        <v>-0.27721088435374153</v>
      </c>
      <c r="R108" s="347">
        <f t="shared" si="85"/>
        <v>1.3712047012732542E-2</v>
      </c>
      <c r="S108" s="347">
        <f t="shared" si="85"/>
        <v>4.2035398230088505E-2</v>
      </c>
      <c r="T108" s="347">
        <f t="shared" si="85"/>
        <v>0.21502890173410405</v>
      </c>
      <c r="U108" s="347">
        <f t="shared" si="85"/>
        <v>0.22470588235294109</v>
      </c>
      <c r="V108" s="347">
        <f t="shared" si="85"/>
        <v>-0.31207729468599033</v>
      </c>
      <c r="W108" s="347">
        <f t="shared" si="85"/>
        <v>-0.38959660297239918</v>
      </c>
      <c r="X108" s="347">
        <f t="shared" si="85"/>
        <v>1.9029495718363432E-3</v>
      </c>
      <c r="Y108" s="347">
        <f t="shared" si="85"/>
        <v>1.2257444764649374</v>
      </c>
      <c r="Z108" s="347">
        <f t="shared" si="85"/>
        <v>0.4536516853932584</v>
      </c>
      <c r="AA108" s="347">
        <f t="shared" si="85"/>
        <v>0.81913043478260872</v>
      </c>
      <c r="AB108" s="347">
        <f t="shared" si="85"/>
        <v>-6.3627730294396945E-2</v>
      </c>
      <c r="AC108" s="347">
        <f t="shared" si="85"/>
        <v>-1.0842900302114804</v>
      </c>
      <c r="AD108" s="347">
        <f t="shared" si="85"/>
        <v>-1.0523478260869565</v>
      </c>
      <c r="AE108" s="347">
        <f t="shared" si="85"/>
        <v>-1.0243929254302104</v>
      </c>
      <c r="AF108" s="347">
        <f t="shared" si="85"/>
        <v>-1.0622971602434077</v>
      </c>
      <c r="AG108"/>
      <c r="AH108" s="348"/>
      <c r="AI108" s="347">
        <f>IFERROR(AI107/AH107-1,"NA ")</f>
        <v>-0.13539712320200126</v>
      </c>
      <c r="AJ108" s="347">
        <f t="shared" ref="AJ108:AS108" si="86">IFERROR(AJ107/AI107-1,"NA ")</f>
        <v>0.8911392405063292</v>
      </c>
      <c r="AK108" s="347">
        <f t="shared" si="86"/>
        <v>-0.21361637024287627</v>
      </c>
      <c r="AL108" s="347">
        <f t="shared" si="86"/>
        <v>-3.5505836575875471E-2</v>
      </c>
      <c r="AM108" s="347">
        <f t="shared" si="86"/>
        <v>-2.218860312657589E-2</v>
      </c>
      <c r="AN108" s="347">
        <f t="shared" si="86"/>
        <v>-0.12815884476534301</v>
      </c>
      <c r="AO108" s="347">
        <f t="shared" si="86"/>
        <v>0.59242827565808942</v>
      </c>
      <c r="AP108" s="347">
        <f t="shared" si="86"/>
        <v>-1.0624851411589895</v>
      </c>
      <c r="AQ108" s="347">
        <f t="shared" si="86"/>
        <v>5.0000000000000044E-2</v>
      </c>
      <c r="AR108" s="347">
        <f t="shared" si="86"/>
        <v>5.0000000000000266E-2</v>
      </c>
      <c r="AS108" s="347">
        <f t="shared" si="86"/>
        <v>5.0000000000000044E-2</v>
      </c>
    </row>
    <row r="109" spans="3:60" s="346" customFormat="1" outlineLevel="1">
      <c r="C109" s="349" t="s">
        <v>37</v>
      </c>
      <c r="E109" s="347">
        <f t="shared" ref="E109:AB109" si="87">IFERROR(E107/E49,"NA ")</f>
        <v>-1.5485519591141397</v>
      </c>
      <c r="F109" s="347">
        <f t="shared" si="87"/>
        <v>-3.7452339688041594</v>
      </c>
      <c r="G109" s="347">
        <f t="shared" si="87"/>
        <v>-1.9104991394148021</v>
      </c>
      <c r="H109" s="347">
        <f t="shared" si="87"/>
        <v>-1.7056910569105692</v>
      </c>
      <c r="I109" s="347">
        <f t="shared" si="87"/>
        <v>-1.65625</v>
      </c>
      <c r="J109" s="347">
        <f t="shared" si="87"/>
        <v>-6.7361111111111107</v>
      </c>
      <c r="K109" s="347">
        <f t="shared" si="87"/>
        <v>-4.5594059405940595</v>
      </c>
      <c r="L109" s="347">
        <f t="shared" si="87"/>
        <v>-7</v>
      </c>
      <c r="M109" s="347">
        <f t="shared" si="87"/>
        <v>-14.168674698795181</v>
      </c>
      <c r="N109" s="347">
        <f t="shared" si="87"/>
        <v>-28.361111111111111</v>
      </c>
      <c r="O109" s="347">
        <f t="shared" si="87"/>
        <v>-8.7766990291262132</v>
      </c>
      <c r="P109" s="347">
        <f t="shared" si="87"/>
        <v>-18.020833333333332</v>
      </c>
      <c r="Q109" s="347">
        <f t="shared" si="87"/>
        <v>-16.037735849056602</v>
      </c>
      <c r="R109" s="347">
        <f t="shared" si="87"/>
        <v>-15.923076923076923</v>
      </c>
      <c r="S109" s="347">
        <f t="shared" si="87"/>
        <v>-14.059701492537313</v>
      </c>
      <c r="T109" s="347">
        <f t="shared" si="87"/>
        <v>-10.10576923076923</v>
      </c>
      <c r="U109" s="347">
        <f t="shared" si="87"/>
        <v>-15.772727272727273</v>
      </c>
      <c r="V109" s="347">
        <f t="shared" si="87"/>
        <v>-5.1223021582733814</v>
      </c>
      <c r="W109" s="347">
        <f t="shared" si="87"/>
        <v>-5.4245283018867925</v>
      </c>
      <c r="X109" s="347">
        <f t="shared" si="87"/>
        <v>-4.9905213270142177</v>
      </c>
      <c r="Y109" s="347">
        <f t="shared" si="87"/>
        <v>-3.7370967741935486</v>
      </c>
      <c r="Z109" s="347">
        <f t="shared" si="87"/>
        <v>-6.0174418604651159</v>
      </c>
      <c r="AA109" s="347">
        <f t="shared" si="87"/>
        <v>-12.913580246913581</v>
      </c>
      <c r="AB109" s="347">
        <f t="shared" si="87"/>
        <v>-5.0564102564102562</v>
      </c>
      <c r="AC109" s="421">
        <v>0.3</v>
      </c>
      <c r="AD109" s="421">
        <v>0.3</v>
      </c>
      <c r="AE109" s="421">
        <v>0.3</v>
      </c>
      <c r="AF109" s="421">
        <v>0.3</v>
      </c>
      <c r="AG109"/>
      <c r="AH109" s="347">
        <f t="shared" ref="AH109:AP109" si="88">IFERROR(AH107/AH49,"NA ")</f>
        <v>-1.3820224719101124</v>
      </c>
      <c r="AI109" s="347">
        <f t="shared" si="88"/>
        <v>-1.2234513274336283</v>
      </c>
      <c r="AJ109" s="347">
        <f t="shared" si="88"/>
        <v>-2.215677966101695</v>
      </c>
      <c r="AK109" s="347">
        <f t="shared" si="88"/>
        <v>-3.728014505893019</v>
      </c>
      <c r="AL109" s="347">
        <f t="shared" si="88"/>
        <v>-14.688888888888888</v>
      </c>
      <c r="AM109" s="347">
        <f t="shared" si="88"/>
        <v>-13.418685121107266</v>
      </c>
      <c r="AN109" s="347">
        <f t="shared" si="88"/>
        <v>-6.4770114942528734</v>
      </c>
      <c r="AO109" s="347">
        <f t="shared" si="88"/>
        <v>-5.0411985018726595</v>
      </c>
      <c r="AP109" s="347">
        <f t="shared" si="88"/>
        <v>0.3</v>
      </c>
      <c r="AQ109" s="421">
        <v>0.3</v>
      </c>
      <c r="AR109" s="421">
        <v>0.3</v>
      </c>
      <c r="AS109" s="421">
        <v>0.3</v>
      </c>
    </row>
    <row r="110" spans="3:60" ht="5.25" customHeight="1" outlineLevel="1"/>
    <row r="111" spans="3:60" s="342" customFormat="1">
      <c r="C111" s="343" t="s">
        <v>40</v>
      </c>
      <c r="E111" s="352">
        <f t="shared" ref="E111:Z111" si="89">E83+E87+E91+E95+E99+E103+E107</f>
        <v>2568</v>
      </c>
      <c r="F111" s="352">
        <f t="shared" si="89"/>
        <v>1318</v>
      </c>
      <c r="G111" s="352">
        <f t="shared" si="89"/>
        <v>4462</v>
      </c>
      <c r="H111" s="352">
        <f t="shared" si="89"/>
        <v>4526</v>
      </c>
      <c r="I111" s="352">
        <f t="shared" si="89"/>
        <v>3632</v>
      </c>
      <c r="J111" s="352">
        <f t="shared" si="89"/>
        <v>3842</v>
      </c>
      <c r="K111" s="352">
        <f t="shared" si="89"/>
        <v>5141</v>
      </c>
      <c r="L111" s="352">
        <f t="shared" si="89"/>
        <v>5435</v>
      </c>
      <c r="M111" s="352">
        <f t="shared" si="89"/>
        <v>4470</v>
      </c>
      <c r="N111" s="352">
        <f t="shared" si="89"/>
        <v>5273</v>
      </c>
      <c r="O111" s="352">
        <f t="shared" si="89"/>
        <v>7349</v>
      </c>
      <c r="P111" s="352">
        <f t="shared" si="89"/>
        <v>6224</v>
      </c>
      <c r="Q111" s="352">
        <f t="shared" si="89"/>
        <v>4174</v>
      </c>
      <c r="R111" s="352">
        <f t="shared" si="89"/>
        <v>4617</v>
      </c>
      <c r="S111" s="352">
        <f t="shared" si="89"/>
        <v>6447</v>
      </c>
      <c r="T111" s="352">
        <f t="shared" si="89"/>
        <v>6797</v>
      </c>
      <c r="U111" s="352">
        <f t="shared" si="89"/>
        <v>7038</v>
      </c>
      <c r="V111" s="352">
        <f t="shared" si="89"/>
        <v>5697</v>
      </c>
      <c r="W111" s="352">
        <f t="shared" si="89"/>
        <v>5059</v>
      </c>
      <c r="X111" s="352">
        <f t="shared" si="89"/>
        <v>5884</v>
      </c>
      <c r="Y111" s="352">
        <f t="shared" si="89"/>
        <v>3694</v>
      </c>
      <c r="Z111" s="352">
        <f t="shared" si="89"/>
        <v>5546</v>
      </c>
      <c r="AA111" s="352">
        <f t="shared" ref="AA111:AF111" si="90">AA83+AA87+AA91+AA95+AA99+AA103+AA107</f>
        <v>5227</v>
      </c>
      <c r="AB111" s="352">
        <f t="shared" si="90"/>
        <v>4989</v>
      </c>
      <c r="AC111" s="352">
        <f t="shared" si="90"/>
        <v>6130.5870000000004</v>
      </c>
      <c r="AD111" s="352">
        <f t="shared" si="90"/>
        <v>5418.5815000000002</v>
      </c>
      <c r="AE111" s="352">
        <f t="shared" si="90"/>
        <v>5283.8870000000006</v>
      </c>
      <c r="AF111" s="352">
        <f t="shared" si="90"/>
        <v>5571.9275000000016</v>
      </c>
      <c r="AG111"/>
      <c r="AH111" s="352">
        <f>AH83+AH87+AH91+AH95+AH99+AH103+AH107</f>
        <v>15347</v>
      </c>
      <c r="AI111" s="352">
        <f>AI83+AI87+AI91+AI95+AI99+AI103+AI107</f>
        <v>14002</v>
      </c>
      <c r="AJ111" s="352">
        <f t="shared" ref="AJ111:AS111" si="91">AJ83+AJ87+AJ91+AJ95+AJ99+AJ103+AJ107</f>
        <v>12874</v>
      </c>
      <c r="AK111" s="352">
        <f t="shared" si="91"/>
        <v>18050</v>
      </c>
      <c r="AL111" s="352">
        <f t="shared" si="91"/>
        <v>23316</v>
      </c>
      <c r="AM111" s="352">
        <f t="shared" si="91"/>
        <v>22035</v>
      </c>
      <c r="AN111" s="352">
        <f t="shared" si="91"/>
        <v>23678</v>
      </c>
      <c r="AO111" s="352">
        <f t="shared" si="91"/>
        <v>19456</v>
      </c>
      <c r="AP111" s="352">
        <f t="shared" si="91"/>
        <v>22404.983</v>
      </c>
      <c r="AQ111" s="352">
        <f t="shared" si="91"/>
        <v>21470.71966875</v>
      </c>
      <c r="AR111" s="352">
        <f t="shared" si="91"/>
        <v>22197.117749437501</v>
      </c>
      <c r="AS111" s="352">
        <f t="shared" si="91"/>
        <v>23213.627607740629</v>
      </c>
    </row>
    <row r="112" spans="3:60" s="346" customFormat="1" hidden="1" outlineLevel="1">
      <c r="C112" s="389" t="s">
        <v>17</v>
      </c>
      <c r="E112" s="348"/>
      <c r="F112" s="348"/>
      <c r="G112" s="348"/>
      <c r="H112" s="348"/>
      <c r="I112" s="347">
        <f t="shared" ref="I112:AF112" si="92">IFERROR(+I111/E111-1,"NA ")</f>
        <v>0.41433021806853576</v>
      </c>
      <c r="J112" s="347">
        <f t="shared" si="92"/>
        <v>1.9150227617602429</v>
      </c>
      <c r="K112" s="347">
        <f t="shared" si="92"/>
        <v>0.15217391304347827</v>
      </c>
      <c r="L112" s="347">
        <f t="shared" si="92"/>
        <v>0.2008395934600089</v>
      </c>
      <c r="M112" s="347">
        <f t="shared" si="92"/>
        <v>0.23072687224669597</v>
      </c>
      <c r="N112" s="347">
        <f t="shared" si="92"/>
        <v>0.37246225923997911</v>
      </c>
      <c r="O112" s="347">
        <f t="shared" si="92"/>
        <v>0.42948842637619133</v>
      </c>
      <c r="P112" s="347">
        <f t="shared" si="92"/>
        <v>0.1451701931922722</v>
      </c>
      <c r="Q112" s="347">
        <f t="shared" si="92"/>
        <v>-6.6219239373601746E-2</v>
      </c>
      <c r="R112" s="347">
        <f t="shared" si="92"/>
        <v>-0.12440735824009108</v>
      </c>
      <c r="S112" s="347">
        <f t="shared" si="92"/>
        <v>-0.12273778745407538</v>
      </c>
      <c r="T112" s="347">
        <f t="shared" si="92"/>
        <v>9.2062982005141292E-2</v>
      </c>
      <c r="U112" s="347">
        <f t="shared" si="92"/>
        <v>0.68615237182558686</v>
      </c>
      <c r="V112" s="347">
        <f t="shared" si="92"/>
        <v>0.23391812865497075</v>
      </c>
      <c r="W112" s="347">
        <f t="shared" si="92"/>
        <v>-0.21529393516364204</v>
      </c>
      <c r="X112" s="347">
        <f t="shared" si="92"/>
        <v>-0.13432396645578937</v>
      </c>
      <c r="Y112" s="347">
        <f t="shared" si="92"/>
        <v>-0.47513498152884337</v>
      </c>
      <c r="Z112" s="347">
        <f t="shared" si="92"/>
        <v>-2.6505178163945931E-2</v>
      </c>
      <c r="AA112" s="347">
        <f t="shared" si="92"/>
        <v>3.3208143901956921E-2</v>
      </c>
      <c r="AB112" s="347">
        <f t="shared" si="92"/>
        <v>-0.15210740992522098</v>
      </c>
      <c r="AC112" s="347">
        <f t="shared" si="92"/>
        <v>0.65960665944775321</v>
      </c>
      <c r="AD112" s="347">
        <f t="shared" si="92"/>
        <v>-2.2974846736386501E-2</v>
      </c>
      <c r="AE112" s="347">
        <f t="shared" si="92"/>
        <v>1.0883298259039664E-2</v>
      </c>
      <c r="AF112" s="347">
        <f t="shared" si="92"/>
        <v>0.11684255361795981</v>
      </c>
      <c r="AG112"/>
      <c r="AH112" s="348"/>
      <c r="AI112" s="347">
        <f>IFERROR(AI111/AH111-1,"NA ")</f>
        <v>-8.7639278034795098E-2</v>
      </c>
      <c r="AJ112" s="347">
        <f t="shared" ref="AJ112:AO112" si="93">IFERROR(AJ111/AI111-1,"NA ")</f>
        <v>-8.0559920011426978E-2</v>
      </c>
      <c r="AK112" s="347">
        <f t="shared" si="93"/>
        <v>0.40205064471026875</v>
      </c>
      <c r="AL112" s="347">
        <f t="shared" si="93"/>
        <v>0.29174515235457066</v>
      </c>
      <c r="AM112" s="347">
        <f t="shared" si="93"/>
        <v>-5.4940813175501813E-2</v>
      </c>
      <c r="AN112" s="347">
        <f t="shared" si="93"/>
        <v>7.4563194917177222E-2</v>
      </c>
      <c r="AO112" s="347">
        <f t="shared" si="93"/>
        <v>-0.17830897879888508</v>
      </c>
      <c r="AP112" s="347">
        <f>IFERROR(AP111/AO111-1,"NA ")</f>
        <v>0.15157190583881586</v>
      </c>
      <c r="AQ112" s="347">
        <f>IFERROR(AQ111/AP111-1,"NA ")</f>
        <v>-4.1698908285268566E-2</v>
      </c>
      <c r="AR112" s="347">
        <f>IFERROR(AR111/AQ111-1,"NA ")</f>
        <v>3.3832032269731194E-2</v>
      </c>
      <c r="AS112" s="347">
        <f>IFERROR(AS111/AR111-1,"NA ")</f>
        <v>4.5794677929700489E-2</v>
      </c>
    </row>
    <row r="113" spans="3:45" s="342" customFormat="1" hidden="1" outlineLevel="1">
      <c r="C113" s="34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c r="AH113" s="353"/>
      <c r="AI113" s="353"/>
      <c r="AJ113" s="353"/>
      <c r="AK113" s="353"/>
      <c r="AL113" s="353"/>
      <c r="AM113" s="353"/>
      <c r="AN113" s="353"/>
      <c r="AO113" s="356"/>
    </row>
    <row r="114" spans="3:45" s="537" customFormat="1" hidden="1" outlineLevel="1">
      <c r="C114" s="587" t="s">
        <v>41</v>
      </c>
      <c r="E114" s="369"/>
      <c r="F114" s="369"/>
      <c r="G114" s="369"/>
      <c r="H114" s="369"/>
      <c r="I114" s="369"/>
      <c r="J114" s="369"/>
      <c r="K114" s="369">
        <f>Financials!K32-K111</f>
        <v>0</v>
      </c>
      <c r="L114" s="369">
        <f>Financials!L32-L111</f>
        <v>0</v>
      </c>
      <c r="M114" s="369">
        <f>Financials!M32-M111</f>
        <v>0</v>
      </c>
      <c r="N114" s="369">
        <f>Financials!N32-N111</f>
        <v>0</v>
      </c>
      <c r="O114" s="369">
        <f>Financials!O32-O111</f>
        <v>0</v>
      </c>
      <c r="P114" s="369">
        <f>Financials!P32-P111</f>
        <v>0</v>
      </c>
      <c r="Q114" s="369">
        <f>Financials!Q32-Q111</f>
        <v>0</v>
      </c>
      <c r="R114" s="369">
        <f>Financials!R32-R111</f>
        <v>0</v>
      </c>
      <c r="S114" s="369">
        <f>Financials!S32-S111</f>
        <v>0</v>
      </c>
      <c r="T114" s="369">
        <f>Financials!T32-T111</f>
        <v>0</v>
      </c>
      <c r="U114" s="369">
        <f>Financials!U32-U111</f>
        <v>0</v>
      </c>
      <c r="V114" s="369">
        <f>Financials!V32-V111</f>
        <v>0</v>
      </c>
      <c r="W114" s="369">
        <f>Financials!W32-W111</f>
        <v>0</v>
      </c>
      <c r="X114" s="369">
        <f>Financials!X32-X111</f>
        <v>0</v>
      </c>
      <c r="Y114" s="369">
        <f>Financials!Y32-Y111</f>
        <v>0</v>
      </c>
      <c r="Z114" s="369">
        <f>Financials!Z32-Z111</f>
        <v>0</v>
      </c>
      <c r="AA114" s="369">
        <f>Financials!AA32-AA111</f>
        <v>0</v>
      </c>
      <c r="AB114" s="369">
        <f>Financials!AB32-AB111</f>
        <v>0</v>
      </c>
      <c r="AC114" s="369">
        <f>Financials!AC32-AC111</f>
        <v>-2915.3206268981285</v>
      </c>
      <c r="AD114" s="369">
        <f>Financials!AD32-AD111</f>
        <v>-3453.999251898128</v>
      </c>
      <c r="AE114" s="369">
        <f>Financials!AE32-AE111</f>
        <v>-3783.8858768981281</v>
      </c>
      <c r="AF114" s="369">
        <f>Financials!AF32-AF111</f>
        <v>-4495.9198768981296</v>
      </c>
      <c r="AG114" s="292"/>
      <c r="AH114" s="369">
        <f>Financials!AH32-AH111</f>
        <v>0</v>
      </c>
      <c r="AI114" s="369">
        <f>Financials!AI32-AI111</f>
        <v>0</v>
      </c>
      <c r="AJ114" s="369">
        <f>Financials!AJ32-AJ111</f>
        <v>259</v>
      </c>
      <c r="AK114" s="369">
        <f>Financials!AK32-AK111</f>
        <v>0</v>
      </c>
      <c r="AL114" s="369">
        <f>Financials!AL32-AL111</f>
        <v>0</v>
      </c>
      <c r="AM114" s="369">
        <f>Financials!AM32-AM111</f>
        <v>0</v>
      </c>
      <c r="AN114" s="369">
        <f>Financials!AN32-AN111</f>
        <v>0</v>
      </c>
      <c r="AO114" s="369">
        <f>Financials!AO32-AO111</f>
        <v>0</v>
      </c>
      <c r="AP114" s="369">
        <f>Financials!AP32-AP111</f>
        <v>-14649.125632592506</v>
      </c>
      <c r="AQ114" s="369">
        <f>Financials!AQ32-AQ111</f>
        <v>-13508.280278842511</v>
      </c>
      <c r="AR114" s="369">
        <f>Financials!AR32-AR111</f>
        <v>-11874.442876567507</v>
      </c>
      <c r="AS114" s="369">
        <f>Financials!AS32-AS111</f>
        <v>-11646.220103854386</v>
      </c>
    </row>
    <row r="115" spans="3:45" s="342" customFormat="1" collapsed="1">
      <c r="C115" s="343"/>
      <c r="E115" s="353"/>
      <c r="F115" s="353"/>
      <c r="G115" s="353"/>
      <c r="H115" s="353"/>
      <c r="I115" s="353"/>
      <c r="J115" s="353"/>
      <c r="K115" s="353"/>
      <c r="L115" s="353"/>
      <c r="M115" s="353"/>
      <c r="N115" s="353"/>
      <c r="O115" s="353"/>
      <c r="P115" s="353"/>
      <c r="Q115" s="353"/>
      <c r="R115" s="353"/>
      <c r="S115" s="353"/>
      <c r="T115" s="353"/>
      <c r="U115" s="353"/>
      <c r="V115" s="353"/>
      <c r="W115" s="353"/>
      <c r="X115" s="353"/>
      <c r="Y115" s="353"/>
      <c r="Z115" s="353"/>
      <c r="AA115" s="353"/>
      <c r="AB115" s="353"/>
      <c r="AC115" s="353"/>
      <c r="AD115" s="353"/>
      <c r="AE115" s="353"/>
      <c r="AF115" s="353"/>
      <c r="AG115"/>
      <c r="AH115" s="353"/>
      <c r="AI115" s="353"/>
      <c r="AJ115" s="353"/>
      <c r="AK115" s="353"/>
      <c r="AL115" s="353"/>
      <c r="AM115" s="353"/>
      <c r="AN115" s="353"/>
      <c r="AO115" s="356"/>
    </row>
    <row r="116" spans="3:45" s="338" customFormat="1" hidden="1" outlineLevel="1">
      <c r="C116" s="338" t="s">
        <v>42</v>
      </c>
      <c r="E116" s="345">
        <v>0</v>
      </c>
      <c r="F116" s="345">
        <v>0</v>
      </c>
      <c r="G116" s="345">
        <v>0</v>
      </c>
      <c r="H116" s="348"/>
      <c r="I116" s="345">
        <v>2855</v>
      </c>
      <c r="J116" s="345">
        <v>2776</v>
      </c>
      <c r="K116" s="345">
        <v>2967</v>
      </c>
      <c r="L116" s="348"/>
      <c r="M116" s="345">
        <v>2907</v>
      </c>
      <c r="N116" s="345">
        <v>2954</v>
      </c>
      <c r="O116" s="345">
        <v>3225</v>
      </c>
      <c r="P116" s="348"/>
      <c r="Q116" s="345">
        <v>2886</v>
      </c>
      <c r="R116" s="345">
        <v>2767</v>
      </c>
      <c r="S116" s="345">
        <v>2968</v>
      </c>
      <c r="T116" s="348"/>
      <c r="U116" s="345">
        <v>2840</v>
      </c>
      <c r="V116" s="454">
        <v>2368</v>
      </c>
      <c r="W116" s="454">
        <v>2483</v>
      </c>
      <c r="X116" s="348"/>
      <c r="Y116" s="454">
        <v>2644</v>
      </c>
      <c r="Z116" s="454">
        <v>2635</v>
      </c>
      <c r="AA116" s="345">
        <v>2983</v>
      </c>
      <c r="AB116" s="348"/>
      <c r="AC116" s="345"/>
      <c r="AD116" s="345"/>
      <c r="AE116" s="345"/>
      <c r="AF116" s="345"/>
      <c r="AG116"/>
      <c r="AH116" s="348"/>
      <c r="AI116" s="348"/>
      <c r="AJ116" s="355">
        <f t="shared" ref="AJ116:AO121" si="94">+SUMIF($E$5:$AF$5,AJ$5,$E116:$AF116)</f>
        <v>0</v>
      </c>
      <c r="AK116" s="355">
        <f t="shared" si="94"/>
        <v>8598</v>
      </c>
      <c r="AL116" s="355">
        <f t="shared" si="94"/>
        <v>9086</v>
      </c>
      <c r="AM116" s="355">
        <f t="shared" si="94"/>
        <v>8621</v>
      </c>
      <c r="AN116" s="355">
        <f t="shared" si="94"/>
        <v>7691</v>
      </c>
      <c r="AO116" s="355">
        <f t="shared" si="94"/>
        <v>8262</v>
      </c>
    </row>
    <row r="117" spans="3:45" s="338" customFormat="1" hidden="1" outlineLevel="1">
      <c r="C117" s="338" t="s">
        <v>43</v>
      </c>
      <c r="E117" s="345">
        <v>0</v>
      </c>
      <c r="F117" s="345">
        <v>0</v>
      </c>
      <c r="G117" s="345">
        <v>0</v>
      </c>
      <c r="H117" s="348"/>
      <c r="I117" s="345">
        <v>4498</v>
      </c>
      <c r="J117" s="345">
        <v>4816</v>
      </c>
      <c r="K117" s="345">
        <v>5123</v>
      </c>
      <c r="L117" s="348"/>
      <c r="M117" s="345">
        <v>4689</v>
      </c>
      <c r="N117" s="345">
        <v>5086</v>
      </c>
      <c r="O117" s="345">
        <v>5774</v>
      </c>
      <c r="P117" s="348"/>
      <c r="Q117" s="345">
        <v>4926</v>
      </c>
      <c r="R117" s="345">
        <v>5136</v>
      </c>
      <c r="S117" s="345">
        <v>5393</v>
      </c>
      <c r="T117" s="348"/>
      <c r="U117" s="345">
        <v>5857</v>
      </c>
      <c r="V117" s="345">
        <v>5844</v>
      </c>
      <c r="W117" s="345">
        <v>6275</v>
      </c>
      <c r="X117" s="348"/>
      <c r="Y117" s="345">
        <v>6959</v>
      </c>
      <c r="Z117" s="345">
        <v>6743</v>
      </c>
      <c r="AA117" s="345">
        <v>5953</v>
      </c>
      <c r="AB117" s="348"/>
      <c r="AC117" s="345"/>
      <c r="AD117" s="345"/>
      <c r="AE117" s="345"/>
      <c r="AF117" s="345"/>
      <c r="AG117"/>
      <c r="AH117" s="348"/>
      <c r="AI117" s="348"/>
      <c r="AJ117" s="355">
        <f t="shared" si="94"/>
        <v>0</v>
      </c>
      <c r="AK117" s="355">
        <f t="shared" si="94"/>
        <v>14437</v>
      </c>
      <c r="AL117" s="355">
        <f t="shared" si="94"/>
        <v>15549</v>
      </c>
      <c r="AM117" s="355">
        <f t="shared" si="94"/>
        <v>15455</v>
      </c>
      <c r="AN117" s="355">
        <f t="shared" si="94"/>
        <v>17976</v>
      </c>
      <c r="AO117" s="355">
        <f t="shared" si="94"/>
        <v>19655</v>
      </c>
    </row>
    <row r="118" spans="3:45" s="338" customFormat="1" hidden="1" outlineLevel="1">
      <c r="C118" s="338" t="s">
        <v>44</v>
      </c>
      <c r="E118" s="345">
        <v>0</v>
      </c>
      <c r="F118" s="345">
        <v>0</v>
      </c>
      <c r="G118" s="345">
        <v>0</v>
      </c>
      <c r="H118" s="348"/>
      <c r="I118" s="345">
        <v>3879</v>
      </c>
      <c r="J118" s="345">
        <v>4026</v>
      </c>
      <c r="K118" s="345">
        <v>4439</v>
      </c>
      <c r="L118" s="348"/>
      <c r="M118" s="345">
        <v>4824</v>
      </c>
      <c r="N118" s="345">
        <v>5100</v>
      </c>
      <c r="O118" s="345">
        <v>5637</v>
      </c>
      <c r="P118" s="348"/>
      <c r="Q118" s="345">
        <v>4482</v>
      </c>
      <c r="R118" s="345">
        <v>4553</v>
      </c>
      <c r="S118" s="345">
        <v>5819</v>
      </c>
      <c r="T118" s="348"/>
      <c r="U118" s="345">
        <v>6427</v>
      </c>
      <c r="V118" s="345">
        <v>6181</v>
      </c>
      <c r="W118" s="345">
        <v>5151</v>
      </c>
      <c r="X118" s="348"/>
      <c r="Y118" s="345">
        <v>4811</v>
      </c>
      <c r="Z118" s="345">
        <v>5703</v>
      </c>
      <c r="AA118" s="345">
        <v>5747</v>
      </c>
      <c r="AB118" s="348"/>
      <c r="AC118" s="345"/>
      <c r="AD118" s="345"/>
      <c r="AE118" s="345"/>
      <c r="AF118" s="345"/>
      <c r="AG118"/>
      <c r="AH118" s="348"/>
      <c r="AI118" s="348"/>
      <c r="AJ118" s="355">
        <f t="shared" si="94"/>
        <v>0</v>
      </c>
      <c r="AK118" s="355">
        <f t="shared" si="94"/>
        <v>12344</v>
      </c>
      <c r="AL118" s="355">
        <f t="shared" si="94"/>
        <v>15561</v>
      </c>
      <c r="AM118" s="355">
        <f t="shared" si="94"/>
        <v>14854</v>
      </c>
      <c r="AN118" s="355">
        <f t="shared" si="94"/>
        <v>17759</v>
      </c>
      <c r="AO118" s="355">
        <f t="shared" si="94"/>
        <v>16261</v>
      </c>
    </row>
    <row r="119" spans="3:45" s="338" customFormat="1" hidden="1" outlineLevel="1">
      <c r="C119" s="338" t="s">
        <v>45</v>
      </c>
      <c r="E119" s="345">
        <v>0</v>
      </c>
      <c r="F119" s="345">
        <v>0</v>
      </c>
      <c r="G119" s="345">
        <v>0</v>
      </c>
      <c r="H119" s="348"/>
      <c r="I119" s="345">
        <v>676</v>
      </c>
      <c r="J119" s="345">
        <v>656</v>
      </c>
      <c r="K119" s="345">
        <v>722</v>
      </c>
      <c r="L119" s="348"/>
      <c r="M119" s="345">
        <v>738</v>
      </c>
      <c r="N119" s="345">
        <v>770</v>
      </c>
      <c r="O119" s="345">
        <v>879</v>
      </c>
      <c r="P119" s="348"/>
      <c r="Q119" s="345">
        <v>837</v>
      </c>
      <c r="R119" s="345">
        <v>22</v>
      </c>
      <c r="S119" s="345">
        <v>18</v>
      </c>
      <c r="T119" s="348"/>
      <c r="U119" s="345">
        <v>0</v>
      </c>
      <c r="V119" s="345">
        <v>0</v>
      </c>
      <c r="W119" s="345">
        <v>0</v>
      </c>
      <c r="X119" s="348"/>
      <c r="Y119" s="345">
        <v>0</v>
      </c>
      <c r="Z119" s="345">
        <v>0</v>
      </c>
      <c r="AA119" s="345">
        <v>0</v>
      </c>
      <c r="AB119" s="348"/>
      <c r="AC119" s="345"/>
      <c r="AD119" s="345"/>
      <c r="AE119" s="345"/>
      <c r="AF119" s="345"/>
      <c r="AG119"/>
      <c r="AH119" s="348"/>
      <c r="AI119" s="348"/>
      <c r="AJ119" s="355">
        <f t="shared" si="94"/>
        <v>0</v>
      </c>
      <c r="AK119" s="355">
        <f t="shared" si="94"/>
        <v>2054</v>
      </c>
      <c r="AL119" s="355">
        <f t="shared" si="94"/>
        <v>2387</v>
      </c>
      <c r="AM119" s="355">
        <f t="shared" si="94"/>
        <v>877</v>
      </c>
      <c r="AN119" s="355">
        <f t="shared" si="94"/>
        <v>0</v>
      </c>
      <c r="AO119" s="355">
        <f t="shared" si="94"/>
        <v>0</v>
      </c>
    </row>
    <row r="120" spans="3:45" s="338" customFormat="1" hidden="1" outlineLevel="1">
      <c r="C120" s="338" t="s">
        <v>46</v>
      </c>
      <c r="E120" s="345">
        <v>0</v>
      </c>
      <c r="F120" s="345">
        <v>0</v>
      </c>
      <c r="G120" s="345">
        <v>0</v>
      </c>
      <c r="H120" s="348"/>
      <c r="I120" s="345">
        <v>0</v>
      </c>
      <c r="J120" s="345">
        <v>0</v>
      </c>
      <c r="K120" s="345">
        <v>0</v>
      </c>
      <c r="L120" s="348"/>
      <c r="M120" s="345">
        <v>0</v>
      </c>
      <c r="N120" s="345">
        <v>0</v>
      </c>
      <c r="O120" s="345">
        <v>0</v>
      </c>
      <c r="P120" s="348"/>
      <c r="Q120" s="345">
        <v>0</v>
      </c>
      <c r="R120" s="345">
        <v>0</v>
      </c>
      <c r="S120" s="345">
        <v>0</v>
      </c>
      <c r="T120" s="348"/>
      <c r="U120" s="345">
        <v>15</v>
      </c>
      <c r="V120" s="345">
        <v>16</v>
      </c>
      <c r="W120" s="345">
        <v>4</v>
      </c>
      <c r="X120" s="348"/>
      <c r="Y120" s="345">
        <v>14</v>
      </c>
      <c r="Z120" s="345">
        <v>19</v>
      </c>
      <c r="AA120" s="345">
        <v>18</v>
      </c>
      <c r="AB120" s="348"/>
      <c r="AC120" s="345"/>
      <c r="AD120" s="345"/>
      <c r="AE120" s="345"/>
      <c r="AF120" s="345"/>
      <c r="AG120"/>
      <c r="AH120" s="348"/>
      <c r="AI120" s="348"/>
      <c r="AJ120" s="355">
        <f t="shared" si="94"/>
        <v>0</v>
      </c>
      <c r="AK120" s="355">
        <f t="shared" si="94"/>
        <v>0</v>
      </c>
      <c r="AL120" s="355">
        <f t="shared" si="94"/>
        <v>0</v>
      </c>
      <c r="AM120" s="355">
        <f t="shared" si="94"/>
        <v>0</v>
      </c>
      <c r="AN120" s="355">
        <f t="shared" si="94"/>
        <v>35</v>
      </c>
      <c r="AO120" s="355">
        <f t="shared" si="94"/>
        <v>51</v>
      </c>
    </row>
    <row r="121" spans="3:45" s="338" customFormat="1" hidden="1" outlineLevel="1">
      <c r="C121" s="338" t="s">
        <v>47</v>
      </c>
      <c r="E121" s="345">
        <v>0</v>
      </c>
      <c r="F121" s="345">
        <v>0</v>
      </c>
      <c r="G121" s="345">
        <v>0</v>
      </c>
      <c r="H121" s="348"/>
      <c r="I121" s="345">
        <v>0</v>
      </c>
      <c r="J121" s="345">
        <v>0</v>
      </c>
      <c r="K121" s="345">
        <v>0</v>
      </c>
      <c r="L121" s="348"/>
      <c r="M121" s="345">
        <v>0</v>
      </c>
      <c r="N121" s="345">
        <v>0</v>
      </c>
      <c r="O121" s="345">
        <v>0</v>
      </c>
      <c r="P121" s="348"/>
      <c r="Q121" s="345">
        <v>0</v>
      </c>
      <c r="R121" s="345">
        <v>891</v>
      </c>
      <c r="S121" s="345">
        <v>923</v>
      </c>
      <c r="T121" s="348"/>
      <c r="U121" s="345">
        <v>795</v>
      </c>
      <c r="V121" s="345">
        <v>619</v>
      </c>
      <c r="W121" s="345">
        <v>595</v>
      </c>
      <c r="X121" s="348"/>
      <c r="Y121" s="345">
        <v>840</v>
      </c>
      <c r="Z121" s="345">
        <v>891</v>
      </c>
      <c r="AA121" s="345">
        <v>948</v>
      </c>
      <c r="AB121" s="348"/>
      <c r="AC121" s="345"/>
      <c r="AD121" s="345"/>
      <c r="AE121" s="345"/>
      <c r="AF121" s="345"/>
      <c r="AG121"/>
      <c r="AH121" s="348"/>
      <c r="AI121" s="348"/>
      <c r="AJ121" s="355">
        <f t="shared" si="94"/>
        <v>0</v>
      </c>
      <c r="AK121" s="355">
        <f t="shared" si="94"/>
        <v>0</v>
      </c>
      <c r="AL121" s="355">
        <f t="shared" si="94"/>
        <v>0</v>
      </c>
      <c r="AM121" s="355">
        <f t="shared" si="94"/>
        <v>1814</v>
      </c>
      <c r="AN121" s="355">
        <f t="shared" si="94"/>
        <v>2009</v>
      </c>
      <c r="AO121" s="355">
        <f t="shared" si="94"/>
        <v>2679</v>
      </c>
    </row>
    <row r="122" spans="3:45" s="351" customFormat="1" hidden="1" outlineLevel="1">
      <c r="C122" s="354" t="s">
        <v>19</v>
      </c>
      <c r="E122" s="352">
        <f t="shared" ref="E122:AA122" si="95">SUM(E116:E121)</f>
        <v>0</v>
      </c>
      <c r="F122" s="352">
        <f t="shared" si="95"/>
        <v>0</v>
      </c>
      <c r="G122" s="352">
        <f t="shared" si="95"/>
        <v>0</v>
      </c>
      <c r="H122" s="462"/>
      <c r="I122" s="352">
        <f t="shared" si="95"/>
        <v>11908</v>
      </c>
      <c r="J122" s="352">
        <f t="shared" si="95"/>
        <v>12274</v>
      </c>
      <c r="K122" s="352">
        <f t="shared" si="95"/>
        <v>13251</v>
      </c>
      <c r="L122" s="461"/>
      <c r="M122" s="352">
        <f t="shared" si="95"/>
        <v>13158</v>
      </c>
      <c r="N122" s="352">
        <f t="shared" si="95"/>
        <v>13910</v>
      </c>
      <c r="O122" s="352">
        <f t="shared" si="95"/>
        <v>15515</v>
      </c>
      <c r="P122" s="461"/>
      <c r="Q122" s="352">
        <f t="shared" si="95"/>
        <v>13131</v>
      </c>
      <c r="R122" s="352">
        <f t="shared" si="95"/>
        <v>13369</v>
      </c>
      <c r="S122" s="352">
        <f t="shared" si="95"/>
        <v>15121</v>
      </c>
      <c r="T122" s="462"/>
      <c r="U122" s="352">
        <f t="shared" si="95"/>
        <v>15934</v>
      </c>
      <c r="V122" s="352">
        <f t="shared" si="95"/>
        <v>15028</v>
      </c>
      <c r="W122" s="352">
        <f t="shared" si="95"/>
        <v>14508</v>
      </c>
      <c r="X122" s="461"/>
      <c r="Y122" s="352">
        <f t="shared" si="95"/>
        <v>15268</v>
      </c>
      <c r="Z122" s="352">
        <f t="shared" si="95"/>
        <v>15991</v>
      </c>
      <c r="AA122" s="352">
        <f t="shared" si="95"/>
        <v>15649</v>
      </c>
      <c r="AB122" s="462"/>
      <c r="AC122" s="353"/>
      <c r="AD122" s="353"/>
      <c r="AE122" s="353"/>
      <c r="AF122" s="353"/>
      <c r="AG122"/>
      <c r="AH122" s="348"/>
      <c r="AI122" s="348"/>
      <c r="AJ122" s="352">
        <f t="shared" ref="AJ122:AO122" si="96">SUM(AJ116:AJ121)</f>
        <v>0</v>
      </c>
      <c r="AK122" s="352">
        <f t="shared" si="96"/>
        <v>37433</v>
      </c>
      <c r="AL122" s="352">
        <f t="shared" si="96"/>
        <v>42583</v>
      </c>
      <c r="AM122" s="352">
        <f t="shared" si="96"/>
        <v>41621</v>
      </c>
      <c r="AN122" s="352">
        <f t="shared" si="96"/>
        <v>45470</v>
      </c>
      <c r="AO122" s="352">
        <f t="shared" si="96"/>
        <v>46908</v>
      </c>
    </row>
    <row r="123" spans="3:45" s="338" customFormat="1" hidden="1" outlineLevel="1">
      <c r="C123" s="343"/>
      <c r="E123" s="350"/>
      <c r="F123" s="350"/>
      <c r="G123" s="350"/>
      <c r="H123" s="462"/>
      <c r="I123" s="350"/>
      <c r="J123" s="350"/>
      <c r="K123" s="350"/>
      <c r="L123" s="462"/>
      <c r="M123" s="350"/>
      <c r="N123" s="350"/>
      <c r="O123" s="350"/>
      <c r="P123" s="462"/>
      <c r="Q123" s="350"/>
      <c r="R123" s="350"/>
      <c r="S123" s="350"/>
      <c r="T123" s="462"/>
      <c r="U123" s="350"/>
      <c r="V123" s="350"/>
      <c r="W123" s="350"/>
      <c r="X123" s="462"/>
      <c r="Y123" s="350"/>
      <c r="Z123" s="350"/>
      <c r="AA123" s="350"/>
      <c r="AB123" s="462"/>
      <c r="AC123" s="345"/>
      <c r="AD123" s="345"/>
      <c r="AE123" s="345"/>
      <c r="AF123" s="345"/>
      <c r="AG123"/>
      <c r="AH123" s="348"/>
      <c r="AI123" s="348"/>
      <c r="AJ123" s="350"/>
      <c r="AK123" s="350"/>
      <c r="AL123" s="350"/>
      <c r="AM123" s="350"/>
      <c r="AN123" s="350"/>
      <c r="AO123" s="350"/>
    </row>
    <row r="124" spans="3:45" s="338" customFormat="1" hidden="1" outlineLevel="1">
      <c r="C124" s="338" t="s">
        <v>48</v>
      </c>
      <c r="E124" s="345">
        <v>0</v>
      </c>
      <c r="F124" s="345">
        <v>0</v>
      </c>
      <c r="G124" s="345">
        <v>0</v>
      </c>
      <c r="H124" s="348"/>
      <c r="I124" s="345">
        <v>2354</v>
      </c>
      <c r="J124" s="345">
        <v>2489</v>
      </c>
      <c r="K124" s="345">
        <v>2898</v>
      </c>
      <c r="L124" s="348"/>
      <c r="M124" s="345">
        <v>2908</v>
      </c>
      <c r="N124" s="345">
        <v>3052</v>
      </c>
      <c r="O124" s="345">
        <v>3648</v>
      </c>
      <c r="P124" s="348"/>
      <c r="Q124" s="345">
        <v>2930</v>
      </c>
      <c r="R124" s="345">
        <v>3136</v>
      </c>
      <c r="S124" s="345">
        <v>4069</v>
      </c>
      <c r="T124" s="348"/>
      <c r="U124" s="345">
        <v>3894</v>
      </c>
      <c r="V124" s="345">
        <v>4700</v>
      </c>
      <c r="W124" s="345">
        <v>3825</v>
      </c>
      <c r="X124" s="348"/>
      <c r="Y124" s="345">
        <v>4405</v>
      </c>
      <c r="Z124" s="345">
        <v>3640</v>
      </c>
      <c r="AA124" s="345">
        <v>3543</v>
      </c>
      <c r="AB124" s="348"/>
      <c r="AC124" s="345"/>
      <c r="AD124" s="345"/>
      <c r="AE124" s="345"/>
      <c r="AF124" s="345"/>
      <c r="AG124"/>
      <c r="AH124" s="348"/>
      <c r="AI124" s="348"/>
      <c r="AJ124" s="344">
        <f t="shared" ref="AJ124:AO124" si="97">+SUMIF($E$5:$AF$5,AJ$5,$E124:$AF124)</f>
        <v>0</v>
      </c>
      <c r="AK124" s="344">
        <f t="shared" si="97"/>
        <v>7741</v>
      </c>
      <c r="AL124" s="344">
        <f t="shared" si="97"/>
        <v>9608</v>
      </c>
      <c r="AM124" s="344">
        <f t="shared" si="97"/>
        <v>10135</v>
      </c>
      <c r="AN124" s="344">
        <f t="shared" si="97"/>
        <v>12419</v>
      </c>
      <c r="AO124" s="344">
        <f t="shared" si="97"/>
        <v>11588</v>
      </c>
    </row>
    <row r="125" spans="3:45" s="346" customFormat="1" hidden="1" outlineLevel="2">
      <c r="C125" s="349" t="s">
        <v>17</v>
      </c>
      <c r="E125" s="348"/>
      <c r="F125" s="348"/>
      <c r="G125" s="348"/>
      <c r="H125" s="348"/>
      <c r="I125" s="347" t="str">
        <f t="shared" ref="I125:AF125" si="98">IFERROR(+I124/E124-1,"NA ")</f>
        <v xml:space="preserve">NA </v>
      </c>
      <c r="J125" s="347" t="str">
        <f t="shared" si="98"/>
        <v xml:space="preserve">NA </v>
      </c>
      <c r="K125" s="347" t="str">
        <f t="shared" si="98"/>
        <v xml:space="preserve">NA </v>
      </c>
      <c r="L125" s="348"/>
      <c r="M125" s="347">
        <f t="shared" si="98"/>
        <v>0.23534409515717924</v>
      </c>
      <c r="N125" s="347">
        <f t="shared" si="98"/>
        <v>0.22619525914021699</v>
      </c>
      <c r="O125" s="347">
        <f t="shared" si="98"/>
        <v>0.25879917184265011</v>
      </c>
      <c r="P125" s="348"/>
      <c r="Q125" s="347">
        <f t="shared" si="98"/>
        <v>7.5653370013755161E-3</v>
      </c>
      <c r="R125" s="347">
        <f t="shared" si="98"/>
        <v>2.7522935779816571E-2</v>
      </c>
      <c r="S125" s="347">
        <f t="shared" si="98"/>
        <v>0.11540570175438591</v>
      </c>
      <c r="T125" s="348"/>
      <c r="U125" s="347">
        <f t="shared" si="98"/>
        <v>0.32901023890784975</v>
      </c>
      <c r="V125" s="347">
        <f t="shared" si="98"/>
        <v>0.49872448979591844</v>
      </c>
      <c r="W125" s="347">
        <f t="shared" si="98"/>
        <v>-5.9965593511919435E-2</v>
      </c>
      <c r="X125" s="348"/>
      <c r="Y125" s="347">
        <f t="shared" si="98"/>
        <v>0.13122752953261418</v>
      </c>
      <c r="Z125" s="347">
        <f t="shared" si="98"/>
        <v>-0.22553191489361701</v>
      </c>
      <c r="AA125" s="347">
        <f t="shared" si="98"/>
        <v>-7.3725490196078436E-2</v>
      </c>
      <c r="AB125" s="348"/>
      <c r="AC125" s="347">
        <f t="shared" si="98"/>
        <v>-1</v>
      </c>
      <c r="AD125" s="347">
        <f t="shared" si="98"/>
        <v>-1</v>
      </c>
      <c r="AE125" s="347">
        <f t="shared" si="98"/>
        <v>-1</v>
      </c>
      <c r="AF125" s="347" t="str">
        <f t="shared" si="98"/>
        <v xml:space="preserve">NA </v>
      </c>
      <c r="AG125"/>
      <c r="AH125" s="348"/>
      <c r="AI125" s="348"/>
      <c r="AJ125" s="347" t="str">
        <f t="shared" ref="AJ125:AS125" si="99">IFERROR(AJ124/AI124-1,"NA ")</f>
        <v xml:space="preserve">NA </v>
      </c>
      <c r="AK125" s="347" t="str">
        <f t="shared" si="99"/>
        <v xml:space="preserve">NA </v>
      </c>
      <c r="AL125" s="347">
        <f t="shared" si="99"/>
        <v>0.24118330964991608</v>
      </c>
      <c r="AM125" s="347">
        <f t="shared" si="99"/>
        <v>5.4850124895920116E-2</v>
      </c>
      <c r="AN125" s="347">
        <f t="shared" si="99"/>
        <v>0.22535767143561913</v>
      </c>
      <c r="AO125" s="347">
        <f t="shared" si="99"/>
        <v>-6.6913600128834849E-2</v>
      </c>
      <c r="AP125" s="347">
        <f t="shared" si="99"/>
        <v>-1</v>
      </c>
      <c r="AQ125" s="347" t="str">
        <f t="shared" si="99"/>
        <v xml:space="preserve">NA </v>
      </c>
      <c r="AR125" s="347" t="str">
        <f t="shared" si="99"/>
        <v xml:space="preserve">NA </v>
      </c>
      <c r="AS125" s="347" t="str">
        <f t="shared" si="99"/>
        <v xml:space="preserve">NA </v>
      </c>
    </row>
    <row r="126" spans="3:45" s="346" customFormat="1" ht="5.25" hidden="1" customHeight="1" outlineLevel="2">
      <c r="C126" s="349"/>
      <c r="E126" s="348"/>
      <c r="F126" s="348"/>
      <c r="G126" s="348"/>
      <c r="H126" s="348"/>
      <c r="I126" s="347"/>
      <c r="J126" s="347"/>
      <c r="K126" s="347"/>
      <c r="L126" s="348"/>
      <c r="M126" s="347"/>
      <c r="N126" s="347"/>
      <c r="O126" s="347"/>
      <c r="P126" s="348"/>
      <c r="Q126" s="347"/>
      <c r="R126" s="347"/>
      <c r="S126" s="347"/>
      <c r="T126" s="348"/>
      <c r="U126" s="347"/>
      <c r="V126" s="347"/>
      <c r="W126" s="347"/>
      <c r="X126" s="348"/>
      <c r="Y126" s="347"/>
      <c r="Z126" s="347"/>
      <c r="AA126" s="347"/>
      <c r="AB126" s="348"/>
      <c r="AC126" s="347"/>
      <c r="AD126" s="347"/>
      <c r="AE126" s="347"/>
      <c r="AF126" s="347"/>
      <c r="AG126"/>
      <c r="AH126" s="348"/>
      <c r="AI126" s="348"/>
      <c r="AJ126" s="347"/>
      <c r="AK126" s="347"/>
      <c r="AL126" s="347"/>
      <c r="AM126" s="347"/>
      <c r="AN126" s="347"/>
      <c r="AO126" s="347"/>
      <c r="AP126" s="347"/>
      <c r="AQ126" s="347"/>
      <c r="AR126" s="347"/>
      <c r="AS126" s="347"/>
    </row>
    <row r="127" spans="3:45" s="338" customFormat="1" hidden="1" outlineLevel="1">
      <c r="C127" s="338" t="s">
        <v>49</v>
      </c>
      <c r="E127" s="345">
        <v>0</v>
      </c>
      <c r="F127" s="345">
        <v>0</v>
      </c>
      <c r="G127" s="345">
        <v>0</v>
      </c>
      <c r="H127" s="348"/>
      <c r="I127" s="345">
        <v>534</v>
      </c>
      <c r="J127" s="345">
        <v>0</v>
      </c>
      <c r="K127" s="345">
        <v>0</v>
      </c>
      <c r="L127" s="348"/>
      <c r="M127" s="345">
        <v>0</v>
      </c>
      <c r="N127" s="345">
        <v>0</v>
      </c>
      <c r="O127" s="345">
        <v>0</v>
      </c>
      <c r="P127" s="348"/>
      <c r="Q127" s="345">
        <v>0</v>
      </c>
      <c r="R127" s="345">
        <v>0</v>
      </c>
      <c r="S127" s="345">
        <v>0</v>
      </c>
      <c r="T127" s="348"/>
      <c r="U127" s="345">
        <v>0</v>
      </c>
      <c r="V127" s="345">
        <v>0</v>
      </c>
      <c r="W127" s="345">
        <v>0</v>
      </c>
      <c r="X127" s="348"/>
      <c r="Y127" s="345">
        <v>0</v>
      </c>
      <c r="Z127" s="345">
        <v>0</v>
      </c>
      <c r="AA127" s="345">
        <v>0</v>
      </c>
      <c r="AB127" s="348"/>
      <c r="AC127" s="345"/>
      <c r="AD127" s="345"/>
      <c r="AE127" s="345"/>
      <c r="AF127" s="345"/>
      <c r="AG127"/>
      <c r="AH127" s="348"/>
      <c r="AI127" s="348"/>
      <c r="AJ127" s="344">
        <f t="shared" ref="AJ127:AO127" si="100">+SUMIF($E$5:$AF$5,AJ$5,$E127:$AF127)</f>
        <v>0</v>
      </c>
      <c r="AK127" s="344">
        <f t="shared" si="100"/>
        <v>534</v>
      </c>
      <c r="AL127" s="344">
        <f t="shared" si="100"/>
        <v>0</v>
      </c>
      <c r="AM127" s="344">
        <f t="shared" si="100"/>
        <v>0</v>
      </c>
      <c r="AN127" s="344">
        <f t="shared" si="100"/>
        <v>0</v>
      </c>
      <c r="AO127" s="344">
        <f t="shared" si="100"/>
        <v>0</v>
      </c>
    </row>
    <row r="128" spans="3:45" s="342" customFormat="1" hidden="1" outlineLevel="1">
      <c r="C128" s="343" t="s">
        <v>50</v>
      </c>
      <c r="E128" s="341">
        <f t="shared" ref="E128:AA128" si="101">E122+SUM(E124:E127)</f>
        <v>0</v>
      </c>
      <c r="F128" s="341">
        <f t="shared" si="101"/>
        <v>0</v>
      </c>
      <c r="G128" s="341">
        <f t="shared" si="101"/>
        <v>0</v>
      </c>
      <c r="H128" s="461"/>
      <c r="I128" s="341">
        <f t="shared" si="101"/>
        <v>14796</v>
      </c>
      <c r="J128" s="341">
        <f t="shared" si="101"/>
        <v>14763</v>
      </c>
      <c r="K128" s="341">
        <f t="shared" si="101"/>
        <v>16149</v>
      </c>
      <c r="L128" s="461"/>
      <c r="M128" s="341">
        <f t="shared" si="101"/>
        <v>16066.235344095157</v>
      </c>
      <c r="N128" s="341">
        <f t="shared" si="101"/>
        <v>16962.22619525914</v>
      </c>
      <c r="O128" s="341">
        <f t="shared" si="101"/>
        <v>19163.258799171843</v>
      </c>
      <c r="P128" s="461"/>
      <c r="Q128" s="341">
        <f t="shared" si="101"/>
        <v>16061.007565337</v>
      </c>
      <c r="R128" s="341">
        <f t="shared" si="101"/>
        <v>16505.027522935779</v>
      </c>
      <c r="S128" s="341">
        <f t="shared" si="101"/>
        <v>19190.115405701756</v>
      </c>
      <c r="T128" s="461"/>
      <c r="U128" s="341">
        <f t="shared" si="101"/>
        <v>19828.329010238907</v>
      </c>
      <c r="V128" s="341">
        <f t="shared" si="101"/>
        <v>19728.498724489797</v>
      </c>
      <c r="W128" s="341">
        <f t="shared" si="101"/>
        <v>18332.940034406489</v>
      </c>
      <c r="X128" s="461"/>
      <c r="Y128" s="341">
        <f t="shared" si="101"/>
        <v>19673.131227529531</v>
      </c>
      <c r="Z128" s="341">
        <f t="shared" si="101"/>
        <v>19630.774468085106</v>
      </c>
      <c r="AA128" s="341">
        <f t="shared" si="101"/>
        <v>19191.926274509802</v>
      </c>
      <c r="AB128" s="461"/>
      <c r="AC128" s="340"/>
      <c r="AD128" s="340"/>
      <c r="AE128" s="340"/>
      <c r="AF128" s="340"/>
      <c r="AG128"/>
      <c r="AH128" s="348"/>
      <c r="AI128" s="348"/>
      <c r="AJ128" s="341">
        <f t="shared" ref="AJ128:AO128" si="102">AJ122+SUM(AJ124:AJ127)</f>
        <v>0</v>
      </c>
      <c r="AK128" s="341">
        <f t="shared" si="102"/>
        <v>45708</v>
      </c>
      <c r="AL128" s="341">
        <f t="shared" si="102"/>
        <v>52191.241183309648</v>
      </c>
      <c r="AM128" s="341">
        <f t="shared" si="102"/>
        <v>51756.0548501249</v>
      </c>
      <c r="AN128" s="341">
        <f t="shared" si="102"/>
        <v>57889.225357671436</v>
      </c>
      <c r="AO128" s="341">
        <f t="shared" si="102"/>
        <v>58495.933086399869</v>
      </c>
    </row>
    <row r="129" spans="2:71" s="338" customFormat="1" hidden="1" outlineLevel="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0"/>
      <c r="AD129" s="340"/>
      <c r="AE129" s="340"/>
      <c r="AF129" s="340"/>
      <c r="AG129"/>
      <c r="AH129" s="341"/>
      <c r="AI129" s="341"/>
      <c r="AJ129" s="341"/>
      <c r="AK129" s="341"/>
      <c r="AL129" s="341"/>
      <c r="AM129" s="341"/>
      <c r="AN129" s="341"/>
      <c r="AO129" s="341"/>
    </row>
    <row r="130" spans="2:71" s="338" customFormat="1" hidden="1" outlineLevel="1">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340"/>
      <c r="AE130" s="340"/>
      <c r="AF130" s="340"/>
      <c r="AG130"/>
      <c r="AH130" s="340"/>
      <c r="AI130" s="340"/>
      <c r="AJ130" s="340"/>
      <c r="AK130" s="340"/>
      <c r="AL130" s="340"/>
      <c r="AM130" s="340"/>
      <c r="AN130" s="340"/>
      <c r="AO130" s="340"/>
    </row>
    <row r="131" spans="2:71" s="338" customFormat="1" hidden="1" outlineLevel="1">
      <c r="C131" s="338" t="s">
        <v>51</v>
      </c>
      <c r="AG131"/>
      <c r="AH131" s="345">
        <v>11197</v>
      </c>
      <c r="AI131" s="345">
        <v>11679</v>
      </c>
      <c r="AJ131" s="345">
        <v>13977</v>
      </c>
      <c r="AK131" s="345">
        <v>14796</v>
      </c>
      <c r="AL131" s="345">
        <v>18824</v>
      </c>
      <c r="AM131" s="345">
        <v>20026</v>
      </c>
      <c r="AN131" s="345">
        <v>20257</v>
      </c>
      <c r="AO131" s="345">
        <v>21141</v>
      </c>
    </row>
    <row r="132" spans="2:71" s="338" customFormat="1" hidden="1" outlineLevel="1">
      <c r="C132" s="338" t="s">
        <v>52</v>
      </c>
      <c r="AG132"/>
      <c r="AH132" s="345">
        <v>11573</v>
      </c>
      <c r="AI132" s="345">
        <v>11544</v>
      </c>
      <c r="AJ132" s="345">
        <v>12780</v>
      </c>
      <c r="AK132" s="345">
        <v>14285</v>
      </c>
      <c r="AL132" s="345">
        <v>15409</v>
      </c>
      <c r="AM132" s="345">
        <v>15650</v>
      </c>
      <c r="AN132" s="345">
        <v>17845</v>
      </c>
      <c r="AO132" s="345">
        <v>14254</v>
      </c>
    </row>
    <row r="133" spans="2:71" s="338" customFormat="1" hidden="1" outlineLevel="1">
      <c r="C133" s="338" t="s">
        <v>53</v>
      </c>
      <c r="AG133"/>
      <c r="AH133" s="345">
        <v>9828</v>
      </c>
      <c r="AI133" s="345">
        <v>11121</v>
      </c>
      <c r="AJ133" s="345">
        <v>12957</v>
      </c>
      <c r="AK133" s="345">
        <v>12543</v>
      </c>
      <c r="AL133" s="345">
        <v>14303</v>
      </c>
      <c r="AM133" s="345">
        <v>15617</v>
      </c>
      <c r="AN133" s="345">
        <v>16573</v>
      </c>
      <c r="AO133" s="345">
        <v>14107</v>
      </c>
    </row>
    <row r="134" spans="2:71" s="338" customFormat="1" hidden="1" outlineLevel="1">
      <c r="C134" s="338" t="s">
        <v>54</v>
      </c>
      <c r="AG134"/>
      <c r="AH134" s="345">
        <v>8955</v>
      </c>
      <c r="AI134" s="345">
        <v>10661</v>
      </c>
      <c r="AJ134" s="345">
        <v>9953</v>
      </c>
      <c r="AK134" s="345">
        <v>10518</v>
      </c>
      <c r="AL134" s="345">
        <v>10646</v>
      </c>
      <c r="AM134" s="345">
        <v>10058</v>
      </c>
      <c r="AN134" s="345">
        <v>11605</v>
      </c>
      <c r="AO134" s="345">
        <v>13461</v>
      </c>
    </row>
    <row r="135" spans="2:71" s="338" customFormat="1" hidden="1" outlineLevel="1">
      <c r="C135" s="338" t="s">
        <v>55</v>
      </c>
      <c r="AG135"/>
      <c r="AH135" s="345">
        <v>14317</v>
      </c>
      <c r="AI135" s="345">
        <v>10350</v>
      </c>
      <c r="AJ135" s="345">
        <v>9720</v>
      </c>
      <c r="AK135" s="345">
        <v>10619</v>
      </c>
      <c r="AL135" s="345">
        <v>11666</v>
      </c>
      <c r="AM135" s="345">
        <v>10614</v>
      </c>
      <c r="AN135" s="345">
        <v>11587</v>
      </c>
      <c r="AO135" s="345">
        <v>16061</v>
      </c>
    </row>
    <row r="136" spans="2:71" s="338" customFormat="1" hidden="1" outlineLevel="1">
      <c r="C136" s="338" t="s">
        <v>27</v>
      </c>
      <c r="AG136"/>
      <c r="AH136" s="345">
        <v>55870</v>
      </c>
      <c r="AI136" s="345">
        <v>55355</v>
      </c>
      <c r="AJ136" s="345">
        <v>59387</v>
      </c>
      <c r="AK136" s="345">
        <v>62761</v>
      </c>
      <c r="AL136" s="345">
        <v>70848</v>
      </c>
      <c r="AM136" s="345">
        <v>71965</v>
      </c>
      <c r="AN136" s="345">
        <v>77867</v>
      </c>
      <c r="AO136" s="345">
        <v>79024</v>
      </c>
    </row>
    <row r="137" spans="2:71" s="338" customFormat="1" hidden="1" outlineLevel="1">
      <c r="AG137"/>
    </row>
    <row r="138" spans="2:71" hidden="1" outlineLevel="1"/>
    <row r="139" spans="2:71" s="433" customFormat="1" ht="11.25" hidden="1" customHeight="1" outlineLevel="1" collapsed="1">
      <c r="B139" s="367" t="s">
        <v>9</v>
      </c>
      <c r="C139" s="367" t="s">
        <v>15</v>
      </c>
      <c r="D139" s="434"/>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4"/>
      <c r="AD139" s="434"/>
      <c r="AE139" s="434"/>
      <c r="AF139" s="434"/>
      <c r="AG139" s="429"/>
      <c r="AH139" s="435"/>
      <c r="AI139" s="435"/>
      <c r="AJ139" s="435"/>
      <c r="AK139" s="435"/>
      <c r="AL139" s="435"/>
      <c r="AM139" s="435"/>
      <c r="AN139" s="435"/>
      <c r="AO139" s="435"/>
      <c r="AP139" s="434"/>
      <c r="AQ139" s="434"/>
      <c r="AR139" s="434"/>
      <c r="AS139" s="434"/>
      <c r="AV139" s="434"/>
      <c r="AW139" s="434"/>
      <c r="AX139" s="434"/>
      <c r="AY139" s="434"/>
      <c r="AZ139" s="434"/>
      <c r="BA139" s="434"/>
      <c r="BB139" s="434"/>
      <c r="BC139" s="434"/>
      <c r="BD139" s="434"/>
      <c r="BE139" s="434"/>
      <c r="BF139" s="434"/>
      <c r="BG139" s="434"/>
      <c r="BH139" s="434"/>
      <c r="BI139" s="434"/>
      <c r="BJ139" s="434"/>
      <c r="BK139" s="434"/>
      <c r="BL139" s="434"/>
      <c r="BM139" s="434"/>
      <c r="BN139" s="434"/>
      <c r="BO139" s="434"/>
      <c r="BP139" s="434"/>
      <c r="BQ139" s="434"/>
      <c r="BR139" s="434"/>
      <c r="BS139" s="434"/>
    </row>
    <row r="140" spans="2:71" s="338" customFormat="1" hidden="1" outlineLevel="1">
      <c r="I140" s="390"/>
      <c r="AG140" s="429"/>
    </row>
    <row r="141" spans="2:71" s="433" customFormat="1" ht="11.25" hidden="1" customHeight="1" outlineLevel="1">
      <c r="B141" s="342"/>
      <c r="C141" s="342" t="s">
        <v>56</v>
      </c>
      <c r="D141" s="338"/>
      <c r="E141" s="372"/>
      <c r="F141" s="372"/>
      <c r="G141" s="372"/>
      <c r="H141" s="372"/>
      <c r="I141" s="372"/>
      <c r="J141" s="372"/>
      <c r="K141" s="372"/>
      <c r="L141" s="372"/>
      <c r="M141" s="372"/>
      <c r="N141" s="372"/>
      <c r="O141" s="372"/>
      <c r="P141" s="372"/>
      <c r="Q141" s="372"/>
      <c r="R141" s="372"/>
      <c r="S141" s="372"/>
      <c r="T141" s="372"/>
      <c r="U141" s="372"/>
      <c r="V141" s="372"/>
      <c r="W141" s="372"/>
      <c r="X141" s="372"/>
      <c r="Y141" s="372"/>
      <c r="Z141" s="372"/>
      <c r="AA141" s="372"/>
      <c r="AB141" s="372"/>
      <c r="AC141" s="338"/>
      <c r="AD141" s="338"/>
      <c r="AE141" s="338"/>
      <c r="AF141" s="338"/>
      <c r="AG141" s="429"/>
      <c r="AH141" s="372"/>
      <c r="AI141" s="372"/>
      <c r="AJ141" s="372"/>
      <c r="AK141" s="372"/>
      <c r="AL141" s="372"/>
      <c r="AM141" s="372"/>
      <c r="AN141" s="372"/>
      <c r="AO141" s="372"/>
      <c r="AP141" s="338"/>
      <c r="AQ141" s="338"/>
      <c r="AR141" s="338"/>
      <c r="AS141" s="338"/>
      <c r="AV141" s="338"/>
      <c r="AW141" s="338"/>
      <c r="AX141" s="338"/>
      <c r="AY141" s="338"/>
      <c r="AZ141" s="338"/>
      <c r="BA141" s="338"/>
      <c r="BB141" s="338"/>
      <c r="BC141" s="338"/>
      <c r="BD141" s="338"/>
      <c r="BE141" s="338"/>
      <c r="BF141" s="338"/>
      <c r="BG141" s="338"/>
      <c r="BH141" s="338"/>
      <c r="BI141" s="338"/>
      <c r="BJ141" s="338"/>
      <c r="BK141" s="338"/>
      <c r="BL141" s="338"/>
      <c r="BM141" s="338"/>
      <c r="BN141" s="338"/>
      <c r="BO141" s="338"/>
      <c r="BP141" s="338"/>
      <c r="BQ141" s="338"/>
      <c r="BR141" s="338"/>
      <c r="BS141" s="338"/>
    </row>
    <row r="142" spans="2:71" s="338" customFormat="1" hidden="1" outlineLevel="1">
      <c r="R142" s="372"/>
      <c r="S142" s="372"/>
      <c r="T142" s="372"/>
      <c r="U142" s="372"/>
      <c r="V142" s="372"/>
      <c r="W142" s="372"/>
      <c r="X142" s="372"/>
      <c r="Y142" s="372"/>
      <c r="Z142" s="372"/>
      <c r="AA142" s="372"/>
      <c r="AB142" s="372"/>
      <c r="AG142" s="429"/>
      <c r="AH142" s="372"/>
      <c r="AI142" s="372"/>
      <c r="AJ142" s="372"/>
      <c r="AK142" s="372"/>
      <c r="AL142" s="372"/>
      <c r="AM142" s="372"/>
      <c r="AN142" s="372"/>
      <c r="AO142" s="372"/>
      <c r="BI142" s="338">
        <v>2021</v>
      </c>
      <c r="BJ142" s="338">
        <v>2026</v>
      </c>
      <c r="BK142" s="338" t="s">
        <v>57</v>
      </c>
    </row>
    <row r="143" spans="2:71" s="342" customFormat="1" hidden="1" outlineLevel="1">
      <c r="C143" s="361" t="s">
        <v>58</v>
      </c>
      <c r="D143"/>
      <c r="E143" s="383"/>
      <c r="F143" s="383"/>
      <c r="G143" s="383"/>
      <c r="H143" s="449"/>
      <c r="I143" s="383"/>
      <c r="J143" s="382">
        <v>0.2</v>
      </c>
      <c r="K143" s="382">
        <v>0.02</v>
      </c>
      <c r="L143" s="450">
        <v>0</v>
      </c>
      <c r="M143" s="382">
        <v>0.04</v>
      </c>
      <c r="N143" s="382">
        <v>0.06</v>
      </c>
      <c r="O143" s="382">
        <v>0.13</v>
      </c>
      <c r="P143" s="382">
        <v>0.08</v>
      </c>
      <c r="Q143" s="382">
        <v>0.05</v>
      </c>
      <c r="R143" s="382">
        <v>0.01</v>
      </c>
      <c r="S143" s="382">
        <v>-7.0000000000000007E-2</v>
      </c>
      <c r="T143" s="382">
        <v>-0.01</v>
      </c>
      <c r="U143" s="382">
        <v>0.19</v>
      </c>
      <c r="V143" s="382">
        <v>0.14000000000000001</v>
      </c>
      <c r="W143" s="382">
        <v>0.16</v>
      </c>
      <c r="X143" s="382">
        <v>0.3</v>
      </c>
      <c r="Y143" s="382">
        <v>0.19</v>
      </c>
      <c r="Z143" s="382">
        <v>0.15</v>
      </c>
      <c r="AA143" s="382">
        <v>-0.05</v>
      </c>
      <c r="AB143" s="382">
        <v>-0.16</v>
      </c>
      <c r="AC143" s="427"/>
      <c r="AD143" s="427"/>
      <c r="AE143" s="427"/>
      <c r="AF143" s="427"/>
      <c r="AG143" s="36"/>
      <c r="AH143" s="384"/>
      <c r="AI143" s="384"/>
      <c r="AJ143" s="353"/>
      <c r="AK143" s="588"/>
      <c r="AL143" s="588"/>
      <c r="AM143" s="588"/>
      <c r="AN143" s="588"/>
      <c r="AO143" s="588"/>
      <c r="AP143" s="353"/>
      <c r="AQ143" s="427"/>
      <c r="AR143" s="427"/>
      <c r="AS143" s="427"/>
      <c r="BI143" s="338">
        <v>30</v>
      </c>
      <c r="BJ143" s="338">
        <v>65</v>
      </c>
      <c r="BK143" s="416">
        <f>(BJ143/BI143)^(1/5)-1</f>
        <v>0.16723531932969316</v>
      </c>
    </row>
    <row r="144" spans="2:71" hidden="1" outlineLevel="1">
      <c r="C144" s="361" t="s">
        <v>59</v>
      </c>
      <c r="E144" s="383"/>
      <c r="F144" s="383"/>
      <c r="G144" s="383"/>
      <c r="H144" s="383"/>
      <c r="I144" s="383"/>
      <c r="J144" s="382">
        <v>-0.03</v>
      </c>
      <c r="K144" s="382">
        <v>-0.06</v>
      </c>
      <c r="L144" s="382">
        <v>-0.08</v>
      </c>
      <c r="M144" s="382">
        <v>0.02</v>
      </c>
      <c r="N144" s="382">
        <v>0.06</v>
      </c>
      <c r="O144" s="382">
        <v>0.09</v>
      </c>
      <c r="P144" s="382">
        <v>0.03</v>
      </c>
      <c r="Q144" s="382">
        <v>-0.01</v>
      </c>
      <c r="R144" s="382">
        <v>-0.06</v>
      </c>
      <c r="S144" s="382">
        <v>-0.08</v>
      </c>
      <c r="T144" s="382">
        <v>0.02</v>
      </c>
      <c r="U144" s="382">
        <v>-0.02</v>
      </c>
      <c r="V144" s="382">
        <v>-0.14000000000000001</v>
      </c>
      <c r="W144" s="382">
        <v>-0.16</v>
      </c>
      <c r="X144" s="382">
        <v>-0.06</v>
      </c>
      <c r="Y144" s="382">
        <v>-7.0000000000000007E-2</v>
      </c>
      <c r="Z144" s="382">
        <v>0.11</v>
      </c>
      <c r="AA144" s="382">
        <v>0.2</v>
      </c>
      <c r="AB144" s="382">
        <v>0.19</v>
      </c>
      <c r="AK144" s="589"/>
      <c r="AL144" s="589"/>
      <c r="AM144" s="589"/>
      <c r="AN144" s="589"/>
      <c r="AO144" s="589"/>
    </row>
    <row r="145" spans="2:71" hidden="1" outlineLevel="1"/>
    <row r="146" spans="2:71" s="433" customFormat="1" ht="11.25" hidden="1" customHeight="1" outlineLevel="1">
      <c r="B146" s="342"/>
      <c r="C146" s="342" t="s">
        <v>60</v>
      </c>
      <c r="D146" s="338"/>
      <c r="E146" s="372"/>
      <c r="F146" s="372"/>
      <c r="G146" s="372"/>
      <c r="H146" s="372"/>
      <c r="I146" s="372"/>
      <c r="J146" s="372"/>
      <c r="K146" s="372"/>
      <c r="L146" s="372"/>
      <c r="M146" s="372"/>
      <c r="N146" s="372"/>
      <c r="O146" s="372"/>
      <c r="P146" s="372"/>
      <c r="Q146" s="372"/>
      <c r="R146" s="372"/>
      <c r="S146" s="372"/>
      <c r="T146" s="372"/>
      <c r="U146" s="372"/>
      <c r="V146" s="372"/>
      <c r="W146" s="372"/>
      <c r="X146" s="372"/>
      <c r="Y146" s="372"/>
      <c r="Z146" s="372"/>
      <c r="AA146" s="372"/>
      <c r="AB146" s="372"/>
      <c r="AC146" s="338"/>
      <c r="AD146" s="338"/>
      <c r="AE146" s="338"/>
      <c r="AF146" s="338"/>
      <c r="AG146" s="429"/>
      <c r="AH146" s="372"/>
      <c r="AI146" s="372"/>
      <c r="AJ146" s="372"/>
      <c r="AK146" s="372"/>
      <c r="AL146" s="372"/>
      <c r="AM146" s="372"/>
      <c r="AN146" s="372"/>
      <c r="AO146" s="372"/>
      <c r="AP146" s="338"/>
      <c r="AQ146" s="338"/>
      <c r="AS146" s="338"/>
      <c r="AV146" s="338"/>
      <c r="AW146" s="338"/>
      <c r="AX146" s="338"/>
      <c r="AY146" s="338"/>
      <c r="AZ146" s="338"/>
      <c r="BA146" s="338"/>
      <c r="BB146" s="338"/>
      <c r="BC146" s="338"/>
      <c r="BD146" s="338"/>
      <c r="BE146" s="338"/>
      <c r="BF146" s="338"/>
      <c r="BG146" s="338"/>
      <c r="BH146" s="338"/>
      <c r="BI146" s="338"/>
      <c r="BJ146" s="338"/>
      <c r="BK146" s="338"/>
      <c r="BL146" s="338"/>
      <c r="BM146" s="338"/>
      <c r="BN146" s="338"/>
      <c r="BO146" s="338"/>
      <c r="BP146" s="338"/>
      <c r="BQ146" s="338"/>
      <c r="BR146" s="338"/>
      <c r="BS146" s="338"/>
    </row>
    <row r="147" spans="2:71" hidden="1" outlineLevel="1"/>
    <row r="148" spans="2:71" hidden="1" outlineLevel="1">
      <c r="C148" s="37" t="s">
        <v>61</v>
      </c>
      <c r="E148" s="382">
        <v>-0.15</v>
      </c>
      <c r="F148" s="382">
        <v>-0.15</v>
      </c>
      <c r="G148" s="382">
        <v>-0.04</v>
      </c>
      <c r="H148" s="382">
        <v>-7.0000000000000007E-2</v>
      </c>
      <c r="I148" s="382">
        <v>-0.04</v>
      </c>
      <c r="J148" s="382">
        <v>0.03</v>
      </c>
      <c r="K148" s="382">
        <v>-7.0000000000000007E-2</v>
      </c>
      <c r="L148" s="382">
        <v>0.01</v>
      </c>
      <c r="M148" s="450">
        <v>0</v>
      </c>
      <c r="N148" s="382">
        <v>-0.01</v>
      </c>
      <c r="O148" s="382">
        <v>0.06</v>
      </c>
      <c r="P148" s="382">
        <v>-0.02</v>
      </c>
      <c r="Q148" s="382">
        <v>-7.0000000000000007E-2</v>
      </c>
      <c r="R148" s="382">
        <v>-0.05</v>
      </c>
      <c r="S148" s="382">
        <v>-0.1</v>
      </c>
      <c r="T148" s="382">
        <v>0.01</v>
      </c>
      <c r="U148" s="382">
        <v>0.13</v>
      </c>
      <c r="V148" s="382">
        <v>0.02</v>
      </c>
      <c r="W148" s="382">
        <v>0.11</v>
      </c>
      <c r="X148" s="382">
        <v>0.33</v>
      </c>
      <c r="Y148" s="382">
        <v>0.38</v>
      </c>
      <c r="Z148" s="382">
        <v>0.33</v>
      </c>
      <c r="AA148" s="382">
        <v>-0.06</v>
      </c>
      <c r="AB148" s="382">
        <v>-0.18</v>
      </c>
      <c r="AK148" s="589"/>
      <c r="AL148" s="589"/>
      <c r="AM148" s="589"/>
      <c r="AN148" s="589"/>
      <c r="AO148" s="589"/>
    </row>
    <row r="149" spans="2:71" hidden="1" outlineLevel="1">
      <c r="C149" s="37" t="s">
        <v>62</v>
      </c>
      <c r="E149" s="450">
        <v>0</v>
      </c>
      <c r="F149" s="382">
        <v>0.02</v>
      </c>
      <c r="G149" s="382">
        <v>0.03</v>
      </c>
      <c r="H149" s="382">
        <v>0.03</v>
      </c>
      <c r="I149" s="451">
        <v>7.0000000000000007E-2</v>
      </c>
      <c r="J149" s="1056">
        <v>0.08</v>
      </c>
      <c r="K149" s="1056">
        <v>7.0000000000000007E-2</v>
      </c>
      <c r="L149" s="382">
        <v>-0.02</v>
      </c>
      <c r="M149" s="382">
        <v>0.01</v>
      </c>
      <c r="N149" s="382">
        <v>0.02</v>
      </c>
      <c r="O149" s="382">
        <v>0.04</v>
      </c>
      <c r="P149" s="382">
        <v>0.06</v>
      </c>
      <c r="Q149" s="382">
        <v>0.13</v>
      </c>
      <c r="R149" s="382">
        <v>0.03</v>
      </c>
      <c r="S149" s="382">
        <v>0.04</v>
      </c>
      <c r="T149" s="450">
        <v>0</v>
      </c>
      <c r="U149" s="382">
        <v>-0.03</v>
      </c>
      <c r="V149" s="382">
        <v>0.05</v>
      </c>
      <c r="W149" s="382">
        <v>-7.0000000000000007E-2</v>
      </c>
      <c r="X149" s="382">
        <v>-0.15</v>
      </c>
      <c r="Y149" s="382">
        <v>-0.23</v>
      </c>
      <c r="Z149" s="382">
        <v>-0.17</v>
      </c>
      <c r="AA149" s="382">
        <v>0.1</v>
      </c>
      <c r="AB149" s="382">
        <v>0.14000000000000001</v>
      </c>
      <c r="AK149" s="589"/>
      <c r="AL149" s="589"/>
      <c r="AM149" s="589"/>
      <c r="AN149" s="589"/>
      <c r="AO149" s="589"/>
    </row>
    <row r="150" spans="2:71" ht="10.35" hidden="1" customHeight="1" outlineLevel="1">
      <c r="C150" s="37" t="s">
        <v>63</v>
      </c>
      <c r="E150" s="382">
        <v>0.06</v>
      </c>
      <c r="F150" s="382">
        <v>0.01</v>
      </c>
      <c r="G150" s="450">
        <v>0</v>
      </c>
      <c r="H150" s="382">
        <v>0.02</v>
      </c>
      <c r="I150" s="451">
        <v>0.02</v>
      </c>
      <c r="J150" s="1056"/>
      <c r="K150" s="1056"/>
      <c r="L150" s="382">
        <v>-0.05</v>
      </c>
      <c r="M150" s="382">
        <v>7.0000000000000007E-2</v>
      </c>
      <c r="N150" s="382">
        <v>0.13</v>
      </c>
      <c r="O150" s="382">
        <v>0.1</v>
      </c>
      <c r="P150" s="382">
        <v>0.13</v>
      </c>
      <c r="Q150" s="382">
        <v>7.0000000000000007E-2</v>
      </c>
      <c r="R150" s="382">
        <v>0.05</v>
      </c>
      <c r="S150" s="382">
        <v>0.03</v>
      </c>
      <c r="T150" s="382">
        <v>-0.04</v>
      </c>
      <c r="U150" s="382">
        <v>0.04</v>
      </c>
      <c r="V150" s="382">
        <v>0.03</v>
      </c>
      <c r="W150" s="450">
        <v>0</v>
      </c>
      <c r="X150" s="382">
        <v>0.01</v>
      </c>
      <c r="Y150" s="382">
        <v>-0.05</v>
      </c>
      <c r="Z150" s="382">
        <v>-0.05</v>
      </c>
      <c r="AA150" s="382">
        <v>0.04</v>
      </c>
      <c r="AB150" s="382">
        <v>0.11</v>
      </c>
      <c r="AK150" s="589"/>
      <c r="AL150" s="589"/>
      <c r="AM150" s="589"/>
      <c r="AN150" s="589"/>
      <c r="AO150" s="590"/>
    </row>
    <row r="151" spans="2:71" hidden="1" outlineLevel="1">
      <c r="AO151" s="533"/>
    </row>
    <row r="152" spans="2:71" s="433" customFormat="1" ht="11.25" hidden="1" customHeight="1" outlineLevel="1">
      <c r="B152" s="367" t="s">
        <v>9</v>
      </c>
      <c r="C152" s="367" t="s">
        <v>20</v>
      </c>
      <c r="D152" s="434"/>
      <c r="E152" s="435"/>
      <c r="F152" s="435"/>
      <c r="G152" s="435"/>
      <c r="H152" s="435"/>
      <c r="I152" s="435"/>
      <c r="J152" s="435"/>
      <c r="K152" s="435"/>
      <c r="L152" s="435"/>
      <c r="M152" s="435"/>
      <c r="N152" s="435"/>
      <c r="O152" s="435"/>
      <c r="P152" s="435"/>
      <c r="Q152" s="435"/>
      <c r="R152" s="435"/>
      <c r="S152" s="435"/>
      <c r="T152" s="435"/>
      <c r="U152" s="435"/>
      <c r="V152" s="435"/>
      <c r="W152" s="435"/>
      <c r="X152" s="435"/>
      <c r="Y152" s="435"/>
      <c r="Z152" s="435"/>
      <c r="AA152" s="435"/>
      <c r="AB152" s="435"/>
      <c r="AC152" s="434"/>
      <c r="AD152" s="434"/>
      <c r="AE152" s="434"/>
      <c r="AF152" s="434"/>
      <c r="AG152" s="429"/>
      <c r="AH152" s="435"/>
      <c r="AI152" s="435"/>
      <c r="AJ152" s="435"/>
      <c r="AK152" s="435"/>
      <c r="AL152" s="435"/>
      <c r="AM152" s="435"/>
      <c r="AN152" s="435"/>
      <c r="AO152" s="435"/>
      <c r="AP152" s="434"/>
      <c r="AQ152" s="434"/>
      <c r="AR152" s="434"/>
      <c r="AS152" s="434"/>
      <c r="AV152" s="434"/>
      <c r="AW152" s="434"/>
      <c r="AX152" s="434"/>
      <c r="AY152" s="434"/>
      <c r="AZ152" s="434"/>
      <c r="BA152" s="434"/>
      <c r="BB152" s="434"/>
      <c r="BC152" s="434"/>
      <c r="BD152" s="434"/>
      <c r="BE152" s="434"/>
      <c r="BF152" s="434"/>
      <c r="BG152" s="434"/>
      <c r="BH152" s="434"/>
      <c r="BI152" s="434"/>
      <c r="BJ152" s="434"/>
      <c r="BK152" s="434"/>
      <c r="BL152" s="434"/>
      <c r="BM152" s="434"/>
      <c r="BN152" s="434"/>
      <c r="BO152" s="434"/>
      <c r="BP152" s="434"/>
      <c r="BQ152" s="434"/>
      <c r="BR152" s="434"/>
      <c r="BS152" s="434"/>
    </row>
    <row r="153" spans="2:71" hidden="1" outlineLevel="1"/>
    <row r="154" spans="2:71" s="433" customFormat="1" ht="11.25" hidden="1" customHeight="1" outlineLevel="1">
      <c r="B154" s="342"/>
      <c r="C154" s="342" t="s">
        <v>56</v>
      </c>
      <c r="D154" s="338"/>
      <c r="E154" s="372"/>
      <c r="F154" s="372"/>
      <c r="G154" s="372"/>
      <c r="H154" s="372"/>
      <c r="I154" s="372"/>
      <c r="J154" s="372"/>
      <c r="K154" s="372"/>
      <c r="L154" s="372"/>
      <c r="M154" s="372"/>
      <c r="N154" s="372"/>
      <c r="O154" s="372"/>
      <c r="P154" s="372"/>
      <c r="Q154" s="372"/>
      <c r="R154" s="372"/>
      <c r="S154" s="372"/>
      <c r="T154" s="372"/>
      <c r="U154" s="372"/>
      <c r="V154" s="372"/>
      <c r="W154" s="372"/>
      <c r="X154" s="372"/>
      <c r="Y154" s="372"/>
      <c r="Z154" s="372"/>
      <c r="AA154" s="372"/>
      <c r="AB154" s="372"/>
      <c r="AC154" s="338"/>
      <c r="AD154" s="338"/>
      <c r="AE154" s="338"/>
      <c r="AF154" s="338"/>
      <c r="AG154" s="429"/>
      <c r="AH154" s="372"/>
      <c r="AI154" s="372"/>
      <c r="AJ154" s="372"/>
      <c r="AK154" s="372"/>
      <c r="AL154" s="372"/>
      <c r="AM154" s="372"/>
      <c r="AN154" s="372"/>
      <c r="AO154" s="372"/>
      <c r="AP154" s="338"/>
      <c r="AQ154" s="338"/>
      <c r="AR154" s="338"/>
      <c r="AS154" s="338"/>
      <c r="AV154" s="338"/>
      <c r="AW154" s="338"/>
      <c r="AX154" s="338"/>
      <c r="AY154" s="338"/>
      <c r="AZ154" s="338"/>
      <c r="BA154" s="338"/>
      <c r="BB154" s="338"/>
      <c r="BC154" s="338"/>
      <c r="BD154" s="338"/>
      <c r="BE154" s="338"/>
      <c r="BF154" s="338"/>
      <c r="BG154" s="338"/>
      <c r="BH154" s="338"/>
      <c r="BI154" s="338"/>
      <c r="BJ154" s="338"/>
      <c r="BK154" s="338"/>
      <c r="BL154" s="338"/>
      <c r="BM154" s="338"/>
      <c r="BN154" s="338"/>
      <c r="BO154" s="338"/>
      <c r="BP154" s="338"/>
      <c r="BQ154" s="338"/>
      <c r="BR154" s="338"/>
      <c r="BS154" s="338"/>
    </row>
    <row r="155" spans="2:71" s="338" customFormat="1" hidden="1" outlineLevel="1">
      <c r="R155" s="372"/>
      <c r="S155" s="372"/>
      <c r="T155" s="372"/>
      <c r="U155" s="372"/>
      <c r="V155" s="372"/>
      <c r="W155" s="372"/>
      <c r="X155" s="372"/>
      <c r="Y155" s="372"/>
      <c r="Z155" s="372"/>
      <c r="AA155" s="372"/>
      <c r="AB155" s="372"/>
      <c r="AG155" s="429"/>
      <c r="AH155" s="372"/>
      <c r="AI155" s="372"/>
      <c r="AJ155" s="372"/>
      <c r="AK155" s="372"/>
      <c r="AL155" s="372"/>
      <c r="AM155" s="372"/>
      <c r="AN155" s="372"/>
      <c r="AO155" s="372"/>
    </row>
    <row r="156" spans="2:71" s="342" customFormat="1" hidden="1" outlineLevel="1">
      <c r="C156" s="361" t="s">
        <v>64</v>
      </c>
      <c r="D156"/>
      <c r="E156" s="383"/>
      <c r="F156" s="383"/>
      <c r="G156" s="383"/>
      <c r="H156" s="383"/>
      <c r="I156" s="452"/>
      <c r="J156" s="382">
        <v>0.35</v>
      </c>
      <c r="K156" s="382">
        <v>0.24</v>
      </c>
      <c r="L156" s="382">
        <v>0.35</v>
      </c>
      <c r="M156" s="382">
        <v>0.45</v>
      </c>
      <c r="N156" s="382">
        <v>0.41</v>
      </c>
      <c r="O156" s="382">
        <v>0.5</v>
      </c>
      <c r="P156" s="382">
        <v>0.24</v>
      </c>
      <c r="Q156" s="382">
        <v>0.05</v>
      </c>
      <c r="R156" s="382">
        <v>-0.01</v>
      </c>
      <c r="S156" s="382">
        <v>0.03</v>
      </c>
      <c r="T156" s="382">
        <v>0.48</v>
      </c>
      <c r="U156" s="382">
        <v>0.53</v>
      </c>
      <c r="V156" s="382">
        <v>0.47</v>
      </c>
      <c r="W156" s="382">
        <v>0.15</v>
      </c>
      <c r="X156" s="382">
        <v>-0.15</v>
      </c>
      <c r="Y156" s="382">
        <v>-0.28999999999999998</v>
      </c>
      <c r="Z156" s="382">
        <v>-0.2</v>
      </c>
      <c r="AA156" s="382">
        <v>-0.2</v>
      </c>
      <c r="AB156" s="382">
        <v>-0.05</v>
      </c>
      <c r="AC156" s="427"/>
      <c r="AD156" s="427"/>
      <c r="AE156" s="427"/>
      <c r="AF156" s="427"/>
      <c r="AG156" s="36"/>
      <c r="AH156" s="384"/>
      <c r="AI156" s="384"/>
      <c r="AJ156" s="353"/>
      <c r="AK156" s="588"/>
      <c r="AL156" s="588"/>
      <c r="AM156" s="588"/>
      <c r="AN156" s="588"/>
      <c r="AO156" s="588"/>
      <c r="AP156" s="353"/>
      <c r="AQ156" s="427"/>
      <c r="AR156" s="427"/>
      <c r="AS156" s="427"/>
    </row>
    <row r="157" spans="2:71" s="342" customFormat="1" hidden="1" outlineLevel="1">
      <c r="C157" s="361" t="s">
        <v>65</v>
      </c>
      <c r="D157"/>
      <c r="E157" s="383"/>
      <c r="F157" s="383"/>
      <c r="G157" s="383"/>
      <c r="H157" s="383"/>
      <c r="I157" s="452"/>
      <c r="J157" s="382">
        <v>-0.11</v>
      </c>
      <c r="K157" s="382">
        <v>-0.06</v>
      </c>
      <c r="L157" s="382">
        <v>0.11</v>
      </c>
      <c r="M157" s="382">
        <v>0.33</v>
      </c>
      <c r="N157" s="382">
        <v>0.3</v>
      </c>
      <c r="O157" s="382">
        <v>0.3</v>
      </c>
      <c r="P157" s="382">
        <v>0.12</v>
      </c>
      <c r="Q157" s="382">
        <v>-0.21</v>
      </c>
      <c r="R157" s="382">
        <v>-0.31</v>
      </c>
      <c r="S157" s="382">
        <v>0.01</v>
      </c>
      <c r="T157" s="382">
        <v>-7.0000000000000007E-2</v>
      </c>
      <c r="U157" s="382">
        <v>0.34</v>
      </c>
      <c r="V157" s="382">
        <v>0.34</v>
      </c>
      <c r="W157" s="382">
        <v>-0.47</v>
      </c>
      <c r="X157" s="382">
        <v>-0.25</v>
      </c>
      <c r="Y157" s="382">
        <v>-0.2</v>
      </c>
      <c r="Z157" s="382">
        <v>0.06</v>
      </c>
      <c r="AA157" s="382">
        <v>0.7</v>
      </c>
      <c r="AB157" s="382">
        <v>0.53</v>
      </c>
      <c r="AC157" s="427"/>
      <c r="AD157" s="427"/>
      <c r="AE157" s="427"/>
      <c r="AF157" s="427"/>
      <c r="AG157" s="36"/>
      <c r="AH157" s="384"/>
      <c r="AI157" s="384"/>
      <c r="AJ157" s="353"/>
      <c r="AK157" s="588"/>
      <c r="AL157" s="588"/>
      <c r="AM157" s="588"/>
      <c r="AN157" s="588"/>
      <c r="AO157" s="588"/>
      <c r="AP157" s="353"/>
      <c r="AQ157" s="427"/>
      <c r="AR157" s="427"/>
      <c r="AS157" s="427"/>
      <c r="AV157" s="342" t="s">
        <v>22</v>
      </c>
    </row>
    <row r="158" spans="2:71" hidden="1" outlineLevel="1">
      <c r="C158" s="37" t="s">
        <v>66</v>
      </c>
      <c r="E158" s="383"/>
      <c r="F158" s="383"/>
      <c r="G158" s="383"/>
      <c r="H158" s="383"/>
      <c r="I158" s="452"/>
      <c r="J158" s="382">
        <v>0.17</v>
      </c>
      <c r="K158" s="382">
        <v>0.09</v>
      </c>
      <c r="L158" s="382">
        <v>0.16</v>
      </c>
      <c r="M158" s="382">
        <v>0.03</v>
      </c>
      <c r="N158" s="382">
        <v>0.1</v>
      </c>
      <c r="O158" s="382">
        <v>0.01</v>
      </c>
      <c r="P158" s="382">
        <v>-0.05</v>
      </c>
      <c r="Q158" s="382">
        <v>-0.04</v>
      </c>
      <c r="R158" s="382">
        <v>0.03</v>
      </c>
      <c r="S158" s="382">
        <v>0.11</v>
      </c>
      <c r="T158" s="382">
        <v>0.14000000000000001</v>
      </c>
      <c r="U158" s="382">
        <v>0.33</v>
      </c>
      <c r="V158" s="382">
        <v>0.44</v>
      </c>
      <c r="W158" s="382">
        <v>0.04</v>
      </c>
      <c r="X158" s="382">
        <v>-0.03</v>
      </c>
      <c r="Y158" s="382">
        <v>0.05</v>
      </c>
      <c r="Z158" s="382">
        <v>-0.06</v>
      </c>
      <c r="AA158" s="382">
        <v>0.18</v>
      </c>
      <c r="AB158" s="382">
        <v>0.22</v>
      </c>
      <c r="AK158" s="589"/>
      <c r="AL158" s="589"/>
      <c r="AM158" s="589"/>
      <c r="AN158" s="589"/>
      <c r="AO158" s="589"/>
    </row>
    <row r="159" spans="2:71" hidden="1" outlineLevel="1"/>
    <row r="160" spans="2:71" s="433" customFormat="1" ht="11.25" hidden="1" customHeight="1" outlineLevel="1">
      <c r="B160" s="342"/>
      <c r="C160" s="342" t="s">
        <v>67</v>
      </c>
      <c r="D160" s="338"/>
      <c r="E160" s="372"/>
      <c r="F160" s="372"/>
      <c r="G160" s="372"/>
      <c r="H160" s="372"/>
      <c r="I160" s="372"/>
      <c r="J160" s="372"/>
      <c r="K160" s="372"/>
      <c r="L160" s="372"/>
      <c r="M160" s="372"/>
      <c r="N160" s="372"/>
      <c r="O160" s="372"/>
      <c r="P160" s="372"/>
      <c r="Q160" s="372"/>
      <c r="R160" s="372"/>
      <c r="S160" s="372"/>
      <c r="T160" s="372"/>
      <c r="U160" s="372"/>
      <c r="V160" s="372"/>
      <c r="W160" s="372"/>
      <c r="X160" s="372"/>
      <c r="Y160" s="372"/>
      <c r="Z160" s="372"/>
      <c r="AA160" s="372"/>
      <c r="AB160" s="372"/>
      <c r="AC160" s="338"/>
      <c r="AD160" s="338"/>
      <c r="AE160" s="338"/>
      <c r="AF160" s="338"/>
      <c r="AG160" s="429"/>
      <c r="AH160" s="372"/>
      <c r="AI160" s="372"/>
      <c r="AJ160" s="372"/>
      <c r="AK160" s="372"/>
      <c r="AL160" s="372"/>
      <c r="AM160" s="372"/>
      <c r="AN160" s="372"/>
      <c r="AO160" s="372"/>
      <c r="AP160" s="338"/>
      <c r="AQ160" s="338"/>
      <c r="AR160" s="338"/>
      <c r="AS160" s="338"/>
      <c r="AV160" s="338"/>
      <c r="AW160" s="338"/>
      <c r="AX160" s="338"/>
      <c r="AY160" s="338"/>
      <c r="AZ160" s="338"/>
      <c r="BA160" s="338"/>
      <c r="BB160" s="338"/>
      <c r="BC160" s="338"/>
      <c r="BD160" s="338"/>
      <c r="BE160" s="338"/>
      <c r="BF160" s="338"/>
      <c r="BG160" s="338"/>
      <c r="BH160" s="338"/>
      <c r="BI160" s="338"/>
      <c r="BJ160" s="338"/>
      <c r="BK160" s="338"/>
      <c r="BL160" s="338"/>
      <c r="BM160" s="338"/>
      <c r="BN160" s="338"/>
      <c r="BO160" s="338"/>
      <c r="BP160" s="338"/>
      <c r="BQ160" s="338"/>
      <c r="BR160" s="338"/>
      <c r="BS160" s="338"/>
    </row>
    <row r="161" spans="2:41" hidden="1" outlineLevel="1"/>
    <row r="162" spans="2:41" hidden="1" outlineLevel="1">
      <c r="C162" s="37" t="s">
        <v>68</v>
      </c>
      <c r="E162" s="382">
        <v>0.13</v>
      </c>
      <c r="F162" s="382">
        <v>0.05</v>
      </c>
      <c r="G162" s="382">
        <v>0.12</v>
      </c>
      <c r="H162" s="382">
        <v>0.03</v>
      </c>
      <c r="I162" s="382">
        <v>-0.01</v>
      </c>
      <c r="J162" s="382">
        <v>7.0000000000000007E-2</v>
      </c>
      <c r="K162" s="382">
        <v>0.04</v>
      </c>
      <c r="L162" s="382">
        <v>0.1</v>
      </c>
      <c r="M162" s="382">
        <v>0.16</v>
      </c>
      <c r="N162" s="382">
        <v>0.14000000000000001</v>
      </c>
      <c r="O162" s="382">
        <v>0.15</v>
      </c>
      <c r="P162" s="382">
        <v>0.09</v>
      </c>
      <c r="Q162" s="382">
        <v>-0.08</v>
      </c>
      <c r="R162" s="382">
        <v>-0.12</v>
      </c>
      <c r="S162" s="382">
        <v>-0.06</v>
      </c>
      <c r="T162" s="382">
        <v>0.12</v>
      </c>
      <c r="U162" s="382">
        <v>0.27</v>
      </c>
      <c r="V162" s="382">
        <v>0.28999999999999998</v>
      </c>
      <c r="W162" s="382">
        <v>0.04</v>
      </c>
      <c r="X162" s="382">
        <v>-0.09</v>
      </c>
      <c r="Y162" s="382">
        <v>-0.13</v>
      </c>
      <c r="Z162" s="382">
        <v>-0.01</v>
      </c>
      <c r="AA162" s="382">
        <v>0.08</v>
      </c>
      <c r="AB162" s="382">
        <v>0.17</v>
      </c>
      <c r="AK162" s="589"/>
      <c r="AL162" s="589"/>
      <c r="AM162" s="589"/>
      <c r="AN162" s="589"/>
      <c r="AO162" s="589"/>
    </row>
    <row r="163" spans="2:41" hidden="1" outlineLevel="1">
      <c r="C163" s="37" t="s">
        <v>69</v>
      </c>
      <c r="E163" s="382">
        <v>-0.03</v>
      </c>
      <c r="F163" s="382">
        <v>-0.01</v>
      </c>
      <c r="G163" s="382">
        <v>-0.03</v>
      </c>
      <c r="H163" s="382">
        <v>0.04</v>
      </c>
      <c r="I163" s="382">
        <v>0.06</v>
      </c>
      <c r="J163" s="382">
        <v>0.01</v>
      </c>
      <c r="K163" s="382">
        <v>0.02</v>
      </c>
      <c r="L163" s="382">
        <v>0.08</v>
      </c>
      <c r="M163" s="382">
        <v>7.0000000000000007E-2</v>
      </c>
      <c r="N163" s="382">
        <v>0.11</v>
      </c>
      <c r="O163" s="382">
        <v>0.1</v>
      </c>
      <c r="P163" s="382">
        <v>0.01</v>
      </c>
      <c r="Q163" s="382">
        <v>0.01</v>
      </c>
      <c r="R163" s="382">
        <v>0.02</v>
      </c>
      <c r="S163" s="382">
        <v>0.09</v>
      </c>
      <c r="T163" s="382">
        <v>0.05</v>
      </c>
      <c r="U163" s="382">
        <v>0.13</v>
      </c>
      <c r="V163" s="382">
        <v>0.05</v>
      </c>
      <c r="W163" s="382">
        <v>-0.15</v>
      </c>
      <c r="X163" s="382">
        <v>-0.12</v>
      </c>
      <c r="Y163" s="382">
        <v>-0.14000000000000001</v>
      </c>
      <c r="Z163" s="382">
        <v>-7.0000000000000007E-2</v>
      </c>
      <c r="AA163" s="382">
        <v>0.03</v>
      </c>
      <c r="AB163" s="382">
        <v>0.04</v>
      </c>
      <c r="AK163" s="589"/>
      <c r="AL163" s="589"/>
      <c r="AM163" s="589"/>
      <c r="AN163" s="589"/>
      <c r="AO163" s="589"/>
    </row>
    <row r="164" spans="2:41" ht="10.35" hidden="1" customHeight="1" outlineLevel="1">
      <c r="C164" s="37"/>
    </row>
    <row r="165" spans="2:41" hidden="1" outlineLevel="1"/>
    <row r="166" spans="2:41" collapsed="1"/>
    <row r="168" spans="2:41">
      <c r="B168" t="s">
        <v>9</v>
      </c>
    </row>
    <row r="172" spans="2:41">
      <c r="B172" t="s">
        <v>9</v>
      </c>
    </row>
  </sheetData>
  <mergeCells count="2">
    <mergeCell ref="J149:J150"/>
    <mergeCell ref="K149:K150"/>
  </mergeCells>
  <hyperlinks>
    <hyperlink ref="BH97" r:id="rId1" location=":~:text=NEEDHAM%2C%20Mass.%2C%20December%207,Quarterly%20Personal%20Computing%20Device%20Tracker." xr:uid="{62A06E4E-E6F4-48F1-99D2-8B6DB658B9AD}"/>
  </hyperlinks>
  <pageMargins left="0.7" right="0.7" top="0.75" bottom="0.75" header="0.3" footer="0.3"/>
  <pageSetup orientation="portrait" r:id="rId2"/>
  <drawing r:id="rId3"/>
  <legacyDrawing r:id="rId4"/>
  <extLst>
    <ext xmlns:x14="http://schemas.microsoft.com/office/spreadsheetml/2009/9/main" uri="{05C60535-1F16-4fd2-B633-F4F36F0B64E0}">
      <x14:sparklineGroups xmlns:xm="http://schemas.microsoft.com/office/excel/2006/main">
        <x14:sparklineGroup manualMax="0" manualMin="0" displayEmptyCellsAs="gap" high="1" low="1" xr2:uid="{EFFAF684-7D35-408C-8398-B35E1F89F74D}">
          <x14:colorSeries rgb="FF376092"/>
          <x14:colorNegative rgb="FFD00000"/>
          <x14:colorAxis rgb="FF000000"/>
          <x14:colorMarkers rgb="FFD00000"/>
          <x14:colorFirst rgb="FFD00000"/>
          <x14:colorLast rgb="FFD00000"/>
          <x14:colorHigh rgb="FFD00000"/>
          <x14:colorLow rgb="FFD00000"/>
          <x14:sparklines>
            <x14:sparkline>
              <xm:f>Segments!AH156:AS156</xm:f>
              <xm:sqref>AT156</xm:sqref>
            </x14:sparkline>
            <x14:sparkline>
              <xm:f>Segments!AH157:AS157</xm:f>
              <xm:sqref>AT157</xm:sqref>
            </x14:sparkline>
          </x14:sparklines>
        </x14:sparklineGroup>
        <x14:sparklineGroup manualMax="0" manualMin="0" displayEmptyCellsAs="gap" high="1" low="1" xr2:uid="{34B12F82-9DCF-41D7-8653-69D362D0E3B3}">
          <x14:colorSeries rgb="FF376092"/>
          <x14:colorNegative rgb="FFD00000"/>
          <x14:colorAxis rgb="FF000000"/>
          <x14:colorMarkers rgb="FFD00000"/>
          <x14:colorFirst rgb="FFD00000"/>
          <x14:colorLast rgb="FFD00000"/>
          <x14:colorHigh rgb="FFD00000"/>
          <x14:colorLow rgb="FFD00000"/>
          <x14:sparklines>
            <x14:sparkline>
              <xm:f>Segments!AH143:AS143</xm:f>
              <xm:sqref>AT143</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48DAF-C45D-4F43-9517-B2E0F3A2FF57}">
  <sheetPr codeName="Sheet5">
    <pageSetUpPr fitToPage="1"/>
  </sheetPr>
  <dimension ref="A1:W107"/>
  <sheetViews>
    <sheetView showGridLines="0" tabSelected="1" topLeftCell="A21" zoomScaleNormal="100" workbookViewId="0">
      <selection activeCell="A39" sqref="A39"/>
    </sheetView>
  </sheetViews>
  <sheetFormatPr defaultColWidth="12.81640625" defaultRowHeight="11.25" customHeight="1" outlineLevelRow="1" outlineLevelCol="1"/>
  <cols>
    <col min="1" max="2" width="2" style="112" customWidth="1"/>
    <col min="3" max="3" width="41.6328125" style="112" customWidth="1"/>
    <col min="4" max="5" width="14" style="112" customWidth="1"/>
    <col min="6" max="8" width="14" style="112" bestFit="1" customWidth="1"/>
    <col min="9" max="12" width="14" style="112" bestFit="1" customWidth="1" outlineLevel="1"/>
    <col min="13" max="13" width="17.36328125" style="112" bestFit="1" customWidth="1" outlineLevel="1"/>
    <col min="14" max="14" width="16.36328125" style="112" bestFit="1" customWidth="1"/>
    <col min="15" max="15" width="17.36328125" style="112" bestFit="1" customWidth="1"/>
    <col min="16" max="16" width="16.36328125" style="112" bestFit="1" customWidth="1"/>
    <col min="17" max="26" width="12.81640625" style="112"/>
    <col min="27" max="27" width="16.36328125" style="112" bestFit="1" customWidth="1"/>
    <col min="28" max="28" width="12.81640625" style="112"/>
    <col min="29" max="29" width="18.81640625" style="112" bestFit="1" customWidth="1"/>
    <col min="30" max="30" width="16.36328125" style="112" bestFit="1" customWidth="1"/>
    <col min="31" max="31" width="18.81640625" style="112" bestFit="1" customWidth="1"/>
    <col min="32" max="32" width="16.36328125" style="112" bestFit="1" customWidth="1"/>
    <col min="33" max="16384" width="12.81640625" style="112"/>
  </cols>
  <sheetData>
    <row r="1" spans="1:23" ht="11.25" customHeight="1">
      <c r="A1" s="111" t="str">
        <f>Financials!A1</f>
        <v>Intel Corporation</v>
      </c>
    </row>
    <row r="2" spans="1:23" ht="11.25" customHeight="1">
      <c r="A2" s="113" t="s">
        <v>11</v>
      </c>
      <c r="I2" s="581">
        <v>1</v>
      </c>
      <c r="J2" s="582">
        <v>2</v>
      </c>
      <c r="K2" s="583">
        <v>3</v>
      </c>
    </row>
    <row r="3" spans="1:23" ht="11.25" customHeight="1">
      <c r="A3" s="111" t="s">
        <v>70</v>
      </c>
      <c r="F3" s="218" t="s">
        <v>71</v>
      </c>
      <c r="G3" s="217">
        <v>2</v>
      </c>
      <c r="I3" s="584" t="s">
        <v>5</v>
      </c>
      <c r="J3" s="585" t="s">
        <v>72</v>
      </c>
      <c r="K3" s="586" t="s">
        <v>7</v>
      </c>
      <c r="L3" s="115"/>
      <c r="M3" s="115"/>
      <c r="N3" s="115"/>
      <c r="R3" s="530" t="s">
        <v>23</v>
      </c>
      <c r="S3" s="531"/>
      <c r="T3" s="531"/>
      <c r="U3" s="531"/>
      <c r="V3" s="531"/>
      <c r="W3" s="532"/>
    </row>
    <row r="5" spans="1:23" ht="11.25" customHeight="1">
      <c r="C5" s="633" t="s">
        <v>73</v>
      </c>
      <c r="D5" s="719"/>
      <c r="E5" s="719"/>
      <c r="F5" s="719"/>
      <c r="G5" s="719"/>
      <c r="H5" s="719"/>
      <c r="I5" s="720"/>
      <c r="J5" s="720"/>
      <c r="K5" s="720"/>
      <c r="L5" s="721"/>
    </row>
    <row r="6" spans="1:23" s="111" customFormat="1" ht="11.25" customHeight="1">
      <c r="B6" s="112"/>
      <c r="C6" s="722" t="s">
        <v>2</v>
      </c>
      <c r="D6" s="619">
        <f t="shared" ref="D6:L6" si="0">YEAR(D7)</f>
        <v>2017</v>
      </c>
      <c r="E6" s="619">
        <f t="shared" si="0"/>
        <v>2018</v>
      </c>
      <c r="F6" s="619">
        <f t="shared" si="0"/>
        <v>2019</v>
      </c>
      <c r="G6" s="619">
        <f t="shared" si="0"/>
        <v>2020</v>
      </c>
      <c r="H6" s="619">
        <f t="shared" si="0"/>
        <v>2021</v>
      </c>
      <c r="I6" s="620">
        <f t="shared" si="0"/>
        <v>2022</v>
      </c>
      <c r="J6" s="621">
        <f t="shared" si="0"/>
        <v>2023</v>
      </c>
      <c r="K6" s="621">
        <f t="shared" si="0"/>
        <v>2024</v>
      </c>
      <c r="L6" s="723">
        <f t="shared" si="0"/>
        <v>2025</v>
      </c>
      <c r="M6" s="112"/>
      <c r="O6" s="112"/>
      <c r="P6" s="112"/>
      <c r="Q6" s="747" t="s">
        <v>2</v>
      </c>
      <c r="R6" s="743">
        <f t="shared" ref="R6:V7" si="1">H6</f>
        <v>2021</v>
      </c>
      <c r="S6" s="744">
        <f t="shared" si="1"/>
        <v>2022</v>
      </c>
      <c r="T6" s="744">
        <f t="shared" si="1"/>
        <v>2023</v>
      </c>
      <c r="U6" s="744">
        <f t="shared" si="1"/>
        <v>2024</v>
      </c>
      <c r="V6" s="745">
        <f t="shared" si="1"/>
        <v>2025</v>
      </c>
      <c r="W6" s="112"/>
    </row>
    <row r="7" spans="1:23" s="111" customFormat="1" ht="11.25" customHeight="1">
      <c r="B7" s="617"/>
      <c r="C7" s="724" t="s">
        <v>3</v>
      </c>
      <c r="D7" s="618">
        <v>43100</v>
      </c>
      <c r="E7" s="618">
        <f t="shared" ref="E7:L7" si="2">EOMONTH(D7,12)</f>
        <v>43465</v>
      </c>
      <c r="F7" s="618">
        <f t="shared" si="2"/>
        <v>43830</v>
      </c>
      <c r="G7" s="618">
        <f t="shared" si="2"/>
        <v>44196</v>
      </c>
      <c r="H7" s="618">
        <f t="shared" si="2"/>
        <v>44561</v>
      </c>
      <c r="I7" s="618">
        <f t="shared" si="2"/>
        <v>44926</v>
      </c>
      <c r="J7" s="618">
        <f t="shared" si="2"/>
        <v>45291</v>
      </c>
      <c r="K7" s="618">
        <f t="shared" si="2"/>
        <v>45657</v>
      </c>
      <c r="L7" s="725">
        <f t="shared" si="2"/>
        <v>46022</v>
      </c>
      <c r="M7" s="112"/>
      <c r="O7" s="112"/>
      <c r="P7" s="112"/>
      <c r="Q7" s="724" t="s">
        <v>3</v>
      </c>
      <c r="R7" s="618">
        <f t="shared" si="1"/>
        <v>44561</v>
      </c>
      <c r="S7" s="618">
        <f t="shared" ref="S7" si="3">EOMONTH(R7,12)</f>
        <v>44926</v>
      </c>
      <c r="T7" s="618">
        <f t="shared" ref="T7" si="4">EOMONTH(S7,12)</f>
        <v>45291</v>
      </c>
      <c r="U7" s="618">
        <f t="shared" ref="U7" si="5">EOMONTH(T7,12)</f>
        <v>45657</v>
      </c>
      <c r="V7" s="725">
        <f t="shared" ref="V7" si="6">EOMONTH(U7,12)</f>
        <v>46022</v>
      </c>
      <c r="W7" s="112"/>
    </row>
    <row r="8" spans="1:23" ht="11.25" customHeight="1">
      <c r="B8" s="118"/>
      <c r="C8" s="726"/>
      <c r="I8" s="120"/>
      <c r="J8" s="120"/>
      <c r="K8" s="120"/>
      <c r="L8" s="727"/>
      <c r="Q8" s="123"/>
      <c r="V8" s="736"/>
    </row>
    <row r="9" spans="1:23" ht="11.25" customHeight="1">
      <c r="C9" s="123" t="s">
        <v>74</v>
      </c>
      <c r="D9" s="1010">
        <f>Financials!AK152</f>
        <v>27820</v>
      </c>
      <c r="E9" s="1010">
        <f>Financials!AL152</f>
        <v>33634</v>
      </c>
      <c r="F9" s="1010">
        <f>Financials!AM152</f>
        <v>34578</v>
      </c>
      <c r="G9" s="1010">
        <f>Financials!AN152</f>
        <v>36594</v>
      </c>
      <c r="H9" s="1010">
        <f>Financials!AO152</f>
        <v>33997</v>
      </c>
      <c r="I9" s="1010">
        <f>Financials!AP152</f>
        <v>21973.533321999854</v>
      </c>
      <c r="J9" s="1010">
        <f>Financials!AQ152</f>
        <v>23739.348120223229</v>
      </c>
      <c r="K9" s="1010">
        <f>Financials!AR152</f>
        <v>26938.997302937663</v>
      </c>
      <c r="L9" s="1011">
        <f>Financials!AS152</f>
        <v>28515.668645997281</v>
      </c>
      <c r="M9" s="119"/>
      <c r="Q9" s="123" t="s">
        <v>14</v>
      </c>
      <c r="R9" s="1012">
        <f>Segments!AO37</f>
        <v>1386</v>
      </c>
      <c r="S9" s="1012">
        <f>Segments!AP37</f>
        <v>1865</v>
      </c>
      <c r="T9" s="446">
        <f>Segments!AQ37</f>
        <v>2424.5</v>
      </c>
      <c r="U9" s="446">
        <f>Segments!AR37</f>
        <v>3151.85</v>
      </c>
      <c r="V9" s="1013">
        <f>Segments!AS37</f>
        <v>3939.8125</v>
      </c>
    </row>
    <row r="10" spans="1:23" ht="11.25" customHeight="1">
      <c r="C10" s="631" t="s">
        <v>75</v>
      </c>
      <c r="D10" s="1010">
        <f>-Financials!AK151</f>
        <v>-8129</v>
      </c>
      <c r="E10" s="1010">
        <f>-Financials!AL151</f>
        <v>-9085</v>
      </c>
      <c r="F10" s="1010">
        <f>-Financials!AM151</f>
        <v>-10826</v>
      </c>
      <c r="G10" s="1010">
        <f>-Financials!AN151</f>
        <v>-12239</v>
      </c>
      <c r="H10" s="1010">
        <f>-Financials!AO151</f>
        <v>-11792</v>
      </c>
      <c r="I10" s="1010">
        <f>-Financials!AP151</f>
        <v>-12771.55</v>
      </c>
      <c r="J10" s="1010">
        <f>-Financials!AQ151</f>
        <v>-14330.782775723377</v>
      </c>
      <c r="K10" s="1010">
        <f>-Financials!AR151</f>
        <v>-15170.196475475308</v>
      </c>
      <c r="L10" s="1011">
        <f>-Financials!AS151</f>
        <v>-15502.135187518677</v>
      </c>
      <c r="Q10" s="123" t="s">
        <v>76</v>
      </c>
      <c r="R10" s="1012">
        <f>Segments!AO95</f>
        <v>460</v>
      </c>
      <c r="S10" s="1012">
        <f>Segments!AP95</f>
        <v>615.44999999999993</v>
      </c>
      <c r="T10" s="446">
        <f>Segments!AQ95</f>
        <v>800.08500000000004</v>
      </c>
      <c r="U10" s="446">
        <f>Segments!AR95</f>
        <v>1040.1105</v>
      </c>
      <c r="V10" s="1013">
        <f>Segments!AS95</f>
        <v>1300.1381250000002</v>
      </c>
    </row>
    <row r="11" spans="1:23" ht="11.25" customHeight="1">
      <c r="C11" s="712" t="s">
        <v>76</v>
      </c>
      <c r="D11" s="624">
        <f t="shared" ref="D11:K11" si="7">SUM(D9:D10)</f>
        <v>19691</v>
      </c>
      <c r="E11" s="624">
        <f t="shared" si="7"/>
        <v>24549</v>
      </c>
      <c r="F11" s="624">
        <f t="shared" si="7"/>
        <v>23752</v>
      </c>
      <c r="G11" s="624">
        <f t="shared" si="7"/>
        <v>24355</v>
      </c>
      <c r="H11" s="624">
        <f t="shared" si="7"/>
        <v>22205</v>
      </c>
      <c r="I11" s="624">
        <f t="shared" si="7"/>
        <v>9201.9833219998545</v>
      </c>
      <c r="J11" s="624">
        <f t="shared" si="7"/>
        <v>9408.5653444998516</v>
      </c>
      <c r="K11" s="624">
        <f t="shared" si="7"/>
        <v>11768.800827462355</v>
      </c>
      <c r="L11" s="728">
        <f>SUM(L9:L10)</f>
        <v>13013.533458478603</v>
      </c>
      <c r="Q11" s="123" t="s">
        <v>77</v>
      </c>
      <c r="R11" s="119">
        <f>+R9*R16</f>
        <v>480.79</v>
      </c>
      <c r="S11" s="119">
        <f>+S9*S16</f>
        <v>643.42499999999995</v>
      </c>
      <c r="T11" s="119">
        <f>+T9*T16</f>
        <v>836.4525000000001</v>
      </c>
      <c r="U11" s="119">
        <f>+U9*U16</f>
        <v>1087.38825</v>
      </c>
      <c r="V11" s="529">
        <f>+V9*V16</f>
        <v>1359.2353125000004</v>
      </c>
    </row>
    <row r="12" spans="1:23" ht="11.25" customHeight="1">
      <c r="C12" s="729" t="s">
        <v>78</v>
      </c>
      <c r="D12" s="1010">
        <f>-Financials!AK40</f>
        <v>-10751</v>
      </c>
      <c r="E12" s="1010">
        <f>-Financials!AL40</f>
        <v>-2264</v>
      </c>
      <c r="F12" s="1010">
        <f>-Financials!AM40</f>
        <v>-3010</v>
      </c>
      <c r="G12" s="1010">
        <f>-Financials!AN40</f>
        <v>-4179</v>
      </c>
      <c r="H12" s="1010">
        <f>-Financials!AO40</f>
        <v>-1835</v>
      </c>
      <c r="I12" s="1010">
        <f ca="1">-Financials!AP40</f>
        <v>-1767.5035281555727</v>
      </c>
      <c r="J12" s="1010">
        <f ca="1">-Financials!AQ40</f>
        <v>-1909.7349998805726</v>
      </c>
      <c r="K12" s="1010">
        <f ca="1">-Financials!AR40</f>
        <v>-2411.1169263026986</v>
      </c>
      <c r="L12" s="1011">
        <f ca="1">-Financials!AS40</f>
        <v>-2687.4276038161111</v>
      </c>
      <c r="Q12" s="123" t="s">
        <v>79</v>
      </c>
      <c r="R12" s="119">
        <f>+R9*R17</f>
        <v>207.9</v>
      </c>
      <c r="S12" s="119">
        <f>+S9*S17</f>
        <v>279.75</v>
      </c>
      <c r="T12" s="119">
        <f>+T9*T17</f>
        <v>363.67500000000001</v>
      </c>
      <c r="U12" s="119">
        <f>+U9*U17</f>
        <v>787.96249999999998</v>
      </c>
      <c r="V12" s="529">
        <f>+V9*V17</f>
        <v>984.953125</v>
      </c>
    </row>
    <row r="13" spans="1:23" ht="11.25" customHeight="1">
      <c r="C13" s="712" t="s">
        <v>80</v>
      </c>
      <c r="D13" s="624">
        <f t="shared" ref="D13:K13" si="8">+D11+D12</f>
        <v>8940</v>
      </c>
      <c r="E13" s="624">
        <f t="shared" si="8"/>
        <v>22285</v>
      </c>
      <c r="F13" s="624">
        <f t="shared" si="8"/>
        <v>20742</v>
      </c>
      <c r="G13" s="624">
        <f t="shared" si="8"/>
        <v>20176</v>
      </c>
      <c r="H13" s="624">
        <f t="shared" si="8"/>
        <v>20370</v>
      </c>
      <c r="I13" s="624">
        <f t="shared" ca="1" si="8"/>
        <v>7434.4797938442816</v>
      </c>
      <c r="J13" s="624">
        <f t="shared" ca="1" si="8"/>
        <v>7498.8303446192785</v>
      </c>
      <c r="K13" s="624">
        <f t="shared" ca="1" si="8"/>
        <v>9357.6839011596567</v>
      </c>
      <c r="L13" s="728">
        <f ca="1">+L11+L12</f>
        <v>10326.105854662492</v>
      </c>
      <c r="Q13" s="123"/>
      <c r="V13" s="736"/>
    </row>
    <row r="14" spans="1:23" ht="11.25" customHeight="1">
      <c r="C14" s="123"/>
      <c r="D14" s="34"/>
      <c r="E14" s="34"/>
      <c r="F14" s="34"/>
      <c r="G14" s="526"/>
      <c r="H14" s="526"/>
      <c r="I14" s="526"/>
      <c r="J14" s="526"/>
      <c r="K14" s="526"/>
      <c r="L14" s="730"/>
      <c r="Q14" s="123" t="s">
        <v>81</v>
      </c>
      <c r="V14" s="736"/>
    </row>
    <row r="15" spans="1:23" ht="11.25" customHeight="1">
      <c r="C15" s="631" t="s">
        <v>82</v>
      </c>
      <c r="D15" s="119">
        <f t="shared" ref="D15:K15" si="9">-D10</f>
        <v>8129</v>
      </c>
      <c r="E15" s="119">
        <f t="shared" si="9"/>
        <v>9085</v>
      </c>
      <c r="F15" s="119">
        <f t="shared" si="9"/>
        <v>10826</v>
      </c>
      <c r="G15" s="119">
        <f t="shared" si="9"/>
        <v>12239</v>
      </c>
      <c r="H15" s="119">
        <f t="shared" si="9"/>
        <v>11792</v>
      </c>
      <c r="I15" s="119">
        <f t="shared" si="9"/>
        <v>12771.55</v>
      </c>
      <c r="J15" s="119">
        <f t="shared" si="9"/>
        <v>14330.782775723377</v>
      </c>
      <c r="K15" s="119">
        <f t="shared" si="9"/>
        <v>15170.196475475308</v>
      </c>
      <c r="L15" s="529">
        <f>-L10</f>
        <v>15502.135187518677</v>
      </c>
      <c r="Q15" s="123" t="s">
        <v>83</v>
      </c>
      <c r="R15" s="120">
        <f>+R10/R9</f>
        <v>0.3318903318903319</v>
      </c>
      <c r="S15" s="120">
        <f>+S10/S9</f>
        <v>0.32999999999999996</v>
      </c>
      <c r="T15" s="120">
        <f>+T10/T9</f>
        <v>0.33</v>
      </c>
      <c r="U15" s="120">
        <f>+U10/U9</f>
        <v>0.33</v>
      </c>
      <c r="V15" s="727">
        <f>+V10/V9</f>
        <v>0.33000000000000007</v>
      </c>
    </row>
    <row r="16" spans="1:23" ht="11.25" customHeight="1">
      <c r="C16" s="631" t="s">
        <v>84</v>
      </c>
      <c r="D16" s="1010">
        <f>+SUM(Financials!AK316:AK322)</f>
        <v>5992</v>
      </c>
      <c r="E16" s="1010">
        <f>+SUM(Financials!AL316:AL322)</f>
        <v>-1910</v>
      </c>
      <c r="F16" s="1010">
        <f>+SUM(Financials!AM316:AM322)</f>
        <v>65</v>
      </c>
      <c r="G16" s="1010">
        <f>+SUM(Financials!AN316:AN322)</f>
        <v>1951</v>
      </c>
      <c r="H16" s="1010">
        <f>+SUM(Financials!AO316:AO322)</f>
        <v>-4873</v>
      </c>
      <c r="I16" s="1010">
        <f>+SUM(Financials!AP316:AP322)</f>
        <v>-807.3274999999976</v>
      </c>
      <c r="J16" s="1010">
        <f>+SUM(Financials!AQ316:AQ322)</f>
        <v>687.44147625000005</v>
      </c>
      <c r="K16" s="1010">
        <f>+SUM(Financials!AR316:AR322)</f>
        <v>1497.9834911625003</v>
      </c>
      <c r="L16" s="1011">
        <f>+SUM(Financials!AS316:AS322)</f>
        <v>1608.0237075443783</v>
      </c>
      <c r="Q16" s="123" t="s">
        <v>85</v>
      </c>
      <c r="R16" s="526">
        <f>+R15+1.5%</f>
        <v>0.34689033189033192</v>
      </c>
      <c r="S16" s="526">
        <f>+S15+1.5%</f>
        <v>0.34499999999999997</v>
      </c>
      <c r="T16" s="526">
        <f>+T15+1.5%</f>
        <v>0.34500000000000003</v>
      </c>
      <c r="U16" s="526">
        <f>+U15+1.5%</f>
        <v>0.34500000000000003</v>
      </c>
      <c r="V16" s="746">
        <f>+V15+1.5%</f>
        <v>0.34500000000000008</v>
      </c>
    </row>
    <row r="17" spans="3:22" ht="11.25" customHeight="1">
      <c r="C17" s="631" t="s">
        <v>86</v>
      </c>
      <c r="D17" s="1010">
        <f>Financials!AK326</f>
        <v>-11778</v>
      </c>
      <c r="E17" s="1010">
        <f>Financials!AL326</f>
        <v>-15181</v>
      </c>
      <c r="F17" s="1010">
        <f>Financials!AM326</f>
        <v>-16213</v>
      </c>
      <c r="G17" s="1010">
        <f>Financials!AN326</f>
        <v>-14259</v>
      </c>
      <c r="H17" s="1010">
        <f>Financials!AO326</f>
        <v>-18733</v>
      </c>
      <c r="I17" s="1010">
        <f>Financials!AP326</f>
        <v>-24369.887499999997</v>
      </c>
      <c r="J17" s="1010">
        <f>Financials!AQ326</f>
        <v>-22989.922243749999</v>
      </c>
      <c r="K17" s="1010">
        <f>Financials!AR326</f>
        <v>-21752.855304400004</v>
      </c>
      <c r="L17" s="1011">
        <f>Financials!AS326</f>
        <v>-17779.079182609381</v>
      </c>
      <c r="Q17" s="125" t="s">
        <v>87</v>
      </c>
      <c r="R17" s="1014">
        <v>0.15</v>
      </c>
      <c r="S17" s="1014">
        <v>0.15</v>
      </c>
      <c r="T17" s="1014">
        <v>0.15</v>
      </c>
      <c r="U17" s="1014">
        <v>0.25</v>
      </c>
      <c r="V17" s="1015">
        <v>0.25</v>
      </c>
    </row>
    <row r="18" spans="3:22" ht="11.25" customHeight="1">
      <c r="C18" s="712" t="s">
        <v>88</v>
      </c>
      <c r="D18" s="624">
        <f>SUM(D15:D17)+D13</f>
        <v>11283</v>
      </c>
      <c r="E18" s="624">
        <f>SUM(E15:E17)+E13</f>
        <v>14279</v>
      </c>
      <c r="F18" s="624">
        <f>SUM(F15:F17)+F13</f>
        <v>15420</v>
      </c>
      <c r="G18" s="624">
        <f>SUM(G15:G17)+G13</f>
        <v>20107</v>
      </c>
      <c r="H18" s="624">
        <f>SUM(H15:H17)+H13-R12</f>
        <v>8348.1</v>
      </c>
      <c r="I18" s="624">
        <f ca="1">SUM(I15:I17)+I13-S12</f>
        <v>-5250.9352061557138</v>
      </c>
      <c r="J18" s="624">
        <f ca="1">SUM(J15:J17)+J13-T12</f>
        <v>-836.54264715734348</v>
      </c>
      <c r="K18" s="624">
        <f ca="1">SUM(K15:K17)+K13-U12</f>
        <v>3485.0460633974594</v>
      </c>
      <c r="L18" s="728">
        <f ca="1">SUM(L15:L17)+L13-V12</f>
        <v>8672.2324421161647</v>
      </c>
    </row>
    <row r="19" spans="3:22" ht="11.25" customHeight="1">
      <c r="C19" s="731"/>
      <c r="D19" s="732"/>
      <c r="E19" s="733"/>
      <c r="F19" s="733"/>
      <c r="G19" s="733"/>
      <c r="H19" s="733"/>
      <c r="I19" s="733"/>
      <c r="J19" s="733"/>
      <c r="K19" s="733"/>
      <c r="L19" s="734"/>
      <c r="U19" s="112" t="s">
        <v>89</v>
      </c>
      <c r="V19" s="528">
        <v>21</v>
      </c>
    </row>
    <row r="20" spans="3:22" ht="11.25" customHeight="1" outlineLevel="1">
      <c r="C20" s="123"/>
      <c r="E20" s="735"/>
      <c r="F20" s="735"/>
      <c r="G20" s="115"/>
      <c r="H20" s="115"/>
      <c r="I20" s="115"/>
      <c r="J20" s="115"/>
      <c r="K20" s="115"/>
      <c r="L20" s="736"/>
      <c r="U20" s="112" t="s">
        <v>90</v>
      </c>
      <c r="V20" s="116">
        <f>+R9*V19</f>
        <v>29106</v>
      </c>
    </row>
    <row r="21" spans="3:22" ht="11.25" customHeight="1" outlineLevel="1">
      <c r="C21" s="123" t="s">
        <v>91</v>
      </c>
      <c r="D21" s="737"/>
      <c r="E21" s="737"/>
      <c r="F21" s="737"/>
      <c r="G21" s="737"/>
      <c r="H21" s="737"/>
      <c r="I21" s="738">
        <v>0.5</v>
      </c>
      <c r="J21" s="235">
        <f>+I21+1</f>
        <v>1.5</v>
      </c>
      <c r="K21" s="235">
        <f>+J21+1</f>
        <v>2.5</v>
      </c>
      <c r="L21" s="739">
        <f>+K21+1</f>
        <v>3.5</v>
      </c>
      <c r="M21" s="235"/>
    </row>
    <row r="22" spans="3:22" ht="11.25" customHeight="1" outlineLevel="1">
      <c r="C22" s="123" t="s">
        <v>92</v>
      </c>
      <c r="D22" s="737"/>
      <c r="E22" s="737"/>
      <c r="F22" s="737"/>
      <c r="G22" s="737"/>
      <c r="H22" s="737"/>
      <c r="I22" s="116">
        <f ca="1">I18</f>
        <v>-5250.9352061557138</v>
      </c>
      <c r="J22" s="116">
        <f ca="1">J18</f>
        <v>-836.54264715734348</v>
      </c>
      <c r="K22" s="116">
        <f ca="1">K18</f>
        <v>3485.0460633974594</v>
      </c>
      <c r="L22" s="740">
        <f ca="1">L18</f>
        <v>8672.2324421161647</v>
      </c>
    </row>
    <row r="23" spans="3:22" ht="11.25" customHeight="1">
      <c r="C23" s="741" t="s">
        <v>93</v>
      </c>
      <c r="D23" s="622"/>
      <c r="E23" s="622"/>
      <c r="F23" s="622"/>
      <c r="G23" s="622"/>
      <c r="H23" s="622"/>
      <c r="I23" s="623">
        <f ca="1">PV($E$26,I21,0,-I22,0)</f>
        <v>-5052.7147579521397</v>
      </c>
      <c r="J23" s="623">
        <f ca="1">PV($E$26,J21,0,-J22,0)</f>
        <v>-745.3366088347135</v>
      </c>
      <c r="K23" s="623">
        <f ca="1">PV($E$26,K21,0,-K22,0)</f>
        <v>2875.0747068483774</v>
      </c>
      <c r="L23" s="742">
        <f ca="1">PV($E$26,L21,0,-L22,0)</f>
        <v>6624.4185640987407</v>
      </c>
    </row>
    <row r="24" spans="3:22" ht="11.25" customHeight="1">
      <c r="F24" s="116"/>
      <c r="G24" s="116"/>
      <c r="H24" s="116"/>
      <c r="I24" s="124"/>
      <c r="J24" s="124"/>
      <c r="K24" s="124"/>
      <c r="L24" s="124"/>
      <c r="M24" s="116"/>
    </row>
    <row r="25" spans="3:22" ht="11.25" customHeight="1">
      <c r="E25" s="512"/>
    </row>
    <row r="26" spans="3:22" ht="11.25" customHeight="1">
      <c r="C26" s="126" t="s">
        <v>94</v>
      </c>
      <c r="D26" s="539"/>
      <c r="E26" s="1027">
        <v>0.08</v>
      </c>
      <c r="H26" s="713" t="s">
        <v>95</v>
      </c>
      <c r="I26" s="714"/>
      <c r="J26" s="714" t="s">
        <v>96</v>
      </c>
      <c r="K26" s="715"/>
      <c r="M26" s="713" t="s">
        <v>97</v>
      </c>
      <c r="N26" s="714"/>
      <c r="O26" s="714"/>
      <c r="P26" s="715"/>
    </row>
    <row r="27" spans="3:22" ht="11.25" customHeight="1">
      <c r="C27" s="123" t="s">
        <v>98</v>
      </c>
      <c r="E27" s="529">
        <f ca="1">+SUM(I23:L23)</f>
        <v>3701.4419041602646</v>
      </c>
      <c r="H27" s="126" t="s">
        <v>99</v>
      </c>
      <c r="I27" s="752" t="e" cm="1">
        <f t="array" ref="I27">IF(Thomson=1,_xll.TR("INTC.O","TR.WACCBeta"),I27)</f>
        <v>#NAME?</v>
      </c>
      <c r="J27" s="112" t="s">
        <v>96</v>
      </c>
      <c r="K27" s="1026">
        <f>+'WACC Calculation'!E18/100</f>
        <v>3.6000000000000004E-2</v>
      </c>
      <c r="M27" s="126" t="s">
        <v>100</v>
      </c>
      <c r="N27" s="538"/>
      <c r="O27" s="539"/>
      <c r="P27" s="630">
        <f>+I35</f>
        <v>38101</v>
      </c>
    </row>
    <row r="28" spans="3:22" ht="11.25" customHeight="1">
      <c r="C28" s="123" t="s">
        <v>101</v>
      </c>
      <c r="E28" s="1028">
        <v>44561</v>
      </c>
      <c r="F28" s="128"/>
      <c r="H28" s="123" t="s">
        <v>102</v>
      </c>
      <c r="I28" s="753" t="e" cm="1">
        <f t="array" ref="I28">(IF(Thomson=1,_xll.TR("INTC.O","TR.WACCInflationAdjRiskFreeRate")/100,I28))</f>
        <v>#NAME?</v>
      </c>
      <c r="J28" s="112" t="s">
        <v>103</v>
      </c>
      <c r="K28" s="1021">
        <v>0.21</v>
      </c>
      <c r="M28" s="631" t="s">
        <v>104</v>
      </c>
      <c r="N28" s="111"/>
      <c r="P28" s="1011">
        <f>-Financials!AB197-Financials!AB198-Financials!AB199-Financials!AB208</f>
        <v>-29253</v>
      </c>
    </row>
    <row r="29" spans="3:22" ht="11.25" customHeight="1">
      <c r="C29" s="123" t="s">
        <v>105</v>
      </c>
      <c r="E29" s="1011">
        <f>+Financials!AB53</f>
        <v>4090</v>
      </c>
      <c r="H29" s="123" t="s">
        <v>106</v>
      </c>
      <c r="I29" s="753" t="e">
        <f>+I30-I28</f>
        <v>#NAME?</v>
      </c>
      <c r="K29" s="749"/>
      <c r="M29" s="631" t="s">
        <v>107</v>
      </c>
      <c r="N29" s="122"/>
      <c r="P29" s="1011">
        <f>-Financials!AB207</f>
        <v>-6298</v>
      </c>
    </row>
    <row r="30" spans="3:22" ht="11.25" customHeight="1">
      <c r="C30" s="1029" t="s">
        <v>108</v>
      </c>
      <c r="E30" s="529" t="e">
        <f>+P34</f>
        <v>#NAME?</v>
      </c>
      <c r="H30" s="123" t="s">
        <v>109</v>
      </c>
      <c r="I30" s="753" t="e" cm="1">
        <f t="array" ref="I30">(IF(Thomson=1,_xll.TR("INTC.O","TR.WACCERP")/100,I30))</f>
        <v>#NAME?</v>
      </c>
      <c r="K30" s="750"/>
      <c r="M30" s="631" t="s">
        <v>110</v>
      </c>
      <c r="P30" s="529">
        <f>-V20</f>
        <v>-29106</v>
      </c>
    </row>
    <row r="31" spans="3:22" ht="11.25" customHeight="1">
      <c r="C31" s="1029"/>
      <c r="E31" s="1030"/>
      <c r="H31" s="123"/>
      <c r="I31" s="750"/>
      <c r="K31" s="750"/>
      <c r="M31" s="631" t="s">
        <v>111</v>
      </c>
      <c r="P31" s="1011" t="e">
        <f>-(Financials!$AC$336+PV(I28,L21,,-Financials!$AS$336))</f>
        <v>#NAME?</v>
      </c>
    </row>
    <row r="32" spans="3:22" ht="11.25" customHeight="1">
      <c r="C32" s="123" t="s">
        <v>112</v>
      </c>
      <c r="E32" s="529">
        <f>+(L9*1.02)-V11</f>
        <v>27726.746706417227</v>
      </c>
      <c r="H32" s="700" t="s">
        <v>113</v>
      </c>
      <c r="I32" s="751" t="e">
        <f>I28+I27*I30</f>
        <v>#NAME?</v>
      </c>
      <c r="J32" s="701" t="s">
        <v>114</v>
      </c>
      <c r="K32" s="751">
        <f>+K27*(1-K28)</f>
        <v>2.8440000000000003E-2</v>
      </c>
      <c r="M32" s="631" t="s">
        <v>115</v>
      </c>
      <c r="N32" s="122"/>
      <c r="P32" s="1009">
        <f>1639*(1-K28)</f>
        <v>1294.81</v>
      </c>
      <c r="R32" s="527" t="s">
        <v>116</v>
      </c>
    </row>
    <row r="33" spans="3:18" ht="11.25" customHeight="1">
      <c r="C33" s="123" t="s">
        <v>117</v>
      </c>
      <c r="E33" s="1031">
        <f>IF(Case=1,N37,IF(Case=2,N38,N39))</f>
        <v>7.5</v>
      </c>
      <c r="F33" s="116"/>
      <c r="H33" s="633" t="s">
        <v>118</v>
      </c>
      <c r="I33" s="698"/>
      <c r="J33" s="698"/>
      <c r="K33" s="634"/>
      <c r="M33" s="631" t="s">
        <v>119</v>
      </c>
      <c r="N33" s="111"/>
      <c r="P33" s="1009">
        <v>4000</v>
      </c>
    </row>
    <row r="34" spans="3:18" ht="11.25" customHeight="1">
      <c r="C34" s="712" t="s">
        <v>120</v>
      </c>
      <c r="D34" s="111"/>
      <c r="E34" s="756">
        <f>E32*E33</f>
        <v>207950.6002981292</v>
      </c>
      <c r="F34" s="129"/>
      <c r="H34" s="704"/>
      <c r="I34" s="705"/>
      <c r="J34" s="706" t="s">
        <v>121</v>
      </c>
      <c r="K34" s="707" t="s">
        <v>122</v>
      </c>
      <c r="M34" s="131" t="s">
        <v>123</v>
      </c>
      <c r="N34" s="132"/>
      <c r="O34" s="127"/>
      <c r="P34" s="133" t="e">
        <f>SUM(P27:P33)</f>
        <v>#NAME?</v>
      </c>
    </row>
    <row r="35" spans="3:18" ht="11.25" customHeight="1">
      <c r="C35" s="123" t="s">
        <v>124</v>
      </c>
      <c r="E35" s="529">
        <f>E34/(1+$E$26)^($L$21)</f>
        <v>158846.2747308765</v>
      </c>
      <c r="F35" s="120"/>
      <c r="H35" s="708" t="s">
        <v>125</v>
      </c>
      <c r="I35" s="119">
        <f>+Debt!AB53</f>
        <v>38101</v>
      </c>
      <c r="J35" s="709">
        <f>+I35/I37</f>
        <v>0.16240269893414197</v>
      </c>
      <c r="K35" s="710">
        <f>K32</f>
        <v>2.8440000000000003E-2</v>
      </c>
      <c r="R35"/>
    </row>
    <row r="36" spans="3:18" ht="11.25" customHeight="1">
      <c r="C36" s="123" t="s">
        <v>98</v>
      </c>
      <c r="E36" s="1032">
        <f ca="1">E27</f>
        <v>3701.4419041602646</v>
      </c>
      <c r="F36" s="120"/>
      <c r="H36" s="708" t="s">
        <v>126</v>
      </c>
      <c r="I36" s="119">
        <f>+'Peer Analysis'!F21</f>
        <v>196507.17</v>
      </c>
      <c r="J36" s="709">
        <f>I36/I37</f>
        <v>0.83759730106585806</v>
      </c>
      <c r="K36" s="711" t="e">
        <f>+I32</f>
        <v>#NAME?</v>
      </c>
      <c r="M36" s="782" t="s">
        <v>71</v>
      </c>
      <c r="N36" s="634" t="s">
        <v>127</v>
      </c>
    </row>
    <row r="37" spans="3:18" ht="11.25" customHeight="1">
      <c r="C37" s="712" t="s">
        <v>128</v>
      </c>
      <c r="E37" s="756">
        <f ca="1">+E35+E36+E25</f>
        <v>162547.71663503675</v>
      </c>
      <c r="F37" s="116"/>
      <c r="H37" s="712" t="s">
        <v>129</v>
      </c>
      <c r="I37" s="616">
        <f>+I36+I35</f>
        <v>234608.17</v>
      </c>
      <c r="K37" s="699"/>
      <c r="M37" s="717" t="s">
        <v>130</v>
      </c>
      <c r="N37" s="1016">
        <v>9</v>
      </c>
    </row>
    <row r="38" spans="3:18" ht="11.25" customHeight="1">
      <c r="C38" s="1033" t="str">
        <f>+C30</f>
        <v>Net Debt, Pref.,&amp; Minority Interest and Equity Inv.</v>
      </c>
      <c r="E38" s="1032" t="e">
        <f>-E30</f>
        <v>#NAME?</v>
      </c>
      <c r="H38" s="123"/>
      <c r="I38" s="116"/>
      <c r="K38" s="699"/>
      <c r="M38" s="716" t="s">
        <v>131</v>
      </c>
      <c r="N38" s="1017">
        <v>7.5</v>
      </c>
    </row>
    <row r="39" spans="3:18" ht="11.25" customHeight="1">
      <c r="C39" s="1034" t="s">
        <v>132</v>
      </c>
      <c r="E39" s="756" t="e">
        <f ca="1">+E37+E38</f>
        <v>#NAME?</v>
      </c>
      <c r="F39" s="115"/>
      <c r="H39" s="700" t="s">
        <v>118</v>
      </c>
      <c r="I39" s="703"/>
      <c r="J39" s="703"/>
      <c r="K39" s="702" t="e">
        <f>(J35*K35)+(J36*K36)</f>
        <v>#NAME?</v>
      </c>
      <c r="M39" s="718" t="s">
        <v>133</v>
      </c>
      <c r="N39" s="1018">
        <v>5</v>
      </c>
    </row>
    <row r="40" spans="3:18" ht="11.25" customHeight="1">
      <c r="C40" s="1034"/>
      <c r="E40" s="756"/>
      <c r="F40" s="115"/>
      <c r="H40" s="700" t="s">
        <v>94</v>
      </c>
      <c r="I40" s="703"/>
      <c r="J40" s="703"/>
      <c r="K40" s="702">
        <f>E26</f>
        <v>0.08</v>
      </c>
      <c r="O40" s="765"/>
      <c r="P40" s="632"/>
    </row>
    <row r="41" spans="3:18" ht="11.25" customHeight="1">
      <c r="C41" s="712"/>
      <c r="E41" s="1035"/>
    </row>
    <row r="42" spans="3:18" ht="11.25" customHeight="1">
      <c r="C42" s="1036" t="s">
        <v>134</v>
      </c>
      <c r="D42" s="111"/>
      <c r="E42" s="626" t="e">
        <f ca="1">+E39/E29</f>
        <v>#NAME?</v>
      </c>
      <c r="F42" s="116"/>
      <c r="H42" s="633" t="s">
        <v>135</v>
      </c>
      <c r="I42" s="633"/>
      <c r="J42" s="633"/>
      <c r="K42" s="633"/>
      <c r="M42" s="633" t="s">
        <v>136</v>
      </c>
      <c r="N42" s="698"/>
      <c r="O42" s="698"/>
      <c r="P42" s="634"/>
    </row>
    <row r="43" spans="3:18" ht="11.25" customHeight="1">
      <c r="C43" s="123" t="s">
        <v>137</v>
      </c>
      <c r="E43" s="1037">
        <f ca="1">+(E34*E26-L18)/(E34+L18)</f>
        <v>3.6763509557109636E-2</v>
      </c>
      <c r="H43" s="764" t="s">
        <v>138</v>
      </c>
      <c r="I43" s="714" t="s">
        <v>5</v>
      </c>
      <c r="J43" s="714" t="s">
        <v>6</v>
      </c>
      <c r="K43" s="715" t="s">
        <v>7</v>
      </c>
      <c r="M43" s="775" t="s">
        <v>139</v>
      </c>
      <c r="N43" s="776">
        <f>E45</f>
        <v>48.27</v>
      </c>
      <c r="O43" s="779" t="s">
        <v>140</v>
      </c>
      <c r="P43" s="1025" t="s">
        <v>141</v>
      </c>
    </row>
    <row r="44" spans="3:18" ht="11.25" customHeight="1">
      <c r="C44" s="123"/>
      <c r="E44" s="1038"/>
      <c r="H44" s="123" t="s">
        <v>142</v>
      </c>
      <c r="I44" s="119">
        <v>11362.330757491894</v>
      </c>
      <c r="J44" s="119">
        <f ca="1">E27</f>
        <v>3701.4419041602646</v>
      </c>
      <c r="K44" s="529">
        <v>1474.0481485653518</v>
      </c>
      <c r="M44" s="777" t="s">
        <v>143</v>
      </c>
      <c r="N44" s="760" t="e">
        <f ca="1">E42</f>
        <v>#NAME?</v>
      </c>
      <c r="O44" s="780" t="s">
        <v>144</v>
      </c>
      <c r="P44" s="1023">
        <f>'Peer Analysis'!F21/1000</f>
        <v>196.50717</v>
      </c>
    </row>
    <row r="45" spans="3:18" ht="11.25" customHeight="1">
      <c r="C45" s="1036" t="s">
        <v>145</v>
      </c>
      <c r="E45" s="627">
        <f>+'Peer Analysis'!E21</f>
        <v>48.27</v>
      </c>
      <c r="H45" s="123" t="s">
        <v>146</v>
      </c>
      <c r="I45" s="119">
        <v>269511.76553300268</v>
      </c>
      <c r="J45" s="119">
        <f>E35</f>
        <v>158846.2747308765</v>
      </c>
      <c r="K45" s="529">
        <v>103983.40039980401</v>
      </c>
      <c r="M45" s="777" t="s">
        <v>147</v>
      </c>
      <c r="N45" s="727" t="e">
        <f ca="1">N44/N43-1</f>
        <v>#NAME?</v>
      </c>
      <c r="O45" s="780" t="s">
        <v>148</v>
      </c>
      <c r="P45" s="1023">
        <f>'Peer Analysis'!G21/1000</f>
        <v>206.19517000000002</v>
      </c>
    </row>
    <row r="46" spans="3:18" ht="11.25" customHeight="1">
      <c r="C46" s="125" t="s">
        <v>149</v>
      </c>
      <c r="D46" s="127"/>
      <c r="E46" s="1039" t="str">
        <f ca="1">+IFERROR(E42/E45-1,"NA ")</f>
        <v xml:space="preserve">NA </v>
      </c>
      <c r="H46" s="754" t="s">
        <v>150</v>
      </c>
      <c r="I46" s="628">
        <v>280874.09629049455</v>
      </c>
      <c r="J46" s="628">
        <f ca="1">SUM(J44:J45)</f>
        <v>162547.71663503675</v>
      </c>
      <c r="K46" s="755">
        <v>105457.44854836937</v>
      </c>
      <c r="M46" s="777" t="s">
        <v>151</v>
      </c>
      <c r="N46" s="736"/>
      <c r="O46" s="780" t="s">
        <v>152</v>
      </c>
      <c r="P46" s="1024" t="s">
        <v>153</v>
      </c>
    </row>
    <row r="47" spans="3:18" ht="11.25" customHeight="1">
      <c r="H47" s="123"/>
      <c r="K47" s="736"/>
      <c r="M47" s="777" t="s">
        <v>154</v>
      </c>
      <c r="N47" s="1019">
        <f ca="1">'Peers Stock History'!N29</f>
        <v>-0.21630804077010202</v>
      </c>
      <c r="O47" s="780" t="s">
        <v>155</v>
      </c>
      <c r="P47" s="1026">
        <f>Financials!AO79</f>
        <v>0.23436173223889045</v>
      </c>
    </row>
    <row r="48" spans="3:18" ht="11.25" customHeight="1">
      <c r="H48" s="123" t="s">
        <v>156</v>
      </c>
      <c r="I48" s="116">
        <v>30048.877611197051</v>
      </c>
      <c r="J48" s="116" t="e">
        <f>E38</f>
        <v>#NAME?</v>
      </c>
      <c r="K48" s="740">
        <v>30048.877611197051</v>
      </c>
      <c r="M48" s="777" t="s">
        <v>157</v>
      </c>
      <c r="N48" s="1019">
        <f ca="1">'Peers Stock History'!N31</f>
        <v>0.34368932038834954</v>
      </c>
      <c r="O48" s="780" t="s">
        <v>158</v>
      </c>
      <c r="P48" s="1026">
        <f>Financials!AO80</f>
        <v>0.11638713450292397</v>
      </c>
    </row>
    <row r="49" spans="6:18" ht="11.25" customHeight="1">
      <c r="H49" s="754" t="s">
        <v>159</v>
      </c>
      <c r="I49" s="628">
        <v>310922.97390169161</v>
      </c>
      <c r="J49" s="628" t="e">
        <f ca="1">J46+J48</f>
        <v>#NAME?</v>
      </c>
      <c r="K49" s="755">
        <v>135506.32615956641</v>
      </c>
      <c r="M49" s="778" t="s">
        <v>160</v>
      </c>
      <c r="N49" s="1020">
        <f ca="1">'Peers Stock History'!N32</f>
        <v>0.8057781919850886</v>
      </c>
      <c r="O49" s="781" t="s">
        <v>161</v>
      </c>
      <c r="P49" s="1022">
        <v>2.9000000000000001E-2</v>
      </c>
    </row>
    <row r="50" spans="6:18" ht="11.25" customHeight="1">
      <c r="H50" s="712"/>
      <c r="I50" s="625"/>
      <c r="J50" s="625"/>
      <c r="K50" s="756"/>
    </row>
    <row r="51" spans="6:18" ht="11.25" customHeight="1">
      <c r="H51" s="757" t="s">
        <v>162</v>
      </c>
      <c r="I51" s="116">
        <v>4090</v>
      </c>
      <c r="J51" s="116">
        <f>E29</f>
        <v>4090</v>
      </c>
      <c r="K51" s="740">
        <v>4090</v>
      </c>
    </row>
    <row r="52" spans="6:18" ht="11.25" customHeight="1">
      <c r="H52" s="754" t="s">
        <v>163</v>
      </c>
      <c r="I52" s="629">
        <v>76.020287017528517</v>
      </c>
      <c r="J52" s="629" t="e">
        <f ca="1">J49/J51</f>
        <v>#NAME?</v>
      </c>
      <c r="K52" s="758">
        <v>33.131131090358537</v>
      </c>
    </row>
    <row r="53" spans="6:18" ht="11.25" customHeight="1">
      <c r="H53" s="123"/>
      <c r="K53" s="736"/>
    </row>
    <row r="54" spans="6:18" ht="11.25" customHeight="1">
      <c r="H54" s="123" t="s">
        <v>164</v>
      </c>
      <c r="I54" s="759">
        <v>48.27</v>
      </c>
      <c r="J54" s="759">
        <f>E45</f>
        <v>48.27</v>
      </c>
      <c r="K54" s="760">
        <v>48.27</v>
      </c>
      <c r="O54" s="111"/>
      <c r="P54" s="625"/>
      <c r="Q54" s="625"/>
      <c r="R54" s="625"/>
    </row>
    <row r="55" spans="6:18" ht="11.25" customHeight="1">
      <c r="H55" s="761" t="s">
        <v>149</v>
      </c>
      <c r="I55" s="762">
        <v>0.57489718287815439</v>
      </c>
      <c r="J55" s="762" t="e">
        <f ca="1">J52/J54-1</f>
        <v>#NAME?</v>
      </c>
      <c r="K55" s="763">
        <v>-0.31362893949951243</v>
      </c>
      <c r="O55" s="111"/>
      <c r="P55" s="625"/>
      <c r="Q55" s="625"/>
      <c r="R55" s="625"/>
    </row>
    <row r="56" spans="6:18" ht="11.25" customHeight="1">
      <c r="H56" s="748"/>
      <c r="O56" s="111"/>
      <c r="P56" s="625"/>
      <c r="Q56" s="625"/>
      <c r="R56" s="625"/>
    </row>
    <row r="57" spans="6:18" ht="11.25" customHeight="1">
      <c r="F57" s="748"/>
      <c r="G57" s="767"/>
      <c r="H57" s="768" t="s">
        <v>165</v>
      </c>
      <c r="I57" s="768"/>
      <c r="J57" s="768"/>
      <c r="K57" s="768"/>
      <c r="L57" s="769"/>
      <c r="O57" s="111"/>
      <c r="P57" s="625"/>
      <c r="Q57" s="625"/>
      <c r="R57" s="625"/>
    </row>
    <row r="58" spans="6:18" ht="11.25" customHeight="1">
      <c r="F58" s="748"/>
      <c r="G58" s="770" t="e">
        <f ca="1">E42</f>
        <v>#NAME?</v>
      </c>
      <c r="H58" s="513">
        <v>5</v>
      </c>
      <c r="I58" s="514">
        <f>H58+1</f>
        <v>6</v>
      </c>
      <c r="J58" s="514">
        <f t="shared" ref="J58:L58" si="10">I58+1</f>
        <v>7</v>
      </c>
      <c r="K58" s="514">
        <f t="shared" si="10"/>
        <v>8</v>
      </c>
      <c r="L58" s="771">
        <f t="shared" si="10"/>
        <v>9</v>
      </c>
      <c r="N58" s="121"/>
      <c r="O58" s="111"/>
      <c r="P58" s="625"/>
      <c r="Q58" s="625"/>
      <c r="R58" s="625"/>
    </row>
    <row r="59" spans="6:18" ht="11.25" customHeight="1">
      <c r="F59" s="748"/>
      <c r="G59" s="772">
        <v>0.06</v>
      </c>
      <c r="H59" s="137" t="e">
        <f t="dataTable" ref="H59:L63" dt2D="1" dtr="1" r1="E33" r2="E26" ca="1"/>
        <v>#NAME?</v>
      </c>
      <c r="I59" s="766" t="e">
        <v>#NAME?</v>
      </c>
      <c r="J59" s="766" t="e">
        <v>#NAME?</v>
      </c>
      <c r="K59" s="766" t="e">
        <v>#NAME?</v>
      </c>
      <c r="L59" s="138" t="e">
        <v>#NAME?</v>
      </c>
      <c r="N59" s="121"/>
      <c r="O59" s="111"/>
      <c r="P59" s="625"/>
      <c r="Q59" s="625"/>
      <c r="R59" s="625"/>
    </row>
    <row r="60" spans="6:18" ht="11.25" customHeight="1">
      <c r="F60" s="748"/>
      <c r="G60" s="773">
        <f>G59+1%</f>
        <v>6.9999999999999993E-2</v>
      </c>
      <c r="H60" s="139" t="e">
        <v>#NAME?</v>
      </c>
      <c r="I60" s="748" t="e">
        <v>#NAME?</v>
      </c>
      <c r="J60" s="748" t="e">
        <v>#NAME?</v>
      </c>
      <c r="K60" s="748" t="e">
        <v>#NAME?</v>
      </c>
      <c r="L60" s="140" t="e">
        <v>#NAME?</v>
      </c>
      <c r="N60" s="121"/>
      <c r="O60" s="111"/>
      <c r="P60" s="625"/>
      <c r="Q60" s="625"/>
      <c r="R60" s="625"/>
    </row>
    <row r="61" spans="6:18" ht="11.25" customHeight="1">
      <c r="F61" s="748"/>
      <c r="G61" s="773">
        <f>G60+1%</f>
        <v>7.9999999999999988E-2</v>
      </c>
      <c r="H61" s="139" t="e">
        <v>#NAME?</v>
      </c>
      <c r="I61" s="748" t="e">
        <v>#NAME?</v>
      </c>
      <c r="J61" s="141" t="e">
        <v>#NAME?</v>
      </c>
      <c r="K61" s="748" t="e">
        <v>#NAME?</v>
      </c>
      <c r="L61" s="140" t="e">
        <v>#NAME?</v>
      </c>
      <c r="N61" s="121"/>
      <c r="O61" s="111"/>
      <c r="P61" s="625"/>
      <c r="Q61" s="625"/>
      <c r="R61" s="625"/>
    </row>
    <row r="62" spans="6:18" ht="11.25" customHeight="1">
      <c r="F62" s="748"/>
      <c r="G62" s="773">
        <f>G61+1%</f>
        <v>8.9999999999999983E-2</v>
      </c>
      <c r="H62" s="139" t="e">
        <v>#NAME?</v>
      </c>
      <c r="I62" s="748" t="e">
        <v>#NAME?</v>
      </c>
      <c r="J62" s="748" t="e">
        <v>#NAME?</v>
      </c>
      <c r="K62" s="748" t="e">
        <v>#NAME?</v>
      </c>
      <c r="L62" s="140" t="e">
        <v>#NAME?</v>
      </c>
      <c r="N62" s="121"/>
      <c r="O62" s="111"/>
      <c r="P62" s="625"/>
      <c r="Q62" s="625"/>
      <c r="R62" s="625"/>
    </row>
    <row r="63" spans="6:18" ht="11.25" customHeight="1">
      <c r="F63" s="748"/>
      <c r="G63" s="774">
        <f>G62+1%</f>
        <v>9.9999999999999978E-2</v>
      </c>
      <c r="H63" s="142" t="e">
        <v>#NAME?</v>
      </c>
      <c r="I63" s="143" t="e">
        <v>#NAME?</v>
      </c>
      <c r="J63" s="143" t="e">
        <v>#NAME?</v>
      </c>
      <c r="K63" s="143" t="e">
        <v>#NAME?</v>
      </c>
      <c r="L63" s="144" t="e">
        <v>#NAME?</v>
      </c>
      <c r="N63" s="121"/>
      <c r="O63" s="111"/>
      <c r="P63" s="625"/>
      <c r="Q63" s="625"/>
      <c r="R63" s="625"/>
    </row>
    <row r="64" spans="6:18" ht="11.25" customHeight="1">
      <c r="F64" s="748"/>
      <c r="G64" s="120"/>
      <c r="H64" s="748"/>
      <c r="I64" s="748"/>
      <c r="J64" s="748"/>
      <c r="K64" s="748"/>
      <c r="L64" s="748"/>
      <c r="N64" s="121"/>
      <c r="O64" s="111"/>
      <c r="P64" s="625"/>
      <c r="Q64" s="625"/>
      <c r="R64" s="625"/>
    </row>
    <row r="65" spans="2:12" ht="11.25" hidden="1" customHeight="1" outlineLevel="1">
      <c r="B65" s="111" t="s">
        <v>9</v>
      </c>
      <c r="C65" s="323" t="s">
        <v>166</v>
      </c>
      <c r="D65" s="116"/>
      <c r="E65" s="116"/>
      <c r="F65" s="324"/>
      <c r="G65" s="324"/>
      <c r="H65" s="324"/>
    </row>
    <row r="66" spans="2:12" ht="11.25" hidden="1" customHeight="1" outlineLevel="1">
      <c r="C66" s="120"/>
      <c r="D66" s="325"/>
      <c r="E66" s="325"/>
      <c r="F66" s="325"/>
      <c r="G66" s="325"/>
      <c r="H66" s="325"/>
    </row>
    <row r="67" spans="2:12" ht="11.25" hidden="1" customHeight="1" outlineLevel="1">
      <c r="C67" s="326" t="s">
        <v>145</v>
      </c>
      <c r="E67" s="135">
        <f>+E45</f>
        <v>48.27</v>
      </c>
      <c r="F67" s="325"/>
      <c r="G67" s="325"/>
      <c r="H67" s="325"/>
    </row>
    <row r="68" spans="2:12" ht="11.25" hidden="1" customHeight="1" outlineLevel="1">
      <c r="C68" s="326" t="s">
        <v>128</v>
      </c>
      <c r="E68" s="569">
        <f>+'Peer Analysis'!G21</f>
        <v>206195.17</v>
      </c>
      <c r="F68" s="325"/>
      <c r="G68" s="325"/>
      <c r="H68" s="325"/>
    </row>
    <row r="69" spans="2:12" ht="11.25" hidden="1" customHeight="1" outlineLevel="1"/>
    <row r="70" spans="2:12" ht="11.25" hidden="1" customHeight="1" outlineLevel="1">
      <c r="B70" s="111"/>
    </row>
    <row r="71" spans="2:12" ht="11.25" hidden="1" customHeight="1" outlineLevel="1">
      <c r="C71" s="120"/>
      <c r="D71" s="543" t="s">
        <v>167</v>
      </c>
      <c r="E71" s="544"/>
      <c r="F71" s="545"/>
      <c r="H71" s="543" t="s">
        <v>168</v>
      </c>
      <c r="I71" s="544"/>
      <c r="J71" s="545"/>
    </row>
    <row r="72" spans="2:12" ht="11.25" hidden="1" customHeight="1" outlineLevel="1">
      <c r="D72" s="327">
        <v>2021</v>
      </c>
      <c r="E72" s="328">
        <f>+D72+1</f>
        <v>2022</v>
      </c>
      <c r="F72" s="329">
        <f>+E72+1</f>
        <v>2023</v>
      </c>
      <c r="H72" s="327">
        <f>+D72</f>
        <v>2021</v>
      </c>
      <c r="I72" s="328">
        <f>+E72</f>
        <v>2022</v>
      </c>
      <c r="J72" s="329">
        <f>+F72</f>
        <v>2023</v>
      </c>
    </row>
    <row r="73" spans="2:12" ht="11.25" hidden="1" customHeight="1" outlineLevel="1">
      <c r="C73" s="326" t="s">
        <v>169</v>
      </c>
      <c r="D73" s="330">
        <f ca="1">+$E$37/H9</f>
        <v>4.7812370690071697</v>
      </c>
      <c r="E73" s="331">
        <f ca="1">+$E$37/I9</f>
        <v>7.3974319128865051</v>
      </c>
      <c r="F73" s="332">
        <f ca="1">+$E$37/J9</f>
        <v>6.8471853486391465</v>
      </c>
      <c r="H73" s="330" t="e">
        <f ca="1">+$E$42/Financials!AO188</f>
        <v>#NAME?</v>
      </c>
      <c r="I73" s="331" t="e">
        <f ca="1">+$E$42/Financials!AP188</f>
        <v>#NAME?</v>
      </c>
      <c r="J73" s="332" t="e">
        <f ca="1">+$E$42/Financials!AQ188</f>
        <v>#NAME?</v>
      </c>
    </row>
    <row r="74" spans="2:12" ht="11.25" hidden="1" customHeight="1" outlineLevel="1">
      <c r="C74" s="326" t="s">
        <v>170</v>
      </c>
      <c r="D74" s="333">
        <f>+$E$68/H9</f>
        <v>6.0650989793217054</v>
      </c>
      <c r="E74" s="334">
        <f>+$E$68/I9</f>
        <v>9.3837967239232238</v>
      </c>
      <c r="F74" s="335">
        <f>+$E$68/J9</f>
        <v>8.6857974766520716</v>
      </c>
      <c r="H74" s="333">
        <f>+$E$67/Financials!AO188</f>
        <v>8.8309312936124549</v>
      </c>
      <c r="I74" s="334">
        <f ca="1">+$E$67/Financials!AP188</f>
        <v>24.830879780052488</v>
      </c>
      <c r="J74" s="335">
        <f ca="1">+$E$67/Financials!AQ188</f>
        <v>23.408236450855721</v>
      </c>
    </row>
    <row r="75" spans="2:12" ht="11.25" hidden="1" customHeight="1" outlineLevel="1">
      <c r="C75" s="111" t="s">
        <v>171</v>
      </c>
      <c r="D75" s="125"/>
      <c r="E75" s="336"/>
      <c r="F75" s="546"/>
      <c r="H75" s="125"/>
      <c r="I75" s="336"/>
      <c r="J75" s="546"/>
    </row>
    <row r="76" spans="2:12" ht="11.25" hidden="1" customHeight="1" outlineLevel="1">
      <c r="C76" s="120"/>
      <c r="D76" s="324"/>
      <c r="E76" s="337"/>
      <c r="F76" s="337"/>
      <c r="G76" s="337"/>
      <c r="H76" s="337"/>
      <c r="J76" s="324"/>
      <c r="K76" s="337"/>
      <c r="L76" s="337"/>
    </row>
    <row r="77" spans="2:12" ht="11.25" hidden="1" customHeight="1" outlineLevel="1"/>
    <row r="78" spans="2:12" ht="11.25" hidden="1" customHeight="1" outlineLevel="1">
      <c r="C78" s="120"/>
      <c r="D78" s="543" t="s">
        <v>172</v>
      </c>
      <c r="E78" s="544"/>
      <c r="F78" s="545"/>
      <c r="H78" s="541" t="s">
        <v>173</v>
      </c>
      <c r="I78" s="542"/>
      <c r="J78" s="547"/>
    </row>
    <row r="79" spans="2:12" ht="11.25" hidden="1" customHeight="1" outlineLevel="1">
      <c r="D79" s="549">
        <f>+D72</f>
        <v>2021</v>
      </c>
      <c r="E79" s="548">
        <f>+E72</f>
        <v>2022</v>
      </c>
      <c r="F79" s="550">
        <f>+F72</f>
        <v>2023</v>
      </c>
      <c r="H79" s="327">
        <f>H72</f>
        <v>2021</v>
      </c>
      <c r="I79" s="328">
        <f>I72</f>
        <v>2022</v>
      </c>
      <c r="J79" s="329">
        <f>J72</f>
        <v>2023</v>
      </c>
    </row>
    <row r="80" spans="2:12" ht="11.25" hidden="1" customHeight="1" outlineLevel="1">
      <c r="C80" s="326" t="s">
        <v>169</v>
      </c>
      <c r="D80" s="553">
        <f ca="1">+$E$37/Financials!AO119</f>
        <v>2.1754827034320612</v>
      </c>
      <c r="E80" s="554">
        <f ca="1">+$E$37/Financials!AP119</f>
        <v>2.3345081433906034</v>
      </c>
      <c r="F80" s="555">
        <f ca="1">+$E$37/Financials!AQ119</f>
        <v>2.4746365045984153</v>
      </c>
      <c r="H80" s="330"/>
      <c r="I80" s="331"/>
      <c r="J80" s="332"/>
    </row>
    <row r="81" spans="2:13" ht="11.25" hidden="1" customHeight="1" outlineLevel="1">
      <c r="C81" s="326" t="s">
        <v>170</v>
      </c>
      <c r="D81" s="333">
        <f>+$E$68/Financials!AO119</f>
        <v>2.7596451992826361</v>
      </c>
      <c r="E81" s="334">
        <f>+$E$68/Financials!AP119</f>
        <v>2.961372287828576</v>
      </c>
      <c r="F81" s="335">
        <f>+$E$68/Financials!AQ119</f>
        <v>3.1391280377044142</v>
      </c>
      <c r="H81" s="333"/>
      <c r="I81" s="334"/>
      <c r="J81" s="335"/>
    </row>
    <row r="82" spans="2:13" ht="11.25" hidden="1" customHeight="1" outlineLevel="1">
      <c r="C82" s="111" t="s">
        <v>171</v>
      </c>
      <c r="D82" s="125"/>
      <c r="E82" s="336"/>
      <c r="F82" s="546"/>
      <c r="H82" s="125"/>
      <c r="I82" s="336"/>
      <c r="J82" s="546"/>
    </row>
    <row r="83" spans="2:13" ht="11.25" hidden="1" customHeight="1" outlineLevel="1"/>
    <row r="84" spans="2:13" ht="11.25" hidden="1" customHeight="1" outlineLevel="1">
      <c r="B84" s="111"/>
    </row>
    <row r="85" spans="2:13" ht="11.25" hidden="1" customHeight="1" outlineLevel="1">
      <c r="B85" s="111" t="s">
        <v>9</v>
      </c>
      <c r="C85" s="112" t="s">
        <v>174</v>
      </c>
    </row>
    <row r="86" spans="2:13" ht="11.25" hidden="1" customHeight="1" outlineLevel="1">
      <c r="B86" s="111"/>
    </row>
    <row r="87" spans="2:13" ht="11.25" hidden="1" customHeight="1" outlineLevel="1">
      <c r="B87" s="117"/>
      <c r="C87" s="230" t="s">
        <v>2</v>
      </c>
      <c r="D87" s="231">
        <f t="shared" ref="D87:M87" si="11">YEAR(D88)</f>
        <v>2017</v>
      </c>
      <c r="E87" s="231">
        <f t="shared" si="11"/>
        <v>2018</v>
      </c>
      <c r="F87" s="231">
        <f t="shared" si="11"/>
        <v>2019</v>
      </c>
      <c r="G87" s="231">
        <f t="shared" si="11"/>
        <v>2020</v>
      </c>
      <c r="H87" s="232">
        <f t="shared" si="11"/>
        <v>2021</v>
      </c>
      <c r="I87" s="232">
        <f t="shared" si="11"/>
        <v>2022</v>
      </c>
      <c r="J87" s="233">
        <f t="shared" si="11"/>
        <v>2023</v>
      </c>
      <c r="K87" s="233">
        <f t="shared" si="11"/>
        <v>2024</v>
      </c>
      <c r="L87" s="233">
        <f t="shared" si="11"/>
        <v>2025</v>
      </c>
      <c r="M87" s="233">
        <f t="shared" si="11"/>
        <v>2026</v>
      </c>
    </row>
    <row r="88" spans="2:13" ht="11.25" hidden="1" customHeight="1" outlineLevel="1">
      <c r="B88" s="228"/>
      <c r="C88" s="229" t="s">
        <v>3</v>
      </c>
      <c r="D88" s="229">
        <v>43100</v>
      </c>
      <c r="E88" s="229">
        <f t="shared" ref="E88:M88" si="12">EOMONTH(D88,12)</f>
        <v>43465</v>
      </c>
      <c r="F88" s="229">
        <f t="shared" si="12"/>
        <v>43830</v>
      </c>
      <c r="G88" s="229">
        <f t="shared" si="12"/>
        <v>44196</v>
      </c>
      <c r="H88" s="229">
        <f t="shared" si="12"/>
        <v>44561</v>
      </c>
      <c r="I88" s="229">
        <f t="shared" si="12"/>
        <v>44926</v>
      </c>
      <c r="J88" s="229">
        <f t="shared" si="12"/>
        <v>45291</v>
      </c>
      <c r="K88" s="229">
        <f t="shared" si="12"/>
        <v>45657</v>
      </c>
      <c r="L88" s="229">
        <f t="shared" si="12"/>
        <v>46022</v>
      </c>
      <c r="M88" s="229">
        <f t="shared" si="12"/>
        <v>46387</v>
      </c>
    </row>
    <row r="89" spans="2:13" ht="11.25" hidden="1" customHeight="1" outlineLevel="1"/>
    <row r="90" spans="2:13" ht="11.25" hidden="1" customHeight="1" outlineLevel="1">
      <c r="C90" s="112" t="str">
        <f>+Financials!C324</f>
        <v>Net cash flows from operating activities</v>
      </c>
      <c r="I90" s="116">
        <f ca="1">+Financials!AP324</f>
        <v>18754.108689251916</v>
      </c>
      <c r="J90" s="116">
        <f ca="1">+Financials!AQ324</f>
        <v>21844.602745125296</v>
      </c>
      <c r="K90" s="116">
        <f ca="1">+Financials!AR324</f>
        <v>25438.014033861353</v>
      </c>
      <c r="L90" s="116">
        <f ca="1">+Financials!AS324</f>
        <v>26997.913513394127</v>
      </c>
    </row>
    <row r="91" spans="2:13" ht="11.25" hidden="1" customHeight="1" outlineLevel="1">
      <c r="C91" s="112" t="s">
        <v>175</v>
      </c>
      <c r="I91" s="116">
        <f ca="1">-Financials!AP37*(1-Financials!AP41)</f>
        <v>741.94738100000018</v>
      </c>
      <c r="J91" s="116">
        <f ca="1">-Financials!AQ37*(1-Financials!AQ41)</f>
        <v>686.08592799999997</v>
      </c>
      <c r="K91" s="116">
        <f ca="1">-Financials!AR37*(1-Financials!AR41)</f>
        <v>664.52090299999998</v>
      </c>
      <c r="L91" s="116">
        <f ca="1">-Financials!AS37*(1-Financials!AS41)</f>
        <v>608.40522799999997</v>
      </c>
    </row>
    <row r="92" spans="2:13" ht="11.25" hidden="1" customHeight="1" outlineLevel="1">
      <c r="C92" s="112" t="s">
        <v>176</v>
      </c>
      <c r="I92" s="116">
        <f>Financials!AP326</f>
        <v>-24369.887499999997</v>
      </c>
      <c r="J92" s="116">
        <f>Financials!AQ326</f>
        <v>-22989.922243749999</v>
      </c>
      <c r="K92" s="116">
        <f>Financials!AR326</f>
        <v>-21752.855304400004</v>
      </c>
      <c r="L92" s="116">
        <f>Financials!AS326</f>
        <v>-17779.079182609381</v>
      </c>
    </row>
    <row r="93" spans="2:13" ht="11.25" hidden="1" customHeight="1" outlineLevel="1">
      <c r="C93" s="112" t="s">
        <v>177</v>
      </c>
      <c r="I93" s="116">
        <f>-S12</f>
        <v>-279.75</v>
      </c>
      <c r="J93" s="116">
        <f>-T12</f>
        <v>-363.67500000000001</v>
      </c>
      <c r="K93" s="116">
        <f>-U12</f>
        <v>-787.96249999999998</v>
      </c>
      <c r="L93" s="116">
        <f>-V12</f>
        <v>-984.953125</v>
      </c>
    </row>
    <row r="94" spans="2:13" ht="11.25" hidden="1" customHeight="1" outlineLevel="1">
      <c r="C94" s="122" t="s">
        <v>178</v>
      </c>
      <c r="I94" s="507">
        <f ca="1">SUM(I90:I93)</f>
        <v>-5153.5814297480792</v>
      </c>
      <c r="J94" s="507">
        <f ca="1">SUM(J90:J93)</f>
        <v>-822.90857062470309</v>
      </c>
      <c r="K94" s="507">
        <f ca="1">SUM(K90:K93)</f>
        <v>3561.7171324613496</v>
      </c>
      <c r="L94" s="507">
        <f ca="1">SUM(L90:L93)</f>
        <v>8842.2864337847459</v>
      </c>
    </row>
    <row r="95" spans="2:13" ht="11.25" hidden="1" customHeight="1" outlineLevel="1">
      <c r="C95" s="122" t="s">
        <v>179</v>
      </c>
      <c r="I95" s="116">
        <f ca="1">I18</f>
        <v>-5250.9352061557138</v>
      </c>
      <c r="J95" s="116">
        <f ca="1">J18</f>
        <v>-836.54264715734348</v>
      </c>
      <c r="K95" s="116">
        <f ca="1">K18</f>
        <v>3485.0460633974594</v>
      </c>
      <c r="L95" s="116">
        <f ca="1">L18</f>
        <v>8672.2324421161647</v>
      </c>
    </row>
    <row r="96" spans="2:13" ht="11.25" hidden="1" customHeight="1" outlineLevel="1"/>
    <row r="97" spans="2:2" ht="11.25" hidden="1" customHeight="1" outlineLevel="1"/>
    <row r="98" spans="2:2" ht="11.25" customHeight="1" collapsed="1"/>
    <row r="107" spans="2:2" ht="11.25" customHeight="1">
      <c r="B107" s="112" t="s">
        <v>9</v>
      </c>
    </row>
  </sheetData>
  <conditionalFormatting sqref="E46">
    <cfRule type="cellIs" dxfId="38" priority="6" operator="lessThan">
      <formula>0</formula>
    </cfRule>
    <cfRule type="cellIs" dxfId="37" priority="7" operator="greaterThan">
      <formula>0</formula>
    </cfRule>
  </conditionalFormatting>
  <conditionalFormatting sqref="H59:L64 F57:F64 H56">
    <cfRule type="colorScale" priority="71">
      <colorScale>
        <cfvo type="min"/>
        <cfvo type="percentile" val="50"/>
        <cfvo type="max"/>
        <color rgb="FFF8696B"/>
        <color rgb="FFFCFCFF"/>
        <color rgb="FF63BE7B"/>
      </colorScale>
    </cfRule>
  </conditionalFormatting>
  <dataValidations disablePrompts="1" count="1">
    <dataValidation type="list" allowBlank="1" showInputMessage="1" showErrorMessage="1" sqref="G3" xr:uid="{C0F3BD80-2D66-4861-83DC-218F66CD4296}">
      <formula1>$I$2:$K$2</formula1>
    </dataValidation>
  </dataValidations>
  <hyperlinks>
    <hyperlink ref="R32" r:id="rId1" xr:uid="{5820E8AC-3264-4D3C-A242-E5A028BCA412}"/>
  </hyperlinks>
  <pageMargins left="0.7" right="0.7" top="0.75" bottom="0.75" header="0.3" footer="0.3"/>
  <pageSetup scale="52" orientation="landscape" verticalDpi="300"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C4630-CEAB-43A7-A093-122C947FC9D7}">
  <sheetPr>
    <pageSetUpPr fitToPage="1"/>
  </sheetPr>
  <dimension ref="A1:BR445"/>
  <sheetViews>
    <sheetView showGridLines="0" zoomScaleNormal="100" workbookViewId="0">
      <pane xSplit="4" ySplit="6" topLeftCell="E7" activePane="bottomRight" state="frozen"/>
      <selection pane="topRight"/>
      <selection pane="bottomLeft"/>
      <selection pane="bottomRight" activeCell="E7" sqref="E7"/>
    </sheetView>
  </sheetViews>
  <sheetFormatPr defaultColWidth="9.36328125" defaultRowHeight="10.5" outlineLevelRow="1" outlineLevelCol="1"/>
  <cols>
    <col min="1" max="2" width="1.81640625" style="338" customWidth="1"/>
    <col min="3" max="3" width="40.6328125" style="338" customWidth="1"/>
    <col min="4" max="16" width="11.6328125" style="338" customWidth="1"/>
    <col min="17" max="17" width="11.6328125" style="338" customWidth="1" collapsed="1"/>
    <col min="18" max="23" width="11.6328125" style="338" customWidth="1"/>
    <col min="24" max="24" width="11.6328125" style="338" customWidth="1" collapsed="1"/>
    <col min="25" max="32" width="11.6328125" style="338" customWidth="1"/>
    <col min="33" max="33" width="11.6328125" style="429" customWidth="1"/>
    <col min="34" max="41" width="11.6328125" style="338" customWidth="1"/>
    <col min="42" max="45" width="11.6328125" style="338" customWidth="1" outlineLevel="1"/>
    <col min="46" max="70" width="11.6328125" style="338" customWidth="1"/>
    <col min="71" max="16384" width="9.36328125" style="338"/>
  </cols>
  <sheetData>
    <row r="1" spans="1:70">
      <c r="A1" s="342" t="s">
        <v>10</v>
      </c>
      <c r="T1" s="416"/>
      <c r="U1" s="416"/>
      <c r="V1" s="416"/>
      <c r="W1" s="416"/>
      <c r="X1" s="416"/>
      <c r="Y1" s="416"/>
      <c r="Z1" s="416"/>
      <c r="AA1" s="416"/>
      <c r="AB1" s="416"/>
    </row>
    <row r="2" spans="1:70">
      <c r="A2" s="346" t="s">
        <v>11</v>
      </c>
      <c r="U2" s="413"/>
      <c r="V2" s="413"/>
      <c r="W2" s="413"/>
      <c r="X2" s="413"/>
      <c r="Y2" s="413"/>
      <c r="Z2" s="413"/>
      <c r="AA2" s="413"/>
      <c r="AB2" s="413"/>
      <c r="AJ2" s="372"/>
      <c r="AK2" s="372"/>
      <c r="AL2" s="372"/>
      <c r="AM2" s="372"/>
    </row>
    <row r="3" spans="1:70">
      <c r="A3" s="342" t="s">
        <v>180</v>
      </c>
      <c r="X3" s="372"/>
      <c r="Y3" s="372"/>
      <c r="Z3" s="372"/>
      <c r="AA3" s="372"/>
      <c r="AB3" s="372"/>
      <c r="AC3" s="416"/>
      <c r="AD3" s="416"/>
      <c r="AE3" s="416"/>
      <c r="AF3" s="416"/>
      <c r="AI3" s="415"/>
      <c r="AJ3" s="414"/>
      <c r="AK3" s="414"/>
      <c r="AL3" s="414"/>
      <c r="AM3" s="414"/>
      <c r="AN3" s="369"/>
      <c r="AO3" s="369"/>
      <c r="AP3" s="369"/>
      <c r="AQ3" s="369"/>
      <c r="AR3" s="369"/>
    </row>
    <row r="4" spans="1:70">
      <c r="T4" s="413"/>
      <c r="U4" s="413"/>
      <c r="V4" s="413"/>
      <c r="W4" s="413"/>
      <c r="X4" s="413"/>
      <c r="Y4" s="413"/>
      <c r="Z4" s="413"/>
      <c r="AA4" s="413"/>
      <c r="AB4" s="413"/>
      <c r="AJ4" s="369"/>
      <c r="AK4" s="369"/>
      <c r="AL4" s="369"/>
      <c r="AM4" s="369"/>
    </row>
    <row r="5" spans="1:70" s="400" customFormat="1" ht="11.25" customHeight="1">
      <c r="B5" s="411"/>
      <c r="C5" s="412" t="s">
        <v>2</v>
      </c>
      <c r="D5" s="783" t="s">
        <v>181</v>
      </c>
      <c r="E5" s="409">
        <f t="shared" ref="E5:AF5" si="0">YEAR(E6)</f>
        <v>2016</v>
      </c>
      <c r="F5" s="408">
        <f t="shared" si="0"/>
        <v>2016</v>
      </c>
      <c r="G5" s="407">
        <f t="shared" si="0"/>
        <v>2016</v>
      </c>
      <c r="H5" s="410">
        <f t="shared" si="0"/>
        <v>2016</v>
      </c>
      <c r="I5" s="409">
        <f t="shared" si="0"/>
        <v>2017</v>
      </c>
      <c r="J5" s="408">
        <f t="shared" si="0"/>
        <v>2017</v>
      </c>
      <c r="K5" s="407">
        <f t="shared" si="0"/>
        <v>2017</v>
      </c>
      <c r="L5" s="410">
        <f t="shared" si="0"/>
        <v>2017</v>
      </c>
      <c r="M5" s="409">
        <f t="shared" si="0"/>
        <v>2018</v>
      </c>
      <c r="N5" s="408">
        <f t="shared" si="0"/>
        <v>2018</v>
      </c>
      <c r="O5" s="407">
        <f t="shared" si="0"/>
        <v>2018</v>
      </c>
      <c r="P5" s="410">
        <f t="shared" si="0"/>
        <v>2018</v>
      </c>
      <c r="Q5" s="409">
        <f t="shared" si="0"/>
        <v>2019</v>
      </c>
      <c r="R5" s="408">
        <f t="shared" si="0"/>
        <v>2019</v>
      </c>
      <c r="S5" s="407">
        <f t="shared" si="0"/>
        <v>2019</v>
      </c>
      <c r="T5" s="410">
        <f t="shared" si="0"/>
        <v>2019</v>
      </c>
      <c r="U5" s="409">
        <f t="shared" si="0"/>
        <v>2020</v>
      </c>
      <c r="V5" s="408">
        <f t="shared" si="0"/>
        <v>2020</v>
      </c>
      <c r="W5" s="407">
        <f t="shared" si="0"/>
        <v>2020</v>
      </c>
      <c r="X5" s="410">
        <f t="shared" si="0"/>
        <v>2020</v>
      </c>
      <c r="Y5" s="409">
        <f t="shared" si="0"/>
        <v>2021</v>
      </c>
      <c r="Z5" s="408">
        <f t="shared" si="0"/>
        <v>2021</v>
      </c>
      <c r="AA5" s="407">
        <f t="shared" si="0"/>
        <v>2021</v>
      </c>
      <c r="AB5" s="410">
        <f t="shared" si="0"/>
        <v>2021</v>
      </c>
      <c r="AC5" s="406">
        <f t="shared" si="0"/>
        <v>2022</v>
      </c>
      <c r="AD5" s="405">
        <f t="shared" si="0"/>
        <v>2022</v>
      </c>
      <c r="AE5" s="404">
        <f t="shared" si="0"/>
        <v>2022</v>
      </c>
      <c r="AF5" s="418">
        <f t="shared" si="0"/>
        <v>2022</v>
      </c>
      <c r="AG5" s="429"/>
      <c r="AH5" s="403">
        <f t="shared" ref="AH5:AS5" si="1">+YEAR(AH6)</f>
        <v>2014</v>
      </c>
      <c r="AI5" s="403">
        <f t="shared" si="1"/>
        <v>2015</v>
      </c>
      <c r="AJ5" s="403">
        <f t="shared" si="1"/>
        <v>2016</v>
      </c>
      <c r="AK5" s="403">
        <f t="shared" si="1"/>
        <v>2017</v>
      </c>
      <c r="AL5" s="403">
        <f t="shared" si="1"/>
        <v>2018</v>
      </c>
      <c r="AM5" s="403">
        <f t="shared" si="1"/>
        <v>2019</v>
      </c>
      <c r="AN5" s="419">
        <f t="shared" si="1"/>
        <v>2020</v>
      </c>
      <c r="AO5" s="419">
        <f t="shared" si="1"/>
        <v>2021</v>
      </c>
      <c r="AP5" s="420">
        <f t="shared" si="1"/>
        <v>2022</v>
      </c>
      <c r="AQ5" s="420">
        <f t="shared" si="1"/>
        <v>2023</v>
      </c>
      <c r="AR5" s="420">
        <f t="shared" si="1"/>
        <v>2024</v>
      </c>
      <c r="AS5" s="420">
        <f t="shared" si="1"/>
        <v>2025</v>
      </c>
      <c r="AU5" s="430" t="s">
        <v>13</v>
      </c>
      <c r="AV5" s="403"/>
      <c r="AW5" s="403"/>
      <c r="AX5" s="403"/>
      <c r="AY5" s="403"/>
      <c r="AZ5" s="403"/>
      <c r="BA5" s="403"/>
      <c r="BB5" s="403"/>
      <c r="BC5" s="403"/>
      <c r="BD5" s="403"/>
      <c r="BE5" s="403"/>
      <c r="BF5" s="403"/>
      <c r="BG5" s="403"/>
      <c r="BH5" s="403"/>
      <c r="BI5" s="403"/>
      <c r="BJ5" s="403"/>
      <c r="BK5" s="403"/>
      <c r="BL5" s="403"/>
      <c r="BM5" s="403"/>
      <c r="BN5" s="403"/>
      <c r="BO5" s="403"/>
      <c r="BP5" s="403"/>
      <c r="BQ5" s="403"/>
      <c r="BR5" s="403"/>
    </row>
    <row r="6" spans="1:70" s="391" customFormat="1" ht="11.25" customHeight="1">
      <c r="B6" s="399"/>
      <c r="C6" s="398" t="s">
        <v>3</v>
      </c>
      <c r="D6" s="397"/>
      <c r="E6" s="396">
        <v>42460</v>
      </c>
      <c r="F6" s="396">
        <f t="shared" ref="F6:AF6" si="2">+EOMONTH(E6,3)</f>
        <v>42551</v>
      </c>
      <c r="G6" s="396">
        <f t="shared" si="2"/>
        <v>42643</v>
      </c>
      <c r="H6" s="396">
        <f t="shared" si="2"/>
        <v>42735</v>
      </c>
      <c r="I6" s="396">
        <f t="shared" si="2"/>
        <v>42825</v>
      </c>
      <c r="J6" s="396">
        <f t="shared" si="2"/>
        <v>42916</v>
      </c>
      <c r="K6" s="396">
        <f t="shared" si="2"/>
        <v>43008</v>
      </c>
      <c r="L6" s="396">
        <f t="shared" si="2"/>
        <v>43100</v>
      </c>
      <c r="M6" s="396">
        <f t="shared" si="2"/>
        <v>43190</v>
      </c>
      <c r="N6" s="396">
        <f t="shared" si="2"/>
        <v>43281</v>
      </c>
      <c r="O6" s="396">
        <f t="shared" si="2"/>
        <v>43373</v>
      </c>
      <c r="P6" s="396">
        <f t="shared" si="2"/>
        <v>43465</v>
      </c>
      <c r="Q6" s="396">
        <f t="shared" si="2"/>
        <v>43555</v>
      </c>
      <c r="R6" s="396">
        <f t="shared" si="2"/>
        <v>43646</v>
      </c>
      <c r="S6" s="396">
        <f t="shared" si="2"/>
        <v>43738</v>
      </c>
      <c r="T6" s="396">
        <f t="shared" si="2"/>
        <v>43830</v>
      </c>
      <c r="U6" s="396">
        <f t="shared" si="2"/>
        <v>43921</v>
      </c>
      <c r="V6" s="396">
        <f t="shared" si="2"/>
        <v>44012</v>
      </c>
      <c r="W6" s="396">
        <f t="shared" si="2"/>
        <v>44104</v>
      </c>
      <c r="X6" s="396">
        <f t="shared" si="2"/>
        <v>44196</v>
      </c>
      <c r="Y6" s="396">
        <f t="shared" si="2"/>
        <v>44286</v>
      </c>
      <c r="Z6" s="396">
        <f t="shared" si="2"/>
        <v>44377</v>
      </c>
      <c r="AA6" s="396">
        <f t="shared" si="2"/>
        <v>44469</v>
      </c>
      <c r="AB6" s="396">
        <f t="shared" si="2"/>
        <v>44561</v>
      </c>
      <c r="AC6" s="396">
        <f t="shared" si="2"/>
        <v>44651</v>
      </c>
      <c r="AD6" s="396">
        <f t="shared" si="2"/>
        <v>44742</v>
      </c>
      <c r="AE6" s="396">
        <f t="shared" si="2"/>
        <v>44834</v>
      </c>
      <c r="AF6" s="396">
        <f t="shared" si="2"/>
        <v>44926</v>
      </c>
      <c r="AG6" s="429"/>
      <c r="AH6" s="431">
        <v>42004</v>
      </c>
      <c r="AI6" s="394">
        <f t="shared" ref="AI6:AS6" si="3">+EOMONTH(AH6,12)</f>
        <v>42369</v>
      </c>
      <c r="AJ6" s="394">
        <f t="shared" si="3"/>
        <v>42735</v>
      </c>
      <c r="AK6" s="394">
        <f t="shared" si="3"/>
        <v>43100</v>
      </c>
      <c r="AL6" s="394">
        <f t="shared" si="3"/>
        <v>43465</v>
      </c>
      <c r="AM6" s="394">
        <f t="shared" si="3"/>
        <v>43830</v>
      </c>
      <c r="AN6" s="394">
        <f t="shared" si="3"/>
        <v>44196</v>
      </c>
      <c r="AO6" s="394">
        <f t="shared" si="3"/>
        <v>44561</v>
      </c>
      <c r="AP6" s="394">
        <f t="shared" si="3"/>
        <v>44926</v>
      </c>
      <c r="AQ6" s="394">
        <f t="shared" si="3"/>
        <v>45291</v>
      </c>
      <c r="AR6" s="394">
        <f t="shared" si="3"/>
        <v>45657</v>
      </c>
      <c r="AS6" s="394">
        <f t="shared" si="3"/>
        <v>46022</v>
      </c>
      <c r="AU6" s="432">
        <v>42460</v>
      </c>
      <c r="AV6" s="394">
        <f t="shared" ref="AV6:BF6" si="4">+EOMONTH(AU6,3)</f>
        <v>42551</v>
      </c>
      <c r="AW6" s="394">
        <f t="shared" si="4"/>
        <v>42643</v>
      </c>
      <c r="AX6" s="394">
        <f t="shared" si="4"/>
        <v>42735</v>
      </c>
      <c r="AY6" s="394">
        <f t="shared" si="4"/>
        <v>42825</v>
      </c>
      <c r="AZ6" s="394">
        <f t="shared" si="4"/>
        <v>42916</v>
      </c>
      <c r="BA6" s="394">
        <f t="shared" si="4"/>
        <v>43008</v>
      </c>
      <c r="BB6" s="394">
        <f t="shared" si="4"/>
        <v>43100</v>
      </c>
      <c r="BC6" s="394">
        <f t="shared" si="4"/>
        <v>43190</v>
      </c>
      <c r="BD6" s="394">
        <f t="shared" si="4"/>
        <v>43281</v>
      </c>
      <c r="BE6" s="394">
        <f t="shared" si="4"/>
        <v>43373</v>
      </c>
      <c r="BF6" s="394">
        <f t="shared" si="4"/>
        <v>43465</v>
      </c>
      <c r="BG6" s="394">
        <v>43555</v>
      </c>
      <c r="BH6" s="394">
        <f t="shared" ref="BH6:BR6" si="5">+EOMONTH(BG6,3)</f>
        <v>43646</v>
      </c>
      <c r="BI6" s="394">
        <f t="shared" si="5"/>
        <v>43738</v>
      </c>
      <c r="BJ6" s="394">
        <f t="shared" si="5"/>
        <v>43830</v>
      </c>
      <c r="BK6" s="394">
        <f t="shared" si="5"/>
        <v>43921</v>
      </c>
      <c r="BL6" s="394">
        <f t="shared" si="5"/>
        <v>44012</v>
      </c>
      <c r="BM6" s="394">
        <f t="shared" si="5"/>
        <v>44104</v>
      </c>
      <c r="BN6" s="394">
        <f t="shared" si="5"/>
        <v>44196</v>
      </c>
      <c r="BO6" s="394">
        <f t="shared" si="5"/>
        <v>44286</v>
      </c>
      <c r="BP6" s="394">
        <f t="shared" si="5"/>
        <v>44377</v>
      </c>
      <c r="BQ6" s="394">
        <f t="shared" si="5"/>
        <v>44469</v>
      </c>
      <c r="BR6" s="394">
        <f t="shared" si="5"/>
        <v>44561</v>
      </c>
    </row>
    <row r="7" spans="1:70">
      <c r="I7" s="390"/>
    </row>
    <row r="8" spans="1:70" s="433" customFormat="1" ht="11.25" customHeight="1">
      <c r="B8" s="367" t="s">
        <v>9</v>
      </c>
      <c r="C8" s="367" t="s">
        <v>4</v>
      </c>
      <c r="D8" s="434"/>
      <c r="E8" s="435"/>
      <c r="F8" s="435"/>
      <c r="G8" s="435"/>
      <c r="H8" s="435"/>
      <c r="I8" s="435"/>
      <c r="J8" s="435"/>
      <c r="K8" s="435"/>
      <c r="L8" s="435"/>
      <c r="M8" s="435"/>
      <c r="N8" s="435"/>
      <c r="O8" s="435"/>
      <c r="P8" s="435"/>
      <c r="Q8" s="435"/>
      <c r="R8" s="435"/>
      <c r="S8" s="435"/>
      <c r="T8" s="435"/>
      <c r="U8" s="435"/>
      <c r="V8" s="435"/>
      <c r="W8" s="435"/>
      <c r="X8" s="435"/>
      <c r="Y8" s="435"/>
      <c r="Z8" s="435"/>
      <c r="AA8" s="435"/>
      <c r="AB8" s="435"/>
      <c r="AC8" s="434"/>
      <c r="AD8" s="434"/>
      <c r="AE8" s="434"/>
      <c r="AF8" s="434"/>
      <c r="AG8" s="429"/>
      <c r="AH8" s="435"/>
      <c r="AI8" s="435"/>
      <c r="AJ8" s="435"/>
      <c r="AK8" s="435"/>
      <c r="AL8" s="435"/>
      <c r="AM8" s="435"/>
      <c r="AN8" s="435"/>
      <c r="AO8" s="435"/>
      <c r="AP8" s="435"/>
      <c r="AQ8" s="435"/>
      <c r="AR8" s="435"/>
      <c r="AS8" s="435"/>
      <c r="AT8" s="435"/>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row>
    <row r="9" spans="1:70">
      <c r="R9" s="372"/>
      <c r="S9" s="372"/>
      <c r="T9" s="372"/>
      <c r="U9" s="372"/>
      <c r="V9" s="372"/>
      <c r="W9" s="372"/>
      <c r="X9" s="372"/>
      <c r="Y9" s="372"/>
      <c r="Z9" s="372"/>
      <c r="AA9" s="372"/>
      <c r="AB9" s="372"/>
      <c r="AH9" s="372"/>
      <c r="AI9" s="372"/>
      <c r="AJ9" s="372"/>
      <c r="AK9" s="372"/>
      <c r="AL9" s="372"/>
      <c r="AM9" s="372"/>
      <c r="AN9" s="372"/>
      <c r="AO9" s="372"/>
      <c r="AP9" s="382"/>
      <c r="AQ9" s="382"/>
      <c r="AR9" s="382"/>
      <c r="AS9" s="382"/>
      <c r="AT9" s="382"/>
    </row>
    <row r="10" spans="1:70" s="342" customFormat="1">
      <c r="C10" s="342" t="s">
        <v>182</v>
      </c>
      <c r="E10" s="353">
        <f t="shared" ref="E10:AF10" si="6">E116</f>
        <v>13702</v>
      </c>
      <c r="F10" s="353">
        <f t="shared" si="6"/>
        <v>13533</v>
      </c>
      <c r="G10" s="353">
        <f t="shared" si="6"/>
        <v>15778</v>
      </c>
      <c r="H10" s="353">
        <f t="shared" si="6"/>
        <v>16374</v>
      </c>
      <c r="I10" s="353">
        <f t="shared" si="6"/>
        <v>14796</v>
      </c>
      <c r="J10" s="353">
        <f t="shared" si="6"/>
        <v>14763</v>
      </c>
      <c r="K10" s="353">
        <f t="shared" si="6"/>
        <v>16149</v>
      </c>
      <c r="L10" s="353">
        <f t="shared" si="6"/>
        <v>17053</v>
      </c>
      <c r="M10" s="353">
        <f t="shared" si="6"/>
        <v>16066</v>
      </c>
      <c r="N10" s="353">
        <f t="shared" si="6"/>
        <v>16962</v>
      </c>
      <c r="O10" s="353">
        <f t="shared" si="6"/>
        <v>19163</v>
      </c>
      <c r="P10" s="353">
        <f t="shared" si="6"/>
        <v>18657</v>
      </c>
      <c r="Q10" s="353">
        <f t="shared" si="6"/>
        <v>16061</v>
      </c>
      <c r="R10" s="353">
        <f t="shared" si="6"/>
        <v>16505</v>
      </c>
      <c r="S10" s="353">
        <f t="shared" si="6"/>
        <v>19190</v>
      </c>
      <c r="T10" s="353">
        <f t="shared" si="6"/>
        <v>20209</v>
      </c>
      <c r="U10" s="353">
        <f t="shared" si="6"/>
        <v>19828</v>
      </c>
      <c r="V10" s="353">
        <f t="shared" si="6"/>
        <v>19728</v>
      </c>
      <c r="W10" s="353">
        <f t="shared" si="6"/>
        <v>18333</v>
      </c>
      <c r="X10" s="353">
        <f t="shared" si="6"/>
        <v>19978</v>
      </c>
      <c r="Y10" s="353">
        <f t="shared" si="6"/>
        <v>19673</v>
      </c>
      <c r="Z10" s="353">
        <f t="shared" si="6"/>
        <v>19631</v>
      </c>
      <c r="AA10" s="353">
        <f t="shared" si="6"/>
        <v>19192</v>
      </c>
      <c r="AB10" s="353">
        <f t="shared" si="6"/>
        <v>20528</v>
      </c>
      <c r="AC10" s="353">
        <f t="shared" si="6"/>
        <v>19046.749999999996</v>
      </c>
      <c r="AD10" s="353">
        <f t="shared" si="6"/>
        <v>16836.774999999998</v>
      </c>
      <c r="AE10" s="353">
        <f t="shared" si="6"/>
        <v>16439.850000000002</v>
      </c>
      <c r="AF10" s="353">
        <f t="shared" si="6"/>
        <v>17304.875</v>
      </c>
      <c r="AG10" s="36"/>
      <c r="AH10" s="384">
        <v>55870</v>
      </c>
      <c r="AI10" s="384">
        <v>55355</v>
      </c>
      <c r="AJ10" s="353">
        <f t="shared" ref="AJ10:AP10" si="7">+SUMIF($E$5:$AF$5,AJ$5,$E10:$AF10)</f>
        <v>59387</v>
      </c>
      <c r="AK10" s="353">
        <f t="shared" si="7"/>
        <v>62761</v>
      </c>
      <c r="AL10" s="353">
        <f t="shared" si="7"/>
        <v>70848</v>
      </c>
      <c r="AM10" s="353">
        <f t="shared" si="7"/>
        <v>71965</v>
      </c>
      <c r="AN10" s="353">
        <f t="shared" si="7"/>
        <v>77867</v>
      </c>
      <c r="AO10" s="353">
        <f t="shared" si="7"/>
        <v>79024</v>
      </c>
      <c r="AP10" s="353">
        <f t="shared" si="7"/>
        <v>69628.25</v>
      </c>
      <c r="AQ10" s="427">
        <f>Segments!AQ52</f>
        <v>65685.492125000004</v>
      </c>
      <c r="AR10" s="427">
        <f>Segments!AR52</f>
        <v>67977.672826250011</v>
      </c>
      <c r="AS10" s="427">
        <f>Segments!AS52</f>
        <v>71116.316730437524</v>
      </c>
    </row>
    <row r="11" spans="1:70" s="346" customFormat="1" outlineLevel="1">
      <c r="C11" s="349" t="s">
        <v>17</v>
      </c>
      <c r="E11" s="348"/>
      <c r="F11" s="348"/>
      <c r="G11" s="348"/>
      <c r="H11" s="348"/>
      <c r="I11" s="347">
        <f t="shared" ref="I11:AF11" si="8">IFERROR(+I10/E10-1,"NA ")</f>
        <v>7.9842358779740108E-2</v>
      </c>
      <c r="J11" s="347">
        <f t="shared" si="8"/>
        <v>9.0888938151185927E-2</v>
      </c>
      <c r="K11" s="347">
        <f t="shared" si="8"/>
        <v>2.3513753327417897E-2</v>
      </c>
      <c r="L11" s="347">
        <f t="shared" si="8"/>
        <v>4.1468181262977799E-2</v>
      </c>
      <c r="M11" s="347">
        <f t="shared" si="8"/>
        <v>8.5834009191673388E-2</v>
      </c>
      <c r="N11" s="347">
        <f t="shared" si="8"/>
        <v>0.14895346474293847</v>
      </c>
      <c r="O11" s="347">
        <f t="shared" si="8"/>
        <v>0.18663694346399162</v>
      </c>
      <c r="P11" s="347">
        <f t="shared" si="8"/>
        <v>9.4059696241130641E-2</v>
      </c>
      <c r="Q11" s="347">
        <f t="shared" si="8"/>
        <v>-3.1121623303875801E-4</v>
      </c>
      <c r="R11" s="347">
        <f t="shared" si="8"/>
        <v>-2.6942577526235079E-2</v>
      </c>
      <c r="S11" s="347">
        <f t="shared" si="8"/>
        <v>1.4089651933413272E-3</v>
      </c>
      <c r="T11" s="347">
        <f t="shared" si="8"/>
        <v>8.3185935573779179E-2</v>
      </c>
      <c r="U11" s="347">
        <f t="shared" si="8"/>
        <v>0.2345433036548159</v>
      </c>
      <c r="V11" s="347">
        <f t="shared" si="8"/>
        <v>0.19527415934565284</v>
      </c>
      <c r="W11" s="347">
        <f t="shared" si="8"/>
        <v>-4.4658676393955155E-2</v>
      </c>
      <c r="X11" s="347">
        <f t="shared" si="8"/>
        <v>-1.143055074471766E-2</v>
      </c>
      <c r="Y11" s="347">
        <f t="shared" si="8"/>
        <v>-7.817228162194878E-3</v>
      </c>
      <c r="Z11" s="347">
        <f t="shared" si="8"/>
        <v>-4.9168694241686905E-3</v>
      </c>
      <c r="AA11" s="347">
        <f t="shared" si="8"/>
        <v>4.6855397370861196E-2</v>
      </c>
      <c r="AB11" s="347">
        <f t="shared" si="8"/>
        <v>2.7530283311642867E-2</v>
      </c>
      <c r="AC11" s="347">
        <f t="shared" si="8"/>
        <v>-3.1832969043867454E-2</v>
      </c>
      <c r="AD11" s="347">
        <f t="shared" si="8"/>
        <v>-0.14233737456064399</v>
      </c>
      <c r="AE11" s="347">
        <f t="shared" si="8"/>
        <v>-0.14340089620675267</v>
      </c>
      <c r="AF11" s="347">
        <f t="shared" si="8"/>
        <v>-0.15701115549493372</v>
      </c>
      <c r="AG11" s="429"/>
      <c r="AH11" s="348"/>
      <c r="AI11" s="347">
        <f t="shared" ref="AI11:AS11" si="9">IFERROR(AI10/AH10-1,"NA ")</f>
        <v>-9.2178270986218447E-3</v>
      </c>
      <c r="AJ11" s="347">
        <f t="shared" si="9"/>
        <v>7.283894860446205E-2</v>
      </c>
      <c r="AK11" s="347">
        <f t="shared" si="9"/>
        <v>5.6813780793776525E-2</v>
      </c>
      <c r="AL11" s="347">
        <f t="shared" si="9"/>
        <v>0.12885390608817571</v>
      </c>
      <c r="AM11" s="347">
        <f t="shared" si="9"/>
        <v>1.576614724480585E-2</v>
      </c>
      <c r="AN11" s="347">
        <f t="shared" si="9"/>
        <v>8.2012089210032668E-2</v>
      </c>
      <c r="AO11" s="347">
        <f t="shared" si="9"/>
        <v>1.4858669269395275E-2</v>
      </c>
      <c r="AP11" s="347">
        <f t="shared" si="9"/>
        <v>-0.11889742356752375</v>
      </c>
      <c r="AQ11" s="347">
        <f t="shared" si="9"/>
        <v>-5.6625836136912744E-2</v>
      </c>
      <c r="AR11" s="347">
        <f t="shared" si="9"/>
        <v>3.4896300950108872E-2</v>
      </c>
      <c r="AS11" s="347">
        <f t="shared" si="9"/>
        <v>4.6171688051308335E-2</v>
      </c>
      <c r="AT11" s="501"/>
    </row>
    <row r="12" spans="1:70" ht="5.25" customHeight="1" outlineLevel="1">
      <c r="D12" s="346"/>
    </row>
    <row r="13" spans="1:70">
      <c r="C13" s="338" t="s">
        <v>183</v>
      </c>
      <c r="D13" s="342"/>
      <c r="E13" s="345">
        <v>5572</v>
      </c>
      <c r="F13" s="345">
        <v>5560</v>
      </c>
      <c r="G13" s="345">
        <v>5795</v>
      </c>
      <c r="H13" s="345">
        <v>6227</v>
      </c>
      <c r="I13" s="345">
        <v>5636</v>
      </c>
      <c r="J13" s="345">
        <v>5667</v>
      </c>
      <c r="K13" s="345">
        <v>6085</v>
      </c>
      <c r="L13" s="345">
        <v>6275</v>
      </c>
      <c r="M13" s="345">
        <v>6335</v>
      </c>
      <c r="N13" s="345">
        <v>6543</v>
      </c>
      <c r="O13" s="345">
        <v>6803</v>
      </c>
      <c r="P13" s="345">
        <v>7430</v>
      </c>
      <c r="Q13" s="345">
        <v>6972</v>
      </c>
      <c r="R13" s="345">
        <v>6627</v>
      </c>
      <c r="S13" s="345">
        <v>7895</v>
      </c>
      <c r="T13" s="345">
        <v>8331</v>
      </c>
      <c r="U13" s="345">
        <v>7812</v>
      </c>
      <c r="V13" s="345">
        <v>9221</v>
      </c>
      <c r="W13" s="345">
        <v>8592</v>
      </c>
      <c r="X13" s="345">
        <v>8630</v>
      </c>
      <c r="Y13" s="345">
        <v>8819</v>
      </c>
      <c r="Z13" s="345">
        <v>8425</v>
      </c>
      <c r="AA13" s="345">
        <v>8446</v>
      </c>
      <c r="AB13" s="385">
        <v>9519</v>
      </c>
      <c r="AC13" s="344">
        <f>AC10-AC16</f>
        <v>9641.2898768981249</v>
      </c>
      <c r="AD13" s="344">
        <f>AD10-AD16</f>
        <v>9400.2408768981259</v>
      </c>
      <c r="AE13" s="344">
        <f>AE10-AE16</f>
        <v>9350.2998768981288</v>
      </c>
      <c r="AF13" s="344">
        <f>AF10-AF16</f>
        <v>10345.209876898127</v>
      </c>
      <c r="AH13" s="345">
        <v>20261</v>
      </c>
      <c r="AI13" s="345">
        <v>20676</v>
      </c>
      <c r="AJ13" s="344">
        <f>+SUMIF($E$5:$AF$5,AJ$5,$E13:$AF13)</f>
        <v>23154</v>
      </c>
      <c r="AK13" s="344">
        <f t="shared" ref="AK13:AP13" si="10">+SUMIF($E$5:$AF$5,AK$5,$E13:$AF13)</f>
        <v>23663</v>
      </c>
      <c r="AL13" s="344">
        <f t="shared" si="10"/>
        <v>27111</v>
      </c>
      <c r="AM13" s="344">
        <f t="shared" si="10"/>
        <v>29825</v>
      </c>
      <c r="AN13" s="344">
        <f t="shared" si="10"/>
        <v>34255</v>
      </c>
      <c r="AO13" s="344">
        <f t="shared" si="10"/>
        <v>35209</v>
      </c>
      <c r="AP13" s="344">
        <f t="shared" si="10"/>
        <v>38737.040507592508</v>
      </c>
      <c r="AQ13" s="344">
        <f>AQ10-AQ16</f>
        <v>36046.840333842512</v>
      </c>
      <c r="AR13" s="344">
        <f>AR10-AR16</f>
        <v>35902.142648980014</v>
      </c>
      <c r="AS13" s="344">
        <f>AS10-AS16</f>
        <v>36791.687872811272</v>
      </c>
    </row>
    <row r="14" spans="1:70" s="346" customFormat="1" outlineLevel="1">
      <c r="C14" s="349" t="s">
        <v>17</v>
      </c>
      <c r="E14" s="348"/>
      <c r="F14" s="348"/>
      <c r="G14" s="348"/>
      <c r="H14" s="348"/>
      <c r="I14" s="347">
        <f t="shared" ref="I14:AF14" si="11">IFERROR(+I13/E13-1,"NA ")</f>
        <v>1.1486001435750071E-2</v>
      </c>
      <c r="J14" s="347">
        <f t="shared" si="11"/>
        <v>1.9244604316546843E-2</v>
      </c>
      <c r="K14" s="347">
        <f t="shared" si="11"/>
        <v>5.0043140638481365E-2</v>
      </c>
      <c r="L14" s="347">
        <f t="shared" si="11"/>
        <v>7.7083667897863695E-3</v>
      </c>
      <c r="M14" s="347">
        <f t="shared" si="11"/>
        <v>0.12402413058907036</v>
      </c>
      <c r="N14" s="347">
        <f t="shared" si="11"/>
        <v>0.15457914240338799</v>
      </c>
      <c r="O14" s="347">
        <f t="shared" si="11"/>
        <v>0.11799506984387831</v>
      </c>
      <c r="P14" s="347">
        <f t="shared" si="11"/>
        <v>0.18406374501992029</v>
      </c>
      <c r="Q14" s="347">
        <f t="shared" si="11"/>
        <v>0.10055248618784529</v>
      </c>
      <c r="R14" s="347">
        <f t="shared" si="11"/>
        <v>1.2838147638697839E-2</v>
      </c>
      <c r="S14" s="347">
        <f t="shared" si="11"/>
        <v>0.16051741878582981</v>
      </c>
      <c r="T14" s="347">
        <f t="shared" si="11"/>
        <v>0.12126514131897714</v>
      </c>
      <c r="U14" s="347">
        <f t="shared" si="11"/>
        <v>0.12048192771084332</v>
      </c>
      <c r="V14" s="347">
        <f t="shared" si="11"/>
        <v>0.39142900256526336</v>
      </c>
      <c r="W14" s="347">
        <f t="shared" si="11"/>
        <v>8.8283723875870912E-2</v>
      </c>
      <c r="X14" s="347">
        <f t="shared" si="11"/>
        <v>3.5890049213779918E-2</v>
      </c>
      <c r="Y14" s="347">
        <f t="shared" si="11"/>
        <v>0.12890424987199189</v>
      </c>
      <c r="Z14" s="347">
        <f t="shared" si="11"/>
        <v>-8.6324693634096117E-2</v>
      </c>
      <c r="AA14" s="347">
        <f t="shared" si="11"/>
        <v>-1.6992551210428308E-2</v>
      </c>
      <c r="AB14" s="347">
        <f t="shared" si="11"/>
        <v>0.10301274623406731</v>
      </c>
      <c r="AC14" s="347">
        <f t="shared" si="11"/>
        <v>9.3240716282812608E-2</v>
      </c>
      <c r="AD14" s="347">
        <f t="shared" si="11"/>
        <v>0.11575559369710686</v>
      </c>
      <c r="AE14" s="347">
        <f t="shared" si="11"/>
        <v>0.10706842018684926</v>
      </c>
      <c r="AF14" s="347">
        <f t="shared" si="11"/>
        <v>8.6795868988142288E-2</v>
      </c>
      <c r="AG14" s="429"/>
      <c r="AH14" s="348"/>
      <c r="AI14" s="347">
        <f t="shared" ref="AI14:AS14" si="12">IFERROR(AI13/AH13-1,"NA ")</f>
        <v>2.0482700755145355E-2</v>
      </c>
      <c r="AJ14" s="347">
        <f t="shared" si="12"/>
        <v>0.11984910040626806</v>
      </c>
      <c r="AK14" s="347">
        <f t="shared" si="12"/>
        <v>2.1983242636261613E-2</v>
      </c>
      <c r="AL14" s="347">
        <f t="shared" si="12"/>
        <v>0.1457127160545999</v>
      </c>
      <c r="AM14" s="347">
        <f t="shared" si="12"/>
        <v>0.10010696765150673</v>
      </c>
      <c r="AN14" s="347">
        <f t="shared" si="12"/>
        <v>0.14853310980720869</v>
      </c>
      <c r="AO14" s="347">
        <f t="shared" si="12"/>
        <v>2.7849948912567424E-2</v>
      </c>
      <c r="AP14" s="347">
        <f t="shared" si="12"/>
        <v>0.10020280347617105</v>
      </c>
      <c r="AQ14" s="347">
        <f t="shared" si="12"/>
        <v>-6.9447746614063388E-2</v>
      </c>
      <c r="AR14" s="347">
        <f t="shared" si="12"/>
        <v>-4.0141572332665909E-3</v>
      </c>
      <c r="AS14" s="347">
        <f t="shared" si="12"/>
        <v>2.4776939708820667E-2</v>
      </c>
      <c r="AV14" s="439"/>
    </row>
    <row r="15" spans="1:70" ht="5.25" customHeight="1" outlineLevel="1"/>
    <row r="16" spans="1:70" s="342" customFormat="1">
      <c r="C16" s="343" t="s">
        <v>184</v>
      </c>
      <c r="E16" s="352">
        <f t="shared" ref="E16:AB16" si="13">E10-E13</f>
        <v>8130</v>
      </c>
      <c r="F16" s="352">
        <f t="shared" si="13"/>
        <v>7973</v>
      </c>
      <c r="G16" s="352">
        <f t="shared" si="13"/>
        <v>9983</v>
      </c>
      <c r="H16" s="352">
        <f t="shared" si="13"/>
        <v>10147</v>
      </c>
      <c r="I16" s="352">
        <f t="shared" si="13"/>
        <v>9160</v>
      </c>
      <c r="J16" s="352">
        <f t="shared" si="13"/>
        <v>9096</v>
      </c>
      <c r="K16" s="352">
        <f t="shared" si="13"/>
        <v>10064</v>
      </c>
      <c r="L16" s="352">
        <f t="shared" si="13"/>
        <v>10778</v>
      </c>
      <c r="M16" s="352">
        <f t="shared" si="13"/>
        <v>9731</v>
      </c>
      <c r="N16" s="352">
        <f t="shared" si="13"/>
        <v>10419</v>
      </c>
      <c r="O16" s="352">
        <f t="shared" si="13"/>
        <v>12360</v>
      </c>
      <c r="P16" s="352">
        <f t="shared" si="13"/>
        <v>11227</v>
      </c>
      <c r="Q16" s="352">
        <f t="shared" si="13"/>
        <v>9089</v>
      </c>
      <c r="R16" s="352">
        <f t="shared" si="13"/>
        <v>9878</v>
      </c>
      <c r="S16" s="352">
        <f t="shared" si="13"/>
        <v>11295</v>
      </c>
      <c r="T16" s="352">
        <f t="shared" si="13"/>
        <v>11878</v>
      </c>
      <c r="U16" s="352">
        <f t="shared" si="13"/>
        <v>12016</v>
      </c>
      <c r="V16" s="352">
        <f t="shared" si="13"/>
        <v>10507</v>
      </c>
      <c r="W16" s="352">
        <f t="shared" si="13"/>
        <v>9741</v>
      </c>
      <c r="X16" s="352">
        <f t="shared" si="13"/>
        <v>11348</v>
      </c>
      <c r="Y16" s="352">
        <f t="shared" si="13"/>
        <v>10854</v>
      </c>
      <c r="Z16" s="352">
        <f t="shared" si="13"/>
        <v>11206</v>
      </c>
      <c r="AA16" s="352">
        <f t="shared" si="13"/>
        <v>10746</v>
      </c>
      <c r="AB16" s="352">
        <f t="shared" si="13"/>
        <v>11009</v>
      </c>
      <c r="AC16" s="341">
        <f>+AC122</f>
        <v>9405.4601231018714</v>
      </c>
      <c r="AD16" s="341">
        <f>+AD122</f>
        <v>7436.534123101872</v>
      </c>
      <c r="AE16" s="341">
        <f>+AE122</f>
        <v>7089.5501231018734</v>
      </c>
      <c r="AF16" s="341">
        <f>+AF122</f>
        <v>6959.6651231018723</v>
      </c>
      <c r="AG16" s="429"/>
      <c r="AH16" s="352">
        <f t="shared" ref="AH16:AO16" si="14">AH10-AH13</f>
        <v>35609</v>
      </c>
      <c r="AI16" s="352">
        <f t="shared" si="14"/>
        <v>34679</v>
      </c>
      <c r="AJ16" s="352">
        <f t="shared" si="14"/>
        <v>36233</v>
      </c>
      <c r="AK16" s="352">
        <f t="shared" si="14"/>
        <v>39098</v>
      </c>
      <c r="AL16" s="352">
        <f t="shared" si="14"/>
        <v>43737</v>
      </c>
      <c r="AM16" s="352">
        <f t="shared" si="14"/>
        <v>42140</v>
      </c>
      <c r="AN16" s="352">
        <f t="shared" si="14"/>
        <v>43612</v>
      </c>
      <c r="AO16" s="352">
        <f t="shared" si="14"/>
        <v>43815</v>
      </c>
      <c r="AP16" s="352">
        <f>AP10-AP13</f>
        <v>30891.209492407492</v>
      </c>
      <c r="AQ16" s="341">
        <f>+AQ122</f>
        <v>29638.651791157492</v>
      </c>
      <c r="AR16" s="341">
        <f>+AR122</f>
        <v>32075.530177269997</v>
      </c>
      <c r="AS16" s="341">
        <f>+AS122</f>
        <v>34324.628857626252</v>
      </c>
    </row>
    <row r="17" spans="3:45" s="346" customFormat="1" outlineLevel="1">
      <c r="C17" s="389" t="s">
        <v>17</v>
      </c>
      <c r="E17" s="348"/>
      <c r="F17" s="348"/>
      <c r="G17" s="348"/>
      <c r="H17" s="348"/>
      <c r="I17" s="347">
        <f t="shared" ref="I17:AF17" si="15">IFERROR(+I16/E16-1,"NA ")</f>
        <v>0.12669126691266919</v>
      </c>
      <c r="J17" s="347">
        <f t="shared" si="15"/>
        <v>0.14085036999874578</v>
      </c>
      <c r="K17" s="347">
        <f t="shared" si="15"/>
        <v>8.1137934488630936E-3</v>
      </c>
      <c r="L17" s="347">
        <f t="shared" si="15"/>
        <v>6.2185867744160905E-2</v>
      </c>
      <c r="M17" s="347">
        <f t="shared" si="15"/>
        <v>6.2336244541484787E-2</v>
      </c>
      <c r="N17" s="347">
        <f t="shared" si="15"/>
        <v>0.14544854881266489</v>
      </c>
      <c r="O17" s="347">
        <f t="shared" si="15"/>
        <v>0.22813990461049283</v>
      </c>
      <c r="P17" s="347">
        <f t="shared" si="15"/>
        <v>4.1658934867322417E-2</v>
      </c>
      <c r="Q17" s="347">
        <f t="shared" si="15"/>
        <v>-6.5974719967115458E-2</v>
      </c>
      <c r="R17" s="347">
        <f t="shared" si="15"/>
        <v>-5.1924368941357102E-2</v>
      </c>
      <c r="S17" s="347">
        <f t="shared" si="15"/>
        <v>-8.6165048543689338E-2</v>
      </c>
      <c r="T17" s="347">
        <f t="shared" si="15"/>
        <v>5.7985214215729997E-2</v>
      </c>
      <c r="U17" s="347">
        <f t="shared" si="15"/>
        <v>0.3220376279018593</v>
      </c>
      <c r="V17" s="347">
        <f t="shared" si="15"/>
        <v>6.3676857663494735E-2</v>
      </c>
      <c r="W17" s="347">
        <f t="shared" si="15"/>
        <v>-0.13758300132802126</v>
      </c>
      <c r="X17" s="347">
        <f t="shared" si="15"/>
        <v>-4.462030644889714E-2</v>
      </c>
      <c r="Y17" s="347">
        <f t="shared" si="15"/>
        <v>-9.6704394141145178E-2</v>
      </c>
      <c r="Z17" s="347">
        <f t="shared" si="15"/>
        <v>6.6527077186637529E-2</v>
      </c>
      <c r="AA17" s="347">
        <f t="shared" si="15"/>
        <v>0.10317215891592246</v>
      </c>
      <c r="AB17" s="347">
        <f t="shared" si="15"/>
        <v>-2.9873105393020793E-2</v>
      </c>
      <c r="AC17" s="347">
        <f t="shared" si="15"/>
        <v>-0.13345677878184348</v>
      </c>
      <c r="AD17" s="347">
        <f t="shared" si="15"/>
        <v>-0.33637925012476599</v>
      </c>
      <c r="AE17" s="347">
        <f t="shared" si="15"/>
        <v>-0.34026148119282773</v>
      </c>
      <c r="AF17" s="347">
        <f t="shared" si="15"/>
        <v>-0.36782040847471409</v>
      </c>
      <c r="AG17" s="429"/>
      <c r="AH17" s="348"/>
      <c r="AI17" s="347">
        <f t="shared" ref="AI17:AO17" si="16">IFERROR(AI16/AH16-1,"NA ")</f>
        <v>-2.6116992895054647E-2</v>
      </c>
      <c r="AJ17" s="347">
        <f t="shared" si="16"/>
        <v>4.4810980708786197E-2</v>
      </c>
      <c r="AK17" s="347">
        <f t="shared" si="16"/>
        <v>7.907156459581044E-2</v>
      </c>
      <c r="AL17" s="347">
        <f t="shared" si="16"/>
        <v>0.11865057036165538</v>
      </c>
      <c r="AM17" s="347">
        <f t="shared" si="16"/>
        <v>-3.6513706930059175E-2</v>
      </c>
      <c r="AN17" s="347">
        <f t="shared" si="16"/>
        <v>3.4931181775035514E-2</v>
      </c>
      <c r="AO17" s="347">
        <f t="shared" si="16"/>
        <v>4.654682197560378E-3</v>
      </c>
      <c r="AP17" s="347">
        <f>IFERROR(AP16/AO16-1,"NA ")</f>
        <v>-0.29496269559722721</v>
      </c>
      <c r="AQ17" s="347">
        <f>IFERROR(AQ16/AP16-1,"NA ")</f>
        <v>-4.0547382955589906E-2</v>
      </c>
      <c r="AR17" s="347">
        <f>IFERROR(AR16/AQ16-1,"NA ")</f>
        <v>8.2219609828525719E-2</v>
      </c>
      <c r="AS17" s="347">
        <f>IFERROR(AS16/AR16-1,"NA ")</f>
        <v>7.011883101935612E-2</v>
      </c>
    </row>
    <row r="18" spans="3:45" s="346" customFormat="1" outlineLevel="1">
      <c r="C18" s="389" t="s">
        <v>185</v>
      </c>
      <c r="E18" s="347">
        <f t="shared" ref="E18:AF18" si="17">IFERROR(+E16/E$10,"NA ")</f>
        <v>0.59334403736680774</v>
      </c>
      <c r="F18" s="347">
        <f t="shared" si="17"/>
        <v>0.58915244217837881</v>
      </c>
      <c r="G18" s="347">
        <f t="shared" si="17"/>
        <v>0.63271644061351251</v>
      </c>
      <c r="H18" s="347">
        <f t="shared" si="17"/>
        <v>0.61970196653230736</v>
      </c>
      <c r="I18" s="347">
        <f t="shared" si="17"/>
        <v>0.61908623952419573</v>
      </c>
      <c r="J18" s="347">
        <f t="shared" si="17"/>
        <v>0.6161349319244056</v>
      </c>
      <c r="K18" s="347">
        <f t="shared" si="17"/>
        <v>0.62319648275435013</v>
      </c>
      <c r="L18" s="347">
        <f t="shared" si="17"/>
        <v>0.6320295549170234</v>
      </c>
      <c r="M18" s="347">
        <f t="shared" si="17"/>
        <v>0.60568903273994767</v>
      </c>
      <c r="N18" s="347">
        <f t="shared" si="17"/>
        <v>0.61425539441103638</v>
      </c>
      <c r="O18" s="347">
        <f t="shared" si="17"/>
        <v>0.64499295517403332</v>
      </c>
      <c r="P18" s="347">
        <f t="shared" si="17"/>
        <v>0.60175805327759013</v>
      </c>
      <c r="Q18" s="347">
        <f t="shared" si="17"/>
        <v>0.56590498723616212</v>
      </c>
      <c r="R18" s="347">
        <f t="shared" si="17"/>
        <v>0.598485307482581</v>
      </c>
      <c r="S18" s="347">
        <f t="shared" si="17"/>
        <v>0.58858780614903594</v>
      </c>
      <c r="T18" s="347">
        <f t="shared" si="17"/>
        <v>0.58775792963531104</v>
      </c>
      <c r="U18" s="347">
        <f t="shared" si="17"/>
        <v>0.60601170062537824</v>
      </c>
      <c r="V18" s="347">
        <f t="shared" si="17"/>
        <v>0.53259326845093269</v>
      </c>
      <c r="W18" s="347">
        <f t="shared" si="17"/>
        <v>0.53133693339878907</v>
      </c>
      <c r="X18" s="347">
        <f t="shared" si="17"/>
        <v>0.568024827310041</v>
      </c>
      <c r="Y18" s="347">
        <f t="shared" si="17"/>
        <v>0.55172063233873836</v>
      </c>
      <c r="Z18" s="347">
        <f t="shared" si="17"/>
        <v>0.57083184758799854</v>
      </c>
      <c r="AA18" s="347">
        <f t="shared" si="17"/>
        <v>0.55992080033347225</v>
      </c>
      <c r="AB18" s="347">
        <f t="shared" si="17"/>
        <v>0.53629189399844113</v>
      </c>
      <c r="AC18" s="347">
        <f t="shared" si="17"/>
        <v>0.49380918650698274</v>
      </c>
      <c r="AD18" s="347">
        <f t="shared" si="17"/>
        <v>0.44168399964374844</v>
      </c>
      <c r="AE18" s="347">
        <f t="shared" si="17"/>
        <v>0.43124177672557062</v>
      </c>
      <c r="AF18" s="347">
        <f t="shared" si="17"/>
        <v>0.40217945076759426</v>
      </c>
      <c r="AG18" s="429"/>
      <c r="AH18" s="347">
        <f t="shared" ref="AH18:AO18" si="18">IFERROR(+AH16/AH$10,"NA ")</f>
        <v>0.6373545731161625</v>
      </c>
      <c r="AI18" s="347">
        <f t="shared" si="18"/>
        <v>0.62648360581699936</v>
      </c>
      <c r="AJ18" s="347">
        <f t="shared" si="18"/>
        <v>0.6101166922053648</v>
      </c>
      <c r="AK18" s="347">
        <f t="shared" si="18"/>
        <v>0.62296649192970155</v>
      </c>
      <c r="AL18" s="347">
        <f t="shared" si="18"/>
        <v>0.61733570460704612</v>
      </c>
      <c r="AM18" s="347">
        <f t="shared" si="18"/>
        <v>0.5855624261793928</v>
      </c>
      <c r="AN18" s="347">
        <f t="shared" si="18"/>
        <v>0.5600832188218372</v>
      </c>
      <c r="AO18" s="347">
        <f t="shared" si="18"/>
        <v>0.5544518121077141</v>
      </c>
      <c r="AP18" s="347">
        <f>IFERROR(+AP16/AP$10,"NA ")</f>
        <v>0.4436591396797635</v>
      </c>
      <c r="AQ18" s="347">
        <f>IFERROR(+AQ16/AQ$10,"NA ")</f>
        <v>0.45122067038418323</v>
      </c>
      <c r="AR18" s="347">
        <f>IFERROR(+AR16/AR$10,"NA ")</f>
        <v>0.47185390207832811</v>
      </c>
      <c r="AS18" s="347">
        <f>IFERROR(+AS16/AS$10,"NA ")</f>
        <v>0.48265476104073085</v>
      </c>
    </row>
    <row r="19" spans="3:45" ht="5.25" customHeight="1">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H19" s="345"/>
      <c r="AI19" s="345"/>
      <c r="AJ19" s="345"/>
      <c r="AK19" s="345"/>
      <c r="AL19" s="345"/>
      <c r="AM19" s="345"/>
      <c r="AN19" s="345"/>
      <c r="AO19" s="345"/>
    </row>
    <row r="20" spans="3:45">
      <c r="C20" s="338" t="s">
        <v>186</v>
      </c>
      <c r="D20" s="342"/>
      <c r="E20" s="345">
        <v>3246</v>
      </c>
      <c r="F20" s="345">
        <v>3145</v>
      </c>
      <c r="G20" s="345">
        <v>3069</v>
      </c>
      <c r="H20" s="345">
        <v>3225</v>
      </c>
      <c r="I20" s="345">
        <v>3311</v>
      </c>
      <c r="J20" s="345">
        <v>3262</v>
      </c>
      <c r="K20" s="345">
        <v>3209</v>
      </c>
      <c r="L20" s="345">
        <v>3253</v>
      </c>
      <c r="M20" s="345">
        <v>3311</v>
      </c>
      <c r="N20" s="345">
        <v>3371</v>
      </c>
      <c r="O20" s="345">
        <v>3428</v>
      </c>
      <c r="P20" s="345">
        <v>3433</v>
      </c>
      <c r="Q20" s="345">
        <v>3332</v>
      </c>
      <c r="R20" s="345">
        <v>3438</v>
      </c>
      <c r="S20" s="345">
        <v>3208</v>
      </c>
      <c r="T20" s="345">
        <v>3384</v>
      </c>
      <c r="U20" s="345">
        <v>3275</v>
      </c>
      <c r="V20" s="345">
        <v>3354</v>
      </c>
      <c r="W20" s="345">
        <v>3272</v>
      </c>
      <c r="X20" s="345">
        <v>3655</v>
      </c>
      <c r="Y20" s="345">
        <v>3623</v>
      </c>
      <c r="Z20" s="345">
        <v>3715</v>
      </c>
      <c r="AA20" s="345">
        <v>3803</v>
      </c>
      <c r="AB20" s="385">
        <v>4049</v>
      </c>
      <c r="AC20" s="372">
        <f>AC$10*AC22</f>
        <v>4380.7524999999996</v>
      </c>
      <c r="AD20" s="372">
        <f>AD$10*AD22</f>
        <v>3872.4582499999997</v>
      </c>
      <c r="AE20" s="372">
        <f>AE$10*AE22</f>
        <v>3945.5640000000003</v>
      </c>
      <c r="AF20" s="372">
        <f>AF$10*AF22</f>
        <v>4153.17</v>
      </c>
      <c r="AH20" s="345">
        <v>11537</v>
      </c>
      <c r="AI20" s="345">
        <v>12128</v>
      </c>
      <c r="AJ20" s="344">
        <f t="shared" ref="AJ20:AP20" si="19">+SUMIF($E$5:$AF$5,AJ$5,$E20:$AF20)</f>
        <v>12685</v>
      </c>
      <c r="AK20" s="344">
        <f t="shared" si="19"/>
        <v>13035</v>
      </c>
      <c r="AL20" s="344">
        <f t="shared" si="19"/>
        <v>13543</v>
      </c>
      <c r="AM20" s="344">
        <f t="shared" si="19"/>
        <v>13362</v>
      </c>
      <c r="AN20" s="344">
        <f t="shared" si="19"/>
        <v>13556</v>
      </c>
      <c r="AO20" s="344">
        <f t="shared" si="19"/>
        <v>15190</v>
      </c>
      <c r="AP20" s="344">
        <f t="shared" si="19"/>
        <v>16351.944749999999</v>
      </c>
      <c r="AQ20" s="372">
        <f>AQ$10*AQ22</f>
        <v>15107.663188750003</v>
      </c>
      <c r="AR20" s="372">
        <f>AR$10*AR22</f>
        <v>14955.088021775002</v>
      </c>
      <c r="AS20" s="372">
        <f>AS$10*AS22</f>
        <v>15645.589680696256</v>
      </c>
    </row>
    <row r="21" spans="3:45" s="346" customFormat="1" outlineLevel="1">
      <c r="C21" s="389" t="s">
        <v>17</v>
      </c>
      <c r="E21" s="348"/>
      <c r="F21" s="348"/>
      <c r="G21" s="348"/>
      <c r="H21" s="348"/>
      <c r="I21" s="347">
        <f t="shared" ref="I21:AB21" si="20">IFERROR(+I20/E20-1,"NA ")</f>
        <v>2.00246457178066E-2</v>
      </c>
      <c r="J21" s="347">
        <f t="shared" si="20"/>
        <v>3.7201907790143096E-2</v>
      </c>
      <c r="K21" s="347">
        <f t="shared" si="20"/>
        <v>4.5617464972303789E-2</v>
      </c>
      <c r="L21" s="347">
        <f t="shared" si="20"/>
        <v>8.6821705426356477E-3</v>
      </c>
      <c r="M21" s="347">
        <f t="shared" si="20"/>
        <v>0</v>
      </c>
      <c r="N21" s="347">
        <f t="shared" si="20"/>
        <v>3.3415082771306004E-2</v>
      </c>
      <c r="O21" s="347">
        <f t="shared" si="20"/>
        <v>6.8245559364287889E-2</v>
      </c>
      <c r="P21" s="347">
        <f t="shared" si="20"/>
        <v>5.5333538272363869E-2</v>
      </c>
      <c r="Q21" s="347">
        <f t="shared" si="20"/>
        <v>6.3424947145878097E-3</v>
      </c>
      <c r="R21" s="347">
        <f t="shared" si="20"/>
        <v>1.9875407890833641E-2</v>
      </c>
      <c r="S21" s="347">
        <f t="shared" si="20"/>
        <v>-6.4177362893815593E-2</v>
      </c>
      <c r="T21" s="347">
        <f t="shared" si="20"/>
        <v>-1.4273230410719484E-2</v>
      </c>
      <c r="U21" s="347">
        <f t="shared" si="20"/>
        <v>-1.7106842737094841E-2</v>
      </c>
      <c r="V21" s="347">
        <f t="shared" si="20"/>
        <v>-2.4432809773123898E-2</v>
      </c>
      <c r="W21" s="347">
        <f t="shared" si="20"/>
        <v>1.9950124688279391E-2</v>
      </c>
      <c r="X21" s="347">
        <f t="shared" si="20"/>
        <v>8.0082742316784916E-2</v>
      </c>
      <c r="Y21" s="347">
        <f t="shared" si="20"/>
        <v>0.10625954198473275</v>
      </c>
      <c r="Z21" s="347">
        <f t="shared" si="20"/>
        <v>0.10763267740011928</v>
      </c>
      <c r="AA21" s="347">
        <f t="shared" si="20"/>
        <v>0.16228606356968212</v>
      </c>
      <c r="AB21" s="347">
        <f t="shared" si="20"/>
        <v>0.10779753761969912</v>
      </c>
      <c r="AC21" s="347">
        <f>IFERROR(+AC20/Y20-1,"NA ")</f>
        <v>0.20915056582942304</v>
      </c>
      <c r="AD21" s="347">
        <f>IFERROR(+AD20/Z20-1,"NA ")</f>
        <v>4.2384454912516745E-2</v>
      </c>
      <c r="AE21" s="347">
        <f>IFERROR(+AE20/AA20-1,"NA ")</f>
        <v>3.7487246910334004E-2</v>
      </c>
      <c r="AF21" s="347">
        <f>IFERROR(+AF20/AB20-1,"NA ")</f>
        <v>2.5727340083971262E-2</v>
      </c>
      <c r="AG21" s="429"/>
      <c r="AH21" s="348"/>
      <c r="AI21" s="347">
        <f t="shared" ref="AI21:AS21" si="21">IFERROR(AI20/AH20-1,"NA ")</f>
        <v>5.1226488688567162E-2</v>
      </c>
      <c r="AJ21" s="347">
        <f t="shared" si="21"/>
        <v>4.5926781002638473E-2</v>
      </c>
      <c r="AK21" s="347">
        <f t="shared" si="21"/>
        <v>2.7591643673630317E-2</v>
      </c>
      <c r="AL21" s="347">
        <f t="shared" si="21"/>
        <v>3.8971998465669344E-2</v>
      </c>
      <c r="AM21" s="347">
        <f t="shared" si="21"/>
        <v>-1.3364837923650619E-2</v>
      </c>
      <c r="AN21" s="347">
        <f t="shared" si="21"/>
        <v>1.451878461308187E-2</v>
      </c>
      <c r="AO21" s="347">
        <f t="shared" si="21"/>
        <v>0.12053703157273521</v>
      </c>
      <c r="AP21" s="347">
        <f t="shared" si="21"/>
        <v>7.6494058591178415E-2</v>
      </c>
      <c r="AQ21" s="347">
        <f t="shared" si="21"/>
        <v>-7.6093796809703407E-2</v>
      </c>
      <c r="AR21" s="347">
        <f t="shared" si="21"/>
        <v>-1.0099190395548185E-2</v>
      </c>
      <c r="AS21" s="347">
        <f t="shared" si="21"/>
        <v>4.6171688051308335E-2</v>
      </c>
    </row>
    <row r="22" spans="3:45" s="346" customFormat="1" outlineLevel="1">
      <c r="C22" s="389" t="s">
        <v>185</v>
      </c>
      <c r="E22" s="347">
        <f t="shared" ref="E22:AB22" si="22">IFERROR(+E20/E$10,"NA ")</f>
        <v>0.23689972266822362</v>
      </c>
      <c r="F22" s="347">
        <f t="shared" si="22"/>
        <v>0.23239488657356092</v>
      </c>
      <c r="G22" s="347">
        <f t="shared" si="22"/>
        <v>0.19451134491063507</v>
      </c>
      <c r="H22" s="347">
        <f t="shared" si="22"/>
        <v>0.19695859289116893</v>
      </c>
      <c r="I22" s="347">
        <f t="shared" si="22"/>
        <v>0.22377669640443362</v>
      </c>
      <c r="J22" s="347">
        <f t="shared" si="22"/>
        <v>0.22095779990516834</v>
      </c>
      <c r="K22" s="347">
        <f t="shared" si="22"/>
        <v>0.19871199455074617</v>
      </c>
      <c r="L22" s="347">
        <f t="shared" si="22"/>
        <v>0.19075822435935025</v>
      </c>
      <c r="M22" s="347">
        <f t="shared" si="22"/>
        <v>0.20608738951823727</v>
      </c>
      <c r="N22" s="347">
        <f t="shared" si="22"/>
        <v>0.19873835632590497</v>
      </c>
      <c r="O22" s="347">
        <f t="shared" si="22"/>
        <v>0.17888639565829983</v>
      </c>
      <c r="P22" s="347">
        <f t="shared" si="22"/>
        <v>0.18400600310875276</v>
      </c>
      <c r="Q22" s="347">
        <f t="shared" si="22"/>
        <v>0.20745906232488637</v>
      </c>
      <c r="R22" s="347">
        <f t="shared" si="22"/>
        <v>0.20830051499545593</v>
      </c>
      <c r="S22" s="347">
        <f t="shared" si="22"/>
        <v>0.16717040125065138</v>
      </c>
      <c r="T22" s="347">
        <f t="shared" si="22"/>
        <v>0.16745014597456578</v>
      </c>
      <c r="U22" s="347">
        <f t="shared" si="22"/>
        <v>0.16517046600766594</v>
      </c>
      <c r="V22" s="347">
        <f t="shared" si="22"/>
        <v>0.17001216545012166</v>
      </c>
      <c r="W22" s="347">
        <f t="shared" si="22"/>
        <v>0.17847597229040529</v>
      </c>
      <c r="X22" s="347">
        <f t="shared" si="22"/>
        <v>0.1829512463710081</v>
      </c>
      <c r="Y22" s="347">
        <f t="shared" si="22"/>
        <v>0.18416103288771413</v>
      </c>
      <c r="Z22" s="347">
        <f t="shared" si="22"/>
        <v>0.18924150578167184</v>
      </c>
      <c r="AA22" s="347">
        <f t="shared" si="22"/>
        <v>0.19815548145060441</v>
      </c>
      <c r="AB22" s="347">
        <f t="shared" si="22"/>
        <v>0.19724279033515199</v>
      </c>
      <c r="AC22" s="425">
        <v>0.23</v>
      </c>
      <c r="AD22" s="425">
        <v>0.23</v>
      </c>
      <c r="AE22" s="425">
        <v>0.24</v>
      </c>
      <c r="AF22" s="425">
        <v>0.24</v>
      </c>
      <c r="AG22" s="429"/>
      <c r="AH22" s="347">
        <f t="shared" ref="AH22:AP22" si="23">IFERROR(+AH20/AH$10,"NA ")</f>
        <v>0.20649722570252371</v>
      </c>
      <c r="AI22" s="347">
        <f t="shared" si="23"/>
        <v>0.21909493270707253</v>
      </c>
      <c r="AJ22" s="347">
        <f t="shared" si="23"/>
        <v>0.213598935794029</v>
      </c>
      <c r="AK22" s="347">
        <f t="shared" si="23"/>
        <v>0.20769267538758146</v>
      </c>
      <c r="AL22" s="347">
        <f t="shared" si="23"/>
        <v>0.19115571364046974</v>
      </c>
      <c r="AM22" s="347">
        <f t="shared" si="23"/>
        <v>0.18567359132911831</v>
      </c>
      <c r="AN22" s="347">
        <f t="shared" si="23"/>
        <v>0.17409172049777183</v>
      </c>
      <c r="AO22" s="347">
        <f t="shared" si="23"/>
        <v>0.19222008503745697</v>
      </c>
      <c r="AP22" s="347">
        <f t="shared" si="23"/>
        <v>0.23484641291429842</v>
      </c>
      <c r="AQ22" s="425">
        <v>0.23</v>
      </c>
      <c r="AR22" s="425">
        <v>0.22</v>
      </c>
      <c r="AS22" s="425">
        <v>0.22</v>
      </c>
    </row>
    <row r="23" spans="3:45" ht="5.25" customHeight="1" outlineLevel="1"/>
    <row r="24" spans="3:45">
      <c r="C24" s="338" t="s">
        <v>187</v>
      </c>
      <c r="D24" s="342"/>
      <c r="E24" s="345">
        <v>2226</v>
      </c>
      <c r="F24" s="345">
        <v>2007</v>
      </c>
      <c r="G24" s="345">
        <v>2006</v>
      </c>
      <c r="H24" s="345">
        <v>2138</v>
      </c>
      <c r="I24" s="345">
        <v>2099</v>
      </c>
      <c r="J24" s="345">
        <v>1850</v>
      </c>
      <c r="K24" s="345">
        <v>1661</v>
      </c>
      <c r="L24" s="345">
        <v>1842</v>
      </c>
      <c r="M24" s="345">
        <v>1900</v>
      </c>
      <c r="N24" s="345">
        <v>1725</v>
      </c>
      <c r="O24" s="345">
        <v>1605</v>
      </c>
      <c r="P24" s="345">
        <v>1720</v>
      </c>
      <c r="Q24" s="345">
        <v>1583</v>
      </c>
      <c r="R24" s="345">
        <v>1639</v>
      </c>
      <c r="S24" s="345">
        <v>1536</v>
      </c>
      <c r="T24" s="345">
        <v>1592</v>
      </c>
      <c r="U24" s="345">
        <v>1541</v>
      </c>
      <c r="V24" s="345">
        <v>1447</v>
      </c>
      <c r="W24" s="345">
        <v>1435</v>
      </c>
      <c r="X24" s="345">
        <v>1757</v>
      </c>
      <c r="Y24" s="345">
        <v>1328</v>
      </c>
      <c r="Z24" s="345">
        <v>1599</v>
      </c>
      <c r="AA24" s="345">
        <v>1674</v>
      </c>
      <c r="AB24" s="385">
        <v>1942</v>
      </c>
      <c r="AC24" s="372">
        <f>AC$10*AC26</f>
        <v>1809.4412499999996</v>
      </c>
      <c r="AD24" s="372">
        <f>AD$10*AD26</f>
        <v>1599.4936249999998</v>
      </c>
      <c r="AE24" s="372">
        <f>AE$10*AE26</f>
        <v>1643.9850000000004</v>
      </c>
      <c r="AF24" s="372">
        <f>AF$10*AF26</f>
        <v>1730.4875000000002</v>
      </c>
      <c r="AH24" s="345">
        <v>8136</v>
      </c>
      <c r="AI24" s="345">
        <v>7930</v>
      </c>
      <c r="AJ24" s="344">
        <f t="shared" ref="AJ24:AP24" si="24">+SUMIF($E$5:$AF$5,AJ$5,$E24:$AF24)</f>
        <v>8377</v>
      </c>
      <c r="AK24" s="344">
        <f t="shared" si="24"/>
        <v>7452</v>
      </c>
      <c r="AL24" s="344">
        <f t="shared" si="24"/>
        <v>6950</v>
      </c>
      <c r="AM24" s="344">
        <f t="shared" si="24"/>
        <v>6350</v>
      </c>
      <c r="AN24" s="344">
        <f t="shared" si="24"/>
        <v>6180</v>
      </c>
      <c r="AO24" s="344">
        <f t="shared" si="24"/>
        <v>6543</v>
      </c>
      <c r="AP24" s="344">
        <f t="shared" si="24"/>
        <v>6783.4073749999998</v>
      </c>
      <c r="AQ24" s="372">
        <f>AQ$10*AQ26</f>
        <v>6568.549212500001</v>
      </c>
      <c r="AR24" s="372">
        <f>AR$10*AR26</f>
        <v>6797.7672826250018</v>
      </c>
      <c r="AS24" s="372">
        <f>AS$10*AS26</f>
        <v>7111.6316730437529</v>
      </c>
    </row>
    <row r="25" spans="3:45" s="346" customFormat="1" outlineLevel="1">
      <c r="C25" s="389" t="s">
        <v>17</v>
      </c>
      <c r="E25" s="348"/>
      <c r="F25" s="348"/>
      <c r="G25" s="348"/>
      <c r="H25" s="348"/>
      <c r="I25" s="347">
        <f t="shared" ref="I25:AF25" si="25">IFERROR(+I24/E24-1,"NA ")</f>
        <v>-5.7053009883198613E-2</v>
      </c>
      <c r="J25" s="347">
        <f t="shared" si="25"/>
        <v>-7.8226208271051312E-2</v>
      </c>
      <c r="K25" s="347">
        <f t="shared" si="25"/>
        <v>-0.17198404785643073</v>
      </c>
      <c r="L25" s="347">
        <f t="shared" si="25"/>
        <v>-0.13844714686623016</v>
      </c>
      <c r="M25" s="347">
        <f t="shared" si="25"/>
        <v>-9.4807050976655538E-2</v>
      </c>
      <c r="N25" s="347">
        <f t="shared" si="25"/>
        <v>-6.7567567567567544E-2</v>
      </c>
      <c r="O25" s="347">
        <f t="shared" si="25"/>
        <v>-3.3714629741119828E-2</v>
      </c>
      <c r="P25" s="347">
        <f t="shared" si="25"/>
        <v>-6.6232356134636294E-2</v>
      </c>
      <c r="Q25" s="347">
        <f t="shared" si="25"/>
        <v>-0.1668421052631579</v>
      </c>
      <c r="R25" s="347">
        <f t="shared" si="25"/>
        <v>-4.985507246376808E-2</v>
      </c>
      <c r="S25" s="347">
        <f t="shared" si="25"/>
        <v>-4.2990654205607437E-2</v>
      </c>
      <c r="T25" s="347">
        <f t="shared" si="25"/>
        <v>-7.441860465116279E-2</v>
      </c>
      <c r="U25" s="347">
        <f t="shared" si="25"/>
        <v>-2.653190145293749E-2</v>
      </c>
      <c r="V25" s="347">
        <f t="shared" si="25"/>
        <v>-0.11714460036607688</v>
      </c>
      <c r="W25" s="347">
        <f t="shared" si="25"/>
        <v>-6.575520833333337E-2</v>
      </c>
      <c r="X25" s="347">
        <f t="shared" si="25"/>
        <v>0.10364321608040195</v>
      </c>
      <c r="Y25" s="347">
        <f t="shared" si="25"/>
        <v>-0.13822193380921477</v>
      </c>
      <c r="Z25" s="347">
        <f t="shared" si="25"/>
        <v>0.10504492052522463</v>
      </c>
      <c r="AA25" s="347">
        <f t="shared" si="25"/>
        <v>0.16655052264808368</v>
      </c>
      <c r="AB25" s="347">
        <f t="shared" si="25"/>
        <v>0.10529311326124069</v>
      </c>
      <c r="AC25" s="347">
        <f t="shared" si="25"/>
        <v>0.36253106174698768</v>
      </c>
      <c r="AD25" s="347">
        <f t="shared" si="25"/>
        <v>3.087085678548096E-4</v>
      </c>
      <c r="AE25" s="347">
        <f t="shared" si="25"/>
        <v>-1.7930107526881511E-2</v>
      </c>
      <c r="AF25" s="347">
        <f t="shared" si="25"/>
        <v>-0.10891477857878462</v>
      </c>
      <c r="AG25" s="429"/>
      <c r="AH25" s="348"/>
      <c r="AI25" s="347">
        <f t="shared" ref="AI25:AS25" si="26">IFERROR(AI24/AH24-1,"NA ")</f>
        <v>-2.5319567354965544E-2</v>
      </c>
      <c r="AJ25" s="347">
        <f t="shared" si="26"/>
        <v>5.6368221941992536E-2</v>
      </c>
      <c r="AK25" s="347">
        <f t="shared" si="26"/>
        <v>-0.11042139190641043</v>
      </c>
      <c r="AL25" s="347">
        <f t="shared" si="26"/>
        <v>-6.7364465915190519E-2</v>
      </c>
      <c r="AM25" s="347">
        <f t="shared" si="26"/>
        <v>-8.633093525179858E-2</v>
      </c>
      <c r="AN25" s="347">
        <f t="shared" si="26"/>
        <v>-2.6771653543307128E-2</v>
      </c>
      <c r="AO25" s="347">
        <f t="shared" si="26"/>
        <v>5.8737864077669899E-2</v>
      </c>
      <c r="AP25" s="347">
        <f t="shared" si="26"/>
        <v>3.6742683020021261E-2</v>
      </c>
      <c r="AQ25" s="347">
        <f t="shared" si="26"/>
        <v>-3.1674076260236217E-2</v>
      </c>
      <c r="AR25" s="347">
        <f t="shared" si="26"/>
        <v>3.4896300950108872E-2</v>
      </c>
      <c r="AS25" s="347">
        <f t="shared" si="26"/>
        <v>4.6171688051308335E-2</v>
      </c>
    </row>
    <row r="26" spans="3:45" s="346" customFormat="1" outlineLevel="1">
      <c r="C26" s="389" t="s">
        <v>185</v>
      </c>
      <c r="E26" s="347">
        <f t="shared" ref="E26:AB26" si="27">IFERROR(+E24/E$10,"NA ")</f>
        <v>0.16245803532331046</v>
      </c>
      <c r="F26" s="347">
        <f t="shared" si="27"/>
        <v>0.14830414542230105</v>
      </c>
      <c r="G26" s="347">
        <f t="shared" si="27"/>
        <v>0.12713905437951578</v>
      </c>
      <c r="H26" s="347">
        <f t="shared" si="27"/>
        <v>0.13057285941126176</v>
      </c>
      <c r="I26" s="347">
        <f t="shared" si="27"/>
        <v>0.14186266558529331</v>
      </c>
      <c r="J26" s="347">
        <f t="shared" si="27"/>
        <v>0.12531328320802004</v>
      </c>
      <c r="K26" s="347">
        <f t="shared" si="27"/>
        <v>0.10285466592358659</v>
      </c>
      <c r="L26" s="347">
        <f t="shared" si="27"/>
        <v>0.10801618483551281</v>
      </c>
      <c r="M26" s="347">
        <f t="shared" si="27"/>
        <v>0.11826216855471182</v>
      </c>
      <c r="N26" s="347">
        <f t="shared" si="27"/>
        <v>0.10169791298195967</v>
      </c>
      <c r="O26" s="347">
        <f t="shared" si="27"/>
        <v>8.3755153159734905E-2</v>
      </c>
      <c r="P26" s="347">
        <f t="shared" si="27"/>
        <v>9.2190598702899709E-2</v>
      </c>
      <c r="Q26" s="347">
        <f t="shared" si="27"/>
        <v>9.8561733391445111E-2</v>
      </c>
      <c r="R26" s="347">
        <f t="shared" si="27"/>
        <v>9.9303241441987281E-2</v>
      </c>
      <c r="S26" s="347">
        <f t="shared" si="27"/>
        <v>8.0041688379364248E-2</v>
      </c>
      <c r="T26" s="347">
        <f t="shared" si="27"/>
        <v>7.877678262160423E-2</v>
      </c>
      <c r="U26" s="347">
        <f t="shared" si="27"/>
        <v>7.7718378051240669E-2</v>
      </c>
      <c r="V26" s="347">
        <f t="shared" si="27"/>
        <v>7.334752635847526E-2</v>
      </c>
      <c r="W26" s="347">
        <f t="shared" si="27"/>
        <v>7.8274150439098897E-2</v>
      </c>
      <c r="X26" s="347">
        <f t="shared" si="27"/>
        <v>8.7946741415557111E-2</v>
      </c>
      <c r="Y26" s="347">
        <f t="shared" si="27"/>
        <v>6.7503685253901283E-2</v>
      </c>
      <c r="Z26" s="347">
        <f t="shared" si="27"/>
        <v>8.145280423819469E-2</v>
      </c>
      <c r="AA26" s="347">
        <f t="shared" si="27"/>
        <v>8.7223843268028345E-2</v>
      </c>
      <c r="AB26" s="347">
        <f t="shared" si="27"/>
        <v>9.4602494154325797E-2</v>
      </c>
      <c r="AC26" s="425">
        <v>9.5000000000000001E-2</v>
      </c>
      <c r="AD26" s="425">
        <v>9.5000000000000001E-2</v>
      </c>
      <c r="AE26" s="425">
        <v>0.1</v>
      </c>
      <c r="AF26" s="425">
        <v>0.1</v>
      </c>
      <c r="AG26" s="429"/>
      <c r="AH26" s="347">
        <f t="shared" ref="AH26:AP26" si="28">IFERROR(+AH24/AH$10,"NA ")</f>
        <v>0.14562376946482908</v>
      </c>
      <c r="AI26" s="347">
        <f t="shared" si="28"/>
        <v>0.14325715834161323</v>
      </c>
      <c r="AJ26" s="347">
        <f t="shared" si="28"/>
        <v>0.14105780726421607</v>
      </c>
      <c r="AK26" s="347">
        <f t="shared" si="28"/>
        <v>0.11873615780500629</v>
      </c>
      <c r="AL26" s="347">
        <f t="shared" si="28"/>
        <v>9.809733514001806E-2</v>
      </c>
      <c r="AM26" s="347">
        <f t="shared" si="28"/>
        <v>8.8237337594664067E-2</v>
      </c>
      <c r="AN26" s="347">
        <f t="shared" si="28"/>
        <v>7.9366098604029947E-2</v>
      </c>
      <c r="AO26" s="347">
        <f t="shared" si="28"/>
        <v>8.2797631099412836E-2</v>
      </c>
      <c r="AP26" s="347">
        <f t="shared" si="28"/>
        <v>9.742320645714922E-2</v>
      </c>
      <c r="AQ26" s="425">
        <v>0.1</v>
      </c>
      <c r="AR26" s="425">
        <v>0.1</v>
      </c>
      <c r="AS26" s="425">
        <v>0.1</v>
      </c>
    </row>
    <row r="27" spans="3:45" ht="5.25" customHeight="1" outlineLevel="1"/>
    <row r="28" spans="3:45">
      <c r="C28" s="338" t="s">
        <v>188</v>
      </c>
      <c r="E28" s="345">
        <v>0</v>
      </c>
      <c r="F28" s="345">
        <v>1414</v>
      </c>
      <c r="G28" s="345">
        <v>372</v>
      </c>
      <c r="H28" s="345">
        <v>-42</v>
      </c>
      <c r="I28" s="345">
        <v>80</v>
      </c>
      <c r="J28" s="345">
        <v>105</v>
      </c>
      <c r="K28" s="345">
        <v>4</v>
      </c>
      <c r="L28" s="345">
        <v>195</v>
      </c>
      <c r="M28" s="345">
        <v>0</v>
      </c>
      <c r="N28" s="345">
        <v>0</v>
      </c>
      <c r="O28" s="345">
        <v>-72</v>
      </c>
      <c r="P28" s="345">
        <v>0</v>
      </c>
      <c r="Q28" s="345">
        <v>0</v>
      </c>
      <c r="R28" s="345">
        <v>184</v>
      </c>
      <c r="S28" s="345">
        <v>104</v>
      </c>
      <c r="T28" s="345">
        <v>105</v>
      </c>
      <c r="U28" s="345">
        <v>162</v>
      </c>
      <c r="V28" s="345">
        <v>9</v>
      </c>
      <c r="W28" s="345">
        <v>-25</v>
      </c>
      <c r="X28" s="345">
        <v>52</v>
      </c>
      <c r="Y28" s="345">
        <v>2209</v>
      </c>
      <c r="Z28" s="345">
        <v>346</v>
      </c>
      <c r="AA28" s="345">
        <v>42</v>
      </c>
      <c r="AB28" s="385">
        <v>29</v>
      </c>
      <c r="AC28" s="426">
        <v>0</v>
      </c>
      <c r="AD28" s="426">
        <v>0</v>
      </c>
      <c r="AE28" s="426">
        <v>0</v>
      </c>
      <c r="AF28" s="426">
        <v>0</v>
      </c>
      <c r="AH28" s="345">
        <v>295</v>
      </c>
      <c r="AI28" s="345">
        <v>354</v>
      </c>
      <c r="AJ28" s="344">
        <f t="shared" ref="AJ28:AP29" si="29">+SUMIF($E$5:$AF$5,AJ$5,$E28:$AF28)</f>
        <v>1744</v>
      </c>
      <c r="AK28" s="344">
        <f t="shared" si="29"/>
        <v>384</v>
      </c>
      <c r="AL28" s="344">
        <f t="shared" si="29"/>
        <v>-72</v>
      </c>
      <c r="AM28" s="344">
        <f t="shared" si="29"/>
        <v>393</v>
      </c>
      <c r="AN28" s="344">
        <f t="shared" si="29"/>
        <v>198</v>
      </c>
      <c r="AO28" s="344">
        <f t="shared" si="29"/>
        <v>2626</v>
      </c>
      <c r="AP28" s="344">
        <f t="shared" si="29"/>
        <v>0</v>
      </c>
      <c r="AQ28" s="426">
        <v>0</v>
      </c>
      <c r="AR28" s="426">
        <v>0</v>
      </c>
      <c r="AS28" s="426">
        <v>0</v>
      </c>
    </row>
    <row r="29" spans="3:45">
      <c r="C29" s="338" t="s">
        <v>189</v>
      </c>
      <c r="E29" s="345">
        <v>90</v>
      </c>
      <c r="F29" s="345">
        <v>89</v>
      </c>
      <c r="G29" s="345">
        <v>74</v>
      </c>
      <c r="H29" s="345">
        <v>41</v>
      </c>
      <c r="I29" s="345">
        <v>38</v>
      </c>
      <c r="J29" s="345">
        <v>37</v>
      </c>
      <c r="K29" s="345">
        <v>49</v>
      </c>
      <c r="L29" s="345">
        <v>53</v>
      </c>
      <c r="M29" s="345">
        <v>50</v>
      </c>
      <c r="N29" s="345">
        <v>50</v>
      </c>
      <c r="O29" s="345">
        <v>50</v>
      </c>
      <c r="P29" s="345">
        <v>-150</v>
      </c>
      <c r="Q29" s="345">
        <v>0</v>
      </c>
      <c r="R29" s="345">
        <v>0</v>
      </c>
      <c r="S29" s="345">
        <v>0</v>
      </c>
      <c r="T29" s="345">
        <v>0</v>
      </c>
      <c r="U29" s="345">
        <v>0</v>
      </c>
      <c r="V29" s="345">
        <v>0</v>
      </c>
      <c r="W29" s="345">
        <v>0</v>
      </c>
      <c r="X29" s="345">
        <v>0</v>
      </c>
      <c r="Y29" s="345">
        <v>0</v>
      </c>
      <c r="Z29" s="345">
        <v>0</v>
      </c>
      <c r="AA29" s="345">
        <v>0</v>
      </c>
      <c r="AB29" s="345">
        <v>0</v>
      </c>
      <c r="AC29" s="428"/>
      <c r="AD29" s="428"/>
      <c r="AE29" s="428"/>
      <c r="AF29" s="428"/>
      <c r="AH29" s="345">
        <v>294</v>
      </c>
      <c r="AI29" s="345">
        <v>265</v>
      </c>
      <c r="AJ29" s="344">
        <f t="shared" si="29"/>
        <v>294</v>
      </c>
      <c r="AK29" s="344">
        <f t="shared" si="29"/>
        <v>177</v>
      </c>
      <c r="AL29" s="344">
        <f t="shared" si="29"/>
        <v>0</v>
      </c>
      <c r="AM29" s="344">
        <f t="shared" si="29"/>
        <v>0</v>
      </c>
      <c r="AN29" s="344">
        <f t="shared" si="29"/>
        <v>0</v>
      </c>
      <c r="AO29" s="344">
        <f t="shared" si="29"/>
        <v>0</v>
      </c>
      <c r="AP29" s="344">
        <f t="shared" si="29"/>
        <v>0</v>
      </c>
      <c r="AQ29" s="428"/>
      <c r="AR29" s="428"/>
      <c r="AS29" s="428"/>
    </row>
    <row r="30" spans="3:45">
      <c r="C30" s="361" t="s">
        <v>190</v>
      </c>
      <c r="E30" s="375">
        <f>E20+E24+E28+E29</f>
        <v>5562</v>
      </c>
      <c r="F30" s="375">
        <f t="shared" ref="F30:AB30" si="30">F20+F24+F28+F29</f>
        <v>6655</v>
      </c>
      <c r="G30" s="375">
        <f t="shared" si="30"/>
        <v>5521</v>
      </c>
      <c r="H30" s="375">
        <f t="shared" si="30"/>
        <v>5362</v>
      </c>
      <c r="I30" s="375">
        <f t="shared" si="30"/>
        <v>5528</v>
      </c>
      <c r="J30" s="375">
        <f t="shared" si="30"/>
        <v>5254</v>
      </c>
      <c r="K30" s="375">
        <f t="shared" si="30"/>
        <v>4923</v>
      </c>
      <c r="L30" s="375">
        <f t="shared" si="30"/>
        <v>5343</v>
      </c>
      <c r="M30" s="375">
        <f t="shared" si="30"/>
        <v>5261</v>
      </c>
      <c r="N30" s="375">
        <f t="shared" si="30"/>
        <v>5146</v>
      </c>
      <c r="O30" s="375">
        <f t="shared" si="30"/>
        <v>5011</v>
      </c>
      <c r="P30" s="375">
        <f t="shared" si="30"/>
        <v>5003</v>
      </c>
      <c r="Q30" s="375">
        <f t="shared" si="30"/>
        <v>4915</v>
      </c>
      <c r="R30" s="375">
        <f t="shared" si="30"/>
        <v>5261</v>
      </c>
      <c r="S30" s="375">
        <f t="shared" si="30"/>
        <v>4848</v>
      </c>
      <c r="T30" s="375">
        <f t="shared" si="30"/>
        <v>5081</v>
      </c>
      <c r="U30" s="375">
        <f t="shared" si="30"/>
        <v>4978</v>
      </c>
      <c r="V30" s="375">
        <f t="shared" si="30"/>
        <v>4810</v>
      </c>
      <c r="W30" s="375">
        <f t="shared" si="30"/>
        <v>4682</v>
      </c>
      <c r="X30" s="375">
        <f t="shared" si="30"/>
        <v>5464</v>
      </c>
      <c r="Y30" s="375">
        <f t="shared" si="30"/>
        <v>7160</v>
      </c>
      <c r="Z30" s="375">
        <f t="shared" si="30"/>
        <v>5660</v>
      </c>
      <c r="AA30" s="375">
        <f t="shared" si="30"/>
        <v>5519</v>
      </c>
      <c r="AB30" s="375">
        <f t="shared" si="30"/>
        <v>6020</v>
      </c>
      <c r="AC30" s="375">
        <f>AC20+AC24+AC28+AC29</f>
        <v>6190.1937499999995</v>
      </c>
      <c r="AD30" s="375">
        <f>AD20+AD24+AD28+AD29</f>
        <v>5471.9518749999997</v>
      </c>
      <c r="AE30" s="375">
        <f>AE20+AE24+AE28+AE29</f>
        <v>5589.5490000000009</v>
      </c>
      <c r="AF30" s="375">
        <f>AF20+AF24+AF28+AF29</f>
        <v>5883.6575000000003</v>
      </c>
      <c r="AH30" s="375">
        <f t="shared" ref="AH30:AS30" si="31">AH20+AH24+AH28+AH29</f>
        <v>20262</v>
      </c>
      <c r="AI30" s="375">
        <f t="shared" si="31"/>
        <v>20677</v>
      </c>
      <c r="AJ30" s="375">
        <f t="shared" si="31"/>
        <v>23100</v>
      </c>
      <c r="AK30" s="375">
        <f t="shared" si="31"/>
        <v>21048</v>
      </c>
      <c r="AL30" s="375">
        <f t="shared" si="31"/>
        <v>20421</v>
      </c>
      <c r="AM30" s="375">
        <f t="shared" si="31"/>
        <v>20105</v>
      </c>
      <c r="AN30" s="375">
        <f t="shared" si="31"/>
        <v>19934</v>
      </c>
      <c r="AO30" s="375">
        <f t="shared" si="31"/>
        <v>24359</v>
      </c>
      <c r="AP30" s="375">
        <f t="shared" si="31"/>
        <v>23135.352124999998</v>
      </c>
      <c r="AQ30" s="375">
        <f t="shared" si="31"/>
        <v>21676.212401250003</v>
      </c>
      <c r="AR30" s="375">
        <f t="shared" si="31"/>
        <v>21752.855304400004</v>
      </c>
      <c r="AS30" s="375">
        <f t="shared" si="31"/>
        <v>22757.221353740009</v>
      </c>
    </row>
    <row r="31" spans="3:45">
      <c r="C31" s="361"/>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H31" s="344"/>
      <c r="AI31" s="344"/>
      <c r="AJ31" s="344"/>
      <c r="AK31" s="344"/>
      <c r="AL31" s="344"/>
      <c r="AM31" s="344"/>
      <c r="AN31" s="344"/>
      <c r="AO31" s="344"/>
      <c r="AP31" s="344"/>
      <c r="AQ31" s="344"/>
      <c r="AR31" s="344"/>
      <c r="AS31" s="344"/>
    </row>
    <row r="32" spans="3:45" s="373" customFormat="1">
      <c r="C32" s="354" t="s">
        <v>191</v>
      </c>
      <c r="D32" s="342"/>
      <c r="E32" s="352">
        <f t="shared" ref="E32:AB32" si="32">E16-E30</f>
        <v>2568</v>
      </c>
      <c r="F32" s="352">
        <f t="shared" si="32"/>
        <v>1318</v>
      </c>
      <c r="G32" s="352">
        <f t="shared" si="32"/>
        <v>4462</v>
      </c>
      <c r="H32" s="352">
        <f t="shared" si="32"/>
        <v>4785</v>
      </c>
      <c r="I32" s="352">
        <f t="shared" si="32"/>
        <v>3632</v>
      </c>
      <c r="J32" s="352">
        <f t="shared" si="32"/>
        <v>3842</v>
      </c>
      <c r="K32" s="352">
        <f t="shared" si="32"/>
        <v>5141</v>
      </c>
      <c r="L32" s="352">
        <f t="shared" si="32"/>
        <v>5435</v>
      </c>
      <c r="M32" s="352">
        <f t="shared" si="32"/>
        <v>4470</v>
      </c>
      <c r="N32" s="352">
        <f t="shared" si="32"/>
        <v>5273</v>
      </c>
      <c r="O32" s="352">
        <f t="shared" si="32"/>
        <v>7349</v>
      </c>
      <c r="P32" s="352">
        <f t="shared" si="32"/>
        <v>6224</v>
      </c>
      <c r="Q32" s="352">
        <f t="shared" si="32"/>
        <v>4174</v>
      </c>
      <c r="R32" s="352">
        <f t="shared" si="32"/>
        <v>4617</v>
      </c>
      <c r="S32" s="352">
        <f t="shared" si="32"/>
        <v>6447</v>
      </c>
      <c r="T32" s="352">
        <f t="shared" si="32"/>
        <v>6797</v>
      </c>
      <c r="U32" s="352">
        <f t="shared" si="32"/>
        <v>7038</v>
      </c>
      <c r="V32" s="352">
        <f t="shared" si="32"/>
        <v>5697</v>
      </c>
      <c r="W32" s="352">
        <f t="shared" si="32"/>
        <v>5059</v>
      </c>
      <c r="X32" s="352">
        <f t="shared" si="32"/>
        <v>5884</v>
      </c>
      <c r="Y32" s="352">
        <f t="shared" si="32"/>
        <v>3694</v>
      </c>
      <c r="Z32" s="352">
        <f t="shared" si="32"/>
        <v>5546</v>
      </c>
      <c r="AA32" s="352">
        <f t="shared" si="32"/>
        <v>5227</v>
      </c>
      <c r="AB32" s="352">
        <f t="shared" si="32"/>
        <v>4989</v>
      </c>
      <c r="AC32" s="352">
        <f>AC16-AC30</f>
        <v>3215.266373101872</v>
      </c>
      <c r="AD32" s="352">
        <f>AD16-AD30</f>
        <v>1964.5822481018722</v>
      </c>
      <c r="AE32" s="352">
        <f>AE16-AE30</f>
        <v>1500.0011231018725</v>
      </c>
      <c r="AF32" s="352">
        <f>AF16-AF30</f>
        <v>1076.007623101872</v>
      </c>
      <c r="AG32" s="429"/>
      <c r="AH32" s="352">
        <f t="shared" ref="AH32:AP32" si="33">AH16-AH30</f>
        <v>15347</v>
      </c>
      <c r="AI32" s="352">
        <f t="shared" si="33"/>
        <v>14002</v>
      </c>
      <c r="AJ32" s="352">
        <f t="shared" si="33"/>
        <v>13133</v>
      </c>
      <c r="AK32" s="352">
        <f t="shared" si="33"/>
        <v>18050</v>
      </c>
      <c r="AL32" s="352">
        <f t="shared" si="33"/>
        <v>23316</v>
      </c>
      <c r="AM32" s="352">
        <f t="shared" si="33"/>
        <v>22035</v>
      </c>
      <c r="AN32" s="352">
        <f t="shared" si="33"/>
        <v>23678</v>
      </c>
      <c r="AO32" s="352">
        <f t="shared" si="33"/>
        <v>19456</v>
      </c>
      <c r="AP32" s="352">
        <f t="shared" si="33"/>
        <v>7755.8573674074942</v>
      </c>
      <c r="AQ32" s="352">
        <f>AQ16-AQ30</f>
        <v>7962.4393899074894</v>
      </c>
      <c r="AR32" s="352">
        <f>AR16-AR30</f>
        <v>10322.674872869993</v>
      </c>
      <c r="AS32" s="352">
        <f>AS16-AS30</f>
        <v>11567.407503886243</v>
      </c>
    </row>
    <row r="33" spans="2:45" s="346" customFormat="1" outlineLevel="1">
      <c r="C33" s="389" t="s">
        <v>17</v>
      </c>
      <c r="E33" s="348"/>
      <c r="F33" s="348"/>
      <c r="G33" s="348"/>
      <c r="H33" s="348"/>
      <c r="I33" s="347">
        <f t="shared" ref="I33:AF33" si="34">IFERROR(+I32/E32-1,"NA ")</f>
        <v>0.41433021806853576</v>
      </c>
      <c r="J33" s="347">
        <f t="shared" si="34"/>
        <v>1.9150227617602429</v>
      </c>
      <c r="K33" s="347">
        <f t="shared" si="34"/>
        <v>0.15217391304347827</v>
      </c>
      <c r="L33" s="347">
        <f t="shared" si="34"/>
        <v>0.13584117032392884</v>
      </c>
      <c r="M33" s="347">
        <f t="shared" si="34"/>
        <v>0.23072687224669597</v>
      </c>
      <c r="N33" s="347">
        <f t="shared" si="34"/>
        <v>0.37246225923997911</v>
      </c>
      <c r="O33" s="347">
        <f t="shared" si="34"/>
        <v>0.42948842637619133</v>
      </c>
      <c r="P33" s="347">
        <f t="shared" si="34"/>
        <v>0.1451701931922722</v>
      </c>
      <c r="Q33" s="347">
        <f t="shared" si="34"/>
        <v>-6.6219239373601746E-2</v>
      </c>
      <c r="R33" s="347">
        <f t="shared" si="34"/>
        <v>-0.12440735824009108</v>
      </c>
      <c r="S33" s="347">
        <f t="shared" si="34"/>
        <v>-0.12273778745407538</v>
      </c>
      <c r="T33" s="347">
        <f t="shared" si="34"/>
        <v>9.2062982005141292E-2</v>
      </c>
      <c r="U33" s="347">
        <f t="shared" si="34"/>
        <v>0.68615237182558686</v>
      </c>
      <c r="V33" s="347">
        <f t="shared" si="34"/>
        <v>0.23391812865497075</v>
      </c>
      <c r="W33" s="347">
        <f t="shared" si="34"/>
        <v>-0.21529393516364204</v>
      </c>
      <c r="X33" s="347">
        <f t="shared" si="34"/>
        <v>-0.13432396645578937</v>
      </c>
      <c r="Y33" s="347">
        <f t="shared" si="34"/>
        <v>-0.47513498152884337</v>
      </c>
      <c r="Z33" s="347">
        <f t="shared" si="34"/>
        <v>-2.6505178163945931E-2</v>
      </c>
      <c r="AA33" s="347">
        <f t="shared" si="34"/>
        <v>3.3208143901956921E-2</v>
      </c>
      <c r="AB33" s="347">
        <f t="shared" si="34"/>
        <v>-0.15210740992522098</v>
      </c>
      <c r="AC33" s="347">
        <f t="shared" si="34"/>
        <v>-0.12959762504009964</v>
      </c>
      <c r="AD33" s="347">
        <f t="shared" si="34"/>
        <v>-0.64576591271152683</v>
      </c>
      <c r="AE33" s="347">
        <f t="shared" si="34"/>
        <v>-0.71302829096960541</v>
      </c>
      <c r="AF33" s="347">
        <f t="shared" si="34"/>
        <v>-0.78432398815356341</v>
      </c>
      <c r="AG33" s="429"/>
      <c r="AH33" s="348"/>
      <c r="AI33" s="347">
        <f t="shared" ref="AI33:AP33" si="35">IFERROR(AI32/AH32-1,"NA ")</f>
        <v>-8.7639278034795098E-2</v>
      </c>
      <c r="AJ33" s="347">
        <f t="shared" si="35"/>
        <v>-6.206256249107267E-2</v>
      </c>
      <c r="AK33" s="347">
        <f t="shared" si="35"/>
        <v>0.37440036549151001</v>
      </c>
      <c r="AL33" s="347">
        <f t="shared" si="35"/>
        <v>0.29174515235457066</v>
      </c>
      <c r="AM33" s="347">
        <f t="shared" si="35"/>
        <v>-5.4940813175501813E-2</v>
      </c>
      <c r="AN33" s="347">
        <f t="shared" si="35"/>
        <v>7.4563194917177222E-2</v>
      </c>
      <c r="AO33" s="347">
        <f t="shared" si="35"/>
        <v>-0.17830897879888508</v>
      </c>
      <c r="AP33" s="347">
        <f t="shared" si="35"/>
        <v>-0.6013642389284799</v>
      </c>
      <c r="AQ33" s="347">
        <f>IFERROR(AQ32/AP32-1,"NA ")</f>
        <v>2.6635613925562351E-2</v>
      </c>
      <c r="AR33" s="347">
        <f>IFERROR(AR32/AQ32-1,"NA ")</f>
        <v>0.29642115529998736</v>
      </c>
      <c r="AS33" s="347">
        <f>IFERROR(AS32/AR32-1,"NA ")</f>
        <v>0.12058237291650542</v>
      </c>
    </row>
    <row r="34" spans="2:45" s="346" customFormat="1" outlineLevel="1">
      <c r="C34" s="389" t="s">
        <v>185</v>
      </c>
      <c r="E34" s="347">
        <f t="shared" ref="E34:AB34" si="36">IFERROR(+E32/E$10,"NA ")</f>
        <v>0.18741789519778135</v>
      </c>
      <c r="F34" s="347">
        <f t="shared" si="36"/>
        <v>9.7391561368506616E-2</v>
      </c>
      <c r="G34" s="347">
        <f t="shared" si="36"/>
        <v>0.28279883381924198</v>
      </c>
      <c r="H34" s="347">
        <f t="shared" si="36"/>
        <v>0.2922315866617809</v>
      </c>
      <c r="I34" s="347">
        <f t="shared" si="36"/>
        <v>0.24547174912138417</v>
      </c>
      <c r="J34" s="347">
        <f t="shared" si="36"/>
        <v>0.26024520761362868</v>
      </c>
      <c r="K34" s="347">
        <f t="shared" si="36"/>
        <v>0.31834788531797636</v>
      </c>
      <c r="L34" s="347">
        <f t="shared" si="36"/>
        <v>0.31871225004398052</v>
      </c>
      <c r="M34" s="347">
        <f t="shared" si="36"/>
        <v>0.27822731233661147</v>
      </c>
      <c r="N34" s="347">
        <f t="shared" si="36"/>
        <v>0.3108713595094918</v>
      </c>
      <c r="O34" s="347">
        <f t="shared" si="36"/>
        <v>0.38349945206909147</v>
      </c>
      <c r="P34" s="347">
        <f t="shared" si="36"/>
        <v>0.33360132925979524</v>
      </c>
      <c r="Q34" s="347">
        <f t="shared" si="36"/>
        <v>0.25988419151983067</v>
      </c>
      <c r="R34" s="347">
        <f t="shared" si="36"/>
        <v>0.27973341411693425</v>
      </c>
      <c r="S34" s="347">
        <f t="shared" si="36"/>
        <v>0.33595622720166751</v>
      </c>
      <c r="T34" s="347">
        <f t="shared" si="36"/>
        <v>0.33633529615517838</v>
      </c>
      <c r="U34" s="347">
        <f t="shared" si="36"/>
        <v>0.35495259229372605</v>
      </c>
      <c r="V34" s="347">
        <f t="shared" si="36"/>
        <v>0.28877737226277372</v>
      </c>
      <c r="W34" s="347">
        <f t="shared" si="36"/>
        <v>0.27595047182676047</v>
      </c>
      <c r="X34" s="347">
        <f t="shared" si="36"/>
        <v>0.2945239763740114</v>
      </c>
      <c r="Y34" s="347">
        <f t="shared" si="36"/>
        <v>0.18777004015655976</v>
      </c>
      <c r="Z34" s="347">
        <f t="shared" si="36"/>
        <v>0.28251235291121185</v>
      </c>
      <c r="AA34" s="347">
        <f t="shared" si="36"/>
        <v>0.27235306377657359</v>
      </c>
      <c r="AB34" s="347">
        <f t="shared" si="36"/>
        <v>0.24303390491036633</v>
      </c>
      <c r="AC34" s="347">
        <f>IFERROR(+AC32/AC$10,"NA ")</f>
        <v>0.16880918650698271</v>
      </c>
      <c r="AD34" s="347">
        <f>IFERROR(+AD32/AD$10,"NA ")</f>
        <v>0.11668399964374843</v>
      </c>
      <c r="AE34" s="347">
        <f>IFERROR(+AE32/AE$10,"NA ")</f>
        <v>9.1241776725570628E-2</v>
      </c>
      <c r="AF34" s="347">
        <f>IFERROR(+AF32/AF$10,"NA ")</f>
        <v>6.2179450767594222E-2</v>
      </c>
      <c r="AG34" s="429"/>
      <c r="AH34" s="347">
        <f t="shared" ref="AH34:AP34" si="37">IFERROR(+AH32/AH$10,"NA ")</f>
        <v>0.27469124753892965</v>
      </c>
      <c r="AI34" s="347">
        <f t="shared" si="37"/>
        <v>0.25294914641857102</v>
      </c>
      <c r="AJ34" s="347">
        <f t="shared" si="37"/>
        <v>0.22114267432266321</v>
      </c>
      <c r="AK34" s="347">
        <f t="shared" si="37"/>
        <v>0.28759898663182548</v>
      </c>
      <c r="AL34" s="347">
        <f t="shared" si="37"/>
        <v>0.32909891598915991</v>
      </c>
      <c r="AM34" s="347">
        <f t="shared" si="37"/>
        <v>0.30619050927534219</v>
      </c>
      <c r="AN34" s="347">
        <f t="shared" si="37"/>
        <v>0.30408260238611995</v>
      </c>
      <c r="AO34" s="347">
        <f t="shared" si="37"/>
        <v>0.24620368495646891</v>
      </c>
      <c r="AP34" s="347">
        <f t="shared" si="37"/>
        <v>0.11138952030831586</v>
      </c>
      <c r="AQ34" s="347">
        <f>IFERROR(+AQ32/AQ$10,"NA ")</f>
        <v>0.12122067038418324</v>
      </c>
      <c r="AR34" s="347">
        <f>IFERROR(+AR32/AR$10,"NA ")</f>
        <v>0.15185390207832808</v>
      </c>
      <c r="AS34" s="347">
        <f>IFERROR(+AS32/AS$10,"NA ")</f>
        <v>0.16265476104073082</v>
      </c>
    </row>
    <row r="35" spans="2:45" s="373" customFormat="1" ht="11.25" customHeight="1">
      <c r="C35" s="354"/>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G35" s="429"/>
      <c r="AH35" s="353"/>
      <c r="AI35" s="353"/>
      <c r="AJ35" s="353"/>
      <c r="AK35" s="353"/>
      <c r="AL35" s="353"/>
      <c r="AM35" s="353"/>
      <c r="AN35" s="353"/>
      <c r="AO35" s="353"/>
    </row>
    <row r="36" spans="2:45">
      <c r="C36" s="338" t="s">
        <v>192</v>
      </c>
      <c r="E36" s="345">
        <v>22</v>
      </c>
      <c r="F36" s="345">
        <v>478</v>
      </c>
      <c r="G36" s="345">
        <v>-12</v>
      </c>
      <c r="H36" s="345">
        <v>18</v>
      </c>
      <c r="I36" s="345">
        <v>252</v>
      </c>
      <c r="J36" s="345">
        <v>342</v>
      </c>
      <c r="K36" s="345">
        <v>846</v>
      </c>
      <c r="L36" s="345">
        <v>1211</v>
      </c>
      <c r="M36" s="345">
        <v>643</v>
      </c>
      <c r="N36" s="345">
        <v>-203</v>
      </c>
      <c r="O36" s="345">
        <v>-75</v>
      </c>
      <c r="P36" s="345">
        <v>-490</v>
      </c>
      <c r="Q36" s="345">
        <v>434</v>
      </c>
      <c r="R36" s="345">
        <v>170</v>
      </c>
      <c r="S36" s="345">
        <v>318</v>
      </c>
      <c r="T36" s="345">
        <v>617</v>
      </c>
      <c r="U36" s="345">
        <v>-111</v>
      </c>
      <c r="V36" s="345">
        <v>267</v>
      </c>
      <c r="W36" s="345">
        <v>56</v>
      </c>
      <c r="X36" s="345">
        <v>1692</v>
      </c>
      <c r="Y36" s="345">
        <v>368</v>
      </c>
      <c r="Z36" s="345">
        <v>295</v>
      </c>
      <c r="AA36" s="345">
        <v>1707</v>
      </c>
      <c r="AB36" s="385">
        <v>359</v>
      </c>
      <c r="AC36" s="459">
        <v>400</v>
      </c>
      <c r="AD36" s="426">
        <v>400</v>
      </c>
      <c r="AE36" s="426">
        <v>400</v>
      </c>
      <c r="AF36" s="426">
        <v>400</v>
      </c>
      <c r="AH36" s="345">
        <v>411</v>
      </c>
      <c r="AI36" s="345">
        <v>315</v>
      </c>
      <c r="AJ36" s="344">
        <f t="shared" ref="AJ36:AP37" si="38">+SUMIF($E$5:$AF$5,AJ$5,$E36:$AF36)</f>
        <v>506</v>
      </c>
      <c r="AK36" s="344">
        <f t="shared" si="38"/>
        <v>2651</v>
      </c>
      <c r="AL36" s="344">
        <f t="shared" si="38"/>
        <v>-125</v>
      </c>
      <c r="AM36" s="344">
        <f t="shared" si="38"/>
        <v>1539</v>
      </c>
      <c r="AN36" s="344">
        <f t="shared" si="38"/>
        <v>1904</v>
      </c>
      <c r="AO36" s="344">
        <f t="shared" si="38"/>
        <v>2729</v>
      </c>
      <c r="AP36" s="344">
        <f t="shared" si="38"/>
        <v>1600</v>
      </c>
      <c r="AQ36" s="459">
        <v>2000</v>
      </c>
      <c r="AR36" s="459">
        <v>2000</v>
      </c>
      <c r="AS36" s="459">
        <v>2000</v>
      </c>
    </row>
    <row r="37" spans="2:45">
      <c r="C37" s="338" t="s">
        <v>193</v>
      </c>
      <c r="E37" s="345">
        <v>-82</v>
      </c>
      <c r="F37" s="345">
        <v>-126</v>
      </c>
      <c r="G37" s="345">
        <v>-132</v>
      </c>
      <c r="H37" s="345">
        <v>-363</v>
      </c>
      <c r="I37" s="345">
        <v>-69</v>
      </c>
      <c r="J37" s="345">
        <v>388</v>
      </c>
      <c r="K37" s="345">
        <v>-57</v>
      </c>
      <c r="L37" s="345">
        <v>-611</v>
      </c>
      <c r="M37" s="345">
        <v>-102</v>
      </c>
      <c r="N37" s="345">
        <v>459</v>
      </c>
      <c r="O37" s="345">
        <v>-132</v>
      </c>
      <c r="P37" s="345">
        <v>-99</v>
      </c>
      <c r="Q37" s="345">
        <v>-61</v>
      </c>
      <c r="R37" s="345">
        <v>-63</v>
      </c>
      <c r="S37" s="345">
        <v>-46</v>
      </c>
      <c r="T37" s="345">
        <v>654</v>
      </c>
      <c r="U37" s="345">
        <v>-313</v>
      </c>
      <c r="V37" s="345">
        <v>-29</v>
      </c>
      <c r="W37" s="345">
        <v>-74</v>
      </c>
      <c r="X37" s="345">
        <v>-88</v>
      </c>
      <c r="Y37" s="345">
        <v>-156</v>
      </c>
      <c r="Z37" s="345">
        <v>-96</v>
      </c>
      <c r="AA37" s="345">
        <v>-76</v>
      </c>
      <c r="AB37" s="385">
        <v>-154</v>
      </c>
      <c r="AC37" s="446">
        <f ca="1">-Debt!AC188</f>
        <v>-241.74600000000001</v>
      </c>
      <c r="AD37" s="446">
        <f ca="1">-Debt!AD188</f>
        <v>-239.35850000000002</v>
      </c>
      <c r="AE37" s="446">
        <f ca="1">-Debt!AE188</f>
        <v>-233.59600000000003</v>
      </c>
      <c r="AF37" s="446">
        <f ca="1">-Debt!AF188</f>
        <v>-224.4734</v>
      </c>
      <c r="AH37" s="345">
        <v>43</v>
      </c>
      <c r="AI37" s="345">
        <v>-105</v>
      </c>
      <c r="AJ37" s="344">
        <f t="shared" si="38"/>
        <v>-703</v>
      </c>
      <c r="AK37" s="344">
        <f t="shared" si="38"/>
        <v>-349</v>
      </c>
      <c r="AL37" s="344">
        <f t="shared" si="38"/>
        <v>126</v>
      </c>
      <c r="AM37" s="344">
        <f t="shared" si="38"/>
        <v>484</v>
      </c>
      <c r="AN37" s="344">
        <f t="shared" si="38"/>
        <v>-504</v>
      </c>
      <c r="AO37" s="344">
        <f t="shared" si="38"/>
        <v>-482</v>
      </c>
      <c r="AP37" s="344">
        <f t="shared" ca="1" si="38"/>
        <v>-939.1739</v>
      </c>
      <c r="AQ37" s="446">
        <f ca="1">-Debt!AQ188</f>
        <v>-868.46319999999992</v>
      </c>
      <c r="AR37" s="446">
        <f ca="1">-Debt!AR188</f>
        <v>-841.1656999999999</v>
      </c>
      <c r="AS37" s="446">
        <f ca="1">-Debt!AS188</f>
        <v>-770.13319999999987</v>
      </c>
    </row>
    <row r="38" spans="2:45" s="342" customFormat="1">
      <c r="C38" s="343" t="s">
        <v>194</v>
      </c>
      <c r="E38" s="352">
        <f t="shared" ref="E38:AB38" si="39">E32+SUM(E36:E37)</f>
        <v>2508</v>
      </c>
      <c r="F38" s="352">
        <f t="shared" si="39"/>
        <v>1670</v>
      </c>
      <c r="G38" s="352">
        <f t="shared" si="39"/>
        <v>4318</v>
      </c>
      <c r="H38" s="352">
        <f t="shared" si="39"/>
        <v>4440</v>
      </c>
      <c r="I38" s="352">
        <f t="shared" si="39"/>
        <v>3815</v>
      </c>
      <c r="J38" s="352">
        <f t="shared" si="39"/>
        <v>4572</v>
      </c>
      <c r="K38" s="352">
        <f t="shared" si="39"/>
        <v>5930</v>
      </c>
      <c r="L38" s="352">
        <f t="shared" si="39"/>
        <v>6035</v>
      </c>
      <c r="M38" s="352">
        <f t="shared" si="39"/>
        <v>5011</v>
      </c>
      <c r="N38" s="352">
        <f t="shared" si="39"/>
        <v>5529</v>
      </c>
      <c r="O38" s="352">
        <f t="shared" si="39"/>
        <v>7142</v>
      </c>
      <c r="P38" s="352">
        <f t="shared" si="39"/>
        <v>5635</v>
      </c>
      <c r="Q38" s="352">
        <f t="shared" si="39"/>
        <v>4547</v>
      </c>
      <c r="R38" s="352">
        <f t="shared" si="39"/>
        <v>4724</v>
      </c>
      <c r="S38" s="352">
        <f t="shared" si="39"/>
        <v>6719</v>
      </c>
      <c r="T38" s="352">
        <f t="shared" si="39"/>
        <v>8068</v>
      </c>
      <c r="U38" s="352">
        <f t="shared" si="39"/>
        <v>6614</v>
      </c>
      <c r="V38" s="352">
        <f t="shared" si="39"/>
        <v>5935</v>
      </c>
      <c r="W38" s="352">
        <f t="shared" si="39"/>
        <v>5041</v>
      </c>
      <c r="X38" s="352">
        <f t="shared" si="39"/>
        <v>7488</v>
      </c>
      <c r="Y38" s="352">
        <f t="shared" si="39"/>
        <v>3906</v>
      </c>
      <c r="Z38" s="352">
        <f t="shared" si="39"/>
        <v>5745</v>
      </c>
      <c r="AA38" s="352">
        <f t="shared" si="39"/>
        <v>6858</v>
      </c>
      <c r="AB38" s="352">
        <f t="shared" si="39"/>
        <v>5194</v>
      </c>
      <c r="AC38" s="352">
        <f ca="1">AC32+SUM(AC36:AC37)</f>
        <v>3373.5203731018719</v>
      </c>
      <c r="AD38" s="352">
        <f ca="1">AD32+SUM(AD36:AD37)</f>
        <v>2125.2237481018724</v>
      </c>
      <c r="AE38" s="352">
        <f ca="1">AE32+SUM(AE36:AE37)</f>
        <v>1666.4051231018725</v>
      </c>
      <c r="AF38" s="352">
        <f ca="1">AF32+SUM(AF36:AF37)</f>
        <v>1251.5342231018719</v>
      </c>
      <c r="AG38" s="429"/>
      <c r="AH38" s="352">
        <f t="shared" ref="AH38:AP38" si="40">AH32+SUM(AH36:AH37)</f>
        <v>15801</v>
      </c>
      <c r="AI38" s="352">
        <f t="shared" si="40"/>
        <v>14212</v>
      </c>
      <c r="AJ38" s="352">
        <f t="shared" si="40"/>
        <v>12936</v>
      </c>
      <c r="AK38" s="352">
        <f t="shared" si="40"/>
        <v>20352</v>
      </c>
      <c r="AL38" s="352">
        <f t="shared" si="40"/>
        <v>23317</v>
      </c>
      <c r="AM38" s="352">
        <f t="shared" si="40"/>
        <v>24058</v>
      </c>
      <c r="AN38" s="352">
        <f t="shared" si="40"/>
        <v>25078</v>
      </c>
      <c r="AO38" s="352">
        <f t="shared" si="40"/>
        <v>21703</v>
      </c>
      <c r="AP38" s="352">
        <f t="shared" ca="1" si="40"/>
        <v>8416.6834674074944</v>
      </c>
      <c r="AQ38" s="352">
        <f ca="1">AQ32+SUM(AQ36:AQ37)</f>
        <v>9093.9761899074892</v>
      </c>
      <c r="AR38" s="352">
        <f ca="1">AR32+SUM(AR36:AR37)</f>
        <v>11481.509172869994</v>
      </c>
      <c r="AS38" s="352">
        <f ca="1">AS32+SUM(AS36:AS37)</f>
        <v>12797.274303886243</v>
      </c>
    </row>
    <row r="39" spans="2:45">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H39" s="345"/>
      <c r="AI39" s="345"/>
      <c r="AJ39" s="345"/>
      <c r="AK39" s="345"/>
      <c r="AL39" s="345"/>
      <c r="AM39" s="345"/>
      <c r="AN39" s="345"/>
      <c r="AO39" s="345"/>
    </row>
    <row r="40" spans="2:45">
      <c r="C40" s="338" t="s">
        <v>195</v>
      </c>
      <c r="E40" s="345">
        <v>462</v>
      </c>
      <c r="F40" s="345">
        <v>340</v>
      </c>
      <c r="G40" s="345">
        <v>940</v>
      </c>
      <c r="H40" s="345">
        <v>878</v>
      </c>
      <c r="I40" s="345">
        <v>851</v>
      </c>
      <c r="J40" s="345">
        <v>1764</v>
      </c>
      <c r="K40" s="345">
        <v>1414</v>
      </c>
      <c r="L40" s="345">
        <v>6722</v>
      </c>
      <c r="M40" s="345">
        <v>557</v>
      </c>
      <c r="N40" s="345">
        <v>523</v>
      </c>
      <c r="O40" s="345">
        <v>744</v>
      </c>
      <c r="P40" s="345">
        <v>440</v>
      </c>
      <c r="Q40" s="345">
        <v>573</v>
      </c>
      <c r="R40" s="345">
        <v>545</v>
      </c>
      <c r="S40" s="345">
        <v>729</v>
      </c>
      <c r="T40" s="345">
        <v>1163</v>
      </c>
      <c r="U40" s="345">
        <v>953</v>
      </c>
      <c r="V40" s="345">
        <v>830</v>
      </c>
      <c r="W40" s="345">
        <v>765</v>
      </c>
      <c r="X40" s="345">
        <v>1631</v>
      </c>
      <c r="Y40" s="345">
        <v>545</v>
      </c>
      <c r="Z40" s="345">
        <v>684</v>
      </c>
      <c r="AA40" s="345">
        <v>35</v>
      </c>
      <c r="AB40" s="385">
        <v>571</v>
      </c>
      <c r="AC40" s="372">
        <f ca="1">AC38*AC41</f>
        <v>708.43927835139311</v>
      </c>
      <c r="AD40" s="372">
        <f ca="1">AD38*AD41</f>
        <v>446.2969871013932</v>
      </c>
      <c r="AE40" s="372">
        <f ca="1">AE38*AE41</f>
        <v>349.9450758513932</v>
      </c>
      <c r="AF40" s="372">
        <f ca="1">AF38*AF41</f>
        <v>262.8221868513931</v>
      </c>
      <c r="AH40" s="345">
        <v>4097</v>
      </c>
      <c r="AI40" s="345">
        <v>2792</v>
      </c>
      <c r="AJ40" s="344">
        <f t="shared" ref="AJ40:AP40" si="41">+SUMIF($E$5:$AF$5,AJ$5,$E40:$AF40)</f>
        <v>2620</v>
      </c>
      <c r="AK40" s="344">
        <f t="shared" si="41"/>
        <v>10751</v>
      </c>
      <c r="AL40" s="344">
        <f t="shared" si="41"/>
        <v>2264</v>
      </c>
      <c r="AM40" s="344">
        <f t="shared" si="41"/>
        <v>3010</v>
      </c>
      <c r="AN40" s="344">
        <f t="shared" si="41"/>
        <v>4179</v>
      </c>
      <c r="AO40" s="344">
        <f t="shared" si="41"/>
        <v>1835</v>
      </c>
      <c r="AP40" s="344">
        <f t="shared" ca="1" si="41"/>
        <v>1767.5035281555727</v>
      </c>
      <c r="AQ40" s="372">
        <f ca="1">AQ38*AQ41</f>
        <v>1909.7349998805726</v>
      </c>
      <c r="AR40" s="372">
        <f ca="1">AR38*AR41</f>
        <v>2411.1169263026986</v>
      </c>
      <c r="AS40" s="372">
        <f ca="1">AS38*AS41</f>
        <v>2687.4276038161111</v>
      </c>
    </row>
    <row r="41" spans="2:45" s="346" customFormat="1">
      <c r="C41" s="349" t="s">
        <v>196</v>
      </c>
      <c r="E41" s="413">
        <f>E40/E38</f>
        <v>0.18421052631578946</v>
      </c>
      <c r="F41" s="413">
        <f t="shared" ref="F41:AB41" si="42">F40/F38</f>
        <v>0.20359281437125748</v>
      </c>
      <c r="G41" s="413">
        <f t="shared" si="42"/>
        <v>0.21769337656322371</v>
      </c>
      <c r="H41" s="413">
        <f t="shared" si="42"/>
        <v>0.19774774774774775</v>
      </c>
      <c r="I41" s="413">
        <f t="shared" si="42"/>
        <v>0.22306684141546526</v>
      </c>
      <c r="J41" s="413">
        <f t="shared" si="42"/>
        <v>0.38582677165354329</v>
      </c>
      <c r="K41" s="413">
        <f t="shared" si="42"/>
        <v>0.2384485666104553</v>
      </c>
      <c r="L41" s="413">
        <f t="shared" si="42"/>
        <v>1.1138359569179785</v>
      </c>
      <c r="M41" s="413">
        <f t="shared" si="42"/>
        <v>0.11115545799241669</v>
      </c>
      <c r="N41" s="413">
        <f t="shared" si="42"/>
        <v>9.459215047929101E-2</v>
      </c>
      <c r="O41" s="413">
        <f t="shared" si="42"/>
        <v>0.10417250070008401</v>
      </c>
      <c r="P41" s="413">
        <f t="shared" si="42"/>
        <v>7.8083407275953864E-2</v>
      </c>
      <c r="Q41" s="413">
        <f t="shared" si="42"/>
        <v>0.12601715416758302</v>
      </c>
      <c r="R41" s="413">
        <f t="shared" si="42"/>
        <v>0.11536833192209991</v>
      </c>
      <c r="S41" s="413">
        <f t="shared" si="42"/>
        <v>0.10849828843577913</v>
      </c>
      <c r="T41" s="413">
        <f t="shared" si="42"/>
        <v>0.14414972731779871</v>
      </c>
      <c r="U41" s="413">
        <f t="shared" si="42"/>
        <v>0.14408829755065014</v>
      </c>
      <c r="V41" s="413">
        <f t="shared" si="42"/>
        <v>0.13984835720303285</v>
      </c>
      <c r="W41" s="413">
        <f t="shared" si="42"/>
        <v>0.15175560404681609</v>
      </c>
      <c r="X41" s="413">
        <f t="shared" si="42"/>
        <v>0.21781517094017094</v>
      </c>
      <c r="Y41" s="413">
        <f t="shared" si="42"/>
        <v>0.1395289298515105</v>
      </c>
      <c r="Z41" s="413">
        <f t="shared" si="42"/>
        <v>0.11906005221932114</v>
      </c>
      <c r="AA41" s="413">
        <f t="shared" si="42"/>
        <v>5.1035287255759695E-3</v>
      </c>
      <c r="AB41" s="413">
        <f t="shared" si="42"/>
        <v>0.10993453985367732</v>
      </c>
      <c r="AC41" s="425">
        <v>0.21</v>
      </c>
      <c r="AD41" s="425">
        <v>0.21</v>
      </c>
      <c r="AE41" s="425">
        <v>0.21</v>
      </c>
      <c r="AF41" s="425">
        <v>0.21</v>
      </c>
      <c r="AG41" s="189"/>
      <c r="AH41" s="413">
        <f t="shared" ref="AH41:AP41" si="43">AH40/AH38</f>
        <v>0.25928738687424846</v>
      </c>
      <c r="AI41" s="413">
        <f t="shared" si="43"/>
        <v>0.19645370109766394</v>
      </c>
      <c r="AJ41" s="413">
        <f t="shared" si="43"/>
        <v>0.20253555967841683</v>
      </c>
      <c r="AK41" s="413">
        <f t="shared" si="43"/>
        <v>0.52825275157232709</v>
      </c>
      <c r="AL41" s="413">
        <f t="shared" si="43"/>
        <v>9.7096539005875546E-2</v>
      </c>
      <c r="AM41" s="413">
        <f t="shared" si="43"/>
        <v>0.12511430709119628</v>
      </c>
      <c r="AN41" s="413">
        <f t="shared" si="43"/>
        <v>0.16664008294122337</v>
      </c>
      <c r="AO41" s="413">
        <f t="shared" si="43"/>
        <v>8.4550522969174771E-2</v>
      </c>
      <c r="AP41" s="413">
        <f t="shared" ca="1" si="43"/>
        <v>0.20999999999999985</v>
      </c>
      <c r="AQ41" s="425">
        <v>0.21</v>
      </c>
      <c r="AR41" s="425">
        <v>0.21</v>
      </c>
      <c r="AS41" s="425">
        <v>0.21</v>
      </c>
    </row>
    <row r="42" spans="2:45" ht="5.25" customHeight="1">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85"/>
      <c r="AH42" s="345"/>
      <c r="AI42" s="345"/>
      <c r="AJ42" s="344"/>
      <c r="AK42" s="344"/>
      <c r="AL42" s="344"/>
      <c r="AM42" s="344"/>
      <c r="AN42" s="344"/>
      <c r="AO42" s="344"/>
      <c r="AP42" s="344"/>
    </row>
    <row r="43" spans="2:45" s="373" customFormat="1">
      <c r="C43" s="354" t="s">
        <v>197</v>
      </c>
      <c r="D43" s="342"/>
      <c r="E43" s="352">
        <f t="shared" ref="E43:AB43" si="44">E38-E40</f>
        <v>2046</v>
      </c>
      <c r="F43" s="352">
        <f t="shared" si="44"/>
        <v>1330</v>
      </c>
      <c r="G43" s="352">
        <f t="shared" si="44"/>
        <v>3378</v>
      </c>
      <c r="H43" s="352">
        <f t="shared" si="44"/>
        <v>3562</v>
      </c>
      <c r="I43" s="352">
        <f t="shared" si="44"/>
        <v>2964</v>
      </c>
      <c r="J43" s="352">
        <f t="shared" si="44"/>
        <v>2808</v>
      </c>
      <c r="K43" s="352">
        <f t="shared" si="44"/>
        <v>4516</v>
      </c>
      <c r="L43" s="352">
        <f t="shared" si="44"/>
        <v>-687</v>
      </c>
      <c r="M43" s="352">
        <f t="shared" si="44"/>
        <v>4454</v>
      </c>
      <c r="N43" s="352">
        <f t="shared" si="44"/>
        <v>5006</v>
      </c>
      <c r="O43" s="352">
        <f t="shared" si="44"/>
        <v>6398</v>
      </c>
      <c r="P43" s="352">
        <f t="shared" si="44"/>
        <v>5195</v>
      </c>
      <c r="Q43" s="352">
        <f t="shared" si="44"/>
        <v>3974</v>
      </c>
      <c r="R43" s="352">
        <f t="shared" si="44"/>
        <v>4179</v>
      </c>
      <c r="S43" s="352">
        <f t="shared" si="44"/>
        <v>5990</v>
      </c>
      <c r="T43" s="352">
        <f t="shared" si="44"/>
        <v>6905</v>
      </c>
      <c r="U43" s="352">
        <f t="shared" si="44"/>
        <v>5661</v>
      </c>
      <c r="V43" s="352">
        <f t="shared" si="44"/>
        <v>5105</v>
      </c>
      <c r="W43" s="352">
        <f t="shared" si="44"/>
        <v>4276</v>
      </c>
      <c r="X43" s="352">
        <f t="shared" si="44"/>
        <v>5857</v>
      </c>
      <c r="Y43" s="352">
        <f t="shared" si="44"/>
        <v>3361</v>
      </c>
      <c r="Z43" s="352">
        <f t="shared" si="44"/>
        <v>5061</v>
      </c>
      <c r="AA43" s="352">
        <f t="shared" si="44"/>
        <v>6823</v>
      </c>
      <c r="AB43" s="352">
        <f t="shared" si="44"/>
        <v>4623</v>
      </c>
      <c r="AC43" s="352">
        <f ca="1">AC38-AC40</f>
        <v>2665.0810947504788</v>
      </c>
      <c r="AD43" s="352">
        <f ca="1">AD38-AD40</f>
        <v>1678.9267610004792</v>
      </c>
      <c r="AE43" s="352">
        <f ca="1">AE38-AE40</f>
        <v>1316.4600472504794</v>
      </c>
      <c r="AF43" s="352">
        <f ca="1">AF38-AF40</f>
        <v>988.71203625047883</v>
      </c>
      <c r="AG43" s="429"/>
      <c r="AH43" s="352">
        <f t="shared" ref="AH43:AP43" si="45">AH38-AH40</f>
        <v>11704</v>
      </c>
      <c r="AI43" s="352">
        <f t="shared" si="45"/>
        <v>11420</v>
      </c>
      <c r="AJ43" s="352">
        <f t="shared" si="45"/>
        <v>10316</v>
      </c>
      <c r="AK43" s="352">
        <f t="shared" si="45"/>
        <v>9601</v>
      </c>
      <c r="AL43" s="352">
        <f t="shared" si="45"/>
        <v>21053</v>
      </c>
      <c r="AM43" s="352">
        <f t="shared" si="45"/>
        <v>21048</v>
      </c>
      <c r="AN43" s="352">
        <f t="shared" si="45"/>
        <v>20899</v>
      </c>
      <c r="AO43" s="352">
        <f t="shared" si="45"/>
        <v>19868</v>
      </c>
      <c r="AP43" s="352">
        <f t="shared" ca="1" si="45"/>
        <v>6649.1799392519215</v>
      </c>
      <c r="AQ43" s="352">
        <f ca="1">AQ38-AQ40</f>
        <v>7184.2411900269162</v>
      </c>
      <c r="AR43" s="352">
        <f ca="1">AR38-AR40</f>
        <v>9070.3922465672949</v>
      </c>
      <c r="AS43" s="352">
        <f ca="1">AS38-AS40</f>
        <v>10109.846700070131</v>
      </c>
    </row>
    <row r="44" spans="2:45" s="346" customFormat="1" outlineLevel="1">
      <c r="C44" s="389" t="s">
        <v>17</v>
      </c>
      <c r="E44" s="348"/>
      <c r="F44" s="348"/>
      <c r="G44" s="348"/>
      <c r="H44" s="348"/>
      <c r="I44" s="347">
        <f t="shared" ref="I44:AF44" si="46">IFERROR(+I43/E43-1,"NA ")</f>
        <v>0.4486803519061584</v>
      </c>
      <c r="J44" s="347">
        <f t="shared" si="46"/>
        <v>1.1112781954887216</v>
      </c>
      <c r="K44" s="347">
        <f t="shared" si="46"/>
        <v>0.33688573120189469</v>
      </c>
      <c r="L44" s="347">
        <f t="shared" si="46"/>
        <v>-1.1928691746209994</v>
      </c>
      <c r="M44" s="347">
        <f t="shared" si="46"/>
        <v>0.5026990553306343</v>
      </c>
      <c r="N44" s="347">
        <f t="shared" si="46"/>
        <v>0.78276353276353272</v>
      </c>
      <c r="O44" s="347">
        <f t="shared" si="46"/>
        <v>0.41674047829937999</v>
      </c>
      <c r="P44" s="347">
        <f t="shared" si="46"/>
        <v>-8.5618631732168851</v>
      </c>
      <c r="Q44" s="347">
        <f t="shared" si="46"/>
        <v>-0.10776829815895828</v>
      </c>
      <c r="R44" s="347">
        <f t="shared" si="46"/>
        <v>-0.16520175789053138</v>
      </c>
      <c r="S44" s="347">
        <f t="shared" si="46"/>
        <v>-6.3769928102532014E-2</v>
      </c>
      <c r="T44" s="347">
        <f t="shared" si="46"/>
        <v>0.32916265640038489</v>
      </c>
      <c r="U44" s="347">
        <f t="shared" si="46"/>
        <v>0.42450931051836949</v>
      </c>
      <c r="V44" s="347">
        <f t="shared" si="46"/>
        <v>0.22158411103134723</v>
      </c>
      <c r="W44" s="347">
        <f t="shared" si="46"/>
        <v>-0.28614357262103507</v>
      </c>
      <c r="X44" s="347">
        <f t="shared" si="46"/>
        <v>-0.15177407675597399</v>
      </c>
      <c r="Y44" s="347">
        <f t="shared" si="46"/>
        <v>-0.40628864158275924</v>
      </c>
      <c r="Z44" s="347">
        <f t="shared" si="46"/>
        <v>-8.6190009794319122E-3</v>
      </c>
      <c r="AA44" s="347">
        <f t="shared" si="46"/>
        <v>0.5956501403180543</v>
      </c>
      <c r="AB44" s="347">
        <f t="shared" si="46"/>
        <v>-0.21068806556257469</v>
      </c>
      <c r="AC44" s="347">
        <f t="shared" ca="1" si="46"/>
        <v>-0.20705709766424318</v>
      </c>
      <c r="AD44" s="347">
        <f t="shared" ca="1" si="46"/>
        <v>-0.66826185319097431</v>
      </c>
      <c r="AE44" s="347">
        <f t="shared" ca="1" si="46"/>
        <v>-0.80705554048798489</v>
      </c>
      <c r="AF44" s="347">
        <f t="shared" ca="1" si="46"/>
        <v>-0.78613194110956552</v>
      </c>
      <c r="AG44" s="429"/>
      <c r="AH44" s="348"/>
      <c r="AI44" s="347">
        <f t="shared" ref="AI44:AP44" si="47">IFERROR(AI43/AH43-1,"NA ")</f>
        <v>-2.4265208475734767E-2</v>
      </c>
      <c r="AJ44" s="347">
        <f t="shared" si="47"/>
        <v>-9.6672504378283675E-2</v>
      </c>
      <c r="AK44" s="347">
        <f t="shared" si="47"/>
        <v>-6.9309810003877481E-2</v>
      </c>
      <c r="AL44" s="347">
        <f t="shared" si="47"/>
        <v>1.192792417456515</v>
      </c>
      <c r="AM44" s="347">
        <f t="shared" si="47"/>
        <v>-2.3749584382271038E-4</v>
      </c>
      <c r="AN44" s="347">
        <f t="shared" si="47"/>
        <v>-7.0790573926263756E-3</v>
      </c>
      <c r="AO44" s="347">
        <f t="shared" si="47"/>
        <v>-4.9332503947557282E-2</v>
      </c>
      <c r="AP44" s="347">
        <f t="shared" ca="1" si="47"/>
        <v>-0.66533219552788792</v>
      </c>
      <c r="AQ44" s="347">
        <f ca="1">IFERROR(AQ43/AP43-1,"NA ")</f>
        <v>8.0470261846334212E-2</v>
      </c>
      <c r="AR44" s="347">
        <f ca="1">IFERROR(AR43/AQ43-1,"NA ")</f>
        <v>0.26254005212947362</v>
      </c>
      <c r="AS44" s="347">
        <f ca="1">IFERROR(AS43/AR43-1,"NA ")</f>
        <v>0.11459862211540184</v>
      </c>
    </row>
    <row r="45" spans="2:45" s="346" customFormat="1" outlineLevel="1">
      <c r="C45" s="389" t="s">
        <v>185</v>
      </c>
      <c r="E45" s="347">
        <f t="shared" ref="E45:AB45" si="48">IFERROR(+E43/E$10,"NA ")</f>
        <v>0.14932126696832579</v>
      </c>
      <c r="F45" s="347">
        <f t="shared" si="48"/>
        <v>9.8278282716323065E-2</v>
      </c>
      <c r="G45" s="347">
        <f t="shared" si="48"/>
        <v>0.21409557611864621</v>
      </c>
      <c r="H45" s="347">
        <f t="shared" si="48"/>
        <v>0.21754000244289728</v>
      </c>
      <c r="I45" s="347">
        <f t="shared" si="48"/>
        <v>0.20032441200324411</v>
      </c>
      <c r="J45" s="347">
        <f t="shared" si="48"/>
        <v>0.19020524283682178</v>
      </c>
      <c r="K45" s="347">
        <f t="shared" si="48"/>
        <v>0.27964579850145521</v>
      </c>
      <c r="L45" s="347">
        <f t="shared" si="48"/>
        <v>-4.0286166656893219E-2</v>
      </c>
      <c r="M45" s="347">
        <f t="shared" si="48"/>
        <v>0.27723142039088761</v>
      </c>
      <c r="N45" s="347">
        <f t="shared" si="48"/>
        <v>0.29513029123924067</v>
      </c>
      <c r="O45" s="347">
        <f t="shared" si="48"/>
        <v>0.33387256692584666</v>
      </c>
      <c r="P45" s="347">
        <f t="shared" si="48"/>
        <v>0.27844776759393258</v>
      </c>
      <c r="Q45" s="347">
        <f t="shared" si="48"/>
        <v>0.24743166677043771</v>
      </c>
      <c r="R45" s="347">
        <f t="shared" si="48"/>
        <v>0.25319600121175401</v>
      </c>
      <c r="S45" s="347">
        <f t="shared" si="48"/>
        <v>0.31214174048983845</v>
      </c>
      <c r="T45" s="347">
        <f t="shared" si="48"/>
        <v>0.34167944975011133</v>
      </c>
      <c r="U45" s="347">
        <f t="shared" si="48"/>
        <v>0.28550534597538835</v>
      </c>
      <c r="V45" s="347">
        <f t="shared" si="48"/>
        <v>0.25876926196269262</v>
      </c>
      <c r="W45" s="347">
        <f t="shared" si="48"/>
        <v>0.23324060437462499</v>
      </c>
      <c r="X45" s="347">
        <f t="shared" si="48"/>
        <v>0.29317248973871257</v>
      </c>
      <c r="Y45" s="347">
        <f t="shared" si="48"/>
        <v>0.17084328775479082</v>
      </c>
      <c r="Z45" s="347">
        <f t="shared" si="48"/>
        <v>0.25780653048749425</v>
      </c>
      <c r="AA45" s="347">
        <f t="shared" si="48"/>
        <v>0.35551271363067943</v>
      </c>
      <c r="AB45" s="347">
        <f t="shared" si="48"/>
        <v>0.2252045985970382</v>
      </c>
      <c r="AC45" s="347">
        <f ca="1">IFERROR(+AC43/AC$10,"NA ")</f>
        <v>0.13992314146772963</v>
      </c>
      <c r="AD45" s="347">
        <f ca="1">IFERROR(+AD43/AD$10,"NA ")</f>
        <v>9.9717835571270591E-2</v>
      </c>
      <c r="AE45" s="347">
        <f ca="1">IFERROR(+AE43/AE$10,"NA ")</f>
        <v>8.0077375842874429E-2</v>
      </c>
      <c r="AF45" s="347">
        <f ca="1">IFERROR(+AF43/AF$10,"NA ")</f>
        <v>5.7134884606244128E-2</v>
      </c>
      <c r="AG45" s="429"/>
      <c r="AH45" s="347">
        <f t="shared" ref="AH45:AP45" si="49">IFERROR(+AH43/AH$10,"NA ")</f>
        <v>0.20948630749955252</v>
      </c>
      <c r="AI45" s="347">
        <f t="shared" si="49"/>
        <v>0.20630476018426519</v>
      </c>
      <c r="AJ45" s="347">
        <f t="shared" si="49"/>
        <v>0.17370805058346103</v>
      </c>
      <c r="AK45" s="347">
        <f t="shared" si="49"/>
        <v>0.15297716734914996</v>
      </c>
      <c r="AL45" s="347">
        <f t="shared" si="49"/>
        <v>0.29715729448961159</v>
      </c>
      <c r="AM45" s="347">
        <f t="shared" si="49"/>
        <v>0.2924755089279511</v>
      </c>
      <c r="AN45" s="347">
        <f t="shared" si="49"/>
        <v>0.26839354283586114</v>
      </c>
      <c r="AO45" s="347">
        <f t="shared" si="49"/>
        <v>0.25141729094958493</v>
      </c>
      <c r="AP45" s="347">
        <f t="shared" ca="1" si="49"/>
        <v>9.5495433811016675E-2</v>
      </c>
      <c r="AQ45" s="347">
        <f ca="1">IFERROR(+AQ43/AQ$10,"NA ")</f>
        <v>0.10937333279554713</v>
      </c>
      <c r="AR45" s="347">
        <f ca="1">IFERROR(+AR43/AR$10,"NA ")</f>
        <v>0.13343193241920906</v>
      </c>
      <c r="AS45" s="347">
        <f ca="1">IFERROR(+AS43/AS$10,"NA ")</f>
        <v>0.14215931258632175</v>
      </c>
    </row>
    <row r="46" spans="2:45">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H46" s="345"/>
      <c r="AI46" s="345"/>
      <c r="AJ46" s="345"/>
      <c r="AK46" s="345"/>
      <c r="AL46" s="345"/>
      <c r="AM46" s="345"/>
      <c r="AN46" s="345"/>
      <c r="AO46" s="345"/>
    </row>
    <row r="47" spans="2:45">
      <c r="C47" s="342" t="s">
        <v>198</v>
      </c>
      <c r="E47" s="345"/>
      <c r="F47" s="345"/>
      <c r="G47" s="345"/>
      <c r="H47" s="345"/>
      <c r="I47" s="345"/>
      <c r="J47" s="345"/>
      <c r="K47" s="345"/>
      <c r="L47" s="345"/>
      <c r="M47" s="345"/>
      <c r="N47" s="345"/>
      <c r="O47" s="345"/>
      <c r="P47" s="345"/>
      <c r="Q47" s="345"/>
      <c r="R47" s="345"/>
      <c r="S47" s="345"/>
      <c r="T47" s="345"/>
      <c r="U47" s="345"/>
      <c r="V47" s="345"/>
      <c r="W47" s="345"/>
      <c r="X47" s="345"/>
      <c r="Y47" s="345"/>
      <c r="Z47" s="345"/>
      <c r="AA47" s="345"/>
      <c r="AB47" s="345"/>
      <c r="AH47" s="345"/>
      <c r="AI47" s="345"/>
      <c r="AJ47" s="345"/>
      <c r="AK47" s="345"/>
      <c r="AL47" s="345"/>
      <c r="AM47" s="345"/>
      <c r="AN47" s="345"/>
      <c r="AO47" s="345"/>
    </row>
    <row r="48" spans="2:45" s="351" customFormat="1">
      <c r="B48" s="373"/>
      <c r="C48" s="388" t="s">
        <v>199</v>
      </c>
      <c r="E48" s="387">
        <f t="shared" ref="E48:AF48" si="50">E43/E52</f>
        <v>0.43329097839898351</v>
      </c>
      <c r="F48" s="387">
        <f t="shared" si="50"/>
        <v>0.28124339183759778</v>
      </c>
      <c r="G48" s="387">
        <f t="shared" si="50"/>
        <v>0.71356147021546257</v>
      </c>
      <c r="H48" s="387">
        <f t="shared" si="50"/>
        <v>0.75418166419648525</v>
      </c>
      <c r="I48" s="387">
        <f t="shared" si="50"/>
        <v>0.62756722422189282</v>
      </c>
      <c r="J48" s="387">
        <f t="shared" si="50"/>
        <v>0.59617834394904456</v>
      </c>
      <c r="K48" s="387">
        <f t="shared" si="50"/>
        <v>0.96331058020477811</v>
      </c>
      <c r="L48" s="387">
        <f t="shared" si="50"/>
        <v>-0.14698331193838254</v>
      </c>
      <c r="M48" s="387">
        <f t="shared" si="50"/>
        <v>0.95293110825845095</v>
      </c>
      <c r="N48" s="387">
        <f t="shared" si="50"/>
        <v>1.0767907076790708</v>
      </c>
      <c r="O48" s="387">
        <f t="shared" si="50"/>
        <v>1.3987756886751201</v>
      </c>
      <c r="P48" s="387">
        <f t="shared" si="50"/>
        <v>1.1565004452359751</v>
      </c>
      <c r="Q48" s="387">
        <f t="shared" si="50"/>
        <v>0.88468388245770258</v>
      </c>
      <c r="R48" s="387">
        <f t="shared" si="50"/>
        <v>0.93573667711598751</v>
      </c>
      <c r="S48" s="387">
        <f t="shared" si="50"/>
        <v>1.3641539512639489</v>
      </c>
      <c r="T48" s="387">
        <f t="shared" si="50"/>
        <v>1.6186122831692451</v>
      </c>
      <c r="U48" s="387">
        <f t="shared" si="50"/>
        <v>1.3270042194092826</v>
      </c>
      <c r="V48" s="387">
        <f t="shared" si="50"/>
        <v>1.202308054639661</v>
      </c>
      <c r="W48" s="387">
        <f t="shared" si="50"/>
        <v>1.0210124164278893</v>
      </c>
      <c r="X48" s="387">
        <f t="shared" si="50"/>
        <v>1.444033530571992</v>
      </c>
      <c r="Y48" s="387">
        <f t="shared" si="50"/>
        <v>0.82864891518737671</v>
      </c>
      <c r="Z48" s="387">
        <f t="shared" si="50"/>
        <v>1.2499382563595949</v>
      </c>
      <c r="AA48" s="387">
        <f t="shared" si="50"/>
        <v>1.6801280472789952</v>
      </c>
      <c r="AB48" s="387">
        <f t="shared" si="50"/>
        <v>1.138950480413895</v>
      </c>
      <c r="AC48" s="387">
        <f t="shared" ca="1" si="50"/>
        <v>0.65658563556306448</v>
      </c>
      <c r="AD48" s="387">
        <f t="shared" ca="1" si="50"/>
        <v>0.41363063833468322</v>
      </c>
      <c r="AE48" s="387">
        <f t="shared" ca="1" si="50"/>
        <v>0.32433112767934946</v>
      </c>
      <c r="AF48" s="387">
        <f t="shared" ca="1" si="50"/>
        <v>0.24358512841844759</v>
      </c>
      <c r="AG48" s="429"/>
      <c r="AH48" s="387">
        <f t="shared" ref="AH48:AS48" si="51">AH43/AH52</f>
        <v>2.3880840644766375</v>
      </c>
      <c r="AI48" s="387">
        <f t="shared" si="51"/>
        <v>2.4082665541965413</v>
      </c>
      <c r="AJ48" s="387">
        <f t="shared" si="51"/>
        <v>2.180972515856237</v>
      </c>
      <c r="AK48" s="387">
        <f t="shared" si="51"/>
        <v>2.0423314188470538</v>
      </c>
      <c r="AL48" s="387">
        <f t="shared" si="51"/>
        <v>4.5658208631533288</v>
      </c>
      <c r="AM48" s="387">
        <f t="shared" si="51"/>
        <v>4.7652252660176586</v>
      </c>
      <c r="AN48" s="387">
        <f t="shared" si="51"/>
        <v>4.9771374136699214</v>
      </c>
      <c r="AO48" s="387">
        <f t="shared" si="51"/>
        <v>4.8948016752894805</v>
      </c>
      <c r="AP48" s="387">
        <f t="shared" ca="1" si="51"/>
        <v>1.638132529995546</v>
      </c>
      <c r="AQ48" s="387">
        <f t="shared" ca="1" si="51"/>
        <v>1.7699534836232855</v>
      </c>
      <c r="AR48" s="387">
        <f t="shared" ca="1" si="51"/>
        <v>2.2346371634804867</v>
      </c>
      <c r="AS48" s="387">
        <f t="shared" ca="1" si="51"/>
        <v>2.4907235033432205</v>
      </c>
    </row>
    <row r="49" spans="3:45" s="342" customFormat="1">
      <c r="C49" s="361" t="s">
        <v>200</v>
      </c>
      <c r="E49" s="387">
        <f t="shared" ref="E49:AF49" si="52">E43/E53</f>
        <v>0.4196923076923077</v>
      </c>
      <c r="F49" s="387">
        <f t="shared" si="52"/>
        <v>0.27332511302918205</v>
      </c>
      <c r="G49" s="387">
        <f t="shared" si="52"/>
        <v>0.69263891736723393</v>
      </c>
      <c r="H49" s="387">
        <f t="shared" si="52"/>
        <v>0.72976849006351152</v>
      </c>
      <c r="I49" s="387">
        <f t="shared" si="52"/>
        <v>0.60725261216963733</v>
      </c>
      <c r="J49" s="387">
        <f t="shared" si="52"/>
        <v>0.57956656346749225</v>
      </c>
      <c r="K49" s="387">
        <f t="shared" si="52"/>
        <v>0.93673511719560254</v>
      </c>
      <c r="L49" s="387">
        <f t="shared" si="52"/>
        <v>-0.14342379958246346</v>
      </c>
      <c r="M49" s="387">
        <f t="shared" si="52"/>
        <v>0.92985386221294364</v>
      </c>
      <c r="N49" s="387">
        <f t="shared" si="52"/>
        <v>1.0545607752264587</v>
      </c>
      <c r="O49" s="387">
        <f t="shared" si="52"/>
        <v>1.3765060240963856</v>
      </c>
      <c r="P49" s="387">
        <f t="shared" si="52"/>
        <v>1.1382559158632779</v>
      </c>
      <c r="Q49" s="387">
        <f t="shared" si="52"/>
        <v>0.87072743207712533</v>
      </c>
      <c r="R49" s="387">
        <f t="shared" si="52"/>
        <v>0.92394428476674773</v>
      </c>
      <c r="S49" s="387">
        <f t="shared" si="52"/>
        <v>1.3512294157455447</v>
      </c>
      <c r="T49" s="387">
        <f t="shared" si="52"/>
        <v>1.6013450834879406</v>
      </c>
      <c r="U49" s="387">
        <f t="shared" si="52"/>
        <v>1.3128478664192951</v>
      </c>
      <c r="V49" s="387">
        <f t="shared" si="52"/>
        <v>1.1916433239962652</v>
      </c>
      <c r="W49" s="387">
        <f t="shared" si="52"/>
        <v>1.0154357634766089</v>
      </c>
      <c r="X49" s="387">
        <f t="shared" si="52"/>
        <v>1.429931640625</v>
      </c>
      <c r="Y49" s="387">
        <f t="shared" si="52"/>
        <v>0.820556640625</v>
      </c>
      <c r="Z49" s="387">
        <f t="shared" si="52"/>
        <v>1.2392262487757102</v>
      </c>
      <c r="AA49" s="387">
        <f t="shared" si="52"/>
        <v>1.6698482623592756</v>
      </c>
      <c r="AB49" s="387">
        <f t="shared" si="52"/>
        <v>1.1303178484107579</v>
      </c>
      <c r="AC49" s="387">
        <f t="shared" ca="1" si="52"/>
        <v>0.65160906962114395</v>
      </c>
      <c r="AD49" s="387">
        <f t="shared" ca="1" si="52"/>
        <v>0.41049554058691423</v>
      </c>
      <c r="AE49" s="387">
        <f t="shared" ca="1" si="52"/>
        <v>0.32187287218838129</v>
      </c>
      <c r="AF49" s="387">
        <f t="shared" ca="1" si="52"/>
        <v>0.24173888416882122</v>
      </c>
      <c r="AG49" s="429"/>
      <c r="AH49" s="387">
        <f t="shared" ref="AH49:AS49" si="53">AH43/AH53</f>
        <v>2.3148734177215191</v>
      </c>
      <c r="AI49" s="387">
        <f t="shared" si="53"/>
        <v>2.3334695545565998</v>
      </c>
      <c r="AJ49" s="387">
        <f t="shared" si="53"/>
        <v>2.1161025641025639</v>
      </c>
      <c r="AK49" s="387">
        <f t="shared" si="53"/>
        <v>1.9857290589451912</v>
      </c>
      <c r="AL49" s="387">
        <f t="shared" si="53"/>
        <v>4.478408849181025</v>
      </c>
      <c r="AM49" s="387">
        <f t="shared" si="53"/>
        <v>4.7055667337357479</v>
      </c>
      <c r="AN49" s="387">
        <f t="shared" si="53"/>
        <v>4.9383270321361055</v>
      </c>
      <c r="AO49" s="387">
        <f t="shared" si="53"/>
        <v>4.8577017114914423</v>
      </c>
      <c r="AP49" s="387">
        <f t="shared" ca="1" si="53"/>
        <v>1.6257163665652621</v>
      </c>
      <c r="AQ49" s="387">
        <f t="shared" ca="1" si="53"/>
        <v>1.7565381882706397</v>
      </c>
      <c r="AR49" s="387">
        <f t="shared" ca="1" si="53"/>
        <v>2.2176998157866246</v>
      </c>
      <c r="AS49" s="387">
        <f t="shared" ca="1" si="53"/>
        <v>2.4718451589413521</v>
      </c>
    </row>
    <row r="50" spans="3:45" s="342" customFormat="1">
      <c r="C50" s="361"/>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G50" s="429"/>
      <c r="AH50" s="387"/>
      <c r="AI50" s="387"/>
      <c r="AJ50" s="387"/>
      <c r="AK50" s="387"/>
      <c r="AL50" s="387"/>
      <c r="AM50" s="387"/>
      <c r="AN50" s="387"/>
      <c r="AO50" s="387"/>
    </row>
    <row r="51" spans="3:45">
      <c r="C51" s="342" t="s">
        <v>201</v>
      </c>
      <c r="E51" s="345"/>
      <c r="F51" s="345"/>
      <c r="G51" s="345"/>
      <c r="H51" s="345"/>
      <c r="I51" s="345"/>
      <c r="J51" s="345"/>
      <c r="K51" s="345"/>
      <c r="L51" s="345"/>
      <c r="M51" s="345"/>
      <c r="N51" s="345"/>
      <c r="O51" s="345"/>
      <c r="P51" s="345"/>
      <c r="Q51" s="345"/>
      <c r="R51" s="345"/>
      <c r="S51" s="345"/>
      <c r="T51" s="345"/>
      <c r="U51" s="345"/>
      <c r="V51" s="345"/>
      <c r="W51" s="345"/>
      <c r="X51" s="345"/>
      <c r="Y51" s="345"/>
      <c r="Z51" s="345"/>
      <c r="AA51" s="345"/>
      <c r="AB51" s="345"/>
      <c r="AH51" s="345"/>
      <c r="AI51" s="345"/>
      <c r="AJ51" s="345"/>
      <c r="AK51" s="345"/>
      <c r="AL51" s="345"/>
      <c r="AM51" s="345"/>
      <c r="AN51" s="345"/>
      <c r="AO51" s="345"/>
    </row>
    <row r="52" spans="3:45" s="342" customFormat="1">
      <c r="C52" s="361" t="s">
        <v>199</v>
      </c>
      <c r="E52" s="345">
        <v>4722</v>
      </c>
      <c r="F52" s="345">
        <v>4729</v>
      </c>
      <c r="G52" s="345">
        <v>4734</v>
      </c>
      <c r="H52" s="345">
        <v>4723</v>
      </c>
      <c r="I52" s="345">
        <v>4723</v>
      </c>
      <c r="J52" s="345">
        <v>4710</v>
      </c>
      <c r="K52" s="345">
        <v>4688</v>
      </c>
      <c r="L52" s="345">
        <v>4674</v>
      </c>
      <c r="M52" s="345">
        <v>4674</v>
      </c>
      <c r="N52" s="345">
        <v>4649</v>
      </c>
      <c r="O52" s="345">
        <v>4574</v>
      </c>
      <c r="P52" s="345">
        <v>4492</v>
      </c>
      <c r="Q52" s="345">
        <v>4492</v>
      </c>
      <c r="R52" s="345">
        <v>4466</v>
      </c>
      <c r="S52" s="345">
        <v>4391</v>
      </c>
      <c r="T52" s="345">
        <v>4266</v>
      </c>
      <c r="U52" s="345">
        <v>4266</v>
      </c>
      <c r="V52" s="345">
        <v>4246</v>
      </c>
      <c r="W52" s="345">
        <v>4188</v>
      </c>
      <c r="X52" s="345">
        <v>4056</v>
      </c>
      <c r="Y52" s="345">
        <v>4056</v>
      </c>
      <c r="Z52" s="345">
        <v>4049</v>
      </c>
      <c r="AA52" s="345">
        <v>4061</v>
      </c>
      <c r="AB52" s="345">
        <v>4059</v>
      </c>
      <c r="AC52" s="344">
        <f t="shared" ref="AC52:AF53" si="54">AC378</f>
        <v>4059</v>
      </c>
      <c r="AD52" s="344">
        <f t="shared" si="54"/>
        <v>4059</v>
      </c>
      <c r="AE52" s="344">
        <f t="shared" si="54"/>
        <v>4059</v>
      </c>
      <c r="AF52" s="344">
        <f t="shared" si="54"/>
        <v>4059</v>
      </c>
      <c r="AG52" s="429"/>
      <c r="AH52" s="345">
        <v>4901</v>
      </c>
      <c r="AI52" s="345">
        <v>4742</v>
      </c>
      <c r="AJ52" s="345">
        <v>4730</v>
      </c>
      <c r="AK52" s="345">
        <v>4701</v>
      </c>
      <c r="AL52" s="345">
        <v>4611</v>
      </c>
      <c r="AM52" s="345">
        <v>4417</v>
      </c>
      <c r="AN52" s="345">
        <v>4199</v>
      </c>
      <c r="AO52" s="345">
        <v>4059</v>
      </c>
      <c r="AP52" s="344">
        <f t="shared" ref="AP52:AS53" si="55">AP378</f>
        <v>4059</v>
      </c>
      <c r="AQ52" s="344">
        <f t="shared" si="55"/>
        <v>4059</v>
      </c>
      <c r="AR52" s="344">
        <f t="shared" si="55"/>
        <v>4059</v>
      </c>
      <c r="AS52" s="344">
        <f t="shared" si="55"/>
        <v>4059</v>
      </c>
    </row>
    <row r="53" spans="3:45" s="342" customFormat="1">
      <c r="C53" s="361" t="s">
        <v>200</v>
      </c>
      <c r="E53" s="345">
        <v>4875</v>
      </c>
      <c r="F53" s="345">
        <v>4866</v>
      </c>
      <c r="G53" s="345">
        <v>4877</v>
      </c>
      <c r="H53" s="345">
        <v>4881</v>
      </c>
      <c r="I53" s="345">
        <v>4881</v>
      </c>
      <c r="J53" s="345">
        <v>4845</v>
      </c>
      <c r="K53" s="345">
        <v>4821</v>
      </c>
      <c r="L53" s="345">
        <v>4790</v>
      </c>
      <c r="M53" s="345">
        <v>4790</v>
      </c>
      <c r="N53" s="345">
        <v>4747</v>
      </c>
      <c r="O53" s="345">
        <v>4648</v>
      </c>
      <c r="P53" s="345">
        <v>4564</v>
      </c>
      <c r="Q53" s="345">
        <v>4564</v>
      </c>
      <c r="R53" s="345">
        <v>4523</v>
      </c>
      <c r="S53" s="345">
        <v>4433</v>
      </c>
      <c r="T53" s="345">
        <v>4312</v>
      </c>
      <c r="U53" s="345">
        <v>4312</v>
      </c>
      <c r="V53" s="345">
        <v>4284</v>
      </c>
      <c r="W53" s="345">
        <v>4211</v>
      </c>
      <c r="X53" s="345">
        <v>4096</v>
      </c>
      <c r="Y53" s="345">
        <v>4096</v>
      </c>
      <c r="Z53" s="345">
        <v>4084</v>
      </c>
      <c r="AA53" s="345">
        <v>4086</v>
      </c>
      <c r="AB53" s="345">
        <v>4090</v>
      </c>
      <c r="AC53" s="344">
        <f t="shared" si="54"/>
        <v>4090</v>
      </c>
      <c r="AD53" s="344">
        <f t="shared" si="54"/>
        <v>4090</v>
      </c>
      <c r="AE53" s="344">
        <f t="shared" si="54"/>
        <v>4090</v>
      </c>
      <c r="AF53" s="344">
        <f t="shared" si="54"/>
        <v>4090</v>
      </c>
      <c r="AG53" s="429"/>
      <c r="AH53" s="345">
        <v>5056</v>
      </c>
      <c r="AI53" s="345">
        <v>4894</v>
      </c>
      <c r="AJ53" s="345">
        <v>4875</v>
      </c>
      <c r="AK53" s="345">
        <v>4835</v>
      </c>
      <c r="AL53" s="345">
        <v>4701</v>
      </c>
      <c r="AM53" s="345">
        <v>4473</v>
      </c>
      <c r="AN53" s="345">
        <v>4232</v>
      </c>
      <c r="AO53" s="345">
        <v>4090</v>
      </c>
      <c r="AP53" s="344">
        <f t="shared" si="55"/>
        <v>4090</v>
      </c>
      <c r="AQ53" s="344">
        <f t="shared" si="55"/>
        <v>4090</v>
      </c>
      <c r="AR53" s="344">
        <f t="shared" si="55"/>
        <v>4090</v>
      </c>
      <c r="AS53" s="344">
        <f t="shared" si="55"/>
        <v>4090</v>
      </c>
    </row>
    <row r="54" spans="3:45" s="342" customFormat="1">
      <c r="C54" s="361"/>
      <c r="E54" s="345"/>
      <c r="F54" s="345"/>
      <c r="G54" s="345"/>
      <c r="H54" s="345"/>
      <c r="I54" s="345"/>
      <c r="J54" s="345"/>
      <c r="K54" s="345"/>
      <c r="L54" s="345"/>
      <c r="M54" s="345"/>
      <c r="N54" s="345"/>
      <c r="O54" s="345"/>
      <c r="P54" s="345"/>
      <c r="Q54" s="345"/>
      <c r="R54" s="345"/>
      <c r="S54" s="345"/>
      <c r="T54" s="345"/>
      <c r="U54" s="345"/>
      <c r="V54" s="345"/>
      <c r="W54" s="345"/>
      <c r="X54" s="345"/>
      <c r="Y54" s="345"/>
      <c r="Z54" s="345"/>
      <c r="AA54" s="345"/>
      <c r="AB54" s="345"/>
      <c r="AC54" s="344"/>
      <c r="AD54" s="344"/>
      <c r="AE54" s="344"/>
      <c r="AF54" s="344"/>
      <c r="AG54" s="429"/>
      <c r="AH54" s="345"/>
      <c r="AI54" s="345"/>
      <c r="AJ54" s="345"/>
      <c r="AK54" s="345"/>
      <c r="AL54" s="345"/>
      <c r="AM54" s="345"/>
      <c r="AN54" s="345"/>
      <c r="AO54" s="345"/>
      <c r="AP54" s="344"/>
      <c r="AQ54" s="344"/>
      <c r="AR54" s="344"/>
      <c r="AS54" s="344"/>
    </row>
    <row r="55" spans="3:45" s="342" customFormat="1">
      <c r="C55" s="658" t="s">
        <v>202</v>
      </c>
      <c r="D55" s="659" t="s">
        <v>181</v>
      </c>
      <c r="E55" s="660">
        <f t="shared" ref="E55:AF55" si="56">E5</f>
        <v>2016</v>
      </c>
      <c r="F55" s="661">
        <f t="shared" si="56"/>
        <v>2016</v>
      </c>
      <c r="G55" s="662">
        <f t="shared" si="56"/>
        <v>2016</v>
      </c>
      <c r="H55" s="663">
        <f t="shared" si="56"/>
        <v>2016</v>
      </c>
      <c r="I55" s="660">
        <f t="shared" si="56"/>
        <v>2017</v>
      </c>
      <c r="J55" s="661">
        <f t="shared" si="56"/>
        <v>2017</v>
      </c>
      <c r="K55" s="662">
        <f t="shared" si="56"/>
        <v>2017</v>
      </c>
      <c r="L55" s="663">
        <f t="shared" si="56"/>
        <v>2017</v>
      </c>
      <c r="M55" s="660">
        <f t="shared" si="56"/>
        <v>2018</v>
      </c>
      <c r="N55" s="661">
        <f t="shared" si="56"/>
        <v>2018</v>
      </c>
      <c r="O55" s="662">
        <f t="shared" si="56"/>
        <v>2018</v>
      </c>
      <c r="P55" s="663">
        <f t="shared" si="56"/>
        <v>2018</v>
      </c>
      <c r="Q55" s="660">
        <f t="shared" si="56"/>
        <v>2019</v>
      </c>
      <c r="R55" s="661">
        <f t="shared" si="56"/>
        <v>2019</v>
      </c>
      <c r="S55" s="662">
        <f t="shared" si="56"/>
        <v>2019</v>
      </c>
      <c r="T55" s="663">
        <f t="shared" si="56"/>
        <v>2019</v>
      </c>
      <c r="U55" s="660">
        <f t="shared" si="56"/>
        <v>2020</v>
      </c>
      <c r="V55" s="661">
        <f t="shared" si="56"/>
        <v>2020</v>
      </c>
      <c r="W55" s="662">
        <f t="shared" si="56"/>
        <v>2020</v>
      </c>
      <c r="X55" s="663">
        <f t="shared" si="56"/>
        <v>2020</v>
      </c>
      <c r="Y55" s="660">
        <f t="shared" si="56"/>
        <v>2021</v>
      </c>
      <c r="Z55" s="661">
        <f t="shared" si="56"/>
        <v>2021</v>
      </c>
      <c r="AA55" s="662">
        <f t="shared" si="56"/>
        <v>2021</v>
      </c>
      <c r="AB55" s="663">
        <f t="shared" si="56"/>
        <v>2021</v>
      </c>
      <c r="AC55" s="664">
        <f t="shared" si="56"/>
        <v>2022</v>
      </c>
      <c r="AD55" s="665">
        <f t="shared" si="56"/>
        <v>2022</v>
      </c>
      <c r="AE55" s="666">
        <f t="shared" si="56"/>
        <v>2022</v>
      </c>
      <c r="AF55" s="667">
        <f t="shared" si="56"/>
        <v>2022</v>
      </c>
      <c r="AG55" s="668"/>
      <c r="AH55" s="669">
        <f t="shared" ref="AH55:AS55" si="57">AH5</f>
        <v>2014</v>
      </c>
      <c r="AI55" s="669">
        <f t="shared" si="57"/>
        <v>2015</v>
      </c>
      <c r="AJ55" s="669">
        <f t="shared" si="57"/>
        <v>2016</v>
      </c>
      <c r="AK55" s="669">
        <f t="shared" si="57"/>
        <v>2017</v>
      </c>
      <c r="AL55" s="669">
        <f t="shared" si="57"/>
        <v>2018</v>
      </c>
      <c r="AM55" s="669">
        <f t="shared" si="57"/>
        <v>2019</v>
      </c>
      <c r="AN55" s="669">
        <f t="shared" si="57"/>
        <v>2020</v>
      </c>
      <c r="AO55" s="669">
        <f t="shared" si="57"/>
        <v>2021</v>
      </c>
      <c r="AP55" s="670">
        <f t="shared" si="57"/>
        <v>2022</v>
      </c>
      <c r="AQ55" s="670">
        <f t="shared" si="57"/>
        <v>2023</v>
      </c>
      <c r="AR55" s="670">
        <f t="shared" si="57"/>
        <v>2024</v>
      </c>
      <c r="AS55" s="671">
        <f t="shared" si="57"/>
        <v>2025</v>
      </c>
    </row>
    <row r="56" spans="3:45" s="342" customFormat="1">
      <c r="C56" s="651"/>
      <c r="D56" s="636"/>
      <c r="AS56" s="652"/>
    </row>
    <row r="57" spans="3:45" s="342" customFormat="1">
      <c r="C57" s="653" t="s">
        <v>14</v>
      </c>
      <c r="D57" s="636"/>
      <c r="E57" s="344">
        <f t="shared" ref="E57:AF57" si="58">E119</f>
        <v>13801</v>
      </c>
      <c r="F57" s="344">
        <f t="shared" si="58"/>
        <v>13533</v>
      </c>
      <c r="G57" s="344">
        <f t="shared" si="58"/>
        <v>15778</v>
      </c>
      <c r="H57" s="344">
        <f t="shared" si="58"/>
        <v>16374</v>
      </c>
      <c r="I57" s="344">
        <f t="shared" si="58"/>
        <v>14796</v>
      </c>
      <c r="J57" s="344">
        <f t="shared" si="58"/>
        <v>14763</v>
      </c>
      <c r="K57" s="344">
        <f t="shared" si="58"/>
        <v>16149</v>
      </c>
      <c r="L57" s="344">
        <f t="shared" si="58"/>
        <v>17053</v>
      </c>
      <c r="M57" s="344">
        <f t="shared" si="58"/>
        <v>16066</v>
      </c>
      <c r="N57" s="344">
        <f t="shared" si="58"/>
        <v>16962</v>
      </c>
      <c r="O57" s="344">
        <f t="shared" si="58"/>
        <v>19163</v>
      </c>
      <c r="P57" s="344">
        <f t="shared" si="58"/>
        <v>18657</v>
      </c>
      <c r="Q57" s="344">
        <f t="shared" si="58"/>
        <v>16061</v>
      </c>
      <c r="R57" s="344">
        <f t="shared" si="58"/>
        <v>16505</v>
      </c>
      <c r="S57" s="344">
        <f t="shared" si="58"/>
        <v>19190</v>
      </c>
      <c r="T57" s="344">
        <f t="shared" si="58"/>
        <v>20209</v>
      </c>
      <c r="U57" s="344">
        <f t="shared" si="58"/>
        <v>18587</v>
      </c>
      <c r="V57" s="344">
        <f t="shared" si="58"/>
        <v>18184</v>
      </c>
      <c r="W57" s="344">
        <f t="shared" si="58"/>
        <v>17266</v>
      </c>
      <c r="X57" s="344">
        <f t="shared" si="58"/>
        <v>18863</v>
      </c>
      <c r="Y57" s="344">
        <f t="shared" si="58"/>
        <v>18566</v>
      </c>
      <c r="Z57" s="344">
        <f t="shared" si="58"/>
        <v>18533</v>
      </c>
      <c r="AA57" s="344">
        <f t="shared" si="58"/>
        <v>18087</v>
      </c>
      <c r="AB57" s="344">
        <f t="shared" si="58"/>
        <v>19532</v>
      </c>
      <c r="AC57" s="344">
        <f t="shared" si="58"/>
        <v>19046.749999999996</v>
      </c>
      <c r="AD57" s="344">
        <f t="shared" si="58"/>
        <v>16836.774999999998</v>
      </c>
      <c r="AE57" s="344">
        <f t="shared" si="58"/>
        <v>16439.850000000002</v>
      </c>
      <c r="AF57" s="344">
        <f t="shared" si="58"/>
        <v>17304.875</v>
      </c>
      <c r="AG57" s="429"/>
      <c r="AH57" s="344">
        <f t="shared" ref="AH57:AM57" si="59">AH119</f>
        <v>55870</v>
      </c>
      <c r="AI57" s="344">
        <f t="shared" si="59"/>
        <v>55355</v>
      </c>
      <c r="AJ57" s="344">
        <f t="shared" si="59"/>
        <v>59486</v>
      </c>
      <c r="AK57" s="344">
        <f t="shared" si="59"/>
        <v>62761</v>
      </c>
      <c r="AL57" s="344">
        <f t="shared" si="59"/>
        <v>70848</v>
      </c>
      <c r="AM57" s="344">
        <f t="shared" si="59"/>
        <v>71965</v>
      </c>
      <c r="AN57" s="344">
        <f t="shared" ref="AN57:AS57" si="60">AN119</f>
        <v>72900</v>
      </c>
      <c r="AO57" s="344">
        <f t="shared" si="60"/>
        <v>74718</v>
      </c>
      <c r="AP57" s="344">
        <f t="shared" si="60"/>
        <v>69628.249999999985</v>
      </c>
      <c r="AQ57" s="344">
        <f t="shared" si="60"/>
        <v>65685.492125000004</v>
      </c>
      <c r="AR57" s="344">
        <f t="shared" si="60"/>
        <v>67977.672826250011</v>
      </c>
      <c r="AS57" s="654">
        <f t="shared" si="60"/>
        <v>71116.316730437524</v>
      </c>
    </row>
    <row r="58" spans="3:45" s="342" customFormat="1">
      <c r="C58" s="653" t="s">
        <v>203</v>
      </c>
      <c r="D58" s="636"/>
      <c r="E58" s="344">
        <f t="shared" ref="E58:AF58" si="61">E127</f>
        <v>8655</v>
      </c>
      <c r="F58" s="344">
        <f t="shared" si="61"/>
        <v>8369</v>
      </c>
      <c r="G58" s="344">
        <f t="shared" si="61"/>
        <v>10218</v>
      </c>
      <c r="H58" s="344">
        <f t="shared" si="61"/>
        <v>10379</v>
      </c>
      <c r="I58" s="344">
        <f t="shared" si="61"/>
        <v>9369</v>
      </c>
      <c r="J58" s="344">
        <f t="shared" si="61"/>
        <v>9294</v>
      </c>
      <c r="K58" s="344">
        <f t="shared" si="61"/>
        <v>10334</v>
      </c>
      <c r="L58" s="344">
        <f t="shared" si="61"/>
        <v>11068</v>
      </c>
      <c r="M58" s="344">
        <f t="shared" si="61"/>
        <v>10006</v>
      </c>
      <c r="N58" s="344">
        <f t="shared" si="61"/>
        <v>10694</v>
      </c>
      <c r="O58" s="344">
        <f t="shared" si="61"/>
        <v>12636</v>
      </c>
      <c r="P58" s="344">
        <f t="shared" si="61"/>
        <v>11506</v>
      </c>
      <c r="Q58" s="344">
        <f t="shared" si="61"/>
        <v>9370</v>
      </c>
      <c r="R58" s="344">
        <f t="shared" si="61"/>
        <v>10165</v>
      </c>
      <c r="S58" s="344">
        <f t="shared" si="61"/>
        <v>11583</v>
      </c>
      <c r="T58" s="344">
        <f t="shared" si="61"/>
        <v>12146</v>
      </c>
      <c r="U58" s="344">
        <f t="shared" si="61"/>
        <v>11988</v>
      </c>
      <c r="V58" s="344">
        <f t="shared" si="61"/>
        <v>10243</v>
      </c>
      <c r="W58" s="344">
        <f t="shared" si="61"/>
        <v>9748</v>
      </c>
      <c r="X58" s="344">
        <f t="shared" si="61"/>
        <v>11320</v>
      </c>
      <c r="Y58" s="344">
        <f t="shared" si="61"/>
        <v>10849</v>
      </c>
      <c r="Z58" s="344">
        <f t="shared" si="61"/>
        <v>10976</v>
      </c>
      <c r="AA58" s="344">
        <f t="shared" si="61"/>
        <v>10452</v>
      </c>
      <c r="AB58" s="344">
        <f t="shared" si="61"/>
        <v>10826</v>
      </c>
      <c r="AC58" s="344">
        <f t="shared" si="61"/>
        <v>9713.8424999999988</v>
      </c>
      <c r="AD58" s="344">
        <f t="shared" si="61"/>
        <v>7744.9164999999994</v>
      </c>
      <c r="AE58" s="344">
        <f t="shared" si="61"/>
        <v>7397.9325000000008</v>
      </c>
      <c r="AF58" s="344">
        <f t="shared" si="61"/>
        <v>7268.0474999999997</v>
      </c>
      <c r="AG58" s="429"/>
      <c r="AH58" s="344">
        <f t="shared" ref="AH58:AM58" si="62">AH127</f>
        <v>35609</v>
      </c>
      <c r="AI58" s="344">
        <f t="shared" si="62"/>
        <v>35022</v>
      </c>
      <c r="AJ58" s="344">
        <f t="shared" si="62"/>
        <v>37621</v>
      </c>
      <c r="AK58" s="344">
        <f t="shared" si="62"/>
        <v>40065</v>
      </c>
      <c r="AL58" s="344">
        <f t="shared" si="62"/>
        <v>44842</v>
      </c>
      <c r="AM58" s="344">
        <f t="shared" si="62"/>
        <v>43264</v>
      </c>
      <c r="AN58" s="344">
        <f t="shared" ref="AN58:AS58" si="63">AN127</f>
        <v>43299</v>
      </c>
      <c r="AO58" s="344">
        <f t="shared" si="63"/>
        <v>43103</v>
      </c>
      <c r="AP58" s="344">
        <f t="shared" si="63"/>
        <v>32124.739000000001</v>
      </c>
      <c r="AQ58" s="344">
        <f t="shared" si="63"/>
        <v>30872.181298750002</v>
      </c>
      <c r="AR58" s="344">
        <f t="shared" si="63"/>
        <v>33309.059684862506</v>
      </c>
      <c r="AS58" s="654">
        <f t="shared" si="63"/>
        <v>35558.158365218762</v>
      </c>
    </row>
    <row r="59" spans="3:45" s="342" customFormat="1">
      <c r="C59" s="653" t="s">
        <v>77</v>
      </c>
      <c r="D59" s="636"/>
      <c r="E59" s="344">
        <f t="shared" ref="E59:AF59" si="64">E152</f>
        <v>5298</v>
      </c>
      <c r="F59" s="344">
        <f t="shared" si="64"/>
        <v>5134</v>
      </c>
      <c r="G59" s="344">
        <f t="shared" si="64"/>
        <v>7071</v>
      </c>
      <c r="H59" s="344">
        <f t="shared" si="64"/>
        <v>7088</v>
      </c>
      <c r="I59" s="344">
        <f t="shared" si="64"/>
        <v>5905</v>
      </c>
      <c r="J59" s="344">
        <f t="shared" si="64"/>
        <v>5721</v>
      </c>
      <c r="K59" s="344">
        <f t="shared" si="64"/>
        <v>8081</v>
      </c>
      <c r="L59" s="344">
        <f t="shared" si="64"/>
        <v>8113</v>
      </c>
      <c r="M59" s="344">
        <f t="shared" si="64"/>
        <v>6991</v>
      </c>
      <c r="N59" s="344">
        <f t="shared" si="64"/>
        <v>7720</v>
      </c>
      <c r="O59" s="344">
        <f t="shared" si="64"/>
        <v>9877</v>
      </c>
      <c r="P59" s="344">
        <f t="shared" si="64"/>
        <v>9046</v>
      </c>
      <c r="Q59" s="344">
        <f t="shared" si="64"/>
        <v>7130</v>
      </c>
      <c r="R59" s="344">
        <f t="shared" si="64"/>
        <v>7692</v>
      </c>
      <c r="S59" s="344">
        <f t="shared" si="64"/>
        <v>9568</v>
      </c>
      <c r="T59" s="344">
        <f t="shared" si="64"/>
        <v>10188</v>
      </c>
      <c r="U59" s="344">
        <f t="shared" si="64"/>
        <v>10399</v>
      </c>
      <c r="V59" s="344">
        <f t="shared" si="64"/>
        <v>8698</v>
      </c>
      <c r="W59" s="344">
        <f t="shared" si="64"/>
        <v>8374</v>
      </c>
      <c r="X59" s="344">
        <f t="shared" si="64"/>
        <v>9123</v>
      </c>
      <c r="Y59" s="344">
        <f t="shared" si="64"/>
        <v>8998</v>
      </c>
      <c r="Z59" s="344">
        <f t="shared" si="64"/>
        <v>8713</v>
      </c>
      <c r="AA59" s="344">
        <f t="shared" si="64"/>
        <v>8161</v>
      </c>
      <c r="AB59" s="344">
        <f t="shared" si="64"/>
        <v>8125</v>
      </c>
      <c r="AC59" s="344">
        <f t="shared" si="64"/>
        <v>6519.6853617499628</v>
      </c>
      <c r="AD59" s="344">
        <f t="shared" si="64"/>
        <v>5269.001236749963</v>
      </c>
      <c r="AE59" s="344">
        <f t="shared" si="64"/>
        <v>5304.4201117499624</v>
      </c>
      <c r="AF59" s="344">
        <f t="shared" si="64"/>
        <v>4880.4266117499628</v>
      </c>
      <c r="AG59" s="429"/>
      <c r="AH59" s="344">
        <f t="shared" ref="AH59:AM59" si="65">AH152</f>
        <v>23896</v>
      </c>
      <c r="AI59" s="344">
        <f t="shared" si="65"/>
        <v>23675</v>
      </c>
      <c r="AJ59" s="344">
        <f t="shared" si="65"/>
        <v>24591</v>
      </c>
      <c r="AK59" s="344">
        <f t="shared" si="65"/>
        <v>27820</v>
      </c>
      <c r="AL59" s="344">
        <f t="shared" si="65"/>
        <v>33634</v>
      </c>
      <c r="AM59" s="344">
        <f t="shared" si="65"/>
        <v>34578</v>
      </c>
      <c r="AN59" s="344">
        <f t="shared" ref="AN59:AS59" si="66">AN152</f>
        <v>36594</v>
      </c>
      <c r="AO59" s="344">
        <f t="shared" si="66"/>
        <v>33997</v>
      </c>
      <c r="AP59" s="344">
        <f t="shared" si="66"/>
        <v>21973.533321999854</v>
      </c>
      <c r="AQ59" s="344">
        <f t="shared" si="66"/>
        <v>23739.348120223229</v>
      </c>
      <c r="AR59" s="344">
        <f t="shared" si="66"/>
        <v>26938.997302937663</v>
      </c>
      <c r="AS59" s="654">
        <f t="shared" si="66"/>
        <v>28515.668645997281</v>
      </c>
    </row>
    <row r="60" spans="3:45" s="342" customFormat="1">
      <c r="C60" s="653" t="s">
        <v>76</v>
      </c>
      <c r="D60" s="636"/>
      <c r="E60" s="344">
        <f t="shared" ref="E60:AF60" si="67">E150</f>
        <v>3283</v>
      </c>
      <c r="F60" s="344">
        <f t="shared" si="67"/>
        <v>3217</v>
      </c>
      <c r="G60" s="344">
        <f t="shared" si="67"/>
        <v>5143</v>
      </c>
      <c r="H60" s="344">
        <f t="shared" si="67"/>
        <v>5158</v>
      </c>
      <c r="I60" s="344">
        <f t="shared" si="67"/>
        <v>3959</v>
      </c>
      <c r="J60" s="344">
        <f t="shared" si="67"/>
        <v>4182</v>
      </c>
      <c r="K60" s="344">
        <f t="shared" si="67"/>
        <v>5577</v>
      </c>
      <c r="L60" s="344">
        <f t="shared" si="67"/>
        <v>5973</v>
      </c>
      <c r="M60" s="344">
        <f t="shared" si="67"/>
        <v>4795</v>
      </c>
      <c r="N60" s="344">
        <f t="shared" si="67"/>
        <v>5598</v>
      </c>
      <c r="O60" s="344">
        <f t="shared" si="67"/>
        <v>7603</v>
      </c>
      <c r="P60" s="344">
        <f t="shared" si="67"/>
        <v>6553</v>
      </c>
      <c r="Q60" s="344">
        <f t="shared" si="67"/>
        <v>4505</v>
      </c>
      <c r="R60" s="344">
        <f t="shared" si="67"/>
        <v>5138</v>
      </c>
      <c r="S60" s="344">
        <f t="shared" si="67"/>
        <v>6889</v>
      </c>
      <c r="T60" s="344">
        <f t="shared" si="67"/>
        <v>7220</v>
      </c>
      <c r="U60" s="344">
        <f t="shared" si="67"/>
        <v>7349</v>
      </c>
      <c r="V60" s="344">
        <f t="shared" si="67"/>
        <v>5635</v>
      </c>
      <c r="W60" s="344">
        <f t="shared" si="67"/>
        <v>5251</v>
      </c>
      <c r="X60" s="344">
        <f t="shared" si="67"/>
        <v>6120</v>
      </c>
      <c r="Y60" s="344">
        <f t="shared" si="67"/>
        <v>6096</v>
      </c>
      <c r="Z60" s="344">
        <f t="shared" si="67"/>
        <v>5856</v>
      </c>
      <c r="AA60" s="344">
        <f t="shared" si="67"/>
        <v>5202</v>
      </c>
      <c r="AB60" s="344">
        <f t="shared" si="67"/>
        <v>5051</v>
      </c>
      <c r="AC60" s="344">
        <f t="shared" si="67"/>
        <v>3576.797861749963</v>
      </c>
      <c r="AD60" s="344">
        <f t="shared" si="67"/>
        <v>2326.1137367499632</v>
      </c>
      <c r="AE60" s="344">
        <f t="shared" si="67"/>
        <v>1861.5326117499626</v>
      </c>
      <c r="AF60" s="344">
        <f t="shared" si="67"/>
        <v>1437.539111749963</v>
      </c>
      <c r="AG60" s="429"/>
      <c r="AH60" s="344">
        <f t="shared" ref="AH60:AM60" si="68">AH150</f>
        <v>15347</v>
      </c>
      <c r="AI60" s="344">
        <f t="shared" si="68"/>
        <v>14964</v>
      </c>
      <c r="AJ60" s="344">
        <f t="shared" si="68"/>
        <v>16801</v>
      </c>
      <c r="AK60" s="344">
        <f t="shared" si="68"/>
        <v>19691</v>
      </c>
      <c r="AL60" s="344">
        <f t="shared" si="68"/>
        <v>24549</v>
      </c>
      <c r="AM60" s="344">
        <f t="shared" si="68"/>
        <v>23752</v>
      </c>
      <c r="AN60" s="344">
        <f t="shared" ref="AN60:AS60" si="69">AN150</f>
        <v>24355</v>
      </c>
      <c r="AO60" s="344">
        <f t="shared" si="69"/>
        <v>22205</v>
      </c>
      <c r="AP60" s="344">
        <f t="shared" si="69"/>
        <v>9201.9833219998545</v>
      </c>
      <c r="AQ60" s="344">
        <f t="shared" si="69"/>
        <v>9408.5653444998534</v>
      </c>
      <c r="AR60" s="344">
        <f t="shared" si="69"/>
        <v>11768.800827462357</v>
      </c>
      <c r="AS60" s="654">
        <f t="shared" si="69"/>
        <v>13013.533458478603</v>
      </c>
    </row>
    <row r="61" spans="3:45" s="342" customFormat="1">
      <c r="C61" s="653" t="s">
        <v>204</v>
      </c>
      <c r="D61" s="636"/>
      <c r="E61" s="344">
        <f t="shared" ref="E61:AF61" si="70">E176</f>
        <v>2629</v>
      </c>
      <c r="F61" s="344">
        <f t="shared" si="70"/>
        <v>2859</v>
      </c>
      <c r="G61" s="344">
        <f t="shared" si="70"/>
        <v>3886</v>
      </c>
      <c r="H61" s="344">
        <f t="shared" si="70"/>
        <v>3865</v>
      </c>
      <c r="I61" s="344">
        <f t="shared" si="70"/>
        <v>3218</v>
      </c>
      <c r="J61" s="344">
        <f t="shared" si="70"/>
        <v>3506</v>
      </c>
      <c r="K61" s="344">
        <f t="shared" si="70"/>
        <v>4848</v>
      </c>
      <c r="L61" s="344">
        <f t="shared" si="70"/>
        <v>5181</v>
      </c>
      <c r="M61" s="344">
        <f t="shared" si="70"/>
        <v>4175</v>
      </c>
      <c r="N61" s="344">
        <f t="shared" si="70"/>
        <v>4939</v>
      </c>
      <c r="O61" s="344">
        <f t="shared" si="70"/>
        <v>6508</v>
      </c>
      <c r="P61" s="344">
        <f t="shared" si="70"/>
        <v>5902</v>
      </c>
      <c r="Q61" s="344">
        <f t="shared" si="70"/>
        <v>4048</v>
      </c>
      <c r="R61" s="344">
        <f t="shared" si="70"/>
        <v>4785</v>
      </c>
      <c r="S61" s="344">
        <f t="shared" si="70"/>
        <v>6289</v>
      </c>
      <c r="T61" s="344">
        <f t="shared" si="70"/>
        <v>6663</v>
      </c>
      <c r="U61" s="344">
        <f t="shared" si="70"/>
        <v>6063</v>
      </c>
      <c r="V61" s="344">
        <f t="shared" si="70"/>
        <v>4901</v>
      </c>
      <c r="W61" s="344">
        <f t="shared" si="70"/>
        <v>4546</v>
      </c>
      <c r="X61" s="344">
        <f t="shared" si="70"/>
        <v>6085</v>
      </c>
      <c r="Y61" s="344">
        <f t="shared" si="70"/>
        <v>5695</v>
      </c>
      <c r="Z61" s="344">
        <f t="shared" si="70"/>
        <v>5214</v>
      </c>
      <c r="AA61" s="344">
        <f t="shared" si="70"/>
        <v>6997</v>
      </c>
      <c r="AB61" s="344">
        <f t="shared" si="70"/>
        <v>4451</v>
      </c>
      <c r="AC61" s="344">
        <f t="shared" ca="1" si="70"/>
        <v>2990.4754482608819</v>
      </c>
      <c r="AD61" s="344">
        <f t="shared" ca="1" si="70"/>
        <v>2004.3211145108821</v>
      </c>
      <c r="AE61" s="344">
        <f t="shared" ca="1" si="70"/>
        <v>1641.8544007608823</v>
      </c>
      <c r="AF61" s="344">
        <f t="shared" ca="1" si="70"/>
        <v>1314.1063897608817</v>
      </c>
      <c r="AG61" s="429"/>
      <c r="AH61" s="344">
        <f t="shared" ref="AH61:AM61" si="71">AH176</f>
        <v>11704</v>
      </c>
      <c r="AI61" s="344">
        <f t="shared" si="71"/>
        <v>12193</v>
      </c>
      <c r="AJ61" s="344">
        <f t="shared" si="71"/>
        <v>13239</v>
      </c>
      <c r="AK61" s="344">
        <f t="shared" si="71"/>
        <v>16753</v>
      </c>
      <c r="AL61" s="344">
        <f t="shared" si="71"/>
        <v>21525</v>
      </c>
      <c r="AM61" s="344">
        <f t="shared" si="71"/>
        <v>21784</v>
      </c>
      <c r="AN61" s="344">
        <f t="shared" ref="AN61:AS61" si="72">AN176</f>
        <v>21596</v>
      </c>
      <c r="AO61" s="344">
        <f t="shared" si="72"/>
        <v>22356</v>
      </c>
      <c r="AP61" s="344">
        <f t="shared" ca="1" si="72"/>
        <v>7950.757353293533</v>
      </c>
      <c r="AQ61" s="344">
        <f t="shared" ca="1" si="72"/>
        <v>8433.9672667986433</v>
      </c>
      <c r="AR61" s="344">
        <f t="shared" ca="1" si="72"/>
        <v>10320.118323339022</v>
      </c>
      <c r="AS61" s="654">
        <f t="shared" ca="1" si="72"/>
        <v>11359.572776841858</v>
      </c>
    </row>
    <row r="62" spans="3:45" s="342" customFormat="1">
      <c r="C62" s="516"/>
      <c r="D62" s="636"/>
      <c r="E62" s="345"/>
      <c r="F62" s="345"/>
      <c r="G62" s="345"/>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45"/>
      <c r="AG62" s="429"/>
      <c r="AH62" s="345"/>
      <c r="AI62" s="345"/>
      <c r="AJ62" s="345"/>
      <c r="AK62" s="345"/>
      <c r="AL62" s="345"/>
      <c r="AM62" s="345"/>
      <c r="AN62" s="345"/>
      <c r="AO62" s="345"/>
      <c r="AP62" s="345"/>
      <c r="AQ62" s="345"/>
      <c r="AR62" s="345"/>
      <c r="AS62" s="655"/>
    </row>
    <row r="63" spans="3:45" s="342" customFormat="1">
      <c r="C63" s="653" t="s">
        <v>205</v>
      </c>
      <c r="D63" s="636"/>
      <c r="E63" s="344">
        <f t="shared" ref="E63:AF63" si="73">E53</f>
        <v>4875</v>
      </c>
      <c r="F63" s="344">
        <f t="shared" si="73"/>
        <v>4866</v>
      </c>
      <c r="G63" s="344">
        <f t="shared" si="73"/>
        <v>4877</v>
      </c>
      <c r="H63" s="344">
        <f t="shared" si="73"/>
        <v>4881</v>
      </c>
      <c r="I63" s="344">
        <f t="shared" si="73"/>
        <v>4881</v>
      </c>
      <c r="J63" s="344">
        <f t="shared" si="73"/>
        <v>4845</v>
      </c>
      <c r="K63" s="344">
        <f t="shared" si="73"/>
        <v>4821</v>
      </c>
      <c r="L63" s="344">
        <f t="shared" si="73"/>
        <v>4790</v>
      </c>
      <c r="M63" s="344">
        <f t="shared" si="73"/>
        <v>4790</v>
      </c>
      <c r="N63" s="344">
        <f t="shared" si="73"/>
        <v>4747</v>
      </c>
      <c r="O63" s="344">
        <f t="shared" si="73"/>
        <v>4648</v>
      </c>
      <c r="P63" s="344">
        <f t="shared" si="73"/>
        <v>4564</v>
      </c>
      <c r="Q63" s="344">
        <f t="shared" si="73"/>
        <v>4564</v>
      </c>
      <c r="R63" s="344">
        <f t="shared" si="73"/>
        <v>4523</v>
      </c>
      <c r="S63" s="344">
        <f t="shared" si="73"/>
        <v>4433</v>
      </c>
      <c r="T63" s="344">
        <f t="shared" si="73"/>
        <v>4312</v>
      </c>
      <c r="U63" s="344">
        <f t="shared" si="73"/>
        <v>4312</v>
      </c>
      <c r="V63" s="344">
        <f t="shared" si="73"/>
        <v>4284</v>
      </c>
      <c r="W63" s="344">
        <f t="shared" si="73"/>
        <v>4211</v>
      </c>
      <c r="X63" s="344">
        <f t="shared" si="73"/>
        <v>4096</v>
      </c>
      <c r="Y63" s="344">
        <f t="shared" si="73"/>
        <v>4096</v>
      </c>
      <c r="Z63" s="344">
        <f t="shared" si="73"/>
        <v>4084</v>
      </c>
      <c r="AA63" s="344">
        <f t="shared" si="73"/>
        <v>4086</v>
      </c>
      <c r="AB63" s="344">
        <f t="shared" si="73"/>
        <v>4090</v>
      </c>
      <c r="AC63" s="344">
        <f t="shared" si="73"/>
        <v>4090</v>
      </c>
      <c r="AD63" s="344">
        <f t="shared" si="73"/>
        <v>4090</v>
      </c>
      <c r="AE63" s="344">
        <f t="shared" si="73"/>
        <v>4090</v>
      </c>
      <c r="AF63" s="344">
        <f t="shared" si="73"/>
        <v>4090</v>
      </c>
      <c r="AG63" s="429"/>
      <c r="AH63" s="344">
        <f t="shared" ref="AH63:AM63" si="74">AH53</f>
        <v>5056</v>
      </c>
      <c r="AI63" s="344">
        <f t="shared" si="74"/>
        <v>4894</v>
      </c>
      <c r="AJ63" s="344">
        <f t="shared" si="74"/>
        <v>4875</v>
      </c>
      <c r="AK63" s="344">
        <f t="shared" si="74"/>
        <v>4835</v>
      </c>
      <c r="AL63" s="344">
        <f t="shared" si="74"/>
        <v>4701</v>
      </c>
      <c r="AM63" s="344">
        <f t="shared" si="74"/>
        <v>4473</v>
      </c>
      <c r="AN63" s="344">
        <f t="shared" ref="AN63:AS63" si="75">AN53</f>
        <v>4232</v>
      </c>
      <c r="AO63" s="344">
        <f t="shared" si="75"/>
        <v>4090</v>
      </c>
      <c r="AP63" s="344">
        <f t="shared" si="75"/>
        <v>4090</v>
      </c>
      <c r="AQ63" s="344">
        <f t="shared" si="75"/>
        <v>4090</v>
      </c>
      <c r="AR63" s="344">
        <f t="shared" si="75"/>
        <v>4090</v>
      </c>
      <c r="AS63" s="654">
        <f t="shared" si="75"/>
        <v>4090</v>
      </c>
    </row>
    <row r="64" spans="3:45" s="342" customFormat="1">
      <c r="C64" s="672" t="s">
        <v>206</v>
      </c>
      <c r="D64" s="673"/>
      <c r="E64" s="674">
        <f t="shared" ref="E64:AF64" si="76">E61/E63</f>
        <v>0.53928205128205131</v>
      </c>
      <c r="F64" s="674">
        <f t="shared" si="76"/>
        <v>0.58754623921085081</v>
      </c>
      <c r="G64" s="674">
        <f t="shared" si="76"/>
        <v>0.79680131228214068</v>
      </c>
      <c r="H64" s="674">
        <f t="shared" si="76"/>
        <v>0.79184593321040775</v>
      </c>
      <c r="I64" s="674">
        <f t="shared" si="76"/>
        <v>0.65929112886703545</v>
      </c>
      <c r="J64" s="674">
        <f t="shared" si="76"/>
        <v>0.72363261093911246</v>
      </c>
      <c r="K64" s="674">
        <f t="shared" si="76"/>
        <v>1.0056004978220285</v>
      </c>
      <c r="L64" s="674">
        <f t="shared" si="76"/>
        <v>1.0816283924843424</v>
      </c>
      <c r="M64" s="674">
        <f t="shared" si="76"/>
        <v>0.87160751565762007</v>
      </c>
      <c r="N64" s="674">
        <f t="shared" si="76"/>
        <v>1.0404465978512745</v>
      </c>
      <c r="O64" s="674">
        <f t="shared" si="76"/>
        <v>1.4001721170395869</v>
      </c>
      <c r="P64" s="674">
        <f t="shared" si="76"/>
        <v>1.2931638913234005</v>
      </c>
      <c r="Q64" s="674">
        <f t="shared" si="76"/>
        <v>0.88694127957931634</v>
      </c>
      <c r="R64" s="674">
        <f t="shared" si="76"/>
        <v>1.0579261552067212</v>
      </c>
      <c r="S64" s="674">
        <f t="shared" si="76"/>
        <v>1.418678096097451</v>
      </c>
      <c r="T64" s="674">
        <f t="shared" si="76"/>
        <v>1.5452226345083488</v>
      </c>
      <c r="U64" s="674">
        <f t="shared" si="76"/>
        <v>1.4060760667903525</v>
      </c>
      <c r="V64" s="674">
        <f t="shared" si="76"/>
        <v>1.1440242763772175</v>
      </c>
      <c r="W64" s="674">
        <f t="shared" si="76"/>
        <v>1.0795535502255995</v>
      </c>
      <c r="X64" s="674">
        <f t="shared" si="76"/>
        <v>1.485595703125</v>
      </c>
      <c r="Y64" s="674">
        <f t="shared" si="76"/>
        <v>1.390380859375</v>
      </c>
      <c r="Z64" s="674">
        <f t="shared" si="76"/>
        <v>1.2766895200783546</v>
      </c>
      <c r="AA64" s="674">
        <f t="shared" si="76"/>
        <v>1.7124326970141948</v>
      </c>
      <c r="AB64" s="674">
        <f t="shared" si="76"/>
        <v>1.0882640586797065</v>
      </c>
      <c r="AC64" s="674">
        <f t="shared" ca="1" si="76"/>
        <v>0.73116759126182929</v>
      </c>
      <c r="AD64" s="674">
        <f t="shared" ca="1" si="76"/>
        <v>0.49005406222759956</v>
      </c>
      <c r="AE64" s="674">
        <f t="shared" ca="1" si="76"/>
        <v>0.40143139382906656</v>
      </c>
      <c r="AF64" s="674">
        <f t="shared" ca="1" si="76"/>
        <v>0.32129740580950655</v>
      </c>
      <c r="AG64" s="675"/>
      <c r="AH64" s="674">
        <f t="shared" ref="AH64:AM64" si="77">AH61/AH63</f>
        <v>2.3148734177215191</v>
      </c>
      <c r="AI64" s="674">
        <f t="shared" si="77"/>
        <v>2.4914180629342053</v>
      </c>
      <c r="AJ64" s="674">
        <f t="shared" si="77"/>
        <v>2.7156923076923078</v>
      </c>
      <c r="AK64" s="674">
        <f t="shared" si="77"/>
        <v>3.4649431230610133</v>
      </c>
      <c r="AL64" s="674">
        <f t="shared" si="77"/>
        <v>4.5788130185067004</v>
      </c>
      <c r="AM64" s="674">
        <f t="shared" si="77"/>
        <v>4.8701095461658843</v>
      </c>
      <c r="AN64" s="674">
        <f t="shared" ref="AN64:AS64" si="78">AN61/AN63</f>
        <v>5.1030245746691874</v>
      </c>
      <c r="AO64" s="674">
        <f t="shared" si="78"/>
        <v>5.4660146699266505</v>
      </c>
      <c r="AP64" s="674">
        <f t="shared" ca="1" si="78"/>
        <v>1.9439504531280032</v>
      </c>
      <c r="AQ64" s="674">
        <f t="shared" ca="1" si="78"/>
        <v>2.062094686258837</v>
      </c>
      <c r="AR64" s="674">
        <f t="shared" ca="1" si="78"/>
        <v>2.5232563137748221</v>
      </c>
      <c r="AS64" s="676">
        <f t="shared" ca="1" si="78"/>
        <v>2.7774016569295497</v>
      </c>
    </row>
    <row r="65" spans="3:45" s="342" customFormat="1">
      <c r="C65" s="563"/>
      <c r="D65" s="636"/>
      <c r="E65" s="656"/>
      <c r="F65" s="656"/>
      <c r="G65" s="656"/>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6"/>
      <c r="AG65" s="189"/>
      <c r="AH65" s="656"/>
      <c r="AI65" s="656"/>
      <c r="AJ65" s="656"/>
      <c r="AK65" s="656"/>
      <c r="AL65" s="656"/>
      <c r="AM65" s="656"/>
      <c r="AN65" s="656"/>
      <c r="AO65" s="656"/>
      <c r="AP65" s="656"/>
      <c r="AQ65" s="656"/>
      <c r="AR65" s="656"/>
      <c r="AS65" s="657"/>
    </row>
    <row r="66" spans="3:45" s="479" customFormat="1">
      <c r="C66" s="672" t="str">
        <f>C381</f>
        <v>Dividend Per Share</v>
      </c>
      <c r="D66" s="673"/>
      <c r="E66" s="674">
        <f t="shared" ref="E66:AF66" si="79">E381</f>
        <v>0.25189743589743591</v>
      </c>
      <c r="F66" s="674">
        <f t="shared" si="79"/>
        <v>0.25339087546239208</v>
      </c>
      <c r="G66" s="674">
        <f t="shared" si="79"/>
        <v>0.25240926799261842</v>
      </c>
      <c r="H66" s="674">
        <f t="shared" si="79"/>
        <v>0.25261216963736938</v>
      </c>
      <c r="I66" s="674">
        <f t="shared" si="79"/>
        <v>0.25179266543741036</v>
      </c>
      <c r="J66" s="674">
        <f t="shared" si="79"/>
        <v>0.26563467492260062</v>
      </c>
      <c r="K66" s="674">
        <f t="shared" si="79"/>
        <v>0.26509023024268824</v>
      </c>
      <c r="L66" s="674">
        <f t="shared" si="79"/>
        <v>0.26680584551148223</v>
      </c>
      <c r="M66" s="674">
        <f t="shared" si="79"/>
        <v>0.29227557411273486</v>
      </c>
      <c r="N66" s="674">
        <f t="shared" si="79"/>
        <v>0.29492310933220983</v>
      </c>
      <c r="O66" s="674">
        <f t="shared" si="79"/>
        <v>0.29539586919104993</v>
      </c>
      <c r="P66" s="674">
        <f t="shared" si="79"/>
        <v>0.29973707274320771</v>
      </c>
      <c r="Q66" s="674">
        <f t="shared" si="79"/>
        <v>0.30981595092024539</v>
      </c>
      <c r="R66" s="674">
        <f t="shared" si="79"/>
        <v>0.31262436435993807</v>
      </c>
      <c r="S66" s="674">
        <f t="shared" si="79"/>
        <v>0.31265508684863524</v>
      </c>
      <c r="T66" s="674">
        <f t="shared" si="79"/>
        <v>0.31586270871985156</v>
      </c>
      <c r="U66" s="674">
        <f t="shared" si="79"/>
        <v>0.32653061224489793</v>
      </c>
      <c r="V66" s="674">
        <f t="shared" si="79"/>
        <v>0.32749766573295985</v>
      </c>
      <c r="W66" s="674">
        <f t="shared" si="79"/>
        <v>0.33341249109475185</v>
      </c>
      <c r="X66" s="674">
        <f t="shared" si="79"/>
        <v>0.330322265625</v>
      </c>
      <c r="Y66" s="674">
        <f t="shared" si="79"/>
        <v>0.344482421875</v>
      </c>
      <c r="Z66" s="674">
        <f t="shared" si="79"/>
        <v>0.34524975514201761</v>
      </c>
      <c r="AA66" s="674">
        <f t="shared" si="79"/>
        <v>0.34508076358296624</v>
      </c>
      <c r="AB66" s="674">
        <f t="shared" si="79"/>
        <v>0.34547677261613691</v>
      </c>
      <c r="AC66" s="674">
        <f t="shared" si="79"/>
        <v>0.36275061124694374</v>
      </c>
      <c r="AD66" s="674">
        <f t="shared" si="79"/>
        <v>0.36275061124694374</v>
      </c>
      <c r="AE66" s="674">
        <f t="shared" si="79"/>
        <v>0.36275061124694374</v>
      </c>
      <c r="AF66" s="674">
        <f t="shared" si="79"/>
        <v>0.36275061124694374</v>
      </c>
      <c r="AG66" s="675"/>
      <c r="AH66" s="674">
        <f t="shared" ref="AH66:AM66" si="80">AH381</f>
        <v>0.87203322784810122</v>
      </c>
      <c r="AI66" s="674">
        <f t="shared" si="80"/>
        <v>0.93093583980384143</v>
      </c>
      <c r="AJ66" s="674">
        <f t="shared" si="80"/>
        <v>1.0102564102564102</v>
      </c>
      <c r="AK66" s="674">
        <f t="shared" si="80"/>
        <v>1.0490175801447776</v>
      </c>
      <c r="AL66" s="674">
        <f t="shared" si="80"/>
        <v>1.1786853860880664</v>
      </c>
      <c r="AM66" s="674">
        <f t="shared" si="80"/>
        <v>1.2465906550413592</v>
      </c>
      <c r="AN66" s="674">
        <f t="shared" ref="AN66:AS66" si="81">AN381</f>
        <v>1.3156899810964082</v>
      </c>
      <c r="AO66" s="674">
        <f t="shared" si="81"/>
        <v>1.3799511002444989</v>
      </c>
      <c r="AP66" s="674">
        <f t="shared" si="81"/>
        <v>1.451002444987775</v>
      </c>
      <c r="AQ66" s="674">
        <f t="shared" si="81"/>
        <v>1.5235525672371637</v>
      </c>
      <c r="AR66" s="674">
        <f t="shared" si="81"/>
        <v>1.599730195599022</v>
      </c>
      <c r="AS66" s="676">
        <f t="shared" si="81"/>
        <v>1.6797167053789732</v>
      </c>
    </row>
    <row r="67" spans="3:45" s="479" customFormat="1">
      <c r="C67" s="677" t="s">
        <v>207</v>
      </c>
      <c r="D67" s="678"/>
      <c r="E67" s="679">
        <f t="shared" ref="E67:AF67" si="82">E66/E64</f>
        <v>0.46709775580068469</v>
      </c>
      <c r="F67" s="679">
        <f t="shared" si="82"/>
        <v>0.43126967471143751</v>
      </c>
      <c r="G67" s="679">
        <f t="shared" si="82"/>
        <v>0.31677817807514153</v>
      </c>
      <c r="H67" s="679">
        <f t="shared" si="82"/>
        <v>0.31901681759379041</v>
      </c>
      <c r="I67" s="679">
        <f t="shared" si="82"/>
        <v>0.38191423244251088</v>
      </c>
      <c r="J67" s="679">
        <f t="shared" si="82"/>
        <v>0.36708499714774673</v>
      </c>
      <c r="K67" s="679">
        <f t="shared" si="82"/>
        <v>0.26361386138613863</v>
      </c>
      <c r="L67" s="679">
        <f t="shared" si="82"/>
        <v>0.24667052692530397</v>
      </c>
      <c r="M67" s="679">
        <f t="shared" si="82"/>
        <v>0.33532934131736525</v>
      </c>
      <c r="N67" s="679">
        <f t="shared" si="82"/>
        <v>0.28345818991698729</v>
      </c>
      <c r="O67" s="679">
        <f t="shared" si="82"/>
        <v>0.21097111247695147</v>
      </c>
      <c r="P67" s="679">
        <f t="shared" si="82"/>
        <v>0.23178583531006439</v>
      </c>
      <c r="Q67" s="679">
        <f t="shared" si="82"/>
        <v>0.3493083003952569</v>
      </c>
      <c r="R67" s="679">
        <f t="shared" si="82"/>
        <v>0.29550679205851615</v>
      </c>
      <c r="S67" s="679">
        <f t="shared" si="82"/>
        <v>0.22038479885514389</v>
      </c>
      <c r="T67" s="679">
        <f t="shared" si="82"/>
        <v>0.2044124268347591</v>
      </c>
      <c r="U67" s="679">
        <f t="shared" si="82"/>
        <v>0.2322282698334158</v>
      </c>
      <c r="V67" s="679">
        <f t="shared" si="82"/>
        <v>0.2862681085492757</v>
      </c>
      <c r="W67" s="679">
        <f t="shared" si="82"/>
        <v>0.30884293884733838</v>
      </c>
      <c r="X67" s="679">
        <f t="shared" si="82"/>
        <v>0.22235004108463435</v>
      </c>
      <c r="Y67" s="679">
        <f t="shared" si="82"/>
        <v>0.24776119402985075</v>
      </c>
      <c r="Z67" s="679">
        <f t="shared" si="82"/>
        <v>0.27042577675489066</v>
      </c>
      <c r="AA67" s="679">
        <f t="shared" si="82"/>
        <v>0.20151493497213094</v>
      </c>
      <c r="AB67" s="679">
        <f t="shared" si="82"/>
        <v>0.31745675129184453</v>
      </c>
      <c r="AC67" s="679">
        <f t="shared" ca="1" si="82"/>
        <v>0.49612512313479123</v>
      </c>
      <c r="AD67" s="679">
        <f t="shared" ca="1" si="82"/>
        <v>0.74022569999321564</v>
      </c>
      <c r="AE67" s="679">
        <f t="shared" ca="1" si="82"/>
        <v>0.90364285609761386</v>
      </c>
      <c r="AF67" s="679">
        <f t="shared" ca="1" si="82"/>
        <v>1.1290181765800322</v>
      </c>
      <c r="AG67" s="680"/>
      <c r="AH67" s="679">
        <f t="shared" ref="AH67:AM67" si="83">AH66/AH64</f>
        <v>0.37670881749829116</v>
      </c>
      <c r="AI67" s="679">
        <f t="shared" si="83"/>
        <v>0.37365701632083981</v>
      </c>
      <c r="AJ67" s="679">
        <f t="shared" si="83"/>
        <v>0.37200694916534477</v>
      </c>
      <c r="AK67" s="679">
        <f t="shared" si="83"/>
        <v>0.30275174595594817</v>
      </c>
      <c r="AL67" s="679">
        <f t="shared" si="83"/>
        <v>0.25742160278745646</v>
      </c>
      <c r="AM67" s="679">
        <f t="shared" si="83"/>
        <v>0.25596768270290121</v>
      </c>
      <c r="AN67" s="679">
        <f t="shared" ref="AN67:AS67" si="84">AN66/AN64</f>
        <v>0.25782552324504537</v>
      </c>
      <c r="AO67" s="679">
        <f t="shared" si="84"/>
        <v>0.25246018965825728</v>
      </c>
      <c r="AP67" s="679">
        <f t="shared" ca="1" si="84"/>
        <v>0.74641945871252657</v>
      </c>
      <c r="AQ67" s="679">
        <f t="shared" ca="1" si="84"/>
        <v>0.73883734698976156</v>
      </c>
      <c r="AR67" s="679">
        <f t="shared" ca="1" si="84"/>
        <v>0.63399432981336967</v>
      </c>
      <c r="AS67" s="681">
        <f t="shared" ca="1" si="84"/>
        <v>0.60477990325530373</v>
      </c>
    </row>
    <row r="68" spans="3:45" s="342" customFormat="1">
      <c r="C68" s="361"/>
      <c r="E68" s="345"/>
      <c r="F68" s="345"/>
      <c r="G68" s="345"/>
      <c r="H68" s="345"/>
      <c r="I68" s="345"/>
      <c r="J68" s="345"/>
      <c r="K68" s="345"/>
      <c r="L68" s="345"/>
      <c r="M68" s="345"/>
      <c r="N68" s="345"/>
      <c r="O68" s="345"/>
      <c r="P68" s="345"/>
      <c r="Q68" s="345"/>
      <c r="R68" s="345"/>
      <c r="S68" s="345"/>
      <c r="T68" s="345"/>
      <c r="U68" s="345"/>
      <c r="V68" s="345"/>
      <c r="W68" s="345"/>
      <c r="X68" s="345"/>
      <c r="Y68" s="345"/>
      <c r="Z68" s="345"/>
      <c r="AA68" s="345"/>
      <c r="AB68" s="345"/>
      <c r="AC68" s="344"/>
      <c r="AD68" s="344"/>
      <c r="AE68" s="344"/>
      <c r="AF68" s="344"/>
      <c r="AG68" s="429"/>
      <c r="AH68" s="345"/>
      <c r="AI68" s="345"/>
      <c r="AJ68" s="345"/>
      <c r="AK68" s="345"/>
      <c r="AL68" s="345"/>
      <c r="AM68" s="345"/>
      <c r="AN68" s="345"/>
      <c r="AO68" s="345"/>
      <c r="AP68" s="344"/>
      <c r="AQ68" s="344"/>
      <c r="AR68" s="344"/>
      <c r="AS68" s="344"/>
    </row>
    <row r="69" spans="3:45" s="342" customFormat="1">
      <c r="C69" s="658" t="s">
        <v>208</v>
      </c>
      <c r="D69" s="659" t="s">
        <v>181</v>
      </c>
      <c r="E69" s="660">
        <f t="shared" ref="E69:AS69" si="85">E55</f>
        <v>2016</v>
      </c>
      <c r="F69" s="661">
        <f t="shared" si="85"/>
        <v>2016</v>
      </c>
      <c r="G69" s="662">
        <f t="shared" si="85"/>
        <v>2016</v>
      </c>
      <c r="H69" s="663">
        <f t="shared" si="85"/>
        <v>2016</v>
      </c>
      <c r="I69" s="660">
        <f t="shared" si="85"/>
        <v>2017</v>
      </c>
      <c r="J69" s="661">
        <f t="shared" si="85"/>
        <v>2017</v>
      </c>
      <c r="K69" s="662">
        <f t="shared" si="85"/>
        <v>2017</v>
      </c>
      <c r="L69" s="663">
        <f t="shared" si="85"/>
        <v>2017</v>
      </c>
      <c r="M69" s="660">
        <f t="shared" si="85"/>
        <v>2018</v>
      </c>
      <c r="N69" s="661">
        <f t="shared" si="85"/>
        <v>2018</v>
      </c>
      <c r="O69" s="662">
        <f t="shared" si="85"/>
        <v>2018</v>
      </c>
      <c r="P69" s="663">
        <f t="shared" si="85"/>
        <v>2018</v>
      </c>
      <c r="Q69" s="660">
        <f t="shared" si="85"/>
        <v>2019</v>
      </c>
      <c r="R69" s="661">
        <f t="shared" si="85"/>
        <v>2019</v>
      </c>
      <c r="S69" s="662">
        <f t="shared" si="85"/>
        <v>2019</v>
      </c>
      <c r="T69" s="663">
        <f t="shared" si="85"/>
        <v>2019</v>
      </c>
      <c r="U69" s="660">
        <f t="shared" si="85"/>
        <v>2020</v>
      </c>
      <c r="V69" s="661">
        <f t="shared" si="85"/>
        <v>2020</v>
      </c>
      <c r="W69" s="662">
        <f t="shared" si="85"/>
        <v>2020</v>
      </c>
      <c r="X69" s="663">
        <f t="shared" si="85"/>
        <v>2020</v>
      </c>
      <c r="Y69" s="660">
        <f t="shared" si="85"/>
        <v>2021</v>
      </c>
      <c r="Z69" s="661">
        <f t="shared" si="85"/>
        <v>2021</v>
      </c>
      <c r="AA69" s="662">
        <f t="shared" si="85"/>
        <v>2021</v>
      </c>
      <c r="AB69" s="663">
        <f t="shared" si="85"/>
        <v>2021</v>
      </c>
      <c r="AC69" s="664">
        <f t="shared" si="85"/>
        <v>2022</v>
      </c>
      <c r="AD69" s="665">
        <f t="shared" si="85"/>
        <v>2022</v>
      </c>
      <c r="AE69" s="666">
        <f t="shared" si="85"/>
        <v>2022</v>
      </c>
      <c r="AF69" s="667">
        <f t="shared" si="85"/>
        <v>2022</v>
      </c>
      <c r="AG69" s="693"/>
      <c r="AH69" s="669">
        <f t="shared" si="85"/>
        <v>2014</v>
      </c>
      <c r="AI69" s="669">
        <f t="shared" si="85"/>
        <v>2015</v>
      </c>
      <c r="AJ69" s="669">
        <f t="shared" si="85"/>
        <v>2016</v>
      </c>
      <c r="AK69" s="669">
        <f t="shared" si="85"/>
        <v>2017</v>
      </c>
      <c r="AL69" s="669">
        <f t="shared" si="85"/>
        <v>2018</v>
      </c>
      <c r="AM69" s="669">
        <f t="shared" si="85"/>
        <v>2019</v>
      </c>
      <c r="AN69" s="669">
        <f t="shared" si="85"/>
        <v>2020</v>
      </c>
      <c r="AO69" s="669">
        <f t="shared" si="85"/>
        <v>2021</v>
      </c>
      <c r="AP69" s="670">
        <f t="shared" si="85"/>
        <v>2022</v>
      </c>
      <c r="AQ69" s="670">
        <f t="shared" si="85"/>
        <v>2023</v>
      </c>
      <c r="AR69" s="670">
        <f t="shared" si="85"/>
        <v>2024</v>
      </c>
      <c r="AS69" s="671">
        <f t="shared" si="85"/>
        <v>2025</v>
      </c>
    </row>
    <row r="70" spans="3:45" s="342" customFormat="1">
      <c r="C70" s="516"/>
      <c r="D70" s="636"/>
      <c r="E70" s="345"/>
      <c r="F70" s="345"/>
      <c r="G70" s="345"/>
      <c r="H70" s="345"/>
      <c r="I70" s="345"/>
      <c r="J70" s="345"/>
      <c r="K70" s="345"/>
      <c r="L70" s="345"/>
      <c r="M70" s="345"/>
      <c r="N70" s="345"/>
      <c r="O70" s="345"/>
      <c r="P70" s="345"/>
      <c r="Q70" s="345"/>
      <c r="R70" s="345"/>
      <c r="S70" s="345"/>
      <c r="T70" s="345"/>
      <c r="U70" s="345"/>
      <c r="V70" s="345"/>
      <c r="W70" s="345"/>
      <c r="X70" s="345"/>
      <c r="Y70" s="345"/>
      <c r="Z70" s="345"/>
      <c r="AA70" s="345"/>
      <c r="AB70" s="345"/>
      <c r="AC70" s="344"/>
      <c r="AD70" s="344"/>
      <c r="AE70" s="344"/>
      <c r="AF70" s="344"/>
      <c r="AG70" s="429"/>
      <c r="AH70" s="345"/>
      <c r="AI70" s="345"/>
      <c r="AJ70" s="345"/>
      <c r="AK70" s="345"/>
      <c r="AL70" s="345"/>
      <c r="AM70" s="345"/>
      <c r="AN70" s="345"/>
      <c r="AO70" s="345"/>
      <c r="AP70" s="344"/>
      <c r="AQ70" s="344"/>
      <c r="AR70" s="344"/>
      <c r="AS70" s="654"/>
    </row>
    <row r="71" spans="3:45" s="342" customFormat="1">
      <c r="C71" s="683" t="s">
        <v>209</v>
      </c>
      <c r="D71" s="636"/>
      <c r="E71" s="345"/>
      <c r="F71" s="345"/>
      <c r="G71" s="345"/>
      <c r="H71" s="345"/>
      <c r="I71" s="345"/>
      <c r="J71" s="345"/>
      <c r="K71" s="345"/>
      <c r="L71" s="345"/>
      <c r="M71" s="345"/>
      <c r="N71" s="345"/>
      <c r="O71" s="345"/>
      <c r="P71" s="345"/>
      <c r="Q71" s="345"/>
      <c r="R71" s="345"/>
      <c r="S71" s="345"/>
      <c r="T71" s="345"/>
      <c r="U71" s="345"/>
      <c r="V71" s="345"/>
      <c r="W71" s="345"/>
      <c r="X71" s="345"/>
      <c r="Y71" s="345"/>
      <c r="Z71" s="345"/>
      <c r="AA71" s="345"/>
      <c r="AB71" s="345"/>
      <c r="AC71" s="344"/>
      <c r="AD71" s="344"/>
      <c r="AE71" s="344"/>
      <c r="AF71" s="344"/>
      <c r="AG71" s="429"/>
      <c r="AH71" s="345"/>
      <c r="AI71" s="345"/>
      <c r="AJ71" s="345"/>
      <c r="AK71" s="345"/>
      <c r="AL71" s="345"/>
      <c r="AM71" s="345"/>
      <c r="AN71" s="345"/>
      <c r="AO71" s="345"/>
      <c r="AP71" s="344"/>
      <c r="AQ71" s="344"/>
      <c r="AR71" s="344"/>
      <c r="AS71" s="654"/>
    </row>
    <row r="72" spans="3:45" s="342" customFormat="1">
      <c r="C72" s="653" t="s">
        <v>210</v>
      </c>
      <c r="D72" s="636"/>
      <c r="E72" s="453">
        <f t="shared" ref="E72:AF72" si="86">E58/E$57</f>
        <v>0.6271284689515253</v>
      </c>
      <c r="F72" s="453">
        <f t="shared" si="86"/>
        <v>0.61841424665632161</v>
      </c>
      <c r="G72" s="453">
        <f t="shared" si="86"/>
        <v>0.6476105970338446</v>
      </c>
      <c r="H72" s="453">
        <f t="shared" si="86"/>
        <v>0.63387077073409059</v>
      </c>
      <c r="I72" s="453">
        <f t="shared" si="86"/>
        <v>0.63321167883211682</v>
      </c>
      <c r="J72" s="453">
        <f t="shared" si="86"/>
        <v>0.62954684007315587</v>
      </c>
      <c r="K72" s="453">
        <f t="shared" si="86"/>
        <v>0.63991578425908724</v>
      </c>
      <c r="L72" s="453">
        <f t="shared" si="86"/>
        <v>0.64903536034715303</v>
      </c>
      <c r="M72" s="453">
        <f t="shared" si="86"/>
        <v>0.62280592555707703</v>
      </c>
      <c r="N72" s="453">
        <f t="shared" si="86"/>
        <v>0.63046810517627638</v>
      </c>
      <c r="O72" s="453">
        <f t="shared" si="86"/>
        <v>0.65939571048374468</v>
      </c>
      <c r="P72" s="453">
        <f t="shared" si="86"/>
        <v>0.6167122259741652</v>
      </c>
      <c r="Q72" s="453">
        <f t="shared" si="86"/>
        <v>0.58340078450905919</v>
      </c>
      <c r="R72" s="453">
        <f t="shared" si="86"/>
        <v>0.61587397758255069</v>
      </c>
      <c r="S72" s="453">
        <f t="shared" si="86"/>
        <v>0.60359562272016676</v>
      </c>
      <c r="T72" s="453">
        <f t="shared" si="86"/>
        <v>0.60101934781532984</v>
      </c>
      <c r="U72" s="453">
        <f t="shared" si="86"/>
        <v>0.64496691235809978</v>
      </c>
      <c r="V72" s="453">
        <f t="shared" si="86"/>
        <v>0.56329740431148267</v>
      </c>
      <c r="W72" s="453">
        <f t="shared" si="86"/>
        <v>0.56457778292598171</v>
      </c>
      <c r="X72" s="453">
        <f t="shared" si="86"/>
        <v>0.60011663044054497</v>
      </c>
      <c r="Y72" s="453">
        <f t="shared" si="86"/>
        <v>0.58434773241409033</v>
      </c>
      <c r="Z72" s="453">
        <f t="shared" si="86"/>
        <v>0.5922408676415043</v>
      </c>
      <c r="AA72" s="453">
        <f t="shared" si="86"/>
        <v>0.57787361088074307</v>
      </c>
      <c r="AB72" s="453">
        <f t="shared" si="86"/>
        <v>0.55426991603522424</v>
      </c>
      <c r="AC72" s="453">
        <f t="shared" si="86"/>
        <v>0.51</v>
      </c>
      <c r="AD72" s="453">
        <f t="shared" si="86"/>
        <v>0.46</v>
      </c>
      <c r="AE72" s="453">
        <f t="shared" si="86"/>
        <v>0.45</v>
      </c>
      <c r="AF72" s="453">
        <f t="shared" si="86"/>
        <v>0.42</v>
      </c>
      <c r="AG72" s="429"/>
      <c r="AH72" s="453">
        <f t="shared" ref="AH72:AM72" si="87">AH58/AH$57</f>
        <v>0.6373545731161625</v>
      </c>
      <c r="AI72" s="453">
        <f t="shared" si="87"/>
        <v>0.63267997470869841</v>
      </c>
      <c r="AJ72" s="453">
        <f t="shared" si="87"/>
        <v>0.63243452240863396</v>
      </c>
      <c r="AK72" s="453">
        <f t="shared" si="87"/>
        <v>0.63837414955147309</v>
      </c>
      <c r="AL72" s="453">
        <f t="shared" si="87"/>
        <v>0.63293247515808493</v>
      </c>
      <c r="AM72" s="453">
        <f t="shared" si="87"/>
        <v>0.60118112971583404</v>
      </c>
      <c r="AN72" s="453">
        <f t="shared" ref="AN72:AS75" si="88">AN58/AN$57</f>
        <v>0.5939506172839506</v>
      </c>
      <c r="AO72" s="453">
        <f t="shared" si="88"/>
        <v>0.5768757193715035</v>
      </c>
      <c r="AP72" s="453">
        <f t="shared" si="88"/>
        <v>0.46137507405399403</v>
      </c>
      <c r="AQ72" s="453">
        <f t="shared" si="88"/>
        <v>0.47</v>
      </c>
      <c r="AR72" s="453">
        <f t="shared" si="88"/>
        <v>0.49</v>
      </c>
      <c r="AS72" s="684">
        <f t="shared" si="88"/>
        <v>0.5</v>
      </c>
    </row>
    <row r="73" spans="3:45" s="342" customFormat="1">
      <c r="C73" s="653" t="s">
        <v>85</v>
      </c>
      <c r="D73" s="636"/>
      <c r="E73" s="453">
        <f t="shared" ref="E73:AF73" si="89">E59/E$57</f>
        <v>0.38388522570828199</v>
      </c>
      <c r="F73" s="453">
        <f t="shared" si="89"/>
        <v>0.37936894997413728</v>
      </c>
      <c r="G73" s="453">
        <f t="shared" si="89"/>
        <v>0.44815565977943972</v>
      </c>
      <c r="H73" s="453">
        <f t="shared" si="89"/>
        <v>0.43288139733724196</v>
      </c>
      <c r="I73" s="453">
        <f t="shared" si="89"/>
        <v>0.39909434982427683</v>
      </c>
      <c r="J73" s="453">
        <f t="shared" si="89"/>
        <v>0.38752286120707174</v>
      </c>
      <c r="K73" s="453">
        <f t="shared" si="89"/>
        <v>0.5004025017028918</v>
      </c>
      <c r="L73" s="453">
        <f t="shared" si="89"/>
        <v>0.47575206708497036</v>
      </c>
      <c r="M73" s="453">
        <f t="shared" si="89"/>
        <v>0.43514253703473171</v>
      </c>
      <c r="N73" s="453">
        <f t="shared" si="89"/>
        <v>0.45513500766419052</v>
      </c>
      <c r="O73" s="453">
        <f t="shared" si="89"/>
        <v>0.51542034128268022</v>
      </c>
      <c r="P73" s="453">
        <f t="shared" si="89"/>
        <v>0.48485823015490165</v>
      </c>
      <c r="Q73" s="453">
        <f t="shared" si="89"/>
        <v>0.44393250731585832</v>
      </c>
      <c r="R73" s="453">
        <f t="shared" si="89"/>
        <v>0.46604059375946683</v>
      </c>
      <c r="S73" s="453">
        <f t="shared" si="89"/>
        <v>0.49859301719645649</v>
      </c>
      <c r="T73" s="453">
        <f t="shared" si="89"/>
        <v>0.50413182245534172</v>
      </c>
      <c r="U73" s="453">
        <f t="shared" si="89"/>
        <v>0.55947705385484481</v>
      </c>
      <c r="V73" s="453">
        <f t="shared" si="89"/>
        <v>0.47833260008798945</v>
      </c>
      <c r="W73" s="453">
        <f t="shared" si="89"/>
        <v>0.48499942082705894</v>
      </c>
      <c r="X73" s="453">
        <f t="shared" si="89"/>
        <v>0.48364523140539684</v>
      </c>
      <c r="Y73" s="453">
        <f t="shared" si="89"/>
        <v>0.48464935904341266</v>
      </c>
      <c r="Z73" s="453">
        <f t="shared" si="89"/>
        <v>0.47013435493444128</v>
      </c>
      <c r="AA73" s="453">
        <f t="shared" si="89"/>
        <v>0.45120804998064906</v>
      </c>
      <c r="AB73" s="453">
        <f t="shared" si="89"/>
        <v>0.41598402621339342</v>
      </c>
      <c r="AC73" s="453">
        <f t="shared" si="89"/>
        <v>0.34229909888825988</v>
      </c>
      <c r="AD73" s="453">
        <f t="shared" si="89"/>
        <v>0.31294599094838316</v>
      </c>
      <c r="AE73" s="453">
        <f t="shared" si="89"/>
        <v>0.32265623541272953</v>
      </c>
      <c r="AF73" s="453">
        <f t="shared" si="89"/>
        <v>0.28202611181819937</v>
      </c>
      <c r="AG73" s="429"/>
      <c r="AH73" s="453">
        <f t="shared" ref="AH73:AM73" si="90">AH59/AH$57</f>
        <v>0.42770717737605157</v>
      </c>
      <c r="AI73" s="453">
        <f t="shared" si="90"/>
        <v>0.42769397525065489</v>
      </c>
      <c r="AJ73" s="453">
        <f t="shared" si="90"/>
        <v>0.41339138620851967</v>
      </c>
      <c r="AK73" s="453">
        <f t="shared" si="90"/>
        <v>0.44326890903586624</v>
      </c>
      <c r="AL73" s="453">
        <f t="shared" si="90"/>
        <v>0.4747346431797651</v>
      </c>
      <c r="AM73" s="453">
        <f t="shared" si="90"/>
        <v>0.48048356840130618</v>
      </c>
      <c r="AN73" s="453">
        <f t="shared" si="88"/>
        <v>0.50197530864197526</v>
      </c>
      <c r="AO73" s="453">
        <f t="shared" si="88"/>
        <v>0.45500414893332264</v>
      </c>
      <c r="AP73" s="453">
        <f t="shared" si="88"/>
        <v>0.3155835931823629</v>
      </c>
      <c r="AQ73" s="453">
        <f t="shared" si="88"/>
        <v>0.36140930595521858</v>
      </c>
      <c r="AR73" s="453">
        <f t="shared" si="88"/>
        <v>0.39629184382044624</v>
      </c>
      <c r="AS73" s="684">
        <f t="shared" si="88"/>
        <v>0.40097223755392664</v>
      </c>
    </row>
    <row r="74" spans="3:45" s="342" customFormat="1">
      <c r="C74" s="685" t="s">
        <v>211</v>
      </c>
      <c r="D74" s="673"/>
      <c r="E74" s="686">
        <f t="shared" ref="E74:AF74" si="91">E60/E$57</f>
        <v>0.23788131294833709</v>
      </c>
      <c r="F74" s="686">
        <f t="shared" si="91"/>
        <v>0.23771521466045961</v>
      </c>
      <c r="G74" s="686">
        <f t="shared" si="91"/>
        <v>0.32596019774369372</v>
      </c>
      <c r="H74" s="686">
        <f t="shared" si="91"/>
        <v>0.31501160376206183</v>
      </c>
      <c r="I74" s="686">
        <f t="shared" si="91"/>
        <v>0.26757231684238986</v>
      </c>
      <c r="J74" s="686">
        <f t="shared" si="91"/>
        <v>0.28327575695996748</v>
      </c>
      <c r="K74" s="686">
        <f t="shared" si="91"/>
        <v>0.3453464610811815</v>
      </c>
      <c r="L74" s="686">
        <f t="shared" si="91"/>
        <v>0.35026095115228995</v>
      </c>
      <c r="M74" s="686">
        <f t="shared" si="91"/>
        <v>0.29845636748412796</v>
      </c>
      <c r="N74" s="686">
        <f t="shared" si="91"/>
        <v>0.33003183586841173</v>
      </c>
      <c r="O74" s="686">
        <f t="shared" si="91"/>
        <v>0.39675416166570998</v>
      </c>
      <c r="P74" s="686">
        <f t="shared" si="91"/>
        <v>0.35123546122098942</v>
      </c>
      <c r="Q74" s="686">
        <f t="shared" si="91"/>
        <v>0.28049311998007598</v>
      </c>
      <c r="R74" s="686">
        <f t="shared" si="91"/>
        <v>0.31129960617994545</v>
      </c>
      <c r="S74" s="686">
        <f t="shared" si="91"/>
        <v>0.35898905680041687</v>
      </c>
      <c r="T74" s="686">
        <f t="shared" si="91"/>
        <v>0.35726656440199911</v>
      </c>
      <c r="U74" s="686">
        <f t="shared" si="91"/>
        <v>0.39538387044708667</v>
      </c>
      <c r="V74" s="686">
        <f t="shared" si="91"/>
        <v>0.30988781346238453</v>
      </c>
      <c r="W74" s="686">
        <f t="shared" si="91"/>
        <v>0.30412371134020616</v>
      </c>
      <c r="X74" s="686">
        <f t="shared" si="91"/>
        <v>0.32444468006149607</v>
      </c>
      <c r="Y74" s="686">
        <f t="shared" si="91"/>
        <v>0.32834213077668856</v>
      </c>
      <c r="Z74" s="686">
        <f t="shared" si="91"/>
        <v>0.31597690605946149</v>
      </c>
      <c r="AA74" s="686">
        <f t="shared" si="91"/>
        <v>0.28760988555315975</v>
      </c>
      <c r="AB74" s="686">
        <f t="shared" si="91"/>
        <v>0.25860126971124309</v>
      </c>
      <c r="AC74" s="686">
        <f t="shared" si="91"/>
        <v>0.18779045568141356</v>
      </c>
      <c r="AD74" s="686">
        <f t="shared" si="91"/>
        <v>0.13815672756510458</v>
      </c>
      <c r="AE74" s="686">
        <f t="shared" si="91"/>
        <v>0.1132329438376848</v>
      </c>
      <c r="AF74" s="686">
        <f t="shared" si="91"/>
        <v>8.3071337513270851E-2</v>
      </c>
      <c r="AG74" s="687"/>
      <c r="AH74" s="686">
        <f t="shared" ref="AH74:AM74" si="92">AH60/AH$57</f>
        <v>0.27469124753892965</v>
      </c>
      <c r="AI74" s="686">
        <f t="shared" si="92"/>
        <v>0.27032788366001265</v>
      </c>
      <c r="AJ74" s="686">
        <f t="shared" si="92"/>
        <v>0.28243620347644827</v>
      </c>
      <c r="AK74" s="686">
        <f t="shared" si="92"/>
        <v>0.31374579754943355</v>
      </c>
      <c r="AL74" s="686">
        <f t="shared" si="92"/>
        <v>0.34650237127371275</v>
      </c>
      <c r="AM74" s="686">
        <f t="shared" si="92"/>
        <v>0.33004932953519073</v>
      </c>
      <c r="AN74" s="686">
        <f t="shared" si="88"/>
        <v>0.3340877914951989</v>
      </c>
      <c r="AO74" s="686">
        <f t="shared" si="88"/>
        <v>0.29718407880296582</v>
      </c>
      <c r="AP74" s="686">
        <f t="shared" si="88"/>
        <v>0.13215876202546892</v>
      </c>
      <c r="AQ74" s="686">
        <f t="shared" si="88"/>
        <v>0.14323658147517995</v>
      </c>
      <c r="AR74" s="686">
        <f t="shared" si="88"/>
        <v>0.17312744520606418</v>
      </c>
      <c r="AS74" s="688">
        <f t="shared" si="88"/>
        <v>0.18298941869846388</v>
      </c>
    </row>
    <row r="75" spans="3:45" s="342" customFormat="1">
      <c r="C75" s="653" t="s">
        <v>212</v>
      </c>
      <c r="D75" s="636"/>
      <c r="E75" s="453">
        <f t="shared" ref="E75:AF75" si="93">E61/E$57</f>
        <v>0.19049344250416636</v>
      </c>
      <c r="F75" s="453">
        <f t="shared" si="93"/>
        <v>0.2112613611172689</v>
      </c>
      <c r="G75" s="453">
        <f t="shared" si="93"/>
        <v>0.24629230574217265</v>
      </c>
      <c r="H75" s="453">
        <f t="shared" si="93"/>
        <v>0.23604494930988151</v>
      </c>
      <c r="I75" s="453">
        <f t="shared" si="93"/>
        <v>0.2174912138415788</v>
      </c>
      <c r="J75" s="453">
        <f t="shared" si="93"/>
        <v>0.23748560590665854</v>
      </c>
      <c r="K75" s="453">
        <f t="shared" si="93"/>
        <v>0.30020434701839122</v>
      </c>
      <c r="L75" s="453">
        <f t="shared" si="93"/>
        <v>0.30381751011552222</v>
      </c>
      <c r="M75" s="453">
        <f t="shared" si="93"/>
        <v>0.2598655545873273</v>
      </c>
      <c r="N75" s="453">
        <f t="shared" si="93"/>
        <v>0.29118028534370949</v>
      </c>
      <c r="O75" s="453">
        <f t="shared" si="93"/>
        <v>0.3396127954913114</v>
      </c>
      <c r="P75" s="453">
        <f t="shared" si="93"/>
        <v>0.31634239159564775</v>
      </c>
      <c r="Q75" s="453">
        <f t="shared" si="93"/>
        <v>0.25203910092771309</v>
      </c>
      <c r="R75" s="453">
        <f t="shared" si="93"/>
        <v>0.28991214783398972</v>
      </c>
      <c r="S75" s="453">
        <f t="shared" si="93"/>
        <v>0.32772277227722774</v>
      </c>
      <c r="T75" s="453">
        <f t="shared" si="93"/>
        <v>0.32970458706516897</v>
      </c>
      <c r="U75" s="453">
        <f t="shared" si="93"/>
        <v>0.326195728197127</v>
      </c>
      <c r="V75" s="453">
        <f t="shared" si="93"/>
        <v>0.26952265728112629</v>
      </c>
      <c r="W75" s="453">
        <f t="shared" si="93"/>
        <v>0.26329201899687249</v>
      </c>
      <c r="X75" s="453">
        <f t="shared" si="93"/>
        <v>0.32258919578009859</v>
      </c>
      <c r="Y75" s="453">
        <f t="shared" si="93"/>
        <v>0.30674350964127978</v>
      </c>
      <c r="Z75" s="453">
        <f t="shared" si="93"/>
        <v>0.28133599525171316</v>
      </c>
      <c r="AA75" s="453">
        <f t="shared" si="93"/>
        <v>0.38685243545087633</v>
      </c>
      <c r="AB75" s="453">
        <f t="shared" si="93"/>
        <v>0.22788244931394636</v>
      </c>
      <c r="AC75" s="453">
        <f t="shared" ca="1" si="93"/>
        <v>0.1570071244837509</v>
      </c>
      <c r="AD75" s="453">
        <f t="shared" ca="1" si="93"/>
        <v>0.11904424181655231</v>
      </c>
      <c r="AE75" s="453">
        <f t="shared" ca="1" si="93"/>
        <v>9.9870400323657585E-2</v>
      </c>
      <c r="AF75" s="453">
        <f t="shared" ca="1" si="93"/>
        <v>7.5938508065552732E-2</v>
      </c>
      <c r="AG75" s="429"/>
      <c r="AH75" s="453">
        <f t="shared" ref="AH75:AM75" si="94">AH61/AH$57</f>
        <v>0.20948630749955252</v>
      </c>
      <c r="AI75" s="453">
        <f t="shared" si="94"/>
        <v>0.22026917170987265</v>
      </c>
      <c r="AJ75" s="453">
        <f t="shared" si="94"/>
        <v>0.22255656793195039</v>
      </c>
      <c r="AK75" s="453">
        <f t="shared" si="94"/>
        <v>0.26693328659517851</v>
      </c>
      <c r="AL75" s="453">
        <f t="shared" si="94"/>
        <v>0.30381944444444442</v>
      </c>
      <c r="AM75" s="453">
        <f t="shared" si="94"/>
        <v>0.30270270270270272</v>
      </c>
      <c r="AN75" s="453">
        <f t="shared" si="88"/>
        <v>0.29624142661179698</v>
      </c>
      <c r="AO75" s="453">
        <f t="shared" si="88"/>
        <v>0.29920501084076129</v>
      </c>
      <c r="AP75" s="453">
        <f t="shared" ca="1" si="88"/>
        <v>0.11418867131219777</v>
      </c>
      <c r="AQ75" s="453">
        <f t="shared" ca="1" si="88"/>
        <v>0.12839923998359848</v>
      </c>
      <c r="AR75" s="453">
        <f t="shared" ca="1" si="88"/>
        <v>0.15181629341323732</v>
      </c>
      <c r="AS75" s="684">
        <f t="shared" ca="1" si="88"/>
        <v>0.1597322991276347</v>
      </c>
    </row>
    <row r="76" spans="3:45" s="342" customFormat="1">
      <c r="C76" s="653"/>
      <c r="D76" s="636"/>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29"/>
      <c r="AH76" s="453"/>
      <c r="AI76" s="453"/>
      <c r="AJ76" s="453"/>
      <c r="AK76" s="453"/>
      <c r="AL76" s="453"/>
      <c r="AM76" s="453"/>
      <c r="AN76" s="453"/>
      <c r="AO76" s="453"/>
      <c r="AP76" s="453"/>
      <c r="AQ76" s="453"/>
      <c r="AR76" s="453"/>
      <c r="AS76" s="684"/>
    </row>
    <row r="77" spans="3:45" s="342" customFormat="1">
      <c r="C77" s="683" t="s">
        <v>213</v>
      </c>
      <c r="D77" s="636"/>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29"/>
      <c r="AH77" s="453"/>
      <c r="AI77" s="453"/>
      <c r="AJ77" s="453"/>
      <c r="AK77" s="453"/>
      <c r="AL77" s="453"/>
      <c r="AM77" s="453"/>
      <c r="AN77" s="453"/>
      <c r="AO77" s="453"/>
      <c r="AP77" s="453"/>
      <c r="AQ77" s="453"/>
      <c r="AR77" s="453"/>
      <c r="AS77" s="684"/>
    </row>
    <row r="78" spans="3:45" s="342" customFormat="1">
      <c r="C78" s="653" t="s">
        <v>214</v>
      </c>
      <c r="D78" s="636"/>
      <c r="E78" s="453"/>
      <c r="F78" s="453"/>
      <c r="G78" s="453"/>
      <c r="H78" s="453"/>
      <c r="I78" s="453" cm="1">
        <f t="array" ref="I78">SUM(F$61:I$61/I212)</f>
        <v>0.11956972883231876</v>
      </c>
      <c r="J78" s="453" cm="1">
        <f t="array" ref="J78">SUM(G$61:J$61/J212)</f>
        <v>0.11854357244056443</v>
      </c>
      <c r="K78" s="453" cm="1">
        <f t="array" ref="K78">SUM(H$61:K$61/K212)</f>
        <v>0.12146701498174493</v>
      </c>
      <c r="L78" s="453" cm="1">
        <f t="array" ref="L78">SUM(I$61:L$61/L212)</f>
        <v>0.13592808055237771</v>
      </c>
      <c r="M78" s="453" cm="1">
        <f t="array" ref="M78">SUM(J$61:M$61/M212)</f>
        <v>0.13771812498055927</v>
      </c>
      <c r="N78" s="453" cm="1">
        <f t="array" ref="N78">SUM(K$61:N$61/N212)</f>
        <v>0.15196234083764645</v>
      </c>
      <c r="O78" s="453" cm="1">
        <f t="array" ref="O78">SUM(L$61:O$61/O212)</f>
        <v>0.16221674646371703</v>
      </c>
      <c r="P78" s="453" cm="1">
        <f t="array" ref="P78">SUM(M$61:P$61/P212)</f>
        <v>0.16820487172073179</v>
      </c>
      <c r="Q78" s="453" cm="1">
        <f t="array" ref="Q78">SUM(N$61:Q$61/Q212)</f>
        <v>0.16528140400747732</v>
      </c>
      <c r="R78" s="453" cm="1">
        <f t="array" ref="R78">SUM(O$61:R$61/R212)</f>
        <v>0.16245918063001402</v>
      </c>
      <c r="S78" s="453" cm="1">
        <f t="array" ref="S78">SUM(P$61:S$61/S212)</f>
        <v>0.15716763351474194</v>
      </c>
      <c r="T78" s="453" cm="1">
        <f t="array" ref="T78">SUM(Q$61:T$61/T212)</f>
        <v>0.15956901350678268</v>
      </c>
      <c r="U78" s="453" cm="1">
        <f t="array" ref="U78">SUM(R$61:U$61/U212)</f>
        <v>0.16112653171755467</v>
      </c>
      <c r="V78" s="453" cm="1">
        <f t="array" ref="V78">SUM(S$61:V$61/V212)</f>
        <v>0.15678613338228256</v>
      </c>
      <c r="W78" s="453" cm="1">
        <f t="array" ref="W78">SUM(T$61:W$61/W212)</f>
        <v>0.15264248490647869</v>
      </c>
      <c r="X78" s="453" cm="1">
        <f t="array" ref="X78">SUM(U$61:X$61/X212)</f>
        <v>0.14105989248224912</v>
      </c>
      <c r="Y78" s="453" cm="1">
        <f t="array" ref="Y78">SUM(V$61:Y$61/Y212)</f>
        <v>0.14092894796244904</v>
      </c>
      <c r="Z78" s="453" cm="1">
        <f t="array" ref="Z78">SUM(W$61:Z$61/Z212)</f>
        <v>0.1393299999353157</v>
      </c>
      <c r="AA78" s="453" cm="1">
        <f t="array" ref="AA78">SUM(X$61:AA$61/AA212)</f>
        <v>0.14283587954418261</v>
      </c>
      <c r="AB78" s="453" cm="1">
        <f t="array" ref="AB78">SUM(Y$61:AB$61/AB212)</f>
        <v>0.13275655261689015</v>
      </c>
      <c r="AC78" s="453" cm="1">
        <f t="array" aca="1" ref="AC78" ca="1">SUM(Z$61:AC$61/AC212)</f>
        <v>0.1155224475999498</v>
      </c>
      <c r="AD78" s="453" cm="1">
        <f t="array" aca="1" ref="AD78" ca="1">SUM(AA$61:AD$61/AD212)</f>
        <v>9.7388377576185722E-2</v>
      </c>
      <c r="AE78" s="453" cm="1">
        <f t="array" aca="1" ref="AE78" ca="1">SUM(AB$61:AE$61/AE212)</f>
        <v>6.6099896333861888E-2</v>
      </c>
      <c r="AF78" s="453" cm="1">
        <f t="array" aca="1" ref="AF78" ca="1">SUM(AC$61:AF$61/AF212)</f>
        <v>4.8080105655578707E-2</v>
      </c>
      <c r="AG78" s="429"/>
      <c r="AH78" s="453">
        <f t="shared" ref="AH78:AS78" si="95">AH$61/AH212</f>
        <v>0.12735582154515779</v>
      </c>
      <c r="AI78" s="453">
        <f t="shared" si="95"/>
        <v>0.1201766230694172</v>
      </c>
      <c r="AJ78" s="453">
        <f t="shared" si="95"/>
        <v>0.1168212341277895</v>
      </c>
      <c r="AK78" s="453">
        <f t="shared" si="95"/>
        <v>0.13592808055237771</v>
      </c>
      <c r="AL78" s="453">
        <f t="shared" si="95"/>
        <v>0.16821268647968554</v>
      </c>
      <c r="AM78" s="453">
        <f t="shared" si="95"/>
        <v>0.15956168878731944</v>
      </c>
      <c r="AN78" s="453">
        <f t="shared" si="95"/>
        <v>0.14106642454487853</v>
      </c>
      <c r="AO78" s="453">
        <f t="shared" si="95"/>
        <v>0.13275061458617865</v>
      </c>
      <c r="AP78" s="453">
        <f t="shared" ca="1" si="95"/>
        <v>4.8080105655578735E-2</v>
      </c>
      <c r="AQ78" s="453">
        <f t="shared" ca="1" si="95"/>
        <v>5.0463812919678615E-2</v>
      </c>
      <c r="AR78" s="453">
        <f t="shared" ca="1" si="95"/>
        <v>6.068062851531255E-2</v>
      </c>
      <c r="AS78" s="684">
        <f t="shared" ca="1" si="95"/>
        <v>6.5739193110508895E-2</v>
      </c>
    </row>
    <row r="79" spans="3:45" s="342" customFormat="1">
      <c r="C79" s="653" t="s">
        <v>215</v>
      </c>
      <c r="D79" s="636"/>
      <c r="E79" s="453"/>
      <c r="F79" s="453"/>
      <c r="G79" s="453"/>
      <c r="H79" s="453"/>
      <c r="I79" s="453" cm="1">
        <f t="array" ref="I79">SUM(F$61:I$61/I234)</f>
        <v>0.20686972652743704</v>
      </c>
      <c r="J79" s="453" cm="1">
        <f t="array" ref="J79">SUM(G$61:J$61/J234)</f>
        <v>0.21092896174863388</v>
      </c>
      <c r="K79" s="453" cm="1">
        <f t="array" ref="K79">SUM(H$61:K$61/K234)</f>
        <v>0.21761869854516747</v>
      </c>
      <c r="L79" s="453" cm="1">
        <f t="array" ref="L79">SUM(I$61:L$61/L234)</f>
        <v>0.24273026268129066</v>
      </c>
      <c r="M79" s="453" cm="1">
        <f t="array" ref="M79">SUM(J$61:M$61/M234)</f>
        <v>0.25240504525048102</v>
      </c>
      <c r="N79" s="453" cm="1">
        <f t="array" ref="N79">SUM(K$61:N$61/N234)</f>
        <v>0.27328793524347939</v>
      </c>
      <c r="O79" s="453" cm="1">
        <f t="array" ref="O79">SUM(L$61:O$61/O234)</f>
        <v>0.29102024257515774</v>
      </c>
      <c r="P79" s="453" cm="1">
        <f t="array" ref="P79">SUM(M$61:P$61/P234)</f>
        <v>0.28866864262435793</v>
      </c>
      <c r="Q79" s="453" cm="1">
        <f t="array" ref="Q79">SUM(N$61:Q$61/Q234)</f>
        <v>0.29047935814067144</v>
      </c>
      <c r="R79" s="453" cm="1">
        <f t="array" ref="R79">SUM(O$61:R$61/R234)</f>
        <v>0.28344029781045271</v>
      </c>
      <c r="S79" s="453" cm="1">
        <f t="array" ref="S79">SUM(P$61:S$61/S234)</f>
        <v>0.28318202634627299</v>
      </c>
      <c r="T79" s="453" cm="1">
        <f t="array" ref="T79">SUM(Q$61:T$61/T234)</f>
        <v>0.2810822667217176</v>
      </c>
      <c r="U79" s="453" cm="1">
        <f t="array" ref="U79">SUM(R$61:U$61/U234)</f>
        <v>0.31170600099536372</v>
      </c>
      <c r="V79" s="453" cm="1">
        <f t="array" ref="V79">SUM(S$61:V$61/V234)</f>
        <v>0.2916229728081941</v>
      </c>
      <c r="W79" s="453" cm="1">
        <f t="array" ref="W79">SUM(T$61:W$61/W234)</f>
        <v>0.297408589747029</v>
      </c>
      <c r="X79" s="453" cm="1">
        <f t="array" ref="X79">SUM(U$61:X$61/X234)</f>
        <v>0.26647992299908685</v>
      </c>
      <c r="Y79" s="453" cm="1">
        <f t="array" ref="Y79">SUM(V$61:Y$61/Y234)</f>
        <v>0.26597917475910632</v>
      </c>
      <c r="Z79" s="453" cm="1">
        <f t="array" ref="Z79">SUM(W$61:Z$61/Z234)</f>
        <v>0.25279613177321114</v>
      </c>
      <c r="AA79" s="453" cm="1">
        <f t="array" ref="AA79">SUM(X$61:AA$61/AA234)</f>
        <v>0.26630923440674015</v>
      </c>
      <c r="AB79" s="453" cm="1">
        <f t="array" ref="AB79">SUM(Y$61:AB$61/AB234)</f>
        <v>0.23437221540816219</v>
      </c>
      <c r="AC79" s="453" cm="1">
        <f t="array" aca="1" ref="AC79" ca="1">SUM(Z$61:AC$61/AC234)</f>
        <v>0.20250138054231717</v>
      </c>
      <c r="AD79" s="453" cm="1">
        <f t="array" aca="1" ref="AD79" ca="1">SUM(AA$61:AD$61/AD234)</f>
        <v>0.16835950352072127</v>
      </c>
      <c r="AE79" s="453" cm="1">
        <f t="array" aca="1" ref="AE79" ca="1">SUM(AB$61:AE$61/AE234)</f>
        <v>0.11324491112691402</v>
      </c>
      <c r="AF79" s="453" cm="1">
        <f t="array" aca="1" ref="AF79" ca="1">SUM(AC$61:AF$61/AF234)</f>
        <v>8.1257630339851269E-2</v>
      </c>
      <c r="AG79" s="429"/>
      <c r="AH79" s="453">
        <f t="shared" ref="AH79:AS79" si="96">AH$61/AH234</f>
        <v>0.20950505683343776</v>
      </c>
      <c r="AI79" s="453">
        <f t="shared" si="96"/>
        <v>0.19960710485389213</v>
      </c>
      <c r="AJ79" s="453">
        <f t="shared" si="96"/>
        <v>0.19990638117959714</v>
      </c>
      <c r="AK79" s="453">
        <f t="shared" si="96"/>
        <v>0.24273026268129066</v>
      </c>
      <c r="AL79" s="453">
        <f t="shared" si="96"/>
        <v>0.2886820541019004</v>
      </c>
      <c r="AM79" s="453">
        <f t="shared" si="96"/>
        <v>0.28106936416184969</v>
      </c>
      <c r="AN79" s="453">
        <f t="shared" si="96"/>
        <v>0.26649226288901501</v>
      </c>
      <c r="AO79" s="453">
        <f t="shared" si="96"/>
        <v>0.23436173223889045</v>
      </c>
      <c r="AP79" s="453">
        <f t="shared" ca="1" si="96"/>
        <v>8.1257630339851325E-2</v>
      </c>
      <c r="AQ79" s="453">
        <f t="shared" ca="1" si="96"/>
        <v>8.396908796031935E-2</v>
      </c>
      <c r="AR79" s="453">
        <f t="shared" ca="1" si="96"/>
        <v>9.859834409730367E-2</v>
      </c>
      <c r="AS79" s="684">
        <f t="shared" ca="1" si="96"/>
        <v>0.10356448657146711</v>
      </c>
    </row>
    <row r="80" spans="3:45" s="342" customFormat="1">
      <c r="C80" s="685" t="s">
        <v>216</v>
      </c>
      <c r="D80" s="673"/>
      <c r="E80" s="686"/>
      <c r="F80" s="686"/>
      <c r="G80" s="686"/>
      <c r="H80" s="686"/>
      <c r="I80" s="686">
        <f t="shared" ref="I80:AF80" si="97">I287</f>
        <v>0.10987419793894614</v>
      </c>
      <c r="J80" s="686">
        <f t="shared" si="97"/>
        <v>0.11340621045101888</v>
      </c>
      <c r="K80" s="686">
        <f t="shared" si="97"/>
        <v>0.12910786034370628</v>
      </c>
      <c r="L80" s="686">
        <f t="shared" si="97"/>
        <v>8.2705656232839098E-2</v>
      </c>
      <c r="M80" s="686">
        <f t="shared" si="97"/>
        <v>5.9733813342060765E-2</v>
      </c>
      <c r="N80" s="686">
        <f t="shared" si="97"/>
        <v>8.3448017677459421E-2</v>
      </c>
      <c r="O80" s="686">
        <f t="shared" si="97"/>
        <v>0.10106850290870238</v>
      </c>
      <c r="P80" s="686">
        <f t="shared" si="97"/>
        <v>0.16296131127373381</v>
      </c>
      <c r="Q80" s="686">
        <f t="shared" si="97"/>
        <v>0.18527223328132567</v>
      </c>
      <c r="R80" s="686">
        <f t="shared" si="97"/>
        <v>0.17763897475755594</v>
      </c>
      <c r="S80" s="686">
        <f t="shared" si="97"/>
        <v>0.1726380777128837</v>
      </c>
      <c r="T80" s="686">
        <f t="shared" si="97"/>
        <v>0.17014759007714159</v>
      </c>
      <c r="U80" s="686">
        <f t="shared" si="97"/>
        <v>0.17686943125327573</v>
      </c>
      <c r="V80" s="686">
        <f t="shared" si="97"/>
        <v>0.17963376926776756</v>
      </c>
      <c r="W80" s="686">
        <f t="shared" si="97"/>
        <v>0.18322322363255691</v>
      </c>
      <c r="X80" s="686">
        <f t="shared" si="97"/>
        <v>0.16676707292583839</v>
      </c>
      <c r="Y80" s="686">
        <f t="shared" si="97"/>
        <v>0.14239978919304339</v>
      </c>
      <c r="Z80" s="686">
        <f t="shared" si="97"/>
        <v>0.13138640657330497</v>
      </c>
      <c r="AA80" s="686">
        <f t="shared" si="97"/>
        <v>0.1275724014487282</v>
      </c>
      <c r="AB80" s="686">
        <f t="shared" si="97"/>
        <v>0.11638713450292397</v>
      </c>
      <c r="AC80" s="686">
        <f t="shared" ca="1" si="97"/>
        <v>0.11357515157300006</v>
      </c>
      <c r="AD80" s="686">
        <f t="shared" ca="1" si="97"/>
        <v>9.2307044670269137E-2</v>
      </c>
      <c r="AE80" s="686">
        <f t="shared" ca="1" si="97"/>
        <v>6.4590463583655847E-2</v>
      </c>
      <c r="AF80" s="686">
        <f t="shared" ca="1" si="97"/>
        <v>4.2740257458300651E-2</v>
      </c>
      <c r="AG80" s="687"/>
      <c r="AH80" s="686"/>
      <c r="AI80" s="686">
        <f t="shared" ref="AI80:AM80" si="98">AI287</f>
        <v>9.2799726543979014E-2</v>
      </c>
      <c r="AJ80" s="686">
        <f t="shared" si="98"/>
        <v>0.10639633947698353</v>
      </c>
      <c r="AK80" s="686">
        <f t="shared" si="98"/>
        <v>8.2705656232839084E-2</v>
      </c>
      <c r="AL80" s="686">
        <f t="shared" si="98"/>
        <v>0.16296131127373381</v>
      </c>
      <c r="AM80" s="686">
        <f t="shared" si="98"/>
        <v>0.17014759007714159</v>
      </c>
      <c r="AN80" s="686">
        <f t="shared" ref="AN80:AS81" si="99">AN287</f>
        <v>0.16676707292583839</v>
      </c>
      <c r="AO80" s="686">
        <f t="shared" si="99"/>
        <v>0.11638713450292397</v>
      </c>
      <c r="AP80" s="686">
        <f t="shared" ca="1" si="99"/>
        <v>4.2740257458300693E-2</v>
      </c>
      <c r="AQ80" s="686">
        <f t="shared" ca="1" si="99"/>
        <v>4.3216944144197016E-2</v>
      </c>
      <c r="AR80" s="686">
        <f t="shared" ca="1" si="99"/>
        <v>5.5127109229646303E-2</v>
      </c>
      <c r="AS80" s="688">
        <f t="shared" ca="1" si="99"/>
        <v>6.0941197516502066E-2</v>
      </c>
    </row>
    <row r="81" spans="3:45" s="342" customFormat="1">
      <c r="C81" s="653" t="s">
        <v>217</v>
      </c>
      <c r="D81" s="636"/>
      <c r="E81" s="453"/>
      <c r="F81" s="453"/>
      <c r="G81" s="453"/>
      <c r="H81" s="453"/>
      <c r="I81" s="453">
        <f t="shared" ref="I81:AF81" si="100">I288</f>
        <v>0.1273268665292189</v>
      </c>
      <c r="J81" s="453">
        <f t="shared" si="100"/>
        <v>0.13025110596166001</v>
      </c>
      <c r="K81" s="453">
        <f t="shared" si="100"/>
        <v>0.16494764278722485</v>
      </c>
      <c r="L81" s="453">
        <f t="shared" si="100"/>
        <v>0.1064724110709194</v>
      </c>
      <c r="M81" s="453">
        <f t="shared" si="100"/>
        <v>7.6712744594405274E-2</v>
      </c>
      <c r="N81" s="453">
        <f t="shared" si="100"/>
        <v>0.10730752521516551</v>
      </c>
      <c r="O81" s="453">
        <f t="shared" si="100"/>
        <v>0.1302095466685492</v>
      </c>
      <c r="P81" s="453">
        <f t="shared" si="100"/>
        <v>0.20939153377655864</v>
      </c>
      <c r="Q81" s="453">
        <f t="shared" si="100"/>
        <v>0.23749071849748854</v>
      </c>
      <c r="R81" s="453">
        <f t="shared" si="100"/>
        <v>0.22690508692561964</v>
      </c>
      <c r="S81" s="453">
        <f t="shared" si="100"/>
        <v>0.2212778588031539</v>
      </c>
      <c r="T81" s="453">
        <f t="shared" si="100"/>
        <v>0.21967838427705708</v>
      </c>
      <c r="U81" s="453">
        <f t="shared" si="100"/>
        <v>0.22350687405920722</v>
      </c>
      <c r="V81" s="453">
        <f t="shared" si="100"/>
        <v>0.22615311418685119</v>
      </c>
      <c r="W81" s="453">
        <f t="shared" si="100"/>
        <v>0.23503750642592611</v>
      </c>
      <c r="X81" s="453">
        <f t="shared" si="100"/>
        <v>0.21064749324410018</v>
      </c>
      <c r="Y81" s="453">
        <f t="shared" si="100"/>
        <v>0.18003233487168938</v>
      </c>
      <c r="Z81" s="453">
        <f t="shared" si="100"/>
        <v>0.1643722566122679</v>
      </c>
      <c r="AA81" s="453">
        <f t="shared" si="100"/>
        <v>0.15697081799098389</v>
      </c>
      <c r="AB81" s="453">
        <f t="shared" si="100"/>
        <v>0.14289465904195561</v>
      </c>
      <c r="AC81" s="453">
        <f t="shared" ca="1" si="100"/>
        <v>0.13908506052203401</v>
      </c>
      <c r="AD81" s="453">
        <f t="shared" ca="1" si="100"/>
        <v>0.11320250443906024</v>
      </c>
      <c r="AE81" s="453">
        <f t="shared" ca="1" si="100"/>
        <v>7.9305165302777883E-2</v>
      </c>
      <c r="AF81" s="453">
        <f t="shared" ca="1" si="100"/>
        <v>5.264113489462429E-2</v>
      </c>
      <c r="AG81" s="429"/>
      <c r="AH81" s="453"/>
      <c r="AI81" s="453">
        <f t="shared" ref="AI81:AM81" si="101">AI288</f>
        <v>0.10605098350533651</v>
      </c>
      <c r="AJ81" s="453">
        <f t="shared" si="101"/>
        <v>0.12359950916305421</v>
      </c>
      <c r="AK81" s="453">
        <f t="shared" si="101"/>
        <v>0.10647241107091937</v>
      </c>
      <c r="AL81" s="453">
        <f t="shared" si="101"/>
        <v>0.20939153377655864</v>
      </c>
      <c r="AM81" s="453">
        <f t="shared" si="101"/>
        <v>0.21967838427705708</v>
      </c>
      <c r="AN81" s="453">
        <f t="shared" si="99"/>
        <v>0.21064749324410018</v>
      </c>
      <c r="AO81" s="453">
        <f t="shared" si="99"/>
        <v>0.14289465904195561</v>
      </c>
      <c r="AP81" s="453">
        <f t="shared" ca="1" si="99"/>
        <v>5.2641134894624339E-2</v>
      </c>
      <c r="AQ81" s="453">
        <f t="shared" ca="1" si="99"/>
        <v>5.3042941297150807E-2</v>
      </c>
      <c r="AR81" s="453">
        <f t="shared" ca="1" si="99"/>
        <v>6.7414767752276616E-2</v>
      </c>
      <c r="AS81" s="684">
        <f t="shared" ca="1" si="99"/>
        <v>7.3112473527089578E-2</v>
      </c>
    </row>
    <row r="82" spans="3:45" s="342" customFormat="1">
      <c r="C82" s="653"/>
      <c r="D82" s="636"/>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4"/>
      <c r="AD82" s="344"/>
      <c r="AE82" s="344"/>
      <c r="AF82" s="344"/>
      <c r="AG82" s="429"/>
      <c r="AH82" s="345"/>
      <c r="AI82" s="345"/>
      <c r="AJ82" s="345"/>
      <c r="AK82" s="345"/>
      <c r="AL82" s="345"/>
      <c r="AM82" s="345"/>
      <c r="AN82" s="453"/>
      <c r="AO82" s="453"/>
      <c r="AP82" s="453"/>
      <c r="AQ82" s="453"/>
      <c r="AR82" s="453"/>
      <c r="AS82" s="684"/>
    </row>
    <row r="83" spans="3:45" s="342" customFormat="1">
      <c r="C83" s="683" t="s">
        <v>17</v>
      </c>
      <c r="D83" s="636"/>
      <c r="E83" s="345"/>
      <c r="F83" s="345"/>
      <c r="G83" s="345"/>
      <c r="H83" s="345"/>
      <c r="I83" s="345"/>
      <c r="J83" s="345"/>
      <c r="K83" s="345"/>
      <c r="L83" s="345"/>
      <c r="M83" s="345"/>
      <c r="N83" s="345"/>
      <c r="O83" s="345"/>
      <c r="P83" s="345"/>
      <c r="Q83" s="345"/>
      <c r="R83" s="345"/>
      <c r="S83" s="345"/>
      <c r="T83" s="345"/>
      <c r="U83" s="345"/>
      <c r="V83" s="345"/>
      <c r="W83" s="345"/>
      <c r="X83" s="345"/>
      <c r="Y83" s="345"/>
      <c r="Z83" s="345"/>
      <c r="AA83" s="345"/>
      <c r="AB83" s="345"/>
      <c r="AC83" s="344"/>
      <c r="AD83" s="344"/>
      <c r="AE83" s="344"/>
      <c r="AF83" s="344"/>
      <c r="AG83" s="429"/>
      <c r="AH83" s="345"/>
      <c r="AI83" s="345"/>
      <c r="AJ83" s="345"/>
      <c r="AK83" s="345"/>
      <c r="AL83" s="345"/>
      <c r="AM83" s="345"/>
      <c r="AN83" s="453"/>
      <c r="AO83" s="453"/>
      <c r="AP83" s="453"/>
      <c r="AQ83" s="453"/>
      <c r="AR83" s="453"/>
      <c r="AS83" s="684"/>
    </row>
    <row r="84" spans="3:45" s="342" customFormat="1">
      <c r="C84" s="653" t="s">
        <v>218</v>
      </c>
      <c r="D84" s="636"/>
      <c r="E84" s="345"/>
      <c r="F84" s="345"/>
      <c r="G84" s="345"/>
      <c r="H84" s="345"/>
      <c r="I84" s="453">
        <f t="shared" ref="I84:AE87" si="102">I57/E57-1</f>
        <v>7.2096224911238238E-2</v>
      </c>
      <c r="J84" s="453">
        <f t="shared" si="102"/>
        <v>9.0888938151185927E-2</v>
      </c>
      <c r="K84" s="453">
        <f t="shared" si="102"/>
        <v>2.3513753327417897E-2</v>
      </c>
      <c r="L84" s="453">
        <f t="shared" si="102"/>
        <v>4.1468181262977799E-2</v>
      </c>
      <c r="M84" s="453">
        <f t="shared" si="102"/>
        <v>8.5834009191673388E-2</v>
      </c>
      <c r="N84" s="453">
        <f t="shared" si="102"/>
        <v>0.14895346474293847</v>
      </c>
      <c r="O84" s="453">
        <f t="shared" si="102"/>
        <v>0.18663694346399162</v>
      </c>
      <c r="P84" s="453">
        <f t="shared" si="102"/>
        <v>9.4059696241130641E-2</v>
      </c>
      <c r="Q84" s="453">
        <f t="shared" si="102"/>
        <v>-3.1121623303875801E-4</v>
      </c>
      <c r="R84" s="453">
        <f t="shared" si="102"/>
        <v>-2.6942577526235079E-2</v>
      </c>
      <c r="S84" s="453">
        <f t="shared" si="102"/>
        <v>1.4089651933413272E-3</v>
      </c>
      <c r="T84" s="453">
        <f t="shared" si="102"/>
        <v>8.3185935573779179E-2</v>
      </c>
      <c r="U84" s="453">
        <f t="shared" si="102"/>
        <v>0.15727538758483273</v>
      </c>
      <c r="V84" s="453">
        <f t="shared" si="102"/>
        <v>0.10172674946985771</v>
      </c>
      <c r="W84" s="453">
        <f t="shared" si="102"/>
        <v>-0.1002605523710266</v>
      </c>
      <c r="X84" s="453">
        <f t="shared" si="102"/>
        <v>-6.6603988322034735E-2</v>
      </c>
      <c r="Y84" s="453">
        <f t="shared" si="102"/>
        <v>-1.1298219185452707E-3</v>
      </c>
      <c r="Z84" s="453">
        <f t="shared" si="102"/>
        <v>1.9192696876374926E-2</v>
      </c>
      <c r="AA84" s="453">
        <f t="shared" si="102"/>
        <v>4.7550098459399948E-2</v>
      </c>
      <c r="AB84" s="453">
        <f t="shared" si="102"/>
        <v>3.5466256692996856E-2</v>
      </c>
      <c r="AC84" s="453">
        <f t="shared" si="102"/>
        <v>2.5894107508348307E-2</v>
      </c>
      <c r="AD84" s="453">
        <f t="shared" si="102"/>
        <v>-9.1524577780175975E-2</v>
      </c>
      <c r="AE84" s="453">
        <f t="shared" si="102"/>
        <v>-9.1068170509205348E-2</v>
      </c>
      <c r="AF84" s="453">
        <f>AF57/AB57-1</f>
        <v>-0.11402442146221581</v>
      </c>
      <c r="AG84" s="429"/>
      <c r="AH84" s="345"/>
      <c r="AI84" s="453">
        <f t="shared" ref="AI84:AN84" si="103">AI57/AH57-1</f>
        <v>-9.2178270986218447E-3</v>
      </c>
      <c r="AJ84" s="453">
        <f t="shared" si="103"/>
        <v>7.4627404931803865E-2</v>
      </c>
      <c r="AK84" s="453">
        <f t="shared" si="103"/>
        <v>5.5054970917526758E-2</v>
      </c>
      <c r="AL84" s="453">
        <f t="shared" si="103"/>
        <v>0.12885390608817571</v>
      </c>
      <c r="AM84" s="453">
        <f t="shared" si="103"/>
        <v>1.576614724480585E-2</v>
      </c>
      <c r="AN84" s="453">
        <f t="shared" si="103"/>
        <v>1.2992426874175012E-2</v>
      </c>
      <c r="AO84" s="453">
        <f t="shared" ref="AO84:AS87" si="104">AO57/AN57-1</f>
        <v>2.4938271604938222E-2</v>
      </c>
      <c r="AP84" s="453">
        <f t="shared" si="104"/>
        <v>-6.8119462512380102E-2</v>
      </c>
      <c r="AQ84" s="453">
        <f t="shared" si="104"/>
        <v>-5.6625836136912522E-2</v>
      </c>
      <c r="AR84" s="453">
        <f t="shared" si="104"/>
        <v>3.4896300950108872E-2</v>
      </c>
      <c r="AS84" s="684">
        <f t="shared" si="104"/>
        <v>4.6171688051308335E-2</v>
      </c>
    </row>
    <row r="85" spans="3:45" s="342" customFormat="1">
      <c r="C85" s="653" t="s">
        <v>219</v>
      </c>
      <c r="D85" s="636"/>
      <c r="E85" s="345"/>
      <c r="F85" s="345"/>
      <c r="G85" s="345"/>
      <c r="H85" s="345"/>
      <c r="I85" s="453">
        <f t="shared" si="102"/>
        <v>8.2495667244367521E-2</v>
      </c>
      <c r="J85" s="453">
        <f t="shared" si="102"/>
        <v>0.11052694467678337</v>
      </c>
      <c r="K85" s="453">
        <f t="shared" si="102"/>
        <v>1.1352515169309019E-2</v>
      </c>
      <c r="L85" s="453">
        <f t="shared" si="102"/>
        <v>6.638404470565562E-2</v>
      </c>
      <c r="M85" s="453">
        <f t="shared" si="102"/>
        <v>6.7990180382111243E-2</v>
      </c>
      <c r="N85" s="453">
        <f t="shared" si="102"/>
        <v>0.15063481816225521</v>
      </c>
      <c r="O85" s="453">
        <f t="shared" si="102"/>
        <v>0.22275982194697108</v>
      </c>
      <c r="P85" s="453">
        <f t="shared" si="102"/>
        <v>3.9573545355981121E-2</v>
      </c>
      <c r="Q85" s="453">
        <f t="shared" si="102"/>
        <v>-6.3561862882270614E-2</v>
      </c>
      <c r="R85" s="453">
        <f t="shared" si="102"/>
        <v>-4.9466990835982827E-2</v>
      </c>
      <c r="S85" s="453">
        <f t="shared" si="102"/>
        <v>-8.333333333333337E-2</v>
      </c>
      <c r="T85" s="453">
        <f t="shared" si="102"/>
        <v>5.5623153137493553E-2</v>
      </c>
      <c r="U85" s="453">
        <f t="shared" si="102"/>
        <v>0.27940234791889007</v>
      </c>
      <c r="V85" s="453">
        <f t="shared" si="102"/>
        <v>7.6733890801770066E-3</v>
      </c>
      <c r="W85" s="453">
        <f t="shared" si="102"/>
        <v>-0.15842182508849179</v>
      </c>
      <c r="X85" s="453">
        <f t="shared" si="102"/>
        <v>-6.8005927877490491E-2</v>
      </c>
      <c r="Y85" s="453">
        <f t="shared" si="102"/>
        <v>-9.5011678345011674E-2</v>
      </c>
      <c r="Z85" s="453">
        <f t="shared" si="102"/>
        <v>7.156106609391788E-2</v>
      </c>
      <c r="AA85" s="453">
        <f t="shared" si="102"/>
        <v>7.221994255231845E-2</v>
      </c>
      <c r="AB85" s="453">
        <f t="shared" si="102"/>
        <v>-4.3639575971731404E-2</v>
      </c>
      <c r="AC85" s="453">
        <f t="shared" si="102"/>
        <v>-0.10463245460411108</v>
      </c>
      <c r="AD85" s="453">
        <f t="shared" si="102"/>
        <v>-0.29437714103498547</v>
      </c>
      <c r="AE85" s="453">
        <f t="shared" si="102"/>
        <v>-0.29219933983926516</v>
      </c>
      <c r="AF85" s="453">
        <f t="shared" ref="AF85:AF87" si="105">AF58/AB58-1</f>
        <v>-0.32864885460927395</v>
      </c>
      <c r="AG85" s="429"/>
      <c r="AH85" s="345"/>
      <c r="AI85" s="453">
        <f t="shared" ref="AI85:AN85" si="106">AI58/AH58-1</f>
        <v>-1.6484596590749523E-2</v>
      </c>
      <c r="AJ85" s="453">
        <f t="shared" si="106"/>
        <v>7.4210496259494052E-2</v>
      </c>
      <c r="AK85" s="453">
        <f t="shared" si="106"/>
        <v>6.4963717072911376E-2</v>
      </c>
      <c r="AL85" s="453">
        <f t="shared" si="106"/>
        <v>0.11923124922001738</v>
      </c>
      <c r="AM85" s="453">
        <f t="shared" si="106"/>
        <v>-3.5190223451228797E-2</v>
      </c>
      <c r="AN85" s="453">
        <f t="shared" si="106"/>
        <v>8.0898668639051152E-4</v>
      </c>
      <c r="AO85" s="453">
        <f t="shared" si="104"/>
        <v>-4.5266634333356315E-3</v>
      </c>
      <c r="AP85" s="453">
        <f t="shared" si="104"/>
        <v>-0.25469830406236227</v>
      </c>
      <c r="AQ85" s="453">
        <f t="shared" si="104"/>
        <v>-3.8990439774467922E-2</v>
      </c>
      <c r="AR85" s="453">
        <f t="shared" si="104"/>
        <v>7.8934441416071088E-2</v>
      </c>
      <c r="AS85" s="684">
        <f t="shared" si="104"/>
        <v>6.7522130664600333E-2</v>
      </c>
    </row>
    <row r="86" spans="3:45" s="342" customFormat="1">
      <c r="C86" s="653" t="s">
        <v>85</v>
      </c>
      <c r="D86" s="636"/>
      <c r="E86" s="345"/>
      <c r="F86" s="345"/>
      <c r="G86" s="345"/>
      <c r="H86" s="345"/>
      <c r="I86" s="453">
        <f t="shared" si="102"/>
        <v>0.1145715364288411</v>
      </c>
      <c r="J86" s="453">
        <f t="shared" si="102"/>
        <v>0.11433580054538361</v>
      </c>
      <c r="K86" s="453">
        <f t="shared" si="102"/>
        <v>0.14283693961250177</v>
      </c>
      <c r="L86" s="453">
        <f t="shared" si="102"/>
        <v>0.14461060948081261</v>
      </c>
      <c r="M86" s="453">
        <f t="shared" si="102"/>
        <v>0.18391193903471637</v>
      </c>
      <c r="N86" s="453">
        <f t="shared" si="102"/>
        <v>0.34941443803530858</v>
      </c>
      <c r="O86" s="453">
        <f t="shared" si="102"/>
        <v>0.22224972156911282</v>
      </c>
      <c r="P86" s="453">
        <f t="shared" si="102"/>
        <v>0.11500061629483538</v>
      </c>
      <c r="Q86" s="453">
        <f t="shared" si="102"/>
        <v>1.9882706336718625E-2</v>
      </c>
      <c r="R86" s="453">
        <f t="shared" si="102"/>
        <v>-3.6269430051812934E-3</v>
      </c>
      <c r="S86" s="453">
        <f t="shared" si="102"/>
        <v>-3.1284803077857637E-2</v>
      </c>
      <c r="T86" s="453">
        <f t="shared" si="102"/>
        <v>0.12624364359938101</v>
      </c>
      <c r="U86" s="453">
        <f t="shared" si="102"/>
        <v>0.45848527349228618</v>
      </c>
      <c r="V86" s="453">
        <f t="shared" si="102"/>
        <v>0.13078523140925635</v>
      </c>
      <c r="W86" s="453">
        <f t="shared" si="102"/>
        <v>-0.12479096989966554</v>
      </c>
      <c r="X86" s="453">
        <f t="shared" si="102"/>
        <v>-0.10453474676089514</v>
      </c>
      <c r="Y86" s="453">
        <f t="shared" si="102"/>
        <v>-0.13472449273968656</v>
      </c>
      <c r="Z86" s="453">
        <f t="shared" si="102"/>
        <v>1.7245343757186227E-3</v>
      </c>
      <c r="AA86" s="453">
        <f t="shared" si="102"/>
        <v>-2.5435872940052562E-2</v>
      </c>
      <c r="AB86" s="453">
        <f t="shared" si="102"/>
        <v>-0.10939383974569772</v>
      </c>
      <c r="AC86" s="453">
        <f t="shared" si="102"/>
        <v>-0.27542949969438069</v>
      </c>
      <c r="AD86" s="453">
        <f t="shared" si="102"/>
        <v>-0.39527129154711771</v>
      </c>
      <c r="AE86" s="453">
        <f t="shared" si="102"/>
        <v>-0.35002816912756252</v>
      </c>
      <c r="AF86" s="453">
        <f t="shared" si="105"/>
        <v>-0.3993321093230815</v>
      </c>
      <c r="AG86" s="429"/>
      <c r="AH86" s="345"/>
      <c r="AI86" s="453">
        <f t="shared" ref="AI86:AN86" si="107">AI59/AH59-1</f>
        <v>-9.2484097756946326E-3</v>
      </c>
      <c r="AJ86" s="453">
        <f t="shared" si="107"/>
        <v>3.8690601900739141E-2</v>
      </c>
      <c r="AK86" s="453">
        <f t="shared" si="107"/>
        <v>0.13130820218779227</v>
      </c>
      <c r="AL86" s="453">
        <f t="shared" si="107"/>
        <v>0.20898634076204159</v>
      </c>
      <c r="AM86" s="453">
        <f t="shared" si="107"/>
        <v>2.8066837129095523E-2</v>
      </c>
      <c r="AN86" s="453">
        <f t="shared" si="107"/>
        <v>5.8302967204580947E-2</v>
      </c>
      <c r="AO86" s="453">
        <f t="shared" si="104"/>
        <v>-7.0967918237962557E-2</v>
      </c>
      <c r="AP86" s="453">
        <f t="shared" si="104"/>
        <v>-0.35366257840398108</v>
      </c>
      <c r="AQ86" s="453">
        <f t="shared" si="104"/>
        <v>8.0360985752593761E-2</v>
      </c>
      <c r="AR86" s="453">
        <f t="shared" si="104"/>
        <v>0.13478252083883868</v>
      </c>
      <c r="AS86" s="684">
        <f t="shared" si="104"/>
        <v>5.8527469501906237E-2</v>
      </c>
    </row>
    <row r="87" spans="3:45" s="342" customFormat="1">
      <c r="C87" s="689" t="s">
        <v>83</v>
      </c>
      <c r="D87" s="637"/>
      <c r="E87" s="690"/>
      <c r="F87" s="690"/>
      <c r="G87" s="690"/>
      <c r="H87" s="690"/>
      <c r="I87" s="691">
        <f t="shared" si="102"/>
        <v>0.20590922936338707</v>
      </c>
      <c r="J87" s="691">
        <f t="shared" si="102"/>
        <v>0.29996891513832757</v>
      </c>
      <c r="K87" s="691">
        <f t="shared" si="102"/>
        <v>8.4386544818199516E-2</v>
      </c>
      <c r="L87" s="691">
        <f t="shared" si="102"/>
        <v>0.15800697944939901</v>
      </c>
      <c r="M87" s="691">
        <f t="shared" si="102"/>
        <v>0.21116443546350094</v>
      </c>
      <c r="N87" s="691">
        <f t="shared" si="102"/>
        <v>0.33859397417503589</v>
      </c>
      <c r="O87" s="691">
        <f t="shared" si="102"/>
        <v>0.36327774789313261</v>
      </c>
      <c r="P87" s="691">
        <f t="shared" si="102"/>
        <v>9.710363301523528E-2</v>
      </c>
      <c r="Q87" s="691">
        <f t="shared" si="102"/>
        <v>-6.0479666319082415E-2</v>
      </c>
      <c r="R87" s="691">
        <f t="shared" si="102"/>
        <v>-8.2172204358699541E-2</v>
      </c>
      <c r="S87" s="691">
        <f t="shared" si="102"/>
        <v>-9.3910298566355355E-2</v>
      </c>
      <c r="T87" s="691">
        <f t="shared" si="102"/>
        <v>0.1017854417823898</v>
      </c>
      <c r="U87" s="691">
        <f t="shared" si="102"/>
        <v>0.63129855715871264</v>
      </c>
      <c r="V87" s="691">
        <f t="shared" si="102"/>
        <v>9.673024523160767E-2</v>
      </c>
      <c r="W87" s="691">
        <f t="shared" si="102"/>
        <v>-0.2377703585426042</v>
      </c>
      <c r="X87" s="691">
        <f t="shared" si="102"/>
        <v>-0.1523545706371191</v>
      </c>
      <c r="Y87" s="691">
        <f t="shared" si="102"/>
        <v>-0.17049938767179207</v>
      </c>
      <c r="Z87" s="691">
        <f t="shared" si="102"/>
        <v>3.9219165927240507E-2</v>
      </c>
      <c r="AA87" s="691">
        <f t="shared" si="102"/>
        <v>-9.3315558941153842E-3</v>
      </c>
      <c r="AB87" s="691">
        <f t="shared" si="102"/>
        <v>-0.17467320261437913</v>
      </c>
      <c r="AC87" s="691">
        <f t="shared" si="102"/>
        <v>-0.41325494393865436</v>
      </c>
      <c r="AD87" s="691">
        <f t="shared" si="102"/>
        <v>-0.60278112418887242</v>
      </c>
      <c r="AE87" s="691">
        <f t="shared" si="102"/>
        <v>-0.64215059366590488</v>
      </c>
      <c r="AF87" s="691">
        <f t="shared" si="105"/>
        <v>-0.7153951471490867</v>
      </c>
      <c r="AG87" s="519"/>
      <c r="AH87" s="690"/>
      <c r="AI87" s="691">
        <f t="shared" ref="AI87:AN87" si="108">AI60/AH60-1</f>
        <v>-2.4956017462696267E-2</v>
      </c>
      <c r="AJ87" s="691">
        <f t="shared" si="108"/>
        <v>0.12276129377171885</v>
      </c>
      <c r="AK87" s="691">
        <f t="shared" si="108"/>
        <v>0.17201357062079636</v>
      </c>
      <c r="AL87" s="691">
        <f t="shared" si="108"/>
        <v>0.24671169569854245</v>
      </c>
      <c r="AM87" s="691">
        <f t="shared" si="108"/>
        <v>-3.2465680883131731E-2</v>
      </c>
      <c r="AN87" s="691">
        <f t="shared" si="108"/>
        <v>2.538733580330077E-2</v>
      </c>
      <c r="AO87" s="691">
        <f t="shared" si="104"/>
        <v>-8.8277561075754463E-2</v>
      </c>
      <c r="AP87" s="691">
        <f t="shared" si="104"/>
        <v>-0.58558958243639481</v>
      </c>
      <c r="AQ87" s="691">
        <f t="shared" si="104"/>
        <v>2.2449727984847456E-2</v>
      </c>
      <c r="AR87" s="691">
        <f t="shared" si="104"/>
        <v>0.25086029554359968</v>
      </c>
      <c r="AS87" s="692">
        <f t="shared" si="104"/>
        <v>0.10576545981742491</v>
      </c>
    </row>
    <row r="88" spans="3:45" s="342" customFormat="1">
      <c r="C88" s="361"/>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4"/>
      <c r="AD88" s="344"/>
      <c r="AE88" s="344"/>
      <c r="AF88" s="344"/>
      <c r="AG88" s="429"/>
      <c r="AH88" s="345"/>
      <c r="AI88" s="345"/>
      <c r="AJ88" s="345"/>
      <c r="AK88" s="345"/>
      <c r="AL88" s="345"/>
      <c r="AM88" s="345"/>
      <c r="AN88" s="345"/>
      <c r="AO88" s="345"/>
      <c r="AP88" s="344"/>
      <c r="AQ88" s="344"/>
      <c r="AR88" s="344"/>
      <c r="AS88" s="344"/>
    </row>
    <row r="89" spans="3:45" s="342" customFormat="1">
      <c r="C89" s="639" t="s">
        <v>220</v>
      </c>
      <c r="D89" s="638" t="s">
        <v>181</v>
      </c>
      <c r="E89" s="640">
        <f t="shared" ref="E89:AS89" si="109">E69</f>
        <v>2016</v>
      </c>
      <c r="F89" s="641">
        <f t="shared" si="109"/>
        <v>2016</v>
      </c>
      <c r="G89" s="642">
        <f t="shared" si="109"/>
        <v>2016</v>
      </c>
      <c r="H89" s="643">
        <f t="shared" si="109"/>
        <v>2016</v>
      </c>
      <c r="I89" s="640">
        <f t="shared" si="109"/>
        <v>2017</v>
      </c>
      <c r="J89" s="641">
        <f t="shared" si="109"/>
        <v>2017</v>
      </c>
      <c r="K89" s="642">
        <f t="shared" si="109"/>
        <v>2017</v>
      </c>
      <c r="L89" s="643">
        <f t="shared" si="109"/>
        <v>2017</v>
      </c>
      <c r="M89" s="640">
        <f t="shared" si="109"/>
        <v>2018</v>
      </c>
      <c r="N89" s="641">
        <f t="shared" si="109"/>
        <v>2018</v>
      </c>
      <c r="O89" s="642">
        <f t="shared" si="109"/>
        <v>2018</v>
      </c>
      <c r="P89" s="643">
        <f t="shared" si="109"/>
        <v>2018</v>
      </c>
      <c r="Q89" s="640">
        <f t="shared" si="109"/>
        <v>2019</v>
      </c>
      <c r="R89" s="641">
        <f t="shared" si="109"/>
        <v>2019</v>
      </c>
      <c r="S89" s="642">
        <f t="shared" si="109"/>
        <v>2019</v>
      </c>
      <c r="T89" s="643">
        <f t="shared" si="109"/>
        <v>2019</v>
      </c>
      <c r="U89" s="640">
        <f t="shared" si="109"/>
        <v>2020</v>
      </c>
      <c r="V89" s="641">
        <f t="shared" si="109"/>
        <v>2020</v>
      </c>
      <c r="W89" s="642">
        <f t="shared" si="109"/>
        <v>2020</v>
      </c>
      <c r="X89" s="643">
        <f t="shared" si="109"/>
        <v>2020</v>
      </c>
      <c r="Y89" s="640">
        <f t="shared" si="109"/>
        <v>2021</v>
      </c>
      <c r="Z89" s="641">
        <f t="shared" si="109"/>
        <v>2021</v>
      </c>
      <c r="AA89" s="642">
        <f t="shared" si="109"/>
        <v>2021</v>
      </c>
      <c r="AB89" s="643">
        <f t="shared" si="109"/>
        <v>2021</v>
      </c>
      <c r="AC89" s="644">
        <f t="shared" si="109"/>
        <v>2022</v>
      </c>
      <c r="AD89" s="645">
        <f t="shared" si="109"/>
        <v>2022</v>
      </c>
      <c r="AE89" s="646">
        <f t="shared" si="109"/>
        <v>2022</v>
      </c>
      <c r="AF89" s="647">
        <f t="shared" si="109"/>
        <v>2022</v>
      </c>
      <c r="AG89" s="682"/>
      <c r="AH89" s="648">
        <f t="shared" si="109"/>
        <v>2014</v>
      </c>
      <c r="AI89" s="648">
        <f t="shared" si="109"/>
        <v>2015</v>
      </c>
      <c r="AJ89" s="648">
        <f t="shared" si="109"/>
        <v>2016</v>
      </c>
      <c r="AK89" s="648">
        <f t="shared" si="109"/>
        <v>2017</v>
      </c>
      <c r="AL89" s="648">
        <f t="shared" si="109"/>
        <v>2018</v>
      </c>
      <c r="AM89" s="648">
        <f t="shared" si="109"/>
        <v>2019</v>
      </c>
      <c r="AN89" s="648">
        <f t="shared" si="109"/>
        <v>2020</v>
      </c>
      <c r="AO89" s="648">
        <f t="shared" si="109"/>
        <v>2021</v>
      </c>
      <c r="AP89" s="649">
        <f t="shared" si="109"/>
        <v>2022</v>
      </c>
      <c r="AQ89" s="649">
        <f t="shared" si="109"/>
        <v>2023</v>
      </c>
      <c r="AR89" s="649">
        <f t="shared" si="109"/>
        <v>2024</v>
      </c>
      <c r="AS89" s="650">
        <f t="shared" si="109"/>
        <v>2025</v>
      </c>
    </row>
    <row r="90" spans="3:45" s="342" customFormat="1">
      <c r="C90" s="516"/>
      <c r="D90" s="636"/>
      <c r="E90" s="345"/>
      <c r="F90" s="345"/>
      <c r="G90" s="345"/>
      <c r="H90" s="345"/>
      <c r="I90" s="345"/>
      <c r="J90" s="345"/>
      <c r="K90" s="345"/>
      <c r="L90" s="345"/>
      <c r="M90" s="345"/>
      <c r="N90" s="345"/>
      <c r="O90" s="345"/>
      <c r="P90" s="345"/>
      <c r="Q90" s="345"/>
      <c r="R90" s="345"/>
      <c r="S90" s="345"/>
      <c r="T90" s="345"/>
      <c r="U90" s="345"/>
      <c r="V90" s="345"/>
      <c r="W90" s="345"/>
      <c r="X90" s="345"/>
      <c r="Y90" s="345"/>
      <c r="Z90" s="345"/>
      <c r="AA90" s="345"/>
      <c r="AB90" s="345"/>
      <c r="AC90" s="344"/>
      <c r="AD90" s="344"/>
      <c r="AE90" s="344"/>
      <c r="AF90" s="344"/>
      <c r="AG90" s="429"/>
      <c r="AH90" s="345"/>
      <c r="AI90" s="345"/>
      <c r="AJ90" s="345"/>
      <c r="AK90" s="345"/>
      <c r="AL90" s="345"/>
      <c r="AM90" s="345"/>
      <c r="AN90" s="345"/>
      <c r="AO90" s="345"/>
      <c r="AP90" s="344"/>
      <c r="AQ90" s="344"/>
      <c r="AR90" s="344"/>
      <c r="AS90" s="654"/>
    </row>
    <row r="91" spans="3:45" s="342" customFormat="1">
      <c r="C91" s="653" t="str">
        <f>C304</f>
        <v>Net income</v>
      </c>
      <c r="D91" s="636"/>
      <c r="E91" s="344">
        <f t="shared" ref="E91:AF91" si="110">E304</f>
        <v>2046</v>
      </c>
      <c r="F91" s="344">
        <f t="shared" si="110"/>
        <v>1330</v>
      </c>
      <c r="G91" s="344">
        <f t="shared" si="110"/>
        <v>3378</v>
      </c>
      <c r="H91" s="344">
        <f t="shared" si="110"/>
        <v>3562</v>
      </c>
      <c r="I91" s="344">
        <f t="shared" si="110"/>
        <v>2964</v>
      </c>
      <c r="J91" s="344">
        <f t="shared" si="110"/>
        <v>2808</v>
      </c>
      <c r="K91" s="344">
        <f t="shared" si="110"/>
        <v>4516</v>
      </c>
      <c r="L91" s="344">
        <f t="shared" si="110"/>
        <v>-687</v>
      </c>
      <c r="M91" s="344">
        <f t="shared" si="110"/>
        <v>4454</v>
      </c>
      <c r="N91" s="344">
        <f t="shared" si="110"/>
        <v>5006</v>
      </c>
      <c r="O91" s="344">
        <f t="shared" si="110"/>
        <v>6398</v>
      </c>
      <c r="P91" s="344">
        <f t="shared" si="110"/>
        <v>5195</v>
      </c>
      <c r="Q91" s="344">
        <f t="shared" si="110"/>
        <v>3974</v>
      </c>
      <c r="R91" s="344">
        <f t="shared" si="110"/>
        <v>4179</v>
      </c>
      <c r="S91" s="344">
        <f t="shared" si="110"/>
        <v>5990</v>
      </c>
      <c r="T91" s="344">
        <f t="shared" si="110"/>
        <v>6905</v>
      </c>
      <c r="U91" s="344">
        <f t="shared" si="110"/>
        <v>5661</v>
      </c>
      <c r="V91" s="344">
        <f t="shared" si="110"/>
        <v>5105</v>
      </c>
      <c r="W91" s="344">
        <f t="shared" si="110"/>
        <v>4276</v>
      </c>
      <c r="X91" s="344">
        <f t="shared" si="110"/>
        <v>5857</v>
      </c>
      <c r="Y91" s="344">
        <f t="shared" si="110"/>
        <v>3361</v>
      </c>
      <c r="Z91" s="344">
        <f t="shared" si="110"/>
        <v>5061</v>
      </c>
      <c r="AA91" s="344">
        <f t="shared" si="110"/>
        <v>6823</v>
      </c>
      <c r="AB91" s="344">
        <f t="shared" si="110"/>
        <v>4623</v>
      </c>
      <c r="AC91" s="344">
        <f t="shared" ca="1" si="110"/>
        <v>2665.0810947504788</v>
      </c>
      <c r="AD91" s="344">
        <f t="shared" ca="1" si="110"/>
        <v>1678.9267610004792</v>
      </c>
      <c r="AE91" s="344">
        <f t="shared" ca="1" si="110"/>
        <v>1316.4600472504794</v>
      </c>
      <c r="AF91" s="344">
        <f t="shared" ca="1" si="110"/>
        <v>988.71203625047883</v>
      </c>
      <c r="AG91" s="429"/>
      <c r="AH91" s="344">
        <f t="shared" ref="AH91:AM91" si="111">AH304</f>
        <v>11704</v>
      </c>
      <c r="AI91" s="344">
        <f t="shared" si="111"/>
        <v>11420</v>
      </c>
      <c r="AJ91" s="344">
        <f t="shared" si="111"/>
        <v>10316</v>
      </c>
      <c r="AK91" s="344">
        <f t="shared" si="111"/>
        <v>9601</v>
      </c>
      <c r="AL91" s="344">
        <f t="shared" si="111"/>
        <v>21053</v>
      </c>
      <c r="AM91" s="344">
        <f t="shared" si="111"/>
        <v>21048</v>
      </c>
      <c r="AN91" s="344">
        <f t="shared" ref="AN91:AS91" si="112">AN304</f>
        <v>20899</v>
      </c>
      <c r="AO91" s="344">
        <f t="shared" si="112"/>
        <v>19868</v>
      </c>
      <c r="AP91" s="344">
        <f t="shared" ca="1" si="112"/>
        <v>6649.1799392519169</v>
      </c>
      <c r="AQ91" s="344">
        <f t="shared" ca="1" si="112"/>
        <v>7184.2411900269162</v>
      </c>
      <c r="AR91" s="344">
        <f t="shared" ca="1" si="112"/>
        <v>9070.3922465672949</v>
      </c>
      <c r="AS91" s="654">
        <f t="shared" ca="1" si="112"/>
        <v>10109.846700070131</v>
      </c>
    </row>
    <row r="92" spans="3:45" s="342" customFormat="1">
      <c r="C92" s="653" t="str">
        <f>C306</f>
        <v>Depreciation</v>
      </c>
      <c r="D92" s="636"/>
      <c r="E92" s="344">
        <f t="shared" ref="E92:AF92" si="113">E306</f>
        <v>1619</v>
      </c>
      <c r="F92" s="344">
        <f t="shared" si="113"/>
        <v>1522</v>
      </c>
      <c r="G92" s="344">
        <f t="shared" si="113"/>
        <v>1543</v>
      </c>
      <c r="H92" s="344">
        <f t="shared" si="113"/>
        <v>1582</v>
      </c>
      <c r="I92" s="344">
        <f t="shared" si="113"/>
        <v>1625</v>
      </c>
      <c r="J92" s="344">
        <f t="shared" si="113"/>
        <v>1675</v>
      </c>
      <c r="K92" s="344">
        <f t="shared" si="113"/>
        <v>1690</v>
      </c>
      <c r="L92" s="344">
        <f t="shared" si="113"/>
        <v>1762</v>
      </c>
      <c r="M92" s="344">
        <f t="shared" si="113"/>
        <v>1806</v>
      </c>
      <c r="N92" s="344">
        <f t="shared" si="113"/>
        <v>1730</v>
      </c>
      <c r="O92" s="344">
        <f t="shared" si="113"/>
        <v>1884</v>
      </c>
      <c r="P92" s="344">
        <f t="shared" si="113"/>
        <v>2100</v>
      </c>
      <c r="Q92" s="344">
        <f t="shared" si="113"/>
        <v>2229</v>
      </c>
      <c r="R92" s="344">
        <f t="shared" si="113"/>
        <v>2150</v>
      </c>
      <c r="S92" s="344">
        <f t="shared" si="113"/>
        <v>2268</v>
      </c>
      <c r="T92" s="344">
        <f t="shared" si="113"/>
        <v>2557</v>
      </c>
      <c r="U92" s="344">
        <f t="shared" si="113"/>
        <v>2623</v>
      </c>
      <c r="V92" s="344">
        <f t="shared" si="113"/>
        <v>2625</v>
      </c>
      <c r="W92" s="344">
        <f t="shared" si="113"/>
        <v>2677</v>
      </c>
      <c r="X92" s="344">
        <f t="shared" si="113"/>
        <v>2557</v>
      </c>
      <c r="Y92" s="344">
        <f t="shared" si="113"/>
        <v>2454</v>
      </c>
      <c r="Z92" s="344">
        <f t="shared" si="113"/>
        <v>2408</v>
      </c>
      <c r="AA92" s="344">
        <f t="shared" si="113"/>
        <v>2495</v>
      </c>
      <c r="AB92" s="344">
        <f t="shared" si="113"/>
        <v>2596</v>
      </c>
      <c r="AC92" s="344">
        <f t="shared" si="113"/>
        <v>2500</v>
      </c>
      <c r="AD92" s="344">
        <f t="shared" si="113"/>
        <v>2500</v>
      </c>
      <c r="AE92" s="344">
        <f t="shared" si="113"/>
        <v>3000</v>
      </c>
      <c r="AF92" s="344">
        <f t="shared" si="113"/>
        <v>3000</v>
      </c>
      <c r="AG92" s="429"/>
      <c r="AH92" s="344">
        <f t="shared" ref="AH92:AM92" si="114">AH306</f>
        <v>7380</v>
      </c>
      <c r="AI92" s="344">
        <f t="shared" si="114"/>
        <v>7821</v>
      </c>
      <c r="AJ92" s="344">
        <f t="shared" si="114"/>
        <v>6266</v>
      </c>
      <c r="AK92" s="344">
        <f t="shared" si="114"/>
        <v>6752</v>
      </c>
      <c r="AL92" s="344">
        <f t="shared" si="114"/>
        <v>7520</v>
      </c>
      <c r="AM92" s="344">
        <f t="shared" si="114"/>
        <v>9204</v>
      </c>
      <c r="AN92" s="344">
        <f t="shared" ref="AN92:AS92" si="115">AN306</f>
        <v>10482</v>
      </c>
      <c r="AO92" s="344">
        <f t="shared" si="115"/>
        <v>9953</v>
      </c>
      <c r="AP92" s="344">
        <f t="shared" si="115"/>
        <v>11000</v>
      </c>
      <c r="AQ92" s="344">
        <f t="shared" si="115"/>
        <v>12559.232775723378</v>
      </c>
      <c r="AR92" s="344">
        <f t="shared" si="115"/>
        <v>13398.646475475309</v>
      </c>
      <c r="AS92" s="654">
        <f t="shared" si="115"/>
        <v>13730.585187518678</v>
      </c>
    </row>
    <row r="93" spans="3:45" s="342" customFormat="1">
      <c r="C93" s="694" t="s">
        <v>221</v>
      </c>
      <c r="D93" s="636"/>
      <c r="E93" s="344">
        <f t="shared" ref="E93:AF93" si="116">SUM(E307:E314)</f>
        <v>779</v>
      </c>
      <c r="F93" s="344">
        <f t="shared" si="116"/>
        <v>1883</v>
      </c>
      <c r="G93" s="344">
        <f t="shared" si="116"/>
        <v>834</v>
      </c>
      <c r="H93" s="344">
        <f t="shared" si="116"/>
        <v>-703</v>
      </c>
      <c r="I93" s="344">
        <f t="shared" si="116"/>
        <v>760</v>
      </c>
      <c r="J93" s="344">
        <f t="shared" si="116"/>
        <v>678</v>
      </c>
      <c r="K93" s="344">
        <f t="shared" si="116"/>
        <v>-577</v>
      </c>
      <c r="L93" s="344">
        <f t="shared" si="116"/>
        <v>-1096</v>
      </c>
      <c r="M93" s="344">
        <f t="shared" si="116"/>
        <v>180</v>
      </c>
      <c r="N93" s="344">
        <f t="shared" si="116"/>
        <v>1021</v>
      </c>
      <c r="O93" s="344">
        <f t="shared" si="116"/>
        <v>845</v>
      </c>
      <c r="P93" s="344">
        <f t="shared" si="116"/>
        <v>723</v>
      </c>
      <c r="Q93" s="344">
        <f t="shared" si="116"/>
        <v>511</v>
      </c>
      <c r="R93" s="344">
        <f t="shared" si="116"/>
        <v>1048</v>
      </c>
      <c r="S93" s="344">
        <f t="shared" si="116"/>
        <v>547</v>
      </c>
      <c r="T93" s="344">
        <f t="shared" si="116"/>
        <v>722</v>
      </c>
      <c r="U93" s="344">
        <f t="shared" si="116"/>
        <v>1172</v>
      </c>
      <c r="V93" s="344">
        <f t="shared" si="116"/>
        <v>713</v>
      </c>
      <c r="W93" s="344">
        <f t="shared" si="116"/>
        <v>860</v>
      </c>
      <c r="X93" s="344">
        <f t="shared" si="116"/>
        <v>-693</v>
      </c>
      <c r="Y93" s="344">
        <f t="shared" si="116"/>
        <v>2783</v>
      </c>
      <c r="Z93" s="344">
        <f t="shared" si="116"/>
        <v>1158</v>
      </c>
      <c r="AA93" s="344">
        <f t="shared" si="116"/>
        <v>491</v>
      </c>
      <c r="AB93" s="344">
        <f t="shared" si="116"/>
        <v>611</v>
      </c>
      <c r="AC93" s="344">
        <f t="shared" si="116"/>
        <v>519.05624999999986</v>
      </c>
      <c r="AD93" s="344">
        <f t="shared" si="116"/>
        <v>463.80687499999999</v>
      </c>
      <c r="AE93" s="344">
        <f t="shared" si="116"/>
        <v>453.88375000000008</v>
      </c>
      <c r="AF93" s="344">
        <f t="shared" si="116"/>
        <v>475.50937500000009</v>
      </c>
      <c r="AG93" s="429"/>
      <c r="AH93" s="344">
        <f>SUM(AH307:AH314)</f>
        <v>1433</v>
      </c>
      <c r="AI93" s="344">
        <f t="shared" ref="AI93:AS93" si="117">SUM(AI307:AI314)</f>
        <v>1016</v>
      </c>
      <c r="AJ93" s="344">
        <f t="shared" si="117"/>
        <v>2793</v>
      </c>
      <c r="AK93" s="344">
        <f t="shared" si="117"/>
        <v>-235</v>
      </c>
      <c r="AL93" s="344">
        <f t="shared" si="117"/>
        <v>2769</v>
      </c>
      <c r="AM93" s="344">
        <f t="shared" si="117"/>
        <v>2828</v>
      </c>
      <c r="AN93" s="344">
        <f t="shared" si="117"/>
        <v>2052</v>
      </c>
      <c r="AO93" s="344">
        <f t="shared" si="117"/>
        <v>5043</v>
      </c>
      <c r="AP93" s="344">
        <f t="shared" si="117"/>
        <v>1912.2562499999999</v>
      </c>
      <c r="AQ93" s="344">
        <f t="shared" si="117"/>
        <v>1413.6873031250002</v>
      </c>
      <c r="AR93" s="344">
        <f t="shared" si="117"/>
        <v>1470.9918206562506</v>
      </c>
      <c r="AS93" s="654">
        <f t="shared" si="117"/>
        <v>1549.4579182609382</v>
      </c>
    </row>
    <row r="94" spans="3:45" s="342" customFormat="1">
      <c r="C94" s="653" t="s">
        <v>222</v>
      </c>
      <c r="D94" s="636"/>
      <c r="E94" s="344">
        <f t="shared" ref="E94:AF94" si="118">SUM(E316:E322)</f>
        <v>-389</v>
      </c>
      <c r="F94" s="344">
        <f t="shared" si="118"/>
        <v>-890</v>
      </c>
      <c r="G94" s="344">
        <f t="shared" si="118"/>
        <v>3</v>
      </c>
      <c r="H94" s="344">
        <f t="shared" si="118"/>
        <v>3709</v>
      </c>
      <c r="I94" s="344">
        <f t="shared" si="118"/>
        <v>-1451</v>
      </c>
      <c r="J94" s="344">
        <f t="shared" si="118"/>
        <v>-454</v>
      </c>
      <c r="K94" s="344">
        <f t="shared" si="118"/>
        <v>635</v>
      </c>
      <c r="L94" s="344">
        <f t="shared" si="118"/>
        <v>7262</v>
      </c>
      <c r="M94" s="344">
        <f t="shared" si="118"/>
        <v>-156</v>
      </c>
      <c r="N94" s="344">
        <f t="shared" si="118"/>
        <v>-344</v>
      </c>
      <c r="O94" s="344">
        <f t="shared" si="118"/>
        <v>-292</v>
      </c>
      <c r="P94" s="344">
        <f t="shared" si="118"/>
        <v>-1118</v>
      </c>
      <c r="Q94" s="344">
        <f t="shared" si="118"/>
        <v>-1755</v>
      </c>
      <c r="R94" s="344">
        <f t="shared" si="118"/>
        <v>210</v>
      </c>
      <c r="S94" s="344">
        <f t="shared" si="118"/>
        <v>1906</v>
      </c>
      <c r="T94" s="344">
        <f t="shared" si="118"/>
        <v>-296</v>
      </c>
      <c r="U94" s="344">
        <f t="shared" si="118"/>
        <v>-3298</v>
      </c>
      <c r="V94" s="344">
        <f t="shared" si="118"/>
        <v>2714</v>
      </c>
      <c r="W94" s="344">
        <f t="shared" si="118"/>
        <v>366</v>
      </c>
      <c r="X94" s="344">
        <f t="shared" si="118"/>
        <v>2169</v>
      </c>
      <c r="Y94" s="344">
        <f t="shared" si="118"/>
        <v>-3050</v>
      </c>
      <c r="Z94" s="344">
        <f t="shared" si="118"/>
        <v>119</v>
      </c>
      <c r="AA94" s="344">
        <f t="shared" si="118"/>
        <v>91</v>
      </c>
      <c r="AB94" s="344">
        <f t="shared" si="118"/>
        <v>-2033</v>
      </c>
      <c r="AC94" s="344">
        <f t="shared" si="118"/>
        <v>182.70750000000044</v>
      </c>
      <c r="AD94" s="344">
        <f t="shared" si="118"/>
        <v>86.750749999999243</v>
      </c>
      <c r="AE94" s="344">
        <f t="shared" si="118"/>
        <v>-507.77949999999873</v>
      </c>
      <c r="AF94" s="344">
        <f t="shared" si="118"/>
        <v>-569.00624999999854</v>
      </c>
      <c r="AG94" s="429"/>
      <c r="AH94" s="344">
        <f t="shared" ref="AH94:AS94" si="119">SUM(AH316:AH322)</f>
        <v>-99</v>
      </c>
      <c r="AI94" s="344">
        <f t="shared" si="119"/>
        <v>-1239</v>
      </c>
      <c r="AJ94" s="344">
        <f t="shared" si="119"/>
        <v>2433</v>
      </c>
      <c r="AK94" s="344">
        <f t="shared" si="119"/>
        <v>5992</v>
      </c>
      <c r="AL94" s="344">
        <f t="shared" si="119"/>
        <v>-1910</v>
      </c>
      <c r="AM94" s="344">
        <f t="shared" si="119"/>
        <v>65</v>
      </c>
      <c r="AN94" s="344">
        <f t="shared" si="119"/>
        <v>1951</v>
      </c>
      <c r="AO94" s="344">
        <f t="shared" si="119"/>
        <v>-4873</v>
      </c>
      <c r="AP94" s="344">
        <f t="shared" si="119"/>
        <v>-807.3274999999976</v>
      </c>
      <c r="AQ94" s="344">
        <f t="shared" si="119"/>
        <v>687.44147625000005</v>
      </c>
      <c r="AR94" s="344">
        <f t="shared" si="119"/>
        <v>1497.9834911625003</v>
      </c>
      <c r="AS94" s="654">
        <f t="shared" si="119"/>
        <v>1608.0237075443783</v>
      </c>
    </row>
    <row r="95" spans="3:45" s="342" customFormat="1">
      <c r="C95" s="516" t="s">
        <v>223</v>
      </c>
      <c r="D95" s="636"/>
      <c r="E95" s="375">
        <f t="shared" ref="E95:AF95" si="120">SUM(E91:E94)</f>
        <v>4055</v>
      </c>
      <c r="F95" s="375">
        <f t="shared" si="120"/>
        <v>3845</v>
      </c>
      <c r="G95" s="375">
        <f t="shared" si="120"/>
        <v>5758</v>
      </c>
      <c r="H95" s="375">
        <f t="shared" si="120"/>
        <v>8150</v>
      </c>
      <c r="I95" s="375">
        <f t="shared" si="120"/>
        <v>3898</v>
      </c>
      <c r="J95" s="375">
        <f t="shared" si="120"/>
        <v>4707</v>
      </c>
      <c r="K95" s="375">
        <f t="shared" si="120"/>
        <v>6264</v>
      </c>
      <c r="L95" s="375">
        <f t="shared" si="120"/>
        <v>7241</v>
      </c>
      <c r="M95" s="375">
        <f t="shared" si="120"/>
        <v>6284</v>
      </c>
      <c r="N95" s="375">
        <f t="shared" si="120"/>
        <v>7413</v>
      </c>
      <c r="O95" s="375">
        <f t="shared" si="120"/>
        <v>8835</v>
      </c>
      <c r="P95" s="375">
        <f t="shared" si="120"/>
        <v>6900</v>
      </c>
      <c r="Q95" s="375">
        <f t="shared" si="120"/>
        <v>4959</v>
      </c>
      <c r="R95" s="375">
        <f t="shared" si="120"/>
        <v>7587</v>
      </c>
      <c r="S95" s="375">
        <f t="shared" si="120"/>
        <v>10711</v>
      </c>
      <c r="T95" s="375">
        <f t="shared" si="120"/>
        <v>9888</v>
      </c>
      <c r="U95" s="375">
        <f t="shared" si="120"/>
        <v>6158</v>
      </c>
      <c r="V95" s="375">
        <f t="shared" si="120"/>
        <v>11157</v>
      </c>
      <c r="W95" s="375">
        <f t="shared" si="120"/>
        <v>8179</v>
      </c>
      <c r="X95" s="375">
        <f t="shared" si="120"/>
        <v>9890</v>
      </c>
      <c r="Y95" s="375">
        <f t="shared" si="120"/>
        <v>5548</v>
      </c>
      <c r="Z95" s="375">
        <f t="shared" si="120"/>
        <v>8746</v>
      </c>
      <c r="AA95" s="375">
        <f t="shared" si="120"/>
        <v>9900</v>
      </c>
      <c r="AB95" s="375">
        <f t="shared" si="120"/>
        <v>5797</v>
      </c>
      <c r="AC95" s="375">
        <f t="shared" ca="1" si="120"/>
        <v>5866.8448447504788</v>
      </c>
      <c r="AD95" s="375">
        <f t="shared" ca="1" si="120"/>
        <v>4729.4843860004785</v>
      </c>
      <c r="AE95" s="375">
        <f t="shared" ca="1" si="120"/>
        <v>4262.5642972504802</v>
      </c>
      <c r="AF95" s="375">
        <f t="shared" ca="1" si="120"/>
        <v>3895.2151612504804</v>
      </c>
      <c r="AG95" s="429"/>
      <c r="AH95" s="375">
        <f t="shared" ref="AH95:AM95" si="121">SUM(AH91:AH94)</f>
        <v>20418</v>
      </c>
      <c r="AI95" s="375">
        <f t="shared" si="121"/>
        <v>19018</v>
      </c>
      <c r="AJ95" s="375">
        <f t="shared" si="121"/>
        <v>21808</v>
      </c>
      <c r="AK95" s="375">
        <f t="shared" si="121"/>
        <v>22110</v>
      </c>
      <c r="AL95" s="375">
        <f t="shared" si="121"/>
        <v>29432</v>
      </c>
      <c r="AM95" s="375">
        <f t="shared" si="121"/>
        <v>33145</v>
      </c>
      <c r="AN95" s="375">
        <f t="shared" ref="AN95:AS95" si="122">SUM(AN91:AN94)</f>
        <v>35384</v>
      </c>
      <c r="AO95" s="375">
        <f t="shared" si="122"/>
        <v>29991</v>
      </c>
      <c r="AP95" s="375">
        <f t="shared" ca="1" si="122"/>
        <v>18754.108689251916</v>
      </c>
      <c r="AQ95" s="375">
        <f t="shared" ca="1" si="122"/>
        <v>21844.602745125296</v>
      </c>
      <c r="AR95" s="375">
        <f t="shared" ca="1" si="122"/>
        <v>25438.014033861356</v>
      </c>
      <c r="AS95" s="695">
        <f t="shared" ca="1" si="122"/>
        <v>26997.913513394124</v>
      </c>
    </row>
    <row r="96" spans="3:45" s="342" customFormat="1">
      <c r="C96" s="516"/>
      <c r="D96" s="636"/>
      <c r="E96" s="345"/>
      <c r="F96" s="345"/>
      <c r="G96" s="345"/>
      <c r="H96" s="345"/>
      <c r="I96" s="345"/>
      <c r="J96" s="345"/>
      <c r="K96" s="345"/>
      <c r="L96" s="345"/>
      <c r="M96" s="345"/>
      <c r="N96" s="345"/>
      <c r="O96" s="345"/>
      <c r="P96" s="345"/>
      <c r="Q96" s="345"/>
      <c r="R96" s="345"/>
      <c r="S96" s="345"/>
      <c r="T96" s="345"/>
      <c r="U96" s="345"/>
      <c r="V96" s="345"/>
      <c r="W96" s="345"/>
      <c r="X96" s="345"/>
      <c r="Y96" s="345"/>
      <c r="Z96" s="345"/>
      <c r="AA96" s="345"/>
      <c r="AB96" s="345"/>
      <c r="AC96" s="345"/>
      <c r="AD96" s="345"/>
      <c r="AE96" s="345"/>
      <c r="AF96" s="345"/>
      <c r="AG96" s="429"/>
      <c r="AH96" s="345"/>
      <c r="AI96" s="345"/>
      <c r="AJ96" s="345"/>
      <c r="AK96" s="345"/>
      <c r="AL96" s="345"/>
      <c r="AM96" s="345"/>
      <c r="AN96" s="345"/>
      <c r="AO96" s="345"/>
      <c r="AP96" s="344"/>
      <c r="AQ96" s="344"/>
      <c r="AR96" s="344"/>
      <c r="AS96" s="654"/>
    </row>
    <row r="97" spans="3:45" s="342" customFormat="1">
      <c r="C97" s="653" t="s">
        <v>224</v>
      </c>
      <c r="D97" s="636"/>
      <c r="E97" s="344">
        <f t="shared" ref="E97:AF97" si="123">E326</f>
        <v>-1346</v>
      </c>
      <c r="F97" s="344">
        <f t="shared" si="123"/>
        <v>-2286</v>
      </c>
      <c r="G97" s="344">
        <f t="shared" si="123"/>
        <v>-2463</v>
      </c>
      <c r="H97" s="344">
        <f t="shared" si="123"/>
        <v>-3530</v>
      </c>
      <c r="I97" s="344">
        <f t="shared" si="123"/>
        <v>-1952</v>
      </c>
      <c r="J97" s="344">
        <f t="shared" si="123"/>
        <v>-2778</v>
      </c>
      <c r="K97" s="344">
        <f t="shared" si="123"/>
        <v>-2979</v>
      </c>
      <c r="L97" s="344">
        <f t="shared" si="123"/>
        <v>-4069</v>
      </c>
      <c r="M97" s="344">
        <f t="shared" si="123"/>
        <v>-2910</v>
      </c>
      <c r="N97" s="344">
        <f t="shared" si="123"/>
        <v>-4530</v>
      </c>
      <c r="O97" s="344">
        <f t="shared" si="123"/>
        <v>-3851</v>
      </c>
      <c r="P97" s="344">
        <f t="shared" si="123"/>
        <v>-3890</v>
      </c>
      <c r="Q97" s="344">
        <f t="shared" si="123"/>
        <v>-3321</v>
      </c>
      <c r="R97" s="344">
        <f t="shared" si="123"/>
        <v>-3554</v>
      </c>
      <c r="S97" s="344">
        <f t="shared" si="123"/>
        <v>-4672</v>
      </c>
      <c r="T97" s="344">
        <f t="shared" si="123"/>
        <v>-4666</v>
      </c>
      <c r="U97" s="344">
        <f t="shared" si="123"/>
        <v>-3268</v>
      </c>
      <c r="V97" s="344">
        <f t="shared" si="123"/>
        <v>-3408</v>
      </c>
      <c r="W97" s="344">
        <f t="shared" si="123"/>
        <v>-3716</v>
      </c>
      <c r="X97" s="344">
        <f t="shared" si="123"/>
        <v>-3867</v>
      </c>
      <c r="Y97" s="344">
        <f t="shared" si="123"/>
        <v>-3972</v>
      </c>
      <c r="Z97" s="344">
        <f t="shared" si="123"/>
        <v>-3602</v>
      </c>
      <c r="AA97" s="344">
        <f t="shared" si="123"/>
        <v>-4005</v>
      </c>
      <c r="AB97" s="344">
        <f t="shared" si="123"/>
        <v>-7154</v>
      </c>
      <c r="AC97" s="344">
        <f t="shared" si="123"/>
        <v>-6666.3624999999984</v>
      </c>
      <c r="AD97" s="344">
        <f t="shared" si="123"/>
        <v>-5892.8712499999992</v>
      </c>
      <c r="AE97" s="344">
        <f t="shared" si="123"/>
        <v>-5753.9475000000002</v>
      </c>
      <c r="AF97" s="344">
        <f t="shared" si="123"/>
        <v>-6056.7062499999993</v>
      </c>
      <c r="AG97" s="429"/>
      <c r="AH97" s="344">
        <f t="shared" ref="AH97:AM97" si="124">AH326</f>
        <v>-10105</v>
      </c>
      <c r="AI97" s="344">
        <f t="shared" si="124"/>
        <v>-7326</v>
      </c>
      <c r="AJ97" s="344">
        <f t="shared" si="124"/>
        <v>-9625</v>
      </c>
      <c r="AK97" s="344">
        <f t="shared" si="124"/>
        <v>-11778</v>
      </c>
      <c r="AL97" s="344">
        <f t="shared" si="124"/>
        <v>-15181</v>
      </c>
      <c r="AM97" s="344">
        <f t="shared" si="124"/>
        <v>-16213</v>
      </c>
      <c r="AN97" s="344">
        <f t="shared" ref="AN97:AS97" si="125">AN326</f>
        <v>-14259</v>
      </c>
      <c r="AO97" s="344">
        <f t="shared" si="125"/>
        <v>-18733</v>
      </c>
      <c r="AP97" s="344">
        <f t="shared" si="125"/>
        <v>-24369.887499999997</v>
      </c>
      <c r="AQ97" s="344">
        <f t="shared" si="125"/>
        <v>-22989.922243749999</v>
      </c>
      <c r="AR97" s="344">
        <f t="shared" si="125"/>
        <v>-21752.855304400004</v>
      </c>
      <c r="AS97" s="654">
        <f t="shared" si="125"/>
        <v>-17779.079182609381</v>
      </c>
    </row>
    <row r="98" spans="3:45" s="342" customFormat="1">
      <c r="C98" s="653" t="s">
        <v>225</v>
      </c>
      <c r="D98" s="636"/>
      <c r="E98" s="344">
        <f t="shared" ref="E98:AF98" si="126">SUM(E327:E339)</f>
        <v>-14174</v>
      </c>
      <c r="F98" s="344">
        <f t="shared" si="126"/>
        <v>-1884</v>
      </c>
      <c r="G98" s="344">
        <f t="shared" si="126"/>
        <v>-220</v>
      </c>
      <c r="H98" s="344">
        <f t="shared" si="126"/>
        <v>86</v>
      </c>
      <c r="I98" s="344">
        <f t="shared" si="126"/>
        <v>-826</v>
      </c>
      <c r="J98" s="344">
        <f t="shared" si="126"/>
        <v>1340</v>
      </c>
      <c r="K98" s="344">
        <f t="shared" si="126"/>
        <v>-3337</v>
      </c>
      <c r="L98" s="344">
        <f t="shared" si="126"/>
        <v>-1161</v>
      </c>
      <c r="M98" s="344">
        <f t="shared" si="126"/>
        <v>-1881</v>
      </c>
      <c r="N98" s="344">
        <f t="shared" si="126"/>
        <v>3337</v>
      </c>
      <c r="O98" s="344">
        <f t="shared" si="126"/>
        <v>416</v>
      </c>
      <c r="P98" s="344">
        <f t="shared" si="126"/>
        <v>2070</v>
      </c>
      <c r="Q98" s="344">
        <f t="shared" si="126"/>
        <v>599</v>
      </c>
      <c r="R98" s="344">
        <f t="shared" si="126"/>
        <v>266</v>
      </c>
      <c r="S98" s="344">
        <f t="shared" si="126"/>
        <v>762</v>
      </c>
      <c r="T98" s="344">
        <f t="shared" si="126"/>
        <v>181</v>
      </c>
      <c r="U98" s="344">
        <f t="shared" si="126"/>
        <v>-468</v>
      </c>
      <c r="V98" s="344">
        <f t="shared" si="126"/>
        <v>-7202</v>
      </c>
      <c r="W98" s="344">
        <f t="shared" si="126"/>
        <v>2950</v>
      </c>
      <c r="X98" s="344">
        <f t="shared" si="126"/>
        <v>-1817</v>
      </c>
      <c r="Y98" s="344">
        <f t="shared" si="126"/>
        <v>1425</v>
      </c>
      <c r="Z98" s="344">
        <f t="shared" si="126"/>
        <v>-3302</v>
      </c>
      <c r="AA98" s="344">
        <f t="shared" si="126"/>
        <v>-6677</v>
      </c>
      <c r="AB98" s="344">
        <f t="shared" si="126"/>
        <v>2120</v>
      </c>
      <c r="AC98" s="344">
        <f t="shared" si="126"/>
        <v>9922</v>
      </c>
      <c r="AD98" s="344">
        <f t="shared" si="126"/>
        <v>2980</v>
      </c>
      <c r="AE98" s="344">
        <f t="shared" si="126"/>
        <v>2980</v>
      </c>
      <c r="AF98" s="344">
        <f t="shared" si="126"/>
        <v>2980</v>
      </c>
      <c r="AG98" s="429"/>
      <c r="AH98" s="344">
        <f t="shared" ref="AH98:AM98" si="127">SUM(AH327:AH339)</f>
        <v>200</v>
      </c>
      <c r="AI98" s="344">
        <f t="shared" si="127"/>
        <v>-857</v>
      </c>
      <c r="AJ98" s="344">
        <f t="shared" si="127"/>
        <v>-16192</v>
      </c>
      <c r="AK98" s="344">
        <f t="shared" si="127"/>
        <v>-3984</v>
      </c>
      <c r="AL98" s="344">
        <f t="shared" si="127"/>
        <v>3942</v>
      </c>
      <c r="AM98" s="344">
        <f t="shared" si="127"/>
        <v>1808</v>
      </c>
      <c r="AN98" s="344">
        <f t="shared" ref="AN98:AS98" si="128">SUM(AN327:AN339)</f>
        <v>-6537</v>
      </c>
      <c r="AO98" s="344">
        <f t="shared" si="128"/>
        <v>-6434</v>
      </c>
      <c r="AP98" s="344">
        <f t="shared" si="128"/>
        <v>18862</v>
      </c>
      <c r="AQ98" s="344">
        <f t="shared" si="128"/>
        <v>3480</v>
      </c>
      <c r="AR98" s="344">
        <f t="shared" si="128"/>
        <v>2480</v>
      </c>
      <c r="AS98" s="654">
        <f t="shared" si="128"/>
        <v>480</v>
      </c>
    </row>
    <row r="99" spans="3:45" s="342" customFormat="1">
      <c r="C99" s="516" t="s">
        <v>226</v>
      </c>
      <c r="D99" s="636"/>
      <c r="E99" s="375">
        <f t="shared" ref="E99:AF99" si="129">SUM(E97:E98)</f>
        <v>-15520</v>
      </c>
      <c r="F99" s="375">
        <f t="shared" si="129"/>
        <v>-4170</v>
      </c>
      <c r="G99" s="375">
        <f t="shared" si="129"/>
        <v>-2683</v>
      </c>
      <c r="H99" s="375">
        <f t="shared" si="129"/>
        <v>-3444</v>
      </c>
      <c r="I99" s="375">
        <f t="shared" si="129"/>
        <v>-2778</v>
      </c>
      <c r="J99" s="375">
        <f t="shared" si="129"/>
        <v>-1438</v>
      </c>
      <c r="K99" s="375">
        <f t="shared" si="129"/>
        <v>-6316</v>
      </c>
      <c r="L99" s="375">
        <f t="shared" si="129"/>
        <v>-5230</v>
      </c>
      <c r="M99" s="375">
        <f t="shared" si="129"/>
        <v>-4791</v>
      </c>
      <c r="N99" s="375">
        <f t="shared" si="129"/>
        <v>-1193</v>
      </c>
      <c r="O99" s="375">
        <f t="shared" si="129"/>
        <v>-3435</v>
      </c>
      <c r="P99" s="375">
        <f t="shared" si="129"/>
        <v>-1820</v>
      </c>
      <c r="Q99" s="375">
        <f t="shared" si="129"/>
        <v>-2722</v>
      </c>
      <c r="R99" s="375">
        <f t="shared" si="129"/>
        <v>-3288</v>
      </c>
      <c r="S99" s="375">
        <f t="shared" si="129"/>
        <v>-3910</v>
      </c>
      <c r="T99" s="375">
        <f t="shared" si="129"/>
        <v>-4485</v>
      </c>
      <c r="U99" s="375">
        <f t="shared" si="129"/>
        <v>-3736</v>
      </c>
      <c r="V99" s="375">
        <f t="shared" si="129"/>
        <v>-10610</v>
      </c>
      <c r="W99" s="375">
        <f t="shared" si="129"/>
        <v>-766</v>
      </c>
      <c r="X99" s="375">
        <f t="shared" si="129"/>
        <v>-5684</v>
      </c>
      <c r="Y99" s="375">
        <f t="shared" si="129"/>
        <v>-2547</v>
      </c>
      <c r="Z99" s="375">
        <f t="shared" si="129"/>
        <v>-6904</v>
      </c>
      <c r="AA99" s="375">
        <f t="shared" si="129"/>
        <v>-10682</v>
      </c>
      <c r="AB99" s="375">
        <f t="shared" si="129"/>
        <v>-5034</v>
      </c>
      <c r="AC99" s="375">
        <f t="shared" si="129"/>
        <v>3255.6375000000016</v>
      </c>
      <c r="AD99" s="375">
        <f t="shared" si="129"/>
        <v>-2912.8712499999992</v>
      </c>
      <c r="AE99" s="375">
        <f t="shared" si="129"/>
        <v>-2773.9475000000002</v>
      </c>
      <c r="AF99" s="375">
        <f t="shared" si="129"/>
        <v>-3076.7062499999993</v>
      </c>
      <c r="AG99" s="429"/>
      <c r="AH99" s="375">
        <f t="shared" ref="AH99:AM99" si="130">SUM(AH97:AH98)</f>
        <v>-9905</v>
      </c>
      <c r="AI99" s="375">
        <f t="shared" si="130"/>
        <v>-8183</v>
      </c>
      <c r="AJ99" s="375">
        <f t="shared" si="130"/>
        <v>-25817</v>
      </c>
      <c r="AK99" s="375">
        <f t="shared" si="130"/>
        <v>-15762</v>
      </c>
      <c r="AL99" s="375">
        <f t="shared" si="130"/>
        <v>-11239</v>
      </c>
      <c r="AM99" s="375">
        <f t="shared" si="130"/>
        <v>-14405</v>
      </c>
      <c r="AN99" s="375">
        <f t="shared" ref="AN99:AS99" si="131">SUM(AN97:AN98)</f>
        <v>-20796</v>
      </c>
      <c r="AO99" s="375">
        <f t="shared" si="131"/>
        <v>-25167</v>
      </c>
      <c r="AP99" s="375">
        <f t="shared" si="131"/>
        <v>-5507.8874999999971</v>
      </c>
      <c r="AQ99" s="375">
        <f t="shared" si="131"/>
        <v>-19509.922243749999</v>
      </c>
      <c r="AR99" s="375">
        <f t="shared" si="131"/>
        <v>-19272.855304400004</v>
      </c>
      <c r="AS99" s="695">
        <f t="shared" si="131"/>
        <v>-17299.079182609381</v>
      </c>
    </row>
    <row r="100" spans="3:45" s="342" customFormat="1">
      <c r="C100" s="516"/>
      <c r="D100" s="636"/>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429"/>
      <c r="AH100" s="344"/>
      <c r="AI100" s="344"/>
      <c r="AJ100" s="344"/>
      <c r="AK100" s="344"/>
      <c r="AL100" s="344"/>
      <c r="AM100" s="344"/>
      <c r="AN100" s="344"/>
      <c r="AO100" s="344"/>
      <c r="AP100" s="344"/>
      <c r="AQ100" s="344"/>
      <c r="AR100" s="344"/>
      <c r="AS100" s="654"/>
    </row>
    <row r="101" spans="3:45" s="342" customFormat="1">
      <c r="C101" s="653" t="s">
        <v>227</v>
      </c>
      <c r="D101" s="636"/>
      <c r="E101" s="344">
        <f t="shared" ref="E101:AF101" si="132">SUM(E342:E344)</f>
        <v>956</v>
      </c>
      <c r="F101" s="344">
        <f t="shared" si="132"/>
        <v>3194</v>
      </c>
      <c r="G101" s="344">
        <f t="shared" si="132"/>
        <v>-990</v>
      </c>
      <c r="H101" s="344">
        <f t="shared" si="132"/>
        <v>-1941</v>
      </c>
      <c r="I101" s="344">
        <f t="shared" si="132"/>
        <v>435</v>
      </c>
      <c r="J101" s="344">
        <f t="shared" si="132"/>
        <v>6131</v>
      </c>
      <c r="K101" s="344">
        <f t="shared" si="132"/>
        <v>-357</v>
      </c>
      <c r="L101" s="344">
        <f t="shared" si="132"/>
        <v>-6573</v>
      </c>
      <c r="M101" s="344">
        <f t="shared" si="132"/>
        <v>1815</v>
      </c>
      <c r="N101" s="344">
        <f t="shared" si="132"/>
        <v>-993</v>
      </c>
      <c r="O101" s="344">
        <f t="shared" si="132"/>
        <v>-620</v>
      </c>
      <c r="P101" s="344">
        <f t="shared" si="132"/>
        <v>-2805</v>
      </c>
      <c r="Q101" s="344">
        <f t="shared" si="132"/>
        <v>956</v>
      </c>
      <c r="R101" s="344">
        <f t="shared" si="132"/>
        <v>-392</v>
      </c>
      <c r="S101" s="344">
        <f t="shared" si="132"/>
        <v>-557</v>
      </c>
      <c r="T101" s="344">
        <f t="shared" si="132"/>
        <v>758</v>
      </c>
      <c r="U101" s="344">
        <f t="shared" si="132"/>
        <v>9172</v>
      </c>
      <c r="V101" s="344">
        <f t="shared" si="132"/>
        <v>-1700</v>
      </c>
      <c r="W101" s="344">
        <f t="shared" si="132"/>
        <v>-1750</v>
      </c>
      <c r="X101" s="344">
        <f t="shared" si="132"/>
        <v>0</v>
      </c>
      <c r="Y101" s="344">
        <f t="shared" si="132"/>
        <v>0</v>
      </c>
      <c r="Z101" s="344">
        <f t="shared" si="132"/>
        <v>-500</v>
      </c>
      <c r="AA101" s="344">
        <f t="shared" si="132"/>
        <v>4974</v>
      </c>
      <c r="AB101" s="344">
        <f t="shared" si="132"/>
        <v>-2000</v>
      </c>
      <c r="AC101" s="344">
        <f t="shared" ca="1" si="132"/>
        <v>0</v>
      </c>
      <c r="AD101" s="344">
        <f t="shared" ca="1" si="132"/>
        <v>-1550</v>
      </c>
      <c r="AE101" s="344">
        <f t="shared" ca="1" si="132"/>
        <v>-1000</v>
      </c>
      <c r="AF101" s="344">
        <f t="shared" ca="1" si="132"/>
        <v>-1898</v>
      </c>
      <c r="AG101" s="429"/>
      <c r="AH101" s="344">
        <f t="shared" ref="AH101:AM101" si="133">SUM(AH342:AH344)</f>
        <v>235</v>
      </c>
      <c r="AI101" s="344">
        <f t="shared" si="133"/>
        <v>9476</v>
      </c>
      <c r="AJ101" s="344">
        <f t="shared" si="133"/>
        <v>1219</v>
      </c>
      <c r="AK101" s="344">
        <f t="shared" si="133"/>
        <v>-364</v>
      </c>
      <c r="AL101" s="344">
        <f t="shared" si="133"/>
        <v>-2603</v>
      </c>
      <c r="AM101" s="344">
        <f t="shared" si="133"/>
        <v>765</v>
      </c>
      <c r="AN101" s="344">
        <f t="shared" ref="AN101:AS101" si="134">SUM(AN342:AN344)</f>
        <v>5722</v>
      </c>
      <c r="AO101" s="344">
        <f t="shared" si="134"/>
        <v>2474</v>
      </c>
      <c r="AP101" s="344">
        <f t="shared" ca="1" si="134"/>
        <v>-4448</v>
      </c>
      <c r="AQ101" s="344">
        <f t="shared" ca="1" si="134"/>
        <v>-400</v>
      </c>
      <c r="AR101" s="344">
        <f t="shared" ca="1" si="134"/>
        <v>-1850</v>
      </c>
      <c r="AS101" s="654">
        <f t="shared" ca="1" si="134"/>
        <v>-2995.0269258733133</v>
      </c>
    </row>
    <row r="102" spans="3:45" s="342" customFormat="1">
      <c r="C102" s="653" t="s">
        <v>228</v>
      </c>
      <c r="D102" s="636"/>
      <c r="E102" s="344">
        <f t="shared" ref="E102:AF102" si="135">E348</f>
        <v>-1228</v>
      </c>
      <c r="F102" s="344">
        <f t="shared" si="135"/>
        <v>-1233</v>
      </c>
      <c r="G102" s="344">
        <f t="shared" si="135"/>
        <v>-1231</v>
      </c>
      <c r="H102" s="344">
        <f t="shared" si="135"/>
        <v>-1233</v>
      </c>
      <c r="I102" s="344">
        <f t="shared" si="135"/>
        <v>-1229</v>
      </c>
      <c r="J102" s="344">
        <f t="shared" si="135"/>
        <v>-1287</v>
      </c>
      <c r="K102" s="344">
        <f t="shared" si="135"/>
        <v>-1278</v>
      </c>
      <c r="L102" s="344">
        <f t="shared" si="135"/>
        <v>-1278</v>
      </c>
      <c r="M102" s="344">
        <f t="shared" si="135"/>
        <v>-1400</v>
      </c>
      <c r="N102" s="344">
        <f t="shared" si="135"/>
        <v>-1400</v>
      </c>
      <c r="O102" s="344">
        <f t="shared" si="135"/>
        <v>-1373</v>
      </c>
      <c r="P102" s="344">
        <f t="shared" si="135"/>
        <v>-1368</v>
      </c>
      <c r="Q102" s="344">
        <f t="shared" si="135"/>
        <v>-1414</v>
      </c>
      <c r="R102" s="344">
        <f t="shared" si="135"/>
        <v>-1414</v>
      </c>
      <c r="S102" s="344">
        <f t="shared" si="135"/>
        <v>-1386</v>
      </c>
      <c r="T102" s="344">
        <f t="shared" si="135"/>
        <v>-1362</v>
      </c>
      <c r="U102" s="344">
        <f t="shared" si="135"/>
        <v>-1408</v>
      </c>
      <c r="V102" s="344">
        <f t="shared" si="135"/>
        <v>-1403</v>
      </c>
      <c r="W102" s="344">
        <f t="shared" si="135"/>
        <v>-1404</v>
      </c>
      <c r="X102" s="344">
        <f t="shared" si="135"/>
        <v>-1353</v>
      </c>
      <c r="Y102" s="344">
        <f t="shared" si="135"/>
        <v>-1411</v>
      </c>
      <c r="Z102" s="344">
        <f t="shared" si="135"/>
        <v>-1410</v>
      </c>
      <c r="AA102" s="344">
        <f t="shared" si="135"/>
        <v>-1410</v>
      </c>
      <c r="AB102" s="344">
        <f t="shared" si="135"/>
        <v>-1413</v>
      </c>
      <c r="AC102" s="344">
        <f t="shared" si="135"/>
        <v>-1483.6499999999999</v>
      </c>
      <c r="AD102" s="344">
        <f t="shared" si="135"/>
        <v>-1483.6499999999999</v>
      </c>
      <c r="AE102" s="344">
        <f t="shared" si="135"/>
        <v>-1483.6499999999999</v>
      </c>
      <c r="AF102" s="344">
        <f t="shared" si="135"/>
        <v>-1483.6499999999999</v>
      </c>
      <c r="AG102" s="429"/>
      <c r="AH102" s="344">
        <f t="shared" ref="AH102:AM102" si="136">AH348</f>
        <v>-4409</v>
      </c>
      <c r="AI102" s="344">
        <f t="shared" si="136"/>
        <v>-4556</v>
      </c>
      <c r="AJ102" s="344">
        <f t="shared" si="136"/>
        <v>-4925</v>
      </c>
      <c r="AK102" s="344">
        <f t="shared" si="136"/>
        <v>-5072</v>
      </c>
      <c r="AL102" s="344">
        <f t="shared" si="136"/>
        <v>-5541</v>
      </c>
      <c r="AM102" s="344">
        <f t="shared" si="136"/>
        <v>-5576</v>
      </c>
      <c r="AN102" s="344">
        <f t="shared" ref="AN102:AS102" si="137">AN348</f>
        <v>-5568</v>
      </c>
      <c r="AO102" s="344">
        <f t="shared" si="137"/>
        <v>-5644</v>
      </c>
      <c r="AP102" s="344">
        <f t="shared" si="137"/>
        <v>-5934.5999999999995</v>
      </c>
      <c r="AQ102" s="344">
        <f t="shared" si="137"/>
        <v>-6231.33</v>
      </c>
      <c r="AR102" s="344">
        <f t="shared" si="137"/>
        <v>-6542.8964999999998</v>
      </c>
      <c r="AS102" s="654">
        <f t="shared" si="137"/>
        <v>-6870.0413250000001</v>
      </c>
    </row>
    <row r="103" spans="3:45" s="342" customFormat="1">
      <c r="C103" s="653" t="s">
        <v>229</v>
      </c>
      <c r="D103" s="636"/>
      <c r="E103" s="344">
        <f t="shared" ref="E103:AF103" si="138">E346</f>
        <v>-793</v>
      </c>
      <c r="F103" s="344">
        <f t="shared" si="138"/>
        <v>-804</v>
      </c>
      <c r="G103" s="344">
        <f t="shared" si="138"/>
        <v>-457</v>
      </c>
      <c r="H103" s="344">
        <f t="shared" si="138"/>
        <v>-533</v>
      </c>
      <c r="I103" s="344">
        <f t="shared" si="138"/>
        <v>-1242</v>
      </c>
      <c r="J103" s="344">
        <f t="shared" si="138"/>
        <v>-1276</v>
      </c>
      <c r="K103" s="344">
        <f t="shared" si="138"/>
        <v>-1093</v>
      </c>
      <c r="L103" s="344">
        <f t="shared" si="138"/>
        <v>-4</v>
      </c>
      <c r="M103" s="344">
        <f t="shared" si="138"/>
        <v>-1914</v>
      </c>
      <c r="N103" s="344">
        <f t="shared" si="138"/>
        <v>-3893</v>
      </c>
      <c r="O103" s="344">
        <f t="shared" si="138"/>
        <v>-2657</v>
      </c>
      <c r="P103" s="344">
        <f t="shared" si="138"/>
        <v>-2266</v>
      </c>
      <c r="Q103" s="344">
        <f t="shared" si="138"/>
        <v>-2530</v>
      </c>
      <c r="R103" s="344">
        <f t="shared" si="138"/>
        <v>-3049</v>
      </c>
      <c r="S103" s="344">
        <f t="shared" si="138"/>
        <v>-4521</v>
      </c>
      <c r="T103" s="344">
        <f t="shared" si="138"/>
        <v>-3476</v>
      </c>
      <c r="U103" s="344">
        <f t="shared" si="138"/>
        <v>-4229</v>
      </c>
      <c r="V103" s="344">
        <f t="shared" si="138"/>
        <v>0</v>
      </c>
      <c r="W103" s="344">
        <f t="shared" si="138"/>
        <v>-10000</v>
      </c>
      <c r="X103" s="344">
        <f t="shared" si="138"/>
        <v>0</v>
      </c>
      <c r="Y103" s="344">
        <f t="shared" si="138"/>
        <v>-2301</v>
      </c>
      <c r="Z103" s="344">
        <f t="shared" si="138"/>
        <v>-114</v>
      </c>
      <c r="AA103" s="344">
        <f t="shared" si="138"/>
        <v>0</v>
      </c>
      <c r="AB103" s="344">
        <f t="shared" si="138"/>
        <v>0</v>
      </c>
      <c r="AC103" s="344">
        <f t="shared" si="138"/>
        <v>0</v>
      </c>
      <c r="AD103" s="344">
        <f t="shared" si="138"/>
        <v>0</v>
      </c>
      <c r="AE103" s="344">
        <f t="shared" si="138"/>
        <v>0</v>
      </c>
      <c r="AF103" s="344">
        <f t="shared" si="138"/>
        <v>0</v>
      </c>
      <c r="AG103" s="429"/>
      <c r="AH103" s="344">
        <f t="shared" ref="AH103:AM103" si="139">AH346</f>
        <v>-10792</v>
      </c>
      <c r="AI103" s="344">
        <f t="shared" si="139"/>
        <v>-3001</v>
      </c>
      <c r="AJ103" s="344">
        <f t="shared" si="139"/>
        <v>-2587</v>
      </c>
      <c r="AK103" s="344">
        <f t="shared" si="139"/>
        <v>-3615</v>
      </c>
      <c r="AL103" s="344">
        <f t="shared" si="139"/>
        <v>-10730</v>
      </c>
      <c r="AM103" s="344">
        <f t="shared" si="139"/>
        <v>-13576</v>
      </c>
      <c r="AN103" s="344">
        <f t="shared" ref="AN103:AS103" si="140">AN346</f>
        <v>-14229</v>
      </c>
      <c r="AO103" s="344">
        <f t="shared" si="140"/>
        <v>-2415</v>
      </c>
      <c r="AP103" s="344">
        <f t="shared" si="140"/>
        <v>0</v>
      </c>
      <c r="AQ103" s="344">
        <f t="shared" si="140"/>
        <v>0</v>
      </c>
      <c r="AR103" s="344">
        <f t="shared" si="140"/>
        <v>0</v>
      </c>
      <c r="AS103" s="654">
        <f t="shared" si="140"/>
        <v>0</v>
      </c>
    </row>
    <row r="104" spans="3:45" s="342" customFormat="1">
      <c r="C104" s="653" t="s">
        <v>221</v>
      </c>
      <c r="D104" s="636"/>
      <c r="E104" s="344">
        <f t="shared" ref="E104:AF104" si="141">SUM(E345,E352,E347,E349:E351)</f>
        <v>283</v>
      </c>
      <c r="F104" s="344">
        <f t="shared" si="141"/>
        <v>-8</v>
      </c>
      <c r="G104" s="344">
        <f t="shared" si="141"/>
        <v>470</v>
      </c>
      <c r="H104" s="344">
        <f t="shared" si="141"/>
        <v>-191</v>
      </c>
      <c r="I104" s="344">
        <f t="shared" si="141"/>
        <v>290</v>
      </c>
      <c r="J104" s="344">
        <f t="shared" si="141"/>
        <v>-84</v>
      </c>
      <c r="K104" s="344">
        <f t="shared" si="141"/>
        <v>168</v>
      </c>
      <c r="L104" s="344">
        <f t="shared" si="141"/>
        <v>202</v>
      </c>
      <c r="M104" s="344">
        <f t="shared" si="141"/>
        <v>127</v>
      </c>
      <c r="N104" s="344">
        <f t="shared" si="141"/>
        <v>-874</v>
      </c>
      <c r="O104" s="344">
        <f t="shared" si="141"/>
        <v>43</v>
      </c>
      <c r="P104" s="344">
        <f t="shared" si="141"/>
        <v>971</v>
      </c>
      <c r="Q104" s="344">
        <f t="shared" si="141"/>
        <v>886</v>
      </c>
      <c r="R104" s="344">
        <f t="shared" si="141"/>
        <v>269</v>
      </c>
      <c r="S104" s="344">
        <f t="shared" si="141"/>
        <v>731</v>
      </c>
      <c r="T104" s="344">
        <f t="shared" si="141"/>
        <v>-1064</v>
      </c>
      <c r="U104" s="344">
        <f t="shared" si="141"/>
        <v>1229</v>
      </c>
      <c r="V104" s="344">
        <f t="shared" si="141"/>
        <v>-88</v>
      </c>
      <c r="W104" s="344">
        <f t="shared" si="141"/>
        <v>361</v>
      </c>
      <c r="X104" s="344">
        <f t="shared" si="141"/>
        <v>-344</v>
      </c>
      <c r="Y104" s="344">
        <f t="shared" si="141"/>
        <v>38</v>
      </c>
      <c r="Z104" s="344">
        <f t="shared" si="141"/>
        <v>-264</v>
      </c>
      <c r="AA104" s="344">
        <f t="shared" si="141"/>
        <v>342</v>
      </c>
      <c r="AB104" s="344">
        <f t="shared" si="141"/>
        <v>-393</v>
      </c>
      <c r="AC104" s="344">
        <f t="shared" si="141"/>
        <v>0</v>
      </c>
      <c r="AD104" s="344">
        <f t="shared" si="141"/>
        <v>0</v>
      </c>
      <c r="AE104" s="344">
        <f t="shared" si="141"/>
        <v>0</v>
      </c>
      <c r="AF104" s="344">
        <f t="shared" si="141"/>
        <v>0</v>
      </c>
      <c r="AG104" s="429"/>
      <c r="AH104" s="344">
        <f>SUM(AH345,AH352,AH347,AH349:AH351)</f>
        <v>1340</v>
      </c>
      <c r="AI104" s="344">
        <f t="shared" ref="AI104:AS104" si="142">SUM(AI345,AI352)</f>
        <v>-7</v>
      </c>
      <c r="AJ104" s="344">
        <f t="shared" si="142"/>
        <v>554</v>
      </c>
      <c r="AK104" s="344">
        <f t="shared" si="142"/>
        <v>576</v>
      </c>
      <c r="AL104" s="344">
        <f t="shared" si="142"/>
        <v>267</v>
      </c>
      <c r="AM104" s="344">
        <f t="shared" si="142"/>
        <v>822</v>
      </c>
      <c r="AN104" s="344">
        <f t="shared" si="142"/>
        <v>1158</v>
      </c>
      <c r="AO104" s="344">
        <f t="shared" si="142"/>
        <v>-277</v>
      </c>
      <c r="AP104" s="344">
        <f t="shared" si="142"/>
        <v>0</v>
      </c>
      <c r="AQ104" s="344">
        <f t="shared" si="142"/>
        <v>0</v>
      </c>
      <c r="AR104" s="344">
        <f t="shared" si="142"/>
        <v>0</v>
      </c>
      <c r="AS104" s="654">
        <f t="shared" si="142"/>
        <v>0</v>
      </c>
    </row>
    <row r="105" spans="3:45" s="342" customFormat="1">
      <c r="C105" s="516" t="s">
        <v>230</v>
      </c>
      <c r="D105" s="636"/>
      <c r="E105" s="375">
        <f t="shared" ref="E105:AF105" si="143">SUM(E101:E104)</f>
        <v>-782</v>
      </c>
      <c r="F105" s="375">
        <f t="shared" si="143"/>
        <v>1149</v>
      </c>
      <c r="G105" s="375">
        <f t="shared" si="143"/>
        <v>-2208</v>
      </c>
      <c r="H105" s="375">
        <f t="shared" si="143"/>
        <v>-3898</v>
      </c>
      <c r="I105" s="375">
        <f t="shared" si="143"/>
        <v>-1746</v>
      </c>
      <c r="J105" s="375">
        <f t="shared" si="143"/>
        <v>3484</v>
      </c>
      <c r="K105" s="375">
        <f t="shared" si="143"/>
        <v>-2560</v>
      </c>
      <c r="L105" s="375">
        <f t="shared" si="143"/>
        <v>-7653</v>
      </c>
      <c r="M105" s="375">
        <f t="shared" si="143"/>
        <v>-1372</v>
      </c>
      <c r="N105" s="375">
        <f t="shared" si="143"/>
        <v>-7160</v>
      </c>
      <c r="O105" s="375">
        <f t="shared" si="143"/>
        <v>-4607</v>
      </c>
      <c r="P105" s="375">
        <f t="shared" si="143"/>
        <v>-5468</v>
      </c>
      <c r="Q105" s="375">
        <f t="shared" si="143"/>
        <v>-2102</v>
      </c>
      <c r="R105" s="375">
        <f t="shared" si="143"/>
        <v>-4586</v>
      </c>
      <c r="S105" s="375">
        <f t="shared" si="143"/>
        <v>-5733</v>
      </c>
      <c r="T105" s="375">
        <f t="shared" si="143"/>
        <v>-5144</v>
      </c>
      <c r="U105" s="375">
        <f t="shared" si="143"/>
        <v>4764</v>
      </c>
      <c r="V105" s="375">
        <f t="shared" si="143"/>
        <v>-3191</v>
      </c>
      <c r="W105" s="375">
        <f t="shared" si="143"/>
        <v>-12793</v>
      </c>
      <c r="X105" s="375">
        <f t="shared" si="143"/>
        <v>-1697</v>
      </c>
      <c r="Y105" s="375">
        <f t="shared" si="143"/>
        <v>-3674</v>
      </c>
      <c r="Z105" s="375">
        <f t="shared" si="143"/>
        <v>-2288</v>
      </c>
      <c r="AA105" s="375">
        <f t="shared" si="143"/>
        <v>3906</v>
      </c>
      <c r="AB105" s="375">
        <f t="shared" si="143"/>
        <v>-3806</v>
      </c>
      <c r="AC105" s="375">
        <f t="shared" ca="1" si="143"/>
        <v>-1483.6499999999999</v>
      </c>
      <c r="AD105" s="375">
        <f t="shared" ca="1" si="143"/>
        <v>-3033.6499999999996</v>
      </c>
      <c r="AE105" s="375">
        <f t="shared" ca="1" si="143"/>
        <v>-2483.6499999999996</v>
      </c>
      <c r="AF105" s="375">
        <f t="shared" ca="1" si="143"/>
        <v>-3381.6499999999996</v>
      </c>
      <c r="AG105" s="429"/>
      <c r="AH105" s="375">
        <f t="shared" ref="AH105:AM105" si="144">SUM(AH101:AH104)</f>
        <v>-13626</v>
      </c>
      <c r="AI105" s="375">
        <f t="shared" si="144"/>
        <v>1912</v>
      </c>
      <c r="AJ105" s="375">
        <f t="shared" si="144"/>
        <v>-5739</v>
      </c>
      <c r="AK105" s="375">
        <f t="shared" si="144"/>
        <v>-8475</v>
      </c>
      <c r="AL105" s="375">
        <f t="shared" si="144"/>
        <v>-18607</v>
      </c>
      <c r="AM105" s="375">
        <f t="shared" si="144"/>
        <v>-17565</v>
      </c>
      <c r="AN105" s="375">
        <f t="shared" ref="AN105:AS105" si="145">SUM(AN101:AN104)</f>
        <v>-12917</v>
      </c>
      <c r="AO105" s="375">
        <f t="shared" si="145"/>
        <v>-5862</v>
      </c>
      <c r="AP105" s="375">
        <f t="shared" ca="1" si="145"/>
        <v>-10382.599999999999</v>
      </c>
      <c r="AQ105" s="375">
        <f t="shared" ca="1" si="145"/>
        <v>-6631.33</v>
      </c>
      <c r="AR105" s="375">
        <f t="shared" ca="1" si="145"/>
        <v>-8392.8964999999989</v>
      </c>
      <c r="AS105" s="695">
        <f t="shared" ca="1" si="145"/>
        <v>-9865.0682508733134</v>
      </c>
    </row>
    <row r="106" spans="3:45" s="342" customFormat="1">
      <c r="C106" s="653" t="s">
        <v>231</v>
      </c>
      <c r="D106" s="636"/>
      <c r="E106" s="344">
        <f t="shared" ref="E106:AF106" si="146">E95+E99+E105</f>
        <v>-12247</v>
      </c>
      <c r="F106" s="344">
        <f t="shared" si="146"/>
        <v>824</v>
      </c>
      <c r="G106" s="344">
        <f t="shared" si="146"/>
        <v>867</v>
      </c>
      <c r="H106" s="344">
        <f t="shared" si="146"/>
        <v>808</v>
      </c>
      <c r="I106" s="344">
        <f t="shared" si="146"/>
        <v>-626</v>
      </c>
      <c r="J106" s="344">
        <f t="shared" si="146"/>
        <v>6753</v>
      </c>
      <c r="K106" s="344">
        <f t="shared" si="146"/>
        <v>-2612</v>
      </c>
      <c r="L106" s="344">
        <f t="shared" si="146"/>
        <v>-5642</v>
      </c>
      <c r="M106" s="344">
        <f t="shared" si="146"/>
        <v>121</v>
      </c>
      <c r="N106" s="344">
        <f t="shared" si="146"/>
        <v>-940</v>
      </c>
      <c r="O106" s="344">
        <f t="shared" si="146"/>
        <v>793</v>
      </c>
      <c r="P106" s="344">
        <f t="shared" si="146"/>
        <v>-388</v>
      </c>
      <c r="Q106" s="344">
        <f t="shared" si="146"/>
        <v>135</v>
      </c>
      <c r="R106" s="344">
        <f t="shared" si="146"/>
        <v>-287</v>
      </c>
      <c r="S106" s="344">
        <f t="shared" si="146"/>
        <v>1068</v>
      </c>
      <c r="T106" s="344">
        <f t="shared" si="146"/>
        <v>259</v>
      </c>
      <c r="U106" s="344">
        <f t="shared" si="146"/>
        <v>7186</v>
      </c>
      <c r="V106" s="344">
        <f t="shared" si="146"/>
        <v>-2644</v>
      </c>
      <c r="W106" s="344">
        <f t="shared" si="146"/>
        <v>-5380</v>
      </c>
      <c r="X106" s="344">
        <f t="shared" si="146"/>
        <v>2509</v>
      </c>
      <c r="Y106" s="344">
        <f t="shared" si="146"/>
        <v>-673</v>
      </c>
      <c r="Z106" s="344">
        <f t="shared" si="146"/>
        <v>-446</v>
      </c>
      <c r="AA106" s="344">
        <f t="shared" si="146"/>
        <v>3124</v>
      </c>
      <c r="AB106" s="344">
        <f t="shared" si="146"/>
        <v>-3043</v>
      </c>
      <c r="AC106" s="344">
        <f t="shared" ca="1" si="146"/>
        <v>7638.8323447504808</v>
      </c>
      <c r="AD106" s="344">
        <f t="shared" ca="1" si="146"/>
        <v>-1217.0368639995204</v>
      </c>
      <c r="AE106" s="344">
        <f t="shared" ca="1" si="146"/>
        <v>-995.03320274951966</v>
      </c>
      <c r="AF106" s="344">
        <f t="shared" ca="1" si="146"/>
        <v>-2563.1410887495185</v>
      </c>
      <c r="AG106" s="429"/>
      <c r="AH106" s="344">
        <f t="shared" ref="AH106:AS106" si="147">AH95+AH99+AH105</f>
        <v>-3113</v>
      </c>
      <c r="AI106" s="344">
        <f t="shared" si="147"/>
        <v>12747</v>
      </c>
      <c r="AJ106" s="344">
        <f t="shared" si="147"/>
        <v>-9748</v>
      </c>
      <c r="AK106" s="344">
        <f t="shared" si="147"/>
        <v>-2127</v>
      </c>
      <c r="AL106" s="344">
        <f t="shared" si="147"/>
        <v>-414</v>
      </c>
      <c r="AM106" s="344">
        <f t="shared" si="147"/>
        <v>1175</v>
      </c>
      <c r="AN106" s="344">
        <f t="shared" si="147"/>
        <v>1671</v>
      </c>
      <c r="AO106" s="344">
        <f t="shared" si="147"/>
        <v>-1038</v>
      </c>
      <c r="AP106" s="344">
        <f t="shared" ca="1" si="147"/>
        <v>2863.6211892519204</v>
      </c>
      <c r="AQ106" s="344">
        <f t="shared" ca="1" si="147"/>
        <v>-4296.6494986247035</v>
      </c>
      <c r="AR106" s="344">
        <f t="shared" ca="1" si="147"/>
        <v>-2227.7377705386461</v>
      </c>
      <c r="AS106" s="654">
        <f t="shared" ca="1" si="147"/>
        <v>-166.23392008857081</v>
      </c>
    </row>
    <row r="107" spans="3:45" s="342" customFormat="1">
      <c r="C107" s="516"/>
      <c r="D107" s="636"/>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429"/>
      <c r="AH107" s="345"/>
      <c r="AI107" s="345"/>
      <c r="AJ107" s="345"/>
      <c r="AK107" s="345"/>
      <c r="AL107" s="345"/>
      <c r="AM107" s="345"/>
      <c r="AN107" s="345"/>
      <c r="AO107" s="345"/>
      <c r="AP107" s="344"/>
      <c r="AQ107" s="344"/>
      <c r="AR107" s="344"/>
      <c r="AS107" s="654"/>
    </row>
    <row r="108" spans="3:45" s="342" customFormat="1">
      <c r="C108" s="685" t="s">
        <v>232</v>
      </c>
      <c r="D108" s="673"/>
      <c r="E108" s="540">
        <f t="shared" ref="E108:AF108" si="148">E95+E97</f>
        <v>2709</v>
      </c>
      <c r="F108" s="540">
        <f t="shared" si="148"/>
        <v>1559</v>
      </c>
      <c r="G108" s="540">
        <f t="shared" si="148"/>
        <v>3295</v>
      </c>
      <c r="H108" s="540">
        <f t="shared" si="148"/>
        <v>4620</v>
      </c>
      <c r="I108" s="540">
        <f t="shared" si="148"/>
        <v>1946</v>
      </c>
      <c r="J108" s="540">
        <f t="shared" si="148"/>
        <v>1929</v>
      </c>
      <c r="K108" s="540">
        <f t="shared" si="148"/>
        <v>3285</v>
      </c>
      <c r="L108" s="540">
        <f t="shared" si="148"/>
        <v>3172</v>
      </c>
      <c r="M108" s="540">
        <f t="shared" si="148"/>
        <v>3374</v>
      </c>
      <c r="N108" s="540">
        <f t="shared" si="148"/>
        <v>2883</v>
      </c>
      <c r="O108" s="540">
        <f t="shared" si="148"/>
        <v>4984</v>
      </c>
      <c r="P108" s="540">
        <f t="shared" si="148"/>
        <v>3010</v>
      </c>
      <c r="Q108" s="540">
        <f t="shared" si="148"/>
        <v>1638</v>
      </c>
      <c r="R108" s="540">
        <f t="shared" si="148"/>
        <v>4033</v>
      </c>
      <c r="S108" s="540">
        <f t="shared" si="148"/>
        <v>6039</v>
      </c>
      <c r="T108" s="540">
        <f t="shared" si="148"/>
        <v>5222</v>
      </c>
      <c r="U108" s="540">
        <f t="shared" si="148"/>
        <v>2890</v>
      </c>
      <c r="V108" s="540">
        <f t="shared" si="148"/>
        <v>7749</v>
      </c>
      <c r="W108" s="540">
        <f t="shared" si="148"/>
        <v>4463</v>
      </c>
      <c r="X108" s="540">
        <f t="shared" si="148"/>
        <v>6023</v>
      </c>
      <c r="Y108" s="540">
        <f t="shared" si="148"/>
        <v>1576</v>
      </c>
      <c r="Z108" s="540">
        <f t="shared" si="148"/>
        <v>5144</v>
      </c>
      <c r="AA108" s="540">
        <f t="shared" si="148"/>
        <v>5895</v>
      </c>
      <c r="AB108" s="540">
        <f t="shared" si="148"/>
        <v>-1357</v>
      </c>
      <c r="AC108" s="540">
        <f t="shared" ca="1" si="148"/>
        <v>-799.51765524951952</v>
      </c>
      <c r="AD108" s="540">
        <f t="shared" ca="1" si="148"/>
        <v>-1163.3868639995208</v>
      </c>
      <c r="AE108" s="540">
        <f t="shared" ca="1" si="148"/>
        <v>-1491.38320274952</v>
      </c>
      <c r="AF108" s="540">
        <f t="shared" ca="1" si="148"/>
        <v>-2161.4910887495189</v>
      </c>
      <c r="AG108" s="687"/>
      <c r="AH108" s="540">
        <f t="shared" ref="AH108:AS108" si="149">AH95+AH97</f>
        <v>10313</v>
      </c>
      <c r="AI108" s="540">
        <f t="shared" si="149"/>
        <v>11692</v>
      </c>
      <c r="AJ108" s="540">
        <f t="shared" si="149"/>
        <v>12183</v>
      </c>
      <c r="AK108" s="540">
        <f t="shared" si="149"/>
        <v>10332</v>
      </c>
      <c r="AL108" s="540">
        <f t="shared" si="149"/>
        <v>14251</v>
      </c>
      <c r="AM108" s="540">
        <f t="shared" si="149"/>
        <v>16932</v>
      </c>
      <c r="AN108" s="540">
        <f t="shared" si="149"/>
        <v>21125</v>
      </c>
      <c r="AO108" s="540">
        <f t="shared" si="149"/>
        <v>11258</v>
      </c>
      <c r="AP108" s="540">
        <f t="shared" ca="1" si="149"/>
        <v>-5615.778810748081</v>
      </c>
      <c r="AQ108" s="540">
        <f t="shared" ca="1" si="149"/>
        <v>-1145.3194986247036</v>
      </c>
      <c r="AR108" s="540">
        <f t="shared" ca="1" si="149"/>
        <v>3685.1587294613528</v>
      </c>
      <c r="AS108" s="696">
        <f t="shared" ca="1" si="149"/>
        <v>9218.8343307847426</v>
      </c>
    </row>
    <row r="109" spans="3:45" s="479" customFormat="1">
      <c r="C109" s="677" t="s">
        <v>233</v>
      </c>
      <c r="D109" s="678"/>
      <c r="E109" s="679">
        <f t="shared" ref="E109:AF109" si="150">E108/E59</f>
        <v>0.51132502831257076</v>
      </c>
      <c r="F109" s="679">
        <f t="shared" si="150"/>
        <v>0.30366186209583174</v>
      </c>
      <c r="G109" s="679">
        <f t="shared" si="150"/>
        <v>0.46598783764672608</v>
      </c>
      <c r="H109" s="679">
        <f t="shared" si="150"/>
        <v>0.65180586907449212</v>
      </c>
      <c r="I109" s="679">
        <f t="shared" si="150"/>
        <v>0.32955122777307366</v>
      </c>
      <c r="J109" s="679">
        <f t="shared" si="150"/>
        <v>0.33717881489250129</v>
      </c>
      <c r="K109" s="679">
        <f t="shared" si="150"/>
        <v>0.40650909540898406</v>
      </c>
      <c r="L109" s="679">
        <f t="shared" si="150"/>
        <v>0.39097744360902253</v>
      </c>
      <c r="M109" s="679">
        <f t="shared" si="150"/>
        <v>0.48262051208696893</v>
      </c>
      <c r="N109" s="679">
        <f t="shared" si="150"/>
        <v>0.37344559585492226</v>
      </c>
      <c r="O109" s="679">
        <f t="shared" si="150"/>
        <v>0.50460666194188519</v>
      </c>
      <c r="P109" s="679">
        <f t="shared" si="150"/>
        <v>0.33274375414547869</v>
      </c>
      <c r="Q109" s="679">
        <f t="shared" si="150"/>
        <v>0.22973352033660588</v>
      </c>
      <c r="R109" s="679">
        <f t="shared" si="150"/>
        <v>0.52431097243889757</v>
      </c>
      <c r="S109" s="679">
        <f t="shared" si="150"/>
        <v>0.63116638795986624</v>
      </c>
      <c r="T109" s="679">
        <f t="shared" si="150"/>
        <v>0.51256380054966633</v>
      </c>
      <c r="U109" s="679">
        <f t="shared" si="150"/>
        <v>0.27791133762861814</v>
      </c>
      <c r="V109" s="679">
        <f t="shared" si="150"/>
        <v>0.89089445849620608</v>
      </c>
      <c r="W109" s="679">
        <f t="shared" si="150"/>
        <v>0.53295915930260329</v>
      </c>
      <c r="X109" s="679">
        <f t="shared" si="150"/>
        <v>0.66019949577989701</v>
      </c>
      <c r="Y109" s="679">
        <f t="shared" si="150"/>
        <v>0.17515003334074239</v>
      </c>
      <c r="Z109" s="679">
        <f t="shared" si="150"/>
        <v>0.59038218753586591</v>
      </c>
      <c r="AA109" s="679">
        <f t="shared" si="150"/>
        <v>0.72233794878078672</v>
      </c>
      <c r="AB109" s="679">
        <f t="shared" si="150"/>
        <v>-0.16701538461538462</v>
      </c>
      <c r="AC109" s="679">
        <f t="shared" ca="1" si="150"/>
        <v>-0.12263132511580578</v>
      </c>
      <c r="AD109" s="679">
        <f t="shared" ca="1" si="150"/>
        <v>-0.22079836608979875</v>
      </c>
      <c r="AE109" s="679">
        <f t="shared" ca="1" si="150"/>
        <v>-0.281158575552098</v>
      </c>
      <c r="AF109" s="679">
        <f t="shared" ca="1" si="150"/>
        <v>-0.44288978417287955</v>
      </c>
      <c r="AG109" s="697"/>
      <c r="AH109" s="679">
        <f t="shared" ref="AH109:AS109" si="151">AH108/AH59</f>
        <v>0.43157850686307331</v>
      </c>
      <c r="AI109" s="679">
        <f t="shared" si="151"/>
        <v>0.4938542766631468</v>
      </c>
      <c r="AJ109" s="679">
        <f t="shared" si="151"/>
        <v>0.4954251555447115</v>
      </c>
      <c r="AK109" s="679">
        <f t="shared" si="151"/>
        <v>0.37138749101365925</v>
      </c>
      <c r="AL109" s="679">
        <f t="shared" si="151"/>
        <v>0.42370815246476778</v>
      </c>
      <c r="AM109" s="679">
        <f t="shared" si="151"/>
        <v>0.48967551622418881</v>
      </c>
      <c r="AN109" s="679">
        <f t="shared" si="151"/>
        <v>0.57728042848554406</v>
      </c>
      <c r="AO109" s="679">
        <f t="shared" si="151"/>
        <v>0.33114686589993236</v>
      </c>
      <c r="AP109" s="679">
        <f t="shared" ca="1" si="151"/>
        <v>-0.25557013196077916</v>
      </c>
      <c r="AQ109" s="679">
        <f t="shared" ca="1" si="151"/>
        <v>-4.8245617058415409E-2</v>
      </c>
      <c r="AR109" s="679">
        <f t="shared" ca="1" si="151"/>
        <v>0.13679643262221533</v>
      </c>
      <c r="AS109" s="681">
        <f t="shared" ca="1" si="151"/>
        <v>0.3232901337587531</v>
      </c>
    </row>
    <row r="110" spans="3:45" s="479" customFormat="1">
      <c r="C110" s="349"/>
      <c r="D110" s="342"/>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29"/>
      <c r="AH110" s="413"/>
      <c r="AI110" s="413"/>
      <c r="AJ110" s="413"/>
      <c r="AK110" s="413"/>
      <c r="AL110" s="413"/>
      <c r="AM110" s="413"/>
      <c r="AN110" s="413"/>
      <c r="AO110" s="413"/>
      <c r="AP110" s="413"/>
      <c r="AQ110" s="413"/>
      <c r="AR110" s="413"/>
      <c r="AS110" s="413"/>
    </row>
    <row r="111" spans="3:45" s="635" customFormat="1">
      <c r="C111" s="587"/>
      <c r="E111" s="369">
        <f t="shared" ref="E111:AF111" si="152">E355-E106</f>
        <v>0</v>
      </c>
      <c r="F111" s="369">
        <f t="shared" si="152"/>
        <v>0</v>
      </c>
      <c r="G111" s="369">
        <f t="shared" si="152"/>
        <v>0</v>
      </c>
      <c r="H111" s="369">
        <f t="shared" si="152"/>
        <v>0</v>
      </c>
      <c r="I111" s="369">
        <f t="shared" si="152"/>
        <v>0</v>
      </c>
      <c r="J111" s="369">
        <f t="shared" si="152"/>
        <v>0</v>
      </c>
      <c r="K111" s="369">
        <f t="shared" si="152"/>
        <v>0</v>
      </c>
      <c r="L111" s="369">
        <f t="shared" si="152"/>
        <v>0</v>
      </c>
      <c r="M111" s="369">
        <f t="shared" si="152"/>
        <v>0</v>
      </c>
      <c r="N111" s="369">
        <f t="shared" si="152"/>
        <v>0</v>
      </c>
      <c r="O111" s="369">
        <f t="shared" si="152"/>
        <v>0</v>
      </c>
      <c r="P111" s="369">
        <f t="shared" si="152"/>
        <v>0</v>
      </c>
      <c r="Q111" s="369">
        <f t="shared" si="152"/>
        <v>0</v>
      </c>
      <c r="R111" s="369">
        <f t="shared" si="152"/>
        <v>0</v>
      </c>
      <c r="S111" s="369">
        <f t="shared" si="152"/>
        <v>0</v>
      </c>
      <c r="T111" s="369">
        <f t="shared" si="152"/>
        <v>0</v>
      </c>
      <c r="U111" s="369">
        <f t="shared" si="152"/>
        <v>0</v>
      </c>
      <c r="V111" s="369">
        <f t="shared" si="152"/>
        <v>0</v>
      </c>
      <c r="W111" s="369">
        <f t="shared" si="152"/>
        <v>0</v>
      </c>
      <c r="X111" s="369">
        <f t="shared" si="152"/>
        <v>0</v>
      </c>
      <c r="Y111" s="369">
        <f t="shared" si="152"/>
        <v>0</v>
      </c>
      <c r="Z111" s="369">
        <f t="shared" si="152"/>
        <v>0</v>
      </c>
      <c r="AA111" s="369">
        <f t="shared" si="152"/>
        <v>0</v>
      </c>
      <c r="AB111" s="369">
        <f t="shared" si="152"/>
        <v>0</v>
      </c>
      <c r="AC111" s="369">
        <f t="shared" ca="1" si="152"/>
        <v>0</v>
      </c>
      <c r="AD111" s="369">
        <f t="shared" ca="1" si="152"/>
        <v>0</v>
      </c>
      <c r="AE111" s="369">
        <f t="shared" ca="1" si="152"/>
        <v>9.0949470177292824E-13</v>
      </c>
      <c r="AF111" s="369">
        <f t="shared" ca="1" si="152"/>
        <v>0</v>
      </c>
      <c r="AG111" s="429"/>
      <c r="AH111" s="369">
        <f t="shared" ref="AH111:AS111" si="153">AH355-AH106</f>
        <v>0</v>
      </c>
      <c r="AI111" s="369">
        <f t="shared" si="153"/>
        <v>0</v>
      </c>
      <c r="AJ111" s="369">
        <f t="shared" si="153"/>
        <v>0</v>
      </c>
      <c r="AK111" s="369">
        <f t="shared" si="153"/>
        <v>0</v>
      </c>
      <c r="AL111" s="369">
        <f t="shared" si="153"/>
        <v>0</v>
      </c>
      <c r="AM111" s="369">
        <f t="shared" si="153"/>
        <v>0</v>
      </c>
      <c r="AN111" s="369">
        <f t="shared" si="153"/>
        <v>0</v>
      </c>
      <c r="AO111" s="369">
        <f t="shared" si="153"/>
        <v>0</v>
      </c>
      <c r="AP111" s="369">
        <f t="shared" ca="1" si="153"/>
        <v>0</v>
      </c>
      <c r="AQ111" s="369">
        <f t="shared" ca="1" si="153"/>
        <v>0</v>
      </c>
      <c r="AR111" s="369">
        <f t="shared" ca="1" si="153"/>
        <v>-3.637978807091713E-12</v>
      </c>
      <c r="AS111" s="369">
        <f t="shared" ca="1" si="153"/>
        <v>3.637978807091713E-12</v>
      </c>
    </row>
    <row r="112" spans="3:45" s="342" customFormat="1">
      <c r="C112" s="361"/>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4"/>
      <c r="AD112" s="344"/>
      <c r="AE112" s="344"/>
      <c r="AF112" s="344"/>
      <c r="AG112" s="429"/>
      <c r="AH112" s="345"/>
      <c r="AI112" s="345"/>
      <c r="AJ112" s="345"/>
      <c r="AK112" s="345"/>
      <c r="AL112" s="345"/>
      <c r="AM112" s="345"/>
      <c r="AN112" s="345"/>
      <c r="AO112" s="345"/>
      <c r="AP112" s="344"/>
      <c r="AQ112" s="344"/>
      <c r="AR112" s="344"/>
      <c r="AS112" s="344"/>
    </row>
    <row r="113" spans="2:70">
      <c r="AJ113" s="339"/>
    </row>
    <row r="114" spans="2:70" s="433" customFormat="1" ht="11.25" customHeight="1">
      <c r="B114" s="367" t="s">
        <v>9</v>
      </c>
      <c r="C114" s="367" t="s">
        <v>234</v>
      </c>
      <c r="D114" s="434"/>
      <c r="E114" s="434"/>
      <c r="F114" s="434"/>
      <c r="G114" s="434"/>
      <c r="H114" s="434"/>
      <c r="I114" s="435"/>
      <c r="J114" s="435"/>
      <c r="K114" s="435"/>
      <c r="L114" s="435"/>
      <c r="M114" s="435"/>
      <c r="N114" s="435"/>
      <c r="O114" s="435"/>
      <c r="P114" s="435"/>
      <c r="Q114" s="435"/>
      <c r="R114" s="435"/>
      <c r="S114" s="435"/>
      <c r="T114" s="435"/>
      <c r="U114" s="435"/>
      <c r="V114" s="435"/>
      <c r="W114" s="435"/>
      <c r="X114" s="435"/>
      <c r="Y114" s="435"/>
      <c r="Z114" s="435"/>
      <c r="AA114" s="435"/>
      <c r="AB114" s="434"/>
      <c r="AC114" s="434"/>
      <c r="AD114" s="434"/>
      <c r="AE114" s="434"/>
      <c r="AF114" s="434"/>
      <c r="AG114" s="429"/>
      <c r="AH114" s="434"/>
      <c r="AI114" s="434"/>
      <c r="AJ114" s="434"/>
      <c r="AK114" s="434"/>
      <c r="AL114" s="434"/>
      <c r="AM114" s="434"/>
      <c r="AN114" s="434"/>
      <c r="AO114" s="434"/>
      <c r="AP114" s="434"/>
      <c r="AQ114" s="434"/>
      <c r="AR114" s="434"/>
      <c r="AS114" s="434"/>
      <c r="AU114" s="434"/>
      <c r="AV114" s="434"/>
      <c r="AW114" s="434"/>
      <c r="AX114" s="434"/>
      <c r="AY114" s="434"/>
      <c r="AZ114" s="434"/>
      <c r="BA114" s="434"/>
      <c r="BB114" s="434"/>
      <c r="BC114" s="434"/>
      <c r="BD114" s="434"/>
      <c r="BE114" s="434"/>
      <c r="BF114" s="434"/>
      <c r="BG114" s="434"/>
      <c r="BH114" s="434"/>
      <c r="BI114" s="434"/>
      <c r="BJ114" s="434"/>
      <c r="BK114" s="434"/>
      <c r="BL114" s="434"/>
      <c r="BM114" s="434"/>
      <c r="BN114" s="434"/>
      <c r="BO114" s="434"/>
      <c r="BP114" s="434"/>
      <c r="BQ114" s="434"/>
      <c r="BR114" s="434"/>
    </row>
    <row r="115" spans="2:70" s="433" customFormat="1" ht="11.25" customHeight="1">
      <c r="B115" s="342"/>
      <c r="C115" s="342"/>
      <c r="D115" s="338"/>
      <c r="E115" s="338"/>
      <c r="F115" s="338"/>
      <c r="G115" s="338"/>
      <c r="H115" s="338"/>
      <c r="I115" s="372"/>
      <c r="J115" s="372"/>
      <c r="K115" s="372"/>
      <c r="L115" s="372"/>
      <c r="M115" s="372"/>
      <c r="N115" s="372"/>
      <c r="O115" s="372"/>
      <c r="P115" s="372"/>
      <c r="Q115" s="372"/>
      <c r="R115" s="372"/>
      <c r="S115" s="372"/>
      <c r="T115" s="372"/>
      <c r="U115" s="372"/>
      <c r="V115" s="372"/>
      <c r="W115" s="372"/>
      <c r="X115" s="372"/>
      <c r="Y115" s="372"/>
      <c r="Z115" s="372"/>
      <c r="AA115" s="372"/>
      <c r="AB115" s="338"/>
      <c r="AC115" s="338"/>
      <c r="AD115" s="338"/>
      <c r="AE115" s="338"/>
      <c r="AF115" s="338"/>
      <c r="AG115" s="429"/>
      <c r="AH115" s="338"/>
      <c r="AI115" s="338"/>
      <c r="AJ115" s="338"/>
      <c r="AK115" s="338"/>
      <c r="AL115" s="338"/>
      <c r="AM115" s="338"/>
      <c r="AN115" s="338"/>
      <c r="AO115" s="338"/>
      <c r="AP115" s="338"/>
      <c r="AQ115" s="338"/>
      <c r="AR115" s="338"/>
      <c r="AS115" s="338"/>
      <c r="AU115" s="338"/>
      <c r="AV115" s="338"/>
      <c r="AW115" s="338"/>
      <c r="AX115" s="338"/>
      <c r="AY115" s="338"/>
      <c r="AZ115" s="338"/>
      <c r="BA115" s="338"/>
      <c r="BB115" s="338"/>
      <c r="BC115" s="338"/>
      <c r="BD115" s="338"/>
      <c r="BE115" s="338"/>
      <c r="BF115" s="338"/>
      <c r="BG115" s="338"/>
      <c r="BH115" s="338"/>
      <c r="BI115" s="338"/>
      <c r="BJ115" s="338"/>
      <c r="BK115" s="338"/>
      <c r="BL115" s="338"/>
      <c r="BM115" s="338"/>
      <c r="BN115" s="338"/>
      <c r="BO115" s="338"/>
      <c r="BP115" s="338"/>
      <c r="BQ115" s="338"/>
      <c r="BR115" s="338"/>
    </row>
    <row r="116" spans="2:70">
      <c r="C116" s="338" t="s">
        <v>235</v>
      </c>
      <c r="E116" s="446">
        <f>Segments!E52</f>
        <v>13702</v>
      </c>
      <c r="F116" s="446">
        <f>Segments!F52</f>
        <v>13533</v>
      </c>
      <c r="G116" s="446">
        <f>Segments!G52</f>
        <v>15778</v>
      </c>
      <c r="H116" s="446">
        <f>Segments!H52</f>
        <v>16374</v>
      </c>
      <c r="I116" s="446">
        <f>Segments!I52</f>
        <v>14796</v>
      </c>
      <c r="J116" s="446">
        <f>Segments!J52</f>
        <v>14763</v>
      </c>
      <c r="K116" s="446">
        <f>Segments!K52</f>
        <v>16149</v>
      </c>
      <c r="L116" s="446">
        <f>Segments!L52</f>
        <v>17053</v>
      </c>
      <c r="M116" s="446">
        <f>Segments!M52</f>
        <v>16066</v>
      </c>
      <c r="N116" s="446">
        <f>Segments!N52</f>
        <v>16962</v>
      </c>
      <c r="O116" s="446">
        <f>Segments!O52</f>
        <v>19163</v>
      </c>
      <c r="P116" s="446">
        <f>Segments!P52</f>
        <v>18657</v>
      </c>
      <c r="Q116" s="446">
        <f>Segments!Q52</f>
        <v>16061</v>
      </c>
      <c r="R116" s="446">
        <f>Segments!R52</f>
        <v>16505</v>
      </c>
      <c r="S116" s="446">
        <f>Segments!S52</f>
        <v>19190</v>
      </c>
      <c r="T116" s="446">
        <f>Segments!T52</f>
        <v>20209</v>
      </c>
      <c r="U116" s="446">
        <f>Segments!U52</f>
        <v>19828</v>
      </c>
      <c r="V116" s="446">
        <f>Segments!V52</f>
        <v>19728</v>
      </c>
      <c r="W116" s="446">
        <f>Segments!W52</f>
        <v>18333</v>
      </c>
      <c r="X116" s="446">
        <f>Segments!X52</f>
        <v>19978</v>
      </c>
      <c r="Y116" s="446">
        <f>Segments!Y52</f>
        <v>19673</v>
      </c>
      <c r="Z116" s="446">
        <f>Segments!Z52</f>
        <v>19631</v>
      </c>
      <c r="AA116" s="446">
        <f>Segments!AA52</f>
        <v>19192</v>
      </c>
      <c r="AB116" s="446">
        <f>Segments!AB52</f>
        <v>20528</v>
      </c>
      <c r="AC116" s="446">
        <f>Segments!AC52</f>
        <v>19046.749999999996</v>
      </c>
      <c r="AD116" s="446">
        <f>Segments!AD52</f>
        <v>16836.774999999998</v>
      </c>
      <c r="AE116" s="446">
        <f>Segments!AE52</f>
        <v>16439.850000000002</v>
      </c>
      <c r="AF116" s="446">
        <f>Segments!AF52</f>
        <v>17304.875</v>
      </c>
      <c r="AH116" s="446">
        <f>Segments!AH52</f>
        <v>55870</v>
      </c>
      <c r="AI116" s="446">
        <f>Segments!AI52</f>
        <v>55355</v>
      </c>
      <c r="AJ116" s="446">
        <f>Segments!AJ52</f>
        <v>59387</v>
      </c>
      <c r="AK116" s="446">
        <f>Segments!AK52</f>
        <v>62761</v>
      </c>
      <c r="AL116" s="446">
        <f>Segments!AL52</f>
        <v>70848</v>
      </c>
      <c r="AM116" s="446">
        <f>Segments!AM52</f>
        <v>71965</v>
      </c>
      <c r="AN116" s="446">
        <f>Segments!AN52</f>
        <v>77867</v>
      </c>
      <c r="AO116" s="446">
        <f>Segments!AO52</f>
        <v>79024</v>
      </c>
      <c r="AP116" s="446">
        <f>Segments!AP52</f>
        <v>69628.249999999985</v>
      </c>
      <c r="AQ116" s="446">
        <f>Segments!AQ52</f>
        <v>65685.492125000004</v>
      </c>
      <c r="AR116" s="446">
        <f>Segments!AR52</f>
        <v>67977.672826250011</v>
      </c>
      <c r="AS116" s="446">
        <f>Segments!AS52</f>
        <v>71116.316730437524</v>
      </c>
    </row>
    <row r="117" spans="2:70">
      <c r="C117" t="s">
        <v>236</v>
      </c>
      <c r="E117" s="345">
        <v>99</v>
      </c>
      <c r="F117" s="345">
        <v>0</v>
      </c>
      <c r="G117" s="345">
        <v>0</v>
      </c>
      <c r="H117" s="345">
        <v>0</v>
      </c>
      <c r="I117" s="345">
        <v>0</v>
      </c>
      <c r="J117" s="345">
        <v>0</v>
      </c>
      <c r="K117" s="345">
        <v>0</v>
      </c>
      <c r="L117" s="345">
        <v>0</v>
      </c>
      <c r="M117" s="345">
        <v>0</v>
      </c>
      <c r="N117" s="345">
        <v>0</v>
      </c>
      <c r="O117" s="345">
        <v>0</v>
      </c>
      <c r="P117" s="345">
        <v>0</v>
      </c>
      <c r="Q117" s="345">
        <v>0</v>
      </c>
      <c r="R117" s="345">
        <v>0</v>
      </c>
      <c r="S117" s="345">
        <v>0</v>
      </c>
      <c r="T117" s="345">
        <v>0</v>
      </c>
      <c r="U117" s="345">
        <v>0</v>
      </c>
      <c r="V117" s="345">
        <v>0</v>
      </c>
      <c r="W117" s="345">
        <v>0</v>
      </c>
      <c r="X117" s="345">
        <v>0</v>
      </c>
      <c r="Y117" s="345">
        <v>0</v>
      </c>
      <c r="Z117" s="345">
        <v>0</v>
      </c>
      <c r="AA117" s="345">
        <v>0</v>
      </c>
      <c r="AB117" s="345">
        <v>0</v>
      </c>
      <c r="AC117" s="345">
        <v>0</v>
      </c>
      <c r="AD117" s="345">
        <v>0</v>
      </c>
      <c r="AE117" s="345">
        <v>0</v>
      </c>
      <c r="AF117" s="345">
        <v>0</v>
      </c>
      <c r="AG117" s="463"/>
      <c r="AH117" s="345">
        <v>0</v>
      </c>
      <c r="AI117" s="345">
        <v>0</v>
      </c>
      <c r="AJ117" s="345">
        <v>99</v>
      </c>
      <c r="AK117" s="345">
        <v>0</v>
      </c>
      <c r="AL117" s="345">
        <v>0</v>
      </c>
      <c r="AM117" s="345">
        <v>0</v>
      </c>
      <c r="AN117" s="345">
        <v>0</v>
      </c>
      <c r="AO117" s="345">
        <v>0</v>
      </c>
      <c r="AP117" s="344">
        <f>+SUMIF($E$5:$AF$5,AP$5,$E117:$AF117)</f>
        <v>0</v>
      </c>
      <c r="AQ117" s="345">
        <v>0</v>
      </c>
      <c r="AR117" s="345">
        <v>0</v>
      </c>
      <c r="AS117" s="345">
        <v>0</v>
      </c>
    </row>
    <row r="118" spans="2:70">
      <c r="C118" s="338" t="s">
        <v>237</v>
      </c>
      <c r="E118" s="345">
        <v>0</v>
      </c>
      <c r="F118" s="345">
        <v>0</v>
      </c>
      <c r="G118" s="345">
        <v>0</v>
      </c>
      <c r="H118" s="345">
        <v>0</v>
      </c>
      <c r="I118" s="345">
        <v>0</v>
      </c>
      <c r="J118" s="345">
        <v>0</v>
      </c>
      <c r="K118" s="345">
        <v>0</v>
      </c>
      <c r="L118" s="345">
        <v>0</v>
      </c>
      <c r="M118" s="345">
        <v>0</v>
      </c>
      <c r="N118" s="345">
        <v>0</v>
      </c>
      <c r="O118" s="345">
        <v>0</v>
      </c>
      <c r="P118" s="345">
        <v>0</v>
      </c>
      <c r="Q118" s="345">
        <v>0</v>
      </c>
      <c r="R118" s="345">
        <v>0</v>
      </c>
      <c r="S118" s="345">
        <v>0</v>
      </c>
      <c r="T118" s="345">
        <v>0</v>
      </c>
      <c r="U118" s="345">
        <v>-1241</v>
      </c>
      <c r="V118" s="345">
        <v>-1544</v>
      </c>
      <c r="W118" s="345">
        <v>-1067</v>
      </c>
      <c r="X118" s="345">
        <v>-1115</v>
      </c>
      <c r="Y118" s="345">
        <v>-1107</v>
      </c>
      <c r="Z118" s="345">
        <v>-1098</v>
      </c>
      <c r="AA118" s="345">
        <v>-1105</v>
      </c>
      <c r="AB118" s="345">
        <v>-996</v>
      </c>
      <c r="AC118" s="446">
        <f>-Segments!AC43</f>
        <v>0</v>
      </c>
      <c r="AD118" s="446">
        <f>-Segments!AD43</f>
        <v>0</v>
      </c>
      <c r="AE118" s="446">
        <f>-Segments!AE43</f>
        <v>0</v>
      </c>
      <c r="AF118" s="446">
        <f>-Segments!AF43</f>
        <v>0</v>
      </c>
      <c r="AH118" s="345">
        <v>0</v>
      </c>
      <c r="AI118" s="345">
        <v>0</v>
      </c>
      <c r="AJ118" s="345">
        <v>0</v>
      </c>
      <c r="AK118" s="345">
        <v>0</v>
      </c>
      <c r="AL118" s="345">
        <v>0</v>
      </c>
      <c r="AM118" s="345">
        <v>0</v>
      </c>
      <c r="AN118" s="345">
        <v>-4967</v>
      </c>
      <c r="AO118" s="345">
        <v>-4306</v>
      </c>
      <c r="AP118" s="344">
        <f>+SUMIF($E$5:$AF$5,AP$5,$E118:$AF118)</f>
        <v>0</v>
      </c>
      <c r="AQ118" s="446">
        <f>-Segments!AQ43</f>
        <v>0</v>
      </c>
      <c r="AR118" s="446">
        <f>-Segments!AR43</f>
        <v>0</v>
      </c>
      <c r="AS118" s="446">
        <f>-Segments!AS43</f>
        <v>0</v>
      </c>
    </row>
    <row r="119" spans="2:70">
      <c r="C119" s="343" t="s">
        <v>238</v>
      </c>
      <c r="E119" s="352">
        <f t="shared" ref="E119:AF119" si="154">E116+E117+E118</f>
        <v>13801</v>
      </c>
      <c r="F119" s="352">
        <f t="shared" si="154"/>
        <v>13533</v>
      </c>
      <c r="G119" s="352">
        <f t="shared" si="154"/>
        <v>15778</v>
      </c>
      <c r="H119" s="352">
        <f t="shared" si="154"/>
        <v>16374</v>
      </c>
      <c r="I119" s="352">
        <f t="shared" si="154"/>
        <v>14796</v>
      </c>
      <c r="J119" s="352">
        <f t="shared" si="154"/>
        <v>14763</v>
      </c>
      <c r="K119" s="352">
        <f t="shared" si="154"/>
        <v>16149</v>
      </c>
      <c r="L119" s="352">
        <f t="shared" si="154"/>
        <v>17053</v>
      </c>
      <c r="M119" s="352">
        <f t="shared" si="154"/>
        <v>16066</v>
      </c>
      <c r="N119" s="352">
        <f t="shared" si="154"/>
        <v>16962</v>
      </c>
      <c r="O119" s="352">
        <f t="shared" si="154"/>
        <v>19163</v>
      </c>
      <c r="P119" s="352">
        <f t="shared" si="154"/>
        <v>18657</v>
      </c>
      <c r="Q119" s="352">
        <f t="shared" si="154"/>
        <v>16061</v>
      </c>
      <c r="R119" s="352">
        <f t="shared" si="154"/>
        <v>16505</v>
      </c>
      <c r="S119" s="352">
        <f t="shared" si="154"/>
        <v>19190</v>
      </c>
      <c r="T119" s="352">
        <f t="shared" si="154"/>
        <v>20209</v>
      </c>
      <c r="U119" s="352">
        <f t="shared" si="154"/>
        <v>18587</v>
      </c>
      <c r="V119" s="352">
        <f t="shared" si="154"/>
        <v>18184</v>
      </c>
      <c r="W119" s="352">
        <f t="shared" si="154"/>
        <v>17266</v>
      </c>
      <c r="X119" s="352">
        <f t="shared" si="154"/>
        <v>18863</v>
      </c>
      <c r="Y119" s="352">
        <f t="shared" si="154"/>
        <v>18566</v>
      </c>
      <c r="Z119" s="352">
        <f t="shared" si="154"/>
        <v>18533</v>
      </c>
      <c r="AA119" s="352">
        <f t="shared" si="154"/>
        <v>18087</v>
      </c>
      <c r="AB119" s="352">
        <f t="shared" si="154"/>
        <v>19532</v>
      </c>
      <c r="AC119" s="352">
        <f t="shared" si="154"/>
        <v>19046.749999999996</v>
      </c>
      <c r="AD119" s="352">
        <f t="shared" si="154"/>
        <v>16836.774999999998</v>
      </c>
      <c r="AE119" s="352">
        <f t="shared" si="154"/>
        <v>16439.850000000002</v>
      </c>
      <c r="AF119" s="352">
        <f t="shared" si="154"/>
        <v>17304.875</v>
      </c>
      <c r="AH119" s="352">
        <f>AH116+AH117+AH118</f>
        <v>55870</v>
      </c>
      <c r="AI119" s="352">
        <f>AI116+AI117+AI118</f>
        <v>55355</v>
      </c>
      <c r="AJ119" s="352">
        <f>AJ116+AJ117+AJ118</f>
        <v>59486</v>
      </c>
      <c r="AK119" s="352">
        <f t="shared" ref="AK119:AS119" si="155">AK116+AK117+AK118</f>
        <v>62761</v>
      </c>
      <c r="AL119" s="352">
        <f t="shared" si="155"/>
        <v>70848</v>
      </c>
      <c r="AM119" s="352">
        <f t="shared" si="155"/>
        <v>71965</v>
      </c>
      <c r="AN119" s="352">
        <f t="shared" si="155"/>
        <v>72900</v>
      </c>
      <c r="AO119" s="352">
        <f t="shared" si="155"/>
        <v>74718</v>
      </c>
      <c r="AP119" s="352">
        <f t="shared" si="155"/>
        <v>69628.249999999985</v>
      </c>
      <c r="AQ119" s="352">
        <f t="shared" si="155"/>
        <v>65685.492125000004</v>
      </c>
      <c r="AR119" s="352">
        <f t="shared" si="155"/>
        <v>67977.672826250011</v>
      </c>
      <c r="AS119" s="352">
        <f t="shared" si="155"/>
        <v>71116.316730437524</v>
      </c>
    </row>
    <row r="120" spans="2:70" s="346" customFormat="1" outlineLevel="1">
      <c r="C120" s="389" t="s">
        <v>17</v>
      </c>
      <c r="E120" s="348"/>
      <c r="F120" s="348"/>
      <c r="G120" s="348"/>
      <c r="H120" s="348"/>
      <c r="I120" s="347">
        <f t="shared" ref="I120:AB120" si="156">IFERROR(+I119/E119-1,"NA ")</f>
        <v>7.2096224911238238E-2</v>
      </c>
      <c r="J120" s="347">
        <f t="shared" si="156"/>
        <v>9.0888938151185927E-2</v>
      </c>
      <c r="K120" s="347">
        <f t="shared" si="156"/>
        <v>2.3513753327417897E-2</v>
      </c>
      <c r="L120" s="347">
        <f t="shared" si="156"/>
        <v>4.1468181262977799E-2</v>
      </c>
      <c r="M120" s="347">
        <f t="shared" si="156"/>
        <v>8.5834009191673388E-2</v>
      </c>
      <c r="N120" s="347">
        <f t="shared" si="156"/>
        <v>0.14895346474293847</v>
      </c>
      <c r="O120" s="347">
        <f t="shared" si="156"/>
        <v>0.18663694346399162</v>
      </c>
      <c r="P120" s="347">
        <f t="shared" si="156"/>
        <v>9.4059696241130641E-2</v>
      </c>
      <c r="Q120" s="347">
        <f t="shared" si="156"/>
        <v>-3.1121623303875801E-4</v>
      </c>
      <c r="R120" s="347">
        <f t="shared" si="156"/>
        <v>-2.6942577526235079E-2</v>
      </c>
      <c r="S120" s="347">
        <f t="shared" si="156"/>
        <v>1.4089651933413272E-3</v>
      </c>
      <c r="T120" s="347">
        <f t="shared" si="156"/>
        <v>8.3185935573779179E-2</v>
      </c>
      <c r="U120" s="347">
        <f t="shared" si="156"/>
        <v>0.15727538758483273</v>
      </c>
      <c r="V120" s="347">
        <f t="shared" si="156"/>
        <v>0.10172674946985771</v>
      </c>
      <c r="W120" s="347">
        <f t="shared" si="156"/>
        <v>-0.1002605523710266</v>
      </c>
      <c r="X120" s="347">
        <f t="shared" si="156"/>
        <v>-6.6603988322034735E-2</v>
      </c>
      <c r="Y120" s="347">
        <f t="shared" si="156"/>
        <v>-1.1298219185452707E-3</v>
      </c>
      <c r="Z120" s="347">
        <f t="shared" si="156"/>
        <v>1.9192696876374926E-2</v>
      </c>
      <c r="AA120" s="347">
        <f t="shared" si="156"/>
        <v>4.7550098459399948E-2</v>
      </c>
      <c r="AB120" s="347">
        <f t="shared" si="156"/>
        <v>3.5466256692996856E-2</v>
      </c>
      <c r="AC120" s="347">
        <f>IFERROR(+AC119/Y119-1,"NA ")</f>
        <v>2.5894107508348307E-2</v>
      </c>
      <c r="AD120" s="347">
        <f>IFERROR(+AD119/Z119-1,"NA ")</f>
        <v>-9.1524577780175975E-2</v>
      </c>
      <c r="AE120" s="347">
        <f>IFERROR(+AE119/AA119-1,"NA ")</f>
        <v>-9.1068170509205348E-2</v>
      </c>
      <c r="AF120" s="347">
        <f>IFERROR(+AF119/AB119-1,"NA ")</f>
        <v>-0.11402442146221581</v>
      </c>
      <c r="AG120" s="429"/>
      <c r="AH120" s="348"/>
      <c r="AI120" s="347">
        <f t="shared" ref="AI120:AS120" si="157">IFERROR(AI119/AH119-1,"NA ")</f>
        <v>-9.2178270986218447E-3</v>
      </c>
      <c r="AJ120" s="347">
        <f t="shared" si="157"/>
        <v>7.4627404931803865E-2</v>
      </c>
      <c r="AK120" s="347">
        <f t="shared" si="157"/>
        <v>5.5054970917526758E-2</v>
      </c>
      <c r="AL120" s="347">
        <f t="shared" si="157"/>
        <v>0.12885390608817571</v>
      </c>
      <c r="AM120" s="347">
        <f>IFERROR(AM119/AL119-1,"NA ")</f>
        <v>1.576614724480585E-2</v>
      </c>
      <c r="AN120" s="347">
        <f>IFERROR(AN119/AM119-1,"NA ")</f>
        <v>1.2992426874175012E-2</v>
      </c>
      <c r="AO120" s="347">
        <f>IFERROR(AO119/AN119-1,"NA ")</f>
        <v>2.4938271604938222E-2</v>
      </c>
      <c r="AP120" s="347">
        <f t="shared" si="157"/>
        <v>-6.8119462512380102E-2</v>
      </c>
      <c r="AQ120" s="347">
        <f t="shared" si="157"/>
        <v>-5.6625836136912522E-2</v>
      </c>
      <c r="AR120" s="347">
        <f t="shared" si="157"/>
        <v>3.4896300950108872E-2</v>
      </c>
      <c r="AS120" s="347">
        <f t="shared" si="157"/>
        <v>4.6171688051308335E-2</v>
      </c>
    </row>
    <row r="121" spans="2:70" s="346" customFormat="1" ht="11.25" customHeight="1">
      <c r="C121" s="349"/>
      <c r="E121" s="457"/>
      <c r="F121" s="457"/>
      <c r="G121" s="457"/>
      <c r="H121" s="457"/>
      <c r="I121" s="347"/>
      <c r="J121" s="347"/>
      <c r="K121" s="347"/>
      <c r="L121" s="347"/>
      <c r="M121" s="347"/>
      <c r="N121" s="347"/>
      <c r="O121" s="347"/>
      <c r="P121" s="347"/>
      <c r="Q121" s="347"/>
      <c r="R121" s="347"/>
      <c r="S121" s="347"/>
      <c r="T121" s="347"/>
      <c r="U121" s="347"/>
      <c r="V121" s="347"/>
      <c r="W121" s="347"/>
      <c r="X121" s="347"/>
      <c r="Y121" s="347"/>
      <c r="Z121" s="347"/>
      <c r="AA121" s="347"/>
      <c r="AB121" s="347"/>
      <c r="AC121" s="347"/>
      <c r="AD121" s="347"/>
      <c r="AE121" s="347"/>
      <c r="AF121" s="347"/>
      <c r="AG121" s="429"/>
      <c r="AH121" s="348"/>
      <c r="AI121" s="347"/>
      <c r="AJ121" s="347"/>
      <c r="AK121" s="347"/>
      <c r="AL121" s="347"/>
      <c r="AM121" s="347"/>
      <c r="AN121" s="347"/>
      <c r="AO121" s="347"/>
      <c r="AP121" s="347"/>
      <c r="AQ121" s="347"/>
      <c r="AR121" s="347"/>
      <c r="AS121" s="347"/>
    </row>
    <row r="122" spans="2:70" s="342" customFormat="1">
      <c r="C122" s="342" t="s">
        <v>239</v>
      </c>
      <c r="E122" s="353">
        <f t="shared" ref="E122:AB122" si="158">E16</f>
        <v>8130</v>
      </c>
      <c r="F122" s="353">
        <f t="shared" si="158"/>
        <v>7973</v>
      </c>
      <c r="G122" s="353">
        <f t="shared" si="158"/>
        <v>9983</v>
      </c>
      <c r="H122" s="353">
        <f t="shared" si="158"/>
        <v>10147</v>
      </c>
      <c r="I122" s="353">
        <f t="shared" si="158"/>
        <v>9160</v>
      </c>
      <c r="J122" s="353">
        <f t="shared" si="158"/>
        <v>9096</v>
      </c>
      <c r="K122" s="353">
        <f t="shared" si="158"/>
        <v>10064</v>
      </c>
      <c r="L122" s="353">
        <f t="shared" si="158"/>
        <v>10778</v>
      </c>
      <c r="M122" s="353">
        <f t="shared" si="158"/>
        <v>9731</v>
      </c>
      <c r="N122" s="353">
        <f t="shared" si="158"/>
        <v>10419</v>
      </c>
      <c r="O122" s="353">
        <f t="shared" si="158"/>
        <v>12360</v>
      </c>
      <c r="P122" s="353">
        <f t="shared" si="158"/>
        <v>11227</v>
      </c>
      <c r="Q122" s="353">
        <f t="shared" si="158"/>
        <v>9089</v>
      </c>
      <c r="R122" s="353">
        <f t="shared" si="158"/>
        <v>9878</v>
      </c>
      <c r="S122" s="353">
        <f t="shared" si="158"/>
        <v>11295</v>
      </c>
      <c r="T122" s="353">
        <f t="shared" si="158"/>
        <v>11878</v>
      </c>
      <c r="U122" s="353">
        <f t="shared" si="158"/>
        <v>12016</v>
      </c>
      <c r="V122" s="353">
        <f t="shared" si="158"/>
        <v>10507</v>
      </c>
      <c r="W122" s="353">
        <f t="shared" si="158"/>
        <v>9741</v>
      </c>
      <c r="X122" s="353">
        <f t="shared" si="158"/>
        <v>11348</v>
      </c>
      <c r="Y122" s="353">
        <f t="shared" si="158"/>
        <v>10854</v>
      </c>
      <c r="Z122" s="353">
        <f t="shared" si="158"/>
        <v>11206</v>
      </c>
      <c r="AA122" s="353">
        <f t="shared" si="158"/>
        <v>10746</v>
      </c>
      <c r="AB122" s="353">
        <f t="shared" si="158"/>
        <v>11009</v>
      </c>
      <c r="AC122" s="353">
        <f>+AC127-SUM(AC123:AC126)</f>
        <v>9405.4601231018714</v>
      </c>
      <c r="AD122" s="353">
        <f>+AD127-SUM(AD123:AD126)</f>
        <v>7436.534123101872</v>
      </c>
      <c r="AE122" s="353">
        <f>+AE127-SUM(AE123:AE126)</f>
        <v>7089.5501231018734</v>
      </c>
      <c r="AF122" s="353">
        <f>+AF127-SUM(AF123:AF126)</f>
        <v>6959.6651231018723</v>
      </c>
      <c r="AG122" s="36"/>
      <c r="AH122" s="353">
        <f t="shared" ref="AH122:AP122" si="159">AH16</f>
        <v>35609</v>
      </c>
      <c r="AI122" s="353">
        <f t="shared" si="159"/>
        <v>34679</v>
      </c>
      <c r="AJ122" s="353">
        <f t="shared" si="159"/>
        <v>36233</v>
      </c>
      <c r="AK122" s="353">
        <f t="shared" si="159"/>
        <v>39098</v>
      </c>
      <c r="AL122" s="353">
        <f t="shared" si="159"/>
        <v>43737</v>
      </c>
      <c r="AM122" s="353">
        <f t="shared" si="159"/>
        <v>42140</v>
      </c>
      <c r="AN122" s="353">
        <f t="shared" si="159"/>
        <v>43612</v>
      </c>
      <c r="AO122" s="353">
        <f t="shared" si="159"/>
        <v>43815</v>
      </c>
      <c r="AP122" s="353">
        <f t="shared" si="159"/>
        <v>30891.209492407492</v>
      </c>
      <c r="AQ122" s="353">
        <f>+AQ127-SUM(AQ123:AQ126)</f>
        <v>29638.651791157492</v>
      </c>
      <c r="AR122" s="353">
        <f>+AR127-SUM(AR123:AR126)</f>
        <v>32075.530177269997</v>
      </c>
      <c r="AS122" s="353">
        <f>+AS127-SUM(AS123:AS126)</f>
        <v>34324.628857626252</v>
      </c>
    </row>
    <row r="123" spans="2:70" s="342" customFormat="1">
      <c r="C123" s="261" t="s">
        <v>240</v>
      </c>
      <c r="E123" s="345">
        <v>64</v>
      </c>
      <c r="F123" s="345">
        <v>0</v>
      </c>
      <c r="G123" s="345">
        <v>0</v>
      </c>
      <c r="H123" s="345">
        <v>0</v>
      </c>
      <c r="I123" s="345">
        <v>0</v>
      </c>
      <c r="J123" s="345">
        <v>0</v>
      </c>
      <c r="K123" s="345">
        <v>0</v>
      </c>
      <c r="L123" s="345">
        <v>0</v>
      </c>
      <c r="M123" s="345">
        <v>0</v>
      </c>
      <c r="N123" s="345">
        <v>0</v>
      </c>
      <c r="O123" s="345">
        <v>0</v>
      </c>
      <c r="P123" s="345">
        <v>0</v>
      </c>
      <c r="Q123" s="345">
        <v>0</v>
      </c>
      <c r="R123" s="345">
        <v>0</v>
      </c>
      <c r="S123" s="345">
        <v>0</v>
      </c>
      <c r="T123" s="345">
        <v>0</v>
      </c>
      <c r="U123" s="345">
        <v>0</v>
      </c>
      <c r="V123" s="345">
        <v>0</v>
      </c>
      <c r="W123" s="345">
        <v>0</v>
      </c>
      <c r="X123" s="345">
        <v>0</v>
      </c>
      <c r="Y123" s="345">
        <v>0</v>
      </c>
      <c r="Z123" s="345">
        <v>0</v>
      </c>
      <c r="AA123" s="345">
        <v>0</v>
      </c>
      <c r="AB123" s="345">
        <v>0</v>
      </c>
      <c r="AC123" s="345">
        <v>0</v>
      </c>
      <c r="AD123" s="345">
        <v>0</v>
      </c>
      <c r="AE123" s="345">
        <v>0</v>
      </c>
      <c r="AF123" s="345">
        <v>0</v>
      </c>
      <c r="AG123" s="36"/>
      <c r="AH123" s="345">
        <v>0</v>
      </c>
      <c r="AI123" s="345">
        <v>0</v>
      </c>
      <c r="AJ123" s="345">
        <v>64</v>
      </c>
      <c r="AK123" s="345">
        <v>0</v>
      </c>
      <c r="AL123" s="345">
        <v>0</v>
      </c>
      <c r="AM123" s="345">
        <v>0</v>
      </c>
      <c r="AN123" s="345">
        <v>0</v>
      </c>
      <c r="AO123" s="345">
        <v>0</v>
      </c>
      <c r="AP123" s="344">
        <f>+SUMIF($E$5:$AF$5,AP$5,$E123:$AF123)</f>
        <v>0</v>
      </c>
      <c r="AQ123" s="345">
        <v>0</v>
      </c>
      <c r="AR123" s="345">
        <v>0</v>
      </c>
      <c r="AS123" s="345">
        <v>0</v>
      </c>
    </row>
    <row r="124" spans="2:70">
      <c r="C124" s="478" t="s">
        <v>241</v>
      </c>
      <c r="E124" s="345">
        <v>235</v>
      </c>
      <c r="F124" s="345">
        <f>235</f>
        <v>235</v>
      </c>
      <c r="G124" s="345">
        <v>235</v>
      </c>
      <c r="H124" s="345">
        <v>232</v>
      </c>
      <c r="I124" s="345">
        <v>209</v>
      </c>
      <c r="J124" s="345">
        <v>198</v>
      </c>
      <c r="K124" s="345">
        <v>243</v>
      </c>
      <c r="L124" s="345">
        <v>262</v>
      </c>
      <c r="M124" s="345">
        <v>275</v>
      </c>
      <c r="N124" s="345">
        <v>275</v>
      </c>
      <c r="O124" s="345">
        <v>276</v>
      </c>
      <c r="P124" s="345">
        <v>279</v>
      </c>
      <c r="Q124" s="345">
        <v>281</v>
      </c>
      <c r="R124" s="345">
        <v>287</v>
      </c>
      <c r="S124" s="345">
        <v>288</v>
      </c>
      <c r="T124" s="345">
        <v>268</v>
      </c>
      <c r="U124" s="345">
        <v>289</v>
      </c>
      <c r="V124" s="345">
        <v>302</v>
      </c>
      <c r="W124" s="345">
        <v>310</v>
      </c>
      <c r="X124" s="345">
        <v>310</v>
      </c>
      <c r="Y124" s="345">
        <v>312</v>
      </c>
      <c r="Z124" s="345">
        <v>314</v>
      </c>
      <c r="AA124" s="345">
        <v>322</v>
      </c>
      <c r="AB124" s="345">
        <v>335</v>
      </c>
      <c r="AC124" s="344">
        <f>+AC427</f>
        <v>308.38237689812769</v>
      </c>
      <c r="AD124" s="344">
        <f>+AD427</f>
        <v>308.38237689812769</v>
      </c>
      <c r="AE124" s="344">
        <f>+AE427</f>
        <v>308.38237689812769</v>
      </c>
      <c r="AF124" s="344">
        <f>+AF427</f>
        <v>308.38237689812769</v>
      </c>
      <c r="AH124" s="345">
        <v>0</v>
      </c>
      <c r="AI124" s="345">
        <v>343</v>
      </c>
      <c r="AJ124" s="345">
        <v>937</v>
      </c>
      <c r="AK124" s="345">
        <v>912</v>
      </c>
      <c r="AL124" s="345">
        <v>1105</v>
      </c>
      <c r="AM124" s="344">
        <f t="shared" ref="AM124:AS124" si="160">+AM427</f>
        <v>1124</v>
      </c>
      <c r="AN124" s="344">
        <f t="shared" si="160"/>
        <v>1211</v>
      </c>
      <c r="AO124" s="344">
        <f t="shared" si="160"/>
        <v>1283</v>
      </c>
      <c r="AP124" s="344">
        <f t="shared" si="160"/>
        <v>1233.5295075925108</v>
      </c>
      <c r="AQ124" s="344">
        <f t="shared" si="160"/>
        <v>1233.5295075925108</v>
      </c>
      <c r="AR124" s="344">
        <f t="shared" si="160"/>
        <v>1233.5295075925108</v>
      </c>
      <c r="AS124" s="344">
        <f t="shared" si="160"/>
        <v>1233.5295075925108</v>
      </c>
    </row>
    <row r="125" spans="2:70">
      <c r="C125" s="261" t="s">
        <v>242</v>
      </c>
      <c r="E125" s="345">
        <v>226</v>
      </c>
      <c r="F125" s="345">
        <v>161</v>
      </c>
      <c r="G125" s="345">
        <v>0</v>
      </c>
      <c r="H125" s="345">
        <v>0</v>
      </c>
      <c r="I125" s="345">
        <v>0</v>
      </c>
      <c r="J125" s="345">
        <v>0</v>
      </c>
      <c r="K125" s="345">
        <v>27</v>
      </c>
      <c r="L125" s="345">
        <v>28</v>
      </c>
      <c r="M125" s="345">
        <v>0</v>
      </c>
      <c r="N125" s="345">
        <v>0</v>
      </c>
      <c r="O125" s="345">
        <v>0</v>
      </c>
      <c r="P125" s="345">
        <v>0</v>
      </c>
      <c r="Q125" s="345">
        <v>0</v>
      </c>
      <c r="R125" s="345">
        <v>0</v>
      </c>
      <c r="S125" s="345">
        <v>0</v>
      </c>
      <c r="T125" s="345">
        <v>0</v>
      </c>
      <c r="U125" s="345">
        <v>0</v>
      </c>
      <c r="V125" s="345">
        <v>0</v>
      </c>
      <c r="W125" s="345">
        <v>0</v>
      </c>
      <c r="X125" s="345">
        <v>0</v>
      </c>
      <c r="Y125" s="345">
        <v>0</v>
      </c>
      <c r="Z125" s="345">
        <v>0</v>
      </c>
      <c r="AA125" s="345">
        <v>0</v>
      </c>
      <c r="AB125" s="345">
        <v>0</v>
      </c>
      <c r="AC125" s="345">
        <v>0</v>
      </c>
      <c r="AD125" s="345">
        <v>0</v>
      </c>
      <c r="AE125" s="345">
        <v>0</v>
      </c>
      <c r="AF125" s="345">
        <v>0</v>
      </c>
      <c r="AH125" s="345">
        <v>0</v>
      </c>
      <c r="AI125" s="345">
        <v>0</v>
      </c>
      <c r="AJ125" s="345">
        <v>387</v>
      </c>
      <c r="AK125" s="345">
        <v>55</v>
      </c>
      <c r="AL125" s="345">
        <v>0</v>
      </c>
      <c r="AM125" s="345">
        <v>0</v>
      </c>
      <c r="AN125" s="345">
        <v>0</v>
      </c>
      <c r="AO125" s="345">
        <v>0</v>
      </c>
      <c r="AP125" s="344">
        <f>+SUMIF($E$5:$AF$5,AP$5,$E125:$AF125)</f>
        <v>0</v>
      </c>
      <c r="AQ125" s="345">
        <v>0</v>
      </c>
      <c r="AR125" s="345">
        <v>0</v>
      </c>
      <c r="AS125" s="345">
        <v>0</v>
      </c>
    </row>
    <row r="126" spans="2:70">
      <c r="C126" s="478" t="s">
        <v>237</v>
      </c>
      <c r="E126" s="345">
        <v>0</v>
      </c>
      <c r="F126" s="345">
        <v>0</v>
      </c>
      <c r="G126" s="345">
        <v>0</v>
      </c>
      <c r="H126" s="345">
        <v>0</v>
      </c>
      <c r="I126" s="345">
        <v>0</v>
      </c>
      <c r="J126" s="345">
        <v>0</v>
      </c>
      <c r="K126" s="345">
        <v>0</v>
      </c>
      <c r="L126" s="345">
        <v>0</v>
      </c>
      <c r="M126" s="345">
        <v>0</v>
      </c>
      <c r="N126" s="345">
        <v>0</v>
      </c>
      <c r="O126" s="345">
        <v>0</v>
      </c>
      <c r="P126" s="345">
        <v>0</v>
      </c>
      <c r="Q126" s="345">
        <v>0</v>
      </c>
      <c r="R126" s="345">
        <v>0</v>
      </c>
      <c r="S126" s="345">
        <v>0</v>
      </c>
      <c r="T126" s="345">
        <v>0</v>
      </c>
      <c r="U126" s="345">
        <v>-317</v>
      </c>
      <c r="V126" s="345">
        <v>-566</v>
      </c>
      <c r="W126" s="345">
        <v>-303</v>
      </c>
      <c r="X126" s="345">
        <v>-338</v>
      </c>
      <c r="Y126" s="345">
        <v>-317</v>
      </c>
      <c r="Z126" s="345">
        <v>-544</v>
      </c>
      <c r="AA126" s="345">
        <v>-616</v>
      </c>
      <c r="AB126" s="345">
        <v>-518</v>
      </c>
      <c r="AC126" s="344">
        <f>+AC118*45%</f>
        <v>0</v>
      </c>
      <c r="AD126" s="344">
        <f>+AD118*45%</f>
        <v>0</v>
      </c>
      <c r="AE126" s="344">
        <f>+AE118*45%</f>
        <v>0</v>
      </c>
      <c r="AF126" s="344">
        <f>+AF118*45%</f>
        <v>0</v>
      </c>
      <c r="AH126" s="345">
        <v>0</v>
      </c>
      <c r="AI126" s="345">
        <v>0</v>
      </c>
      <c r="AJ126" s="345">
        <v>0</v>
      </c>
      <c r="AK126" s="345">
        <v>0</v>
      </c>
      <c r="AL126" s="345">
        <v>0</v>
      </c>
      <c r="AM126" s="345">
        <v>0</v>
      </c>
      <c r="AN126" s="345">
        <v>-1524</v>
      </c>
      <c r="AO126" s="345">
        <v>-1995</v>
      </c>
      <c r="AP126" s="344">
        <f>+SUMIF($E$5:$AF$5,AP$5,$E126:$AF126)</f>
        <v>0</v>
      </c>
      <c r="AQ126" s="344">
        <f>+AQ118*45%</f>
        <v>0</v>
      </c>
      <c r="AR126" s="344">
        <f>+AR118*45%</f>
        <v>0</v>
      </c>
      <c r="AS126" s="344">
        <f>+AS118*45%</f>
        <v>0</v>
      </c>
    </row>
    <row r="127" spans="2:70" s="342" customFormat="1">
      <c r="C127" s="343" t="s">
        <v>243</v>
      </c>
      <c r="E127" s="352">
        <f t="shared" ref="E127:M127" si="161">SUM(E122:E126)</f>
        <v>8655</v>
      </c>
      <c r="F127" s="352">
        <f t="shared" si="161"/>
        <v>8369</v>
      </c>
      <c r="G127" s="352">
        <f t="shared" si="161"/>
        <v>10218</v>
      </c>
      <c r="H127" s="352">
        <f t="shared" si="161"/>
        <v>10379</v>
      </c>
      <c r="I127" s="352">
        <f t="shared" si="161"/>
        <v>9369</v>
      </c>
      <c r="J127" s="352">
        <f t="shared" si="161"/>
        <v>9294</v>
      </c>
      <c r="K127" s="352">
        <f t="shared" si="161"/>
        <v>10334</v>
      </c>
      <c r="L127" s="352">
        <f t="shared" si="161"/>
        <v>11068</v>
      </c>
      <c r="M127" s="352">
        <f t="shared" si="161"/>
        <v>10006</v>
      </c>
      <c r="N127" s="352">
        <f t="shared" ref="N127:AB127" si="162">SUM(N122:N126)</f>
        <v>10694</v>
      </c>
      <c r="O127" s="352">
        <f t="shared" si="162"/>
        <v>12636</v>
      </c>
      <c r="P127" s="352">
        <f t="shared" si="162"/>
        <v>11506</v>
      </c>
      <c r="Q127" s="352">
        <f t="shared" si="162"/>
        <v>9370</v>
      </c>
      <c r="R127" s="352">
        <f t="shared" si="162"/>
        <v>10165</v>
      </c>
      <c r="S127" s="352">
        <f t="shared" si="162"/>
        <v>11583</v>
      </c>
      <c r="T127" s="352">
        <f t="shared" si="162"/>
        <v>12146</v>
      </c>
      <c r="U127" s="352">
        <f t="shared" si="162"/>
        <v>11988</v>
      </c>
      <c r="V127" s="352">
        <f t="shared" si="162"/>
        <v>10243</v>
      </c>
      <c r="W127" s="352">
        <f t="shared" si="162"/>
        <v>9748</v>
      </c>
      <c r="X127" s="352">
        <f t="shared" si="162"/>
        <v>11320</v>
      </c>
      <c r="Y127" s="352">
        <f t="shared" si="162"/>
        <v>10849</v>
      </c>
      <c r="Z127" s="352">
        <f t="shared" si="162"/>
        <v>10976</v>
      </c>
      <c r="AA127" s="352">
        <f t="shared" si="162"/>
        <v>10452</v>
      </c>
      <c r="AB127" s="352">
        <f t="shared" si="162"/>
        <v>10826</v>
      </c>
      <c r="AC127" s="341">
        <f>+AC119*AC136</f>
        <v>9713.8424999999988</v>
      </c>
      <c r="AD127" s="341">
        <f>+AD119*AD136</f>
        <v>7744.9164999999994</v>
      </c>
      <c r="AE127" s="341">
        <f>+AE119*AE136</f>
        <v>7397.9325000000008</v>
      </c>
      <c r="AF127" s="341">
        <f>+AF119*AF136</f>
        <v>7268.0474999999997</v>
      </c>
      <c r="AG127" s="36"/>
      <c r="AH127" s="352">
        <f t="shared" ref="AH127:AO127" si="163">SUM(AH122:AH126)</f>
        <v>35609</v>
      </c>
      <c r="AI127" s="352">
        <f t="shared" si="163"/>
        <v>35022</v>
      </c>
      <c r="AJ127" s="352">
        <f t="shared" si="163"/>
        <v>37621</v>
      </c>
      <c r="AK127" s="352">
        <f t="shared" si="163"/>
        <v>40065</v>
      </c>
      <c r="AL127" s="352">
        <f t="shared" si="163"/>
        <v>44842</v>
      </c>
      <c r="AM127" s="352">
        <f t="shared" si="163"/>
        <v>43264</v>
      </c>
      <c r="AN127" s="352">
        <f t="shared" si="163"/>
        <v>43299</v>
      </c>
      <c r="AO127" s="352">
        <f t="shared" si="163"/>
        <v>43103</v>
      </c>
      <c r="AP127" s="352">
        <f>+SUMIF($E$5:$AF$5,AP$5,$E127:$AF127)</f>
        <v>32124.739000000001</v>
      </c>
      <c r="AQ127" s="341">
        <f>+AQ119*AQ136</f>
        <v>30872.181298750002</v>
      </c>
      <c r="AR127" s="341">
        <f>+AR119*AR136</f>
        <v>33309.059684862506</v>
      </c>
      <c r="AS127" s="341">
        <f>+AS119*AS136</f>
        <v>35558.158365218762</v>
      </c>
    </row>
    <row r="128" spans="2:70" s="342" customFormat="1" outlineLevel="1">
      <c r="C128" s="343"/>
      <c r="E128" s="353"/>
      <c r="F128" s="353"/>
      <c r="G128" s="353"/>
      <c r="H128" s="353"/>
      <c r="I128" s="353"/>
      <c r="J128" s="353"/>
      <c r="K128" s="353"/>
      <c r="L128" s="353"/>
      <c r="M128" s="353"/>
      <c r="N128" s="353"/>
      <c r="O128" s="353"/>
      <c r="P128" s="353"/>
      <c r="Q128" s="353"/>
      <c r="R128" s="353"/>
      <c r="S128" s="353"/>
      <c r="T128" s="353"/>
      <c r="U128" s="353"/>
      <c r="V128" s="353"/>
      <c r="W128" s="353"/>
      <c r="X128" s="353"/>
      <c r="Y128" s="353"/>
      <c r="Z128" s="353"/>
      <c r="AA128" s="353"/>
      <c r="AB128" s="353"/>
      <c r="AC128" s="340"/>
      <c r="AD128" s="340"/>
      <c r="AE128" s="340"/>
      <c r="AF128" s="340"/>
      <c r="AG128" s="36"/>
      <c r="AH128" s="353"/>
      <c r="AI128" s="353"/>
      <c r="AJ128" s="353"/>
      <c r="AK128" s="353"/>
      <c r="AL128" s="353"/>
      <c r="AM128" s="353"/>
      <c r="AN128" s="353"/>
      <c r="AO128" s="353"/>
      <c r="AP128" s="353"/>
      <c r="AQ128" s="340"/>
      <c r="AR128" s="340"/>
      <c r="AS128" s="340"/>
    </row>
    <row r="129" spans="3:45" s="346" customFormat="1" outlineLevel="1">
      <c r="C129" s="480" t="s">
        <v>244</v>
      </c>
      <c r="E129" s="551"/>
      <c r="F129" s="551"/>
      <c r="G129" s="551"/>
      <c r="H129" s="551"/>
      <c r="I129" s="551"/>
      <c r="J129" s="551"/>
      <c r="K129" s="551"/>
      <c r="L129" s="551"/>
      <c r="M129" s="551"/>
      <c r="N129" s="551"/>
      <c r="O129" s="551"/>
      <c r="P129" s="551"/>
      <c r="Q129" s="551"/>
      <c r="R129" s="551"/>
      <c r="S129" s="551"/>
      <c r="T129" s="551"/>
      <c r="U129" s="415"/>
      <c r="V129" s="415"/>
      <c r="W129" s="415"/>
      <c r="X129" s="415"/>
      <c r="Y129" s="415"/>
      <c r="Z129" s="415"/>
      <c r="AA129" s="415"/>
      <c r="AB129" s="415"/>
      <c r="AC129" s="552"/>
      <c r="AD129" s="552"/>
      <c r="AE129" s="552"/>
      <c r="AF129" s="552"/>
      <c r="AG129" s="38"/>
      <c r="AH129" s="414"/>
      <c r="AI129" s="414"/>
      <c r="AJ129" s="414"/>
      <c r="AK129" s="414"/>
      <c r="AL129" s="414"/>
      <c r="AM129" s="414"/>
      <c r="AN129" s="413">
        <f>+AN126/AN118</f>
        <v>0.3068250452989732</v>
      </c>
      <c r="AO129" s="413">
        <f>+AO126/AO118</f>
        <v>0.46330701346957731</v>
      </c>
    </row>
    <row r="130" spans="3:45">
      <c r="C130" s="342"/>
      <c r="E130" s="344"/>
      <c r="F130" s="344"/>
      <c r="G130" s="344"/>
      <c r="H130" s="344"/>
      <c r="I130" s="344"/>
      <c r="J130" s="344"/>
      <c r="K130" s="344"/>
      <c r="L130" s="344"/>
      <c r="M130" s="344"/>
      <c r="N130" s="344"/>
      <c r="O130" s="344"/>
      <c r="P130" s="344"/>
      <c r="Q130" s="344"/>
      <c r="R130" s="344"/>
      <c r="S130" s="344"/>
      <c r="T130" s="344"/>
      <c r="U130" s="536"/>
      <c r="V130" s="536"/>
      <c r="W130" s="536"/>
      <c r="X130" s="536"/>
      <c r="Y130" s="536"/>
      <c r="Z130" s="536"/>
      <c r="AA130" s="536"/>
      <c r="AB130" s="536"/>
      <c r="AC130" s="537"/>
      <c r="AD130" s="537"/>
      <c r="AE130" s="537"/>
      <c r="AF130" s="537"/>
      <c r="AG130" s="292"/>
      <c r="AH130" s="369"/>
      <c r="AI130" s="369"/>
      <c r="AJ130" s="369"/>
      <c r="AK130" s="369"/>
      <c r="AL130" s="369"/>
      <c r="AM130" s="369"/>
      <c r="AN130" s="536"/>
      <c r="AO130" s="536"/>
    </row>
    <row r="131" spans="3:45" s="346" customFormat="1">
      <c r="C131" s="556" t="s">
        <v>245</v>
      </c>
      <c r="D131" s="380"/>
      <c r="E131" s="557">
        <f t="shared" ref="E131:AB131" si="164">E122/E116</f>
        <v>0.59334403736680774</v>
      </c>
      <c r="F131" s="557">
        <f t="shared" si="164"/>
        <v>0.58915244217837881</v>
      </c>
      <c r="G131" s="557">
        <f t="shared" si="164"/>
        <v>0.63271644061351251</v>
      </c>
      <c r="H131" s="557">
        <f t="shared" si="164"/>
        <v>0.61970196653230736</v>
      </c>
      <c r="I131" s="557">
        <f t="shared" si="164"/>
        <v>0.61908623952419573</v>
      </c>
      <c r="J131" s="557">
        <f t="shared" si="164"/>
        <v>0.6161349319244056</v>
      </c>
      <c r="K131" s="557">
        <f t="shared" si="164"/>
        <v>0.62319648275435013</v>
      </c>
      <c r="L131" s="557">
        <f t="shared" si="164"/>
        <v>0.6320295549170234</v>
      </c>
      <c r="M131" s="557">
        <f t="shared" si="164"/>
        <v>0.60568903273994767</v>
      </c>
      <c r="N131" s="557">
        <f t="shared" si="164"/>
        <v>0.61425539441103638</v>
      </c>
      <c r="O131" s="557">
        <f t="shared" si="164"/>
        <v>0.64499295517403332</v>
      </c>
      <c r="P131" s="557">
        <f t="shared" si="164"/>
        <v>0.60175805327759013</v>
      </c>
      <c r="Q131" s="557">
        <f t="shared" si="164"/>
        <v>0.56590498723616212</v>
      </c>
      <c r="R131" s="557">
        <f t="shared" si="164"/>
        <v>0.598485307482581</v>
      </c>
      <c r="S131" s="557">
        <f t="shared" si="164"/>
        <v>0.58858780614903594</v>
      </c>
      <c r="T131" s="557">
        <f t="shared" si="164"/>
        <v>0.58775792963531104</v>
      </c>
      <c r="U131" s="557">
        <f t="shared" si="164"/>
        <v>0.60601170062537824</v>
      </c>
      <c r="V131" s="557">
        <f t="shared" si="164"/>
        <v>0.53259326845093269</v>
      </c>
      <c r="W131" s="557">
        <f t="shared" si="164"/>
        <v>0.53133693339878907</v>
      </c>
      <c r="X131" s="557">
        <f t="shared" si="164"/>
        <v>0.568024827310041</v>
      </c>
      <c r="Y131" s="557">
        <f t="shared" si="164"/>
        <v>0.55172063233873836</v>
      </c>
      <c r="Z131" s="557">
        <f t="shared" si="164"/>
        <v>0.57083184758799854</v>
      </c>
      <c r="AA131" s="557">
        <f t="shared" si="164"/>
        <v>0.55992080033347225</v>
      </c>
      <c r="AB131" s="557">
        <f t="shared" si="164"/>
        <v>0.53629189399844113</v>
      </c>
      <c r="AC131" s="557">
        <f>+AC136-SUM(AC132:AC135)</f>
        <v>0.49380918650698269</v>
      </c>
      <c r="AD131" s="557">
        <f>+AD136-SUM(AD132:AD135)</f>
        <v>0.44168399964374844</v>
      </c>
      <c r="AE131" s="557">
        <f>+AE136-SUM(AE132:AE135)</f>
        <v>0.43124177672557062</v>
      </c>
      <c r="AF131" s="557">
        <f>+AF136-SUM(AF132:AF135)</f>
        <v>0.4021794507675942</v>
      </c>
      <c r="AG131" s="558"/>
      <c r="AH131" s="557">
        <f t="shared" ref="AH131:AO131" si="165">AH122/AH116</f>
        <v>0.6373545731161625</v>
      </c>
      <c r="AI131" s="557">
        <f t="shared" si="165"/>
        <v>0.62648360581699936</v>
      </c>
      <c r="AJ131" s="557">
        <f t="shared" si="165"/>
        <v>0.6101166922053648</v>
      </c>
      <c r="AK131" s="557">
        <f t="shared" si="165"/>
        <v>0.62296649192970155</v>
      </c>
      <c r="AL131" s="557">
        <f t="shared" si="165"/>
        <v>0.61733570460704612</v>
      </c>
      <c r="AM131" s="557">
        <f t="shared" si="165"/>
        <v>0.5855624261793928</v>
      </c>
      <c r="AN131" s="557">
        <f t="shared" si="165"/>
        <v>0.5600832188218372</v>
      </c>
      <c r="AO131" s="557">
        <f t="shared" si="165"/>
        <v>0.5544518121077141</v>
      </c>
      <c r="AP131" s="557">
        <f>AP122/AP116</f>
        <v>0.44365913967976356</v>
      </c>
      <c r="AQ131" s="557">
        <f>+AQ136-SUM(AQ132:AQ135)</f>
        <v>0.45122067038418323</v>
      </c>
      <c r="AR131" s="557">
        <f>+AR136-SUM(AR132:AR135)</f>
        <v>0.47185390207832806</v>
      </c>
      <c r="AS131" s="559">
        <f>+AS136-SUM(AS132:AS135)</f>
        <v>0.48265476104073085</v>
      </c>
    </row>
    <row r="132" spans="3:45" s="346" customFormat="1">
      <c r="C132" s="560" t="s">
        <v>240</v>
      </c>
      <c r="E132" s="561">
        <v>1E-3</v>
      </c>
      <c r="F132" s="561">
        <v>0</v>
      </c>
      <c r="G132" s="561">
        <v>0</v>
      </c>
      <c r="H132" s="561">
        <v>0</v>
      </c>
      <c r="I132" s="561">
        <v>0</v>
      </c>
      <c r="J132" s="561">
        <v>0</v>
      </c>
      <c r="K132" s="561">
        <v>0</v>
      </c>
      <c r="L132" s="561">
        <v>0</v>
      </c>
      <c r="M132" s="561">
        <v>0</v>
      </c>
      <c r="N132" s="561">
        <v>0</v>
      </c>
      <c r="O132" s="561">
        <v>0</v>
      </c>
      <c r="P132" s="561">
        <v>0</v>
      </c>
      <c r="Q132" s="561">
        <v>0</v>
      </c>
      <c r="R132" s="561">
        <v>0</v>
      </c>
      <c r="S132" s="561">
        <v>0</v>
      </c>
      <c r="T132" s="561">
        <v>0</v>
      </c>
      <c r="U132" s="561">
        <v>0</v>
      </c>
      <c r="V132" s="561">
        <v>0</v>
      </c>
      <c r="W132" s="561">
        <v>0</v>
      </c>
      <c r="X132" s="561">
        <v>0</v>
      </c>
      <c r="Y132" s="561">
        <v>0</v>
      </c>
      <c r="Z132" s="561">
        <v>0</v>
      </c>
      <c r="AA132" s="561">
        <v>0</v>
      </c>
      <c r="AB132" s="561">
        <v>0</v>
      </c>
      <c r="AC132" s="510"/>
      <c r="AD132" s="510"/>
      <c r="AE132" s="510"/>
      <c r="AF132" s="510"/>
      <c r="AG132" s="189"/>
      <c r="AH132" s="561">
        <v>0</v>
      </c>
      <c r="AI132" s="561">
        <v>0</v>
      </c>
      <c r="AJ132" s="561">
        <v>0</v>
      </c>
      <c r="AK132" s="561">
        <v>0</v>
      </c>
      <c r="AL132" s="561">
        <v>0</v>
      </c>
      <c r="AM132" s="561">
        <v>0</v>
      </c>
      <c r="AN132" s="561">
        <v>0</v>
      </c>
      <c r="AO132" s="561">
        <v>0</v>
      </c>
      <c r="AP132" s="510"/>
      <c r="AQ132" s="510"/>
      <c r="AR132" s="510"/>
      <c r="AS132" s="562"/>
    </row>
    <row r="133" spans="3:45" s="346" customFormat="1">
      <c r="C133" s="560" t="s">
        <v>242</v>
      </c>
      <c r="E133" s="561">
        <v>1.6E-2</v>
      </c>
      <c r="F133" s="561">
        <v>1.2E-2</v>
      </c>
      <c r="G133" s="561">
        <v>0</v>
      </c>
      <c r="H133" s="561">
        <v>0</v>
      </c>
      <c r="I133" s="561">
        <v>0</v>
      </c>
      <c r="J133" s="561">
        <v>0</v>
      </c>
      <c r="K133" s="561">
        <v>2E-3</v>
      </c>
      <c r="L133" s="561">
        <v>2E-3</v>
      </c>
      <c r="M133" s="561">
        <v>0</v>
      </c>
      <c r="N133" s="561">
        <v>0</v>
      </c>
      <c r="O133" s="561">
        <v>0</v>
      </c>
      <c r="P133" s="561">
        <v>0</v>
      </c>
      <c r="Q133" s="561">
        <v>0</v>
      </c>
      <c r="R133" s="561">
        <v>0</v>
      </c>
      <c r="S133" s="561">
        <v>0</v>
      </c>
      <c r="T133" s="561">
        <v>0</v>
      </c>
      <c r="U133" s="561">
        <v>0</v>
      </c>
      <c r="V133" s="561">
        <v>0</v>
      </c>
      <c r="W133" s="561">
        <v>0</v>
      </c>
      <c r="X133" s="561">
        <v>0</v>
      </c>
      <c r="Y133" s="561">
        <v>0</v>
      </c>
      <c r="Z133" s="561">
        <v>0</v>
      </c>
      <c r="AA133" s="561">
        <v>0</v>
      </c>
      <c r="AB133" s="561">
        <v>0</v>
      </c>
      <c r="AC133" s="510"/>
      <c r="AD133" s="510"/>
      <c r="AE133" s="510"/>
      <c r="AF133" s="510"/>
      <c r="AG133" s="189"/>
      <c r="AH133" s="561">
        <v>0</v>
      </c>
      <c r="AI133" s="561">
        <v>0</v>
      </c>
      <c r="AJ133" s="561">
        <v>7.0000000000000001E-3</v>
      </c>
      <c r="AK133" s="561">
        <v>1E-3</v>
      </c>
      <c r="AL133" s="561">
        <v>0</v>
      </c>
      <c r="AM133" s="561">
        <v>0</v>
      </c>
      <c r="AN133" s="561">
        <v>0</v>
      </c>
      <c r="AO133" s="561">
        <v>0</v>
      </c>
      <c r="AP133" s="510"/>
      <c r="AQ133" s="510"/>
      <c r="AR133" s="510"/>
      <c r="AS133" s="562"/>
    </row>
    <row r="134" spans="3:45" s="346" customFormat="1">
      <c r="C134" s="563" t="s">
        <v>241</v>
      </c>
      <c r="E134" s="561">
        <v>1.7000000000000001E-2</v>
      </c>
      <c r="F134" s="561">
        <v>1.7000000000000001E-2</v>
      </c>
      <c r="G134" s="561">
        <v>1.4999999999999999E-2</v>
      </c>
      <c r="H134" s="561">
        <v>1.4E-2</v>
      </c>
      <c r="I134" s="561">
        <v>1.4E-2</v>
      </c>
      <c r="J134" s="561">
        <v>1.4E-2</v>
      </c>
      <c r="K134" s="561">
        <v>1.4999999999999999E-2</v>
      </c>
      <c r="L134" s="561">
        <v>1.4999999999999999E-2</v>
      </c>
      <c r="M134" s="561">
        <v>1.7000000000000001E-2</v>
      </c>
      <c r="N134" s="561">
        <v>1.6E-2</v>
      </c>
      <c r="O134" s="561">
        <v>1.4E-2</v>
      </c>
      <c r="P134" s="561">
        <v>1.4999999999999999E-2</v>
      </c>
      <c r="Q134" s="561">
        <v>1.7000000000000001E-2</v>
      </c>
      <c r="R134" s="561">
        <v>1.7000000000000001E-2</v>
      </c>
      <c r="S134" s="561">
        <v>1.4999999999999999E-2</v>
      </c>
      <c r="T134" s="561">
        <v>1.2999999999999999E-2</v>
      </c>
      <c r="U134" s="561">
        <v>1.4999999999999999E-2</v>
      </c>
      <c r="V134" s="561">
        <v>1.4999999999999999E-2</v>
      </c>
      <c r="W134" s="413">
        <f>W124/W$116</f>
        <v>1.6909398352697322E-2</v>
      </c>
      <c r="X134" s="413">
        <f>X124/X$116</f>
        <v>1.5517068775653219E-2</v>
      </c>
      <c r="Y134" s="413">
        <f>Y124/Y$116</f>
        <v>1.5859299547603314E-2</v>
      </c>
      <c r="Z134" s="413">
        <f>Z124/Z$116</f>
        <v>1.5995109775355305E-2</v>
      </c>
      <c r="AA134" s="413">
        <f t="shared" ref="AA134:AF134" si="166">AA124/AA$116</f>
        <v>1.6777824093372237E-2</v>
      </c>
      <c r="AB134" s="413">
        <f t="shared" si="166"/>
        <v>1.6319173811379577E-2</v>
      </c>
      <c r="AC134" s="413">
        <f t="shared" si="166"/>
        <v>1.6190813493017327E-2</v>
      </c>
      <c r="AD134" s="413">
        <f t="shared" si="166"/>
        <v>1.8316000356251583E-2</v>
      </c>
      <c r="AE134" s="413">
        <f t="shared" si="166"/>
        <v>1.8758223274429369E-2</v>
      </c>
      <c r="AF134" s="413">
        <f t="shared" si="166"/>
        <v>1.7820549232405763E-2</v>
      </c>
      <c r="AG134" s="189"/>
      <c r="AH134" s="561">
        <v>0</v>
      </c>
      <c r="AI134" s="561">
        <v>7.0000000000000001E-3</v>
      </c>
      <c r="AJ134" s="561">
        <v>1.6E-2</v>
      </c>
      <c r="AK134" s="561">
        <v>1.4E-2</v>
      </c>
      <c r="AL134" s="561">
        <v>1.6E-2</v>
      </c>
      <c r="AM134" s="561">
        <v>1.6E-2</v>
      </c>
      <c r="AN134" s="561">
        <v>1.6E-2</v>
      </c>
      <c r="AO134" s="561">
        <v>1.6E-2</v>
      </c>
      <c r="AP134" s="413">
        <f>AP124/AP$116</f>
        <v>1.7715934374230444E-2</v>
      </c>
      <c r="AQ134" s="413">
        <f>AQ124/AQ$116</f>
        <v>1.8779329615816753E-2</v>
      </c>
      <c r="AR134" s="413">
        <f>AR124/AR$116</f>
        <v>1.8146097921671944E-2</v>
      </c>
      <c r="AS134" s="564">
        <f>AS124/AS$116</f>
        <v>1.734523895926917E-2</v>
      </c>
    </row>
    <row r="135" spans="3:45" s="346" customFormat="1">
      <c r="C135" s="563" t="s">
        <v>237</v>
      </c>
      <c r="E135" s="561">
        <v>0</v>
      </c>
      <c r="F135" s="561">
        <v>0</v>
      </c>
      <c r="G135" s="561">
        <v>0</v>
      </c>
      <c r="H135" s="561">
        <v>0</v>
      </c>
      <c r="I135" s="561">
        <v>0</v>
      </c>
      <c r="J135" s="561">
        <v>0</v>
      </c>
      <c r="K135" s="561">
        <v>0</v>
      </c>
      <c r="L135" s="561">
        <v>0</v>
      </c>
      <c r="M135" s="561">
        <v>0</v>
      </c>
      <c r="N135" s="561">
        <v>0</v>
      </c>
      <c r="O135" s="561">
        <v>0</v>
      </c>
      <c r="P135" s="561">
        <v>0</v>
      </c>
      <c r="Q135" s="561">
        <v>0</v>
      </c>
      <c r="R135" s="561">
        <v>0</v>
      </c>
      <c r="S135" s="561">
        <v>0</v>
      </c>
      <c r="T135" s="561">
        <v>0</v>
      </c>
      <c r="U135" s="561">
        <v>2.4E-2</v>
      </c>
      <c r="V135" s="561">
        <v>1.4E-2</v>
      </c>
      <c r="W135" s="561">
        <v>1.6E-2</v>
      </c>
      <c r="X135" s="561">
        <v>1.7000000000000001E-2</v>
      </c>
      <c r="Y135" s="561">
        <v>1.7000000000000001E-2</v>
      </c>
      <c r="Z135" s="561">
        <v>5.0000000000000001E-3</v>
      </c>
      <c r="AA135" s="561">
        <v>1E-3</v>
      </c>
      <c r="AB135" s="561">
        <v>2E-3</v>
      </c>
      <c r="AC135" s="510"/>
      <c r="AD135" s="510"/>
      <c r="AE135" s="510"/>
      <c r="AF135" s="510"/>
      <c r="AG135" s="189"/>
      <c r="AH135" s="561">
        <v>0</v>
      </c>
      <c r="AI135" s="561">
        <v>0</v>
      </c>
      <c r="AJ135" s="561">
        <v>0</v>
      </c>
      <c r="AK135" s="561">
        <v>0</v>
      </c>
      <c r="AL135" s="561">
        <v>0</v>
      </c>
      <c r="AM135" s="561">
        <v>0</v>
      </c>
      <c r="AN135" s="561">
        <v>1.7999999999999999E-2</v>
      </c>
      <c r="AO135" s="561">
        <v>6.0000000000000001E-3</v>
      </c>
      <c r="AP135" s="510"/>
      <c r="AQ135" s="510"/>
      <c r="AR135" s="510"/>
      <c r="AS135" s="562"/>
    </row>
    <row r="136" spans="3:45" s="479" customFormat="1">
      <c r="C136" s="565" t="s">
        <v>246</v>
      </c>
      <c r="D136" s="566"/>
      <c r="E136" s="567">
        <f t="shared" ref="E136:Z136" si="167">E127/E119</f>
        <v>0.6271284689515253</v>
      </c>
      <c r="F136" s="567">
        <f t="shared" si="167"/>
        <v>0.61841424665632161</v>
      </c>
      <c r="G136" s="567">
        <f t="shared" si="167"/>
        <v>0.6476105970338446</v>
      </c>
      <c r="H136" s="567">
        <f t="shared" si="167"/>
        <v>0.63387077073409059</v>
      </c>
      <c r="I136" s="567">
        <f t="shared" si="167"/>
        <v>0.63321167883211682</v>
      </c>
      <c r="J136" s="567">
        <f t="shared" si="167"/>
        <v>0.62954684007315587</v>
      </c>
      <c r="K136" s="567">
        <f t="shared" si="167"/>
        <v>0.63991578425908724</v>
      </c>
      <c r="L136" s="567">
        <f t="shared" si="167"/>
        <v>0.64903536034715303</v>
      </c>
      <c r="M136" s="567">
        <f t="shared" si="167"/>
        <v>0.62280592555707703</v>
      </c>
      <c r="N136" s="567">
        <f t="shared" si="167"/>
        <v>0.63046810517627638</v>
      </c>
      <c r="O136" s="567">
        <f t="shared" si="167"/>
        <v>0.65939571048374468</v>
      </c>
      <c r="P136" s="567">
        <f t="shared" si="167"/>
        <v>0.6167122259741652</v>
      </c>
      <c r="Q136" s="567">
        <f t="shared" si="167"/>
        <v>0.58340078450905919</v>
      </c>
      <c r="R136" s="567">
        <f t="shared" si="167"/>
        <v>0.61587397758255069</v>
      </c>
      <c r="S136" s="567">
        <f t="shared" si="167"/>
        <v>0.60359562272016676</v>
      </c>
      <c r="T136" s="567">
        <f t="shared" si="167"/>
        <v>0.60101934781532984</v>
      </c>
      <c r="U136" s="567">
        <f t="shared" si="167"/>
        <v>0.64496691235809978</v>
      </c>
      <c r="V136" s="567">
        <f t="shared" si="167"/>
        <v>0.56329740431148267</v>
      </c>
      <c r="W136" s="567">
        <f t="shared" si="167"/>
        <v>0.56457778292598171</v>
      </c>
      <c r="X136" s="567">
        <f t="shared" si="167"/>
        <v>0.60011663044054497</v>
      </c>
      <c r="Y136" s="567">
        <f t="shared" si="167"/>
        <v>0.58434773241409033</v>
      </c>
      <c r="Z136" s="567">
        <f t="shared" si="167"/>
        <v>0.5922408676415043</v>
      </c>
      <c r="AA136" s="567">
        <f>AA127/AA119</f>
        <v>0.57787361088074307</v>
      </c>
      <c r="AB136" s="567">
        <f>AB127/AB119</f>
        <v>0.55426991603522424</v>
      </c>
      <c r="AC136" s="579">
        <f>Assumptions!U30</f>
        <v>0.51</v>
      </c>
      <c r="AD136" s="579">
        <f>Assumptions!V30</f>
        <v>0.46</v>
      </c>
      <c r="AE136" s="579">
        <f>Assumptions!W30</f>
        <v>0.45</v>
      </c>
      <c r="AF136" s="579">
        <f>Assumptions!X30</f>
        <v>0.42</v>
      </c>
      <c r="AG136" s="568"/>
      <c r="AH136" s="567">
        <f t="shared" ref="AH136:AO136" si="168">AH127/AH119</f>
        <v>0.6373545731161625</v>
      </c>
      <c r="AI136" s="567">
        <f t="shared" si="168"/>
        <v>0.63267997470869841</v>
      </c>
      <c r="AJ136" s="567">
        <f t="shared" si="168"/>
        <v>0.63243452240863396</v>
      </c>
      <c r="AK136" s="567">
        <f t="shared" si="168"/>
        <v>0.63837414955147309</v>
      </c>
      <c r="AL136" s="567">
        <f t="shared" si="168"/>
        <v>0.63293247515808493</v>
      </c>
      <c r="AM136" s="567">
        <f t="shared" si="168"/>
        <v>0.60118112971583404</v>
      </c>
      <c r="AN136" s="567">
        <f t="shared" si="168"/>
        <v>0.5939506172839506</v>
      </c>
      <c r="AO136" s="567">
        <f t="shared" si="168"/>
        <v>0.5768757193715035</v>
      </c>
      <c r="AP136" s="567">
        <f>AP127/AP119</f>
        <v>0.46137507405399403</v>
      </c>
      <c r="AQ136" s="579">
        <f>Assumptions!AG30</f>
        <v>0.47</v>
      </c>
      <c r="AR136" s="579">
        <f>Assumptions!AH30</f>
        <v>0.49</v>
      </c>
      <c r="AS136" s="580">
        <f>Assumptions!AI30</f>
        <v>0.5</v>
      </c>
    </row>
    <row r="137" spans="3:45">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382"/>
      <c r="AD137" s="382"/>
      <c r="AE137" s="382"/>
      <c r="AF137" s="382"/>
      <c r="AH137" s="453"/>
      <c r="AI137" s="453"/>
      <c r="AJ137" s="453"/>
      <c r="AK137" s="453"/>
      <c r="AL137" s="453"/>
      <c r="AM137" s="453"/>
      <c r="AN137" s="453"/>
      <c r="AO137" s="453"/>
    </row>
    <row r="138" spans="3:45">
      <c r="C138" s="338" t="s">
        <v>247</v>
      </c>
      <c r="E138" s="344">
        <f t="shared" ref="E138:AF138" si="169">+E20+E24</f>
        <v>5472</v>
      </c>
      <c r="F138" s="344">
        <f t="shared" si="169"/>
        <v>5152</v>
      </c>
      <c r="G138" s="344">
        <f t="shared" si="169"/>
        <v>5075</v>
      </c>
      <c r="H138" s="344">
        <f t="shared" si="169"/>
        <v>5363</v>
      </c>
      <c r="I138" s="344">
        <f t="shared" si="169"/>
        <v>5410</v>
      </c>
      <c r="J138" s="344">
        <f t="shared" si="169"/>
        <v>5112</v>
      </c>
      <c r="K138" s="344">
        <f t="shared" si="169"/>
        <v>4870</v>
      </c>
      <c r="L138" s="344">
        <f t="shared" si="169"/>
        <v>5095</v>
      </c>
      <c r="M138" s="344">
        <f t="shared" si="169"/>
        <v>5211</v>
      </c>
      <c r="N138" s="344">
        <f t="shared" si="169"/>
        <v>5096</v>
      </c>
      <c r="O138" s="344">
        <f t="shared" si="169"/>
        <v>5033</v>
      </c>
      <c r="P138" s="344">
        <f t="shared" si="169"/>
        <v>5153</v>
      </c>
      <c r="Q138" s="344">
        <f t="shared" si="169"/>
        <v>4915</v>
      </c>
      <c r="R138" s="344">
        <f t="shared" si="169"/>
        <v>5077</v>
      </c>
      <c r="S138" s="344">
        <f t="shared" si="169"/>
        <v>4744</v>
      </c>
      <c r="T138" s="344">
        <f t="shared" si="169"/>
        <v>4976</v>
      </c>
      <c r="U138" s="344">
        <f t="shared" si="169"/>
        <v>4816</v>
      </c>
      <c r="V138" s="344">
        <f t="shared" si="169"/>
        <v>4801</v>
      </c>
      <c r="W138" s="344">
        <f t="shared" si="169"/>
        <v>4707</v>
      </c>
      <c r="X138" s="344">
        <f t="shared" si="169"/>
        <v>5412</v>
      </c>
      <c r="Y138" s="344">
        <f t="shared" si="169"/>
        <v>4951</v>
      </c>
      <c r="Z138" s="344">
        <f t="shared" si="169"/>
        <v>5314</v>
      </c>
      <c r="AA138" s="344">
        <f t="shared" si="169"/>
        <v>5477</v>
      </c>
      <c r="AB138" s="344">
        <f t="shared" si="169"/>
        <v>5991</v>
      </c>
      <c r="AC138" s="344">
        <f t="shared" si="169"/>
        <v>6190.1937499999995</v>
      </c>
      <c r="AD138" s="344">
        <f t="shared" si="169"/>
        <v>5471.9518749999997</v>
      </c>
      <c r="AE138" s="344">
        <f t="shared" si="169"/>
        <v>5589.5490000000009</v>
      </c>
      <c r="AF138" s="344">
        <f t="shared" si="169"/>
        <v>5883.6575000000003</v>
      </c>
      <c r="AH138" s="344">
        <f t="shared" ref="AH138:AS138" si="170">+AH20+AH24</f>
        <v>19673</v>
      </c>
      <c r="AI138" s="344">
        <f t="shared" si="170"/>
        <v>20058</v>
      </c>
      <c r="AJ138" s="344">
        <f t="shared" si="170"/>
        <v>21062</v>
      </c>
      <c r="AK138" s="344">
        <f t="shared" si="170"/>
        <v>20487</v>
      </c>
      <c r="AL138" s="344">
        <f t="shared" si="170"/>
        <v>20493</v>
      </c>
      <c r="AM138" s="344">
        <f t="shared" si="170"/>
        <v>19712</v>
      </c>
      <c r="AN138" s="344">
        <f t="shared" si="170"/>
        <v>19736</v>
      </c>
      <c r="AO138" s="344">
        <f t="shared" si="170"/>
        <v>21733</v>
      </c>
      <c r="AP138" s="344">
        <f t="shared" si="170"/>
        <v>23135.352124999998</v>
      </c>
      <c r="AQ138" s="344">
        <f t="shared" si="170"/>
        <v>21676.212401250003</v>
      </c>
      <c r="AR138" s="344">
        <f t="shared" si="170"/>
        <v>21752.855304400004</v>
      </c>
      <c r="AS138" s="344">
        <f t="shared" si="170"/>
        <v>22757.221353740009</v>
      </c>
    </row>
    <row r="139" spans="3:45">
      <c r="C139" s="478" t="s">
        <v>241</v>
      </c>
      <c r="E139" s="345">
        <v>-100</v>
      </c>
      <c r="F139" s="345">
        <v>0</v>
      </c>
      <c r="G139" s="345">
        <v>0</v>
      </c>
      <c r="H139" s="345">
        <v>0</v>
      </c>
      <c r="I139" s="469"/>
      <c r="J139" s="469"/>
      <c r="K139" s="345">
        <v>-113</v>
      </c>
      <c r="L139" s="345">
        <v>0</v>
      </c>
      <c r="M139" s="469"/>
      <c r="N139" s="469"/>
      <c r="O139" s="469"/>
      <c r="P139" s="469"/>
      <c r="Q139" s="469"/>
      <c r="R139" s="345">
        <v>-50</v>
      </c>
      <c r="S139" s="345">
        <v>-50</v>
      </c>
      <c r="T139" s="345">
        <v>-50</v>
      </c>
      <c r="U139" s="345">
        <v>-50</v>
      </c>
      <c r="V139" s="345">
        <v>-50</v>
      </c>
      <c r="W139" s="345">
        <v>-52</v>
      </c>
      <c r="X139" s="345">
        <v>-53</v>
      </c>
      <c r="Y139" s="345">
        <v>-52</v>
      </c>
      <c r="Z139" s="345">
        <v>-52</v>
      </c>
      <c r="AA139" s="345">
        <v>-53</v>
      </c>
      <c r="AB139" s="345">
        <v>-52</v>
      </c>
      <c r="AC139" s="344">
        <f>-AC428</f>
        <v>-53.14911174996314</v>
      </c>
      <c r="AD139" s="344">
        <f>-AD428</f>
        <v>-53.14911174996314</v>
      </c>
      <c r="AE139" s="344">
        <f>-AE428</f>
        <v>-53.14911174996314</v>
      </c>
      <c r="AF139" s="344">
        <f>-AF428</f>
        <v>-53.14911174996314</v>
      </c>
      <c r="AH139" s="345">
        <v>0</v>
      </c>
      <c r="AI139" s="345">
        <v>0</v>
      </c>
      <c r="AJ139" s="345">
        <v>-100</v>
      </c>
      <c r="AK139" s="345">
        <v>-113</v>
      </c>
      <c r="AL139" s="469"/>
      <c r="AM139" s="344">
        <f t="shared" ref="AM139:AS139" si="171">-AM428</f>
        <v>-200</v>
      </c>
      <c r="AN139" s="344">
        <f t="shared" si="171"/>
        <v>-205</v>
      </c>
      <c r="AO139" s="344">
        <f t="shared" si="171"/>
        <v>-209</v>
      </c>
      <c r="AP139" s="344">
        <f t="shared" si="171"/>
        <v>-212.59644699985256</v>
      </c>
      <c r="AQ139" s="344">
        <f t="shared" si="171"/>
        <v>-212.59644699985256</v>
      </c>
      <c r="AR139" s="344">
        <f t="shared" si="171"/>
        <v>-212.59644699985256</v>
      </c>
      <c r="AS139" s="344">
        <f t="shared" si="171"/>
        <v>-212.59644699985256</v>
      </c>
    </row>
    <row r="140" spans="3:45">
      <c r="C140" s="478" t="s">
        <v>237</v>
      </c>
      <c r="E140" s="345">
        <v>0</v>
      </c>
      <c r="F140" s="345">
        <v>0</v>
      </c>
      <c r="G140" s="345">
        <v>0</v>
      </c>
      <c r="H140" s="345">
        <v>0</v>
      </c>
      <c r="I140" s="469"/>
      <c r="J140" s="469"/>
      <c r="K140" s="345">
        <v>0</v>
      </c>
      <c r="L140" s="345">
        <v>0</v>
      </c>
      <c r="M140" s="469"/>
      <c r="N140" s="469"/>
      <c r="O140" s="469"/>
      <c r="P140" s="469"/>
      <c r="Q140" s="469"/>
      <c r="R140" s="345">
        <v>0</v>
      </c>
      <c r="S140" s="345">
        <v>0</v>
      </c>
      <c r="T140" s="345">
        <v>0</v>
      </c>
      <c r="U140" s="345">
        <v>-127</v>
      </c>
      <c r="V140" s="345">
        <v>-143</v>
      </c>
      <c r="W140" s="345">
        <v>-158</v>
      </c>
      <c r="X140" s="345">
        <v>-159</v>
      </c>
      <c r="Y140" s="345">
        <v>-146</v>
      </c>
      <c r="Z140" s="345">
        <v>-142</v>
      </c>
      <c r="AA140" s="345">
        <v>-174</v>
      </c>
      <c r="AB140" s="345">
        <v>-164</v>
      </c>
      <c r="AC140" s="510"/>
      <c r="AD140" s="510"/>
      <c r="AE140" s="510"/>
      <c r="AF140" s="510"/>
      <c r="AH140" s="345">
        <v>0</v>
      </c>
      <c r="AI140" s="345">
        <v>0</v>
      </c>
      <c r="AJ140" s="345">
        <v>0</v>
      </c>
      <c r="AK140" s="345">
        <v>0</v>
      </c>
      <c r="AL140" s="469"/>
      <c r="AM140" s="345">
        <v>0</v>
      </c>
      <c r="AN140" s="345">
        <v>-587</v>
      </c>
      <c r="AO140" s="345">
        <v>-626</v>
      </c>
      <c r="AP140" s="510"/>
      <c r="AQ140" s="510"/>
      <c r="AR140" s="510"/>
      <c r="AS140" s="510"/>
    </row>
    <row r="141" spans="3:45" s="342" customFormat="1">
      <c r="C141" s="343" t="s">
        <v>248</v>
      </c>
      <c r="E141" s="352">
        <f t="shared" ref="E141:Z141" si="172">SUM(E138:E140)</f>
        <v>5372</v>
      </c>
      <c r="F141" s="352">
        <f t="shared" si="172"/>
        <v>5152</v>
      </c>
      <c r="G141" s="352">
        <f t="shared" si="172"/>
        <v>5075</v>
      </c>
      <c r="H141" s="352">
        <f t="shared" si="172"/>
        <v>5363</v>
      </c>
      <c r="I141" s="471"/>
      <c r="J141" s="471"/>
      <c r="K141" s="352">
        <f t="shared" si="172"/>
        <v>4757</v>
      </c>
      <c r="L141" s="352">
        <f t="shared" si="172"/>
        <v>5095</v>
      </c>
      <c r="M141" s="471"/>
      <c r="N141" s="471"/>
      <c r="O141" s="471"/>
      <c r="P141" s="471"/>
      <c r="Q141" s="471"/>
      <c r="R141" s="352">
        <f t="shared" si="172"/>
        <v>5027</v>
      </c>
      <c r="S141" s="352">
        <f t="shared" si="172"/>
        <v>4694</v>
      </c>
      <c r="T141" s="352">
        <f t="shared" si="172"/>
        <v>4926</v>
      </c>
      <c r="U141" s="352">
        <f t="shared" si="172"/>
        <v>4639</v>
      </c>
      <c r="V141" s="352">
        <f t="shared" si="172"/>
        <v>4608</v>
      </c>
      <c r="W141" s="352">
        <f t="shared" si="172"/>
        <v>4497</v>
      </c>
      <c r="X141" s="352">
        <f t="shared" si="172"/>
        <v>5200</v>
      </c>
      <c r="Y141" s="352">
        <f t="shared" si="172"/>
        <v>4753</v>
      </c>
      <c r="Z141" s="352">
        <f t="shared" si="172"/>
        <v>5120</v>
      </c>
      <c r="AA141" s="352">
        <f t="shared" ref="AA141:AF141" si="173">SUM(AA138:AA140)</f>
        <v>5250</v>
      </c>
      <c r="AB141" s="352">
        <f t="shared" si="173"/>
        <v>5775</v>
      </c>
      <c r="AC141" s="352">
        <f t="shared" si="173"/>
        <v>6137.0446382500359</v>
      </c>
      <c r="AD141" s="352">
        <f t="shared" si="173"/>
        <v>5418.8027632500362</v>
      </c>
      <c r="AE141" s="352">
        <f t="shared" si="173"/>
        <v>5536.3998882500382</v>
      </c>
      <c r="AF141" s="352">
        <f t="shared" si="173"/>
        <v>5830.5083882500367</v>
      </c>
      <c r="AG141" s="36"/>
      <c r="AH141" s="352">
        <f t="shared" ref="AH141:AS141" si="174">SUM(AH138:AH140)</f>
        <v>19673</v>
      </c>
      <c r="AI141" s="352">
        <f t="shared" si="174"/>
        <v>20058</v>
      </c>
      <c r="AJ141" s="352">
        <f t="shared" si="174"/>
        <v>20962</v>
      </c>
      <c r="AK141" s="352">
        <f t="shared" si="174"/>
        <v>20374</v>
      </c>
      <c r="AL141" s="471"/>
      <c r="AM141" s="352">
        <f t="shared" si="174"/>
        <v>19512</v>
      </c>
      <c r="AN141" s="352">
        <f t="shared" si="174"/>
        <v>18944</v>
      </c>
      <c r="AO141" s="352">
        <f t="shared" si="174"/>
        <v>20898</v>
      </c>
      <c r="AP141" s="352">
        <f t="shared" si="174"/>
        <v>22922.755678000147</v>
      </c>
      <c r="AQ141" s="352">
        <f t="shared" si="174"/>
        <v>21463.615954250148</v>
      </c>
      <c r="AR141" s="352">
        <f t="shared" si="174"/>
        <v>21540.258857400149</v>
      </c>
      <c r="AS141" s="352">
        <f t="shared" si="174"/>
        <v>22544.624906740159</v>
      </c>
    </row>
    <row r="142" spans="3:45" s="346" customFormat="1" outlineLevel="1">
      <c r="C142" s="389" t="s">
        <v>249</v>
      </c>
      <c r="E142" s="551"/>
      <c r="F142" s="551"/>
      <c r="G142" s="551"/>
      <c r="H142" s="551"/>
      <c r="I142" s="551"/>
      <c r="J142" s="551"/>
      <c r="K142" s="551"/>
      <c r="L142" s="551"/>
      <c r="M142" s="551"/>
      <c r="N142" s="551"/>
      <c r="O142" s="551"/>
      <c r="P142" s="551"/>
      <c r="Q142" s="551"/>
      <c r="R142" s="413">
        <f t="shared" ref="R142:AA142" si="175">+R141/R119</f>
        <v>0.30457437140260529</v>
      </c>
      <c r="S142" s="413">
        <f t="shared" si="175"/>
        <v>0.24460656591974986</v>
      </c>
      <c r="T142" s="413">
        <f t="shared" si="175"/>
        <v>0.2437527834133307</v>
      </c>
      <c r="U142" s="413">
        <f t="shared" si="175"/>
        <v>0.24958304191101308</v>
      </c>
      <c r="V142" s="413">
        <f t="shared" si="175"/>
        <v>0.25340959084909809</v>
      </c>
      <c r="W142" s="413">
        <f t="shared" si="175"/>
        <v>0.26045407158577549</v>
      </c>
      <c r="X142" s="413">
        <f t="shared" si="175"/>
        <v>0.27567195037904896</v>
      </c>
      <c r="Y142" s="413">
        <f t="shared" si="175"/>
        <v>0.25600560163740171</v>
      </c>
      <c r="Z142" s="413">
        <f t="shared" si="175"/>
        <v>0.27626396158204286</v>
      </c>
      <c r="AA142" s="413">
        <f t="shared" si="175"/>
        <v>0.29026372532758332</v>
      </c>
      <c r="AB142" s="413">
        <f>+AB141/AB119</f>
        <v>0.29566864632398115</v>
      </c>
      <c r="AC142" s="413">
        <f>+AC141/AC119</f>
        <v>0.3222095443185865</v>
      </c>
      <c r="AD142" s="413">
        <f>+AD141/AD119</f>
        <v>0.32184327243489547</v>
      </c>
      <c r="AE142" s="413">
        <f>+AE141/AE119</f>
        <v>0.33676705616231517</v>
      </c>
      <c r="AF142" s="413">
        <f>+AF141/AF119</f>
        <v>0.33692866248672915</v>
      </c>
      <c r="AG142" s="189"/>
      <c r="AH142" s="413">
        <f t="shared" ref="AH142:AS142" si="176">+AH141/AH119</f>
        <v>0.35212099516735279</v>
      </c>
      <c r="AI142" s="413">
        <f t="shared" si="176"/>
        <v>0.36235209104868576</v>
      </c>
      <c r="AJ142" s="413">
        <f t="shared" si="176"/>
        <v>0.35238543522845711</v>
      </c>
      <c r="AK142" s="413">
        <f t="shared" si="176"/>
        <v>0.32462835200203949</v>
      </c>
      <c r="AL142" s="413">
        <f t="shared" si="176"/>
        <v>0</v>
      </c>
      <c r="AM142" s="413">
        <f t="shared" si="176"/>
        <v>0.27113180018064337</v>
      </c>
      <c r="AN142" s="413">
        <f t="shared" si="176"/>
        <v>0.25986282578875169</v>
      </c>
      <c r="AO142" s="413">
        <f t="shared" si="176"/>
        <v>0.27969164056853768</v>
      </c>
      <c r="AP142" s="413">
        <f t="shared" si="176"/>
        <v>0.32921631202852508</v>
      </c>
      <c r="AQ142" s="413">
        <f t="shared" si="176"/>
        <v>0.32676341852482005</v>
      </c>
      <c r="AR142" s="413">
        <f t="shared" si="176"/>
        <v>0.31687255479393583</v>
      </c>
      <c r="AS142" s="413">
        <f t="shared" si="176"/>
        <v>0.31701058130153614</v>
      </c>
    </row>
    <row r="143" spans="3:45" s="342" customFormat="1">
      <c r="E143" s="353"/>
      <c r="F143" s="353"/>
      <c r="G143" s="353"/>
      <c r="H143" s="353"/>
      <c r="I143" s="353"/>
      <c r="J143" s="353"/>
      <c r="K143" s="353"/>
      <c r="L143" s="353"/>
      <c r="M143" s="353"/>
      <c r="N143" s="353"/>
      <c r="O143" s="353"/>
      <c r="P143" s="353"/>
      <c r="Q143" s="353"/>
      <c r="R143" s="353"/>
      <c r="S143" s="353"/>
      <c r="T143" s="353"/>
      <c r="U143" s="353"/>
      <c r="V143" s="353"/>
      <c r="W143" s="353"/>
      <c r="X143" s="353"/>
      <c r="Y143" s="353"/>
      <c r="Z143" s="353"/>
      <c r="AA143" s="353"/>
      <c r="AB143" s="353"/>
      <c r="AG143" s="36"/>
      <c r="AH143" s="353"/>
      <c r="AI143" s="353"/>
      <c r="AJ143" s="353"/>
      <c r="AK143" s="353"/>
      <c r="AL143" s="353"/>
      <c r="AM143" s="353"/>
      <c r="AN143" s="353"/>
      <c r="AO143" s="353"/>
      <c r="AP143" s="353"/>
    </row>
    <row r="144" spans="3:45">
      <c r="C144" s="338" t="s">
        <v>250</v>
      </c>
      <c r="E144" s="344">
        <f t="shared" ref="E144:AB144" si="177">E32</f>
        <v>2568</v>
      </c>
      <c r="F144" s="344">
        <f t="shared" si="177"/>
        <v>1318</v>
      </c>
      <c r="G144" s="344">
        <f t="shared" si="177"/>
        <v>4462</v>
      </c>
      <c r="H144" s="344">
        <f t="shared" si="177"/>
        <v>4785</v>
      </c>
      <c r="I144" s="344">
        <f t="shared" si="177"/>
        <v>3632</v>
      </c>
      <c r="J144" s="344">
        <f t="shared" si="177"/>
        <v>3842</v>
      </c>
      <c r="K144" s="344">
        <f t="shared" si="177"/>
        <v>5141</v>
      </c>
      <c r="L144" s="344">
        <f t="shared" si="177"/>
        <v>5435</v>
      </c>
      <c r="M144" s="344">
        <f t="shared" si="177"/>
        <v>4470</v>
      </c>
      <c r="N144" s="344">
        <f t="shared" si="177"/>
        <v>5273</v>
      </c>
      <c r="O144" s="344">
        <f t="shared" si="177"/>
        <v>7349</v>
      </c>
      <c r="P144" s="344">
        <f t="shared" si="177"/>
        <v>6224</v>
      </c>
      <c r="Q144" s="344">
        <f t="shared" si="177"/>
        <v>4174</v>
      </c>
      <c r="R144" s="344">
        <f t="shared" si="177"/>
        <v>4617</v>
      </c>
      <c r="S144" s="344">
        <f t="shared" si="177"/>
        <v>6447</v>
      </c>
      <c r="T144" s="344">
        <f t="shared" si="177"/>
        <v>6797</v>
      </c>
      <c r="U144" s="344">
        <f t="shared" si="177"/>
        <v>7038</v>
      </c>
      <c r="V144" s="344">
        <f t="shared" si="177"/>
        <v>5697</v>
      </c>
      <c r="W144" s="344">
        <f t="shared" si="177"/>
        <v>5059</v>
      </c>
      <c r="X144" s="344">
        <f t="shared" si="177"/>
        <v>5884</v>
      </c>
      <c r="Y144" s="344">
        <f t="shared" si="177"/>
        <v>3694</v>
      </c>
      <c r="Z144" s="344">
        <f t="shared" si="177"/>
        <v>5546</v>
      </c>
      <c r="AA144" s="344">
        <f t="shared" si="177"/>
        <v>5227</v>
      </c>
      <c r="AB144" s="344">
        <f t="shared" si="177"/>
        <v>4989</v>
      </c>
      <c r="AC144" s="344">
        <f>+AC150-SUM(AC145:AC149)</f>
        <v>3200.266373101872</v>
      </c>
      <c r="AD144" s="344">
        <f>+AD150-SUM(AD145:AD149)</f>
        <v>1949.5822481018724</v>
      </c>
      <c r="AE144" s="344">
        <f>+AE150-SUM(AE145:AE149)</f>
        <v>1485.0011231018718</v>
      </c>
      <c r="AF144" s="344">
        <f>+AF150-SUM(AF145:AF149)</f>
        <v>1061.0076231018722</v>
      </c>
      <c r="AH144" s="344">
        <f t="shared" ref="AH144:AO144" si="178">AH32</f>
        <v>15347</v>
      </c>
      <c r="AI144" s="344">
        <f t="shared" si="178"/>
        <v>14002</v>
      </c>
      <c r="AJ144" s="344">
        <f t="shared" si="178"/>
        <v>13133</v>
      </c>
      <c r="AK144" s="344">
        <f t="shared" si="178"/>
        <v>18050</v>
      </c>
      <c r="AL144" s="344">
        <f t="shared" si="178"/>
        <v>23316</v>
      </c>
      <c r="AM144" s="344">
        <f t="shared" si="178"/>
        <v>22035</v>
      </c>
      <c r="AN144" s="473">
        <f t="shared" si="178"/>
        <v>23678</v>
      </c>
      <c r="AO144" s="473">
        <f t="shared" si="178"/>
        <v>19456</v>
      </c>
      <c r="AP144" s="344">
        <f>+AP150-SUM(AP145:AP149)</f>
        <v>7695.8573674074914</v>
      </c>
      <c r="AQ144" s="344">
        <f>+AQ150-SUM(AQ145:AQ149)</f>
        <v>7962.4393899074903</v>
      </c>
      <c r="AR144" s="344">
        <f>+AR150-SUM(AR145:AR149)</f>
        <v>10322.674872869993</v>
      </c>
      <c r="AS144" s="344">
        <f>+AS150-SUM(AS145:AS149)</f>
        <v>11567.407503886239</v>
      </c>
    </row>
    <row r="145" spans="3:47">
      <c r="C145" t="s">
        <v>240</v>
      </c>
      <c r="E145" s="345">
        <v>64</v>
      </c>
      <c r="F145" s="345">
        <v>0</v>
      </c>
      <c r="G145" s="345">
        <v>0</v>
      </c>
      <c r="H145" s="345">
        <v>0</v>
      </c>
      <c r="I145" s="345">
        <v>0</v>
      </c>
      <c r="J145" s="345">
        <v>0</v>
      </c>
      <c r="K145" s="345">
        <v>0</v>
      </c>
      <c r="L145" s="345">
        <v>0</v>
      </c>
      <c r="M145" s="345">
        <v>0</v>
      </c>
      <c r="N145" s="345">
        <v>0</v>
      </c>
      <c r="O145" s="345">
        <v>0</v>
      </c>
      <c r="P145" s="345">
        <v>0</v>
      </c>
      <c r="Q145" s="345">
        <v>0</v>
      </c>
      <c r="R145" s="345">
        <v>0</v>
      </c>
      <c r="S145" s="345">
        <v>0</v>
      </c>
      <c r="T145" s="345">
        <v>0</v>
      </c>
      <c r="U145" s="345">
        <v>0</v>
      </c>
      <c r="V145" s="345">
        <v>0</v>
      </c>
      <c r="W145" s="345">
        <v>0</v>
      </c>
      <c r="X145" s="345">
        <v>0</v>
      </c>
      <c r="Y145" s="345">
        <v>0</v>
      </c>
      <c r="Z145" s="345">
        <v>0</v>
      </c>
      <c r="AA145" s="345">
        <v>0</v>
      </c>
      <c r="AB145" s="345">
        <v>0</v>
      </c>
      <c r="AC145" s="428"/>
      <c r="AD145" s="428"/>
      <c r="AE145" s="428"/>
      <c r="AF145" s="428"/>
      <c r="AH145" s="345">
        <v>0</v>
      </c>
      <c r="AI145" s="345">
        <v>0</v>
      </c>
      <c r="AJ145" s="345">
        <v>64</v>
      </c>
      <c r="AK145" s="345">
        <v>0</v>
      </c>
      <c r="AL145" s="345">
        <v>0</v>
      </c>
      <c r="AM145" s="345">
        <v>0</v>
      </c>
      <c r="AN145" s="345">
        <v>0</v>
      </c>
      <c r="AO145" s="345">
        <v>0</v>
      </c>
      <c r="AP145" s="428"/>
      <c r="AQ145" s="428"/>
      <c r="AR145" s="428"/>
      <c r="AS145" s="428"/>
    </row>
    <row r="146" spans="3:47">
      <c r="C146" t="s">
        <v>242</v>
      </c>
      <c r="E146" s="345">
        <v>226</v>
      </c>
      <c r="F146" s="345">
        <v>161</v>
      </c>
      <c r="G146" s="345">
        <v>0</v>
      </c>
      <c r="H146" s="345">
        <v>0</v>
      </c>
      <c r="I146" s="345">
        <v>0</v>
      </c>
      <c r="J146" s="345">
        <v>0</v>
      </c>
      <c r="K146" s="345">
        <v>27</v>
      </c>
      <c r="L146" s="345">
        <v>28</v>
      </c>
      <c r="M146" s="345">
        <v>0</v>
      </c>
      <c r="N146" s="345">
        <v>0</v>
      </c>
      <c r="O146" s="345">
        <v>0</v>
      </c>
      <c r="P146" s="345">
        <v>0</v>
      </c>
      <c r="Q146" s="345">
        <v>0</v>
      </c>
      <c r="R146" s="345">
        <v>0</v>
      </c>
      <c r="S146" s="345">
        <v>0</v>
      </c>
      <c r="T146" s="345">
        <v>0</v>
      </c>
      <c r="U146" s="345">
        <v>0</v>
      </c>
      <c r="V146" s="345">
        <v>0</v>
      </c>
      <c r="W146" s="345">
        <v>0</v>
      </c>
      <c r="X146" s="345">
        <v>0</v>
      </c>
      <c r="Y146" s="345">
        <v>0</v>
      </c>
      <c r="Z146" s="345">
        <v>0</v>
      </c>
      <c r="AA146" s="345">
        <v>0</v>
      </c>
      <c r="AB146" s="345">
        <v>0</v>
      </c>
      <c r="AC146" s="428"/>
      <c r="AD146" s="428"/>
      <c r="AE146" s="428"/>
      <c r="AF146" s="428"/>
      <c r="AH146" s="345">
        <v>0</v>
      </c>
      <c r="AI146" s="345">
        <v>0</v>
      </c>
      <c r="AJ146" s="345">
        <v>387</v>
      </c>
      <c r="AK146" s="345">
        <v>55</v>
      </c>
      <c r="AL146" s="345">
        <v>0</v>
      </c>
      <c r="AM146" s="345">
        <v>0</v>
      </c>
      <c r="AN146" s="345">
        <v>0</v>
      </c>
      <c r="AO146" s="345">
        <v>0</v>
      </c>
      <c r="AP146" s="428"/>
      <c r="AQ146" s="428"/>
      <c r="AR146" s="428"/>
      <c r="AS146" s="428"/>
      <c r="AU146" s="338" t="s">
        <v>251</v>
      </c>
    </row>
    <row r="147" spans="3:47">
      <c r="C147" s="338" t="s">
        <v>241</v>
      </c>
      <c r="E147" s="345">
        <f>325+100</f>
        <v>425</v>
      </c>
      <c r="F147" s="345">
        <f>324</f>
        <v>324</v>
      </c>
      <c r="G147" s="345">
        <v>309</v>
      </c>
      <c r="H147" s="345">
        <v>273</v>
      </c>
      <c r="I147" s="345">
        <f>247</f>
        <v>247</v>
      </c>
      <c r="J147" s="345">
        <v>235</v>
      </c>
      <c r="K147" s="345">
        <f>292+113</f>
        <v>405</v>
      </c>
      <c r="L147" s="345">
        <v>315</v>
      </c>
      <c r="M147" s="345">
        <v>0</v>
      </c>
      <c r="N147" s="345">
        <v>325</v>
      </c>
      <c r="O147" s="345">
        <v>326</v>
      </c>
      <c r="P147" s="345">
        <v>329</v>
      </c>
      <c r="Q147" s="345">
        <v>331</v>
      </c>
      <c r="R147" s="345">
        <v>337</v>
      </c>
      <c r="S147" s="345">
        <v>338</v>
      </c>
      <c r="T147" s="345">
        <v>318</v>
      </c>
      <c r="U147" s="345">
        <v>339</v>
      </c>
      <c r="V147" s="345">
        <v>352</v>
      </c>
      <c r="W147" s="345">
        <v>362</v>
      </c>
      <c r="X147" s="345">
        <v>363</v>
      </c>
      <c r="Y147" s="345">
        <v>364</v>
      </c>
      <c r="Z147" s="345">
        <v>366</v>
      </c>
      <c r="AA147" s="345">
        <v>375</v>
      </c>
      <c r="AB147" s="345">
        <v>387</v>
      </c>
      <c r="AC147" s="372">
        <f>+AC124-AC139</f>
        <v>361.53148864809083</v>
      </c>
      <c r="AD147" s="372">
        <f>+AD124-AD139</f>
        <v>361.53148864809083</v>
      </c>
      <c r="AE147" s="372">
        <f>+AE124-AE139</f>
        <v>361.53148864809083</v>
      </c>
      <c r="AF147" s="372">
        <f>+AF124-AF139</f>
        <v>361.53148864809083</v>
      </c>
      <c r="AH147" s="345">
        <v>0</v>
      </c>
      <c r="AI147" s="345">
        <v>608</v>
      </c>
      <c r="AJ147" s="345">
        <f>1231+100</f>
        <v>1331</v>
      </c>
      <c r="AK147" s="345">
        <f>1089+113</f>
        <v>1202</v>
      </c>
      <c r="AL147" s="345">
        <v>1305</v>
      </c>
      <c r="AM147" s="345">
        <v>1324</v>
      </c>
      <c r="AN147" s="454">
        <v>1416</v>
      </c>
      <c r="AO147" s="454">
        <v>1492</v>
      </c>
      <c r="AP147" s="372">
        <f>+AP124-AP139</f>
        <v>1446.1259545923633</v>
      </c>
      <c r="AQ147" s="372">
        <f>+AQ124-AQ139</f>
        <v>1446.1259545923633</v>
      </c>
      <c r="AR147" s="372">
        <f>+AR124-AR139</f>
        <v>1446.1259545923633</v>
      </c>
      <c r="AS147" s="372">
        <f>+AS124-AS139</f>
        <v>1446.1259545923633</v>
      </c>
    </row>
    <row r="148" spans="3:47">
      <c r="C148" s="338" t="s">
        <v>188</v>
      </c>
      <c r="E148" s="345">
        <v>0</v>
      </c>
      <c r="F148" s="345">
        <v>1414</v>
      </c>
      <c r="G148" s="345">
        <v>372</v>
      </c>
      <c r="H148" s="345">
        <v>100</v>
      </c>
      <c r="I148" s="345">
        <v>80</v>
      </c>
      <c r="J148" s="345">
        <v>105</v>
      </c>
      <c r="K148" s="345">
        <v>4</v>
      </c>
      <c r="L148" s="345">
        <v>195</v>
      </c>
      <c r="M148" s="345">
        <v>325</v>
      </c>
      <c r="N148" s="345">
        <v>0</v>
      </c>
      <c r="O148" s="345">
        <v>-72</v>
      </c>
      <c r="P148" s="345">
        <v>0</v>
      </c>
      <c r="Q148" s="345">
        <v>0</v>
      </c>
      <c r="R148" s="345">
        <v>184</v>
      </c>
      <c r="S148" s="345">
        <v>104</v>
      </c>
      <c r="T148" s="345">
        <v>105</v>
      </c>
      <c r="U148" s="345">
        <v>162</v>
      </c>
      <c r="V148" s="345">
        <v>9</v>
      </c>
      <c r="W148" s="345">
        <v>-25</v>
      </c>
      <c r="X148" s="345">
        <v>52</v>
      </c>
      <c r="Y148" s="345">
        <v>2209</v>
      </c>
      <c r="Z148" s="345">
        <v>346</v>
      </c>
      <c r="AA148" s="345">
        <v>42</v>
      </c>
      <c r="AB148" s="345">
        <v>29</v>
      </c>
      <c r="AC148" s="345">
        <v>15</v>
      </c>
      <c r="AD148" s="345">
        <v>15</v>
      </c>
      <c r="AE148" s="345">
        <v>15</v>
      </c>
      <c r="AF148" s="345">
        <v>15</v>
      </c>
      <c r="AH148" s="345">
        <v>0</v>
      </c>
      <c r="AI148" s="345">
        <v>354</v>
      </c>
      <c r="AJ148" s="345">
        <v>1886</v>
      </c>
      <c r="AK148" s="345">
        <v>384</v>
      </c>
      <c r="AL148" s="345">
        <v>-72</v>
      </c>
      <c r="AM148" s="345">
        <v>393</v>
      </c>
      <c r="AN148" s="454">
        <v>198</v>
      </c>
      <c r="AO148" s="454">
        <v>2626</v>
      </c>
      <c r="AP148" s="344">
        <f>+SUMIF($E$5:$AF$5,AP$5,$E148:$AF148)</f>
        <v>60</v>
      </c>
      <c r="AQ148" s="454">
        <v>0</v>
      </c>
      <c r="AR148" s="454">
        <v>0</v>
      </c>
      <c r="AS148" s="454">
        <v>0</v>
      </c>
      <c r="AU148"/>
    </row>
    <row r="149" spans="3:47">
      <c r="C149" s="338" t="s">
        <v>237</v>
      </c>
      <c r="E149" s="345">
        <v>0</v>
      </c>
      <c r="F149" s="345">
        <v>0</v>
      </c>
      <c r="G149" s="345">
        <v>0</v>
      </c>
      <c r="H149" s="345">
        <v>0</v>
      </c>
      <c r="I149" s="345">
        <v>0</v>
      </c>
      <c r="J149" s="345">
        <v>0</v>
      </c>
      <c r="K149" s="345">
        <v>0</v>
      </c>
      <c r="L149" s="345">
        <v>0</v>
      </c>
      <c r="M149" s="345">
        <v>0</v>
      </c>
      <c r="N149" s="345">
        <v>0</v>
      </c>
      <c r="O149" s="345">
        <v>0</v>
      </c>
      <c r="P149" s="345">
        <v>0</v>
      </c>
      <c r="Q149" s="345">
        <v>0</v>
      </c>
      <c r="R149" s="345">
        <v>0</v>
      </c>
      <c r="S149" s="345">
        <v>0</v>
      </c>
      <c r="T149" s="345">
        <v>0</v>
      </c>
      <c r="U149" s="345">
        <v>-190</v>
      </c>
      <c r="V149" s="345">
        <v>-423</v>
      </c>
      <c r="W149" s="345">
        <v>-145</v>
      </c>
      <c r="X149" s="345">
        <v>-179</v>
      </c>
      <c r="Y149" s="345">
        <v>-171</v>
      </c>
      <c r="Z149" s="345">
        <v>-402</v>
      </c>
      <c r="AA149" s="345">
        <v>-442</v>
      </c>
      <c r="AB149" s="345">
        <v>-354</v>
      </c>
      <c r="AC149" s="372">
        <f t="shared" ref="AC149:AF150" si="179">+AC126-AC140</f>
        <v>0</v>
      </c>
      <c r="AD149" s="372">
        <f t="shared" si="179"/>
        <v>0</v>
      </c>
      <c r="AE149" s="372">
        <f t="shared" si="179"/>
        <v>0</v>
      </c>
      <c r="AF149" s="372">
        <f t="shared" si="179"/>
        <v>0</v>
      </c>
      <c r="AH149" s="345">
        <v>0</v>
      </c>
      <c r="AI149" s="345">
        <v>0</v>
      </c>
      <c r="AJ149" s="345">
        <v>0</v>
      </c>
      <c r="AK149" s="345">
        <v>0</v>
      </c>
      <c r="AL149" s="345">
        <v>0</v>
      </c>
      <c r="AM149" s="345">
        <v>0</v>
      </c>
      <c r="AN149" s="454">
        <v>-937</v>
      </c>
      <c r="AO149" s="454">
        <v>-1369</v>
      </c>
      <c r="AP149" s="372">
        <f t="shared" ref="AP149:AS150" si="180">+AP126-AP140</f>
        <v>0</v>
      </c>
      <c r="AQ149" s="372">
        <f t="shared" si="180"/>
        <v>0</v>
      </c>
      <c r="AR149" s="372">
        <f t="shared" si="180"/>
        <v>0</v>
      </c>
      <c r="AS149" s="372">
        <f t="shared" si="180"/>
        <v>0</v>
      </c>
    </row>
    <row r="150" spans="3:47" s="342" customFormat="1">
      <c r="C150" s="343" t="s">
        <v>252</v>
      </c>
      <c r="E150" s="352">
        <f t="shared" ref="E150:Z150" si="181">SUM(E144:E149)</f>
        <v>3283</v>
      </c>
      <c r="F150" s="352">
        <f t="shared" si="181"/>
        <v>3217</v>
      </c>
      <c r="G150" s="352">
        <f t="shared" si="181"/>
        <v>5143</v>
      </c>
      <c r="H150" s="352">
        <f t="shared" si="181"/>
        <v>5158</v>
      </c>
      <c r="I150" s="352">
        <f t="shared" si="181"/>
        <v>3959</v>
      </c>
      <c r="J150" s="352">
        <f t="shared" si="181"/>
        <v>4182</v>
      </c>
      <c r="K150" s="352">
        <f t="shared" si="181"/>
        <v>5577</v>
      </c>
      <c r="L150" s="352">
        <f t="shared" si="181"/>
        <v>5973</v>
      </c>
      <c r="M150" s="352">
        <f t="shared" si="181"/>
        <v>4795</v>
      </c>
      <c r="N150" s="352">
        <f t="shared" si="181"/>
        <v>5598</v>
      </c>
      <c r="O150" s="352">
        <f t="shared" si="181"/>
        <v>7603</v>
      </c>
      <c r="P150" s="352">
        <f t="shared" si="181"/>
        <v>6553</v>
      </c>
      <c r="Q150" s="352">
        <f t="shared" si="181"/>
        <v>4505</v>
      </c>
      <c r="R150" s="352">
        <f t="shared" si="181"/>
        <v>5138</v>
      </c>
      <c r="S150" s="352">
        <f t="shared" si="181"/>
        <v>6889</v>
      </c>
      <c r="T150" s="352">
        <f t="shared" si="181"/>
        <v>7220</v>
      </c>
      <c r="U150" s="352">
        <f t="shared" si="181"/>
        <v>7349</v>
      </c>
      <c r="V150" s="352">
        <f t="shared" si="181"/>
        <v>5635</v>
      </c>
      <c r="W150" s="352">
        <f t="shared" si="181"/>
        <v>5251</v>
      </c>
      <c r="X150" s="352">
        <f t="shared" si="181"/>
        <v>6120</v>
      </c>
      <c r="Y150" s="352">
        <f t="shared" si="181"/>
        <v>6096</v>
      </c>
      <c r="Z150" s="352">
        <f t="shared" si="181"/>
        <v>5856</v>
      </c>
      <c r="AA150" s="352">
        <f>SUM(AA144:AA149)</f>
        <v>5202</v>
      </c>
      <c r="AB150" s="352">
        <f>SUM(AB144:AB149)</f>
        <v>5051</v>
      </c>
      <c r="AC150" s="474">
        <f t="shared" si="179"/>
        <v>3576.797861749963</v>
      </c>
      <c r="AD150" s="474">
        <f t="shared" si="179"/>
        <v>2326.1137367499632</v>
      </c>
      <c r="AE150" s="474">
        <f t="shared" si="179"/>
        <v>1861.5326117499626</v>
      </c>
      <c r="AF150" s="474">
        <f t="shared" si="179"/>
        <v>1437.539111749963</v>
      </c>
      <c r="AG150" s="429"/>
      <c r="AH150" s="352">
        <f t="shared" ref="AH150:AO150" si="182">SUM(AH144:AH149)</f>
        <v>15347</v>
      </c>
      <c r="AI150" s="352">
        <f t="shared" si="182"/>
        <v>14964</v>
      </c>
      <c r="AJ150" s="352">
        <f t="shared" si="182"/>
        <v>16801</v>
      </c>
      <c r="AK150" s="352">
        <f t="shared" si="182"/>
        <v>19691</v>
      </c>
      <c r="AL150" s="352">
        <f t="shared" si="182"/>
        <v>24549</v>
      </c>
      <c r="AM150" s="352">
        <f t="shared" si="182"/>
        <v>23752</v>
      </c>
      <c r="AN150" s="474">
        <f t="shared" si="182"/>
        <v>24355</v>
      </c>
      <c r="AO150" s="474">
        <f t="shared" si="182"/>
        <v>22205</v>
      </c>
      <c r="AP150" s="474">
        <f t="shared" si="180"/>
        <v>9201.9833219998545</v>
      </c>
      <c r="AQ150" s="474">
        <f t="shared" si="180"/>
        <v>9408.5653444998534</v>
      </c>
      <c r="AR150" s="474">
        <f t="shared" si="180"/>
        <v>11768.800827462357</v>
      </c>
      <c r="AS150" s="474">
        <f t="shared" si="180"/>
        <v>13013.533458478603</v>
      </c>
    </row>
    <row r="151" spans="3:47">
      <c r="C151" s="361" t="s">
        <v>253</v>
      </c>
      <c r="E151" s="344">
        <f t="shared" ref="E151:AB151" si="183">+E306+E309</f>
        <v>2015</v>
      </c>
      <c r="F151" s="344">
        <f t="shared" si="183"/>
        <v>1917</v>
      </c>
      <c r="G151" s="344">
        <f t="shared" si="183"/>
        <v>1928</v>
      </c>
      <c r="H151" s="344">
        <f t="shared" si="183"/>
        <v>1930</v>
      </c>
      <c r="I151" s="344">
        <f t="shared" si="183"/>
        <v>1946</v>
      </c>
      <c r="J151" s="344">
        <f t="shared" si="183"/>
        <v>1539</v>
      </c>
      <c r="K151" s="344">
        <f t="shared" si="183"/>
        <v>2504</v>
      </c>
      <c r="L151" s="344">
        <f t="shared" si="183"/>
        <v>2140</v>
      </c>
      <c r="M151" s="344">
        <f t="shared" si="183"/>
        <v>2196</v>
      </c>
      <c r="N151" s="344">
        <f t="shared" si="183"/>
        <v>2122</v>
      </c>
      <c r="O151" s="344">
        <f t="shared" si="183"/>
        <v>2274</v>
      </c>
      <c r="P151" s="344">
        <f t="shared" si="183"/>
        <v>2493</v>
      </c>
      <c r="Q151" s="344">
        <f t="shared" si="183"/>
        <v>2625</v>
      </c>
      <c r="R151" s="344">
        <f t="shared" si="183"/>
        <v>2554</v>
      </c>
      <c r="S151" s="344">
        <f t="shared" si="183"/>
        <v>2679</v>
      </c>
      <c r="T151" s="344">
        <f t="shared" si="183"/>
        <v>2968</v>
      </c>
      <c r="U151" s="344">
        <f t="shared" si="183"/>
        <v>3050</v>
      </c>
      <c r="V151" s="344">
        <f t="shared" si="183"/>
        <v>3063</v>
      </c>
      <c r="W151" s="344">
        <f t="shared" si="183"/>
        <v>3123</v>
      </c>
      <c r="X151" s="344">
        <f t="shared" si="183"/>
        <v>3003</v>
      </c>
      <c r="Y151" s="344">
        <f t="shared" si="183"/>
        <v>2902</v>
      </c>
      <c r="Z151" s="344">
        <f t="shared" si="183"/>
        <v>2857</v>
      </c>
      <c r="AA151" s="344">
        <f t="shared" si="183"/>
        <v>2959</v>
      </c>
      <c r="AB151" s="344">
        <f t="shared" si="183"/>
        <v>3074</v>
      </c>
      <c r="AC151" s="344">
        <f>+AC306+AC309</f>
        <v>2942.8874999999998</v>
      </c>
      <c r="AD151" s="344">
        <f>+AD306+AD309</f>
        <v>2942.8874999999998</v>
      </c>
      <c r="AE151" s="344">
        <f>+AE306+AE309</f>
        <v>3442.8874999999998</v>
      </c>
      <c r="AF151" s="344">
        <f>+AF306+AF309</f>
        <v>3442.8874999999998</v>
      </c>
      <c r="AG151"/>
      <c r="AH151" s="344">
        <f t="shared" ref="AH151:AN151" si="184">+AH306+AH309</f>
        <v>8549</v>
      </c>
      <c r="AI151" s="344">
        <f t="shared" si="184"/>
        <v>8711</v>
      </c>
      <c r="AJ151" s="344">
        <f t="shared" si="184"/>
        <v>7790</v>
      </c>
      <c r="AK151" s="344">
        <f t="shared" si="184"/>
        <v>8129</v>
      </c>
      <c r="AL151" s="344">
        <f t="shared" si="184"/>
        <v>9085</v>
      </c>
      <c r="AM151" s="344">
        <f t="shared" si="184"/>
        <v>10826</v>
      </c>
      <c r="AN151" s="344">
        <f t="shared" si="184"/>
        <v>12239</v>
      </c>
      <c r="AO151" s="344">
        <f>+AO306+AO309</f>
        <v>11792</v>
      </c>
      <c r="AP151" s="344">
        <f>+AP306+AP309</f>
        <v>12771.55</v>
      </c>
      <c r="AQ151" s="344">
        <f>+AQ306+AQ309</f>
        <v>14330.782775723377</v>
      </c>
      <c r="AR151" s="344">
        <f>+AR306+AR309</f>
        <v>15170.196475475308</v>
      </c>
      <c r="AS151" s="344">
        <f>+AS306+AS309</f>
        <v>15502.135187518677</v>
      </c>
    </row>
    <row r="152" spans="3:47" s="343" customFormat="1">
      <c r="C152" s="360" t="s">
        <v>74</v>
      </c>
      <c r="E152" s="474">
        <f t="shared" ref="E152:AF152" si="185">+E150+E151</f>
        <v>5298</v>
      </c>
      <c r="F152" s="474">
        <f t="shared" si="185"/>
        <v>5134</v>
      </c>
      <c r="G152" s="474">
        <f t="shared" si="185"/>
        <v>7071</v>
      </c>
      <c r="H152" s="474">
        <f t="shared" si="185"/>
        <v>7088</v>
      </c>
      <c r="I152" s="474">
        <f t="shared" si="185"/>
        <v>5905</v>
      </c>
      <c r="J152" s="474">
        <f t="shared" si="185"/>
        <v>5721</v>
      </c>
      <c r="K152" s="474">
        <f t="shared" si="185"/>
        <v>8081</v>
      </c>
      <c r="L152" s="474">
        <f t="shared" si="185"/>
        <v>8113</v>
      </c>
      <c r="M152" s="474">
        <f t="shared" si="185"/>
        <v>6991</v>
      </c>
      <c r="N152" s="474">
        <f t="shared" si="185"/>
        <v>7720</v>
      </c>
      <c r="O152" s="474">
        <f t="shared" si="185"/>
        <v>9877</v>
      </c>
      <c r="P152" s="474">
        <f t="shared" si="185"/>
        <v>9046</v>
      </c>
      <c r="Q152" s="474">
        <f t="shared" si="185"/>
        <v>7130</v>
      </c>
      <c r="R152" s="474">
        <f t="shared" si="185"/>
        <v>7692</v>
      </c>
      <c r="S152" s="474">
        <f t="shared" si="185"/>
        <v>9568</v>
      </c>
      <c r="T152" s="474">
        <f t="shared" si="185"/>
        <v>10188</v>
      </c>
      <c r="U152" s="474">
        <f t="shared" si="185"/>
        <v>10399</v>
      </c>
      <c r="V152" s="474">
        <f t="shared" si="185"/>
        <v>8698</v>
      </c>
      <c r="W152" s="474">
        <f t="shared" si="185"/>
        <v>8374</v>
      </c>
      <c r="X152" s="474">
        <f t="shared" si="185"/>
        <v>9123</v>
      </c>
      <c r="Y152" s="474">
        <f t="shared" si="185"/>
        <v>8998</v>
      </c>
      <c r="Z152" s="474">
        <f t="shared" si="185"/>
        <v>8713</v>
      </c>
      <c r="AA152" s="474">
        <f t="shared" si="185"/>
        <v>8161</v>
      </c>
      <c r="AB152" s="474">
        <f t="shared" si="185"/>
        <v>8125</v>
      </c>
      <c r="AC152" s="474">
        <f t="shared" si="185"/>
        <v>6519.6853617499628</v>
      </c>
      <c r="AD152" s="474">
        <f t="shared" si="185"/>
        <v>5269.001236749963</v>
      </c>
      <c r="AE152" s="474">
        <f t="shared" si="185"/>
        <v>5304.4201117499624</v>
      </c>
      <c r="AF152" s="474">
        <f t="shared" si="185"/>
        <v>4880.4266117499628</v>
      </c>
      <c r="AG152" s="511"/>
      <c r="AH152" s="474">
        <f t="shared" ref="AH152:AN152" si="186">+AH150+AH151</f>
        <v>23896</v>
      </c>
      <c r="AI152" s="474">
        <f t="shared" si="186"/>
        <v>23675</v>
      </c>
      <c r="AJ152" s="474">
        <f t="shared" si="186"/>
        <v>24591</v>
      </c>
      <c r="AK152" s="474">
        <f t="shared" si="186"/>
        <v>27820</v>
      </c>
      <c r="AL152" s="474">
        <f t="shared" si="186"/>
        <v>33634</v>
      </c>
      <c r="AM152" s="474">
        <f t="shared" si="186"/>
        <v>34578</v>
      </c>
      <c r="AN152" s="474">
        <f t="shared" si="186"/>
        <v>36594</v>
      </c>
      <c r="AO152" s="474">
        <f>+AO150+AO151</f>
        <v>33997</v>
      </c>
      <c r="AP152" s="474">
        <f>+AP150+AP151</f>
        <v>21973.533321999854</v>
      </c>
      <c r="AQ152" s="474">
        <f>+AQ150+AQ151</f>
        <v>23739.348120223229</v>
      </c>
      <c r="AR152" s="474">
        <f>+AR150+AR151</f>
        <v>26938.997302937663</v>
      </c>
      <c r="AS152" s="474">
        <f>+AS150+AS151</f>
        <v>28515.668645997281</v>
      </c>
    </row>
    <row r="153" spans="3:47" s="342" customFormat="1">
      <c r="E153" s="353"/>
      <c r="F153" s="353"/>
      <c r="G153" s="353"/>
      <c r="H153" s="353"/>
      <c r="I153" s="353"/>
      <c r="J153" s="353"/>
      <c r="K153" s="353"/>
      <c r="L153" s="353"/>
      <c r="M153" s="353"/>
      <c r="N153" s="353"/>
      <c r="O153" s="353"/>
      <c r="P153" s="353"/>
      <c r="Q153" s="353"/>
      <c r="R153" s="353"/>
      <c r="S153" s="353"/>
      <c r="T153" s="353"/>
      <c r="U153" s="353"/>
      <c r="V153" s="353"/>
      <c r="W153" s="353"/>
      <c r="X153" s="353"/>
      <c r="Y153" s="353"/>
      <c r="Z153" s="353"/>
      <c r="AA153" s="353"/>
      <c r="AB153" s="353"/>
      <c r="AG153" s="429"/>
      <c r="AH153" s="353"/>
      <c r="AI153" s="353"/>
      <c r="AJ153" s="353"/>
      <c r="AK153" s="353"/>
      <c r="AL153" s="353"/>
      <c r="AM153" s="353"/>
      <c r="AN153" s="353"/>
      <c r="AO153" s="353"/>
    </row>
    <row r="154" spans="3:47">
      <c r="C154" s="338" t="s">
        <v>254</v>
      </c>
      <c r="E154" s="453">
        <f t="shared" ref="E154:AB154" si="187">E34</f>
        <v>0.18741789519778135</v>
      </c>
      <c r="F154" s="453">
        <f t="shared" si="187"/>
        <v>9.7391561368506616E-2</v>
      </c>
      <c r="G154" s="453">
        <f t="shared" si="187"/>
        <v>0.28279883381924198</v>
      </c>
      <c r="H154" s="453">
        <f t="shared" si="187"/>
        <v>0.2922315866617809</v>
      </c>
      <c r="I154" s="453">
        <f t="shared" si="187"/>
        <v>0.24547174912138417</v>
      </c>
      <c r="J154" s="453">
        <f t="shared" si="187"/>
        <v>0.26024520761362868</v>
      </c>
      <c r="K154" s="453">
        <f t="shared" si="187"/>
        <v>0.31834788531797636</v>
      </c>
      <c r="L154" s="453">
        <f t="shared" si="187"/>
        <v>0.31871225004398052</v>
      </c>
      <c r="M154" s="453">
        <f t="shared" si="187"/>
        <v>0.27822731233661147</v>
      </c>
      <c r="N154" s="453">
        <f t="shared" si="187"/>
        <v>0.3108713595094918</v>
      </c>
      <c r="O154" s="453">
        <f t="shared" si="187"/>
        <v>0.38349945206909147</v>
      </c>
      <c r="P154" s="453">
        <f t="shared" si="187"/>
        <v>0.33360132925979524</v>
      </c>
      <c r="Q154" s="453">
        <f t="shared" si="187"/>
        <v>0.25988419151983067</v>
      </c>
      <c r="R154" s="453">
        <f t="shared" si="187"/>
        <v>0.27973341411693425</v>
      </c>
      <c r="S154" s="453">
        <f t="shared" si="187"/>
        <v>0.33595622720166751</v>
      </c>
      <c r="T154" s="453">
        <f t="shared" si="187"/>
        <v>0.33633529615517838</v>
      </c>
      <c r="U154" s="453">
        <f t="shared" si="187"/>
        <v>0.35495259229372605</v>
      </c>
      <c r="V154" s="453">
        <f t="shared" si="187"/>
        <v>0.28877737226277372</v>
      </c>
      <c r="W154" s="453">
        <f t="shared" si="187"/>
        <v>0.27595047182676047</v>
      </c>
      <c r="X154" s="453">
        <f t="shared" si="187"/>
        <v>0.2945239763740114</v>
      </c>
      <c r="Y154" s="453">
        <f t="shared" si="187"/>
        <v>0.18777004015655976</v>
      </c>
      <c r="Z154" s="453">
        <f t="shared" si="187"/>
        <v>0.28251235291121185</v>
      </c>
      <c r="AA154" s="453">
        <f t="shared" si="187"/>
        <v>0.27235306377657359</v>
      </c>
      <c r="AB154" s="453">
        <f t="shared" si="187"/>
        <v>0.24303390491036633</v>
      </c>
      <c r="AC154" s="453">
        <f>+AC158-SUM(AC155:AC157)</f>
        <v>0.16802165057565582</v>
      </c>
      <c r="AD154" s="453">
        <f>+AD158-SUM(AD155:AD157)</f>
        <v>0.11579309268561662</v>
      </c>
      <c r="AE154" s="453">
        <f>+AE158-SUM(AE155:AE157)</f>
        <v>9.0329359641473109E-2</v>
      </c>
      <c r="AF154" s="453">
        <f>+AF158-SUM(AF155:AF157)</f>
        <v>6.1312643003886017E-2</v>
      </c>
      <c r="AH154" s="453">
        <f t="shared" ref="AH154:AO154" si="188">AH34</f>
        <v>0.27469124753892965</v>
      </c>
      <c r="AI154" s="453">
        <f t="shared" si="188"/>
        <v>0.25294914641857102</v>
      </c>
      <c r="AJ154" s="453">
        <f t="shared" si="188"/>
        <v>0.22114267432266321</v>
      </c>
      <c r="AK154" s="453">
        <f t="shared" si="188"/>
        <v>0.28759898663182548</v>
      </c>
      <c r="AL154" s="453">
        <f t="shared" si="188"/>
        <v>0.32909891598915991</v>
      </c>
      <c r="AM154" s="453">
        <f t="shared" si="188"/>
        <v>0.30619050927534219</v>
      </c>
      <c r="AN154" s="453">
        <f t="shared" si="188"/>
        <v>0.30408260238611995</v>
      </c>
      <c r="AO154" s="453">
        <f t="shared" si="188"/>
        <v>0.24620368495646891</v>
      </c>
      <c r="AP154" s="453">
        <f>+AP158-SUM(AP155:AP157)</f>
        <v>0.11052780110669869</v>
      </c>
      <c r="AQ154" s="453">
        <f>+AQ158-SUM(AQ155:AQ157)</f>
        <v>0.12122067038418327</v>
      </c>
      <c r="AR154" s="453">
        <f>+AR158-SUM(AR155:AR157)</f>
        <v>0.15185390207832811</v>
      </c>
      <c r="AS154" s="453">
        <f>+AS158-SUM(AS155:AS157)</f>
        <v>0.16265476104073079</v>
      </c>
    </row>
    <row r="155" spans="3:47">
      <c r="C155" s="338" t="s">
        <v>241</v>
      </c>
      <c r="E155" s="382">
        <v>0</v>
      </c>
      <c r="F155" s="382">
        <v>0</v>
      </c>
      <c r="G155" s="382">
        <v>0</v>
      </c>
      <c r="H155" s="382">
        <v>0</v>
      </c>
      <c r="I155" s="382">
        <v>0</v>
      </c>
      <c r="J155" s="382">
        <v>0</v>
      </c>
      <c r="K155" s="382">
        <v>0</v>
      </c>
      <c r="L155" s="382">
        <v>0</v>
      </c>
      <c r="M155" s="382">
        <v>0</v>
      </c>
      <c r="N155" s="382">
        <v>0</v>
      </c>
      <c r="O155" s="470"/>
      <c r="P155" s="470"/>
      <c r="Q155" s="470"/>
      <c r="R155" s="470"/>
      <c r="S155" s="470"/>
      <c r="T155" s="382">
        <v>1.6E-2</v>
      </c>
      <c r="U155" s="382">
        <v>1.7000000000000001E-2</v>
      </c>
      <c r="V155" s="382">
        <v>1.7999999999999999E-2</v>
      </c>
      <c r="W155" s="382">
        <v>0.02</v>
      </c>
      <c r="X155" s="382">
        <v>1.7999999999999999E-2</v>
      </c>
      <c r="Y155" s="382">
        <v>1.9E-2</v>
      </c>
      <c r="Z155" s="382">
        <v>1.9E-2</v>
      </c>
      <c r="AA155" s="382">
        <v>0.02</v>
      </c>
      <c r="AB155" s="453">
        <f>AB147/AB$119</f>
        <v>1.9813639156256401E-2</v>
      </c>
      <c r="AC155" s="453">
        <f>AC147/AC$119</f>
        <v>1.8981269174430857E-2</v>
      </c>
      <c r="AD155" s="453">
        <f>AD147/AD$119</f>
        <v>2.1472727921356131E-2</v>
      </c>
      <c r="AE155" s="453">
        <f>AE147/AE$119</f>
        <v>2.1991167112114209E-2</v>
      </c>
      <c r="AF155" s="453">
        <f>AF147/AF$119</f>
        <v>2.0891886745676626E-2</v>
      </c>
      <c r="AH155" s="345">
        <v>0</v>
      </c>
      <c r="AI155" s="345">
        <v>0</v>
      </c>
      <c r="AJ155" s="345">
        <v>0</v>
      </c>
      <c r="AK155" s="345">
        <v>0</v>
      </c>
      <c r="AL155" s="469"/>
      <c r="AM155" s="382">
        <v>1.7999999999999999E-2</v>
      </c>
      <c r="AN155" s="382">
        <v>1.7999999999999999E-2</v>
      </c>
      <c r="AO155" s="382">
        <v>1.9E-2</v>
      </c>
      <c r="AP155" s="453">
        <f t="shared" ref="AP155:AS157" si="189">AP147/AP$119</f>
        <v>2.0769241717153074E-2</v>
      </c>
      <c r="AQ155" s="453">
        <f t="shared" si="189"/>
        <v>2.2015911090996688E-2</v>
      </c>
      <c r="AR155" s="453">
        <f t="shared" si="189"/>
        <v>2.1273543127736091E-2</v>
      </c>
      <c r="AS155" s="453">
        <f t="shared" si="189"/>
        <v>2.0334657657733089E-2</v>
      </c>
    </row>
    <row r="156" spans="3:47">
      <c r="C156" s="338" t="s">
        <v>188</v>
      </c>
      <c r="E156" s="382">
        <v>0</v>
      </c>
      <c r="F156" s="382">
        <v>0</v>
      </c>
      <c r="G156" s="382">
        <v>0</v>
      </c>
      <c r="H156" s="382">
        <v>0</v>
      </c>
      <c r="I156" s="382">
        <v>0</v>
      </c>
      <c r="J156" s="382">
        <v>0</v>
      </c>
      <c r="K156" s="382">
        <v>0</v>
      </c>
      <c r="L156" s="382">
        <v>0</v>
      </c>
      <c r="M156" s="382">
        <v>0</v>
      </c>
      <c r="N156" s="382">
        <v>0</v>
      </c>
      <c r="O156" s="470"/>
      <c r="P156" s="470"/>
      <c r="Q156" s="470"/>
      <c r="R156" s="470"/>
      <c r="S156" s="470"/>
      <c r="T156" s="382">
        <v>5.0000000000000001E-3</v>
      </c>
      <c r="U156" s="382">
        <v>8.0000000000000002E-3</v>
      </c>
      <c r="V156" s="382">
        <v>0</v>
      </c>
      <c r="W156" s="382">
        <v>-1E-3</v>
      </c>
      <c r="X156" s="382">
        <v>3.0000000000000001E-3</v>
      </c>
      <c r="Y156" s="382">
        <v>0.112</v>
      </c>
      <c r="Z156" s="382">
        <v>1.7999999999999999E-2</v>
      </c>
      <c r="AA156" s="382">
        <v>2E-3</v>
      </c>
      <c r="AB156" s="382">
        <v>1E-3</v>
      </c>
      <c r="AC156" s="453">
        <f t="shared" ref="AC156:AF157" si="190">AC148/AC$119</f>
        <v>7.8753593132686699E-4</v>
      </c>
      <c r="AD156" s="453">
        <f t="shared" si="190"/>
        <v>8.9090695813182758E-4</v>
      </c>
      <c r="AE156" s="453">
        <f t="shared" si="190"/>
        <v>9.1241708409748256E-4</v>
      </c>
      <c r="AF156" s="453">
        <f t="shared" si="190"/>
        <v>8.6680776370820359E-4</v>
      </c>
      <c r="AH156" s="345">
        <v>0</v>
      </c>
      <c r="AI156" s="345">
        <v>0</v>
      </c>
      <c r="AJ156" s="345">
        <v>0</v>
      </c>
      <c r="AK156" s="345">
        <v>0</v>
      </c>
      <c r="AL156" s="469"/>
      <c r="AM156" s="382">
        <v>5.0000000000000001E-3</v>
      </c>
      <c r="AN156" s="382">
        <v>3.0000000000000001E-3</v>
      </c>
      <c r="AO156" s="382">
        <v>3.3000000000000002E-2</v>
      </c>
      <c r="AP156" s="453">
        <f t="shared" si="189"/>
        <v>8.6171920161715986E-4</v>
      </c>
      <c r="AQ156" s="453">
        <f t="shared" si="189"/>
        <v>0</v>
      </c>
      <c r="AR156" s="453">
        <f t="shared" si="189"/>
        <v>0</v>
      </c>
      <c r="AS156" s="453">
        <f t="shared" si="189"/>
        <v>0</v>
      </c>
    </row>
    <row r="157" spans="3:47">
      <c r="C157" s="338" t="s">
        <v>237</v>
      </c>
      <c r="E157" s="382">
        <v>0</v>
      </c>
      <c r="F157" s="382">
        <v>0</v>
      </c>
      <c r="G157" s="382">
        <v>0</v>
      </c>
      <c r="H157" s="382">
        <v>0</v>
      </c>
      <c r="I157" s="382">
        <v>0</v>
      </c>
      <c r="J157" s="382">
        <v>0</v>
      </c>
      <c r="K157" s="382">
        <v>0</v>
      </c>
      <c r="L157" s="382">
        <v>0</v>
      </c>
      <c r="M157" s="382">
        <v>0</v>
      </c>
      <c r="N157" s="382">
        <v>0</v>
      </c>
      <c r="O157" s="470"/>
      <c r="P157" s="470"/>
      <c r="Q157" s="470"/>
      <c r="R157" s="470"/>
      <c r="S157" s="470"/>
      <c r="T157" s="382">
        <v>0</v>
      </c>
      <c r="U157" s="382">
        <v>1.4999999999999999E-2</v>
      </c>
      <c r="V157" s="382">
        <v>4.0000000000000001E-3</v>
      </c>
      <c r="W157" s="382">
        <v>8.9999999999999993E-3</v>
      </c>
      <c r="X157" s="382">
        <v>8.9999999999999993E-3</v>
      </c>
      <c r="Y157" s="382">
        <v>0.01</v>
      </c>
      <c r="Z157" s="382">
        <v>-3.0000000000000001E-3</v>
      </c>
      <c r="AA157" s="382">
        <v>-6.0000000000000001E-3</v>
      </c>
      <c r="AB157" s="382">
        <v>-5.0000000000000001E-3</v>
      </c>
      <c r="AC157" s="453">
        <f t="shared" si="190"/>
        <v>0</v>
      </c>
      <c r="AD157" s="453">
        <f t="shared" si="190"/>
        <v>0</v>
      </c>
      <c r="AE157" s="453">
        <f t="shared" si="190"/>
        <v>0</v>
      </c>
      <c r="AF157" s="453">
        <f t="shared" si="190"/>
        <v>0</v>
      </c>
      <c r="AH157" s="345">
        <v>0</v>
      </c>
      <c r="AI157" s="345">
        <v>0</v>
      </c>
      <c r="AJ157" s="345">
        <v>0</v>
      </c>
      <c r="AK157" s="345">
        <v>0</v>
      </c>
      <c r="AL157" s="469"/>
      <c r="AM157" s="345">
        <v>0</v>
      </c>
      <c r="AN157" s="382">
        <v>8.9999999999999993E-3</v>
      </c>
      <c r="AO157" s="382">
        <v>1E-3</v>
      </c>
      <c r="AP157" s="453">
        <f t="shared" si="189"/>
        <v>0</v>
      </c>
      <c r="AQ157" s="453">
        <f t="shared" si="189"/>
        <v>0</v>
      </c>
      <c r="AR157" s="453">
        <f t="shared" si="189"/>
        <v>0</v>
      </c>
      <c r="AS157" s="453">
        <f t="shared" si="189"/>
        <v>0</v>
      </c>
    </row>
    <row r="158" spans="3:47">
      <c r="C158" s="338" t="s">
        <v>255</v>
      </c>
      <c r="E158" s="453">
        <f t="shared" ref="E158:AF158" si="191">E150/E119</f>
        <v>0.23788131294833709</v>
      </c>
      <c r="F158" s="453">
        <f t="shared" si="191"/>
        <v>0.23771521466045961</v>
      </c>
      <c r="G158" s="453">
        <f t="shared" si="191"/>
        <v>0.32596019774369372</v>
      </c>
      <c r="H158" s="453">
        <f t="shared" si="191"/>
        <v>0.31501160376206183</v>
      </c>
      <c r="I158" s="453">
        <f t="shared" si="191"/>
        <v>0.26757231684238986</v>
      </c>
      <c r="J158" s="453">
        <f t="shared" si="191"/>
        <v>0.28327575695996748</v>
      </c>
      <c r="K158" s="453">
        <f t="shared" si="191"/>
        <v>0.3453464610811815</v>
      </c>
      <c r="L158" s="453">
        <f t="shared" si="191"/>
        <v>0.35026095115228995</v>
      </c>
      <c r="M158" s="453">
        <f t="shared" si="191"/>
        <v>0.29845636748412796</v>
      </c>
      <c r="N158" s="453">
        <f t="shared" si="191"/>
        <v>0.33003183586841173</v>
      </c>
      <c r="O158" s="453">
        <f t="shared" si="191"/>
        <v>0.39675416166570998</v>
      </c>
      <c r="P158" s="453">
        <f t="shared" si="191"/>
        <v>0.35123546122098942</v>
      </c>
      <c r="Q158" s="453">
        <f t="shared" si="191"/>
        <v>0.28049311998007598</v>
      </c>
      <c r="R158" s="453">
        <f t="shared" si="191"/>
        <v>0.31129960617994545</v>
      </c>
      <c r="S158" s="453">
        <f t="shared" si="191"/>
        <v>0.35898905680041687</v>
      </c>
      <c r="T158" s="453">
        <f t="shared" si="191"/>
        <v>0.35726656440199911</v>
      </c>
      <c r="U158" s="453">
        <f t="shared" si="191"/>
        <v>0.39538387044708667</v>
      </c>
      <c r="V158" s="453">
        <f t="shared" si="191"/>
        <v>0.30988781346238453</v>
      </c>
      <c r="W158" s="453">
        <f t="shared" si="191"/>
        <v>0.30412371134020616</v>
      </c>
      <c r="X158" s="453">
        <f t="shared" si="191"/>
        <v>0.32444468006149607</v>
      </c>
      <c r="Y158" s="453">
        <f t="shared" si="191"/>
        <v>0.32834213077668856</v>
      </c>
      <c r="Z158" s="453">
        <f t="shared" si="191"/>
        <v>0.31597690605946149</v>
      </c>
      <c r="AA158" s="453">
        <f t="shared" si="191"/>
        <v>0.28760988555315975</v>
      </c>
      <c r="AB158" s="453">
        <f>AB150/AB$119</f>
        <v>0.25860126971124309</v>
      </c>
      <c r="AC158" s="453">
        <f t="shared" si="191"/>
        <v>0.18779045568141356</v>
      </c>
      <c r="AD158" s="453">
        <f t="shared" si="191"/>
        <v>0.13815672756510458</v>
      </c>
      <c r="AE158" s="453">
        <f t="shared" si="191"/>
        <v>0.1132329438376848</v>
      </c>
      <c r="AF158" s="453">
        <f t="shared" si="191"/>
        <v>8.3071337513270851E-2</v>
      </c>
      <c r="AH158" s="453">
        <f t="shared" ref="AH158:AQ158" si="192">AH150/AH119</f>
        <v>0.27469124753892965</v>
      </c>
      <c r="AI158" s="453">
        <f t="shared" si="192"/>
        <v>0.27032788366001265</v>
      </c>
      <c r="AJ158" s="453">
        <f t="shared" si="192"/>
        <v>0.28243620347644827</v>
      </c>
      <c r="AK158" s="453">
        <f t="shared" si="192"/>
        <v>0.31374579754943355</v>
      </c>
      <c r="AL158" s="453">
        <f t="shared" si="192"/>
        <v>0.34650237127371275</v>
      </c>
      <c r="AM158" s="453">
        <f t="shared" si="192"/>
        <v>0.33004932953519073</v>
      </c>
      <c r="AN158" s="453">
        <f t="shared" si="192"/>
        <v>0.3340877914951989</v>
      </c>
      <c r="AO158" s="453">
        <f t="shared" si="192"/>
        <v>0.29718407880296582</v>
      </c>
      <c r="AP158" s="453">
        <f t="shared" si="192"/>
        <v>0.13215876202546892</v>
      </c>
      <c r="AQ158" s="453">
        <f t="shared" si="192"/>
        <v>0.14323658147517995</v>
      </c>
      <c r="AR158" s="453">
        <f>AR150/AR119</f>
        <v>0.17312744520606418</v>
      </c>
      <c r="AS158" s="453">
        <f>AS150/AS119</f>
        <v>0.18298941869846388</v>
      </c>
    </row>
    <row r="159" spans="3:47">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H159" s="453"/>
      <c r="AI159" s="453"/>
      <c r="AJ159" s="453"/>
      <c r="AK159" s="453"/>
      <c r="AL159" s="453"/>
      <c r="AM159" s="453"/>
      <c r="AN159" s="453"/>
      <c r="AO159" s="453"/>
      <c r="AP159" s="453"/>
      <c r="AQ159" s="453"/>
      <c r="AR159" s="453"/>
      <c r="AS159" s="453"/>
    </row>
    <row r="160" spans="3:47" outlineLevel="1">
      <c r="C160" s="338" t="s">
        <v>256</v>
      </c>
      <c r="E160" s="382">
        <v>0</v>
      </c>
      <c r="F160" s="382">
        <v>0.20399999999999999</v>
      </c>
      <c r="G160" s="382">
        <v>0.218</v>
      </c>
      <c r="H160" s="382">
        <v>0.19800000000000001</v>
      </c>
      <c r="I160" s="382">
        <v>0</v>
      </c>
      <c r="J160" s="382">
        <v>0.38600000000000001</v>
      </c>
      <c r="K160" s="382">
        <v>0.23799999999999999</v>
      </c>
      <c r="L160" s="382">
        <v>1.1140000000000001</v>
      </c>
      <c r="M160" s="382">
        <v>0.111</v>
      </c>
      <c r="N160" s="382">
        <v>9.5000000000000001E-2</v>
      </c>
      <c r="O160" s="382">
        <v>0.104</v>
      </c>
      <c r="P160" s="382">
        <v>7.8E-2</v>
      </c>
      <c r="Q160" s="382">
        <v>0.126</v>
      </c>
      <c r="R160" s="382">
        <v>0.115</v>
      </c>
      <c r="S160" s="382">
        <v>0.108</v>
      </c>
      <c r="T160" s="382">
        <v>0.14399999999999999</v>
      </c>
      <c r="U160" s="382">
        <v>0.14399999999999999</v>
      </c>
      <c r="V160" s="382">
        <v>0.14000000000000001</v>
      </c>
      <c r="W160" s="382">
        <v>0.152</v>
      </c>
      <c r="X160" s="382">
        <v>0.218</v>
      </c>
      <c r="Y160" s="382">
        <v>0.14000000000000001</v>
      </c>
      <c r="Z160" s="382">
        <v>0.11899999999999999</v>
      </c>
      <c r="AA160" s="382">
        <v>5.0000000000000001E-3</v>
      </c>
      <c r="AB160" s="382">
        <v>0.11</v>
      </c>
      <c r="AH160" s="382">
        <v>0</v>
      </c>
      <c r="AI160" s="382">
        <v>0</v>
      </c>
      <c r="AJ160" s="382">
        <v>0.20300000000000001</v>
      </c>
      <c r="AK160" s="382">
        <v>0.52800000000000002</v>
      </c>
      <c r="AL160" s="382">
        <v>9.7000000000000003E-2</v>
      </c>
      <c r="AM160" s="382">
        <v>0.125</v>
      </c>
      <c r="AN160" s="382">
        <v>0.16700000000000001</v>
      </c>
      <c r="AO160" s="382">
        <v>8.5000000000000006E-2</v>
      </c>
    </row>
    <row r="161" spans="1:45" outlineLevel="1">
      <c r="C161" t="s">
        <v>257</v>
      </c>
      <c r="E161" s="382">
        <v>0</v>
      </c>
      <c r="F161" s="382">
        <v>0</v>
      </c>
      <c r="G161" s="382">
        <v>-5.0999999999999997E-2</v>
      </c>
      <c r="H161" s="382">
        <v>0</v>
      </c>
      <c r="I161" s="382">
        <v>0</v>
      </c>
      <c r="J161" s="382">
        <v>-0.161</v>
      </c>
      <c r="K161" s="382">
        <v>0</v>
      </c>
      <c r="L161" s="382">
        <v>0</v>
      </c>
      <c r="M161" s="382">
        <v>0</v>
      </c>
      <c r="N161" s="382">
        <v>0</v>
      </c>
      <c r="O161" s="382">
        <v>0</v>
      </c>
      <c r="P161" s="382">
        <v>0</v>
      </c>
      <c r="Q161" s="382">
        <v>0</v>
      </c>
      <c r="R161" s="382">
        <v>0</v>
      </c>
      <c r="S161" s="382">
        <v>0</v>
      </c>
      <c r="T161" s="382">
        <v>0</v>
      </c>
      <c r="U161" s="382">
        <v>0</v>
      </c>
      <c r="V161" s="382">
        <v>0</v>
      </c>
      <c r="W161" s="382">
        <v>0</v>
      </c>
      <c r="X161" s="382">
        <v>0</v>
      </c>
      <c r="Y161" s="382">
        <v>0</v>
      </c>
      <c r="Z161" s="382">
        <v>0</v>
      </c>
      <c r="AA161" s="382">
        <v>0</v>
      </c>
      <c r="AB161" s="382">
        <v>0</v>
      </c>
      <c r="AH161" s="382">
        <v>0</v>
      </c>
      <c r="AI161" s="382">
        <v>0</v>
      </c>
      <c r="AJ161" s="382">
        <v>0</v>
      </c>
      <c r="AK161" s="382">
        <v>-3.5999999999999997E-2</v>
      </c>
      <c r="AL161" s="382">
        <v>0</v>
      </c>
      <c r="AM161" s="382">
        <v>0</v>
      </c>
      <c r="AN161" s="382">
        <v>0</v>
      </c>
      <c r="AO161" s="382">
        <v>0</v>
      </c>
    </row>
    <row r="162" spans="1:45" outlineLevel="1">
      <c r="C162" t="s">
        <v>258</v>
      </c>
      <c r="E162" s="382">
        <v>0</v>
      </c>
      <c r="F162" s="382">
        <v>0</v>
      </c>
      <c r="G162" s="382">
        <v>0</v>
      </c>
      <c r="H162" s="382">
        <v>0</v>
      </c>
      <c r="I162" s="382">
        <v>0</v>
      </c>
      <c r="J162" s="382">
        <v>0</v>
      </c>
      <c r="K162" s="382">
        <v>0</v>
      </c>
      <c r="L162" s="382">
        <v>-0.90200000000000002</v>
      </c>
      <c r="M162" s="382">
        <v>0</v>
      </c>
      <c r="N162" s="382">
        <v>0</v>
      </c>
      <c r="O162" s="382">
        <v>0</v>
      </c>
      <c r="P162" s="382">
        <v>0</v>
      </c>
      <c r="Q162" s="382">
        <v>0</v>
      </c>
      <c r="R162" s="382">
        <v>0</v>
      </c>
      <c r="S162" s="382">
        <v>0</v>
      </c>
      <c r="T162" s="382">
        <v>0</v>
      </c>
      <c r="U162" s="382">
        <v>0</v>
      </c>
      <c r="V162" s="382">
        <v>0</v>
      </c>
      <c r="W162" s="382">
        <v>0</v>
      </c>
      <c r="X162" s="382">
        <v>0</v>
      </c>
      <c r="Y162" s="382">
        <v>0</v>
      </c>
      <c r="Z162" s="382">
        <v>0</v>
      </c>
      <c r="AA162" s="382">
        <v>0</v>
      </c>
      <c r="AB162" s="382">
        <v>0</v>
      </c>
      <c r="AH162" s="382">
        <v>0</v>
      </c>
      <c r="AI162" s="382">
        <v>0</v>
      </c>
      <c r="AJ162" s="382">
        <v>0</v>
      </c>
      <c r="AK162" s="382">
        <v>-0.26700000000000002</v>
      </c>
      <c r="AL162" s="382">
        <v>0</v>
      </c>
      <c r="AM162" s="382">
        <v>0</v>
      </c>
      <c r="AN162" s="382">
        <v>0</v>
      </c>
      <c r="AO162" s="382">
        <v>0</v>
      </c>
    </row>
    <row r="163" spans="1:45" outlineLevel="1">
      <c r="C163" s="338" t="s">
        <v>259</v>
      </c>
      <c r="E163" s="382">
        <v>0</v>
      </c>
      <c r="F163" s="382">
        <v>0</v>
      </c>
      <c r="G163" s="382">
        <v>0</v>
      </c>
      <c r="H163" s="382">
        <v>0</v>
      </c>
      <c r="I163" s="382">
        <v>0</v>
      </c>
      <c r="J163" s="382">
        <v>0</v>
      </c>
      <c r="K163" s="382">
        <v>0</v>
      </c>
      <c r="L163" s="382">
        <v>0</v>
      </c>
      <c r="M163" s="382">
        <v>6.0000000000000001E-3</v>
      </c>
      <c r="N163" s="382">
        <v>2.1999999999999999E-2</v>
      </c>
      <c r="O163" s="382">
        <v>1.4999999999999999E-2</v>
      </c>
      <c r="P163" s="382">
        <v>0.01</v>
      </c>
      <c r="Q163" s="382">
        <v>-1E-3</v>
      </c>
      <c r="R163" s="382">
        <v>2E-3</v>
      </c>
      <c r="S163" s="382">
        <v>-1E-3</v>
      </c>
      <c r="T163" s="382">
        <v>-8.0000000000000002E-3</v>
      </c>
      <c r="U163" s="382">
        <v>-7.0000000000000001E-3</v>
      </c>
      <c r="V163" s="382">
        <v>1E-3</v>
      </c>
      <c r="W163" s="382">
        <v>2E-3</v>
      </c>
      <c r="X163" s="382">
        <v>-1E-3</v>
      </c>
      <c r="Y163" s="382">
        <v>-3.0000000000000001E-3</v>
      </c>
      <c r="Z163" s="382">
        <v>0</v>
      </c>
      <c r="AA163" s="382">
        <v>-1E-3</v>
      </c>
      <c r="AB163" s="382">
        <v>7.0000000000000001E-3</v>
      </c>
      <c r="AH163" s="382">
        <v>0</v>
      </c>
      <c r="AI163" s="382">
        <v>0</v>
      </c>
      <c r="AJ163" s="382">
        <v>0</v>
      </c>
      <c r="AK163" s="382">
        <v>0</v>
      </c>
      <c r="AL163" s="382">
        <v>1.2999999999999999E-2</v>
      </c>
      <c r="AM163" s="382">
        <v>-3.0000000000000001E-3</v>
      </c>
      <c r="AN163" s="382">
        <v>-1E-3</v>
      </c>
      <c r="AO163" s="382">
        <v>6.0000000000000001E-3</v>
      </c>
    </row>
    <row r="164" spans="1:45" outlineLevel="1">
      <c r="C164" s="338" t="s">
        <v>260</v>
      </c>
      <c r="E164" s="382">
        <v>0</v>
      </c>
      <c r="F164" s="382">
        <v>0.20399999999999999</v>
      </c>
      <c r="G164" s="382">
        <v>0.218</v>
      </c>
      <c r="H164" s="382">
        <v>0.19800000000000001</v>
      </c>
      <c r="I164" s="382">
        <v>0</v>
      </c>
      <c r="J164" s="382">
        <v>0.22500000000000001</v>
      </c>
      <c r="K164" s="382">
        <v>0.23799999999999999</v>
      </c>
      <c r="L164" s="382">
        <v>0.21199999999999999</v>
      </c>
      <c r="M164" s="382">
        <v>0.11700000000000001</v>
      </c>
      <c r="N164" s="382">
        <v>0</v>
      </c>
      <c r="O164" s="382">
        <v>0</v>
      </c>
      <c r="P164" s="382">
        <v>8.7999999999999995E-2</v>
      </c>
      <c r="Q164" s="382">
        <v>0.125</v>
      </c>
      <c r="R164" s="382">
        <v>0.11799999999999999</v>
      </c>
      <c r="S164" s="382">
        <v>0.108</v>
      </c>
      <c r="T164" s="382">
        <v>0.13600000000000001</v>
      </c>
      <c r="U164" s="382">
        <v>0.13700000000000001</v>
      </c>
      <c r="V164" s="382">
        <v>0.14099999999999999</v>
      </c>
      <c r="W164" s="382">
        <v>0.154</v>
      </c>
      <c r="X164" s="382">
        <v>0.217</v>
      </c>
      <c r="Y164" s="382">
        <v>0.13700000000000001</v>
      </c>
      <c r="Z164" s="382">
        <v>0.11899999999999999</v>
      </c>
      <c r="AA164" s="382">
        <v>4.0000000000000001E-3</v>
      </c>
      <c r="AB164" s="382">
        <v>0.11700000000000001</v>
      </c>
      <c r="AH164" s="382">
        <v>0</v>
      </c>
      <c r="AI164" s="382">
        <v>0</v>
      </c>
      <c r="AJ164" s="382">
        <v>0.20300000000000001</v>
      </c>
      <c r="AK164" s="382">
        <v>0.22500000000000001</v>
      </c>
      <c r="AL164" s="382">
        <v>0.11</v>
      </c>
      <c r="AM164" s="382">
        <v>0.122</v>
      </c>
      <c r="AN164" s="382">
        <v>0.16600000000000001</v>
      </c>
      <c r="AO164" s="382">
        <v>9.0999999999999998E-2</v>
      </c>
    </row>
    <row r="165" spans="1:45" outlineLevel="1">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H165" s="382"/>
      <c r="AI165" s="382"/>
      <c r="AJ165" s="382"/>
      <c r="AK165" s="382"/>
      <c r="AL165" s="382"/>
      <c r="AM165" s="382"/>
      <c r="AN165" s="382"/>
      <c r="AO165" s="382"/>
      <c r="AP165" s="382"/>
    </row>
    <row r="166" spans="1:45">
      <c r="C166" s="478" t="s">
        <v>261</v>
      </c>
      <c r="E166" s="344">
        <f t="shared" ref="E166:AF166" si="193">+E43</f>
        <v>2046</v>
      </c>
      <c r="F166" s="344">
        <f t="shared" si="193"/>
        <v>1330</v>
      </c>
      <c r="G166" s="344">
        <f t="shared" si="193"/>
        <v>3378</v>
      </c>
      <c r="H166" s="344">
        <f t="shared" si="193"/>
        <v>3562</v>
      </c>
      <c r="I166" s="344">
        <f t="shared" si="193"/>
        <v>2964</v>
      </c>
      <c r="J166" s="344">
        <f t="shared" si="193"/>
        <v>2808</v>
      </c>
      <c r="K166" s="344">
        <f t="shared" si="193"/>
        <v>4516</v>
      </c>
      <c r="L166" s="344">
        <f t="shared" si="193"/>
        <v>-687</v>
      </c>
      <c r="M166" s="344">
        <f t="shared" si="193"/>
        <v>4454</v>
      </c>
      <c r="N166" s="344">
        <f t="shared" si="193"/>
        <v>5006</v>
      </c>
      <c r="O166" s="344">
        <f t="shared" si="193"/>
        <v>6398</v>
      </c>
      <c r="P166" s="344">
        <f t="shared" si="193"/>
        <v>5195</v>
      </c>
      <c r="Q166" s="344">
        <f t="shared" si="193"/>
        <v>3974</v>
      </c>
      <c r="R166" s="344">
        <f t="shared" si="193"/>
        <v>4179</v>
      </c>
      <c r="S166" s="344">
        <f t="shared" si="193"/>
        <v>5990</v>
      </c>
      <c r="T166" s="344">
        <f t="shared" si="193"/>
        <v>6905</v>
      </c>
      <c r="U166" s="344">
        <f t="shared" si="193"/>
        <v>5661</v>
      </c>
      <c r="V166" s="344">
        <f t="shared" si="193"/>
        <v>5105</v>
      </c>
      <c r="W166" s="344">
        <f t="shared" si="193"/>
        <v>4276</v>
      </c>
      <c r="X166" s="344">
        <f t="shared" si="193"/>
        <v>5857</v>
      </c>
      <c r="Y166" s="344">
        <f t="shared" si="193"/>
        <v>3361</v>
      </c>
      <c r="Z166" s="344">
        <f t="shared" si="193"/>
        <v>5061</v>
      </c>
      <c r="AA166" s="344">
        <f t="shared" si="193"/>
        <v>6823</v>
      </c>
      <c r="AB166" s="344">
        <f t="shared" si="193"/>
        <v>4623</v>
      </c>
      <c r="AC166" s="344">
        <f t="shared" ca="1" si="193"/>
        <v>2665.0810947504788</v>
      </c>
      <c r="AD166" s="344">
        <f t="shared" ca="1" si="193"/>
        <v>1678.9267610004792</v>
      </c>
      <c r="AE166" s="344">
        <f t="shared" ca="1" si="193"/>
        <v>1316.4600472504794</v>
      </c>
      <c r="AF166" s="344">
        <f t="shared" ca="1" si="193"/>
        <v>988.71203625047883</v>
      </c>
      <c r="AG166"/>
      <c r="AH166" s="344">
        <f t="shared" ref="AH166:AS166" si="194">+AH43</f>
        <v>11704</v>
      </c>
      <c r="AI166" s="344">
        <f t="shared" si="194"/>
        <v>11420</v>
      </c>
      <c r="AJ166" s="344">
        <f t="shared" si="194"/>
        <v>10316</v>
      </c>
      <c r="AK166" s="344">
        <f t="shared" si="194"/>
        <v>9601</v>
      </c>
      <c r="AL166" s="344">
        <f t="shared" si="194"/>
        <v>21053</v>
      </c>
      <c r="AM166" s="344">
        <f t="shared" si="194"/>
        <v>21048</v>
      </c>
      <c r="AN166" s="344">
        <f t="shared" si="194"/>
        <v>20899</v>
      </c>
      <c r="AO166" s="344">
        <f t="shared" si="194"/>
        <v>19868</v>
      </c>
      <c r="AP166" s="344">
        <f t="shared" ca="1" si="194"/>
        <v>6649.1799392519215</v>
      </c>
      <c r="AQ166" s="344">
        <f t="shared" ca="1" si="194"/>
        <v>7184.2411900269162</v>
      </c>
      <c r="AR166" s="344">
        <f t="shared" ca="1" si="194"/>
        <v>9070.3922465672949</v>
      </c>
      <c r="AS166" s="344">
        <f t="shared" ca="1" si="194"/>
        <v>10109.846700070131</v>
      </c>
    </row>
    <row r="167" spans="1:45" s="342" customFormat="1">
      <c r="C167" t="s">
        <v>240</v>
      </c>
      <c r="E167" s="345">
        <v>64</v>
      </c>
      <c r="F167" s="345">
        <v>0</v>
      </c>
      <c r="G167" s="345">
        <v>0</v>
      </c>
      <c r="H167" s="345">
        <v>0</v>
      </c>
      <c r="I167" s="345">
        <v>0</v>
      </c>
      <c r="J167" s="345">
        <v>0</v>
      </c>
      <c r="K167" s="345">
        <v>0</v>
      </c>
      <c r="L167" s="345">
        <v>0</v>
      </c>
      <c r="M167" s="345">
        <v>0</v>
      </c>
      <c r="N167" s="345">
        <v>0</v>
      </c>
      <c r="O167" s="345">
        <v>0</v>
      </c>
      <c r="P167" s="345">
        <v>0</v>
      </c>
      <c r="Q167" s="345">
        <v>0</v>
      </c>
      <c r="R167" s="345">
        <v>0</v>
      </c>
      <c r="S167" s="345">
        <v>0</v>
      </c>
      <c r="T167" s="345">
        <v>0</v>
      </c>
      <c r="U167" s="345">
        <v>0</v>
      </c>
      <c r="V167" s="345">
        <v>0</v>
      </c>
      <c r="W167" s="345">
        <v>0</v>
      </c>
      <c r="X167" s="345">
        <v>0</v>
      </c>
      <c r="Y167" s="345">
        <v>0</v>
      </c>
      <c r="Z167" s="345">
        <v>0</v>
      </c>
      <c r="AA167" s="345">
        <v>0</v>
      </c>
      <c r="AB167" s="345">
        <v>0</v>
      </c>
      <c r="AC167" s="345">
        <v>0</v>
      </c>
      <c r="AD167" s="345">
        <v>0</v>
      </c>
      <c r="AE167" s="345">
        <v>0</v>
      </c>
      <c r="AF167" s="345">
        <v>0</v>
      </c>
      <c r="AG167" s="36"/>
      <c r="AH167" s="345">
        <v>0</v>
      </c>
      <c r="AI167" s="345">
        <v>0</v>
      </c>
      <c r="AJ167" s="345">
        <v>64</v>
      </c>
      <c r="AK167" s="345">
        <v>0</v>
      </c>
      <c r="AL167" s="345">
        <v>0</v>
      </c>
      <c r="AM167" s="345">
        <v>0</v>
      </c>
      <c r="AN167" s="345">
        <v>0</v>
      </c>
      <c r="AO167" s="345">
        <v>0</v>
      </c>
      <c r="AP167" s="345">
        <v>0</v>
      </c>
      <c r="AQ167" s="345">
        <v>0</v>
      </c>
      <c r="AR167" s="345">
        <v>0</v>
      </c>
      <c r="AS167" s="345">
        <v>0</v>
      </c>
    </row>
    <row r="168" spans="1:45" s="359" customFormat="1">
      <c r="A168" s="351"/>
      <c r="B168" s="351"/>
      <c r="C168" s="463" t="s">
        <v>242</v>
      </c>
      <c r="D168" s="351"/>
      <c r="E168" s="345">
        <v>226</v>
      </c>
      <c r="F168" s="345">
        <v>161</v>
      </c>
      <c r="G168" s="345">
        <v>0</v>
      </c>
      <c r="H168" s="345">
        <v>0</v>
      </c>
      <c r="I168" s="345">
        <v>0</v>
      </c>
      <c r="J168" s="345">
        <v>0</v>
      </c>
      <c r="K168" s="345">
        <v>27</v>
      </c>
      <c r="L168" s="345">
        <v>28</v>
      </c>
      <c r="M168" s="345">
        <v>0</v>
      </c>
      <c r="N168" s="345">
        <v>0</v>
      </c>
      <c r="O168" s="345">
        <v>0</v>
      </c>
      <c r="P168" s="345">
        <v>0</v>
      </c>
      <c r="Q168" s="345">
        <v>0</v>
      </c>
      <c r="R168" s="345">
        <v>0</v>
      </c>
      <c r="S168" s="345">
        <v>0</v>
      </c>
      <c r="T168" s="345">
        <v>0</v>
      </c>
      <c r="U168" s="345">
        <v>0</v>
      </c>
      <c r="V168" s="345">
        <v>0</v>
      </c>
      <c r="W168" s="345">
        <v>0</v>
      </c>
      <c r="X168" s="345">
        <v>0</v>
      </c>
      <c r="Y168" s="345">
        <v>0</v>
      </c>
      <c r="Z168" s="345">
        <v>0</v>
      </c>
      <c r="AA168" s="345">
        <v>0</v>
      </c>
      <c r="AB168" s="345">
        <v>0</v>
      </c>
      <c r="AC168" s="345">
        <v>0</v>
      </c>
      <c r="AD168" s="345">
        <v>0</v>
      </c>
      <c r="AE168" s="345">
        <v>0</v>
      </c>
      <c r="AF168" s="345">
        <v>0</v>
      </c>
      <c r="AG168" s="472"/>
      <c r="AH168" s="345"/>
      <c r="AI168" s="345">
        <v>0</v>
      </c>
      <c r="AJ168" s="345">
        <v>387</v>
      </c>
      <c r="AK168" s="345">
        <v>55</v>
      </c>
      <c r="AL168" s="345">
        <v>0</v>
      </c>
      <c r="AM168" s="345">
        <v>0</v>
      </c>
      <c r="AN168" s="345">
        <v>0</v>
      </c>
      <c r="AO168" s="345">
        <v>0</v>
      </c>
      <c r="AP168" s="345">
        <v>0</v>
      </c>
      <c r="AQ168" s="345">
        <v>0</v>
      </c>
      <c r="AR168" s="345">
        <v>0</v>
      </c>
      <c r="AS168" s="345">
        <v>0</v>
      </c>
    </row>
    <row r="169" spans="1:45">
      <c r="C169" s="338" t="s">
        <v>241</v>
      </c>
      <c r="E169" s="345">
        <f>325+100</f>
        <v>425</v>
      </c>
      <c r="F169" s="345">
        <v>324</v>
      </c>
      <c r="G169" s="345">
        <v>309</v>
      </c>
      <c r="H169" s="345">
        <v>273</v>
      </c>
      <c r="I169" s="345">
        <v>247</v>
      </c>
      <c r="J169" s="345">
        <v>235</v>
      </c>
      <c r="K169" s="345">
        <f>292+113</f>
        <v>405</v>
      </c>
      <c r="L169" s="345">
        <v>315</v>
      </c>
      <c r="M169" s="345">
        <v>325</v>
      </c>
      <c r="N169" s="345">
        <v>325</v>
      </c>
      <c r="O169" s="345">
        <v>326</v>
      </c>
      <c r="P169" s="345">
        <v>329</v>
      </c>
      <c r="Q169" s="345">
        <v>331</v>
      </c>
      <c r="R169" s="345">
        <v>337</v>
      </c>
      <c r="S169" s="345">
        <v>338</v>
      </c>
      <c r="T169" s="345">
        <v>318</v>
      </c>
      <c r="U169" s="345">
        <v>339</v>
      </c>
      <c r="V169" s="345">
        <v>352</v>
      </c>
      <c r="W169" s="345">
        <v>362</v>
      </c>
      <c r="X169" s="345">
        <v>363</v>
      </c>
      <c r="Y169" s="345">
        <v>364</v>
      </c>
      <c r="Z169" s="345">
        <v>366</v>
      </c>
      <c r="AA169" s="345">
        <v>375</v>
      </c>
      <c r="AB169" s="345">
        <v>387</v>
      </c>
      <c r="AC169" s="372">
        <f t="shared" ref="AC169:AF169" si="195">+AC147</f>
        <v>361.53148864809083</v>
      </c>
      <c r="AD169" s="372">
        <f t="shared" si="195"/>
        <v>361.53148864809083</v>
      </c>
      <c r="AE169" s="372">
        <f t="shared" si="195"/>
        <v>361.53148864809083</v>
      </c>
      <c r="AF169" s="372">
        <f t="shared" si="195"/>
        <v>361.53148864809083</v>
      </c>
      <c r="AH169" s="345">
        <v>0</v>
      </c>
      <c r="AI169" s="345">
        <v>608</v>
      </c>
      <c r="AJ169" s="345">
        <f>1231+100</f>
        <v>1331</v>
      </c>
      <c r="AK169" s="345">
        <f>1089+113</f>
        <v>1202</v>
      </c>
      <c r="AL169" s="345">
        <v>1305</v>
      </c>
      <c r="AM169" s="345">
        <v>1324</v>
      </c>
      <c r="AN169" s="345">
        <v>1416</v>
      </c>
      <c r="AO169" s="345">
        <v>1492</v>
      </c>
      <c r="AP169" s="372">
        <f t="shared" ref="AP169:AS170" si="196">+AP147</f>
        <v>1446.1259545923633</v>
      </c>
      <c r="AQ169" s="372">
        <f t="shared" si="196"/>
        <v>1446.1259545923633</v>
      </c>
      <c r="AR169" s="372">
        <f t="shared" si="196"/>
        <v>1446.1259545923633</v>
      </c>
      <c r="AS169" s="372">
        <f t="shared" si="196"/>
        <v>1446.1259545923633</v>
      </c>
    </row>
    <row r="170" spans="1:45">
      <c r="C170" s="338" t="s">
        <v>188</v>
      </c>
      <c r="E170" s="345">
        <v>0</v>
      </c>
      <c r="F170" s="345">
        <v>1414</v>
      </c>
      <c r="G170" s="345">
        <v>372</v>
      </c>
      <c r="H170" s="345">
        <v>100</v>
      </c>
      <c r="I170" s="345">
        <v>80</v>
      </c>
      <c r="J170" s="345">
        <v>105</v>
      </c>
      <c r="K170" s="345">
        <v>4</v>
      </c>
      <c r="L170" s="345">
        <v>195</v>
      </c>
      <c r="M170" s="345">
        <v>0</v>
      </c>
      <c r="N170" s="345"/>
      <c r="O170" s="345">
        <v>-72</v>
      </c>
      <c r="P170" s="345">
        <v>0</v>
      </c>
      <c r="Q170" s="345">
        <v>0</v>
      </c>
      <c r="R170" s="345">
        <v>184</v>
      </c>
      <c r="S170" s="345">
        <v>104</v>
      </c>
      <c r="T170" s="345">
        <v>105</v>
      </c>
      <c r="U170" s="345">
        <v>162</v>
      </c>
      <c r="V170" s="345">
        <v>9</v>
      </c>
      <c r="W170" s="345">
        <v>-25</v>
      </c>
      <c r="X170" s="345">
        <v>52</v>
      </c>
      <c r="Y170" s="345">
        <v>2209</v>
      </c>
      <c r="Z170" s="345">
        <v>346</v>
      </c>
      <c r="AA170" s="345">
        <v>42</v>
      </c>
      <c r="AB170" s="345">
        <v>29</v>
      </c>
      <c r="AC170" s="372">
        <f t="shared" ref="AC170:AF170" si="197">+AC148</f>
        <v>15</v>
      </c>
      <c r="AD170" s="372">
        <f t="shared" si="197"/>
        <v>15</v>
      </c>
      <c r="AE170" s="372">
        <f t="shared" si="197"/>
        <v>15</v>
      </c>
      <c r="AF170" s="372">
        <f t="shared" si="197"/>
        <v>15</v>
      </c>
      <c r="AH170" s="345">
        <v>0</v>
      </c>
      <c r="AI170" s="345">
        <v>354</v>
      </c>
      <c r="AJ170" s="345">
        <v>1886</v>
      </c>
      <c r="AK170" s="345">
        <v>384</v>
      </c>
      <c r="AL170" s="345">
        <v>-72</v>
      </c>
      <c r="AM170" s="345">
        <v>393</v>
      </c>
      <c r="AN170" s="345">
        <v>198</v>
      </c>
      <c r="AO170" s="345">
        <v>2626</v>
      </c>
      <c r="AP170" s="372">
        <f t="shared" si="196"/>
        <v>60</v>
      </c>
      <c r="AQ170" s="372">
        <f t="shared" si="196"/>
        <v>0</v>
      </c>
      <c r="AR170" s="372">
        <f t="shared" si="196"/>
        <v>0</v>
      </c>
      <c r="AS170" s="372">
        <f t="shared" si="196"/>
        <v>0</v>
      </c>
    </row>
    <row r="171" spans="1:45">
      <c r="C171" s="338" t="s">
        <v>262</v>
      </c>
      <c r="E171" s="345">
        <v>0</v>
      </c>
      <c r="F171" s="345">
        <v>0</v>
      </c>
      <c r="G171" s="345">
        <v>0</v>
      </c>
      <c r="H171" s="345">
        <v>0</v>
      </c>
      <c r="I171" s="345">
        <v>0</v>
      </c>
      <c r="J171" s="345">
        <v>-387</v>
      </c>
      <c r="K171" s="345">
        <v>0</v>
      </c>
      <c r="L171" s="345">
        <v>0</v>
      </c>
      <c r="M171" s="345">
        <v>0</v>
      </c>
      <c r="N171" s="345">
        <v>-494</v>
      </c>
      <c r="O171" s="345">
        <v>0</v>
      </c>
      <c r="P171" s="345">
        <v>0</v>
      </c>
      <c r="Q171" s="345">
        <v>0</v>
      </c>
      <c r="R171" s="345">
        <v>0</v>
      </c>
      <c r="S171" s="345">
        <v>0</v>
      </c>
      <c r="T171" s="345">
        <v>-690</v>
      </c>
      <c r="U171" s="345">
        <v>0</v>
      </c>
      <c r="V171" s="345">
        <v>0</v>
      </c>
      <c r="W171" s="345">
        <v>-6</v>
      </c>
      <c r="X171" s="345">
        <v>0</v>
      </c>
      <c r="Y171" s="345">
        <v>0</v>
      </c>
      <c r="Z171" s="345">
        <v>0</v>
      </c>
      <c r="AA171" s="345">
        <v>0</v>
      </c>
      <c r="AB171" s="345">
        <v>0</v>
      </c>
      <c r="AC171" s="345">
        <v>0</v>
      </c>
      <c r="AD171" s="345">
        <v>0</v>
      </c>
      <c r="AE171" s="345">
        <v>0</v>
      </c>
      <c r="AF171" s="345">
        <v>0</v>
      </c>
      <c r="AH171" s="345">
        <v>0</v>
      </c>
      <c r="AI171" s="345">
        <v>0</v>
      </c>
      <c r="AJ171" s="345">
        <v>0</v>
      </c>
      <c r="AK171" s="345">
        <v>-387</v>
      </c>
      <c r="AL171" s="345">
        <v>-494</v>
      </c>
      <c r="AM171" s="345">
        <v>-690</v>
      </c>
      <c r="AN171" s="345">
        <v>-6</v>
      </c>
      <c r="AO171" s="345">
        <v>0</v>
      </c>
      <c r="AP171" s="345">
        <v>0</v>
      </c>
      <c r="AQ171" s="345">
        <v>0</v>
      </c>
      <c r="AR171" s="345">
        <v>0</v>
      </c>
      <c r="AS171" s="345">
        <v>0</v>
      </c>
    </row>
    <row r="172" spans="1:45">
      <c r="C172" s="338" t="s">
        <v>263</v>
      </c>
      <c r="E172" s="345">
        <v>0</v>
      </c>
      <c r="F172" s="345">
        <v>0</v>
      </c>
      <c r="G172" s="345">
        <v>0</v>
      </c>
      <c r="H172" s="345">
        <v>0</v>
      </c>
      <c r="I172" s="345">
        <v>0</v>
      </c>
      <c r="J172" s="345">
        <v>0</v>
      </c>
      <c r="K172" s="345">
        <v>0</v>
      </c>
      <c r="L172" s="345">
        <v>0</v>
      </c>
      <c r="M172" s="345">
        <v>-606</v>
      </c>
      <c r="N172" s="345">
        <v>235</v>
      </c>
      <c r="O172" s="345">
        <v>-8</v>
      </c>
      <c r="P172" s="345">
        <v>508</v>
      </c>
      <c r="Q172" s="345">
        <v>-253</v>
      </c>
      <c r="R172" s="345">
        <v>179</v>
      </c>
      <c r="S172" s="345">
        <v>-114</v>
      </c>
      <c r="T172" s="345">
        <v>-89</v>
      </c>
      <c r="U172" s="345">
        <v>103</v>
      </c>
      <c r="V172" s="345">
        <v>-165</v>
      </c>
      <c r="W172" s="345">
        <v>146</v>
      </c>
      <c r="X172" s="345">
        <v>48</v>
      </c>
      <c r="Y172" s="345">
        <v>291</v>
      </c>
      <c r="Z172" s="345">
        <v>-138</v>
      </c>
      <c r="AA172" s="345">
        <v>192</v>
      </c>
      <c r="AB172" s="345">
        <v>-216</v>
      </c>
      <c r="AC172" s="345">
        <v>0</v>
      </c>
      <c r="AD172" s="345">
        <v>0</v>
      </c>
      <c r="AE172" s="345">
        <v>0</v>
      </c>
      <c r="AF172" s="345">
        <v>0</v>
      </c>
      <c r="AH172" s="345">
        <v>0</v>
      </c>
      <c r="AI172" s="345">
        <v>0</v>
      </c>
      <c r="AJ172" s="345">
        <v>0</v>
      </c>
      <c r="AK172" s="345">
        <v>0</v>
      </c>
      <c r="AL172" s="345">
        <v>129</v>
      </c>
      <c r="AM172" s="345">
        <v>-277</v>
      </c>
      <c r="AN172" s="345">
        <v>133</v>
      </c>
      <c r="AO172" s="345">
        <v>130</v>
      </c>
      <c r="AP172" s="345">
        <v>0</v>
      </c>
      <c r="AQ172" s="345">
        <v>0</v>
      </c>
      <c r="AR172" s="345">
        <v>0</v>
      </c>
      <c r="AS172" s="345">
        <v>0</v>
      </c>
    </row>
    <row r="173" spans="1:45">
      <c r="C173" t="s">
        <v>258</v>
      </c>
      <c r="E173" s="345">
        <v>0</v>
      </c>
      <c r="F173" s="345">
        <v>0</v>
      </c>
      <c r="G173" s="345">
        <v>0</v>
      </c>
      <c r="H173" s="345">
        <v>0</v>
      </c>
      <c r="I173" s="345">
        <v>0</v>
      </c>
      <c r="J173" s="345">
        <v>0</v>
      </c>
      <c r="K173" s="345">
        <v>0</v>
      </c>
      <c r="L173" s="345">
        <v>5444</v>
      </c>
      <c r="M173" s="345">
        <v>0</v>
      </c>
      <c r="N173" s="345">
        <v>-181</v>
      </c>
      <c r="O173" s="345">
        <v>-113</v>
      </c>
      <c r="P173" s="345">
        <v>0</v>
      </c>
      <c r="Q173" s="345">
        <v>0</v>
      </c>
      <c r="R173" s="345">
        <v>0</v>
      </c>
      <c r="S173" s="345">
        <v>0</v>
      </c>
      <c r="T173" s="345">
        <v>0</v>
      </c>
      <c r="U173" s="345">
        <v>0</v>
      </c>
      <c r="V173" s="345">
        <v>0</v>
      </c>
      <c r="W173" s="345">
        <v>0</v>
      </c>
      <c r="X173" s="345">
        <v>0</v>
      </c>
      <c r="Y173" s="345">
        <v>0</v>
      </c>
      <c r="Z173" s="345">
        <v>0</v>
      </c>
      <c r="AA173" s="345">
        <v>0</v>
      </c>
      <c r="AB173" s="345">
        <v>0</v>
      </c>
      <c r="AC173" s="345">
        <v>0</v>
      </c>
      <c r="AD173" s="345">
        <v>0</v>
      </c>
      <c r="AE173" s="345">
        <v>0</v>
      </c>
      <c r="AF173" s="345">
        <v>0</v>
      </c>
      <c r="AH173" s="345">
        <v>0</v>
      </c>
      <c r="AI173" s="345">
        <v>0</v>
      </c>
      <c r="AJ173" s="345">
        <v>0</v>
      </c>
      <c r="AK173" s="345">
        <v>5444</v>
      </c>
      <c r="AL173" s="345">
        <v>0</v>
      </c>
      <c r="AM173" s="345">
        <v>0</v>
      </c>
      <c r="AN173" s="345">
        <v>0</v>
      </c>
      <c r="AO173" s="345">
        <v>0</v>
      </c>
      <c r="AP173" s="345">
        <v>0</v>
      </c>
      <c r="AQ173" s="345">
        <v>0</v>
      </c>
      <c r="AR173" s="345">
        <v>0</v>
      </c>
      <c r="AS173" s="345">
        <v>0</v>
      </c>
    </row>
    <row r="174" spans="1:45">
      <c r="C174" s="338" t="s">
        <v>237</v>
      </c>
      <c r="E174" s="345">
        <v>0</v>
      </c>
      <c r="F174" s="345">
        <v>0</v>
      </c>
      <c r="G174" s="345">
        <v>0</v>
      </c>
      <c r="H174" s="345">
        <v>0</v>
      </c>
      <c r="I174" s="345">
        <v>0</v>
      </c>
      <c r="J174" s="345">
        <v>0</v>
      </c>
      <c r="K174" s="345">
        <v>0</v>
      </c>
      <c r="L174" s="345">
        <v>0</v>
      </c>
      <c r="M174" s="345">
        <v>0</v>
      </c>
      <c r="N174" s="345">
        <v>0</v>
      </c>
      <c r="O174" s="345">
        <v>0</v>
      </c>
      <c r="P174" s="345">
        <v>0</v>
      </c>
      <c r="Q174" s="345">
        <v>0</v>
      </c>
      <c r="R174" s="345">
        <v>0</v>
      </c>
      <c r="S174" s="345">
        <v>0</v>
      </c>
      <c r="T174" s="345">
        <v>0</v>
      </c>
      <c r="U174" s="345">
        <v>-190</v>
      </c>
      <c r="V174" s="345">
        <v>-423</v>
      </c>
      <c r="W174" s="345">
        <v>-145</v>
      </c>
      <c r="X174" s="345">
        <v>-179</v>
      </c>
      <c r="Y174" s="345">
        <v>-171</v>
      </c>
      <c r="Z174" s="345">
        <v>-402</v>
      </c>
      <c r="AA174" s="345">
        <v>-442</v>
      </c>
      <c r="AB174" s="345">
        <v>-354</v>
      </c>
      <c r="AC174" s="372">
        <f t="shared" ref="AC174:AF174" si="198">+AC149</f>
        <v>0</v>
      </c>
      <c r="AD174" s="372">
        <f t="shared" si="198"/>
        <v>0</v>
      </c>
      <c r="AE174" s="372">
        <f t="shared" si="198"/>
        <v>0</v>
      </c>
      <c r="AF174" s="372">
        <f t="shared" si="198"/>
        <v>0</v>
      </c>
      <c r="AH174" s="345">
        <v>0</v>
      </c>
      <c r="AI174" s="345">
        <v>0</v>
      </c>
      <c r="AJ174" s="345">
        <v>0</v>
      </c>
      <c r="AK174" s="345">
        <v>0</v>
      </c>
      <c r="AL174" s="345">
        <v>-294</v>
      </c>
      <c r="AM174" s="345">
        <v>0</v>
      </c>
      <c r="AN174" s="345">
        <v>-937</v>
      </c>
      <c r="AO174" s="345">
        <v>-1369</v>
      </c>
      <c r="AP174" s="372">
        <f>+AP149</f>
        <v>0</v>
      </c>
      <c r="AQ174" s="372">
        <f>+AQ149</f>
        <v>0</v>
      </c>
      <c r="AR174" s="372">
        <f>+AR149</f>
        <v>0</v>
      </c>
      <c r="AS174" s="372">
        <f>+AS149</f>
        <v>0</v>
      </c>
    </row>
    <row r="175" spans="1:45">
      <c r="C175" s="338" t="s">
        <v>259</v>
      </c>
      <c r="E175" s="345">
        <v>-132</v>
      </c>
      <c r="F175" s="345">
        <v>-370</v>
      </c>
      <c r="G175" s="345">
        <v>-173</v>
      </c>
      <c r="H175" s="345">
        <v>-70</v>
      </c>
      <c r="I175" s="345">
        <v>-73</v>
      </c>
      <c r="J175" s="345">
        <v>745</v>
      </c>
      <c r="K175" s="345">
        <v>-104</v>
      </c>
      <c r="L175" s="345">
        <v>-114</v>
      </c>
      <c r="M175" s="345">
        <v>2</v>
      </c>
      <c r="N175" s="345">
        <v>48</v>
      </c>
      <c r="O175" s="345">
        <v>-23</v>
      </c>
      <c r="P175" s="357">
        <v>-130</v>
      </c>
      <c r="Q175" s="345">
        <v>-4</v>
      </c>
      <c r="R175" s="345">
        <v>-94</v>
      </c>
      <c r="S175" s="345">
        <v>-29</v>
      </c>
      <c r="T175" s="345">
        <v>114</v>
      </c>
      <c r="U175" s="345">
        <v>-12</v>
      </c>
      <c r="V175" s="345">
        <v>23</v>
      </c>
      <c r="W175" s="345">
        <v>-62</v>
      </c>
      <c r="X175" s="345">
        <v>-56</v>
      </c>
      <c r="Y175" s="345">
        <v>-359</v>
      </c>
      <c r="Z175" s="345">
        <v>-19</v>
      </c>
      <c r="AA175" s="345">
        <v>7</v>
      </c>
      <c r="AB175" s="345">
        <v>-18</v>
      </c>
      <c r="AC175" s="372">
        <f t="shared" ref="AC175:AF175" si="199">+$AO$175/SUM($AO167:$AO174)*SUM(AC167:AC174)</f>
        <v>-51.13713513768792</v>
      </c>
      <c r="AD175" s="372">
        <f t="shared" si="199"/>
        <v>-51.13713513768792</v>
      </c>
      <c r="AE175" s="372">
        <f t="shared" si="199"/>
        <v>-51.13713513768792</v>
      </c>
      <c r="AF175" s="372">
        <f t="shared" si="199"/>
        <v>-51.13713513768792</v>
      </c>
      <c r="AH175" s="345">
        <v>0</v>
      </c>
      <c r="AI175" s="345">
        <v>-189</v>
      </c>
      <c r="AJ175" s="345">
        <v>-745</v>
      </c>
      <c r="AK175" s="345">
        <v>454</v>
      </c>
      <c r="AL175" s="345">
        <v>-102</v>
      </c>
      <c r="AM175" s="345">
        <v>-14</v>
      </c>
      <c r="AN175" s="345">
        <v>-107</v>
      </c>
      <c r="AO175" s="345">
        <v>-391</v>
      </c>
      <c r="AP175" s="372">
        <f>+$AO$175/SUM($AO167:$AO174)*SUM(AP167:AP174)</f>
        <v>-204.54854055075168</v>
      </c>
      <c r="AQ175" s="372">
        <f>+$AO$175/SUM($AO167:$AO174)*SUM(AQ167:AQ174)</f>
        <v>-196.39987782063704</v>
      </c>
      <c r="AR175" s="372">
        <f>+$AO$175/SUM($AO167:$AO174)*SUM(AR167:AR174)</f>
        <v>-196.39987782063704</v>
      </c>
      <c r="AS175" s="372">
        <f>+$AO$175/SUM($AO167:$AO174)*SUM(AS167:AS174)</f>
        <v>-196.39987782063704</v>
      </c>
    </row>
    <row r="176" spans="1:45" s="342" customFormat="1">
      <c r="C176" s="343" t="s">
        <v>264</v>
      </c>
      <c r="E176" s="352">
        <f t="shared" ref="E176:AB176" si="200">SUM(E166:E175)</f>
        <v>2629</v>
      </c>
      <c r="F176" s="352">
        <f t="shared" si="200"/>
        <v>2859</v>
      </c>
      <c r="G176" s="352">
        <f t="shared" si="200"/>
        <v>3886</v>
      </c>
      <c r="H176" s="352">
        <f t="shared" si="200"/>
        <v>3865</v>
      </c>
      <c r="I176" s="352">
        <f t="shared" si="200"/>
        <v>3218</v>
      </c>
      <c r="J176" s="352">
        <f t="shared" si="200"/>
        <v>3506</v>
      </c>
      <c r="K176" s="352">
        <f t="shared" si="200"/>
        <v>4848</v>
      </c>
      <c r="L176" s="352">
        <f t="shared" si="200"/>
        <v>5181</v>
      </c>
      <c r="M176" s="352">
        <f t="shared" si="200"/>
        <v>4175</v>
      </c>
      <c r="N176" s="352">
        <f t="shared" si="200"/>
        <v>4939</v>
      </c>
      <c r="O176" s="352">
        <f t="shared" si="200"/>
        <v>6508</v>
      </c>
      <c r="P176" s="352">
        <f t="shared" si="200"/>
        <v>5902</v>
      </c>
      <c r="Q176" s="352">
        <f t="shared" si="200"/>
        <v>4048</v>
      </c>
      <c r="R176" s="352">
        <f t="shared" si="200"/>
        <v>4785</v>
      </c>
      <c r="S176" s="352">
        <f t="shared" si="200"/>
        <v>6289</v>
      </c>
      <c r="T176" s="352">
        <f t="shared" si="200"/>
        <v>6663</v>
      </c>
      <c r="U176" s="352">
        <f t="shared" si="200"/>
        <v>6063</v>
      </c>
      <c r="V176" s="352">
        <f t="shared" si="200"/>
        <v>4901</v>
      </c>
      <c r="W176" s="352">
        <f t="shared" si="200"/>
        <v>4546</v>
      </c>
      <c r="X176" s="352">
        <f t="shared" si="200"/>
        <v>6085</v>
      </c>
      <c r="Y176" s="352">
        <f t="shared" si="200"/>
        <v>5695</v>
      </c>
      <c r="Z176" s="352">
        <f t="shared" si="200"/>
        <v>5214</v>
      </c>
      <c r="AA176" s="352">
        <f t="shared" si="200"/>
        <v>6997</v>
      </c>
      <c r="AB176" s="352">
        <f t="shared" si="200"/>
        <v>4451</v>
      </c>
      <c r="AC176" s="352">
        <f t="shared" ref="AC176:AF176" ca="1" si="201">SUM(AC166:AC175)</f>
        <v>2990.4754482608819</v>
      </c>
      <c r="AD176" s="352">
        <f t="shared" ca="1" si="201"/>
        <v>2004.3211145108821</v>
      </c>
      <c r="AE176" s="352">
        <f t="shared" ca="1" si="201"/>
        <v>1641.8544007608823</v>
      </c>
      <c r="AF176" s="352">
        <f t="shared" ca="1" si="201"/>
        <v>1314.1063897608817</v>
      </c>
      <c r="AG176" s="36"/>
      <c r="AH176" s="352">
        <f t="shared" ref="AH176:AP176" si="202">SUM(AH166:AH175)</f>
        <v>11704</v>
      </c>
      <c r="AI176" s="352">
        <f t="shared" si="202"/>
        <v>12193</v>
      </c>
      <c r="AJ176" s="352">
        <f t="shared" si="202"/>
        <v>13239</v>
      </c>
      <c r="AK176" s="352">
        <f t="shared" si="202"/>
        <v>16753</v>
      </c>
      <c r="AL176" s="352">
        <f t="shared" si="202"/>
        <v>21525</v>
      </c>
      <c r="AM176" s="352">
        <f t="shared" si="202"/>
        <v>21784</v>
      </c>
      <c r="AN176" s="352">
        <f t="shared" si="202"/>
        <v>21596</v>
      </c>
      <c r="AO176" s="352">
        <f t="shared" si="202"/>
        <v>22356</v>
      </c>
      <c r="AP176" s="352">
        <f t="shared" ca="1" si="202"/>
        <v>7950.757353293533</v>
      </c>
      <c r="AQ176" s="352">
        <f ca="1">SUM(AQ166:AQ175)</f>
        <v>8433.9672667986433</v>
      </c>
      <c r="AR176" s="352">
        <f ca="1">SUM(AR166:AR175)</f>
        <v>10320.118323339022</v>
      </c>
      <c r="AS176" s="352">
        <f ca="1">SUM(AS166:AS175)</f>
        <v>11359.572776841858</v>
      </c>
    </row>
    <row r="177" spans="3:47">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c r="AA177" s="345"/>
      <c r="AB177" s="345"/>
      <c r="AH177" s="345"/>
      <c r="AI177" s="345"/>
      <c r="AJ177" s="345"/>
      <c r="AK177" s="345"/>
      <c r="AL177" s="345"/>
      <c r="AM177" s="345"/>
      <c r="AN177" s="345"/>
      <c r="AO177" s="345"/>
    </row>
    <row r="178" spans="3:47">
      <c r="C178" s="338" t="s">
        <v>265</v>
      </c>
      <c r="E178" s="387">
        <f t="shared" ref="E178:Z178" si="203">E$49</f>
        <v>0.4196923076923077</v>
      </c>
      <c r="F178" s="387">
        <f t="shared" si="203"/>
        <v>0.27332511302918205</v>
      </c>
      <c r="G178" s="387">
        <f t="shared" si="203"/>
        <v>0.69263891736723393</v>
      </c>
      <c r="H178" s="387">
        <f t="shared" si="203"/>
        <v>0.72976849006351152</v>
      </c>
      <c r="I178" s="387">
        <f t="shared" si="203"/>
        <v>0.60725261216963733</v>
      </c>
      <c r="J178" s="387">
        <f t="shared" si="203"/>
        <v>0.57956656346749225</v>
      </c>
      <c r="K178" s="387">
        <f t="shared" si="203"/>
        <v>0.93673511719560254</v>
      </c>
      <c r="L178" s="387">
        <f t="shared" si="203"/>
        <v>-0.14342379958246346</v>
      </c>
      <c r="M178" s="387">
        <f t="shared" si="203"/>
        <v>0.92985386221294364</v>
      </c>
      <c r="N178" s="387">
        <f t="shared" si="203"/>
        <v>1.0545607752264587</v>
      </c>
      <c r="O178" s="387">
        <f t="shared" si="203"/>
        <v>1.3765060240963856</v>
      </c>
      <c r="P178" s="387">
        <f t="shared" si="203"/>
        <v>1.1382559158632779</v>
      </c>
      <c r="Q178" s="387">
        <f t="shared" si="203"/>
        <v>0.87072743207712533</v>
      </c>
      <c r="R178" s="387">
        <f t="shared" si="203"/>
        <v>0.92394428476674773</v>
      </c>
      <c r="S178" s="387">
        <f t="shared" si="203"/>
        <v>1.3512294157455447</v>
      </c>
      <c r="T178" s="387">
        <f t="shared" si="203"/>
        <v>1.6013450834879406</v>
      </c>
      <c r="U178" s="387">
        <f t="shared" si="203"/>
        <v>1.3128478664192951</v>
      </c>
      <c r="V178" s="387">
        <f t="shared" si="203"/>
        <v>1.1916433239962652</v>
      </c>
      <c r="W178" s="387">
        <f t="shared" si="203"/>
        <v>1.0154357634766089</v>
      </c>
      <c r="X178" s="387">
        <f t="shared" si="203"/>
        <v>1.429931640625</v>
      </c>
      <c r="Y178" s="387">
        <f t="shared" si="203"/>
        <v>0.820556640625</v>
      </c>
      <c r="Z178" s="387">
        <f t="shared" si="203"/>
        <v>1.2392262487757102</v>
      </c>
      <c r="AA178" s="387">
        <f>AA$49</f>
        <v>1.6698482623592756</v>
      </c>
      <c r="AB178" s="387">
        <f>AB$49</f>
        <v>1.1303178484107579</v>
      </c>
      <c r="AH178" s="387">
        <f t="shared" ref="AH178:AS178" si="204">AH$49</f>
        <v>2.3148734177215191</v>
      </c>
      <c r="AI178" s="387">
        <f t="shared" si="204"/>
        <v>2.3334695545565998</v>
      </c>
      <c r="AJ178" s="387">
        <f t="shared" si="204"/>
        <v>2.1161025641025639</v>
      </c>
      <c r="AK178" s="387">
        <f>AK166/AK$53</f>
        <v>1.9857290589451912</v>
      </c>
      <c r="AL178" s="387">
        <f t="shared" si="204"/>
        <v>4.478408849181025</v>
      </c>
      <c r="AM178" s="387">
        <f t="shared" si="204"/>
        <v>4.7055667337357479</v>
      </c>
      <c r="AN178" s="387">
        <f t="shared" si="204"/>
        <v>4.9383270321361055</v>
      </c>
      <c r="AO178" s="387">
        <f t="shared" si="204"/>
        <v>4.8577017114914423</v>
      </c>
      <c r="AP178" s="387">
        <f t="shared" ca="1" si="204"/>
        <v>1.6257163665652621</v>
      </c>
      <c r="AQ178" s="387">
        <f t="shared" ca="1" si="204"/>
        <v>1.7565381882706397</v>
      </c>
      <c r="AR178" s="387">
        <f t="shared" ca="1" si="204"/>
        <v>2.2176998157866246</v>
      </c>
      <c r="AS178" s="387">
        <f t="shared" ca="1" si="204"/>
        <v>2.4718451589413521</v>
      </c>
      <c r="AU178"/>
    </row>
    <row r="179" spans="3:47">
      <c r="C179" t="s">
        <v>240</v>
      </c>
      <c r="E179" s="386">
        <v>0.01</v>
      </c>
      <c r="F179" s="386">
        <v>0</v>
      </c>
      <c r="G179" s="386">
        <v>0</v>
      </c>
      <c r="H179" s="386">
        <v>0</v>
      </c>
      <c r="I179" s="386">
        <v>0</v>
      </c>
      <c r="J179" s="386">
        <v>0</v>
      </c>
      <c r="K179" s="386">
        <v>0</v>
      </c>
      <c r="L179" s="386">
        <v>0</v>
      </c>
      <c r="M179" s="386">
        <v>0</v>
      </c>
      <c r="N179" s="386">
        <v>0</v>
      </c>
      <c r="O179" s="386">
        <v>0</v>
      </c>
      <c r="P179" s="386">
        <v>0</v>
      </c>
      <c r="Q179" s="386">
        <v>0</v>
      </c>
      <c r="R179" s="386">
        <v>0</v>
      </c>
      <c r="S179" s="386">
        <v>0</v>
      </c>
      <c r="T179" s="386">
        <v>0</v>
      </c>
      <c r="U179" s="386">
        <v>0</v>
      </c>
      <c r="V179" s="386">
        <v>0</v>
      </c>
      <c r="W179" s="386">
        <v>0</v>
      </c>
      <c r="X179" s="386">
        <v>0</v>
      </c>
      <c r="Y179" s="386">
        <v>0</v>
      </c>
      <c r="Z179" s="386">
        <v>0</v>
      </c>
      <c r="AA179" s="386">
        <v>0</v>
      </c>
      <c r="AB179" s="386">
        <v>0</v>
      </c>
      <c r="AH179" s="386">
        <v>0</v>
      </c>
      <c r="AI179" s="386">
        <v>0</v>
      </c>
      <c r="AJ179" s="386">
        <v>0.01</v>
      </c>
      <c r="AK179" s="386">
        <v>0</v>
      </c>
      <c r="AL179" s="386">
        <v>0</v>
      </c>
      <c r="AM179" s="386">
        <v>0</v>
      </c>
      <c r="AN179" s="386">
        <v>0</v>
      </c>
      <c r="AO179" s="386">
        <v>0</v>
      </c>
      <c r="AP179" s="386">
        <v>0</v>
      </c>
      <c r="AQ179" s="386">
        <v>0</v>
      </c>
      <c r="AR179" s="386">
        <v>0</v>
      </c>
      <c r="AS179" s="386">
        <v>0</v>
      </c>
    </row>
    <row r="180" spans="3:47">
      <c r="C180" t="s">
        <v>266</v>
      </c>
      <c r="E180" s="386">
        <v>0.05</v>
      </c>
      <c r="F180" s="386">
        <v>0</v>
      </c>
      <c r="G180" s="386">
        <v>0</v>
      </c>
      <c r="H180" s="386">
        <v>0</v>
      </c>
      <c r="I180" s="386">
        <v>0</v>
      </c>
      <c r="J180" s="386">
        <v>0</v>
      </c>
      <c r="K180" s="386">
        <v>0</v>
      </c>
      <c r="L180" s="386">
        <v>0</v>
      </c>
      <c r="M180" s="386">
        <v>0</v>
      </c>
      <c r="N180" s="386">
        <v>0</v>
      </c>
      <c r="O180" s="386">
        <v>0</v>
      </c>
      <c r="P180" s="386">
        <v>0</v>
      </c>
      <c r="Q180" s="386">
        <v>0</v>
      </c>
      <c r="R180" s="386">
        <v>0</v>
      </c>
      <c r="S180" s="386">
        <v>0</v>
      </c>
      <c r="T180" s="386">
        <v>0</v>
      </c>
      <c r="U180" s="386">
        <v>0</v>
      </c>
      <c r="V180" s="386">
        <v>0</v>
      </c>
      <c r="W180" s="386">
        <v>0</v>
      </c>
      <c r="X180" s="386">
        <v>0</v>
      </c>
      <c r="Y180" s="386">
        <v>0</v>
      </c>
      <c r="Z180" s="386">
        <v>0</v>
      </c>
      <c r="AA180" s="386">
        <v>0</v>
      </c>
      <c r="AB180" s="386">
        <v>0</v>
      </c>
      <c r="AH180" s="386">
        <v>0</v>
      </c>
      <c r="AI180" s="386">
        <v>0</v>
      </c>
      <c r="AJ180" s="386">
        <v>0.08</v>
      </c>
      <c r="AK180" s="386">
        <v>0</v>
      </c>
      <c r="AL180" s="386">
        <v>0</v>
      </c>
      <c r="AM180" s="386">
        <v>0</v>
      </c>
      <c r="AN180" s="386">
        <v>0</v>
      </c>
      <c r="AO180" s="386">
        <v>0</v>
      </c>
      <c r="AP180" s="386">
        <v>0</v>
      </c>
      <c r="AQ180" s="386">
        <v>0</v>
      </c>
      <c r="AR180" s="386">
        <v>0</v>
      </c>
      <c r="AS180" s="386">
        <v>0</v>
      </c>
    </row>
    <row r="181" spans="3:47">
      <c r="C181" s="338" t="s">
        <v>241</v>
      </c>
      <c r="E181" s="387">
        <f>E169/E$53</f>
        <v>8.7179487179487175E-2</v>
      </c>
      <c r="F181" s="387">
        <f>F169/F$53</f>
        <v>6.6584463625154133E-2</v>
      </c>
      <c r="G181" s="387">
        <f>G169/G$53</f>
        <v>6.3358622103752302E-2</v>
      </c>
      <c r="H181" s="387">
        <f>H169/H$53</f>
        <v>5.5931161647203444E-2</v>
      </c>
      <c r="I181" s="387">
        <f t="shared" ref="I181:AB181" si="205">I169/I$53</f>
        <v>5.0604384347469777E-2</v>
      </c>
      <c r="J181" s="387">
        <f t="shared" si="205"/>
        <v>4.8503611971104234E-2</v>
      </c>
      <c r="K181" s="387">
        <f t="shared" si="205"/>
        <v>8.4007467330429367E-2</v>
      </c>
      <c r="L181" s="387">
        <f t="shared" si="205"/>
        <v>6.5762004175365346E-2</v>
      </c>
      <c r="M181" s="387">
        <f t="shared" si="205"/>
        <v>6.7849686847599164E-2</v>
      </c>
      <c r="N181" s="387">
        <f t="shared" si="205"/>
        <v>6.8464293237834428E-2</v>
      </c>
      <c r="O181" s="387">
        <f t="shared" si="205"/>
        <v>7.0137693631669537E-2</v>
      </c>
      <c r="P181" s="387">
        <f t="shared" ref="P181:P186" si="206">P169/P$53</f>
        <v>7.2085889570552147E-2</v>
      </c>
      <c r="Q181" s="387">
        <f t="shared" si="205"/>
        <v>7.2524101665205953E-2</v>
      </c>
      <c r="R181" s="387">
        <f t="shared" si="205"/>
        <v>7.4508069865133766E-2</v>
      </c>
      <c r="S181" s="387">
        <f t="shared" si="205"/>
        <v>7.6246334310850442E-2</v>
      </c>
      <c r="T181" s="387">
        <f t="shared" si="205"/>
        <v>7.3747680890538028E-2</v>
      </c>
      <c r="U181" s="387">
        <f t="shared" si="205"/>
        <v>7.86178107606679E-2</v>
      </c>
      <c r="V181" s="387">
        <f t="shared" si="205"/>
        <v>8.2166199813258636E-2</v>
      </c>
      <c r="W181" s="387">
        <f t="shared" si="205"/>
        <v>8.5965328900498697E-2</v>
      </c>
      <c r="X181" s="387">
        <f t="shared" si="205"/>
        <v>8.8623046875E-2</v>
      </c>
      <c r="Y181" s="387">
        <f t="shared" si="205"/>
        <v>8.88671875E-2</v>
      </c>
      <c r="Z181" s="387">
        <f t="shared" si="205"/>
        <v>8.9618021547502452E-2</v>
      </c>
      <c r="AA181" s="387">
        <f t="shared" si="205"/>
        <v>9.1776798825256981E-2</v>
      </c>
      <c r="AB181" s="387">
        <f t="shared" si="205"/>
        <v>9.4621026894865526E-2</v>
      </c>
      <c r="AH181" s="387">
        <f t="shared" ref="AH181:AO181" si="207">AH169/AH$53</f>
        <v>0</v>
      </c>
      <c r="AI181" s="387">
        <f t="shared" si="207"/>
        <v>0.12423375561912546</v>
      </c>
      <c r="AJ181" s="387">
        <f t="shared" ref="AJ181:AJ187" si="208">AJ169/AJ$53</f>
        <v>0.27302564102564103</v>
      </c>
      <c r="AK181" s="387">
        <f t="shared" si="207"/>
        <v>0.24860392967942088</v>
      </c>
      <c r="AL181" s="387">
        <f t="shared" si="207"/>
        <v>0.27760051052967455</v>
      </c>
      <c r="AM181" s="387">
        <f t="shared" si="207"/>
        <v>0.29599821149116923</v>
      </c>
      <c r="AN181" s="387">
        <f t="shared" si="207"/>
        <v>0.33459357277882795</v>
      </c>
      <c r="AO181" s="387">
        <f t="shared" si="207"/>
        <v>0.36479217603911979</v>
      </c>
      <c r="AP181" s="387">
        <f t="shared" ref="AP181:AS185" si="209">AP169/AP$53</f>
        <v>0.35357602801769272</v>
      </c>
      <c r="AQ181" s="387">
        <f t="shared" si="209"/>
        <v>0.35357602801769272</v>
      </c>
      <c r="AR181" s="387">
        <f t="shared" si="209"/>
        <v>0.35357602801769272</v>
      </c>
      <c r="AS181" s="387">
        <f t="shared" si="209"/>
        <v>0.35357602801769272</v>
      </c>
    </row>
    <row r="182" spans="3:47">
      <c r="C182" s="338" t="s">
        <v>188</v>
      </c>
      <c r="E182" s="386">
        <v>0</v>
      </c>
      <c r="F182" s="387">
        <f t="shared" ref="F182:I188" si="210">F170/F$53</f>
        <v>0.29058775174681462</v>
      </c>
      <c r="G182" s="387">
        <f t="shared" si="210"/>
        <v>7.6276399425876565E-2</v>
      </c>
      <c r="H182" s="387">
        <f t="shared" si="210"/>
        <v>2.0487604998975621E-2</v>
      </c>
      <c r="I182" s="387">
        <f t="shared" si="210"/>
        <v>1.6390083999180495E-2</v>
      </c>
      <c r="J182" s="387">
        <f t="shared" ref="J182:AB182" si="211">J170/J$53</f>
        <v>2.1671826625386997E-2</v>
      </c>
      <c r="K182" s="387">
        <f t="shared" si="211"/>
        <v>8.2970338104127773E-4</v>
      </c>
      <c r="L182" s="387">
        <f t="shared" si="211"/>
        <v>4.07098121085595E-2</v>
      </c>
      <c r="M182" s="387">
        <f t="shared" si="211"/>
        <v>0</v>
      </c>
      <c r="N182" s="387">
        <f t="shared" si="211"/>
        <v>0</v>
      </c>
      <c r="O182" s="387">
        <f t="shared" si="211"/>
        <v>-1.549053356282272E-2</v>
      </c>
      <c r="P182" s="387">
        <f t="shared" si="206"/>
        <v>0</v>
      </c>
      <c r="Q182" s="387">
        <f t="shared" si="211"/>
        <v>0</v>
      </c>
      <c r="R182" s="387">
        <f t="shared" si="211"/>
        <v>4.0680963961972141E-2</v>
      </c>
      <c r="S182" s="387">
        <f t="shared" si="211"/>
        <v>2.3460410557184751E-2</v>
      </c>
      <c r="T182" s="387">
        <f t="shared" si="211"/>
        <v>2.4350649350649352E-2</v>
      </c>
      <c r="U182" s="387">
        <f t="shared" si="211"/>
        <v>3.7569573283859001E-2</v>
      </c>
      <c r="V182" s="387">
        <f t="shared" si="211"/>
        <v>2.1008403361344537E-3</v>
      </c>
      <c r="W182" s="387">
        <f t="shared" si="211"/>
        <v>-5.9368321063880316E-3</v>
      </c>
      <c r="X182" s="387">
        <f t="shared" si="211"/>
        <v>1.26953125E-2</v>
      </c>
      <c r="Y182" s="387">
        <f t="shared" si="211"/>
        <v>0.539306640625</v>
      </c>
      <c r="Z182" s="387">
        <f t="shared" si="211"/>
        <v>8.4720861900097949E-2</v>
      </c>
      <c r="AA182" s="387">
        <f t="shared" si="211"/>
        <v>1.0279001468428781E-2</v>
      </c>
      <c r="AB182" s="387">
        <f t="shared" si="211"/>
        <v>7.0904645476772615E-3</v>
      </c>
      <c r="AH182" s="345">
        <v>0</v>
      </c>
      <c r="AI182" s="387">
        <f>AI170/AI$53</f>
        <v>7.2333469554556606E-2</v>
      </c>
      <c r="AJ182" s="387">
        <f t="shared" si="208"/>
        <v>0.38687179487179485</v>
      </c>
      <c r="AK182" s="387">
        <f t="shared" ref="AK182:AM187" si="212">AK170/AK$53</f>
        <v>7.9420889348500515E-2</v>
      </c>
      <c r="AL182" s="387">
        <f t="shared" si="212"/>
        <v>-1.5315890236119975E-2</v>
      </c>
      <c r="AM182" s="387">
        <f t="shared" si="212"/>
        <v>8.7860496311200534E-2</v>
      </c>
      <c r="AN182" s="387">
        <f t="shared" ref="AN182:AO185" si="213">AN170/AN$53</f>
        <v>4.678638941398866E-2</v>
      </c>
      <c r="AO182" s="387">
        <f t="shared" si="213"/>
        <v>0.64205378973105132</v>
      </c>
      <c r="AP182" s="387">
        <f t="shared" si="209"/>
        <v>1.4669926650366748E-2</v>
      </c>
      <c r="AQ182" s="387">
        <f t="shared" si="209"/>
        <v>0</v>
      </c>
      <c r="AR182" s="387">
        <f t="shared" si="209"/>
        <v>0</v>
      </c>
      <c r="AS182" s="387">
        <f t="shared" si="209"/>
        <v>0</v>
      </c>
    </row>
    <row r="183" spans="3:47">
      <c r="C183" s="338" t="s">
        <v>262</v>
      </c>
      <c r="E183" s="386">
        <v>0</v>
      </c>
      <c r="F183" s="387">
        <f t="shared" si="210"/>
        <v>0</v>
      </c>
      <c r="G183" s="387">
        <f t="shared" si="210"/>
        <v>0</v>
      </c>
      <c r="H183" s="387">
        <f t="shared" si="210"/>
        <v>0</v>
      </c>
      <c r="I183" s="387">
        <f t="shared" si="210"/>
        <v>0</v>
      </c>
      <c r="J183" s="387">
        <f t="shared" ref="J183:AB183" si="214">J171/J$53</f>
        <v>-7.987616099071207E-2</v>
      </c>
      <c r="K183" s="387">
        <f t="shared" si="214"/>
        <v>0</v>
      </c>
      <c r="L183" s="387">
        <f t="shared" si="214"/>
        <v>0</v>
      </c>
      <c r="M183" s="387">
        <f t="shared" si="214"/>
        <v>0</v>
      </c>
      <c r="N183" s="387">
        <f t="shared" si="214"/>
        <v>-0.10406572572150832</v>
      </c>
      <c r="O183" s="387">
        <f t="shared" si="214"/>
        <v>0</v>
      </c>
      <c r="P183" s="387">
        <f t="shared" si="206"/>
        <v>0</v>
      </c>
      <c r="Q183" s="387">
        <f t="shared" si="214"/>
        <v>0</v>
      </c>
      <c r="R183" s="387">
        <f t="shared" si="214"/>
        <v>0</v>
      </c>
      <c r="S183" s="387">
        <f t="shared" si="214"/>
        <v>0</v>
      </c>
      <c r="T183" s="387">
        <f t="shared" si="214"/>
        <v>-0.16001855287569575</v>
      </c>
      <c r="U183" s="387">
        <f t="shared" si="214"/>
        <v>0</v>
      </c>
      <c r="V183" s="387">
        <f t="shared" si="214"/>
        <v>0</v>
      </c>
      <c r="W183" s="387">
        <f t="shared" si="214"/>
        <v>-1.4248397055331276E-3</v>
      </c>
      <c r="X183" s="387">
        <f t="shared" si="214"/>
        <v>0</v>
      </c>
      <c r="Y183" s="387">
        <f t="shared" si="214"/>
        <v>0</v>
      </c>
      <c r="Z183" s="387">
        <f t="shared" si="214"/>
        <v>0</v>
      </c>
      <c r="AA183" s="387">
        <f t="shared" si="214"/>
        <v>0</v>
      </c>
      <c r="AB183" s="387">
        <f t="shared" si="214"/>
        <v>0</v>
      </c>
      <c r="AH183" s="345">
        <v>0</v>
      </c>
      <c r="AI183" s="345">
        <v>0</v>
      </c>
      <c r="AJ183" s="387">
        <f t="shared" si="208"/>
        <v>0</v>
      </c>
      <c r="AK183" s="387">
        <f t="shared" si="212"/>
        <v>-8.0041365046535681E-2</v>
      </c>
      <c r="AL183" s="387">
        <f t="shared" si="212"/>
        <v>-0.10508402467560093</v>
      </c>
      <c r="AM183" s="387">
        <f t="shared" si="212"/>
        <v>-0.15425888665325285</v>
      </c>
      <c r="AN183" s="387">
        <f t="shared" si="213"/>
        <v>-1.4177693761814746E-3</v>
      </c>
      <c r="AO183" s="387">
        <f t="shared" si="213"/>
        <v>0</v>
      </c>
      <c r="AP183" s="387">
        <f t="shared" si="209"/>
        <v>0</v>
      </c>
      <c r="AQ183" s="387">
        <f t="shared" si="209"/>
        <v>0</v>
      </c>
      <c r="AR183" s="387">
        <f t="shared" si="209"/>
        <v>0</v>
      </c>
      <c r="AS183" s="387">
        <f t="shared" si="209"/>
        <v>0</v>
      </c>
    </row>
    <row r="184" spans="3:47">
      <c r="C184" s="338" t="s">
        <v>263</v>
      </c>
      <c r="E184" s="386">
        <v>0</v>
      </c>
      <c r="F184" s="387">
        <f t="shared" si="210"/>
        <v>0</v>
      </c>
      <c r="G184" s="387">
        <f t="shared" si="210"/>
        <v>0</v>
      </c>
      <c r="H184" s="387">
        <f t="shared" si="210"/>
        <v>0</v>
      </c>
      <c r="I184" s="387">
        <f t="shared" si="210"/>
        <v>0</v>
      </c>
      <c r="J184" s="387">
        <f t="shared" ref="J184:AB185" si="215">J172/J$53</f>
        <v>0</v>
      </c>
      <c r="K184" s="387">
        <f t="shared" si="215"/>
        <v>0</v>
      </c>
      <c r="L184" s="387">
        <f t="shared" si="215"/>
        <v>0</v>
      </c>
      <c r="M184" s="387">
        <f t="shared" si="215"/>
        <v>-0.12651356993736951</v>
      </c>
      <c r="N184" s="387">
        <f t="shared" si="215"/>
        <v>4.9504950495049507E-2</v>
      </c>
      <c r="O184" s="387">
        <f t="shared" si="215"/>
        <v>-1.7211703958691911E-3</v>
      </c>
      <c r="P184" s="387">
        <f t="shared" si="206"/>
        <v>0.11130587204206836</v>
      </c>
      <c r="Q184" s="387">
        <f t="shared" si="215"/>
        <v>-5.5433829973707271E-2</v>
      </c>
      <c r="R184" s="387">
        <f t="shared" si="215"/>
        <v>3.9575502984744639E-2</v>
      </c>
      <c r="S184" s="387">
        <f t="shared" si="215"/>
        <v>-2.5716219264606363E-2</v>
      </c>
      <c r="T184" s="387">
        <f t="shared" si="215"/>
        <v>-2.0640074211502782E-2</v>
      </c>
      <c r="U184" s="387">
        <f t="shared" si="215"/>
        <v>2.388682745825603E-2</v>
      </c>
      <c r="V184" s="387">
        <f t="shared" si="215"/>
        <v>-3.8515406162464988E-2</v>
      </c>
      <c r="W184" s="387">
        <f t="shared" si="215"/>
        <v>3.4671099501306105E-2</v>
      </c>
      <c r="X184" s="387">
        <f t="shared" si="215"/>
        <v>1.171875E-2</v>
      </c>
      <c r="Y184" s="387">
        <f t="shared" si="215"/>
        <v>7.1044921875E-2</v>
      </c>
      <c r="Z184" s="387">
        <f t="shared" si="215"/>
        <v>-3.3790401567091087E-2</v>
      </c>
      <c r="AA184" s="387">
        <f t="shared" si="215"/>
        <v>4.6989720998531569E-2</v>
      </c>
      <c r="AB184" s="387">
        <f t="shared" si="215"/>
        <v>-5.2811735941320291E-2</v>
      </c>
      <c r="AH184" s="345">
        <v>0</v>
      </c>
      <c r="AI184" s="345">
        <v>0</v>
      </c>
      <c r="AJ184" s="387">
        <f t="shared" si="208"/>
        <v>0</v>
      </c>
      <c r="AK184" s="387">
        <f t="shared" si="212"/>
        <v>0</v>
      </c>
      <c r="AL184" s="387">
        <f t="shared" si="212"/>
        <v>2.7440970006381619E-2</v>
      </c>
      <c r="AM184" s="387">
        <f t="shared" si="212"/>
        <v>-6.1927118265146436E-2</v>
      </c>
      <c r="AN184" s="387">
        <f t="shared" si="213"/>
        <v>3.1427221172022686E-2</v>
      </c>
      <c r="AO184" s="387">
        <f t="shared" si="213"/>
        <v>3.1784841075794622E-2</v>
      </c>
      <c r="AP184" s="387">
        <f t="shared" si="209"/>
        <v>0</v>
      </c>
      <c r="AQ184" s="387">
        <f t="shared" si="209"/>
        <v>0</v>
      </c>
      <c r="AR184" s="387">
        <f t="shared" si="209"/>
        <v>0</v>
      </c>
      <c r="AS184" s="387">
        <f t="shared" si="209"/>
        <v>0</v>
      </c>
    </row>
    <row r="185" spans="3:47">
      <c r="C185" s="338" t="str">
        <f>+C173</f>
        <v>Tax Reform</v>
      </c>
      <c r="E185" s="386">
        <v>0</v>
      </c>
      <c r="F185" s="387">
        <f t="shared" si="210"/>
        <v>0</v>
      </c>
      <c r="G185" s="387">
        <f t="shared" si="210"/>
        <v>0</v>
      </c>
      <c r="H185" s="387">
        <f t="shared" si="210"/>
        <v>0</v>
      </c>
      <c r="I185" s="387">
        <f t="shared" si="210"/>
        <v>0</v>
      </c>
      <c r="J185" s="387">
        <f t="shared" si="215"/>
        <v>0</v>
      </c>
      <c r="K185" s="387">
        <f t="shared" si="215"/>
        <v>0</v>
      </c>
      <c r="L185" s="387">
        <f t="shared" si="215"/>
        <v>1.1365344467640919</v>
      </c>
      <c r="M185" s="387">
        <f t="shared" si="215"/>
        <v>0</v>
      </c>
      <c r="N185" s="387">
        <f t="shared" si="215"/>
        <v>-3.8129344849378556E-2</v>
      </c>
      <c r="O185" s="387">
        <f t="shared" si="215"/>
        <v>-2.4311531841652325E-2</v>
      </c>
      <c r="P185" s="387">
        <f t="shared" si="206"/>
        <v>0</v>
      </c>
      <c r="Q185" s="387">
        <f t="shared" si="215"/>
        <v>0</v>
      </c>
      <c r="R185" s="387">
        <f t="shared" si="215"/>
        <v>0</v>
      </c>
      <c r="S185" s="387">
        <f t="shared" si="215"/>
        <v>0</v>
      </c>
      <c r="T185" s="387">
        <f t="shared" si="215"/>
        <v>0</v>
      </c>
      <c r="U185" s="387">
        <f t="shared" si="215"/>
        <v>0</v>
      </c>
      <c r="V185" s="387">
        <f t="shared" si="215"/>
        <v>0</v>
      </c>
      <c r="W185" s="387">
        <f t="shared" si="215"/>
        <v>0</v>
      </c>
      <c r="X185" s="387">
        <f t="shared" si="215"/>
        <v>0</v>
      </c>
      <c r="Y185" s="387">
        <f t="shared" si="215"/>
        <v>0</v>
      </c>
      <c r="Z185" s="387">
        <f t="shared" si="215"/>
        <v>0</v>
      </c>
      <c r="AA185" s="387">
        <f t="shared" si="215"/>
        <v>0</v>
      </c>
      <c r="AB185" s="387">
        <f t="shared" si="215"/>
        <v>0</v>
      </c>
      <c r="AH185" s="345">
        <v>0</v>
      </c>
      <c r="AI185" s="345">
        <v>0</v>
      </c>
      <c r="AJ185" s="387">
        <f t="shared" si="208"/>
        <v>0</v>
      </c>
      <c r="AK185" s="387">
        <f t="shared" si="212"/>
        <v>1.1259565667011375</v>
      </c>
      <c r="AL185" s="387">
        <f t="shared" si="212"/>
        <v>0</v>
      </c>
      <c r="AM185" s="387">
        <f t="shared" si="212"/>
        <v>0</v>
      </c>
      <c r="AN185" s="387">
        <f t="shared" si="213"/>
        <v>0</v>
      </c>
      <c r="AO185" s="387">
        <f t="shared" si="213"/>
        <v>0</v>
      </c>
      <c r="AP185" s="387">
        <f t="shared" si="209"/>
        <v>0</v>
      </c>
      <c r="AQ185" s="387">
        <f t="shared" si="209"/>
        <v>0</v>
      </c>
      <c r="AR185" s="387">
        <f t="shared" si="209"/>
        <v>0</v>
      </c>
      <c r="AS185" s="387">
        <f t="shared" si="209"/>
        <v>0</v>
      </c>
    </row>
    <row r="186" spans="3:47">
      <c r="C186" s="338" t="s">
        <v>237</v>
      </c>
      <c r="E186" s="386">
        <v>0</v>
      </c>
      <c r="F186" s="387">
        <f t="shared" si="210"/>
        <v>0</v>
      </c>
      <c r="G186" s="387">
        <f t="shared" si="210"/>
        <v>0</v>
      </c>
      <c r="H186" s="387">
        <f t="shared" si="210"/>
        <v>0</v>
      </c>
      <c r="I186" s="387">
        <f t="shared" si="210"/>
        <v>0</v>
      </c>
      <c r="J186" s="387">
        <f t="shared" ref="J186:AB186" si="216">J174/J$53</f>
        <v>0</v>
      </c>
      <c r="K186" s="387">
        <f t="shared" si="216"/>
        <v>0</v>
      </c>
      <c r="L186" s="387">
        <f t="shared" si="216"/>
        <v>0</v>
      </c>
      <c r="M186" s="387">
        <f t="shared" si="216"/>
        <v>0</v>
      </c>
      <c r="N186" s="387">
        <f t="shared" si="216"/>
        <v>0</v>
      </c>
      <c r="O186" s="387">
        <f t="shared" si="216"/>
        <v>0</v>
      </c>
      <c r="P186" s="387">
        <f t="shared" si="206"/>
        <v>0</v>
      </c>
      <c r="Q186" s="387">
        <f t="shared" si="216"/>
        <v>0</v>
      </c>
      <c r="R186" s="387">
        <f t="shared" si="216"/>
        <v>0</v>
      </c>
      <c r="S186" s="387">
        <f t="shared" si="216"/>
        <v>0</v>
      </c>
      <c r="T186" s="387">
        <f t="shared" si="216"/>
        <v>0</v>
      </c>
      <c r="U186" s="387">
        <f t="shared" si="216"/>
        <v>-4.4063079777365489E-2</v>
      </c>
      <c r="V186" s="387">
        <f t="shared" si="216"/>
        <v>-9.8739495798319324E-2</v>
      </c>
      <c r="W186" s="387">
        <f t="shared" si="216"/>
        <v>-3.4433626217050581E-2</v>
      </c>
      <c r="X186" s="387">
        <f t="shared" si="216"/>
        <v>-4.3701171875E-2</v>
      </c>
      <c r="Y186" s="387">
        <f t="shared" si="216"/>
        <v>-4.1748046875E-2</v>
      </c>
      <c r="Z186" s="387">
        <f t="shared" si="216"/>
        <v>-9.8432908912830561E-2</v>
      </c>
      <c r="AA186" s="387">
        <f t="shared" si="216"/>
        <v>-0.10817425354870289</v>
      </c>
      <c r="AB186" s="387">
        <f t="shared" si="216"/>
        <v>-8.6552567237163813E-2</v>
      </c>
      <c r="AH186" s="345">
        <v>0</v>
      </c>
      <c r="AI186" s="345">
        <v>0</v>
      </c>
      <c r="AJ186" s="387">
        <f t="shared" si="208"/>
        <v>0</v>
      </c>
      <c r="AK186" s="387">
        <f t="shared" si="212"/>
        <v>0</v>
      </c>
      <c r="AL186" s="387">
        <f t="shared" si="212"/>
        <v>-6.2539885130823231E-2</v>
      </c>
      <c r="AM186" s="387">
        <f t="shared" si="212"/>
        <v>0</v>
      </c>
      <c r="AN186" s="387">
        <f t="shared" ref="AN186:AP187" si="217">AN174/AN$53</f>
        <v>-0.22140831758034027</v>
      </c>
      <c r="AO186" s="387">
        <f t="shared" si="217"/>
        <v>-0.33471882640586798</v>
      </c>
      <c r="AP186" s="387">
        <f t="shared" si="217"/>
        <v>0</v>
      </c>
      <c r="AQ186" s="387">
        <f t="shared" ref="AQ186:AS188" si="218">AQ174/AQ$53</f>
        <v>0</v>
      </c>
      <c r="AR186" s="387">
        <f t="shared" si="218"/>
        <v>0</v>
      </c>
      <c r="AS186" s="387">
        <f t="shared" si="218"/>
        <v>0</v>
      </c>
    </row>
    <row r="187" spans="3:47">
      <c r="C187" s="338" t="s">
        <v>259</v>
      </c>
      <c r="E187" s="387">
        <f>E175/E$53</f>
        <v>-2.7076923076923078E-2</v>
      </c>
      <c r="F187" s="387">
        <f t="shared" si="210"/>
        <v>-7.6037813399095766E-2</v>
      </c>
      <c r="G187" s="387">
        <f t="shared" si="210"/>
        <v>-3.5472626614722162E-2</v>
      </c>
      <c r="H187" s="387">
        <f t="shared" si="210"/>
        <v>-1.4341323499282934E-2</v>
      </c>
      <c r="I187" s="387">
        <f t="shared" si="210"/>
        <v>-1.4955951649252203E-2</v>
      </c>
      <c r="J187" s="387">
        <f t="shared" ref="J187:AB187" si="219">J175/J$53</f>
        <v>0.15376676986584106</v>
      </c>
      <c r="K187" s="387">
        <f t="shared" si="219"/>
        <v>-2.1572287907073221E-2</v>
      </c>
      <c r="L187" s="387">
        <f t="shared" si="219"/>
        <v>-2.3799582463465554E-2</v>
      </c>
      <c r="M187" s="387">
        <f t="shared" si="219"/>
        <v>4.1753653444676412E-4</v>
      </c>
      <c r="N187" s="387">
        <f t="shared" si="219"/>
        <v>1.0111649462818622E-2</v>
      </c>
      <c r="O187" s="387">
        <f t="shared" si="219"/>
        <v>-4.9483648881239245E-3</v>
      </c>
      <c r="P187" s="387">
        <f t="shared" si="219"/>
        <v>-2.848378615249781E-2</v>
      </c>
      <c r="Q187" s="387">
        <f t="shared" si="219"/>
        <v>-8.7642418930762491E-4</v>
      </c>
      <c r="R187" s="387">
        <f t="shared" si="219"/>
        <v>-2.0782666371877073E-2</v>
      </c>
      <c r="S187" s="387">
        <f t="shared" si="219"/>
        <v>-6.5418452515226709E-3</v>
      </c>
      <c r="T187" s="387">
        <f t="shared" si="219"/>
        <v>2.6437847866419294E-2</v>
      </c>
      <c r="U187" s="387">
        <f t="shared" si="219"/>
        <v>-2.7829313543599257E-3</v>
      </c>
      <c r="V187" s="387">
        <f t="shared" si="219"/>
        <v>5.3688141923436041E-3</v>
      </c>
      <c r="W187" s="387">
        <f t="shared" si="219"/>
        <v>-1.4723343623842318E-2</v>
      </c>
      <c r="X187" s="387">
        <f t="shared" si="219"/>
        <v>-1.3671875E-2</v>
      </c>
      <c r="Y187" s="387">
        <f t="shared" si="219"/>
        <v>-8.7646484375E-2</v>
      </c>
      <c r="Z187" s="387">
        <f t="shared" si="219"/>
        <v>-4.6523016650342804E-3</v>
      </c>
      <c r="AA187" s="387">
        <f t="shared" si="219"/>
        <v>1.7131669114047968E-3</v>
      </c>
      <c r="AB187" s="387">
        <f t="shared" si="219"/>
        <v>-4.4009779951100243E-3</v>
      </c>
      <c r="AH187" s="345">
        <v>0</v>
      </c>
      <c r="AI187" s="387">
        <f>AI175/AI$53</f>
        <v>-3.8618716796076827E-2</v>
      </c>
      <c r="AJ187" s="387">
        <f t="shared" si="208"/>
        <v>-0.15282051282051282</v>
      </c>
      <c r="AK187" s="387">
        <f t="shared" si="212"/>
        <v>9.3898655635987593E-2</v>
      </c>
      <c r="AL187" s="387">
        <f t="shared" si="212"/>
        <v>-2.1697511167836629E-2</v>
      </c>
      <c r="AM187" s="387">
        <f t="shared" si="212"/>
        <v>-3.1298904538341159E-3</v>
      </c>
      <c r="AN187" s="387">
        <f t="shared" si="217"/>
        <v>-2.5283553875236293E-2</v>
      </c>
      <c r="AO187" s="387">
        <f t="shared" si="217"/>
        <v>-9.5599022004889969E-2</v>
      </c>
      <c r="AP187" s="387">
        <f t="shared" si="217"/>
        <v>-5.0011868105318262E-2</v>
      </c>
      <c r="AQ187" s="387">
        <f t="shared" si="218"/>
        <v>-4.8019530029495612E-2</v>
      </c>
      <c r="AR187" s="387">
        <f t="shared" si="218"/>
        <v>-4.8019530029495612E-2</v>
      </c>
      <c r="AS187" s="387">
        <f t="shared" si="218"/>
        <v>-4.8019530029495612E-2</v>
      </c>
    </row>
    <row r="188" spans="3:47" s="342" customFormat="1">
      <c r="C188" s="343" t="s">
        <v>267</v>
      </c>
      <c r="E188" s="481">
        <v>0</v>
      </c>
      <c r="F188" s="482">
        <f t="shared" si="210"/>
        <v>0.58754623921085081</v>
      </c>
      <c r="G188" s="482">
        <f t="shared" si="210"/>
        <v>0.79680131228214068</v>
      </c>
      <c r="H188" s="482">
        <f t="shared" si="210"/>
        <v>0.79184593321040775</v>
      </c>
      <c r="I188" s="482">
        <f t="shared" si="210"/>
        <v>0.65929112886703545</v>
      </c>
      <c r="J188" s="482">
        <f t="shared" ref="J188:S188" si="220">J176/J$53</f>
        <v>0.72363261093911246</v>
      </c>
      <c r="K188" s="482">
        <f t="shared" si="220"/>
        <v>1.0056004978220285</v>
      </c>
      <c r="L188" s="482">
        <f t="shared" si="220"/>
        <v>1.0816283924843424</v>
      </c>
      <c r="M188" s="482">
        <f t="shared" si="220"/>
        <v>0.87160751565762007</v>
      </c>
      <c r="N188" s="482">
        <f t="shared" si="220"/>
        <v>1.0404465978512745</v>
      </c>
      <c r="O188" s="482">
        <f t="shared" si="220"/>
        <v>1.4001721170395869</v>
      </c>
      <c r="P188" s="482">
        <f t="shared" si="220"/>
        <v>1.2931638913234005</v>
      </c>
      <c r="Q188" s="482">
        <f t="shared" si="220"/>
        <v>0.88694127957931634</v>
      </c>
      <c r="R188" s="482">
        <f t="shared" si="220"/>
        <v>1.0579261552067212</v>
      </c>
      <c r="S188" s="482">
        <f t="shared" si="220"/>
        <v>1.418678096097451</v>
      </c>
      <c r="T188" s="481">
        <v>1.52</v>
      </c>
      <c r="U188" s="482">
        <f t="shared" ref="U188:AB188" si="221">U176/U$53</f>
        <v>1.4060760667903525</v>
      </c>
      <c r="V188" s="482">
        <f t="shared" si="221"/>
        <v>1.1440242763772175</v>
      </c>
      <c r="W188" s="482">
        <f t="shared" si="221"/>
        <v>1.0795535502255995</v>
      </c>
      <c r="X188" s="482">
        <f t="shared" si="221"/>
        <v>1.485595703125</v>
      </c>
      <c r="Y188" s="482">
        <f t="shared" si="221"/>
        <v>1.390380859375</v>
      </c>
      <c r="Z188" s="482">
        <f t="shared" si="221"/>
        <v>1.2766895200783546</v>
      </c>
      <c r="AA188" s="482">
        <f t="shared" si="221"/>
        <v>1.7124326970141948</v>
      </c>
      <c r="AB188" s="482">
        <f t="shared" si="221"/>
        <v>1.0882640586797065</v>
      </c>
      <c r="AG188" s="36"/>
      <c r="AH188" s="482">
        <f t="shared" ref="AH188:AO188" si="222">SUM(AH178:AH187)</f>
        <v>2.3148734177215191</v>
      </c>
      <c r="AI188" s="482">
        <f t="shared" si="222"/>
        <v>2.4914180629342049</v>
      </c>
      <c r="AJ188" s="482">
        <f t="shared" si="222"/>
        <v>2.7131794871794868</v>
      </c>
      <c r="AK188" s="482">
        <f t="shared" si="222"/>
        <v>3.453567735263702</v>
      </c>
      <c r="AL188" s="482">
        <f t="shared" si="222"/>
        <v>4.5788130185067004</v>
      </c>
      <c r="AM188" s="482">
        <f t="shared" si="222"/>
        <v>4.8701095461658843</v>
      </c>
      <c r="AN188" s="482">
        <f t="shared" si="222"/>
        <v>5.1030245746691874</v>
      </c>
      <c r="AO188" s="482">
        <f t="shared" si="222"/>
        <v>5.4660146699266496</v>
      </c>
      <c r="AP188" s="482">
        <f ca="1">AP176/AP$53</f>
        <v>1.9439504531280032</v>
      </c>
      <c r="AQ188" s="482">
        <f t="shared" ca="1" si="218"/>
        <v>2.062094686258837</v>
      </c>
      <c r="AR188" s="482">
        <f t="shared" ca="1" si="218"/>
        <v>2.5232563137748221</v>
      </c>
      <c r="AS188" s="482">
        <f t="shared" ca="1" si="218"/>
        <v>2.7774016569295497</v>
      </c>
    </row>
    <row r="189" spans="3:47">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c r="AA189" s="345"/>
      <c r="AB189" s="345"/>
      <c r="AH189" s="345"/>
      <c r="AI189" s="345"/>
      <c r="AJ189" s="345"/>
      <c r="AK189" s="345"/>
      <c r="AL189" s="345"/>
      <c r="AM189" s="345"/>
      <c r="AN189" s="345"/>
      <c r="AO189" s="345"/>
      <c r="AU189" s="534" t="s">
        <v>268</v>
      </c>
    </row>
    <row r="190" spans="3:47">
      <c r="C190" s="338" t="s">
        <v>269</v>
      </c>
      <c r="E190" s="344">
        <f t="shared" ref="E190:X190" si="223">E324</f>
        <v>4055</v>
      </c>
      <c r="F190" s="344">
        <f t="shared" si="223"/>
        <v>3845</v>
      </c>
      <c r="G190" s="344">
        <f t="shared" si="223"/>
        <v>5758</v>
      </c>
      <c r="H190" s="344">
        <f t="shared" si="223"/>
        <v>8150</v>
      </c>
      <c r="I190" s="344">
        <f t="shared" si="223"/>
        <v>3898</v>
      </c>
      <c r="J190" s="344">
        <f t="shared" si="223"/>
        <v>4707</v>
      </c>
      <c r="K190" s="344">
        <f t="shared" si="223"/>
        <v>6264</v>
      </c>
      <c r="L190" s="344">
        <f t="shared" si="223"/>
        <v>7241</v>
      </c>
      <c r="M190" s="344">
        <f t="shared" si="223"/>
        <v>6284</v>
      </c>
      <c r="N190" s="344">
        <f t="shared" si="223"/>
        <v>7413</v>
      </c>
      <c r="O190" s="344">
        <f t="shared" si="223"/>
        <v>8835</v>
      </c>
      <c r="P190" s="344">
        <f t="shared" si="223"/>
        <v>6900</v>
      </c>
      <c r="Q190" s="344">
        <f t="shared" si="223"/>
        <v>4959</v>
      </c>
      <c r="R190" s="344">
        <f t="shared" si="223"/>
        <v>7587</v>
      </c>
      <c r="S190" s="344">
        <f t="shared" si="223"/>
        <v>10711</v>
      </c>
      <c r="T190" s="344">
        <f t="shared" si="223"/>
        <v>9888</v>
      </c>
      <c r="U190" s="344">
        <f t="shared" si="223"/>
        <v>6158</v>
      </c>
      <c r="V190" s="344">
        <f t="shared" si="223"/>
        <v>11157</v>
      </c>
      <c r="W190" s="344">
        <f t="shared" si="223"/>
        <v>8179</v>
      </c>
      <c r="X190" s="344">
        <f t="shared" si="223"/>
        <v>9890</v>
      </c>
      <c r="Y190" s="344">
        <f t="shared" ref="Y190:AF190" si="224">Y324</f>
        <v>5548</v>
      </c>
      <c r="Z190" s="344">
        <f t="shared" si="224"/>
        <v>8746</v>
      </c>
      <c r="AA190" s="344">
        <f t="shared" si="224"/>
        <v>9900</v>
      </c>
      <c r="AB190" s="344">
        <f t="shared" si="224"/>
        <v>5797</v>
      </c>
      <c r="AC190" s="344">
        <f t="shared" ca="1" si="224"/>
        <v>5866.8448447504788</v>
      </c>
      <c r="AD190" s="344">
        <f t="shared" ca="1" si="224"/>
        <v>4729.4843860004785</v>
      </c>
      <c r="AE190" s="344">
        <f t="shared" ca="1" si="224"/>
        <v>4262.5642972504811</v>
      </c>
      <c r="AF190" s="344">
        <f t="shared" ca="1" si="224"/>
        <v>3895.2151612504799</v>
      </c>
      <c r="AH190" s="344">
        <f t="shared" ref="AH190:AO190" si="225">AH324</f>
        <v>20418</v>
      </c>
      <c r="AI190" s="344">
        <f t="shared" si="225"/>
        <v>19018</v>
      </c>
      <c r="AJ190" s="344">
        <f t="shared" si="225"/>
        <v>21808</v>
      </c>
      <c r="AK190" s="344">
        <f t="shared" si="225"/>
        <v>22110</v>
      </c>
      <c r="AL190" s="344">
        <f t="shared" si="225"/>
        <v>29432</v>
      </c>
      <c r="AM190" s="344">
        <f t="shared" si="225"/>
        <v>33145</v>
      </c>
      <c r="AN190" s="344">
        <f t="shared" si="225"/>
        <v>35384</v>
      </c>
      <c r="AO190" s="344">
        <f t="shared" si="225"/>
        <v>29991</v>
      </c>
      <c r="AP190" s="344">
        <f ca="1">AP324</f>
        <v>18754.108689251916</v>
      </c>
      <c r="AQ190" s="344">
        <f ca="1">AQ324</f>
        <v>21844.602745125296</v>
      </c>
      <c r="AR190" s="344">
        <f ca="1">AR324</f>
        <v>25438.014033861353</v>
      </c>
      <c r="AS190" s="344">
        <f ca="1">AS324</f>
        <v>26997.913513394127</v>
      </c>
    </row>
    <row r="191" spans="3:47">
      <c r="C191" s="338" t="s">
        <v>270</v>
      </c>
      <c r="E191" s="344">
        <f t="shared" ref="E191:X191" si="226">E326</f>
        <v>-1346</v>
      </c>
      <c r="F191" s="344">
        <f t="shared" si="226"/>
        <v>-2286</v>
      </c>
      <c r="G191" s="344">
        <f t="shared" si="226"/>
        <v>-2463</v>
      </c>
      <c r="H191" s="344">
        <f t="shared" si="226"/>
        <v>-3530</v>
      </c>
      <c r="I191" s="344">
        <f t="shared" si="226"/>
        <v>-1952</v>
      </c>
      <c r="J191" s="344">
        <f t="shared" si="226"/>
        <v>-2778</v>
      </c>
      <c r="K191" s="344">
        <f t="shared" si="226"/>
        <v>-2979</v>
      </c>
      <c r="L191" s="344">
        <f t="shared" si="226"/>
        <v>-4069</v>
      </c>
      <c r="M191" s="344">
        <f t="shared" si="226"/>
        <v>-2910</v>
      </c>
      <c r="N191" s="344">
        <f t="shared" si="226"/>
        <v>-4530</v>
      </c>
      <c r="O191" s="344">
        <f t="shared" si="226"/>
        <v>-3851</v>
      </c>
      <c r="P191" s="344">
        <f t="shared" si="226"/>
        <v>-3890</v>
      </c>
      <c r="Q191" s="344">
        <f t="shared" si="226"/>
        <v>-3321</v>
      </c>
      <c r="R191" s="344">
        <f t="shared" si="226"/>
        <v>-3554</v>
      </c>
      <c r="S191" s="344">
        <f t="shared" si="226"/>
        <v>-4672</v>
      </c>
      <c r="T191" s="344">
        <f t="shared" si="226"/>
        <v>-4666</v>
      </c>
      <c r="U191" s="344">
        <f t="shared" si="226"/>
        <v>-3268</v>
      </c>
      <c r="V191" s="344">
        <f t="shared" si="226"/>
        <v>-3408</v>
      </c>
      <c r="W191" s="344">
        <f t="shared" si="226"/>
        <v>-3716</v>
      </c>
      <c r="X191" s="344">
        <f t="shared" si="226"/>
        <v>-3867</v>
      </c>
      <c r="Y191" s="344">
        <f t="shared" ref="Y191:AF191" si="227">Y326</f>
        <v>-3972</v>
      </c>
      <c r="Z191" s="344">
        <f t="shared" si="227"/>
        <v>-3602</v>
      </c>
      <c r="AA191" s="344">
        <f t="shared" si="227"/>
        <v>-4005</v>
      </c>
      <c r="AB191" s="344">
        <f t="shared" si="227"/>
        <v>-7154</v>
      </c>
      <c r="AC191" s="344">
        <f t="shared" si="227"/>
        <v>-6666.3624999999984</v>
      </c>
      <c r="AD191" s="344">
        <f t="shared" si="227"/>
        <v>-5892.8712499999992</v>
      </c>
      <c r="AE191" s="344">
        <f t="shared" si="227"/>
        <v>-5753.9475000000002</v>
      </c>
      <c r="AF191" s="344">
        <f t="shared" si="227"/>
        <v>-6056.7062499999993</v>
      </c>
      <c r="AH191" s="344">
        <f t="shared" ref="AH191:AO191" si="228">AH326</f>
        <v>-10105</v>
      </c>
      <c r="AI191" s="344">
        <f t="shared" si="228"/>
        <v>-7326</v>
      </c>
      <c r="AJ191" s="344">
        <f t="shared" si="228"/>
        <v>-9625</v>
      </c>
      <c r="AK191" s="344">
        <f t="shared" si="228"/>
        <v>-11778</v>
      </c>
      <c r="AL191" s="344">
        <f t="shared" si="228"/>
        <v>-15181</v>
      </c>
      <c r="AM191" s="344">
        <f t="shared" si="228"/>
        <v>-16213</v>
      </c>
      <c r="AN191" s="344">
        <f t="shared" si="228"/>
        <v>-14259</v>
      </c>
      <c r="AO191" s="344">
        <f t="shared" si="228"/>
        <v>-18733</v>
      </c>
      <c r="AP191" s="344">
        <f>AP326</f>
        <v>-24369.887499999997</v>
      </c>
      <c r="AQ191" s="344">
        <f>AQ326</f>
        <v>-22989.922243749999</v>
      </c>
      <c r="AR191" s="344">
        <f>AR326</f>
        <v>-21752.855304400004</v>
      </c>
      <c r="AS191" s="344">
        <f>AS326</f>
        <v>-17779.079182609381</v>
      </c>
      <c r="AU191"/>
    </row>
    <row r="192" spans="3:47" s="342" customFormat="1">
      <c r="C192" s="343" t="s">
        <v>232</v>
      </c>
      <c r="E192" s="352">
        <f t="shared" ref="E192:X192" si="229">E190+E191</f>
        <v>2709</v>
      </c>
      <c r="F192" s="352">
        <f t="shared" si="229"/>
        <v>1559</v>
      </c>
      <c r="G192" s="352">
        <f t="shared" si="229"/>
        <v>3295</v>
      </c>
      <c r="H192" s="352">
        <f t="shared" si="229"/>
        <v>4620</v>
      </c>
      <c r="I192" s="352">
        <f t="shared" si="229"/>
        <v>1946</v>
      </c>
      <c r="J192" s="352">
        <f t="shared" si="229"/>
        <v>1929</v>
      </c>
      <c r="K192" s="352">
        <f t="shared" si="229"/>
        <v>3285</v>
      </c>
      <c r="L192" s="352">
        <f t="shared" si="229"/>
        <v>3172</v>
      </c>
      <c r="M192" s="352">
        <f t="shared" si="229"/>
        <v>3374</v>
      </c>
      <c r="N192" s="352">
        <f t="shared" si="229"/>
        <v>2883</v>
      </c>
      <c r="O192" s="352">
        <f t="shared" si="229"/>
        <v>4984</v>
      </c>
      <c r="P192" s="352">
        <f t="shared" si="229"/>
        <v>3010</v>
      </c>
      <c r="Q192" s="352">
        <f t="shared" si="229"/>
        <v>1638</v>
      </c>
      <c r="R192" s="352">
        <f t="shared" si="229"/>
        <v>4033</v>
      </c>
      <c r="S192" s="352">
        <f t="shared" si="229"/>
        <v>6039</v>
      </c>
      <c r="T192" s="352">
        <f t="shared" si="229"/>
        <v>5222</v>
      </c>
      <c r="U192" s="352">
        <f t="shared" si="229"/>
        <v>2890</v>
      </c>
      <c r="V192" s="352">
        <f t="shared" si="229"/>
        <v>7749</v>
      </c>
      <c r="W192" s="352">
        <f t="shared" si="229"/>
        <v>4463</v>
      </c>
      <c r="X192" s="352">
        <f t="shared" si="229"/>
        <v>6023</v>
      </c>
      <c r="Y192" s="352">
        <f t="shared" ref="Y192:AF192" si="230">Y190+Y191</f>
        <v>1576</v>
      </c>
      <c r="Z192" s="352">
        <f t="shared" si="230"/>
        <v>5144</v>
      </c>
      <c r="AA192" s="352">
        <f t="shared" si="230"/>
        <v>5895</v>
      </c>
      <c r="AB192" s="352">
        <f t="shared" si="230"/>
        <v>-1357</v>
      </c>
      <c r="AC192" s="352">
        <f t="shared" ca="1" si="230"/>
        <v>-799.51765524951952</v>
      </c>
      <c r="AD192" s="352">
        <f t="shared" ca="1" si="230"/>
        <v>-1163.3868639995208</v>
      </c>
      <c r="AE192" s="352">
        <f t="shared" ca="1" si="230"/>
        <v>-1491.3832027495191</v>
      </c>
      <c r="AF192" s="352">
        <f t="shared" ca="1" si="230"/>
        <v>-2161.4910887495193</v>
      </c>
      <c r="AG192" s="36"/>
      <c r="AH192" s="352">
        <f t="shared" ref="AH192:AO192" si="231">AH190+AH191</f>
        <v>10313</v>
      </c>
      <c r="AI192" s="352">
        <f t="shared" si="231"/>
        <v>11692</v>
      </c>
      <c r="AJ192" s="352">
        <f t="shared" si="231"/>
        <v>12183</v>
      </c>
      <c r="AK192" s="352">
        <f t="shared" si="231"/>
        <v>10332</v>
      </c>
      <c r="AL192" s="352">
        <f t="shared" si="231"/>
        <v>14251</v>
      </c>
      <c r="AM192" s="352">
        <f t="shared" si="231"/>
        <v>16932</v>
      </c>
      <c r="AN192" s="352">
        <f t="shared" si="231"/>
        <v>21125</v>
      </c>
      <c r="AO192" s="352">
        <f t="shared" si="231"/>
        <v>11258</v>
      </c>
      <c r="AP192" s="352">
        <f ca="1">AP190+AP191</f>
        <v>-5615.778810748081</v>
      </c>
      <c r="AQ192" s="352">
        <f ca="1">AQ190+AQ191</f>
        <v>-1145.3194986247036</v>
      </c>
      <c r="AR192" s="352">
        <f ca="1">AR190+AR191</f>
        <v>3685.1587294613491</v>
      </c>
      <c r="AS192" s="352">
        <f ca="1">AS190+AS191</f>
        <v>9218.8343307847463</v>
      </c>
    </row>
    <row r="193" spans="2:45" s="342" customFormat="1" outlineLevel="1">
      <c r="C193" s="349" t="s">
        <v>249</v>
      </c>
      <c r="E193" s="413">
        <f t="shared" ref="E193:AF193" si="232">+E192/E119</f>
        <v>0.19629012390406492</v>
      </c>
      <c r="F193" s="413">
        <f t="shared" si="232"/>
        <v>0.11519988177048696</v>
      </c>
      <c r="G193" s="413">
        <f t="shared" si="232"/>
        <v>0.20883508682976296</v>
      </c>
      <c r="H193" s="413">
        <f t="shared" si="232"/>
        <v>0.28215463539758151</v>
      </c>
      <c r="I193" s="413">
        <f t="shared" si="232"/>
        <v>0.131522032981887</v>
      </c>
      <c r="J193" s="413">
        <f t="shared" si="232"/>
        <v>0.13066449908555172</v>
      </c>
      <c r="K193" s="413">
        <f t="shared" si="232"/>
        <v>0.20341816830763515</v>
      </c>
      <c r="L193" s="413">
        <f t="shared" si="232"/>
        <v>0.18600832698058992</v>
      </c>
      <c r="M193" s="413">
        <f t="shared" si="232"/>
        <v>0.21000871405452509</v>
      </c>
      <c r="N193" s="413">
        <f t="shared" si="232"/>
        <v>0.16996816413158825</v>
      </c>
      <c r="O193" s="413">
        <f t="shared" si="232"/>
        <v>0.26008453791160047</v>
      </c>
      <c r="P193" s="413">
        <f t="shared" si="232"/>
        <v>0.16133354773007449</v>
      </c>
      <c r="Q193" s="413">
        <f t="shared" si="232"/>
        <v>0.10198617769752817</v>
      </c>
      <c r="R193" s="413">
        <f t="shared" si="232"/>
        <v>0.24435019691002727</v>
      </c>
      <c r="S193" s="413">
        <f t="shared" si="232"/>
        <v>0.3146951537258989</v>
      </c>
      <c r="T193" s="413">
        <f t="shared" si="232"/>
        <v>0.25839972289573954</v>
      </c>
      <c r="U193" s="413">
        <f t="shared" si="232"/>
        <v>0.15548501640931833</v>
      </c>
      <c r="V193" s="413">
        <f t="shared" si="232"/>
        <v>0.42614386273647165</v>
      </c>
      <c r="W193" s="413">
        <f t="shared" si="232"/>
        <v>0.25848488358623883</v>
      </c>
      <c r="X193" s="413">
        <f t="shared" si="232"/>
        <v>0.31930233791019458</v>
      </c>
      <c r="Y193" s="413">
        <f t="shared" si="232"/>
        <v>8.4886351395023166E-2</v>
      </c>
      <c r="Z193" s="413">
        <f t="shared" si="232"/>
        <v>0.27755894890195865</v>
      </c>
      <c r="AA193" s="413">
        <f t="shared" si="232"/>
        <v>0.32592469729640072</v>
      </c>
      <c r="AB193" s="413">
        <f t="shared" si="232"/>
        <v>-6.9475732131886139E-2</v>
      </c>
      <c r="AC193" s="413">
        <f t="shared" ca="1" si="232"/>
        <v>-4.1976592082613555E-2</v>
      </c>
      <c r="AD193" s="413">
        <f t="shared" ca="1" si="232"/>
        <v>-6.9097963475755947E-2</v>
      </c>
      <c r="AE193" s="413">
        <f t="shared" ca="1" si="232"/>
        <v>-9.071756754164538E-2</v>
      </c>
      <c r="AF193" s="413">
        <f t="shared" ca="1" si="232"/>
        <v>-0.12490648379427874</v>
      </c>
      <c r="AG193" s="36"/>
      <c r="AH193" s="413">
        <f t="shared" ref="AH193:AN193" si="233">+AH192/AH119</f>
        <v>0.18458922498657598</v>
      </c>
      <c r="AI193" s="413">
        <f t="shared" si="233"/>
        <v>0.21121849878059795</v>
      </c>
      <c r="AJ193" s="413">
        <f t="shared" si="233"/>
        <v>0.20480449181319973</v>
      </c>
      <c r="AK193" s="413">
        <f t="shared" si="233"/>
        <v>0.16462452797119231</v>
      </c>
      <c r="AL193" s="413">
        <f t="shared" si="233"/>
        <v>0.20114893857271907</v>
      </c>
      <c r="AM193" s="413">
        <f t="shared" si="233"/>
        <v>0.23528103939414993</v>
      </c>
      <c r="AN193" s="413">
        <f t="shared" si="233"/>
        <v>0.28978052126200277</v>
      </c>
      <c r="AO193" s="413">
        <f>+AO192/AO119</f>
        <v>0.15067319789073583</v>
      </c>
      <c r="AP193" s="413">
        <f ca="1">+AP192/AP119</f>
        <v>-8.0653740554273337E-2</v>
      </c>
      <c r="AQ193" s="413">
        <f ca="1">+AQ192/AQ119</f>
        <v>-1.7436414976463168E-2</v>
      </c>
      <c r="AR193" s="413">
        <f ca="1">+AR192/AR119</f>
        <v>5.4211310511917105E-2</v>
      </c>
      <c r="AS193" s="413">
        <f ca="1">+AS192/AS119</f>
        <v>0.1296303683123555</v>
      </c>
    </row>
    <row r="194" spans="2: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c r="AA194" s="345"/>
      <c r="AB194" s="345"/>
      <c r="AH194" s="345"/>
      <c r="AI194" s="345"/>
      <c r="AJ194" s="345"/>
      <c r="AK194" s="345"/>
      <c r="AL194" s="345"/>
      <c r="AM194" s="345"/>
      <c r="AN194" s="345"/>
      <c r="AO194" s="345"/>
    </row>
    <row r="195" spans="2:45" s="433" customFormat="1" ht="11.25" customHeight="1">
      <c r="B195" s="367" t="s">
        <v>9</v>
      </c>
      <c r="C195" s="367" t="s">
        <v>271</v>
      </c>
      <c r="D195" s="434"/>
      <c r="E195" s="434"/>
      <c r="F195" s="434"/>
      <c r="G195" s="434"/>
      <c r="H195" s="434"/>
      <c r="I195" s="435"/>
      <c r="J195" s="435"/>
      <c r="K195" s="435"/>
      <c r="L195" s="435"/>
      <c r="M195" s="435"/>
      <c r="N195" s="435"/>
      <c r="O195" s="435"/>
      <c r="P195" s="435"/>
      <c r="Q195" s="435"/>
      <c r="R195" s="435"/>
      <c r="S195" s="435"/>
      <c r="T195" s="435"/>
      <c r="U195" s="435"/>
      <c r="V195" s="435"/>
      <c r="W195" s="435"/>
      <c r="X195" s="435"/>
      <c r="Y195" s="435"/>
      <c r="Z195" s="435"/>
      <c r="AA195" s="435"/>
      <c r="AB195" s="458"/>
      <c r="AC195" s="434"/>
      <c r="AD195" s="434"/>
      <c r="AE195" s="434"/>
      <c r="AF195" s="434"/>
      <c r="AG195" s="429"/>
      <c r="AH195" s="434"/>
      <c r="AI195" s="434"/>
      <c r="AJ195" s="434"/>
      <c r="AK195" s="434"/>
      <c r="AL195" s="434"/>
      <c r="AM195" s="535"/>
      <c r="AN195" s="535"/>
      <c r="AO195" s="535"/>
      <c r="AP195" s="535"/>
      <c r="AQ195" s="535"/>
      <c r="AR195" s="434"/>
      <c r="AS195" s="434"/>
    </row>
    <row r="196" spans="2:45">
      <c r="E196" s="372"/>
      <c r="F196" s="372"/>
      <c r="G196" s="372"/>
      <c r="H196" s="372"/>
      <c r="I196" s="372"/>
      <c r="J196" s="372"/>
      <c r="K196" s="372"/>
      <c r="L196" s="372"/>
      <c r="M196" s="372"/>
      <c r="N196" s="372"/>
      <c r="O196" s="372"/>
      <c r="P196" s="372"/>
      <c r="Q196" s="372"/>
      <c r="R196" s="372"/>
      <c r="S196" s="372"/>
      <c r="T196" s="372"/>
      <c r="U196" s="372"/>
      <c r="V196" s="372"/>
      <c r="W196" s="372"/>
      <c r="X196" s="372"/>
      <c r="Y196" s="372"/>
      <c r="Z196" s="372"/>
      <c r="AA196" s="372"/>
      <c r="AB196" s="372"/>
      <c r="AM196" s="525"/>
      <c r="AN196" s="525"/>
      <c r="AO196" s="525"/>
      <c r="AP196" s="525"/>
      <c r="AQ196" s="525"/>
    </row>
    <row r="197" spans="2:45">
      <c r="C197" s="338" t="s">
        <v>272</v>
      </c>
      <c r="E197" s="345">
        <v>3061</v>
      </c>
      <c r="F197" s="345">
        <v>3885</v>
      </c>
      <c r="G197" s="345">
        <v>4752</v>
      </c>
      <c r="H197" s="345">
        <v>5560</v>
      </c>
      <c r="I197" s="345">
        <v>4934</v>
      </c>
      <c r="J197" s="345">
        <v>11687</v>
      </c>
      <c r="K197" s="345">
        <v>9075</v>
      </c>
      <c r="L197" s="345">
        <v>3433</v>
      </c>
      <c r="M197" s="345">
        <v>3554</v>
      </c>
      <c r="N197" s="345">
        <v>2614</v>
      </c>
      <c r="O197" s="345">
        <v>3407</v>
      </c>
      <c r="P197" s="345">
        <v>3019</v>
      </c>
      <c r="Q197" s="345">
        <v>3154</v>
      </c>
      <c r="R197" s="345">
        <v>2867</v>
      </c>
      <c r="S197" s="345">
        <v>3935</v>
      </c>
      <c r="T197" s="345">
        <v>4194</v>
      </c>
      <c r="U197" s="345">
        <v>11380</v>
      </c>
      <c r="V197" s="345">
        <v>8736</v>
      </c>
      <c r="W197" s="345">
        <v>3356</v>
      </c>
      <c r="X197" s="345">
        <v>5865</v>
      </c>
      <c r="Y197" s="345">
        <v>5192</v>
      </c>
      <c r="Z197" s="345">
        <v>4746</v>
      </c>
      <c r="AA197" s="345">
        <v>7870</v>
      </c>
      <c r="AB197" s="345">
        <v>4827</v>
      </c>
      <c r="AC197" s="372">
        <f ca="1">AC358</f>
        <v>12465.832344750481</v>
      </c>
      <c r="AD197" s="372">
        <f ca="1">AD358</f>
        <v>11248.79548075096</v>
      </c>
      <c r="AE197" s="372">
        <f ca="1">AE358</f>
        <v>10253.762278001441</v>
      </c>
      <c r="AF197" s="372">
        <f ca="1">AF358</f>
        <v>7690.6211892519223</v>
      </c>
      <c r="AH197" s="345">
        <v>2561</v>
      </c>
      <c r="AI197" s="345">
        <v>15308</v>
      </c>
      <c r="AJ197" s="372">
        <f t="shared" ref="AJ197:AP203" si="234">+_xlfn.XLOOKUP(AJ$6,$E$6:$AF$6,$E197:$AF197)</f>
        <v>5560</v>
      </c>
      <c r="AK197" s="372">
        <f t="shared" si="234"/>
        <v>3433</v>
      </c>
      <c r="AL197" s="372">
        <f t="shared" si="234"/>
        <v>3019</v>
      </c>
      <c r="AM197" s="372">
        <f t="shared" si="234"/>
        <v>4194</v>
      </c>
      <c r="AN197" s="372">
        <f t="shared" si="234"/>
        <v>5865</v>
      </c>
      <c r="AO197" s="372">
        <f t="shared" si="234"/>
        <v>4827</v>
      </c>
      <c r="AP197" s="372">
        <f t="shared" ca="1" si="234"/>
        <v>7690.6211892519223</v>
      </c>
      <c r="AQ197" s="372">
        <f ca="1">AQ358</f>
        <v>3393.971690627217</v>
      </c>
      <c r="AR197" s="372">
        <f ca="1">AR358</f>
        <v>1166.2339200885672</v>
      </c>
      <c r="AS197" s="372">
        <f ca="1">AS358</f>
        <v>1000</v>
      </c>
    </row>
    <row r="198" spans="2:45">
      <c r="C198" s="338" t="s">
        <v>273</v>
      </c>
      <c r="E198" s="345">
        <v>2927</v>
      </c>
      <c r="F198" s="345">
        <v>4301</v>
      </c>
      <c r="G198" s="345">
        <v>3270</v>
      </c>
      <c r="H198" s="345">
        <v>3225</v>
      </c>
      <c r="I198" s="345">
        <v>3058</v>
      </c>
      <c r="J198" s="345">
        <v>3158</v>
      </c>
      <c r="K198" s="345">
        <v>1446</v>
      </c>
      <c r="L198" s="345">
        <v>1814</v>
      </c>
      <c r="M198" s="345">
        <v>2020</v>
      </c>
      <c r="N198" s="345">
        <v>2263</v>
      </c>
      <c r="O198" s="345">
        <v>2641</v>
      </c>
      <c r="P198" s="345">
        <v>2788</v>
      </c>
      <c r="Q198" s="345">
        <v>2698</v>
      </c>
      <c r="R198" s="345">
        <v>2414</v>
      </c>
      <c r="S198" s="345">
        <v>1849</v>
      </c>
      <c r="T198" s="345">
        <v>1082</v>
      </c>
      <c r="U198" s="345">
        <v>1296</v>
      </c>
      <c r="V198" s="345">
        <v>4791</v>
      </c>
      <c r="W198" s="345">
        <v>2987</v>
      </c>
      <c r="X198" s="345">
        <v>2292</v>
      </c>
      <c r="Y198" s="345">
        <v>2417</v>
      </c>
      <c r="Z198" s="345">
        <v>3014</v>
      </c>
      <c r="AA198" s="345">
        <v>4004</v>
      </c>
      <c r="AB198" s="345">
        <v>2103</v>
      </c>
      <c r="AC198" s="422">
        <f>AB198</f>
        <v>2103</v>
      </c>
      <c r="AD198" s="422">
        <f>AC198</f>
        <v>2103</v>
      </c>
      <c r="AE198" s="422">
        <f>AD198</f>
        <v>2103</v>
      </c>
      <c r="AF198" s="422">
        <f>AE198</f>
        <v>2103</v>
      </c>
      <c r="AH198" s="345">
        <v>2430</v>
      </c>
      <c r="AI198" s="345">
        <v>2682</v>
      </c>
      <c r="AJ198" s="372">
        <f t="shared" si="234"/>
        <v>3225</v>
      </c>
      <c r="AK198" s="372">
        <f t="shared" si="234"/>
        <v>1814</v>
      </c>
      <c r="AL198" s="372">
        <f t="shared" si="234"/>
        <v>2788</v>
      </c>
      <c r="AM198" s="372">
        <f t="shared" si="234"/>
        <v>1082</v>
      </c>
      <c r="AN198" s="372">
        <f t="shared" si="234"/>
        <v>2292</v>
      </c>
      <c r="AO198" s="372">
        <f t="shared" si="234"/>
        <v>2103</v>
      </c>
      <c r="AP198" s="372">
        <f t="shared" si="234"/>
        <v>2103</v>
      </c>
      <c r="AQ198" s="422">
        <f>AP198</f>
        <v>2103</v>
      </c>
      <c r="AR198" s="422">
        <f>AQ198</f>
        <v>2103</v>
      </c>
      <c r="AS198" s="422">
        <f>AR198</f>
        <v>2103</v>
      </c>
    </row>
    <row r="199" spans="2:45">
      <c r="C199" s="338" t="s">
        <v>274</v>
      </c>
      <c r="E199" s="345">
        <v>9103</v>
      </c>
      <c r="F199" s="345">
        <v>9503</v>
      </c>
      <c r="G199" s="345">
        <v>9747</v>
      </c>
      <c r="H199" s="345">
        <v>8314</v>
      </c>
      <c r="I199" s="345">
        <v>9303</v>
      </c>
      <c r="J199" s="345">
        <v>11084</v>
      </c>
      <c r="K199" s="345">
        <v>6983</v>
      </c>
      <c r="L199" s="345">
        <v>8755</v>
      </c>
      <c r="M199" s="345">
        <v>10623</v>
      </c>
      <c r="N199" s="345">
        <v>7348</v>
      </c>
      <c r="O199" s="345">
        <v>7138</v>
      </c>
      <c r="P199" s="345">
        <v>5843</v>
      </c>
      <c r="Q199" s="345">
        <v>6181</v>
      </c>
      <c r="R199" s="345">
        <v>6663</v>
      </c>
      <c r="S199" s="345">
        <v>6241</v>
      </c>
      <c r="T199" s="345">
        <v>7847</v>
      </c>
      <c r="U199" s="345">
        <v>8127</v>
      </c>
      <c r="V199" s="345">
        <v>12288</v>
      </c>
      <c r="W199" s="345">
        <v>11910</v>
      </c>
      <c r="X199" s="345">
        <v>15738</v>
      </c>
      <c r="Y199" s="345">
        <v>14788</v>
      </c>
      <c r="Z199" s="345">
        <v>17097</v>
      </c>
      <c r="AA199" s="345">
        <v>22761</v>
      </c>
      <c r="AB199" s="345">
        <v>21483</v>
      </c>
      <c r="AC199" s="344">
        <f>+AB199-AC330-AC331</f>
        <v>18483</v>
      </c>
      <c r="AD199" s="344">
        <f>+AC199-AD330-AD331</f>
        <v>15483</v>
      </c>
      <c r="AE199" s="344">
        <f>+AD199-AE330-AE331</f>
        <v>12483</v>
      </c>
      <c r="AF199" s="344">
        <f>+AE199-AF330-AF331</f>
        <v>9483</v>
      </c>
      <c r="AH199" s="345">
        <v>9063</v>
      </c>
      <c r="AI199" s="345">
        <v>7323</v>
      </c>
      <c r="AJ199" s="372">
        <f t="shared" si="234"/>
        <v>8314</v>
      </c>
      <c r="AK199" s="372">
        <f t="shared" si="234"/>
        <v>8755</v>
      </c>
      <c r="AL199" s="372">
        <f t="shared" si="234"/>
        <v>5843</v>
      </c>
      <c r="AM199" s="372">
        <f t="shared" si="234"/>
        <v>7847</v>
      </c>
      <c r="AN199" s="372">
        <f t="shared" si="234"/>
        <v>15738</v>
      </c>
      <c r="AO199" s="372">
        <f t="shared" si="234"/>
        <v>21483</v>
      </c>
      <c r="AP199" s="372">
        <f t="shared" si="234"/>
        <v>9483</v>
      </c>
      <c r="AQ199" s="344">
        <f>+AP199-AQ330-AQ331</f>
        <v>4483</v>
      </c>
      <c r="AR199" s="344">
        <f>+AQ199-AR330-AR331</f>
        <v>483</v>
      </c>
      <c r="AS199" s="344">
        <f>+AR199-AS330-AS331</f>
        <v>483</v>
      </c>
    </row>
    <row r="200" spans="2:45">
      <c r="C200" s="338" t="s">
        <v>275</v>
      </c>
      <c r="E200" s="345">
        <v>4216</v>
      </c>
      <c r="F200" s="345">
        <v>4426</v>
      </c>
      <c r="G200" s="345">
        <v>4952</v>
      </c>
      <c r="H200" s="345">
        <v>4690</v>
      </c>
      <c r="I200" s="345">
        <v>4921</v>
      </c>
      <c r="J200" s="345">
        <v>5397</v>
      </c>
      <c r="K200" s="345">
        <v>5954</v>
      </c>
      <c r="L200" s="345">
        <v>5607</v>
      </c>
      <c r="M200" s="345">
        <v>4879</v>
      </c>
      <c r="N200" s="345">
        <v>4636</v>
      </c>
      <c r="O200" s="345">
        <v>5457</v>
      </c>
      <c r="P200" s="345">
        <v>6722</v>
      </c>
      <c r="Q200" s="345">
        <v>6957</v>
      </c>
      <c r="R200" s="345">
        <v>6233</v>
      </c>
      <c r="S200" s="345">
        <v>6880</v>
      </c>
      <c r="T200" s="345">
        <v>7659</v>
      </c>
      <c r="U200" s="345">
        <v>8455</v>
      </c>
      <c r="V200" s="345">
        <v>7441</v>
      </c>
      <c r="W200" s="345">
        <v>7140</v>
      </c>
      <c r="X200" s="345">
        <v>6782</v>
      </c>
      <c r="Y200" s="345">
        <v>7208</v>
      </c>
      <c r="Z200" s="345">
        <v>7460</v>
      </c>
      <c r="AA200" s="345">
        <v>8400</v>
      </c>
      <c r="AB200" s="345">
        <v>9457</v>
      </c>
      <c r="AC200" s="372">
        <f t="shared" ref="AC200:AF201" si="235">+AB200-AC316</f>
        <v>8957</v>
      </c>
      <c r="AD200" s="372">
        <f t="shared" si="235"/>
        <v>8457</v>
      </c>
      <c r="AE200" s="372">
        <f t="shared" si="235"/>
        <v>8557</v>
      </c>
      <c r="AF200" s="372">
        <f t="shared" si="235"/>
        <v>8657</v>
      </c>
      <c r="AH200" s="345">
        <v>4427</v>
      </c>
      <c r="AI200" s="345">
        <v>4787</v>
      </c>
      <c r="AJ200" s="372">
        <f t="shared" si="234"/>
        <v>4690</v>
      </c>
      <c r="AK200" s="372">
        <f t="shared" si="234"/>
        <v>5607</v>
      </c>
      <c r="AL200" s="372">
        <f t="shared" si="234"/>
        <v>6722</v>
      </c>
      <c r="AM200" s="372">
        <f t="shared" si="234"/>
        <v>7659</v>
      </c>
      <c r="AN200" s="372">
        <f t="shared" si="234"/>
        <v>6782</v>
      </c>
      <c r="AO200" s="372">
        <f t="shared" si="234"/>
        <v>9457</v>
      </c>
      <c r="AP200" s="372">
        <f t="shared" si="234"/>
        <v>8657</v>
      </c>
      <c r="AQ200" s="372">
        <f t="shared" ref="AQ200:AS201" si="236">+AP200-AQ316</f>
        <v>7857</v>
      </c>
      <c r="AR200" s="372">
        <f t="shared" si="236"/>
        <v>7057</v>
      </c>
      <c r="AS200" s="372">
        <f t="shared" si="236"/>
        <v>6257</v>
      </c>
    </row>
    <row r="201" spans="2:45">
      <c r="C201" s="338" t="s">
        <v>276</v>
      </c>
      <c r="E201" s="345">
        <v>5751</v>
      </c>
      <c r="F201" s="345">
        <v>5800</v>
      </c>
      <c r="G201" s="345">
        <v>5783</v>
      </c>
      <c r="H201" s="345">
        <v>5553</v>
      </c>
      <c r="I201" s="345">
        <v>5801</v>
      </c>
      <c r="J201" s="345">
        <v>6324</v>
      </c>
      <c r="K201" s="345">
        <v>6929</v>
      </c>
      <c r="L201" s="345">
        <v>6983</v>
      </c>
      <c r="M201" s="345">
        <v>7146</v>
      </c>
      <c r="N201" s="345">
        <v>7344</v>
      </c>
      <c r="O201" s="345">
        <v>7401</v>
      </c>
      <c r="P201" s="345">
        <v>7253</v>
      </c>
      <c r="Q201" s="345">
        <v>7765</v>
      </c>
      <c r="R201" s="345">
        <v>8696</v>
      </c>
      <c r="S201" s="345">
        <v>8638</v>
      </c>
      <c r="T201" s="345">
        <v>8744</v>
      </c>
      <c r="U201" s="345">
        <v>9246</v>
      </c>
      <c r="V201" s="345">
        <v>8969</v>
      </c>
      <c r="W201" s="345">
        <v>9273</v>
      </c>
      <c r="X201" s="345">
        <v>8427</v>
      </c>
      <c r="Y201" s="345">
        <v>8487</v>
      </c>
      <c r="Z201" s="345">
        <v>8817</v>
      </c>
      <c r="AA201" s="345">
        <v>9798</v>
      </c>
      <c r="AB201" s="345">
        <v>10776</v>
      </c>
      <c r="AC201" s="372">
        <f t="shared" si="235"/>
        <v>10926</v>
      </c>
      <c r="AD201" s="372">
        <f t="shared" si="235"/>
        <v>11076</v>
      </c>
      <c r="AE201" s="372">
        <f t="shared" si="235"/>
        <v>11226</v>
      </c>
      <c r="AF201" s="372">
        <f t="shared" si="235"/>
        <v>11376</v>
      </c>
      <c r="AH201" s="345">
        <v>4273</v>
      </c>
      <c r="AI201" s="345">
        <v>5167</v>
      </c>
      <c r="AJ201" s="372">
        <f t="shared" si="234"/>
        <v>5553</v>
      </c>
      <c r="AK201" s="372">
        <f t="shared" si="234"/>
        <v>6983</v>
      </c>
      <c r="AL201" s="372">
        <f t="shared" si="234"/>
        <v>7253</v>
      </c>
      <c r="AM201" s="372">
        <f t="shared" si="234"/>
        <v>8744</v>
      </c>
      <c r="AN201" s="372">
        <f t="shared" si="234"/>
        <v>8427</v>
      </c>
      <c r="AO201" s="372">
        <f t="shared" si="234"/>
        <v>10776</v>
      </c>
      <c r="AP201" s="372">
        <f t="shared" si="234"/>
        <v>11376</v>
      </c>
      <c r="AQ201" s="372">
        <f t="shared" si="236"/>
        <v>11176</v>
      </c>
      <c r="AR201" s="372">
        <f t="shared" si="236"/>
        <v>10976</v>
      </c>
      <c r="AS201" s="372">
        <f t="shared" si="236"/>
        <v>10776</v>
      </c>
    </row>
    <row r="202" spans="2:45">
      <c r="C202" s="338" t="s">
        <v>277</v>
      </c>
      <c r="E202" s="345">
        <v>0</v>
      </c>
      <c r="F202" s="345">
        <v>0</v>
      </c>
      <c r="G202" s="345">
        <v>5100</v>
      </c>
      <c r="H202" s="345">
        <v>5210</v>
      </c>
      <c r="I202" s="345">
        <v>5138</v>
      </c>
      <c r="J202" s="345">
        <v>0</v>
      </c>
      <c r="K202" s="345">
        <v>0</v>
      </c>
      <c r="L202" s="345">
        <v>0</v>
      </c>
      <c r="M202" s="345">
        <v>0</v>
      </c>
      <c r="N202" s="345">
        <v>0</v>
      </c>
      <c r="O202" s="345">
        <v>0</v>
      </c>
      <c r="P202" s="345">
        <v>0</v>
      </c>
      <c r="Q202" s="345">
        <v>0</v>
      </c>
      <c r="R202" s="345">
        <v>0</v>
      </c>
      <c r="S202" s="345">
        <v>0</v>
      </c>
      <c r="T202" s="345">
        <v>0</v>
      </c>
      <c r="U202" s="345">
        <v>0</v>
      </c>
      <c r="V202" s="345">
        <v>0</v>
      </c>
      <c r="W202" s="345">
        <v>0</v>
      </c>
      <c r="X202" s="345">
        <v>5400</v>
      </c>
      <c r="Y202" s="345">
        <v>5557</v>
      </c>
      <c r="Z202" s="345">
        <v>5817</v>
      </c>
      <c r="AA202" s="345">
        <v>6398</v>
      </c>
      <c r="AB202" s="345">
        <v>6942</v>
      </c>
      <c r="AC202" s="422">
        <f>AB202-AC336</f>
        <v>0</v>
      </c>
      <c r="AD202" s="422">
        <f>AC202</f>
        <v>0</v>
      </c>
      <c r="AE202" s="422">
        <f>AD202</f>
        <v>0</v>
      </c>
      <c r="AF202" s="422">
        <f>AE202</f>
        <v>0</v>
      </c>
      <c r="AH202" s="345">
        <v>1958</v>
      </c>
      <c r="AI202" s="345">
        <v>71</v>
      </c>
      <c r="AJ202" s="372">
        <f t="shared" si="234"/>
        <v>5210</v>
      </c>
      <c r="AK202" s="372">
        <f t="shared" si="234"/>
        <v>0</v>
      </c>
      <c r="AL202" s="372">
        <f t="shared" si="234"/>
        <v>0</v>
      </c>
      <c r="AM202" s="372">
        <f t="shared" si="234"/>
        <v>0</v>
      </c>
      <c r="AN202" s="372">
        <f t="shared" si="234"/>
        <v>5400</v>
      </c>
      <c r="AO202" s="372">
        <f t="shared" si="234"/>
        <v>6942</v>
      </c>
      <c r="AP202" s="372">
        <f t="shared" si="234"/>
        <v>0</v>
      </c>
      <c r="AQ202" s="422">
        <f>AP202</f>
        <v>0</v>
      </c>
      <c r="AR202" s="422">
        <f>AQ202</f>
        <v>0</v>
      </c>
      <c r="AS202" s="422">
        <f>AR202</f>
        <v>0</v>
      </c>
    </row>
    <row r="203" spans="2:45">
      <c r="C203" s="338" t="s">
        <v>278</v>
      </c>
      <c r="E203" s="345">
        <v>2339</v>
      </c>
      <c r="F203" s="345">
        <v>3273</v>
      </c>
      <c r="G203" s="345">
        <v>2612</v>
      </c>
      <c r="H203" s="345">
        <v>2956</v>
      </c>
      <c r="I203" s="345">
        <v>2903</v>
      </c>
      <c r="J203" s="345">
        <v>2967</v>
      </c>
      <c r="K203" s="345">
        <v>2767</v>
      </c>
      <c r="L203" s="345">
        <v>2908</v>
      </c>
      <c r="M203" s="345">
        <v>3408</v>
      </c>
      <c r="N203" s="345">
        <v>3398</v>
      </c>
      <c r="O203" s="345">
        <v>3546</v>
      </c>
      <c r="P203" s="345">
        <v>3162</v>
      </c>
      <c r="Q203" s="345">
        <v>2305</v>
      </c>
      <c r="R203" s="345">
        <v>2366</v>
      </c>
      <c r="S203" s="345">
        <v>2414</v>
      </c>
      <c r="T203" s="345">
        <v>1713</v>
      </c>
      <c r="U203" s="345">
        <v>2997</v>
      </c>
      <c r="V203" s="345">
        <v>2165</v>
      </c>
      <c r="W203" s="345">
        <v>2119</v>
      </c>
      <c r="X203" s="345">
        <v>2745</v>
      </c>
      <c r="Y203" s="345">
        <v>2124</v>
      </c>
      <c r="Z203" s="345">
        <v>2421</v>
      </c>
      <c r="AA203" s="345">
        <v>2073</v>
      </c>
      <c r="AB203" s="345">
        <v>2130</v>
      </c>
      <c r="AC203" s="372">
        <f>AC297*SUM(Z10:AC10)</f>
        <v>2351.9324999999999</v>
      </c>
      <c r="AD203" s="372">
        <f>AD297*SUM(AA10:AD10)</f>
        <v>2268.1057499999997</v>
      </c>
      <c r="AE203" s="372">
        <f>AE297*SUM(AB10:AE10)</f>
        <v>2185.5412499999998</v>
      </c>
      <c r="AF203" s="372">
        <f>AF297*SUM(AC10:AF10)</f>
        <v>2088.8474999999999</v>
      </c>
      <c r="AH203" s="345">
        <v>3018</v>
      </c>
      <c r="AI203" s="345">
        <v>2982</v>
      </c>
      <c r="AJ203" s="372">
        <f t="shared" si="234"/>
        <v>2956</v>
      </c>
      <c r="AK203" s="372">
        <f t="shared" si="234"/>
        <v>2908</v>
      </c>
      <c r="AL203" s="372">
        <f t="shared" si="234"/>
        <v>3162</v>
      </c>
      <c r="AM203" s="372">
        <f t="shared" si="234"/>
        <v>1713</v>
      </c>
      <c r="AN203" s="372">
        <f t="shared" si="234"/>
        <v>2745</v>
      </c>
      <c r="AO203" s="372">
        <f t="shared" si="234"/>
        <v>2130</v>
      </c>
      <c r="AP203" s="372">
        <f t="shared" si="234"/>
        <v>2088.8474999999999</v>
      </c>
      <c r="AQ203" s="372">
        <f>AQ297*AQ10</f>
        <v>1970.5647637500001</v>
      </c>
      <c r="AR203" s="372">
        <f>AR297*AR10</f>
        <v>2039.3301847875002</v>
      </c>
      <c r="AS203" s="372">
        <f>AS297*AS10</f>
        <v>2133.4895019131254</v>
      </c>
    </row>
    <row r="204" spans="2:45" s="373" customFormat="1">
      <c r="C204" s="354" t="s">
        <v>279</v>
      </c>
      <c r="E204" s="352">
        <f t="shared" ref="E204:AC204" si="237">SUM(E197:E203)</f>
        <v>27397</v>
      </c>
      <c r="F204" s="352">
        <f t="shared" si="237"/>
        <v>31188</v>
      </c>
      <c r="G204" s="352">
        <f t="shared" si="237"/>
        <v>36216</v>
      </c>
      <c r="H204" s="352">
        <f t="shared" si="237"/>
        <v>35508</v>
      </c>
      <c r="I204" s="352">
        <f t="shared" si="237"/>
        <v>36058</v>
      </c>
      <c r="J204" s="352">
        <f t="shared" si="237"/>
        <v>40617</v>
      </c>
      <c r="K204" s="352">
        <f t="shared" si="237"/>
        <v>33154</v>
      </c>
      <c r="L204" s="352">
        <f t="shared" si="237"/>
        <v>29500</v>
      </c>
      <c r="M204" s="352">
        <f t="shared" si="237"/>
        <v>31630</v>
      </c>
      <c r="N204" s="352">
        <f t="shared" si="237"/>
        <v>27603</v>
      </c>
      <c r="O204" s="352">
        <f t="shared" si="237"/>
        <v>29590</v>
      </c>
      <c r="P204" s="352">
        <f t="shared" si="237"/>
        <v>28787</v>
      </c>
      <c r="Q204" s="352">
        <f t="shared" si="237"/>
        <v>29060</v>
      </c>
      <c r="R204" s="352">
        <f t="shared" si="237"/>
        <v>29239</v>
      </c>
      <c r="S204" s="352">
        <f t="shared" si="237"/>
        <v>29957</v>
      </c>
      <c r="T204" s="352">
        <f t="shared" si="237"/>
        <v>31239</v>
      </c>
      <c r="U204" s="352">
        <f t="shared" si="237"/>
        <v>41501</v>
      </c>
      <c r="V204" s="352">
        <f t="shared" si="237"/>
        <v>44390</v>
      </c>
      <c r="W204" s="352">
        <f t="shared" si="237"/>
        <v>36785</v>
      </c>
      <c r="X204" s="352">
        <f t="shared" si="237"/>
        <v>47249</v>
      </c>
      <c r="Y204" s="352">
        <f t="shared" si="237"/>
        <v>45773</v>
      </c>
      <c r="Z204" s="352">
        <f t="shared" si="237"/>
        <v>49372</v>
      </c>
      <c r="AA204" s="352">
        <f t="shared" si="237"/>
        <v>61304</v>
      </c>
      <c r="AB204" s="352">
        <f t="shared" si="237"/>
        <v>57718</v>
      </c>
      <c r="AC204" s="352">
        <f t="shared" ca="1" si="237"/>
        <v>55286.764844750483</v>
      </c>
      <c r="AD204" s="352">
        <f ca="1">SUM(AD197:AD203)</f>
        <v>50635.901230750962</v>
      </c>
      <c r="AE204" s="352">
        <f ca="1">SUM(AE197:AE203)</f>
        <v>46808.303528001445</v>
      </c>
      <c r="AF204" s="352">
        <f ca="1">SUM(AF197:AF203)</f>
        <v>41398.468689251924</v>
      </c>
      <c r="AG204" s="429"/>
      <c r="AH204" s="352">
        <f t="shared" ref="AH204:AO204" si="238">SUM(AH197:AH203)</f>
        <v>27730</v>
      </c>
      <c r="AI204" s="352">
        <f t="shared" si="238"/>
        <v>38320</v>
      </c>
      <c r="AJ204" s="352">
        <f t="shared" si="238"/>
        <v>35508</v>
      </c>
      <c r="AK204" s="352">
        <f t="shared" si="238"/>
        <v>29500</v>
      </c>
      <c r="AL204" s="352">
        <f t="shared" si="238"/>
        <v>28787</v>
      </c>
      <c r="AM204" s="352">
        <f t="shared" si="238"/>
        <v>31239</v>
      </c>
      <c r="AN204" s="352">
        <f t="shared" si="238"/>
        <v>47249</v>
      </c>
      <c r="AO204" s="352">
        <f t="shared" si="238"/>
        <v>57718</v>
      </c>
      <c r="AP204" s="352">
        <f ca="1">SUM(AP197:AP203)</f>
        <v>41398.468689251924</v>
      </c>
      <c r="AQ204" s="352">
        <f ca="1">SUM(AQ197:AQ203)</f>
        <v>30983.536454377216</v>
      </c>
      <c r="AR204" s="352">
        <f ca="1">SUM(AR197:AR203)</f>
        <v>23824.56410487607</v>
      </c>
      <c r="AS204" s="352">
        <f ca="1">SUM(AS197:AS203)</f>
        <v>22752.489501913125</v>
      </c>
    </row>
    <row r="205" spans="2: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c r="AA205" s="345"/>
      <c r="AB205" s="345"/>
      <c r="AH205" s="345"/>
      <c r="AI205" s="345"/>
      <c r="AJ205" s="345"/>
      <c r="AK205" s="345"/>
      <c r="AL205" s="345"/>
      <c r="AM205" s="345"/>
      <c r="AN205" s="345"/>
      <c r="AO205" s="345"/>
      <c r="AP205" s="345"/>
    </row>
    <row r="206" spans="2:45">
      <c r="C206" s="338" t="s">
        <v>280</v>
      </c>
      <c r="E206" s="345">
        <v>32644</v>
      </c>
      <c r="F206" s="345">
        <v>33804</v>
      </c>
      <c r="G206" s="345">
        <v>34707</v>
      </c>
      <c r="H206" s="345">
        <v>36171</v>
      </c>
      <c r="I206" s="345">
        <v>36911</v>
      </c>
      <c r="J206" s="345">
        <v>38130</v>
      </c>
      <c r="K206" s="345">
        <v>39472</v>
      </c>
      <c r="L206" s="345">
        <v>41109</v>
      </c>
      <c r="M206" s="345">
        <v>43735</v>
      </c>
      <c r="N206" s="345">
        <v>45914</v>
      </c>
      <c r="O206" s="345">
        <v>47071</v>
      </c>
      <c r="P206" s="345">
        <v>48976</v>
      </c>
      <c r="Q206" s="345">
        <v>50040</v>
      </c>
      <c r="R206" s="345">
        <v>51377</v>
      </c>
      <c r="S206" s="345">
        <v>53563</v>
      </c>
      <c r="T206" s="345">
        <v>55386</v>
      </c>
      <c r="U206" s="345">
        <v>56770</v>
      </c>
      <c r="V206" s="345">
        <v>58036</v>
      </c>
      <c r="W206" s="345">
        <v>59205</v>
      </c>
      <c r="X206" s="345">
        <v>56584</v>
      </c>
      <c r="Y206" s="345">
        <v>57330</v>
      </c>
      <c r="Z206" s="345">
        <v>58166</v>
      </c>
      <c r="AA206" s="345">
        <v>59733</v>
      </c>
      <c r="AB206" s="345">
        <v>63245</v>
      </c>
      <c r="AC206" s="372">
        <f>AC396</f>
        <v>67411.362500000003</v>
      </c>
      <c r="AD206" s="372">
        <f>AD396</f>
        <v>70804.233749999999</v>
      </c>
      <c r="AE206" s="372">
        <f>AE396</f>
        <v>73558.181249999994</v>
      </c>
      <c r="AF206" s="372">
        <f>AF396</f>
        <v>76614.887499999997</v>
      </c>
      <c r="AH206" s="345">
        <v>33238</v>
      </c>
      <c r="AI206" s="345">
        <v>31858</v>
      </c>
      <c r="AJ206" s="372">
        <f t="shared" ref="AJ206:AP211" si="239">+_xlfn.XLOOKUP(AJ$6,$E$6:$AF$6,$E206:$AF206)</f>
        <v>36171</v>
      </c>
      <c r="AK206" s="372">
        <f t="shared" si="239"/>
        <v>41109</v>
      </c>
      <c r="AL206" s="372">
        <f t="shared" si="239"/>
        <v>48976</v>
      </c>
      <c r="AM206" s="372">
        <f t="shared" si="239"/>
        <v>55386</v>
      </c>
      <c r="AN206" s="372">
        <f t="shared" si="239"/>
        <v>56584</v>
      </c>
      <c r="AO206" s="372">
        <f t="shared" si="239"/>
        <v>63245</v>
      </c>
      <c r="AP206" s="372">
        <f t="shared" si="239"/>
        <v>76614.887499999997</v>
      </c>
      <c r="AQ206" s="372">
        <f>AQ396</f>
        <v>87045.576968026624</v>
      </c>
      <c r="AR206" s="372">
        <f>AR396</f>
        <v>95399.785796951313</v>
      </c>
      <c r="AS206" s="372">
        <f>AS396</f>
        <v>99448.279792042013</v>
      </c>
    </row>
    <row r="207" spans="2:45">
      <c r="C207" s="338" t="s">
        <v>281</v>
      </c>
      <c r="E207" s="345">
        <v>6377</v>
      </c>
      <c r="F207" s="345">
        <v>5394</v>
      </c>
      <c r="G207" s="345">
        <v>6022</v>
      </c>
      <c r="H207" s="345">
        <v>6180</v>
      </c>
      <c r="I207" s="345">
        <v>6831</v>
      </c>
      <c r="J207" s="345">
        <v>5904</v>
      </c>
      <c r="K207" s="345">
        <v>6059</v>
      </c>
      <c r="L207" s="345">
        <v>8579</v>
      </c>
      <c r="M207" s="345">
        <v>9481</v>
      </c>
      <c r="N207" s="345">
        <v>9245</v>
      </c>
      <c r="O207" s="345">
        <v>7551</v>
      </c>
      <c r="P207" s="345">
        <v>6042</v>
      </c>
      <c r="Q207" s="345">
        <v>5254</v>
      </c>
      <c r="R207" s="345">
        <v>4629</v>
      </c>
      <c r="S207" s="345">
        <v>4819</v>
      </c>
      <c r="T207" s="345">
        <v>3967</v>
      </c>
      <c r="U207" s="345">
        <v>3880</v>
      </c>
      <c r="V207" s="345">
        <v>3901</v>
      </c>
      <c r="W207" s="345">
        <v>3679</v>
      </c>
      <c r="X207" s="345">
        <v>5152</v>
      </c>
      <c r="Y207" s="345">
        <v>5404</v>
      </c>
      <c r="Z207" s="345">
        <v>5655</v>
      </c>
      <c r="AA207" s="345">
        <v>6050</v>
      </c>
      <c r="AB207" s="357">
        <v>6298</v>
      </c>
      <c r="AC207" s="344">
        <f>+AB207-AC337-AC310</f>
        <v>6718</v>
      </c>
      <c r="AD207" s="344">
        <f>+AC207-AD337-AD310</f>
        <v>7138</v>
      </c>
      <c r="AE207" s="344">
        <f>+AD207-AE337-AE310</f>
        <v>7558</v>
      </c>
      <c r="AF207" s="344">
        <f>+AE207-AF337-AF310</f>
        <v>7978</v>
      </c>
      <c r="AH207" s="345">
        <v>7097</v>
      </c>
      <c r="AI207" s="345">
        <v>5960</v>
      </c>
      <c r="AJ207" s="372">
        <f t="shared" si="239"/>
        <v>6180</v>
      </c>
      <c r="AK207" s="372">
        <f t="shared" si="239"/>
        <v>8579</v>
      </c>
      <c r="AL207" s="372">
        <f t="shared" si="239"/>
        <v>6042</v>
      </c>
      <c r="AM207" s="372">
        <f t="shared" si="239"/>
        <v>3967</v>
      </c>
      <c r="AN207" s="372">
        <f t="shared" si="239"/>
        <v>5152</v>
      </c>
      <c r="AO207" s="372">
        <f t="shared" si="239"/>
        <v>6298</v>
      </c>
      <c r="AP207" s="372">
        <f t="shared" si="239"/>
        <v>7978</v>
      </c>
      <c r="AQ207" s="344">
        <f>+AP207-AQ337-AQ310</f>
        <v>9998</v>
      </c>
      <c r="AR207" s="344">
        <f>+AQ207-AR337-AR310</f>
        <v>12018</v>
      </c>
      <c r="AS207" s="344">
        <f>+AR207-AS337-AS310</f>
        <v>14038</v>
      </c>
    </row>
    <row r="208" spans="2:45">
      <c r="C208" s="338" t="s">
        <v>282</v>
      </c>
      <c r="E208" s="345">
        <v>3097</v>
      </c>
      <c r="F208" s="345">
        <v>3567</v>
      </c>
      <c r="G208" s="345">
        <v>4189</v>
      </c>
      <c r="H208" s="345">
        <v>4716</v>
      </c>
      <c r="I208" s="345">
        <v>5149</v>
      </c>
      <c r="J208" s="345">
        <v>4481</v>
      </c>
      <c r="K208" s="345">
        <v>3844</v>
      </c>
      <c r="L208" s="345">
        <v>3712</v>
      </c>
      <c r="M208" s="345">
        <v>3435</v>
      </c>
      <c r="N208" s="345">
        <v>3071</v>
      </c>
      <c r="O208" s="345">
        <v>3562</v>
      </c>
      <c r="P208" s="345">
        <v>3388</v>
      </c>
      <c r="Q208" s="345">
        <v>3465</v>
      </c>
      <c r="R208" s="345">
        <v>3577</v>
      </c>
      <c r="S208" s="345">
        <v>3428</v>
      </c>
      <c r="T208" s="345">
        <v>3276</v>
      </c>
      <c r="U208" s="345">
        <v>2943</v>
      </c>
      <c r="V208" s="345">
        <v>2884</v>
      </c>
      <c r="W208" s="345">
        <v>2720</v>
      </c>
      <c r="X208" s="345">
        <v>2192</v>
      </c>
      <c r="Y208" s="345">
        <v>1409</v>
      </c>
      <c r="Z208" s="345">
        <v>1262</v>
      </c>
      <c r="AA208" s="345">
        <v>953</v>
      </c>
      <c r="AB208" s="345">
        <v>840</v>
      </c>
      <c r="AC208" s="422">
        <f t="shared" ref="AC208:AF209" si="240">AB208</f>
        <v>840</v>
      </c>
      <c r="AD208" s="422">
        <f t="shared" si="240"/>
        <v>840</v>
      </c>
      <c r="AE208" s="422">
        <f t="shared" si="240"/>
        <v>840</v>
      </c>
      <c r="AF208" s="422">
        <f t="shared" si="240"/>
        <v>840</v>
      </c>
      <c r="AH208" s="345">
        <v>2023</v>
      </c>
      <c r="AI208" s="345">
        <v>1891</v>
      </c>
      <c r="AJ208" s="372">
        <f t="shared" si="239"/>
        <v>4716</v>
      </c>
      <c r="AK208" s="372">
        <f t="shared" si="239"/>
        <v>3712</v>
      </c>
      <c r="AL208" s="372">
        <f t="shared" si="239"/>
        <v>3388</v>
      </c>
      <c r="AM208" s="372">
        <f t="shared" si="239"/>
        <v>3276</v>
      </c>
      <c r="AN208" s="372">
        <f t="shared" si="239"/>
        <v>2192</v>
      </c>
      <c r="AO208" s="372">
        <f t="shared" si="239"/>
        <v>840</v>
      </c>
      <c r="AP208" s="372">
        <f t="shared" si="239"/>
        <v>840</v>
      </c>
      <c r="AQ208" s="422">
        <f>AP208</f>
        <v>840</v>
      </c>
      <c r="AR208" s="422">
        <f>AQ208</f>
        <v>840</v>
      </c>
      <c r="AS208" s="422">
        <f>AR208</f>
        <v>840</v>
      </c>
    </row>
    <row r="209" spans="3:45">
      <c r="C209" s="338" t="s">
        <v>283</v>
      </c>
      <c r="E209" s="345">
        <v>16942</v>
      </c>
      <c r="F209" s="345">
        <v>16992</v>
      </c>
      <c r="G209" s="345">
        <v>13868</v>
      </c>
      <c r="H209" s="345">
        <v>14099</v>
      </c>
      <c r="I209" s="345">
        <v>14099</v>
      </c>
      <c r="J209" s="345">
        <v>14102</v>
      </c>
      <c r="K209" s="345">
        <v>24389</v>
      </c>
      <c r="L209" s="345">
        <v>24389</v>
      </c>
      <c r="M209" s="345">
        <v>24346</v>
      </c>
      <c r="N209" s="345">
        <v>24351</v>
      </c>
      <c r="O209" s="345">
        <v>24506</v>
      </c>
      <c r="P209" s="345">
        <v>24513</v>
      </c>
      <c r="Q209" s="345">
        <v>24521</v>
      </c>
      <c r="R209" s="345">
        <v>24583</v>
      </c>
      <c r="S209" s="345">
        <v>24727</v>
      </c>
      <c r="T209" s="345">
        <v>26276</v>
      </c>
      <c r="U209" s="345">
        <v>26276</v>
      </c>
      <c r="V209" s="345">
        <v>26943</v>
      </c>
      <c r="W209" s="345">
        <v>26955</v>
      </c>
      <c r="X209" s="345">
        <v>26971</v>
      </c>
      <c r="Y209" s="345">
        <v>26971</v>
      </c>
      <c r="Z209" s="345">
        <v>26768</v>
      </c>
      <c r="AA209" s="345">
        <v>26786</v>
      </c>
      <c r="AB209" s="345">
        <v>26963</v>
      </c>
      <c r="AC209" s="422">
        <f t="shared" si="240"/>
        <v>26963</v>
      </c>
      <c r="AD209" s="422">
        <f t="shared" si="240"/>
        <v>26963</v>
      </c>
      <c r="AE209" s="422">
        <f t="shared" si="240"/>
        <v>26963</v>
      </c>
      <c r="AF209" s="422">
        <f t="shared" si="240"/>
        <v>26963</v>
      </c>
      <c r="AH209" s="345">
        <v>10861</v>
      </c>
      <c r="AI209" s="345">
        <v>11332</v>
      </c>
      <c r="AJ209" s="372">
        <f t="shared" si="239"/>
        <v>14099</v>
      </c>
      <c r="AK209" s="372">
        <f t="shared" si="239"/>
        <v>24389</v>
      </c>
      <c r="AL209" s="372">
        <f t="shared" si="239"/>
        <v>24513</v>
      </c>
      <c r="AM209" s="372">
        <f t="shared" si="239"/>
        <v>26276</v>
      </c>
      <c r="AN209" s="372">
        <f t="shared" si="239"/>
        <v>26971</v>
      </c>
      <c r="AO209" s="372">
        <f t="shared" si="239"/>
        <v>26963</v>
      </c>
      <c r="AP209" s="372">
        <f t="shared" si="239"/>
        <v>26963</v>
      </c>
      <c r="AQ209" s="422">
        <f>AP209</f>
        <v>26963</v>
      </c>
      <c r="AR209" s="422">
        <f>AQ209</f>
        <v>26963</v>
      </c>
      <c r="AS209" s="344">
        <f>AR209-AS336</f>
        <v>24963</v>
      </c>
    </row>
    <row r="210" spans="3:45">
      <c r="C210" s="338" t="s">
        <v>284</v>
      </c>
      <c r="E210" s="345">
        <v>11140</v>
      </c>
      <c r="F210" s="345">
        <v>10821</v>
      </c>
      <c r="G210" s="345">
        <v>9524</v>
      </c>
      <c r="H210" s="345">
        <v>9494</v>
      </c>
      <c r="I210" s="345">
        <v>9157</v>
      </c>
      <c r="J210" s="345">
        <v>8867</v>
      </c>
      <c r="K210" s="345">
        <v>13058</v>
      </c>
      <c r="L210" s="345">
        <v>12745</v>
      </c>
      <c r="M210" s="345">
        <v>12355</v>
      </c>
      <c r="N210" s="345">
        <v>12098</v>
      </c>
      <c r="O210" s="345">
        <v>12007</v>
      </c>
      <c r="P210" s="345">
        <v>11836</v>
      </c>
      <c r="Q210" s="345">
        <v>11457</v>
      </c>
      <c r="R210" s="345">
        <v>11249</v>
      </c>
      <c r="S210" s="345">
        <v>11019</v>
      </c>
      <c r="T210" s="345">
        <v>10827</v>
      </c>
      <c r="U210" s="345">
        <v>10429</v>
      </c>
      <c r="V210" s="345">
        <v>10303</v>
      </c>
      <c r="W210" s="345">
        <v>9881</v>
      </c>
      <c r="X210" s="345">
        <v>9026</v>
      </c>
      <c r="Y210" s="345">
        <v>8408</v>
      </c>
      <c r="Z210" s="345">
        <v>8018</v>
      </c>
      <c r="AA210" s="345">
        <v>7684</v>
      </c>
      <c r="AB210" s="345">
        <v>7270</v>
      </c>
      <c r="AC210" s="372">
        <f>AC435</f>
        <v>6827.1125000000002</v>
      </c>
      <c r="AD210" s="372">
        <f>AD435</f>
        <v>6384.2250000000004</v>
      </c>
      <c r="AE210" s="372">
        <f>AE435</f>
        <v>5941.3375000000005</v>
      </c>
      <c r="AF210" s="372">
        <f>AF435</f>
        <v>5498.4500000000007</v>
      </c>
      <c r="AH210" s="345">
        <v>4446</v>
      </c>
      <c r="AI210" s="345">
        <v>3933</v>
      </c>
      <c r="AJ210" s="372">
        <f t="shared" si="239"/>
        <v>9494</v>
      </c>
      <c r="AK210" s="372">
        <f t="shared" si="239"/>
        <v>12745</v>
      </c>
      <c r="AL210" s="372">
        <f t="shared" si="239"/>
        <v>11836</v>
      </c>
      <c r="AM210" s="372">
        <f t="shared" si="239"/>
        <v>10827</v>
      </c>
      <c r="AN210" s="372">
        <f t="shared" si="239"/>
        <v>9026</v>
      </c>
      <c r="AO210" s="372">
        <f t="shared" si="239"/>
        <v>7270</v>
      </c>
      <c r="AP210" s="372">
        <f t="shared" si="239"/>
        <v>5498.4500000000007</v>
      </c>
      <c r="AQ210" s="372">
        <f>AQ435</f>
        <v>5226.8999999999996</v>
      </c>
      <c r="AR210" s="372">
        <f>AR435</f>
        <v>4955.3499999999995</v>
      </c>
      <c r="AS210" s="372">
        <f>AS435</f>
        <v>4683.7999999999993</v>
      </c>
    </row>
    <row r="211" spans="3:45">
      <c r="C211" s="338" t="s">
        <v>285</v>
      </c>
      <c r="E211" s="345">
        <v>7870</v>
      </c>
      <c r="F211" s="345">
        <v>8065</v>
      </c>
      <c r="G211" s="345">
        <v>7691</v>
      </c>
      <c r="H211" s="345">
        <v>7159</v>
      </c>
      <c r="I211" s="345">
        <v>7443</v>
      </c>
      <c r="J211" s="345">
        <v>10006</v>
      </c>
      <c r="K211" s="345">
        <v>7112</v>
      </c>
      <c r="L211" s="345">
        <v>3215</v>
      </c>
      <c r="M211" s="345">
        <v>3614</v>
      </c>
      <c r="N211" s="345">
        <v>3690</v>
      </c>
      <c r="O211" s="345">
        <v>3955</v>
      </c>
      <c r="P211" s="345">
        <v>4421</v>
      </c>
      <c r="Q211" s="345">
        <v>5661</v>
      </c>
      <c r="R211" s="345">
        <v>6105</v>
      </c>
      <c r="S211" s="345">
        <v>6255</v>
      </c>
      <c r="T211" s="345">
        <v>5553</v>
      </c>
      <c r="U211" s="345">
        <v>5911</v>
      </c>
      <c r="V211" s="345">
        <v>6082</v>
      </c>
      <c r="W211" s="345">
        <v>6036</v>
      </c>
      <c r="X211" s="345">
        <v>5917</v>
      </c>
      <c r="Y211" s="345">
        <v>5327</v>
      </c>
      <c r="Z211" s="345">
        <v>5356</v>
      </c>
      <c r="AA211" s="345">
        <v>5452</v>
      </c>
      <c r="AB211" s="345">
        <v>6072</v>
      </c>
      <c r="AC211" s="422">
        <f>AB211</f>
        <v>6072</v>
      </c>
      <c r="AD211" s="422">
        <f>AC211</f>
        <v>6072</v>
      </c>
      <c r="AE211" s="422">
        <f>AD211</f>
        <v>6072</v>
      </c>
      <c r="AF211" s="422">
        <f>AE211</f>
        <v>6072</v>
      </c>
      <c r="AH211" s="345">
        <v>6505</v>
      </c>
      <c r="AI211" s="345">
        <v>8165</v>
      </c>
      <c r="AJ211" s="372">
        <f t="shared" si="239"/>
        <v>7159</v>
      </c>
      <c r="AK211" s="372">
        <f t="shared" si="239"/>
        <v>3215</v>
      </c>
      <c r="AL211" s="372">
        <f t="shared" si="239"/>
        <v>4421</v>
      </c>
      <c r="AM211" s="372">
        <f t="shared" si="239"/>
        <v>5553</v>
      </c>
      <c r="AN211" s="372">
        <f t="shared" si="239"/>
        <v>5917</v>
      </c>
      <c r="AO211" s="372">
        <f t="shared" si="239"/>
        <v>6072</v>
      </c>
      <c r="AP211" s="372">
        <f t="shared" si="239"/>
        <v>6072</v>
      </c>
      <c r="AQ211" s="422">
        <f>AP211</f>
        <v>6072</v>
      </c>
      <c r="AR211" s="422">
        <f>AQ211</f>
        <v>6072</v>
      </c>
      <c r="AS211" s="422">
        <f>AR211</f>
        <v>6072</v>
      </c>
    </row>
    <row r="212" spans="3:45" s="373" customFormat="1" ht="10.9" thickBot="1">
      <c r="C212" s="354" t="s">
        <v>286</v>
      </c>
      <c r="E212" s="436">
        <f t="shared" ref="E212:AC212" si="241">E204+SUM(E206:E211)</f>
        <v>105467</v>
      </c>
      <c r="F212" s="436">
        <f t="shared" si="241"/>
        <v>109831</v>
      </c>
      <c r="G212" s="436">
        <f t="shared" si="241"/>
        <v>112217</v>
      </c>
      <c r="H212" s="436">
        <f t="shared" si="241"/>
        <v>113327</v>
      </c>
      <c r="I212" s="436">
        <f t="shared" si="241"/>
        <v>115648</v>
      </c>
      <c r="J212" s="436">
        <f t="shared" si="241"/>
        <v>122107</v>
      </c>
      <c r="K212" s="436">
        <f t="shared" si="241"/>
        <v>127088</v>
      </c>
      <c r="L212" s="436">
        <f t="shared" si="241"/>
        <v>123249</v>
      </c>
      <c r="M212" s="436">
        <f t="shared" si="241"/>
        <v>128596</v>
      </c>
      <c r="N212" s="436">
        <f t="shared" si="241"/>
        <v>125972</v>
      </c>
      <c r="O212" s="436">
        <f t="shared" si="241"/>
        <v>128242</v>
      </c>
      <c r="P212" s="436">
        <f t="shared" si="241"/>
        <v>127963</v>
      </c>
      <c r="Q212" s="436">
        <f t="shared" si="241"/>
        <v>129458</v>
      </c>
      <c r="R212" s="436">
        <f t="shared" si="241"/>
        <v>130759</v>
      </c>
      <c r="S212" s="436">
        <f t="shared" si="241"/>
        <v>133768</v>
      </c>
      <c r="T212" s="436">
        <f t="shared" si="241"/>
        <v>136524</v>
      </c>
      <c r="U212" s="436">
        <f t="shared" si="241"/>
        <v>147710</v>
      </c>
      <c r="V212" s="436">
        <f t="shared" si="241"/>
        <v>152539</v>
      </c>
      <c r="W212" s="436">
        <f t="shared" si="241"/>
        <v>145261</v>
      </c>
      <c r="X212" s="436">
        <f t="shared" si="241"/>
        <v>153091</v>
      </c>
      <c r="Y212" s="436">
        <f t="shared" si="241"/>
        <v>150622</v>
      </c>
      <c r="Z212" s="436">
        <f t="shared" si="241"/>
        <v>154597</v>
      </c>
      <c r="AA212" s="436">
        <f t="shared" si="241"/>
        <v>167962</v>
      </c>
      <c r="AB212" s="436">
        <f t="shared" si="241"/>
        <v>168406</v>
      </c>
      <c r="AC212" s="436">
        <f t="shared" ca="1" si="241"/>
        <v>170118.2398447505</v>
      </c>
      <c r="AD212" s="436">
        <f ca="1">AD204+SUM(AD206:AD211)</f>
        <v>168837.35998075097</v>
      </c>
      <c r="AE212" s="436">
        <f ca="1">AE204+SUM(AE206:AE211)</f>
        <v>167740.82227800143</v>
      </c>
      <c r="AF212" s="436">
        <f ca="1">AF204+SUM(AF206:AF211)</f>
        <v>165364.80618925192</v>
      </c>
      <c r="AG212" s="429"/>
      <c r="AH212" s="436">
        <f t="shared" ref="AH212:AO212" si="242">AH204+SUM(AH206:AH211)</f>
        <v>91900</v>
      </c>
      <c r="AI212" s="436">
        <f t="shared" si="242"/>
        <v>101459</v>
      </c>
      <c r="AJ212" s="436">
        <f t="shared" si="242"/>
        <v>113327</v>
      </c>
      <c r="AK212" s="436">
        <f t="shared" si="242"/>
        <v>123249</v>
      </c>
      <c r="AL212" s="436">
        <f t="shared" si="242"/>
        <v>127963</v>
      </c>
      <c r="AM212" s="436">
        <f t="shared" si="242"/>
        <v>136524</v>
      </c>
      <c r="AN212" s="436">
        <f t="shared" si="242"/>
        <v>153091</v>
      </c>
      <c r="AO212" s="436">
        <f t="shared" si="242"/>
        <v>168406</v>
      </c>
      <c r="AP212" s="436">
        <f ca="1">AP204+SUM(AP206:AP211)</f>
        <v>165364.80618925192</v>
      </c>
      <c r="AQ212" s="436">
        <f ca="1">AQ204+SUM(AQ206:AQ211)</f>
        <v>167129.01342240383</v>
      </c>
      <c r="AR212" s="436">
        <f ca="1">AR204+SUM(AR206:AR211)</f>
        <v>170072.69990182741</v>
      </c>
      <c r="AS212" s="436">
        <f ca="1">AS204+SUM(AS206:AS211)</f>
        <v>172797.56929395514</v>
      </c>
    </row>
    <row r="213" spans="3:45" ht="10.9" thickTop="1">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c r="AA213" s="345"/>
      <c r="AB213" s="345"/>
      <c r="AH213" s="345"/>
      <c r="AI213" s="345"/>
      <c r="AJ213" s="345"/>
      <c r="AK213" s="345"/>
      <c r="AL213" s="345"/>
      <c r="AM213" s="345"/>
      <c r="AN213" s="345"/>
      <c r="AO213" s="345"/>
      <c r="AP213" s="345"/>
    </row>
    <row r="214" spans="3:45">
      <c r="C214" s="338" t="s">
        <v>287</v>
      </c>
      <c r="E214" s="345">
        <v>3594</v>
      </c>
      <c r="F214" s="345">
        <v>4560</v>
      </c>
      <c r="G214" s="345">
        <v>3573</v>
      </c>
      <c r="H214" s="345">
        <v>4634</v>
      </c>
      <c r="I214" s="345">
        <v>5073</v>
      </c>
      <c r="J214" s="345">
        <v>4130</v>
      </c>
      <c r="K214" s="345">
        <v>4142</v>
      </c>
      <c r="L214" s="345">
        <v>1776</v>
      </c>
      <c r="M214" s="345">
        <v>3842</v>
      </c>
      <c r="N214" s="345">
        <v>3510</v>
      </c>
      <c r="O214" s="345">
        <v>3051</v>
      </c>
      <c r="P214" s="345">
        <v>1261</v>
      </c>
      <c r="Q214" s="345">
        <v>2750</v>
      </c>
      <c r="R214" s="345">
        <v>3726</v>
      </c>
      <c r="S214" s="345">
        <v>5200</v>
      </c>
      <c r="T214" s="345">
        <v>3693</v>
      </c>
      <c r="U214" s="345">
        <v>3464</v>
      </c>
      <c r="V214" s="345">
        <v>2254</v>
      </c>
      <c r="W214" s="345">
        <v>504</v>
      </c>
      <c r="X214" s="345">
        <v>2504</v>
      </c>
      <c r="Y214" s="345">
        <v>2647</v>
      </c>
      <c r="Z214" s="345">
        <v>3695</v>
      </c>
      <c r="AA214" s="345">
        <v>4694</v>
      </c>
      <c r="AB214" s="345">
        <v>4591</v>
      </c>
      <c r="AC214" s="428"/>
      <c r="AD214" s="428"/>
      <c r="AE214" s="428"/>
      <c r="AF214" s="428"/>
      <c r="AH214" s="345">
        <v>1596</v>
      </c>
      <c r="AI214" s="345">
        <v>2634</v>
      </c>
      <c r="AJ214" s="372">
        <f t="shared" ref="AJ214:AP219" si="243">+_xlfn.XLOOKUP(AJ$6,$E$6:$AF$6,$E214:$AF214)</f>
        <v>4634</v>
      </c>
      <c r="AK214" s="372">
        <f t="shared" si="243"/>
        <v>1776</v>
      </c>
      <c r="AL214" s="372">
        <f t="shared" si="243"/>
        <v>1261</v>
      </c>
      <c r="AM214" s="372">
        <f t="shared" si="243"/>
        <v>3693</v>
      </c>
      <c r="AN214" s="372">
        <f t="shared" si="243"/>
        <v>2504</v>
      </c>
      <c r="AO214" s="372">
        <f t="shared" si="243"/>
        <v>4591</v>
      </c>
      <c r="AP214" s="428"/>
      <c r="AQ214" s="428"/>
      <c r="AR214" s="428"/>
      <c r="AS214" s="428"/>
    </row>
    <row r="215" spans="3:45">
      <c r="C215" s="338" t="s">
        <v>288</v>
      </c>
      <c r="E215" s="345">
        <v>3163</v>
      </c>
      <c r="F215" s="345">
        <v>3420</v>
      </c>
      <c r="G215" s="345">
        <v>3181</v>
      </c>
      <c r="H215" s="345">
        <v>2475</v>
      </c>
      <c r="I215" s="345">
        <v>3221</v>
      </c>
      <c r="J215" s="345">
        <v>3671</v>
      </c>
      <c r="K215" s="345">
        <v>3554</v>
      </c>
      <c r="L215" s="345">
        <v>2928</v>
      </c>
      <c r="M215" s="345">
        <v>4415</v>
      </c>
      <c r="N215" s="345">
        <v>4143</v>
      </c>
      <c r="O215" s="345">
        <v>3593</v>
      </c>
      <c r="P215" s="345">
        <v>3824</v>
      </c>
      <c r="Q215" s="345">
        <v>4059</v>
      </c>
      <c r="R215" s="345">
        <v>4682</v>
      </c>
      <c r="S215" s="345">
        <v>4809</v>
      </c>
      <c r="T215" s="345">
        <v>4128</v>
      </c>
      <c r="U215" s="345">
        <v>4638</v>
      </c>
      <c r="V215" s="345">
        <v>5045</v>
      </c>
      <c r="W215" s="345">
        <v>5159</v>
      </c>
      <c r="X215" s="345">
        <v>5581</v>
      </c>
      <c r="Y215" s="345">
        <v>5434</v>
      </c>
      <c r="Z215" s="345">
        <v>5917</v>
      </c>
      <c r="AA215" s="345">
        <v>6792</v>
      </c>
      <c r="AB215" s="345">
        <v>5747</v>
      </c>
      <c r="AC215" s="372">
        <f>+AB215+AC318</f>
        <v>5847</v>
      </c>
      <c r="AD215" s="372">
        <f>+AC215+AD318</f>
        <v>5947</v>
      </c>
      <c r="AE215" s="372">
        <f>+AD215+AE318</f>
        <v>6047</v>
      </c>
      <c r="AF215" s="372">
        <f>+AE215+AF318</f>
        <v>6147</v>
      </c>
      <c r="AH215" s="345">
        <v>2748</v>
      </c>
      <c r="AI215" s="345">
        <v>2063</v>
      </c>
      <c r="AJ215" s="372">
        <f t="shared" si="243"/>
        <v>2475</v>
      </c>
      <c r="AK215" s="372">
        <f t="shared" si="243"/>
        <v>2928</v>
      </c>
      <c r="AL215" s="372">
        <f t="shared" si="243"/>
        <v>3824</v>
      </c>
      <c r="AM215" s="372">
        <f t="shared" si="243"/>
        <v>4128</v>
      </c>
      <c r="AN215" s="372">
        <f t="shared" si="243"/>
        <v>5581</v>
      </c>
      <c r="AO215" s="372">
        <f t="shared" si="243"/>
        <v>5747</v>
      </c>
      <c r="AP215" s="372">
        <f t="shared" si="243"/>
        <v>6147</v>
      </c>
      <c r="AQ215" s="372">
        <f>+AP215+AQ318</f>
        <v>6347</v>
      </c>
      <c r="AR215" s="372">
        <f>+AQ215+AR318</f>
        <v>6547</v>
      </c>
      <c r="AS215" s="372">
        <f>+AR215+AS318</f>
        <v>6747</v>
      </c>
    </row>
    <row r="216" spans="3:45">
      <c r="C216" s="338" t="s">
        <v>289</v>
      </c>
      <c r="E216" s="345">
        <f>1834+820</f>
        <v>2654</v>
      </c>
      <c r="F216" s="345">
        <f>2809+736</f>
        <v>3545</v>
      </c>
      <c r="G216" s="345">
        <f>3110+820</f>
        <v>3930</v>
      </c>
      <c r="H216" s="345">
        <v>3465</v>
      </c>
      <c r="I216" s="345">
        <f>2145+772</f>
        <v>2917</v>
      </c>
      <c r="J216" s="345">
        <f>2332+835</f>
        <v>3167</v>
      </c>
      <c r="K216" s="345">
        <f>2805+892</f>
        <v>3697</v>
      </c>
      <c r="L216" s="345">
        <v>3526</v>
      </c>
      <c r="M216" s="345">
        <v>2118</v>
      </c>
      <c r="N216" s="345">
        <v>2601</v>
      </c>
      <c r="O216" s="345">
        <v>3095</v>
      </c>
      <c r="P216" s="345">
        <v>3622</v>
      </c>
      <c r="Q216" s="345">
        <v>1984</v>
      </c>
      <c r="R216" s="345">
        <v>2554</v>
      </c>
      <c r="S216" s="345">
        <v>3220</v>
      </c>
      <c r="T216" s="345">
        <v>3853</v>
      </c>
      <c r="U216" s="345">
        <v>2358</v>
      </c>
      <c r="V216" s="345">
        <v>2833</v>
      </c>
      <c r="W216" s="345">
        <v>3197</v>
      </c>
      <c r="X216" s="345">
        <v>3999</v>
      </c>
      <c r="Y216" s="345">
        <v>2757</v>
      </c>
      <c r="Z216" s="345">
        <v>3176</v>
      </c>
      <c r="AA216" s="345">
        <v>4026</v>
      </c>
      <c r="AB216" s="345">
        <v>4535</v>
      </c>
      <c r="AC216" s="422">
        <f>AB216</f>
        <v>4535</v>
      </c>
      <c r="AD216" s="422">
        <f t="shared" ref="AD216:AF218" si="244">AC216</f>
        <v>4535</v>
      </c>
      <c r="AE216" s="422">
        <f t="shared" si="244"/>
        <v>4535</v>
      </c>
      <c r="AF216" s="422">
        <f t="shared" si="244"/>
        <v>4535</v>
      </c>
      <c r="AH216" s="345">
        <f>3475+1092</f>
        <v>4567</v>
      </c>
      <c r="AI216" s="345">
        <f>3138+960</f>
        <v>4098</v>
      </c>
      <c r="AJ216" s="372">
        <f t="shared" si="243"/>
        <v>3465</v>
      </c>
      <c r="AK216" s="372">
        <f t="shared" si="243"/>
        <v>3526</v>
      </c>
      <c r="AL216" s="372">
        <f t="shared" si="243"/>
        <v>3622</v>
      </c>
      <c r="AM216" s="372">
        <f t="shared" si="243"/>
        <v>3853</v>
      </c>
      <c r="AN216" s="372">
        <f t="shared" si="243"/>
        <v>3999</v>
      </c>
      <c r="AO216" s="372">
        <f t="shared" si="243"/>
        <v>4535</v>
      </c>
      <c r="AP216" s="372">
        <f t="shared" si="243"/>
        <v>4535</v>
      </c>
      <c r="AQ216" s="422">
        <f t="shared" ref="AQ216:AS218" si="245">AP216</f>
        <v>4535</v>
      </c>
      <c r="AR216" s="422">
        <f t="shared" si="245"/>
        <v>4535</v>
      </c>
      <c r="AS216" s="422">
        <f t="shared" si="245"/>
        <v>4535</v>
      </c>
    </row>
    <row r="217" spans="3:45">
      <c r="C217" s="338" t="s">
        <v>290</v>
      </c>
      <c r="E217" s="345">
        <v>2632</v>
      </c>
      <c r="F217" s="345">
        <v>2807</v>
      </c>
      <c r="G217" s="345">
        <v>1724</v>
      </c>
      <c r="H217" s="345">
        <v>1718</v>
      </c>
      <c r="I217" s="345">
        <v>1698</v>
      </c>
      <c r="J217" s="345">
        <v>1587</v>
      </c>
      <c r="K217" s="345">
        <v>1706</v>
      </c>
      <c r="L217" s="345">
        <v>1656</v>
      </c>
      <c r="M217" s="345">
        <v>0</v>
      </c>
      <c r="N217" s="345">
        <v>0</v>
      </c>
      <c r="O217" s="345">
        <v>0</v>
      </c>
      <c r="P217" s="345">
        <v>0</v>
      </c>
      <c r="Q217" s="345">
        <v>0</v>
      </c>
      <c r="R217" s="345">
        <v>0</v>
      </c>
      <c r="S217" s="345">
        <v>0</v>
      </c>
      <c r="T217" s="345">
        <v>0</v>
      </c>
      <c r="U217" s="345">
        <v>0</v>
      </c>
      <c r="V217" s="345">
        <v>0</v>
      </c>
      <c r="W217" s="345">
        <v>0</v>
      </c>
      <c r="X217" s="345">
        <v>0</v>
      </c>
      <c r="Y217" s="345">
        <v>0</v>
      </c>
      <c r="Z217" s="345">
        <v>0</v>
      </c>
      <c r="AA217" s="345">
        <v>0</v>
      </c>
      <c r="AB217" s="345">
        <v>0</v>
      </c>
      <c r="AC217" s="422">
        <f>AB217</f>
        <v>0</v>
      </c>
      <c r="AD217" s="422">
        <f t="shared" si="244"/>
        <v>0</v>
      </c>
      <c r="AE217" s="422">
        <f t="shared" si="244"/>
        <v>0</v>
      </c>
      <c r="AF217" s="422">
        <f t="shared" si="244"/>
        <v>0</v>
      </c>
      <c r="AH217" s="345">
        <v>2205</v>
      </c>
      <c r="AI217" s="345">
        <v>2188</v>
      </c>
      <c r="AJ217" s="372">
        <f t="shared" si="243"/>
        <v>1718</v>
      </c>
      <c r="AK217" s="372">
        <f t="shared" si="243"/>
        <v>1656</v>
      </c>
      <c r="AL217" s="372">
        <f t="shared" si="243"/>
        <v>0</v>
      </c>
      <c r="AM217" s="372">
        <f t="shared" si="243"/>
        <v>0</v>
      </c>
      <c r="AN217" s="372">
        <f t="shared" si="243"/>
        <v>0</v>
      </c>
      <c r="AO217" s="372">
        <f t="shared" si="243"/>
        <v>0</v>
      </c>
      <c r="AP217" s="372">
        <f t="shared" si="243"/>
        <v>0</v>
      </c>
      <c r="AQ217" s="422">
        <f t="shared" si="245"/>
        <v>0</v>
      </c>
      <c r="AR217" s="422">
        <f t="shared" si="245"/>
        <v>0</v>
      </c>
      <c r="AS217" s="422">
        <f t="shared" si="245"/>
        <v>0</v>
      </c>
    </row>
    <row r="218" spans="3:45">
      <c r="C218" s="338" t="s">
        <v>291</v>
      </c>
      <c r="E218" s="345">
        <v>0</v>
      </c>
      <c r="F218" s="345">
        <v>0</v>
      </c>
      <c r="G218" s="345">
        <v>1881</v>
      </c>
      <c r="H218" s="345">
        <v>1920</v>
      </c>
      <c r="I218" s="345">
        <v>1746</v>
      </c>
      <c r="J218" s="345">
        <v>0</v>
      </c>
      <c r="K218" s="345">
        <v>0</v>
      </c>
      <c r="L218" s="345">
        <v>0</v>
      </c>
      <c r="M218" s="345">
        <v>0</v>
      </c>
      <c r="N218" s="345">
        <v>0</v>
      </c>
      <c r="O218" s="345">
        <v>0</v>
      </c>
      <c r="P218" s="345">
        <v>0</v>
      </c>
      <c r="Q218" s="345">
        <v>0</v>
      </c>
      <c r="R218" s="345">
        <v>0</v>
      </c>
      <c r="S218" s="345">
        <v>0</v>
      </c>
      <c r="T218" s="345">
        <v>0</v>
      </c>
      <c r="U218" s="345">
        <v>0</v>
      </c>
      <c r="V218" s="345">
        <v>0</v>
      </c>
      <c r="W218" s="345">
        <v>0</v>
      </c>
      <c r="X218" s="345">
        <v>0</v>
      </c>
      <c r="Y218" s="345">
        <v>0</v>
      </c>
      <c r="Z218" s="345">
        <v>0</v>
      </c>
      <c r="AA218" s="345">
        <v>0</v>
      </c>
      <c r="AB218" s="345">
        <v>0</v>
      </c>
      <c r="AC218" s="422">
        <f>AB218</f>
        <v>0</v>
      </c>
      <c r="AD218" s="422">
        <f t="shared" si="244"/>
        <v>0</v>
      </c>
      <c r="AE218" s="422">
        <f t="shared" si="244"/>
        <v>0</v>
      </c>
      <c r="AF218" s="422">
        <f t="shared" si="244"/>
        <v>0</v>
      </c>
      <c r="AH218" s="345">
        <v>0</v>
      </c>
      <c r="AI218" s="345">
        <v>56</v>
      </c>
      <c r="AJ218" s="372">
        <f t="shared" si="243"/>
        <v>1920</v>
      </c>
      <c r="AK218" s="372">
        <f t="shared" si="243"/>
        <v>0</v>
      </c>
      <c r="AL218" s="372">
        <f t="shared" si="243"/>
        <v>0</v>
      </c>
      <c r="AM218" s="372">
        <f t="shared" si="243"/>
        <v>0</v>
      </c>
      <c r="AN218" s="372">
        <f t="shared" si="243"/>
        <v>0</v>
      </c>
      <c r="AO218" s="372">
        <f t="shared" si="243"/>
        <v>0</v>
      </c>
      <c r="AP218" s="372">
        <f t="shared" si="243"/>
        <v>0</v>
      </c>
      <c r="AQ218" s="422">
        <f t="shared" si="245"/>
        <v>0</v>
      </c>
      <c r="AR218" s="422">
        <f t="shared" si="245"/>
        <v>0</v>
      </c>
      <c r="AS218" s="422">
        <f t="shared" si="245"/>
        <v>0</v>
      </c>
    </row>
    <row r="219" spans="3:45">
      <c r="C219" s="338" t="s">
        <v>292</v>
      </c>
      <c r="E219" s="345">
        <v>5483</v>
      </c>
      <c r="F219" s="345">
        <v>4379</v>
      </c>
      <c r="G219" s="345">
        <v>5804</v>
      </c>
      <c r="H219" s="345">
        <v>6090</v>
      </c>
      <c r="I219" s="345">
        <v>6650</v>
      </c>
      <c r="J219" s="345">
        <v>6227</v>
      </c>
      <c r="K219" s="345">
        <v>7590</v>
      </c>
      <c r="L219" s="345">
        <v>7535</v>
      </c>
      <c r="M219" s="345">
        <v>9586</v>
      </c>
      <c r="N219" s="345">
        <v>7317</v>
      </c>
      <c r="O219" s="345">
        <v>9835</v>
      </c>
      <c r="P219" s="345">
        <v>7919</v>
      </c>
      <c r="Q219" s="345">
        <v>10118</v>
      </c>
      <c r="R219" s="345">
        <v>8743</v>
      </c>
      <c r="S219" s="345">
        <v>11835</v>
      </c>
      <c r="T219" s="345">
        <v>10636</v>
      </c>
      <c r="U219" s="345">
        <v>13435</v>
      </c>
      <c r="V219" s="345">
        <v>12349</v>
      </c>
      <c r="W219" s="345">
        <v>13252</v>
      </c>
      <c r="X219" s="345">
        <v>12670</v>
      </c>
      <c r="Y219" s="345">
        <v>13313</v>
      </c>
      <c r="Z219" s="345">
        <v>12048</v>
      </c>
      <c r="AA219" s="345">
        <v>14060</v>
      </c>
      <c r="AB219" s="345">
        <v>12589</v>
      </c>
      <c r="AC219" s="372">
        <f>AC298*SUM(Z10:AC10)</f>
        <v>12543.64</v>
      </c>
      <c r="AD219" s="372">
        <f>AD298*SUM(AA10:AD10)</f>
        <v>12096.563999999998</v>
      </c>
      <c r="AE219" s="372">
        <f>AE298*SUM(AB10:AE10)</f>
        <v>11656.22</v>
      </c>
      <c r="AF219" s="372">
        <f>AF298*SUM(AC10:AF10)</f>
        <v>11140.52</v>
      </c>
      <c r="AH219" s="345">
        <v>4895</v>
      </c>
      <c r="AI219" s="345">
        <v>4607</v>
      </c>
      <c r="AJ219" s="372">
        <f t="shared" si="243"/>
        <v>6090</v>
      </c>
      <c r="AK219" s="372">
        <f t="shared" si="243"/>
        <v>7535</v>
      </c>
      <c r="AL219" s="372">
        <f t="shared" si="243"/>
        <v>7919</v>
      </c>
      <c r="AM219" s="372">
        <f t="shared" si="243"/>
        <v>10636</v>
      </c>
      <c r="AN219" s="372">
        <f t="shared" si="243"/>
        <v>12670</v>
      </c>
      <c r="AO219" s="372">
        <f t="shared" si="243"/>
        <v>12589</v>
      </c>
      <c r="AP219" s="372">
        <f t="shared" si="243"/>
        <v>11140.52</v>
      </c>
      <c r="AQ219" s="372">
        <f>AQ298*AQ10</f>
        <v>10509.678740000001</v>
      </c>
      <c r="AR219" s="372">
        <f>AR298*AR10</f>
        <v>10876.427652200002</v>
      </c>
      <c r="AS219" s="372">
        <f>AS298*AS10</f>
        <v>11378.610676870005</v>
      </c>
    </row>
    <row r="220" spans="3:45" s="373" customFormat="1">
      <c r="C220" s="354" t="s">
        <v>293</v>
      </c>
      <c r="E220" s="352">
        <f t="shared" ref="E220:AC220" si="246">SUM(E214:E219)</f>
        <v>17526</v>
      </c>
      <c r="F220" s="352">
        <f t="shared" si="246"/>
        <v>18711</v>
      </c>
      <c r="G220" s="352">
        <f t="shared" si="246"/>
        <v>20093</v>
      </c>
      <c r="H220" s="352">
        <f t="shared" si="246"/>
        <v>20302</v>
      </c>
      <c r="I220" s="352">
        <f t="shared" si="246"/>
        <v>21305</v>
      </c>
      <c r="J220" s="352">
        <f t="shared" si="246"/>
        <v>18782</v>
      </c>
      <c r="K220" s="352">
        <f t="shared" si="246"/>
        <v>20689</v>
      </c>
      <c r="L220" s="352">
        <f t="shared" si="246"/>
        <v>17421</v>
      </c>
      <c r="M220" s="352">
        <f t="shared" si="246"/>
        <v>19961</v>
      </c>
      <c r="N220" s="352">
        <f t="shared" si="246"/>
        <v>17571</v>
      </c>
      <c r="O220" s="352">
        <f t="shared" si="246"/>
        <v>19574</v>
      </c>
      <c r="P220" s="352">
        <f t="shared" si="246"/>
        <v>16626</v>
      </c>
      <c r="Q220" s="352">
        <f t="shared" si="246"/>
        <v>18911</v>
      </c>
      <c r="R220" s="352">
        <f t="shared" si="246"/>
        <v>19705</v>
      </c>
      <c r="S220" s="352">
        <f t="shared" si="246"/>
        <v>25064</v>
      </c>
      <c r="T220" s="352">
        <f t="shared" si="246"/>
        <v>22310</v>
      </c>
      <c r="U220" s="352">
        <f t="shared" si="246"/>
        <v>23895</v>
      </c>
      <c r="V220" s="352">
        <f t="shared" si="246"/>
        <v>22481</v>
      </c>
      <c r="W220" s="352">
        <f t="shared" si="246"/>
        <v>22112</v>
      </c>
      <c r="X220" s="352">
        <f t="shared" si="246"/>
        <v>24754</v>
      </c>
      <c r="Y220" s="352">
        <f t="shared" si="246"/>
        <v>24151</v>
      </c>
      <c r="Z220" s="352">
        <f t="shared" si="246"/>
        <v>24836</v>
      </c>
      <c r="AA220" s="352">
        <f t="shared" si="246"/>
        <v>29572</v>
      </c>
      <c r="AB220" s="352">
        <f t="shared" si="246"/>
        <v>27462</v>
      </c>
      <c r="AC220" s="352">
        <f t="shared" si="246"/>
        <v>22925.64</v>
      </c>
      <c r="AD220" s="352">
        <f>SUM(AD214:AD219)</f>
        <v>22578.563999999998</v>
      </c>
      <c r="AE220" s="352">
        <f>SUM(AE214:AE219)</f>
        <v>22238.22</v>
      </c>
      <c r="AF220" s="352">
        <f>SUM(AF214:AF219)</f>
        <v>21822.52</v>
      </c>
      <c r="AG220" s="429"/>
      <c r="AH220" s="352">
        <f t="shared" ref="AH220:AO220" si="247">SUM(AH214:AH219)</f>
        <v>16011</v>
      </c>
      <c r="AI220" s="352">
        <f t="shared" si="247"/>
        <v>15646</v>
      </c>
      <c r="AJ220" s="352">
        <f t="shared" si="247"/>
        <v>20302</v>
      </c>
      <c r="AK220" s="352">
        <f t="shared" si="247"/>
        <v>17421</v>
      </c>
      <c r="AL220" s="352">
        <f t="shared" si="247"/>
        <v>16626</v>
      </c>
      <c r="AM220" s="352">
        <f t="shared" si="247"/>
        <v>22310</v>
      </c>
      <c r="AN220" s="352">
        <f t="shared" si="247"/>
        <v>24754</v>
      </c>
      <c r="AO220" s="352">
        <f t="shared" si="247"/>
        <v>27462</v>
      </c>
      <c r="AP220" s="352">
        <f>SUM(AP214:AP219)</f>
        <v>21822.52</v>
      </c>
      <c r="AQ220" s="352">
        <f>SUM(AQ214:AQ219)</f>
        <v>21391.678740000003</v>
      </c>
      <c r="AR220" s="352">
        <f>SUM(AR214:AR219)</f>
        <v>21958.4276522</v>
      </c>
      <c r="AS220" s="352">
        <f>SUM(AS214:AS219)</f>
        <v>22660.610676870005</v>
      </c>
    </row>
    <row r="221" span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c r="AA221" s="345"/>
      <c r="AB221" s="345"/>
      <c r="AC221" s="371"/>
      <c r="AH221" s="345"/>
      <c r="AI221" s="345"/>
      <c r="AJ221" s="345"/>
      <c r="AK221" s="345"/>
      <c r="AL221" s="345"/>
      <c r="AM221" s="345"/>
      <c r="AN221" s="345"/>
      <c r="AO221" s="345"/>
      <c r="AP221" s="345"/>
      <c r="AQ221" s="369"/>
      <c r="AR221" s="369"/>
      <c r="AS221" s="369"/>
    </row>
    <row r="222" spans="3:45">
      <c r="C222" s="338" t="s">
        <v>125</v>
      </c>
      <c r="E222" s="345">
        <v>21775</v>
      </c>
      <c r="F222" s="345">
        <v>24053</v>
      </c>
      <c r="G222" s="345">
        <v>24043</v>
      </c>
      <c r="H222" s="345">
        <v>20649</v>
      </c>
      <c r="I222" s="345">
        <v>20678</v>
      </c>
      <c r="J222" s="345">
        <v>27855</v>
      </c>
      <c r="K222" s="345">
        <v>27498</v>
      </c>
      <c r="L222" s="345">
        <v>25037</v>
      </c>
      <c r="M222" s="345">
        <v>24770</v>
      </c>
      <c r="N222" s="345">
        <v>24632</v>
      </c>
      <c r="O222" s="345">
        <v>24823</v>
      </c>
      <c r="P222" s="345">
        <v>25098</v>
      </c>
      <c r="Q222" s="345">
        <v>25737</v>
      </c>
      <c r="R222" s="345">
        <v>25089</v>
      </c>
      <c r="S222" s="345">
        <v>23707</v>
      </c>
      <c r="T222" s="345">
        <v>25308</v>
      </c>
      <c r="U222" s="345">
        <v>36455</v>
      </c>
      <c r="V222" s="345">
        <v>36093</v>
      </c>
      <c r="W222" s="345">
        <v>36059</v>
      </c>
      <c r="X222" s="345">
        <v>33897</v>
      </c>
      <c r="Y222" s="345">
        <v>33237</v>
      </c>
      <c r="Z222" s="345">
        <v>31714</v>
      </c>
      <c r="AA222" s="345">
        <v>35610</v>
      </c>
      <c r="AB222" s="345">
        <v>33510</v>
      </c>
      <c r="AC222" s="446">
        <f ca="1">+Debt!AC53</f>
        <v>38101</v>
      </c>
      <c r="AD222" s="446">
        <f ca="1">+Debt!AD53</f>
        <v>36551</v>
      </c>
      <c r="AE222" s="446">
        <f ca="1">+Debt!AE53</f>
        <v>35551</v>
      </c>
      <c r="AF222" s="446">
        <f ca="1">+Debt!AF53</f>
        <v>33653</v>
      </c>
      <c r="AH222" s="345">
        <v>12059</v>
      </c>
      <c r="AI222" s="345">
        <v>20036</v>
      </c>
      <c r="AJ222" s="372">
        <f t="shared" ref="AJ222:AP226" si="248">+_xlfn.XLOOKUP(AJ$6,$E$6:$AF$6,$E222:$AF222)</f>
        <v>20649</v>
      </c>
      <c r="AK222" s="372">
        <f t="shared" si="248"/>
        <v>25037</v>
      </c>
      <c r="AL222" s="372">
        <f t="shared" si="248"/>
        <v>25098</v>
      </c>
      <c r="AM222" s="372">
        <f t="shared" si="248"/>
        <v>25308</v>
      </c>
      <c r="AN222" s="372">
        <f t="shared" si="248"/>
        <v>33897</v>
      </c>
      <c r="AO222" s="372">
        <f t="shared" si="248"/>
        <v>33510</v>
      </c>
      <c r="AP222" s="372">
        <f t="shared" ca="1" si="248"/>
        <v>33653</v>
      </c>
      <c r="AQ222" s="446">
        <f ca="1">+Debt!AQ53</f>
        <v>33253</v>
      </c>
      <c r="AR222" s="446">
        <f ca="1">+Debt!AR53</f>
        <v>31403</v>
      </c>
      <c r="AS222" s="446">
        <f ca="1">+Debt!AS53</f>
        <v>28407.973074126687</v>
      </c>
    </row>
    <row r="223" spans="3:45">
      <c r="C223" s="338" t="s">
        <v>294</v>
      </c>
      <c r="E223" s="345">
        <v>0</v>
      </c>
      <c r="F223" s="345">
        <v>0</v>
      </c>
      <c r="G223" s="345">
        <v>0</v>
      </c>
      <c r="H223" s="345">
        <v>0</v>
      </c>
      <c r="I223" s="345">
        <v>0</v>
      </c>
      <c r="J223" s="345">
        <v>0</v>
      </c>
      <c r="K223" s="345">
        <v>0</v>
      </c>
      <c r="L223" s="345">
        <v>0</v>
      </c>
      <c r="M223" s="345">
        <v>2479</v>
      </c>
      <c r="N223" s="345">
        <v>2393</v>
      </c>
      <c r="O223" s="345">
        <v>2220</v>
      </c>
      <c r="P223" s="345">
        <v>2049</v>
      </c>
      <c r="Q223" s="345">
        <v>1775</v>
      </c>
      <c r="R223" s="345">
        <v>1558</v>
      </c>
      <c r="S223" s="345">
        <v>1413</v>
      </c>
      <c r="T223" s="345">
        <v>1368</v>
      </c>
      <c r="U223" s="345">
        <v>1353</v>
      </c>
      <c r="V223" s="345">
        <v>1329</v>
      </c>
      <c r="W223" s="345">
        <v>1381</v>
      </c>
      <c r="X223" s="345">
        <v>1367</v>
      </c>
      <c r="Y223" s="345">
        <v>90</v>
      </c>
      <c r="Z223" s="345">
        <v>68</v>
      </c>
      <c r="AA223" s="345">
        <v>62</v>
      </c>
      <c r="AB223" s="345">
        <v>185</v>
      </c>
      <c r="AC223" s="422">
        <f t="shared" ref="AC223:AC232" si="249">AB223</f>
        <v>185</v>
      </c>
      <c r="AD223" s="422">
        <f t="shared" ref="AD223:AF226" si="250">AC223</f>
        <v>185</v>
      </c>
      <c r="AE223" s="422">
        <f t="shared" si="250"/>
        <v>185</v>
      </c>
      <c r="AF223" s="422">
        <f t="shared" si="250"/>
        <v>185</v>
      </c>
      <c r="AH223" s="345">
        <v>0</v>
      </c>
      <c r="AI223" s="345">
        <v>0</v>
      </c>
      <c r="AJ223" s="372">
        <f t="shared" si="248"/>
        <v>0</v>
      </c>
      <c r="AK223" s="372">
        <f t="shared" si="248"/>
        <v>0</v>
      </c>
      <c r="AL223" s="372">
        <f t="shared" si="248"/>
        <v>2049</v>
      </c>
      <c r="AM223" s="372">
        <f t="shared" si="248"/>
        <v>1368</v>
      </c>
      <c r="AN223" s="372">
        <f t="shared" si="248"/>
        <v>1367</v>
      </c>
      <c r="AO223" s="372">
        <f t="shared" si="248"/>
        <v>185</v>
      </c>
      <c r="AP223" s="372">
        <f t="shared" si="248"/>
        <v>185</v>
      </c>
      <c r="AQ223" s="422">
        <f t="shared" ref="AQ223:AS226" si="251">AP223</f>
        <v>185</v>
      </c>
      <c r="AR223" s="422">
        <f t="shared" si="251"/>
        <v>185</v>
      </c>
      <c r="AS223" s="422">
        <f t="shared" si="251"/>
        <v>185</v>
      </c>
    </row>
    <row r="224" spans="3:45">
      <c r="C224" s="338" t="s">
        <v>295</v>
      </c>
      <c r="E224" s="345">
        <v>0</v>
      </c>
      <c r="F224" s="345">
        <v>0</v>
      </c>
      <c r="G224" s="345">
        <v>0</v>
      </c>
      <c r="H224" s="345">
        <v>0</v>
      </c>
      <c r="I224" s="345">
        <v>0</v>
      </c>
      <c r="J224" s="345">
        <v>0</v>
      </c>
      <c r="K224" s="345">
        <v>0</v>
      </c>
      <c r="L224" s="345">
        <v>4069</v>
      </c>
      <c r="M224" s="345">
        <v>5774</v>
      </c>
      <c r="N224" s="345">
        <v>5618</v>
      </c>
      <c r="O224" s="345">
        <v>4879</v>
      </c>
      <c r="P224" s="345">
        <v>4897</v>
      </c>
      <c r="Q224" s="345">
        <v>4781</v>
      </c>
      <c r="R224" s="345">
        <v>4847</v>
      </c>
      <c r="S224" s="345">
        <v>4974</v>
      </c>
      <c r="T224" s="345">
        <v>4919</v>
      </c>
      <c r="U224" s="345">
        <v>4651</v>
      </c>
      <c r="V224" s="345">
        <v>4795</v>
      </c>
      <c r="W224" s="345">
        <v>4811</v>
      </c>
      <c r="X224" s="345">
        <v>4578</v>
      </c>
      <c r="Y224" s="345">
        <v>4605</v>
      </c>
      <c r="Z224" s="345">
        <v>4172</v>
      </c>
      <c r="AA224" s="345">
        <v>4223</v>
      </c>
      <c r="AB224" s="345">
        <v>4305</v>
      </c>
      <c r="AC224" s="422">
        <f t="shared" si="249"/>
        <v>4305</v>
      </c>
      <c r="AD224" s="422">
        <f t="shared" si="250"/>
        <v>4305</v>
      </c>
      <c r="AE224" s="422">
        <f t="shared" si="250"/>
        <v>4305</v>
      </c>
      <c r="AF224" s="422">
        <f t="shared" si="250"/>
        <v>4305</v>
      </c>
      <c r="AH224" s="345">
        <v>0</v>
      </c>
      <c r="AI224" s="345">
        <v>0</v>
      </c>
      <c r="AJ224" s="372">
        <f t="shared" si="248"/>
        <v>0</v>
      </c>
      <c r="AK224" s="372">
        <f t="shared" si="248"/>
        <v>4069</v>
      </c>
      <c r="AL224" s="372">
        <f t="shared" si="248"/>
        <v>4897</v>
      </c>
      <c r="AM224" s="372">
        <f t="shared" si="248"/>
        <v>4919</v>
      </c>
      <c r="AN224" s="372">
        <f t="shared" si="248"/>
        <v>4578</v>
      </c>
      <c r="AO224" s="372">
        <f t="shared" si="248"/>
        <v>4305</v>
      </c>
      <c r="AP224" s="372">
        <f t="shared" si="248"/>
        <v>4305</v>
      </c>
      <c r="AQ224" s="422">
        <f t="shared" si="251"/>
        <v>4305</v>
      </c>
      <c r="AR224" s="422">
        <f t="shared" si="251"/>
        <v>4305</v>
      </c>
      <c r="AS224" s="422">
        <f t="shared" si="251"/>
        <v>4305</v>
      </c>
    </row>
    <row r="225" spans="2:45">
      <c r="C225" s="338" t="s">
        <v>296</v>
      </c>
      <c r="E225" s="345">
        <v>1247</v>
      </c>
      <c r="F225" s="345">
        <v>1293</v>
      </c>
      <c r="G225" s="345">
        <v>1211</v>
      </c>
      <c r="H225" s="345">
        <v>1730</v>
      </c>
      <c r="I225" s="345">
        <v>2285</v>
      </c>
      <c r="J225" s="345">
        <v>2502</v>
      </c>
      <c r="K225" s="345">
        <v>2943</v>
      </c>
      <c r="L225" s="345">
        <v>3046</v>
      </c>
      <c r="M225" s="345">
        <v>1564</v>
      </c>
      <c r="N225" s="345">
        <v>1666</v>
      </c>
      <c r="O225" s="345">
        <v>1485</v>
      </c>
      <c r="P225" s="345">
        <v>1665</v>
      </c>
      <c r="Q225" s="345">
        <v>1521</v>
      </c>
      <c r="R225" s="345">
        <v>1783</v>
      </c>
      <c r="S225" s="345">
        <v>1696</v>
      </c>
      <c r="T225" s="345">
        <v>2044</v>
      </c>
      <c r="U225" s="345">
        <v>2027</v>
      </c>
      <c r="V225" s="345">
        <v>2723</v>
      </c>
      <c r="W225" s="345">
        <v>2995</v>
      </c>
      <c r="X225" s="345">
        <v>3843</v>
      </c>
      <c r="Y225" s="345">
        <v>3410</v>
      </c>
      <c r="Z225" s="345">
        <v>3271</v>
      </c>
      <c r="AA225" s="345">
        <v>3019</v>
      </c>
      <c r="AB225" s="345">
        <v>2667</v>
      </c>
      <c r="AC225" s="422">
        <f t="shared" si="249"/>
        <v>2667</v>
      </c>
      <c r="AD225" s="422">
        <f t="shared" si="250"/>
        <v>2667</v>
      </c>
      <c r="AE225" s="422">
        <f t="shared" si="250"/>
        <v>2667</v>
      </c>
      <c r="AF225" s="422">
        <f t="shared" si="250"/>
        <v>2667</v>
      </c>
      <c r="AH225" s="345">
        <v>3775</v>
      </c>
      <c r="AI225" s="345">
        <v>954</v>
      </c>
      <c r="AJ225" s="372">
        <f t="shared" si="248"/>
        <v>1730</v>
      </c>
      <c r="AK225" s="372">
        <f t="shared" si="248"/>
        <v>3046</v>
      </c>
      <c r="AL225" s="372">
        <f t="shared" si="248"/>
        <v>1665</v>
      </c>
      <c r="AM225" s="372">
        <f t="shared" si="248"/>
        <v>2044</v>
      </c>
      <c r="AN225" s="372">
        <f t="shared" si="248"/>
        <v>3843</v>
      </c>
      <c r="AO225" s="372">
        <f t="shared" si="248"/>
        <v>2667</v>
      </c>
      <c r="AP225" s="372">
        <f t="shared" si="248"/>
        <v>2667</v>
      </c>
      <c r="AQ225" s="422">
        <f t="shared" si="251"/>
        <v>2667</v>
      </c>
      <c r="AR225" s="422">
        <f t="shared" si="251"/>
        <v>2667</v>
      </c>
      <c r="AS225" s="422">
        <f t="shared" si="251"/>
        <v>2667</v>
      </c>
    </row>
    <row r="226" spans="2:45">
      <c r="C226" s="338" t="s">
        <v>297</v>
      </c>
      <c r="E226" s="345">
        <v>2851</v>
      </c>
      <c r="F226" s="345">
        <v>3517</v>
      </c>
      <c r="G226" s="345">
        <v>2869</v>
      </c>
      <c r="H226" s="345">
        <v>3538</v>
      </c>
      <c r="I226" s="345">
        <v>3658</v>
      </c>
      <c r="J226" s="345">
        <v>3469</v>
      </c>
      <c r="K226" s="345">
        <v>4152</v>
      </c>
      <c r="L226" s="345">
        <v>3791</v>
      </c>
      <c r="M226" s="345">
        <v>3082</v>
      </c>
      <c r="N226" s="345">
        <v>3391</v>
      </c>
      <c r="O226" s="345">
        <v>3263</v>
      </c>
      <c r="P226" s="345">
        <v>2646</v>
      </c>
      <c r="Q226" s="345">
        <v>2797</v>
      </c>
      <c r="R226" s="345">
        <v>2583</v>
      </c>
      <c r="S226" s="345">
        <v>2506</v>
      </c>
      <c r="T226" s="345">
        <v>2916</v>
      </c>
      <c r="U226" s="345">
        <v>2975</v>
      </c>
      <c r="V226" s="345">
        <v>3108</v>
      </c>
      <c r="W226" s="345">
        <v>3349</v>
      </c>
      <c r="X226" s="345">
        <v>3614</v>
      </c>
      <c r="Y226" s="345">
        <v>5322</v>
      </c>
      <c r="Z226" s="345">
        <v>5329</v>
      </c>
      <c r="AA226" s="345">
        <v>5389</v>
      </c>
      <c r="AB226" s="345">
        <v>4886</v>
      </c>
      <c r="AC226" s="422">
        <f t="shared" si="249"/>
        <v>4886</v>
      </c>
      <c r="AD226" s="422">
        <f t="shared" si="250"/>
        <v>4886</v>
      </c>
      <c r="AE226" s="422">
        <f t="shared" si="250"/>
        <v>4886</v>
      </c>
      <c r="AF226" s="422">
        <f t="shared" si="250"/>
        <v>4886</v>
      </c>
      <c r="AH226" s="345">
        <v>3278</v>
      </c>
      <c r="AI226" s="345">
        <v>2841</v>
      </c>
      <c r="AJ226" s="372">
        <f t="shared" si="248"/>
        <v>3538</v>
      </c>
      <c r="AK226" s="372">
        <f t="shared" si="248"/>
        <v>3791</v>
      </c>
      <c r="AL226" s="372">
        <f t="shared" si="248"/>
        <v>2646</v>
      </c>
      <c r="AM226" s="372">
        <f t="shared" si="248"/>
        <v>2916</v>
      </c>
      <c r="AN226" s="372">
        <f t="shared" si="248"/>
        <v>3614</v>
      </c>
      <c r="AO226" s="372">
        <f t="shared" si="248"/>
        <v>4886</v>
      </c>
      <c r="AP226" s="372">
        <f t="shared" si="248"/>
        <v>4886</v>
      </c>
      <c r="AQ226" s="422">
        <f t="shared" si="251"/>
        <v>4886</v>
      </c>
      <c r="AR226" s="422">
        <f t="shared" si="251"/>
        <v>4886</v>
      </c>
      <c r="AS226" s="422">
        <f t="shared" si="251"/>
        <v>4886</v>
      </c>
    </row>
    <row r="227" spans="2:45" s="373" customFormat="1" ht="10.9" thickBot="1">
      <c r="C227" s="354" t="s">
        <v>298</v>
      </c>
      <c r="E227" s="436">
        <f>E220+SUM(E222:E226)</f>
        <v>43399</v>
      </c>
      <c r="F227" s="436">
        <f t="shared" ref="F227:AC227" si="252">F220+SUM(F222:F226)</f>
        <v>47574</v>
      </c>
      <c r="G227" s="436">
        <f t="shared" si="252"/>
        <v>48216</v>
      </c>
      <c r="H227" s="436">
        <f t="shared" si="252"/>
        <v>46219</v>
      </c>
      <c r="I227" s="436">
        <f t="shared" si="252"/>
        <v>47926</v>
      </c>
      <c r="J227" s="436">
        <f t="shared" si="252"/>
        <v>52608</v>
      </c>
      <c r="K227" s="436">
        <f t="shared" si="252"/>
        <v>55282</v>
      </c>
      <c r="L227" s="436">
        <f t="shared" si="252"/>
        <v>53364</v>
      </c>
      <c r="M227" s="436">
        <f t="shared" si="252"/>
        <v>57630</v>
      </c>
      <c r="N227" s="436">
        <f t="shared" si="252"/>
        <v>55271</v>
      </c>
      <c r="O227" s="436">
        <f t="shared" si="252"/>
        <v>56244</v>
      </c>
      <c r="P227" s="436">
        <f t="shared" si="252"/>
        <v>52981</v>
      </c>
      <c r="Q227" s="436">
        <f t="shared" si="252"/>
        <v>55522</v>
      </c>
      <c r="R227" s="436">
        <f t="shared" si="252"/>
        <v>55565</v>
      </c>
      <c r="S227" s="436">
        <f t="shared" si="252"/>
        <v>59360</v>
      </c>
      <c r="T227" s="436">
        <f t="shared" si="252"/>
        <v>58865</v>
      </c>
      <c r="U227" s="436">
        <f t="shared" si="252"/>
        <v>71356</v>
      </c>
      <c r="V227" s="436">
        <f t="shared" si="252"/>
        <v>70529</v>
      </c>
      <c r="W227" s="436">
        <f t="shared" si="252"/>
        <v>70707</v>
      </c>
      <c r="X227" s="436">
        <f t="shared" si="252"/>
        <v>72053</v>
      </c>
      <c r="Y227" s="436">
        <f t="shared" si="252"/>
        <v>70815</v>
      </c>
      <c r="Z227" s="436">
        <f t="shared" si="252"/>
        <v>69390</v>
      </c>
      <c r="AA227" s="436">
        <f t="shared" si="252"/>
        <v>77875</v>
      </c>
      <c r="AB227" s="436">
        <f t="shared" si="252"/>
        <v>73015</v>
      </c>
      <c r="AC227" s="436">
        <f t="shared" ca="1" si="252"/>
        <v>73069.64</v>
      </c>
      <c r="AD227" s="436">
        <f ca="1">AD220+SUM(AD222:AD226)</f>
        <v>71172.563999999998</v>
      </c>
      <c r="AE227" s="436">
        <f ca="1">AE220+SUM(AE222:AE226)</f>
        <v>69832.22</v>
      </c>
      <c r="AF227" s="436">
        <f ca="1">AF220+SUM(AF222:AF226)</f>
        <v>67518.52</v>
      </c>
      <c r="AG227" s="429"/>
      <c r="AH227" s="436">
        <f t="shared" ref="AH227:AS227" si="253">AH220+SUM(AH222:AH226)</f>
        <v>35123</v>
      </c>
      <c r="AI227" s="436">
        <f t="shared" si="253"/>
        <v>39477</v>
      </c>
      <c r="AJ227" s="436">
        <f t="shared" si="253"/>
        <v>46219</v>
      </c>
      <c r="AK227" s="436">
        <f t="shared" si="253"/>
        <v>53364</v>
      </c>
      <c r="AL227" s="436">
        <f t="shared" si="253"/>
        <v>52981</v>
      </c>
      <c r="AM227" s="436">
        <f t="shared" si="253"/>
        <v>58865</v>
      </c>
      <c r="AN227" s="436">
        <f t="shared" si="253"/>
        <v>72053</v>
      </c>
      <c r="AO227" s="436">
        <f t="shared" si="253"/>
        <v>73015</v>
      </c>
      <c r="AP227" s="436">
        <f t="shared" ca="1" si="253"/>
        <v>67518.52</v>
      </c>
      <c r="AQ227" s="436">
        <f t="shared" ca="1" si="253"/>
        <v>66687.678740000003</v>
      </c>
      <c r="AR227" s="436">
        <f t="shared" ca="1" si="253"/>
        <v>65404.4276522</v>
      </c>
      <c r="AS227" s="436">
        <f t="shared" ca="1" si="253"/>
        <v>63111.583750996688</v>
      </c>
    </row>
    <row r="228" spans="2:45" ht="10.9" thickTop="1">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c r="AA228" s="345"/>
      <c r="AB228" s="345"/>
      <c r="AH228" s="345"/>
      <c r="AI228" s="345"/>
      <c r="AJ228" s="345"/>
      <c r="AK228" s="345"/>
      <c r="AL228" s="345"/>
      <c r="AM228" s="345"/>
      <c r="AN228" s="345"/>
      <c r="AO228" s="345"/>
      <c r="AP228" s="345"/>
    </row>
    <row r="229" spans="2:45">
      <c r="C229" s="338" t="s">
        <v>299</v>
      </c>
      <c r="E229" s="345">
        <v>894</v>
      </c>
      <c r="F229" s="345">
        <v>890</v>
      </c>
      <c r="G229" s="345">
        <v>886</v>
      </c>
      <c r="H229" s="345">
        <v>882</v>
      </c>
      <c r="I229" s="345">
        <v>878</v>
      </c>
      <c r="J229" s="345">
        <v>874</v>
      </c>
      <c r="K229" s="345">
        <v>870</v>
      </c>
      <c r="L229" s="345">
        <v>866</v>
      </c>
      <c r="M229" s="345">
        <v>801</v>
      </c>
      <c r="N229" s="345">
        <v>654</v>
      </c>
      <c r="O229" s="345">
        <v>515</v>
      </c>
      <c r="P229" s="345">
        <v>419</v>
      </c>
      <c r="Q229" s="345">
        <v>275</v>
      </c>
      <c r="R229" s="345">
        <v>247</v>
      </c>
      <c r="S229" s="345">
        <v>166</v>
      </c>
      <c r="T229" s="345">
        <v>155</v>
      </c>
      <c r="U229" s="345">
        <v>0</v>
      </c>
      <c r="V229" s="345">
        <v>0</v>
      </c>
      <c r="W229" s="345">
        <v>0</v>
      </c>
      <c r="X229" s="345">
        <v>0</v>
      </c>
      <c r="Y229" s="345">
        <v>0</v>
      </c>
      <c r="Z229" s="345">
        <v>0</v>
      </c>
      <c r="AA229" s="345">
        <v>0</v>
      </c>
      <c r="AB229" s="345">
        <v>0</v>
      </c>
      <c r="AC229" s="422">
        <f t="shared" si="249"/>
        <v>0</v>
      </c>
      <c r="AD229" s="422">
        <f>AC229</f>
        <v>0</v>
      </c>
      <c r="AE229" s="422">
        <f>AD229</f>
        <v>0</v>
      </c>
      <c r="AF229" s="422">
        <f>AE229</f>
        <v>0</v>
      </c>
      <c r="AH229" s="345">
        <v>912</v>
      </c>
      <c r="AI229" s="345">
        <v>897</v>
      </c>
      <c r="AJ229" s="372">
        <f t="shared" ref="AJ229:AP229" si="254">+_xlfn.XLOOKUP(AJ$6,$E$6:$AF$6,$E229:$AF229)</f>
        <v>882</v>
      </c>
      <c r="AK229" s="372">
        <f t="shared" si="254"/>
        <v>866</v>
      </c>
      <c r="AL229" s="372">
        <f t="shared" si="254"/>
        <v>419</v>
      </c>
      <c r="AM229" s="372">
        <f t="shared" si="254"/>
        <v>155</v>
      </c>
      <c r="AN229" s="372">
        <f t="shared" si="254"/>
        <v>0</v>
      </c>
      <c r="AO229" s="372">
        <f t="shared" si="254"/>
        <v>0</v>
      </c>
      <c r="AP229" s="372">
        <f t="shared" si="254"/>
        <v>0</v>
      </c>
      <c r="AQ229" s="422">
        <f>AP229</f>
        <v>0</v>
      </c>
      <c r="AR229" s="422">
        <f>AQ229</f>
        <v>0</v>
      </c>
      <c r="AS229" s="422">
        <f>AR229</f>
        <v>0</v>
      </c>
    </row>
    <row r="230" spans="2: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c r="AA230" s="345"/>
      <c r="AB230" s="345"/>
      <c r="AH230" s="345"/>
      <c r="AI230" s="345"/>
      <c r="AJ230" s="345"/>
      <c r="AK230" s="345"/>
      <c r="AL230" s="345"/>
      <c r="AM230" s="345"/>
      <c r="AN230" s="345"/>
      <c r="AO230" s="345"/>
      <c r="AP230" s="345"/>
    </row>
    <row r="231" spans="2:45">
      <c r="C231" s="338" t="s">
        <v>300</v>
      </c>
      <c r="E231" s="345">
        <v>24088</v>
      </c>
      <c r="F231" s="345">
        <v>24317</v>
      </c>
      <c r="G231" s="345">
        <v>25070</v>
      </c>
      <c r="H231" s="345">
        <v>25373</v>
      </c>
      <c r="I231" s="345">
        <v>25890</v>
      </c>
      <c r="J231" s="345">
        <v>25781</v>
      </c>
      <c r="K231" s="345">
        <v>26547</v>
      </c>
      <c r="L231" s="345">
        <v>26074</v>
      </c>
      <c r="M231" s="345">
        <v>26430</v>
      </c>
      <c r="N231" s="345">
        <v>25470</v>
      </c>
      <c r="O231" s="345">
        <v>25492</v>
      </c>
      <c r="P231" s="345">
        <v>25365</v>
      </c>
      <c r="Q231" s="345">
        <v>25346</v>
      </c>
      <c r="R231" s="345">
        <v>25140</v>
      </c>
      <c r="S231" s="345">
        <v>25290</v>
      </c>
      <c r="T231" s="345">
        <v>25261</v>
      </c>
      <c r="U231" s="345">
        <v>25251</v>
      </c>
      <c r="V231" s="345">
        <v>25516</v>
      </c>
      <c r="W231" s="345">
        <v>23335</v>
      </c>
      <c r="X231" s="345">
        <v>25556</v>
      </c>
      <c r="Y231" s="345">
        <v>26272</v>
      </c>
      <c r="Z231" s="345">
        <v>26655</v>
      </c>
      <c r="AA231" s="345">
        <v>27592</v>
      </c>
      <c r="AB231" s="345">
        <v>28006</v>
      </c>
      <c r="AC231" s="422">
        <f t="shared" si="249"/>
        <v>28006</v>
      </c>
      <c r="AD231" s="422">
        <f t="shared" ref="AD231:AF232" si="255">AC231</f>
        <v>28006</v>
      </c>
      <c r="AE231" s="422">
        <f t="shared" si="255"/>
        <v>28006</v>
      </c>
      <c r="AF231" s="422">
        <f t="shared" si="255"/>
        <v>28006</v>
      </c>
      <c r="AH231" s="345">
        <v>21781</v>
      </c>
      <c r="AI231" s="345">
        <v>23411</v>
      </c>
      <c r="AJ231" s="372">
        <f t="shared" ref="AJ231:AP233" si="256">+_xlfn.XLOOKUP(AJ$6,$E$6:$AF$6,$E231:$AF231)</f>
        <v>25373</v>
      </c>
      <c r="AK231" s="372">
        <f t="shared" si="256"/>
        <v>26074</v>
      </c>
      <c r="AL231" s="372">
        <f t="shared" si="256"/>
        <v>25365</v>
      </c>
      <c r="AM231" s="372">
        <f t="shared" si="256"/>
        <v>25261</v>
      </c>
      <c r="AN231" s="372">
        <f t="shared" si="256"/>
        <v>25556</v>
      </c>
      <c r="AO231" s="372">
        <f t="shared" si="256"/>
        <v>28006</v>
      </c>
      <c r="AP231" s="372">
        <f t="shared" si="256"/>
        <v>28006</v>
      </c>
      <c r="AQ231" s="422">
        <f t="shared" ref="AQ231:AS232" si="257">AP231</f>
        <v>28006</v>
      </c>
      <c r="AR231" s="422">
        <f t="shared" si="257"/>
        <v>28006</v>
      </c>
      <c r="AS231" s="422">
        <f t="shared" si="257"/>
        <v>28006</v>
      </c>
    </row>
    <row r="232" spans="2:45">
      <c r="C232" s="338" t="s">
        <v>301</v>
      </c>
      <c r="E232" s="345">
        <v>560</v>
      </c>
      <c r="F232" s="345">
        <v>-80</v>
      </c>
      <c r="G232" s="345">
        <v>400</v>
      </c>
      <c r="H232" s="345">
        <v>106</v>
      </c>
      <c r="I232" s="345">
        <v>863</v>
      </c>
      <c r="J232" s="345">
        <v>1174</v>
      </c>
      <c r="K232" s="345">
        <v>1610</v>
      </c>
      <c r="L232" s="345">
        <v>862</v>
      </c>
      <c r="M232" s="345">
        <v>-683</v>
      </c>
      <c r="N232" s="345">
        <v>-1089</v>
      </c>
      <c r="O232" s="345">
        <v>-1103</v>
      </c>
      <c r="P232" s="345">
        <v>-974</v>
      </c>
      <c r="Q232" s="345">
        <v>-813</v>
      </c>
      <c r="R232" s="345">
        <v>-622</v>
      </c>
      <c r="S232" s="345">
        <v>-722</v>
      </c>
      <c r="T232" s="345">
        <v>-1280</v>
      </c>
      <c r="U232" s="345">
        <v>-1541</v>
      </c>
      <c r="V232" s="345">
        <v>-1152</v>
      </c>
      <c r="W232" s="345">
        <v>-940</v>
      </c>
      <c r="X232" s="345">
        <v>-751</v>
      </c>
      <c r="Y232" s="345">
        <v>-1103</v>
      </c>
      <c r="Z232" s="345">
        <v>-1095</v>
      </c>
      <c r="AA232" s="345">
        <v>-1147</v>
      </c>
      <c r="AB232" s="345">
        <v>-880</v>
      </c>
      <c r="AC232" s="422">
        <f t="shared" si="249"/>
        <v>-880</v>
      </c>
      <c r="AD232" s="422">
        <f t="shared" si="255"/>
        <v>-880</v>
      </c>
      <c r="AE232" s="422">
        <f t="shared" si="255"/>
        <v>-880</v>
      </c>
      <c r="AF232" s="422">
        <f t="shared" si="255"/>
        <v>-880</v>
      </c>
      <c r="AH232" s="345">
        <v>666</v>
      </c>
      <c r="AI232" s="345">
        <v>60</v>
      </c>
      <c r="AJ232" s="372">
        <f t="shared" si="256"/>
        <v>106</v>
      </c>
      <c r="AK232" s="372">
        <f t="shared" si="256"/>
        <v>862</v>
      </c>
      <c r="AL232" s="372">
        <f t="shared" si="256"/>
        <v>-974</v>
      </c>
      <c r="AM232" s="372">
        <f t="shared" si="256"/>
        <v>-1280</v>
      </c>
      <c r="AN232" s="372">
        <f t="shared" si="256"/>
        <v>-751</v>
      </c>
      <c r="AO232" s="372">
        <f t="shared" si="256"/>
        <v>-880</v>
      </c>
      <c r="AP232" s="372">
        <f t="shared" si="256"/>
        <v>-880</v>
      </c>
      <c r="AQ232" s="422">
        <f t="shared" si="257"/>
        <v>-880</v>
      </c>
      <c r="AR232" s="422">
        <f t="shared" si="257"/>
        <v>-880</v>
      </c>
      <c r="AS232" s="422">
        <f t="shared" si="257"/>
        <v>-880</v>
      </c>
    </row>
    <row r="233" spans="2:45">
      <c r="C233" s="338" t="s">
        <v>302</v>
      </c>
      <c r="E233" s="345">
        <v>36526</v>
      </c>
      <c r="F233" s="345">
        <v>37130</v>
      </c>
      <c r="G233" s="345">
        <v>37645</v>
      </c>
      <c r="H233" s="345">
        <v>40747</v>
      </c>
      <c r="I233" s="345">
        <v>40091</v>
      </c>
      <c r="J233" s="345">
        <v>41670</v>
      </c>
      <c r="K233" s="345">
        <v>42779</v>
      </c>
      <c r="L233" s="345">
        <v>42083</v>
      </c>
      <c r="M233" s="345">
        <v>44418</v>
      </c>
      <c r="N233" s="345">
        <v>45666</v>
      </c>
      <c r="O233" s="345">
        <v>47094</v>
      </c>
      <c r="P233" s="345">
        <v>50172</v>
      </c>
      <c r="Q233" s="345">
        <v>49128</v>
      </c>
      <c r="R233" s="345">
        <v>50429</v>
      </c>
      <c r="S233" s="345">
        <v>49674</v>
      </c>
      <c r="T233" s="345">
        <v>53523</v>
      </c>
      <c r="U233" s="345">
        <v>52644</v>
      </c>
      <c r="V233" s="345">
        <v>57646</v>
      </c>
      <c r="W233" s="345">
        <v>52159</v>
      </c>
      <c r="X233" s="345">
        <v>56233</v>
      </c>
      <c r="Y233" s="345">
        <v>54638</v>
      </c>
      <c r="Z233" s="345">
        <v>59647</v>
      </c>
      <c r="AA233" s="345">
        <v>63642</v>
      </c>
      <c r="AB233" s="345">
        <v>68265</v>
      </c>
      <c r="AC233" s="372">
        <f ca="1">AB233+AC304+AC348+AC346+AC307</f>
        <v>69922.599844750483</v>
      </c>
      <c r="AD233" s="372">
        <f ca="1">AC233+AD304+AD348+AD346+AD307</f>
        <v>70538.795980750961</v>
      </c>
      <c r="AE233" s="372">
        <f ca="1">AD233+AE304+AE348+AE346+AE307</f>
        <v>70782.602278001446</v>
      </c>
      <c r="AF233" s="372">
        <f ca="1">AE233+AF304+AF348+AF346+AF307</f>
        <v>70720.286189251929</v>
      </c>
      <c r="AH233" s="345">
        <v>33418</v>
      </c>
      <c r="AI233" s="345">
        <v>37614</v>
      </c>
      <c r="AJ233" s="372">
        <f t="shared" si="256"/>
        <v>40747</v>
      </c>
      <c r="AK233" s="372">
        <f t="shared" si="256"/>
        <v>42083</v>
      </c>
      <c r="AL233" s="372">
        <f t="shared" si="256"/>
        <v>50172</v>
      </c>
      <c r="AM233" s="372">
        <f t="shared" si="256"/>
        <v>53523</v>
      </c>
      <c r="AN233" s="372">
        <f t="shared" si="256"/>
        <v>56233</v>
      </c>
      <c r="AO233" s="372">
        <f t="shared" si="256"/>
        <v>68265</v>
      </c>
      <c r="AP233" s="372">
        <f t="shared" ca="1" si="256"/>
        <v>70720.286189251929</v>
      </c>
      <c r="AQ233" s="372">
        <f ca="1">AP233+AQ304+AQ348+AQ346+AQ307</f>
        <v>73315.334682403845</v>
      </c>
      <c r="AR233" s="372">
        <f ca="1">AQ233+AR304+AR348+AR346+AR307</f>
        <v>77542.272249627393</v>
      </c>
      <c r="AS233" s="372">
        <f ca="1">AR233+AS304+AS348+AS346+AS307</f>
        <v>82559.985542958471</v>
      </c>
    </row>
    <row r="234" spans="2:45" s="373" customFormat="1">
      <c r="C234" s="343" t="s">
        <v>303</v>
      </c>
      <c r="E234" s="352">
        <f t="shared" ref="E234:AC234" si="258">SUM(E231:E233)</f>
        <v>61174</v>
      </c>
      <c r="F234" s="352">
        <f t="shared" si="258"/>
        <v>61367</v>
      </c>
      <c r="G234" s="352">
        <f t="shared" si="258"/>
        <v>63115</v>
      </c>
      <c r="H234" s="352">
        <f t="shared" si="258"/>
        <v>66226</v>
      </c>
      <c r="I234" s="352">
        <f t="shared" si="258"/>
        <v>66844</v>
      </c>
      <c r="J234" s="352">
        <f t="shared" si="258"/>
        <v>68625</v>
      </c>
      <c r="K234" s="352">
        <f t="shared" si="258"/>
        <v>70936</v>
      </c>
      <c r="L234" s="352">
        <f t="shared" si="258"/>
        <v>69019</v>
      </c>
      <c r="M234" s="352">
        <f t="shared" si="258"/>
        <v>70165</v>
      </c>
      <c r="N234" s="352">
        <f t="shared" si="258"/>
        <v>70047</v>
      </c>
      <c r="O234" s="352">
        <f t="shared" si="258"/>
        <v>71483</v>
      </c>
      <c r="P234" s="352">
        <f t="shared" si="258"/>
        <v>74563</v>
      </c>
      <c r="Q234" s="352">
        <f t="shared" si="258"/>
        <v>73661</v>
      </c>
      <c r="R234" s="352">
        <f t="shared" si="258"/>
        <v>74947</v>
      </c>
      <c r="S234" s="352">
        <f t="shared" si="258"/>
        <v>74242</v>
      </c>
      <c r="T234" s="352">
        <f t="shared" si="258"/>
        <v>77504</v>
      </c>
      <c r="U234" s="352">
        <f t="shared" si="258"/>
        <v>76354</v>
      </c>
      <c r="V234" s="352">
        <f t="shared" si="258"/>
        <v>82010</v>
      </c>
      <c r="W234" s="352">
        <f t="shared" si="258"/>
        <v>74554</v>
      </c>
      <c r="X234" s="352">
        <f t="shared" si="258"/>
        <v>81038</v>
      </c>
      <c r="Y234" s="352">
        <f t="shared" si="258"/>
        <v>79807</v>
      </c>
      <c r="Z234" s="352">
        <f t="shared" si="258"/>
        <v>85207</v>
      </c>
      <c r="AA234" s="352">
        <f t="shared" si="258"/>
        <v>90087</v>
      </c>
      <c r="AB234" s="352">
        <f t="shared" si="258"/>
        <v>95391</v>
      </c>
      <c r="AC234" s="352">
        <f t="shared" ca="1" si="258"/>
        <v>97048.599844750483</v>
      </c>
      <c r="AD234" s="352">
        <f ca="1">SUM(AD231:AD233)</f>
        <v>97664.795980750961</v>
      </c>
      <c r="AE234" s="352">
        <f ca="1">SUM(AE231:AE233)</f>
        <v>97908.602278001446</v>
      </c>
      <c r="AF234" s="352">
        <f ca="1">SUM(AF231:AF233)</f>
        <v>97846.286189251929</v>
      </c>
      <c r="AG234" s="429"/>
      <c r="AH234" s="352">
        <f t="shared" ref="AH234:AO234" si="259">SUM(AH231:AH233)</f>
        <v>55865</v>
      </c>
      <c r="AI234" s="352">
        <f t="shared" si="259"/>
        <v>61085</v>
      </c>
      <c r="AJ234" s="352">
        <f t="shared" si="259"/>
        <v>66226</v>
      </c>
      <c r="AK234" s="352">
        <f t="shared" si="259"/>
        <v>69019</v>
      </c>
      <c r="AL234" s="352">
        <f t="shared" si="259"/>
        <v>74563</v>
      </c>
      <c r="AM234" s="352">
        <f t="shared" si="259"/>
        <v>77504</v>
      </c>
      <c r="AN234" s="352">
        <f t="shared" si="259"/>
        <v>81038</v>
      </c>
      <c r="AO234" s="352">
        <f t="shared" si="259"/>
        <v>95391</v>
      </c>
      <c r="AP234" s="352">
        <f ca="1">SUM(AP231:AP233)</f>
        <v>97846.286189251929</v>
      </c>
      <c r="AQ234" s="352">
        <f ca="1">SUM(AQ231:AQ233)</f>
        <v>100441.33468240385</v>
      </c>
      <c r="AR234" s="352">
        <f ca="1">SUM(AR231:AR233)</f>
        <v>104668.27224962739</v>
      </c>
      <c r="AS234" s="352">
        <f ca="1">SUM(AS231:AS233)</f>
        <v>109685.98554295847</v>
      </c>
    </row>
    <row r="235" spans="2:45" s="373" customFormat="1" ht="10.9" thickBot="1">
      <c r="C235" s="374" t="s">
        <v>304</v>
      </c>
      <c r="E235" s="436">
        <f t="shared" ref="E235:AC235" si="260">E234+E229+SUM(E222:E226)+E220</f>
        <v>105467</v>
      </c>
      <c r="F235" s="436">
        <f t="shared" si="260"/>
        <v>109831</v>
      </c>
      <c r="G235" s="436">
        <f t="shared" si="260"/>
        <v>112217</v>
      </c>
      <c r="H235" s="436">
        <f t="shared" si="260"/>
        <v>113327</v>
      </c>
      <c r="I235" s="436">
        <f t="shared" si="260"/>
        <v>115648</v>
      </c>
      <c r="J235" s="436">
        <f t="shared" si="260"/>
        <v>122107</v>
      </c>
      <c r="K235" s="436">
        <f t="shared" si="260"/>
        <v>127088</v>
      </c>
      <c r="L235" s="436">
        <f t="shared" si="260"/>
        <v>123249</v>
      </c>
      <c r="M235" s="436">
        <f t="shared" si="260"/>
        <v>128596</v>
      </c>
      <c r="N235" s="436">
        <f t="shared" si="260"/>
        <v>125972</v>
      </c>
      <c r="O235" s="436">
        <f t="shared" si="260"/>
        <v>128242</v>
      </c>
      <c r="P235" s="436">
        <f t="shared" si="260"/>
        <v>127963</v>
      </c>
      <c r="Q235" s="436">
        <f t="shared" si="260"/>
        <v>129458</v>
      </c>
      <c r="R235" s="436">
        <f t="shared" si="260"/>
        <v>130759</v>
      </c>
      <c r="S235" s="436">
        <f t="shared" si="260"/>
        <v>133768</v>
      </c>
      <c r="T235" s="436">
        <f t="shared" si="260"/>
        <v>136524</v>
      </c>
      <c r="U235" s="436">
        <f t="shared" si="260"/>
        <v>147710</v>
      </c>
      <c r="V235" s="436">
        <f t="shared" si="260"/>
        <v>152539</v>
      </c>
      <c r="W235" s="436">
        <f t="shared" si="260"/>
        <v>145261</v>
      </c>
      <c r="X235" s="436">
        <f t="shared" si="260"/>
        <v>153091</v>
      </c>
      <c r="Y235" s="436">
        <f t="shared" si="260"/>
        <v>150622</v>
      </c>
      <c r="Z235" s="436">
        <f t="shared" si="260"/>
        <v>154597</v>
      </c>
      <c r="AA235" s="436">
        <f t="shared" si="260"/>
        <v>167962</v>
      </c>
      <c r="AB235" s="436">
        <f t="shared" si="260"/>
        <v>168406</v>
      </c>
      <c r="AC235" s="436">
        <f t="shared" ca="1" si="260"/>
        <v>170118.2398447505</v>
      </c>
      <c r="AD235" s="436">
        <f ca="1">AD234+AD229+SUM(AD222:AD226)+AD220</f>
        <v>168837.35998075095</v>
      </c>
      <c r="AE235" s="436">
        <f ca="1">AE234+AE229+SUM(AE222:AE226)+AE220</f>
        <v>167740.82227800143</v>
      </c>
      <c r="AF235" s="436">
        <f ca="1">AF234+AF229+SUM(AF222:AF226)+AF220</f>
        <v>165364.80618925192</v>
      </c>
      <c r="AG235" s="429"/>
      <c r="AH235" s="436">
        <f t="shared" ref="AH235:AO235" si="261">AH234+AH229+SUM(AH222:AH226)+AH220</f>
        <v>91900</v>
      </c>
      <c r="AI235" s="436">
        <f t="shared" si="261"/>
        <v>101459</v>
      </c>
      <c r="AJ235" s="436">
        <f t="shared" si="261"/>
        <v>113327</v>
      </c>
      <c r="AK235" s="436">
        <f t="shared" si="261"/>
        <v>123249</v>
      </c>
      <c r="AL235" s="436">
        <f t="shared" si="261"/>
        <v>127963</v>
      </c>
      <c r="AM235" s="436">
        <f t="shared" si="261"/>
        <v>136524</v>
      </c>
      <c r="AN235" s="436">
        <f t="shared" si="261"/>
        <v>153091</v>
      </c>
      <c r="AO235" s="436">
        <f t="shared" si="261"/>
        <v>168406</v>
      </c>
      <c r="AP235" s="436">
        <f ca="1">AP234+AP229+SUM(AP222:AP226)+AP220</f>
        <v>165364.80618925192</v>
      </c>
      <c r="AQ235" s="436">
        <f ca="1">AQ234+AQ229+SUM(AQ222:AQ226)+AQ220</f>
        <v>167129.01342240383</v>
      </c>
      <c r="AR235" s="436">
        <f ca="1">AR234+AR229+SUM(AR222:AR226)+AR220</f>
        <v>170072.69990182738</v>
      </c>
      <c r="AS235" s="436">
        <f ca="1">AS234+AS229+SUM(AS222:AS226)+AS220</f>
        <v>172797.56929395517</v>
      </c>
    </row>
    <row r="236" spans="2:45" s="373" customFormat="1" ht="10.9" thickTop="1">
      <c r="C236" s="374"/>
      <c r="E236" s="340"/>
      <c r="F236" s="340"/>
      <c r="G236" s="340"/>
      <c r="H236" s="340"/>
      <c r="I236" s="340"/>
      <c r="J236" s="340"/>
      <c r="K236" s="340"/>
      <c r="L236" s="340"/>
      <c r="M236" s="340"/>
      <c r="N236" s="340"/>
      <c r="O236" s="340"/>
      <c r="P236" s="340"/>
      <c r="Q236" s="340"/>
      <c r="R236" s="340"/>
      <c r="S236" s="340"/>
      <c r="T236" s="340"/>
      <c r="U236" s="340"/>
      <c r="V236" s="340"/>
      <c r="W236" s="340"/>
      <c r="X236" s="340"/>
      <c r="Y236" s="340"/>
      <c r="Z236" s="340"/>
      <c r="AA236" s="340"/>
      <c r="AB236" s="340"/>
      <c r="AC236" s="340"/>
      <c r="AD236" s="340"/>
      <c r="AE236" s="340"/>
      <c r="AF236" s="340"/>
      <c r="AG236" s="429"/>
      <c r="AH236" s="340"/>
      <c r="AI236" s="340"/>
      <c r="AJ236" s="340"/>
      <c r="AK236" s="340"/>
      <c r="AL236" s="340"/>
      <c r="AM236" s="340"/>
      <c r="AN236" s="340"/>
      <c r="AO236" s="340"/>
      <c r="AP236" s="340"/>
      <c r="AQ236" s="340"/>
      <c r="AR236" s="340"/>
      <c r="AS236" s="340"/>
    </row>
    <row r="237" spans="2:45" s="373" customFormat="1">
      <c r="C237" s="370" t="s">
        <v>305</v>
      </c>
      <c r="E237" s="381">
        <f t="shared" ref="E237:AC237" si="262">E235-E212</f>
        <v>0</v>
      </c>
      <c r="F237" s="381">
        <f t="shared" si="262"/>
        <v>0</v>
      </c>
      <c r="G237" s="381">
        <f t="shared" si="262"/>
        <v>0</v>
      </c>
      <c r="H237" s="381">
        <f t="shared" si="262"/>
        <v>0</v>
      </c>
      <c r="I237" s="381">
        <f t="shared" si="262"/>
        <v>0</v>
      </c>
      <c r="J237" s="381">
        <f t="shared" si="262"/>
        <v>0</v>
      </c>
      <c r="K237" s="381">
        <f t="shared" si="262"/>
        <v>0</v>
      </c>
      <c r="L237" s="381">
        <f t="shared" si="262"/>
        <v>0</v>
      </c>
      <c r="M237" s="381">
        <f t="shared" si="262"/>
        <v>0</v>
      </c>
      <c r="N237" s="381">
        <f t="shared" si="262"/>
        <v>0</v>
      </c>
      <c r="O237" s="381">
        <f t="shared" si="262"/>
        <v>0</v>
      </c>
      <c r="P237" s="381">
        <f t="shared" si="262"/>
        <v>0</v>
      </c>
      <c r="Q237" s="381">
        <f t="shared" si="262"/>
        <v>0</v>
      </c>
      <c r="R237" s="381">
        <f t="shared" si="262"/>
        <v>0</v>
      </c>
      <c r="S237" s="381">
        <f t="shared" si="262"/>
        <v>0</v>
      </c>
      <c r="T237" s="381">
        <f t="shared" si="262"/>
        <v>0</v>
      </c>
      <c r="U237" s="381">
        <f t="shared" si="262"/>
        <v>0</v>
      </c>
      <c r="V237" s="381">
        <f t="shared" si="262"/>
        <v>0</v>
      </c>
      <c r="W237" s="381">
        <f t="shared" si="262"/>
        <v>0</v>
      </c>
      <c r="X237" s="381">
        <f t="shared" si="262"/>
        <v>0</v>
      </c>
      <c r="Y237" s="381">
        <f t="shared" si="262"/>
        <v>0</v>
      </c>
      <c r="Z237" s="381">
        <f t="shared" si="262"/>
        <v>0</v>
      </c>
      <c r="AA237" s="381">
        <f t="shared" si="262"/>
        <v>0</v>
      </c>
      <c r="AB237" s="381">
        <f t="shared" si="262"/>
        <v>0</v>
      </c>
      <c r="AC237" s="381">
        <f t="shared" ca="1" si="262"/>
        <v>0</v>
      </c>
      <c r="AD237" s="381">
        <f ca="1">AD235-AD212</f>
        <v>0</v>
      </c>
      <c r="AE237" s="381">
        <f ca="1">AE235-AE212</f>
        <v>0</v>
      </c>
      <c r="AF237" s="381">
        <f ca="1">AF235-AF212</f>
        <v>0</v>
      </c>
      <c r="AG237" s="429"/>
      <c r="AH237" s="381">
        <f t="shared" ref="AH237:AO237" si="263">AH235-AH212</f>
        <v>0</v>
      </c>
      <c r="AI237" s="381">
        <f t="shared" si="263"/>
        <v>0</v>
      </c>
      <c r="AJ237" s="381">
        <f t="shared" si="263"/>
        <v>0</v>
      </c>
      <c r="AK237" s="381">
        <f t="shared" si="263"/>
        <v>0</v>
      </c>
      <c r="AL237" s="381">
        <f t="shared" si="263"/>
        <v>0</v>
      </c>
      <c r="AM237" s="381">
        <f t="shared" si="263"/>
        <v>0</v>
      </c>
      <c r="AN237" s="381">
        <f t="shared" si="263"/>
        <v>0</v>
      </c>
      <c r="AO237" s="381">
        <f t="shared" si="263"/>
        <v>0</v>
      </c>
      <c r="AP237" s="381">
        <f ca="1">AP235-AP212</f>
        <v>0</v>
      </c>
      <c r="AQ237" s="381">
        <f ca="1">AQ235-AQ212</f>
        <v>0</v>
      </c>
      <c r="AR237" s="381">
        <f ca="1">AR235-AR212</f>
        <v>0</v>
      </c>
      <c r="AS237" s="381">
        <f ca="1">AS235-AS212</f>
        <v>0</v>
      </c>
    </row>
    <row r="238" spans="2:45" s="373" customFormat="1">
      <c r="C238" s="370"/>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G238" s="429"/>
      <c r="AH238" s="376"/>
      <c r="AI238" s="376"/>
      <c r="AJ238" s="376"/>
      <c r="AK238" s="376"/>
      <c r="AL238" s="376"/>
      <c r="AM238" s="376"/>
      <c r="AN238" s="376"/>
      <c r="AO238" s="376"/>
    </row>
    <row r="239" spans="2:45" s="433" customFormat="1" ht="11.25" customHeight="1">
      <c r="B239" s="367" t="s">
        <v>9</v>
      </c>
      <c r="C239" s="367" t="s">
        <v>158</v>
      </c>
      <c r="D239" s="434"/>
      <c r="E239" s="434"/>
      <c r="F239" s="434"/>
      <c r="G239" s="434"/>
      <c r="H239" s="434"/>
      <c r="I239" s="435"/>
      <c r="J239" s="435"/>
      <c r="K239" s="435"/>
      <c r="L239" s="435"/>
      <c r="M239" s="435"/>
      <c r="N239" s="435"/>
      <c r="O239" s="435"/>
      <c r="P239" s="435"/>
      <c r="Q239" s="435"/>
      <c r="R239" s="435"/>
      <c r="S239" s="435"/>
      <c r="T239" s="435"/>
      <c r="U239" s="435"/>
      <c r="V239" s="435"/>
      <c r="W239" s="435"/>
      <c r="X239" s="435"/>
      <c r="Y239" s="435"/>
      <c r="Z239" s="435"/>
      <c r="AA239" s="435"/>
      <c r="AB239" s="458"/>
      <c r="AC239" s="434"/>
      <c r="AD239" s="434"/>
      <c r="AE239" s="434"/>
      <c r="AF239" s="434"/>
      <c r="AG239" s="429"/>
      <c r="AH239" s="434"/>
      <c r="AI239" s="434"/>
      <c r="AJ239" s="434"/>
      <c r="AK239" s="434"/>
      <c r="AL239" s="434"/>
      <c r="AM239" s="535"/>
      <c r="AN239" s="535"/>
      <c r="AO239" s="535"/>
      <c r="AP239" s="535"/>
      <c r="AQ239" s="535"/>
      <c r="AR239" s="434"/>
      <c r="AS239" s="434"/>
    </row>
    <row r="240" spans="2:45" s="373" customFormat="1">
      <c r="C240" s="370"/>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G240" s="429"/>
      <c r="AH240" s="376"/>
      <c r="AI240" s="376"/>
      <c r="AJ240" s="376"/>
      <c r="AK240" s="376"/>
      <c r="AL240" s="376"/>
      <c r="AM240" s="376"/>
      <c r="AN240" s="376"/>
      <c r="AO240" s="376"/>
    </row>
    <row r="241" spans="3:45" s="373" customFormat="1">
      <c r="C241" s="591" t="s">
        <v>306</v>
      </c>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G241" s="429"/>
      <c r="AH241" s="376"/>
      <c r="AI241" s="376"/>
      <c r="AJ241" s="376"/>
      <c r="AK241" s="376"/>
      <c r="AL241" s="376"/>
      <c r="AM241" s="376"/>
      <c r="AN241" s="376"/>
      <c r="AO241" s="376"/>
    </row>
    <row r="242" spans="3:45" s="373" customFormat="1">
      <c r="C242" s="592" t="s">
        <v>307</v>
      </c>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G242" s="429"/>
      <c r="AH242" s="376"/>
      <c r="AI242" s="376"/>
      <c r="AJ242" s="376"/>
      <c r="AK242" s="376"/>
      <c r="AL242" s="376"/>
      <c r="AM242" s="376"/>
      <c r="AN242" s="376"/>
      <c r="AO242" s="376"/>
    </row>
    <row r="243" spans="3:45" s="373" customFormat="1">
      <c r="C243" s="593" t="s">
        <v>308</v>
      </c>
      <c r="E243" s="596">
        <f t="shared" ref="E243:AF243" si="264">E200+E201-E215</f>
        <v>6804</v>
      </c>
      <c r="F243" s="596">
        <f t="shared" si="264"/>
        <v>6806</v>
      </c>
      <c r="G243" s="596">
        <f t="shared" si="264"/>
        <v>7554</v>
      </c>
      <c r="H243" s="596">
        <f t="shared" si="264"/>
        <v>7768</v>
      </c>
      <c r="I243" s="596">
        <f t="shared" si="264"/>
        <v>7501</v>
      </c>
      <c r="J243" s="596">
        <f t="shared" si="264"/>
        <v>8050</v>
      </c>
      <c r="K243" s="596">
        <f t="shared" si="264"/>
        <v>9329</v>
      </c>
      <c r="L243" s="596">
        <f t="shared" si="264"/>
        <v>9662</v>
      </c>
      <c r="M243" s="596">
        <f t="shared" si="264"/>
        <v>7610</v>
      </c>
      <c r="N243" s="596">
        <f t="shared" si="264"/>
        <v>7837</v>
      </c>
      <c r="O243" s="596">
        <f t="shared" si="264"/>
        <v>9265</v>
      </c>
      <c r="P243" s="596">
        <f t="shared" si="264"/>
        <v>10151</v>
      </c>
      <c r="Q243" s="596">
        <f t="shared" si="264"/>
        <v>10663</v>
      </c>
      <c r="R243" s="596">
        <f t="shared" si="264"/>
        <v>10247</v>
      </c>
      <c r="S243" s="596">
        <f t="shared" si="264"/>
        <v>10709</v>
      </c>
      <c r="T243" s="596">
        <f t="shared" si="264"/>
        <v>12275</v>
      </c>
      <c r="U243" s="596">
        <f t="shared" si="264"/>
        <v>13063</v>
      </c>
      <c r="V243" s="596">
        <f t="shared" si="264"/>
        <v>11365</v>
      </c>
      <c r="W243" s="596">
        <f t="shared" si="264"/>
        <v>11254</v>
      </c>
      <c r="X243" s="596">
        <f t="shared" si="264"/>
        <v>9628</v>
      </c>
      <c r="Y243" s="596">
        <f t="shared" si="264"/>
        <v>10261</v>
      </c>
      <c r="Z243" s="596">
        <f t="shared" si="264"/>
        <v>10360</v>
      </c>
      <c r="AA243" s="596">
        <f t="shared" si="264"/>
        <v>11406</v>
      </c>
      <c r="AB243" s="596">
        <f t="shared" si="264"/>
        <v>14486</v>
      </c>
      <c r="AC243" s="596">
        <f t="shared" si="264"/>
        <v>14036</v>
      </c>
      <c r="AD243" s="596">
        <f t="shared" si="264"/>
        <v>13586</v>
      </c>
      <c r="AE243" s="596">
        <f t="shared" si="264"/>
        <v>13736</v>
      </c>
      <c r="AF243" s="596">
        <f t="shared" si="264"/>
        <v>13886</v>
      </c>
      <c r="AG243" s="429"/>
      <c r="AH243" s="596">
        <f t="shared" ref="AH243" si="265">AH200+AH201-AH215</f>
        <v>5952</v>
      </c>
      <c r="AI243" s="596">
        <f t="shared" ref="AI243:AM243" si="266">AI200+AI201-AI215</f>
        <v>7891</v>
      </c>
      <c r="AJ243" s="596">
        <f t="shared" si="266"/>
        <v>7768</v>
      </c>
      <c r="AK243" s="596">
        <f t="shared" si="266"/>
        <v>9662</v>
      </c>
      <c r="AL243" s="596">
        <f t="shared" si="266"/>
        <v>10151</v>
      </c>
      <c r="AM243" s="596">
        <f t="shared" si="266"/>
        <v>12275</v>
      </c>
      <c r="AN243" s="596">
        <f t="shared" ref="AN243:AS243" si="267">AN200+AN201-AN215</f>
        <v>9628</v>
      </c>
      <c r="AO243" s="596">
        <f t="shared" si="267"/>
        <v>14486</v>
      </c>
      <c r="AP243" s="596">
        <f t="shared" si="267"/>
        <v>13886</v>
      </c>
      <c r="AQ243" s="596">
        <f t="shared" si="267"/>
        <v>12686</v>
      </c>
      <c r="AR243" s="596">
        <f t="shared" si="267"/>
        <v>11486</v>
      </c>
      <c r="AS243" s="596">
        <f t="shared" si="267"/>
        <v>10286</v>
      </c>
    </row>
    <row r="244" spans="3:45" s="373" customFormat="1">
      <c r="C244" s="593" t="s">
        <v>309</v>
      </c>
      <c r="E244" s="596">
        <f t="shared" ref="E244:AF244" si="268">E206</f>
        <v>32644</v>
      </c>
      <c r="F244" s="596">
        <f t="shared" si="268"/>
        <v>33804</v>
      </c>
      <c r="G244" s="596">
        <f t="shared" si="268"/>
        <v>34707</v>
      </c>
      <c r="H244" s="596">
        <f t="shared" si="268"/>
        <v>36171</v>
      </c>
      <c r="I244" s="596">
        <f t="shared" si="268"/>
        <v>36911</v>
      </c>
      <c r="J244" s="596">
        <f t="shared" si="268"/>
        <v>38130</v>
      </c>
      <c r="K244" s="596">
        <f t="shared" si="268"/>
        <v>39472</v>
      </c>
      <c r="L244" s="596">
        <f t="shared" si="268"/>
        <v>41109</v>
      </c>
      <c r="M244" s="596">
        <f t="shared" si="268"/>
        <v>43735</v>
      </c>
      <c r="N244" s="596">
        <f t="shared" si="268"/>
        <v>45914</v>
      </c>
      <c r="O244" s="596">
        <f t="shared" si="268"/>
        <v>47071</v>
      </c>
      <c r="P244" s="596">
        <f t="shared" si="268"/>
        <v>48976</v>
      </c>
      <c r="Q244" s="596">
        <f t="shared" si="268"/>
        <v>50040</v>
      </c>
      <c r="R244" s="596">
        <f t="shared" si="268"/>
        <v>51377</v>
      </c>
      <c r="S244" s="596">
        <f t="shared" si="268"/>
        <v>53563</v>
      </c>
      <c r="T244" s="596">
        <f t="shared" si="268"/>
        <v>55386</v>
      </c>
      <c r="U244" s="596">
        <f t="shared" si="268"/>
        <v>56770</v>
      </c>
      <c r="V244" s="596">
        <f t="shared" si="268"/>
        <v>58036</v>
      </c>
      <c r="W244" s="596">
        <f t="shared" si="268"/>
        <v>59205</v>
      </c>
      <c r="X244" s="596">
        <f t="shared" si="268"/>
        <v>56584</v>
      </c>
      <c r="Y244" s="596">
        <f t="shared" si="268"/>
        <v>57330</v>
      </c>
      <c r="Z244" s="596">
        <f t="shared" si="268"/>
        <v>58166</v>
      </c>
      <c r="AA244" s="596">
        <f t="shared" si="268"/>
        <v>59733</v>
      </c>
      <c r="AB244" s="596">
        <f t="shared" si="268"/>
        <v>63245</v>
      </c>
      <c r="AC244" s="596">
        <f t="shared" si="268"/>
        <v>67411.362500000003</v>
      </c>
      <c r="AD244" s="596">
        <f t="shared" si="268"/>
        <v>70804.233749999999</v>
      </c>
      <c r="AE244" s="596">
        <f t="shared" si="268"/>
        <v>73558.181249999994</v>
      </c>
      <c r="AF244" s="596">
        <f t="shared" si="268"/>
        <v>76614.887499999997</v>
      </c>
      <c r="AG244" s="429"/>
      <c r="AH244" s="596">
        <f t="shared" ref="AH244" si="269">AH206</f>
        <v>33238</v>
      </c>
      <c r="AI244" s="596">
        <f t="shared" ref="AI244:AM244" si="270">AI206</f>
        <v>31858</v>
      </c>
      <c r="AJ244" s="596">
        <f t="shared" si="270"/>
        <v>36171</v>
      </c>
      <c r="AK244" s="596">
        <f t="shared" si="270"/>
        <v>41109</v>
      </c>
      <c r="AL244" s="596">
        <f t="shared" si="270"/>
        <v>48976</v>
      </c>
      <c r="AM244" s="596">
        <f t="shared" si="270"/>
        <v>55386</v>
      </c>
      <c r="AN244" s="596">
        <f t="shared" ref="AN244:AS244" si="271">AN206</f>
        <v>56584</v>
      </c>
      <c r="AO244" s="596">
        <f t="shared" si="271"/>
        <v>63245</v>
      </c>
      <c r="AP244" s="596">
        <f t="shared" si="271"/>
        <v>76614.887499999997</v>
      </c>
      <c r="AQ244" s="596">
        <f t="shared" si="271"/>
        <v>87045.576968026624</v>
      </c>
      <c r="AR244" s="596">
        <f t="shared" si="271"/>
        <v>95399.785796951313</v>
      </c>
      <c r="AS244" s="596">
        <f t="shared" si="271"/>
        <v>99448.279792042013</v>
      </c>
    </row>
    <row r="245" spans="3:45" s="373" customFormat="1">
      <c r="C245" s="593" t="s">
        <v>310</v>
      </c>
      <c r="E245" s="596">
        <f t="shared" ref="E245:AF245" si="272">(E199+E202+E203-E216-E219)+E208+E211-E223+E198+E207</f>
        <v>23576</v>
      </c>
      <c r="F245" s="596">
        <f t="shared" si="272"/>
        <v>26179</v>
      </c>
      <c r="G245" s="596">
        <f t="shared" si="272"/>
        <v>28897</v>
      </c>
      <c r="H245" s="596">
        <f t="shared" si="272"/>
        <v>28205</v>
      </c>
      <c r="I245" s="596">
        <f t="shared" si="272"/>
        <v>30258</v>
      </c>
      <c r="J245" s="596">
        <f t="shared" si="272"/>
        <v>28206</v>
      </c>
      <c r="K245" s="596">
        <f t="shared" si="272"/>
        <v>16924</v>
      </c>
      <c r="L245" s="596">
        <f t="shared" si="272"/>
        <v>17922</v>
      </c>
      <c r="M245" s="596">
        <f t="shared" si="272"/>
        <v>18398</v>
      </c>
      <c r="N245" s="596">
        <f t="shared" si="272"/>
        <v>16704</v>
      </c>
      <c r="O245" s="596">
        <f t="shared" si="272"/>
        <v>13243</v>
      </c>
      <c r="P245" s="596">
        <f t="shared" si="272"/>
        <v>12054</v>
      </c>
      <c r="Q245" s="596">
        <f t="shared" si="272"/>
        <v>11687</v>
      </c>
      <c r="R245" s="596">
        <f t="shared" si="272"/>
        <v>12899</v>
      </c>
      <c r="S245" s="596">
        <f t="shared" si="272"/>
        <v>8538</v>
      </c>
      <c r="T245" s="596">
        <f t="shared" si="272"/>
        <v>7581</v>
      </c>
      <c r="U245" s="596">
        <f t="shared" si="272"/>
        <v>8008</v>
      </c>
      <c r="V245" s="596">
        <f t="shared" si="272"/>
        <v>15600</v>
      </c>
      <c r="W245" s="596">
        <f t="shared" si="272"/>
        <v>11621</v>
      </c>
      <c r="X245" s="596">
        <f t="shared" si="272"/>
        <v>21400</v>
      </c>
      <c r="Y245" s="596">
        <f t="shared" si="272"/>
        <v>20866</v>
      </c>
      <c r="Z245" s="596">
        <f t="shared" si="272"/>
        <v>25330</v>
      </c>
      <c r="AA245" s="596">
        <f t="shared" si="272"/>
        <v>29543</v>
      </c>
      <c r="AB245" s="596">
        <f t="shared" si="272"/>
        <v>28559</v>
      </c>
      <c r="AC245" s="596">
        <f t="shared" si="272"/>
        <v>19304.2925</v>
      </c>
      <c r="AD245" s="596">
        <f t="shared" si="272"/>
        <v>17087.54175</v>
      </c>
      <c r="AE245" s="596">
        <f t="shared" si="272"/>
        <v>14865.321250000001</v>
      </c>
      <c r="AF245" s="596">
        <f t="shared" si="272"/>
        <v>12704.327499999999</v>
      </c>
      <c r="AG245" s="429"/>
      <c r="AH245" s="596">
        <f t="shared" ref="AH245" si="273">(AH199+AH202+AH203-AH216-AH219)+AH208+AH211-AH223+AH198+AH207</f>
        <v>22632</v>
      </c>
      <c r="AI245" s="596">
        <f t="shared" ref="AI245:AM245" si="274">(AI199+AI202+AI203-AI216-AI219)+AI208+AI211-AI223+AI198+AI207</f>
        <v>20369</v>
      </c>
      <c r="AJ245" s="596">
        <f t="shared" si="274"/>
        <v>28205</v>
      </c>
      <c r="AK245" s="596">
        <f t="shared" si="274"/>
        <v>17922</v>
      </c>
      <c r="AL245" s="596">
        <f t="shared" si="274"/>
        <v>12054</v>
      </c>
      <c r="AM245" s="596">
        <f t="shared" si="274"/>
        <v>7581</v>
      </c>
      <c r="AN245" s="596">
        <f t="shared" ref="AN245:AS245" si="275">(AN199+AN202+AN203-AN216-AN219)+AN208+AN211-AN223+AN198+AN207</f>
        <v>21400</v>
      </c>
      <c r="AO245" s="596">
        <f t="shared" si="275"/>
        <v>28559</v>
      </c>
      <c r="AP245" s="596">
        <f t="shared" si="275"/>
        <v>12704.327499999999</v>
      </c>
      <c r="AQ245" s="596">
        <f t="shared" si="275"/>
        <v>10236.886023749999</v>
      </c>
      <c r="AR245" s="596">
        <f t="shared" si="275"/>
        <v>7958.9025325874973</v>
      </c>
      <c r="AS245" s="596">
        <f t="shared" si="275"/>
        <v>9570.8788250431207</v>
      </c>
    </row>
    <row r="246" spans="3:45" s="373" customFormat="1">
      <c r="C246" s="594" t="s">
        <v>311</v>
      </c>
      <c r="E246" s="597">
        <f t="shared" ref="E246:AF246" si="276">SUM(E243:E245)</f>
        <v>63024</v>
      </c>
      <c r="F246" s="597">
        <f t="shared" si="276"/>
        <v>66789</v>
      </c>
      <c r="G246" s="597">
        <f t="shared" si="276"/>
        <v>71158</v>
      </c>
      <c r="H246" s="597">
        <f t="shared" si="276"/>
        <v>72144</v>
      </c>
      <c r="I246" s="597">
        <f t="shared" si="276"/>
        <v>74670</v>
      </c>
      <c r="J246" s="597">
        <f t="shared" si="276"/>
        <v>74386</v>
      </c>
      <c r="K246" s="597">
        <f t="shared" si="276"/>
        <v>65725</v>
      </c>
      <c r="L246" s="597">
        <f t="shared" si="276"/>
        <v>68693</v>
      </c>
      <c r="M246" s="597">
        <f t="shared" si="276"/>
        <v>69743</v>
      </c>
      <c r="N246" s="597">
        <f t="shared" si="276"/>
        <v>70455</v>
      </c>
      <c r="O246" s="597">
        <f t="shared" si="276"/>
        <v>69579</v>
      </c>
      <c r="P246" s="597">
        <f t="shared" si="276"/>
        <v>71181</v>
      </c>
      <c r="Q246" s="597">
        <f t="shared" si="276"/>
        <v>72390</v>
      </c>
      <c r="R246" s="597">
        <f t="shared" si="276"/>
        <v>74523</v>
      </c>
      <c r="S246" s="597">
        <f t="shared" si="276"/>
        <v>72810</v>
      </c>
      <c r="T246" s="597">
        <f t="shared" si="276"/>
        <v>75242</v>
      </c>
      <c r="U246" s="597">
        <f t="shared" si="276"/>
        <v>77841</v>
      </c>
      <c r="V246" s="597">
        <f t="shared" si="276"/>
        <v>85001</v>
      </c>
      <c r="W246" s="597">
        <f t="shared" si="276"/>
        <v>82080</v>
      </c>
      <c r="X246" s="597">
        <f t="shared" si="276"/>
        <v>87612</v>
      </c>
      <c r="Y246" s="597">
        <f t="shared" si="276"/>
        <v>88457</v>
      </c>
      <c r="Z246" s="597">
        <f t="shared" si="276"/>
        <v>93856</v>
      </c>
      <c r="AA246" s="597">
        <f t="shared" si="276"/>
        <v>100682</v>
      </c>
      <c r="AB246" s="597">
        <f t="shared" si="276"/>
        <v>106290</v>
      </c>
      <c r="AC246" s="597">
        <f t="shared" si="276"/>
        <v>100751.655</v>
      </c>
      <c r="AD246" s="597">
        <f t="shared" si="276"/>
        <v>101477.7755</v>
      </c>
      <c r="AE246" s="597">
        <f t="shared" si="276"/>
        <v>102159.5025</v>
      </c>
      <c r="AF246" s="597">
        <f t="shared" si="276"/>
        <v>103205.215</v>
      </c>
      <c r="AG246" s="429"/>
      <c r="AH246" s="597">
        <f t="shared" ref="AH246" si="277">SUM(AH243:AH245)</f>
        <v>61822</v>
      </c>
      <c r="AI246" s="597">
        <f t="shared" ref="AI246:AM246" si="278">SUM(AI243:AI245)</f>
        <v>60118</v>
      </c>
      <c r="AJ246" s="597">
        <f t="shared" si="278"/>
        <v>72144</v>
      </c>
      <c r="AK246" s="597">
        <f t="shared" si="278"/>
        <v>68693</v>
      </c>
      <c r="AL246" s="597">
        <f t="shared" si="278"/>
        <v>71181</v>
      </c>
      <c r="AM246" s="597">
        <f t="shared" si="278"/>
        <v>75242</v>
      </c>
      <c r="AN246" s="597">
        <f t="shared" ref="AN246:AS246" si="279">SUM(AN243:AN245)</f>
        <v>87612</v>
      </c>
      <c r="AO246" s="597">
        <f t="shared" si="279"/>
        <v>106290</v>
      </c>
      <c r="AP246" s="597">
        <f t="shared" si="279"/>
        <v>103205.215</v>
      </c>
      <c r="AQ246" s="597">
        <f t="shared" si="279"/>
        <v>109968.46299177663</v>
      </c>
      <c r="AR246" s="597">
        <f t="shared" si="279"/>
        <v>114844.68832953881</v>
      </c>
      <c r="AS246" s="597">
        <f t="shared" si="279"/>
        <v>119305.15861708514</v>
      </c>
    </row>
    <row r="247" spans="3:45" s="373" customFormat="1">
      <c r="C247" s="594"/>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c r="AD247" s="376"/>
      <c r="AE247" s="376"/>
      <c r="AF247" s="376"/>
      <c r="AG247" s="429"/>
      <c r="AH247" s="376"/>
      <c r="AI247" s="376"/>
      <c r="AJ247" s="376"/>
      <c r="AK247" s="376"/>
      <c r="AL247" s="376"/>
      <c r="AM247" s="376"/>
      <c r="AN247" s="376"/>
      <c r="AO247" s="376"/>
      <c r="AP247" s="376"/>
      <c r="AQ247" s="376"/>
      <c r="AR247" s="376"/>
      <c r="AS247" s="376"/>
    </row>
    <row r="248" spans="3:45" s="373" customFormat="1">
      <c r="C248" s="463" t="s">
        <v>312</v>
      </c>
      <c r="E248" s="596">
        <f t="shared" ref="E248:AF248" si="280">E197</f>
        <v>3061</v>
      </c>
      <c r="F248" s="596">
        <f t="shared" si="280"/>
        <v>3885</v>
      </c>
      <c r="G248" s="596">
        <f t="shared" si="280"/>
        <v>4752</v>
      </c>
      <c r="H248" s="596">
        <f t="shared" si="280"/>
        <v>5560</v>
      </c>
      <c r="I248" s="596">
        <f t="shared" si="280"/>
        <v>4934</v>
      </c>
      <c r="J248" s="596">
        <f t="shared" si="280"/>
        <v>11687</v>
      </c>
      <c r="K248" s="596">
        <f t="shared" si="280"/>
        <v>9075</v>
      </c>
      <c r="L248" s="596">
        <f t="shared" si="280"/>
        <v>3433</v>
      </c>
      <c r="M248" s="596">
        <f t="shared" si="280"/>
        <v>3554</v>
      </c>
      <c r="N248" s="596">
        <f t="shared" si="280"/>
        <v>2614</v>
      </c>
      <c r="O248" s="596">
        <f t="shared" si="280"/>
        <v>3407</v>
      </c>
      <c r="P248" s="596">
        <f t="shared" si="280"/>
        <v>3019</v>
      </c>
      <c r="Q248" s="596">
        <f t="shared" si="280"/>
        <v>3154</v>
      </c>
      <c r="R248" s="596">
        <f t="shared" si="280"/>
        <v>2867</v>
      </c>
      <c r="S248" s="596">
        <f t="shared" si="280"/>
        <v>3935</v>
      </c>
      <c r="T248" s="596">
        <f t="shared" si="280"/>
        <v>4194</v>
      </c>
      <c r="U248" s="596">
        <f t="shared" si="280"/>
        <v>11380</v>
      </c>
      <c r="V248" s="596">
        <f t="shared" si="280"/>
        <v>8736</v>
      </c>
      <c r="W248" s="596">
        <f t="shared" si="280"/>
        <v>3356</v>
      </c>
      <c r="X248" s="596">
        <f t="shared" si="280"/>
        <v>5865</v>
      </c>
      <c r="Y248" s="596">
        <f t="shared" si="280"/>
        <v>5192</v>
      </c>
      <c r="Z248" s="596">
        <f t="shared" si="280"/>
        <v>4746</v>
      </c>
      <c r="AA248" s="596">
        <f t="shared" si="280"/>
        <v>7870</v>
      </c>
      <c r="AB248" s="596">
        <f t="shared" si="280"/>
        <v>4827</v>
      </c>
      <c r="AC248" s="596">
        <f t="shared" ca="1" si="280"/>
        <v>12465.832344750481</v>
      </c>
      <c r="AD248" s="596">
        <f t="shared" ca="1" si="280"/>
        <v>11248.79548075096</v>
      </c>
      <c r="AE248" s="596">
        <f t="shared" ca="1" si="280"/>
        <v>10253.762278001441</v>
      </c>
      <c r="AF248" s="596">
        <f t="shared" ca="1" si="280"/>
        <v>7690.6211892519223</v>
      </c>
      <c r="AG248" s="429"/>
      <c r="AH248" s="596">
        <f t="shared" ref="AH248" si="281">AH197</f>
        <v>2561</v>
      </c>
      <c r="AI248" s="596">
        <f t="shared" ref="AI248:AM248" si="282">AI197</f>
        <v>15308</v>
      </c>
      <c r="AJ248" s="596">
        <f t="shared" si="282"/>
        <v>5560</v>
      </c>
      <c r="AK248" s="596">
        <f t="shared" si="282"/>
        <v>3433</v>
      </c>
      <c r="AL248" s="596">
        <f t="shared" si="282"/>
        <v>3019</v>
      </c>
      <c r="AM248" s="596">
        <f t="shared" si="282"/>
        <v>4194</v>
      </c>
      <c r="AN248" s="596">
        <f t="shared" ref="AN248:AS248" si="283">AN197</f>
        <v>5865</v>
      </c>
      <c r="AO248" s="596">
        <f t="shared" si="283"/>
        <v>4827</v>
      </c>
      <c r="AP248" s="596">
        <f t="shared" ca="1" si="283"/>
        <v>7690.6211892519223</v>
      </c>
      <c r="AQ248" s="596">
        <f t="shared" ca="1" si="283"/>
        <v>3393.971690627217</v>
      </c>
      <c r="AR248" s="596">
        <f t="shared" ca="1" si="283"/>
        <v>1166.2339200885672</v>
      </c>
      <c r="AS248" s="596">
        <f t="shared" ca="1" si="283"/>
        <v>1000</v>
      </c>
    </row>
    <row r="249" spans="3:45" s="373" customFormat="1">
      <c r="C249" s="463" t="s">
        <v>313</v>
      </c>
      <c r="E249" s="596">
        <f t="shared" ref="E249:AF249" si="284">E209+E210</f>
        <v>28082</v>
      </c>
      <c r="F249" s="596">
        <f t="shared" si="284"/>
        <v>27813</v>
      </c>
      <c r="G249" s="596">
        <f t="shared" si="284"/>
        <v>23392</v>
      </c>
      <c r="H249" s="596">
        <f t="shared" si="284"/>
        <v>23593</v>
      </c>
      <c r="I249" s="596">
        <f t="shared" si="284"/>
        <v>23256</v>
      </c>
      <c r="J249" s="596">
        <f t="shared" si="284"/>
        <v>22969</v>
      </c>
      <c r="K249" s="596">
        <f t="shared" si="284"/>
        <v>37447</v>
      </c>
      <c r="L249" s="596">
        <f t="shared" si="284"/>
        <v>37134</v>
      </c>
      <c r="M249" s="596">
        <f t="shared" si="284"/>
        <v>36701</v>
      </c>
      <c r="N249" s="596">
        <f t="shared" si="284"/>
        <v>36449</v>
      </c>
      <c r="O249" s="596">
        <f t="shared" si="284"/>
        <v>36513</v>
      </c>
      <c r="P249" s="596">
        <f t="shared" si="284"/>
        <v>36349</v>
      </c>
      <c r="Q249" s="596">
        <f t="shared" si="284"/>
        <v>35978</v>
      </c>
      <c r="R249" s="596">
        <f t="shared" si="284"/>
        <v>35832</v>
      </c>
      <c r="S249" s="596">
        <f t="shared" si="284"/>
        <v>35746</v>
      </c>
      <c r="T249" s="596">
        <f t="shared" si="284"/>
        <v>37103</v>
      </c>
      <c r="U249" s="596">
        <f t="shared" si="284"/>
        <v>36705</v>
      </c>
      <c r="V249" s="596">
        <f t="shared" si="284"/>
        <v>37246</v>
      </c>
      <c r="W249" s="596">
        <f t="shared" si="284"/>
        <v>36836</v>
      </c>
      <c r="X249" s="596">
        <f t="shared" si="284"/>
        <v>35997</v>
      </c>
      <c r="Y249" s="596">
        <f t="shared" si="284"/>
        <v>35379</v>
      </c>
      <c r="Z249" s="596">
        <f t="shared" si="284"/>
        <v>34786</v>
      </c>
      <c r="AA249" s="596">
        <f t="shared" si="284"/>
        <v>34470</v>
      </c>
      <c r="AB249" s="596">
        <f t="shared" si="284"/>
        <v>34233</v>
      </c>
      <c r="AC249" s="596">
        <f t="shared" si="284"/>
        <v>33790.112500000003</v>
      </c>
      <c r="AD249" s="596">
        <f t="shared" si="284"/>
        <v>33347.224999999999</v>
      </c>
      <c r="AE249" s="596">
        <f t="shared" si="284"/>
        <v>32904.337500000001</v>
      </c>
      <c r="AF249" s="596">
        <f t="shared" si="284"/>
        <v>32461.45</v>
      </c>
      <c r="AG249" s="429"/>
      <c r="AH249" s="596">
        <f t="shared" ref="AH249" si="285">AH209+AH210</f>
        <v>15307</v>
      </c>
      <c r="AI249" s="596">
        <f t="shared" ref="AI249:AM249" si="286">AI209+AI210</f>
        <v>15265</v>
      </c>
      <c r="AJ249" s="596">
        <f t="shared" si="286"/>
        <v>23593</v>
      </c>
      <c r="AK249" s="596">
        <f t="shared" si="286"/>
        <v>37134</v>
      </c>
      <c r="AL249" s="596">
        <f t="shared" si="286"/>
        <v>36349</v>
      </c>
      <c r="AM249" s="596">
        <f t="shared" si="286"/>
        <v>37103</v>
      </c>
      <c r="AN249" s="596">
        <f t="shared" ref="AN249:AS249" si="287">AN209+AN210</f>
        <v>35997</v>
      </c>
      <c r="AO249" s="596">
        <f t="shared" si="287"/>
        <v>34233</v>
      </c>
      <c r="AP249" s="596">
        <f t="shared" si="287"/>
        <v>32461.45</v>
      </c>
      <c r="AQ249" s="596">
        <f t="shared" si="287"/>
        <v>32189.9</v>
      </c>
      <c r="AR249" s="596">
        <f t="shared" si="287"/>
        <v>31918.35</v>
      </c>
      <c r="AS249" s="596">
        <f t="shared" si="287"/>
        <v>29646.799999999999</v>
      </c>
    </row>
    <row r="250" spans="3:45" s="373" customFormat="1">
      <c r="C250" s="594" t="s">
        <v>314</v>
      </c>
      <c r="E250" s="597">
        <f t="shared" ref="E250:AF250" si="288">E246+SUM(E248:E249)</f>
        <v>94167</v>
      </c>
      <c r="F250" s="597">
        <f t="shared" si="288"/>
        <v>98487</v>
      </c>
      <c r="G250" s="597">
        <f t="shared" si="288"/>
        <v>99302</v>
      </c>
      <c r="H250" s="597">
        <f t="shared" si="288"/>
        <v>101297</v>
      </c>
      <c r="I250" s="597">
        <f t="shared" si="288"/>
        <v>102860</v>
      </c>
      <c r="J250" s="597">
        <f t="shared" si="288"/>
        <v>109042</v>
      </c>
      <c r="K250" s="597">
        <f t="shared" si="288"/>
        <v>112247</v>
      </c>
      <c r="L250" s="597">
        <f t="shared" si="288"/>
        <v>109260</v>
      </c>
      <c r="M250" s="597">
        <f t="shared" si="288"/>
        <v>109998</v>
      </c>
      <c r="N250" s="597">
        <f t="shared" si="288"/>
        <v>109518</v>
      </c>
      <c r="O250" s="597">
        <f t="shared" si="288"/>
        <v>109499</v>
      </c>
      <c r="P250" s="597">
        <f t="shared" si="288"/>
        <v>110549</v>
      </c>
      <c r="Q250" s="597">
        <f t="shared" si="288"/>
        <v>111522</v>
      </c>
      <c r="R250" s="597">
        <f t="shared" si="288"/>
        <v>113222</v>
      </c>
      <c r="S250" s="597">
        <f t="shared" si="288"/>
        <v>112491</v>
      </c>
      <c r="T250" s="597">
        <f t="shared" si="288"/>
        <v>116539</v>
      </c>
      <c r="U250" s="597">
        <f t="shared" si="288"/>
        <v>125926</v>
      </c>
      <c r="V250" s="597">
        <f t="shared" si="288"/>
        <v>130983</v>
      </c>
      <c r="W250" s="597">
        <f t="shared" si="288"/>
        <v>122272</v>
      </c>
      <c r="X250" s="597">
        <f t="shared" si="288"/>
        <v>129474</v>
      </c>
      <c r="Y250" s="597">
        <f t="shared" si="288"/>
        <v>129028</v>
      </c>
      <c r="Z250" s="597">
        <f t="shared" si="288"/>
        <v>133388</v>
      </c>
      <c r="AA250" s="597">
        <f t="shared" si="288"/>
        <v>143022</v>
      </c>
      <c r="AB250" s="597">
        <f t="shared" si="288"/>
        <v>145350</v>
      </c>
      <c r="AC250" s="597">
        <f t="shared" ca="1" si="288"/>
        <v>147007.59984475048</v>
      </c>
      <c r="AD250" s="597">
        <f t="shared" ca="1" si="288"/>
        <v>146073.79598075096</v>
      </c>
      <c r="AE250" s="597">
        <f t="shared" ca="1" si="288"/>
        <v>145317.60227800143</v>
      </c>
      <c r="AF250" s="597">
        <f t="shared" ca="1" si="288"/>
        <v>143357.28618925193</v>
      </c>
      <c r="AG250" s="429"/>
      <c r="AH250" s="597">
        <f t="shared" ref="AH250" si="289">AH246+SUM(AH248:AH249)</f>
        <v>79690</v>
      </c>
      <c r="AI250" s="597">
        <f t="shared" ref="AI250:AM250" si="290">AI246+SUM(AI248:AI249)</f>
        <v>90691</v>
      </c>
      <c r="AJ250" s="597">
        <f t="shared" si="290"/>
        <v>101297</v>
      </c>
      <c r="AK250" s="597">
        <f t="shared" si="290"/>
        <v>109260</v>
      </c>
      <c r="AL250" s="597">
        <f t="shared" si="290"/>
        <v>110549</v>
      </c>
      <c r="AM250" s="597">
        <f t="shared" si="290"/>
        <v>116539</v>
      </c>
      <c r="AN250" s="597">
        <f t="shared" ref="AN250:AS250" si="291">AN246+SUM(AN248:AN249)</f>
        <v>129474</v>
      </c>
      <c r="AO250" s="597">
        <f t="shared" si="291"/>
        <v>145350</v>
      </c>
      <c r="AP250" s="597">
        <f t="shared" ca="1" si="291"/>
        <v>143357.28618925193</v>
      </c>
      <c r="AQ250" s="597">
        <f t="shared" ca="1" si="291"/>
        <v>145552.33468240383</v>
      </c>
      <c r="AR250" s="597">
        <f t="shared" ca="1" si="291"/>
        <v>147929.27224962739</v>
      </c>
      <c r="AS250" s="597">
        <f t="shared" ca="1" si="291"/>
        <v>149951.95861708513</v>
      </c>
    </row>
    <row r="251" spans="3:45" s="373" customFormat="1">
      <c r="C251" s="463"/>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c r="AD251" s="376"/>
      <c r="AE251" s="376"/>
      <c r="AF251" s="376"/>
      <c r="AG251" s="429"/>
      <c r="AH251" s="376"/>
      <c r="AI251" s="376"/>
      <c r="AJ251" s="376"/>
      <c r="AK251" s="376"/>
      <c r="AL251" s="376"/>
      <c r="AM251" s="376"/>
      <c r="AN251" s="376"/>
      <c r="AO251" s="376"/>
      <c r="AP251" s="376"/>
      <c r="AQ251" s="376"/>
      <c r="AR251" s="376"/>
      <c r="AS251" s="376"/>
    </row>
    <row r="252" spans="3:45" s="373" customFormat="1">
      <c r="C252" s="592" t="s">
        <v>315</v>
      </c>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c r="AD252" s="376"/>
      <c r="AE252" s="376"/>
      <c r="AF252" s="376"/>
      <c r="AG252" s="429"/>
      <c r="AH252" s="376"/>
      <c r="AI252" s="376"/>
      <c r="AJ252" s="376"/>
      <c r="AK252" s="376"/>
      <c r="AL252" s="376"/>
      <c r="AM252" s="376"/>
      <c r="AN252" s="376"/>
      <c r="AO252" s="376"/>
      <c r="AP252" s="376"/>
      <c r="AQ252" s="376"/>
      <c r="AR252" s="376"/>
      <c r="AS252" s="376"/>
    </row>
    <row r="253" spans="3:45" s="373" customFormat="1">
      <c r="C253" s="463" t="s">
        <v>126</v>
      </c>
      <c r="E253" s="596">
        <f t="shared" ref="E253:AF253" si="292">E234+E229</f>
        <v>62068</v>
      </c>
      <c r="F253" s="596">
        <f t="shared" si="292"/>
        <v>62257</v>
      </c>
      <c r="G253" s="596">
        <f t="shared" si="292"/>
        <v>64001</v>
      </c>
      <c r="H253" s="596">
        <f t="shared" si="292"/>
        <v>67108</v>
      </c>
      <c r="I253" s="596">
        <f t="shared" si="292"/>
        <v>67722</v>
      </c>
      <c r="J253" s="596">
        <f t="shared" si="292"/>
        <v>69499</v>
      </c>
      <c r="K253" s="596">
        <f t="shared" si="292"/>
        <v>71806</v>
      </c>
      <c r="L253" s="596">
        <f t="shared" si="292"/>
        <v>69885</v>
      </c>
      <c r="M253" s="596">
        <f t="shared" si="292"/>
        <v>70966</v>
      </c>
      <c r="N253" s="596">
        <f t="shared" si="292"/>
        <v>70701</v>
      </c>
      <c r="O253" s="596">
        <f t="shared" si="292"/>
        <v>71998</v>
      </c>
      <c r="P253" s="596">
        <f t="shared" si="292"/>
        <v>74982</v>
      </c>
      <c r="Q253" s="596">
        <f t="shared" si="292"/>
        <v>73936</v>
      </c>
      <c r="R253" s="596">
        <f t="shared" si="292"/>
        <v>75194</v>
      </c>
      <c r="S253" s="596">
        <f t="shared" si="292"/>
        <v>74408</v>
      </c>
      <c r="T253" s="596">
        <f t="shared" si="292"/>
        <v>77659</v>
      </c>
      <c r="U253" s="596">
        <f t="shared" si="292"/>
        <v>76354</v>
      </c>
      <c r="V253" s="596">
        <f t="shared" si="292"/>
        <v>82010</v>
      </c>
      <c r="W253" s="596">
        <f t="shared" si="292"/>
        <v>74554</v>
      </c>
      <c r="X253" s="596">
        <f t="shared" si="292"/>
        <v>81038</v>
      </c>
      <c r="Y253" s="596">
        <f t="shared" si="292"/>
        <v>79807</v>
      </c>
      <c r="Z253" s="596">
        <f t="shared" si="292"/>
        <v>85207</v>
      </c>
      <c r="AA253" s="596">
        <f t="shared" si="292"/>
        <v>90087</v>
      </c>
      <c r="AB253" s="596">
        <f t="shared" si="292"/>
        <v>95391</v>
      </c>
      <c r="AC253" s="596">
        <f t="shared" ca="1" si="292"/>
        <v>97048.599844750483</v>
      </c>
      <c r="AD253" s="596">
        <f t="shared" ca="1" si="292"/>
        <v>97664.795980750961</v>
      </c>
      <c r="AE253" s="596">
        <f t="shared" ca="1" si="292"/>
        <v>97908.602278001446</v>
      </c>
      <c r="AF253" s="596">
        <f t="shared" ca="1" si="292"/>
        <v>97846.286189251929</v>
      </c>
      <c r="AG253" s="429"/>
      <c r="AH253" s="596">
        <f>AH234+AH229</f>
        <v>56777</v>
      </c>
      <c r="AI253" s="596">
        <f>AI234+AI229</f>
        <v>61982</v>
      </c>
      <c r="AJ253" s="596">
        <f t="shared" ref="AJ253:AS253" si="293">AJ234+AJ229</f>
        <v>67108</v>
      </c>
      <c r="AK253" s="596">
        <f t="shared" si="293"/>
        <v>69885</v>
      </c>
      <c r="AL253" s="596">
        <f t="shared" si="293"/>
        <v>74982</v>
      </c>
      <c r="AM253" s="596">
        <f t="shared" si="293"/>
        <v>77659</v>
      </c>
      <c r="AN253" s="596">
        <f t="shared" si="293"/>
        <v>81038</v>
      </c>
      <c r="AO253" s="596">
        <f t="shared" si="293"/>
        <v>95391</v>
      </c>
      <c r="AP253" s="596">
        <f t="shared" ca="1" si="293"/>
        <v>97846.286189251929</v>
      </c>
      <c r="AQ253" s="596">
        <f t="shared" ca="1" si="293"/>
        <v>100441.33468240385</v>
      </c>
      <c r="AR253" s="596">
        <f t="shared" ca="1" si="293"/>
        <v>104668.27224962739</v>
      </c>
      <c r="AS253" s="596">
        <f t="shared" ca="1" si="293"/>
        <v>109685.98554295847</v>
      </c>
    </row>
    <row r="254" spans="3:45" s="373" customFormat="1">
      <c r="C254" s="463" t="s">
        <v>316</v>
      </c>
      <c r="E254" s="596">
        <f t="shared" ref="E254:AF254" si="294">E225+E217</f>
        <v>3879</v>
      </c>
      <c r="F254" s="596">
        <f t="shared" si="294"/>
        <v>4100</v>
      </c>
      <c r="G254" s="596">
        <f t="shared" si="294"/>
        <v>2935</v>
      </c>
      <c r="H254" s="596">
        <f t="shared" si="294"/>
        <v>3448</v>
      </c>
      <c r="I254" s="596">
        <f t="shared" si="294"/>
        <v>3983</v>
      </c>
      <c r="J254" s="596">
        <f t="shared" si="294"/>
        <v>4089</v>
      </c>
      <c r="K254" s="596">
        <f t="shared" si="294"/>
        <v>4649</v>
      </c>
      <c r="L254" s="596">
        <f t="shared" si="294"/>
        <v>4702</v>
      </c>
      <c r="M254" s="596">
        <f t="shared" si="294"/>
        <v>1564</v>
      </c>
      <c r="N254" s="596">
        <f t="shared" si="294"/>
        <v>1666</v>
      </c>
      <c r="O254" s="596">
        <f t="shared" si="294"/>
        <v>1485</v>
      </c>
      <c r="P254" s="596">
        <f t="shared" si="294"/>
        <v>1665</v>
      </c>
      <c r="Q254" s="596">
        <f t="shared" si="294"/>
        <v>1521</v>
      </c>
      <c r="R254" s="596">
        <f t="shared" si="294"/>
        <v>1783</v>
      </c>
      <c r="S254" s="596">
        <f t="shared" si="294"/>
        <v>1696</v>
      </c>
      <c r="T254" s="596">
        <f t="shared" si="294"/>
        <v>2044</v>
      </c>
      <c r="U254" s="596">
        <f t="shared" si="294"/>
        <v>2027</v>
      </c>
      <c r="V254" s="596">
        <f t="shared" si="294"/>
        <v>2723</v>
      </c>
      <c r="W254" s="596">
        <f t="shared" si="294"/>
        <v>2995</v>
      </c>
      <c r="X254" s="596">
        <f t="shared" si="294"/>
        <v>3843</v>
      </c>
      <c r="Y254" s="596">
        <f t="shared" si="294"/>
        <v>3410</v>
      </c>
      <c r="Z254" s="596">
        <f t="shared" si="294"/>
        <v>3271</v>
      </c>
      <c r="AA254" s="596">
        <f t="shared" si="294"/>
        <v>3019</v>
      </c>
      <c r="AB254" s="596">
        <f t="shared" si="294"/>
        <v>2667</v>
      </c>
      <c r="AC254" s="596">
        <f t="shared" si="294"/>
        <v>2667</v>
      </c>
      <c r="AD254" s="596">
        <f t="shared" si="294"/>
        <v>2667</v>
      </c>
      <c r="AE254" s="596">
        <f t="shared" si="294"/>
        <v>2667</v>
      </c>
      <c r="AF254" s="596">
        <f t="shared" si="294"/>
        <v>2667</v>
      </c>
      <c r="AG254" s="429"/>
      <c r="AH254" s="596">
        <f t="shared" ref="AH254" si="295">AH225+AH217</f>
        <v>5980</v>
      </c>
      <c r="AI254" s="596">
        <f t="shared" ref="AI254" si="296">AI225+AI217</f>
        <v>3142</v>
      </c>
      <c r="AJ254" s="596">
        <f>AJ225+AJ217</f>
        <v>3448</v>
      </c>
      <c r="AK254" s="596">
        <f>AK225+AK217</f>
        <v>4702</v>
      </c>
      <c r="AL254" s="596">
        <f t="shared" ref="AL254:AM254" si="297">AL225</f>
        <v>1665</v>
      </c>
      <c r="AM254" s="596">
        <f t="shared" si="297"/>
        <v>2044</v>
      </c>
      <c r="AN254" s="596">
        <f t="shared" ref="AN254:AS254" si="298">AN225</f>
        <v>3843</v>
      </c>
      <c r="AO254" s="596">
        <f t="shared" si="298"/>
        <v>2667</v>
      </c>
      <c r="AP254" s="596">
        <f t="shared" si="298"/>
        <v>2667</v>
      </c>
      <c r="AQ254" s="596">
        <f t="shared" si="298"/>
        <v>2667</v>
      </c>
      <c r="AR254" s="596">
        <f t="shared" si="298"/>
        <v>2667</v>
      </c>
      <c r="AS254" s="596">
        <f t="shared" si="298"/>
        <v>2667</v>
      </c>
    </row>
    <row r="255" spans="3:45" s="373" customFormat="1">
      <c r="C255" s="594" t="s">
        <v>317</v>
      </c>
      <c r="E255" s="597">
        <f t="shared" ref="E255:AF255" si="299">SUM(E253:E254)</f>
        <v>65947</v>
      </c>
      <c r="F255" s="597">
        <f t="shared" si="299"/>
        <v>66357</v>
      </c>
      <c r="G255" s="597">
        <f t="shared" si="299"/>
        <v>66936</v>
      </c>
      <c r="H255" s="597">
        <f t="shared" si="299"/>
        <v>70556</v>
      </c>
      <c r="I255" s="597">
        <f t="shared" si="299"/>
        <v>71705</v>
      </c>
      <c r="J255" s="597">
        <f t="shared" si="299"/>
        <v>73588</v>
      </c>
      <c r="K255" s="597">
        <f t="shared" si="299"/>
        <v>76455</v>
      </c>
      <c r="L255" s="597">
        <f t="shared" si="299"/>
        <v>74587</v>
      </c>
      <c r="M255" s="597">
        <f t="shared" si="299"/>
        <v>72530</v>
      </c>
      <c r="N255" s="597">
        <f t="shared" si="299"/>
        <v>72367</v>
      </c>
      <c r="O255" s="597">
        <f t="shared" si="299"/>
        <v>73483</v>
      </c>
      <c r="P255" s="597">
        <f t="shared" si="299"/>
        <v>76647</v>
      </c>
      <c r="Q255" s="597">
        <f t="shared" si="299"/>
        <v>75457</v>
      </c>
      <c r="R255" s="597">
        <f t="shared" si="299"/>
        <v>76977</v>
      </c>
      <c r="S255" s="597">
        <f t="shared" si="299"/>
        <v>76104</v>
      </c>
      <c r="T255" s="597">
        <f t="shared" si="299"/>
        <v>79703</v>
      </c>
      <c r="U255" s="597">
        <f t="shared" si="299"/>
        <v>78381</v>
      </c>
      <c r="V255" s="597">
        <f t="shared" si="299"/>
        <v>84733</v>
      </c>
      <c r="W255" s="597">
        <f t="shared" si="299"/>
        <v>77549</v>
      </c>
      <c r="X255" s="597">
        <f t="shared" si="299"/>
        <v>84881</v>
      </c>
      <c r="Y255" s="597">
        <f t="shared" si="299"/>
        <v>83217</v>
      </c>
      <c r="Z255" s="597">
        <f t="shared" si="299"/>
        <v>88478</v>
      </c>
      <c r="AA255" s="597">
        <f t="shared" si="299"/>
        <v>93106</v>
      </c>
      <c r="AB255" s="597">
        <f t="shared" si="299"/>
        <v>98058</v>
      </c>
      <c r="AC255" s="597">
        <f t="shared" ca="1" si="299"/>
        <v>99715.599844750483</v>
      </c>
      <c r="AD255" s="597">
        <f t="shared" ca="1" si="299"/>
        <v>100331.79598075096</v>
      </c>
      <c r="AE255" s="597">
        <f t="shared" ca="1" si="299"/>
        <v>100575.60227800145</v>
      </c>
      <c r="AF255" s="597">
        <f t="shared" ca="1" si="299"/>
        <v>100513.28618925193</v>
      </c>
      <c r="AG255" s="429"/>
      <c r="AH255" s="597">
        <f t="shared" ref="AH255" si="300">SUM(AH253:AH254)</f>
        <v>62757</v>
      </c>
      <c r="AI255" s="597">
        <f t="shared" ref="AI255:AM255" si="301">SUM(AI253:AI254)</f>
        <v>65124</v>
      </c>
      <c r="AJ255" s="597">
        <f t="shared" si="301"/>
        <v>70556</v>
      </c>
      <c r="AK255" s="597">
        <f t="shared" si="301"/>
        <v>74587</v>
      </c>
      <c r="AL255" s="597">
        <f t="shared" si="301"/>
        <v>76647</v>
      </c>
      <c r="AM255" s="597">
        <f t="shared" si="301"/>
        <v>79703</v>
      </c>
      <c r="AN255" s="597">
        <f t="shared" ref="AN255:AS255" si="302">SUM(AN253:AN254)</f>
        <v>84881</v>
      </c>
      <c r="AO255" s="597">
        <f t="shared" si="302"/>
        <v>98058</v>
      </c>
      <c r="AP255" s="597">
        <f t="shared" ca="1" si="302"/>
        <v>100513.28618925193</v>
      </c>
      <c r="AQ255" s="597">
        <f t="shared" ca="1" si="302"/>
        <v>103108.33468240385</v>
      </c>
      <c r="AR255" s="597">
        <f t="shared" ca="1" si="302"/>
        <v>107335.27224962739</v>
      </c>
      <c r="AS255" s="597">
        <f t="shared" ca="1" si="302"/>
        <v>112352.98554295847</v>
      </c>
    </row>
    <row r="256" spans="3:45" s="373" customFormat="1">
      <c r="C256" s="594"/>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c r="AD256" s="376"/>
      <c r="AE256" s="376"/>
      <c r="AF256" s="376"/>
      <c r="AG256" s="429"/>
      <c r="AH256" s="376"/>
      <c r="AI256" s="376"/>
      <c r="AJ256" s="376"/>
      <c r="AK256" s="376"/>
      <c r="AL256" s="376"/>
      <c r="AM256" s="376"/>
      <c r="AN256" s="376"/>
      <c r="AO256" s="376"/>
      <c r="AP256" s="376"/>
      <c r="AQ256" s="376"/>
      <c r="AR256" s="376"/>
      <c r="AS256" s="376"/>
    </row>
    <row r="257" spans="3:45" s="373" customFormat="1">
      <c r="C257" s="463" t="s">
        <v>318</v>
      </c>
      <c r="E257" s="596">
        <f t="shared" ref="E257:AF257" si="303">E222+E214</f>
        <v>25369</v>
      </c>
      <c r="F257" s="596">
        <f t="shared" si="303"/>
        <v>28613</v>
      </c>
      <c r="G257" s="596">
        <f t="shared" si="303"/>
        <v>27616</v>
      </c>
      <c r="H257" s="596">
        <f t="shared" si="303"/>
        <v>25283</v>
      </c>
      <c r="I257" s="596">
        <f t="shared" si="303"/>
        <v>25751</v>
      </c>
      <c r="J257" s="596">
        <f t="shared" si="303"/>
        <v>31985</v>
      </c>
      <c r="K257" s="596">
        <f t="shared" si="303"/>
        <v>31640</v>
      </c>
      <c r="L257" s="596">
        <f t="shared" si="303"/>
        <v>26813</v>
      </c>
      <c r="M257" s="596">
        <f t="shared" si="303"/>
        <v>28612</v>
      </c>
      <c r="N257" s="596">
        <f t="shared" si="303"/>
        <v>28142</v>
      </c>
      <c r="O257" s="596">
        <f t="shared" si="303"/>
        <v>27874</v>
      </c>
      <c r="P257" s="596">
        <f t="shared" si="303"/>
        <v>26359</v>
      </c>
      <c r="Q257" s="596">
        <f t="shared" si="303"/>
        <v>28487</v>
      </c>
      <c r="R257" s="596">
        <f t="shared" si="303"/>
        <v>28815</v>
      </c>
      <c r="S257" s="596">
        <f t="shared" si="303"/>
        <v>28907</v>
      </c>
      <c r="T257" s="596">
        <f t="shared" si="303"/>
        <v>29001</v>
      </c>
      <c r="U257" s="596">
        <f t="shared" si="303"/>
        <v>39919</v>
      </c>
      <c r="V257" s="596">
        <f t="shared" si="303"/>
        <v>38347</v>
      </c>
      <c r="W257" s="596">
        <f t="shared" si="303"/>
        <v>36563</v>
      </c>
      <c r="X257" s="596">
        <f t="shared" si="303"/>
        <v>36401</v>
      </c>
      <c r="Y257" s="596">
        <f t="shared" si="303"/>
        <v>35884</v>
      </c>
      <c r="Z257" s="596">
        <f t="shared" si="303"/>
        <v>35409</v>
      </c>
      <c r="AA257" s="596">
        <f t="shared" si="303"/>
        <v>40304</v>
      </c>
      <c r="AB257" s="596">
        <f t="shared" si="303"/>
        <v>38101</v>
      </c>
      <c r="AC257" s="596">
        <f t="shared" ca="1" si="303"/>
        <v>38101</v>
      </c>
      <c r="AD257" s="596">
        <f t="shared" ca="1" si="303"/>
        <v>36551</v>
      </c>
      <c r="AE257" s="596">
        <f t="shared" ca="1" si="303"/>
        <v>35551</v>
      </c>
      <c r="AF257" s="596">
        <f t="shared" ca="1" si="303"/>
        <v>33653</v>
      </c>
      <c r="AG257" s="429"/>
      <c r="AH257" s="596">
        <f t="shared" ref="AH257" si="304">AH222+AH214</f>
        <v>13655</v>
      </c>
      <c r="AI257" s="596">
        <f t="shared" ref="AI257:AM257" si="305">AI222+AI214</f>
        <v>22670</v>
      </c>
      <c r="AJ257" s="596">
        <f t="shared" si="305"/>
        <v>25283</v>
      </c>
      <c r="AK257" s="596">
        <f t="shared" si="305"/>
        <v>26813</v>
      </c>
      <c r="AL257" s="596">
        <f t="shared" si="305"/>
        <v>26359</v>
      </c>
      <c r="AM257" s="596">
        <f t="shared" si="305"/>
        <v>29001</v>
      </c>
      <c r="AN257" s="596">
        <f t="shared" ref="AN257:AS257" si="306">AN222+AN214</f>
        <v>36401</v>
      </c>
      <c r="AO257" s="596">
        <f t="shared" si="306"/>
        <v>38101</v>
      </c>
      <c r="AP257" s="596">
        <f t="shared" ca="1" si="306"/>
        <v>33653</v>
      </c>
      <c r="AQ257" s="596">
        <f t="shared" ca="1" si="306"/>
        <v>33253</v>
      </c>
      <c r="AR257" s="596">
        <f t="shared" ca="1" si="306"/>
        <v>31403</v>
      </c>
      <c r="AS257" s="596">
        <f t="shared" ca="1" si="306"/>
        <v>28407.973074126687</v>
      </c>
    </row>
    <row r="258" spans="3:45" s="373" customFormat="1">
      <c r="C258" s="34" t="s">
        <v>297</v>
      </c>
      <c r="E258" s="596">
        <f t="shared" ref="E258:AF258" si="307">E224+E226+E218</f>
        <v>2851</v>
      </c>
      <c r="F258" s="596">
        <f t="shared" si="307"/>
        <v>3517</v>
      </c>
      <c r="G258" s="596">
        <f t="shared" si="307"/>
        <v>4750</v>
      </c>
      <c r="H258" s="596">
        <f t="shared" si="307"/>
        <v>5458</v>
      </c>
      <c r="I258" s="596">
        <f t="shared" si="307"/>
        <v>5404</v>
      </c>
      <c r="J258" s="596">
        <f t="shared" si="307"/>
        <v>3469</v>
      </c>
      <c r="K258" s="596">
        <f t="shared" si="307"/>
        <v>4152</v>
      </c>
      <c r="L258" s="596">
        <f t="shared" si="307"/>
        <v>7860</v>
      </c>
      <c r="M258" s="596">
        <f t="shared" si="307"/>
        <v>8856</v>
      </c>
      <c r="N258" s="596">
        <f t="shared" si="307"/>
        <v>9009</v>
      </c>
      <c r="O258" s="596">
        <f t="shared" si="307"/>
        <v>8142</v>
      </c>
      <c r="P258" s="596">
        <f t="shared" si="307"/>
        <v>7543</v>
      </c>
      <c r="Q258" s="596">
        <f t="shared" si="307"/>
        <v>7578</v>
      </c>
      <c r="R258" s="596">
        <f t="shared" si="307"/>
        <v>7430</v>
      </c>
      <c r="S258" s="596">
        <f t="shared" si="307"/>
        <v>7480</v>
      </c>
      <c r="T258" s="596">
        <f t="shared" si="307"/>
        <v>7835</v>
      </c>
      <c r="U258" s="596">
        <f t="shared" si="307"/>
        <v>7626</v>
      </c>
      <c r="V258" s="596">
        <f t="shared" si="307"/>
        <v>7903</v>
      </c>
      <c r="W258" s="596">
        <f t="shared" si="307"/>
        <v>8160</v>
      </c>
      <c r="X258" s="596">
        <f t="shared" si="307"/>
        <v>8192</v>
      </c>
      <c r="Y258" s="596">
        <f t="shared" si="307"/>
        <v>9927</v>
      </c>
      <c r="Z258" s="596">
        <f t="shared" si="307"/>
        <v>9501</v>
      </c>
      <c r="AA258" s="596">
        <f t="shared" si="307"/>
        <v>9612</v>
      </c>
      <c r="AB258" s="596">
        <f t="shared" si="307"/>
        <v>9191</v>
      </c>
      <c r="AC258" s="596">
        <f t="shared" si="307"/>
        <v>9191</v>
      </c>
      <c r="AD258" s="596">
        <f t="shared" si="307"/>
        <v>9191</v>
      </c>
      <c r="AE258" s="596">
        <f t="shared" si="307"/>
        <v>9191</v>
      </c>
      <c r="AF258" s="596">
        <f t="shared" si="307"/>
        <v>9191</v>
      </c>
      <c r="AG258" s="429"/>
      <c r="AH258" s="596">
        <f t="shared" ref="AH258" si="308">AH224+AH226+AH218</f>
        <v>3278</v>
      </c>
      <c r="AI258" s="596">
        <f t="shared" ref="AI258" si="309">AI224+AI226+AI218</f>
        <v>2897</v>
      </c>
      <c r="AJ258" s="596">
        <f>AJ224+AJ226+AJ218</f>
        <v>5458</v>
      </c>
      <c r="AK258" s="596">
        <f t="shared" ref="AK258:AS258" si="310">AK224+AK226+AK218</f>
        <v>7860</v>
      </c>
      <c r="AL258" s="596">
        <f t="shared" si="310"/>
        <v>7543</v>
      </c>
      <c r="AM258" s="596">
        <f t="shared" si="310"/>
        <v>7835</v>
      </c>
      <c r="AN258" s="596">
        <f t="shared" si="310"/>
        <v>8192</v>
      </c>
      <c r="AO258" s="596">
        <f t="shared" si="310"/>
        <v>9191</v>
      </c>
      <c r="AP258" s="596">
        <f t="shared" si="310"/>
        <v>9191</v>
      </c>
      <c r="AQ258" s="596">
        <f t="shared" si="310"/>
        <v>9191</v>
      </c>
      <c r="AR258" s="596">
        <f t="shared" si="310"/>
        <v>9191</v>
      </c>
      <c r="AS258" s="596">
        <f t="shared" si="310"/>
        <v>9191</v>
      </c>
    </row>
    <row r="259" spans="3:45" s="373" customFormat="1">
      <c r="C259" s="592" t="s">
        <v>319</v>
      </c>
      <c r="E259" s="597">
        <f t="shared" ref="E259:AF259" si="311">E255+SUM(E257:E258)</f>
        <v>94167</v>
      </c>
      <c r="F259" s="597">
        <f t="shared" si="311"/>
        <v>98487</v>
      </c>
      <c r="G259" s="597">
        <f t="shared" si="311"/>
        <v>99302</v>
      </c>
      <c r="H259" s="597">
        <f t="shared" si="311"/>
        <v>101297</v>
      </c>
      <c r="I259" s="597">
        <f t="shared" si="311"/>
        <v>102860</v>
      </c>
      <c r="J259" s="597">
        <f t="shared" si="311"/>
        <v>109042</v>
      </c>
      <c r="K259" s="597">
        <f t="shared" si="311"/>
        <v>112247</v>
      </c>
      <c r="L259" s="597">
        <f t="shared" si="311"/>
        <v>109260</v>
      </c>
      <c r="M259" s="597">
        <f t="shared" si="311"/>
        <v>109998</v>
      </c>
      <c r="N259" s="597">
        <f t="shared" si="311"/>
        <v>109518</v>
      </c>
      <c r="O259" s="597">
        <f t="shared" si="311"/>
        <v>109499</v>
      </c>
      <c r="P259" s="597">
        <f t="shared" si="311"/>
        <v>110549</v>
      </c>
      <c r="Q259" s="597">
        <f t="shared" si="311"/>
        <v>111522</v>
      </c>
      <c r="R259" s="597">
        <f t="shared" si="311"/>
        <v>113222</v>
      </c>
      <c r="S259" s="597">
        <f t="shared" si="311"/>
        <v>112491</v>
      </c>
      <c r="T259" s="597">
        <f t="shared" si="311"/>
        <v>116539</v>
      </c>
      <c r="U259" s="597">
        <f t="shared" si="311"/>
        <v>125926</v>
      </c>
      <c r="V259" s="597">
        <f t="shared" si="311"/>
        <v>130983</v>
      </c>
      <c r="W259" s="597">
        <f t="shared" si="311"/>
        <v>122272</v>
      </c>
      <c r="X259" s="597">
        <f t="shared" si="311"/>
        <v>129474</v>
      </c>
      <c r="Y259" s="597">
        <f t="shared" si="311"/>
        <v>129028</v>
      </c>
      <c r="Z259" s="597">
        <f t="shared" si="311"/>
        <v>133388</v>
      </c>
      <c r="AA259" s="597">
        <f t="shared" si="311"/>
        <v>143022</v>
      </c>
      <c r="AB259" s="597">
        <f t="shared" si="311"/>
        <v>145350</v>
      </c>
      <c r="AC259" s="597">
        <f t="shared" ca="1" si="311"/>
        <v>147007.59984475048</v>
      </c>
      <c r="AD259" s="597">
        <f t="shared" ca="1" si="311"/>
        <v>146073.79598075096</v>
      </c>
      <c r="AE259" s="597">
        <f t="shared" ca="1" si="311"/>
        <v>145317.60227800143</v>
      </c>
      <c r="AF259" s="597">
        <f t="shared" ca="1" si="311"/>
        <v>143357.28618925193</v>
      </c>
      <c r="AG259" s="429"/>
      <c r="AH259" s="597">
        <f t="shared" ref="AH259" si="312">AH255+SUM(AH257:AH258)</f>
        <v>79690</v>
      </c>
      <c r="AI259" s="597">
        <f t="shared" ref="AI259:AM259" si="313">AI255+SUM(AI257:AI258)</f>
        <v>90691</v>
      </c>
      <c r="AJ259" s="597">
        <f t="shared" si="313"/>
        <v>101297</v>
      </c>
      <c r="AK259" s="597">
        <f t="shared" si="313"/>
        <v>109260</v>
      </c>
      <c r="AL259" s="597">
        <f t="shared" si="313"/>
        <v>110549</v>
      </c>
      <c r="AM259" s="597">
        <f t="shared" si="313"/>
        <v>116539</v>
      </c>
      <c r="AN259" s="597">
        <f t="shared" ref="AN259:AS259" si="314">AN255+SUM(AN257:AN258)</f>
        <v>129474</v>
      </c>
      <c r="AO259" s="597">
        <f t="shared" si="314"/>
        <v>145350</v>
      </c>
      <c r="AP259" s="597">
        <f t="shared" ca="1" si="314"/>
        <v>143357.28618925193</v>
      </c>
      <c r="AQ259" s="597">
        <f t="shared" ca="1" si="314"/>
        <v>145552.33468240383</v>
      </c>
      <c r="AR259" s="597">
        <f t="shared" ca="1" si="314"/>
        <v>147929.27224962739</v>
      </c>
      <c r="AS259" s="597">
        <f t="shared" ca="1" si="314"/>
        <v>149951.95861708515</v>
      </c>
    </row>
    <row r="260" spans="3:45" s="373" customFormat="1">
      <c r="C260" s="592"/>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c r="AD260" s="376"/>
      <c r="AE260" s="376"/>
      <c r="AF260" s="376"/>
      <c r="AG260" s="429"/>
      <c r="AH260" s="376"/>
      <c r="AI260" s="376"/>
      <c r="AJ260" s="376"/>
      <c r="AK260" s="376"/>
      <c r="AL260" s="376"/>
      <c r="AM260" s="376"/>
      <c r="AN260" s="376"/>
      <c r="AO260" s="376"/>
      <c r="AP260" s="376"/>
      <c r="AQ260" s="376"/>
      <c r="AR260" s="376"/>
      <c r="AS260" s="376"/>
    </row>
    <row r="261" spans="3:45" s="373" customFormat="1">
      <c r="C261" s="595" t="s">
        <v>320</v>
      </c>
      <c r="E261" s="376">
        <f t="shared" ref="E261:AF261" si="315">E250-E209</f>
        <v>77225</v>
      </c>
      <c r="F261" s="376">
        <f t="shared" si="315"/>
        <v>81495</v>
      </c>
      <c r="G261" s="376">
        <f t="shared" si="315"/>
        <v>85434</v>
      </c>
      <c r="H261" s="376">
        <f t="shared" si="315"/>
        <v>87198</v>
      </c>
      <c r="I261" s="376">
        <f t="shared" si="315"/>
        <v>88761</v>
      </c>
      <c r="J261" s="376">
        <f t="shared" si="315"/>
        <v>94940</v>
      </c>
      <c r="K261" s="376">
        <f t="shared" si="315"/>
        <v>87858</v>
      </c>
      <c r="L261" s="376">
        <f t="shared" si="315"/>
        <v>84871</v>
      </c>
      <c r="M261" s="376">
        <f t="shared" si="315"/>
        <v>85652</v>
      </c>
      <c r="N261" s="376">
        <f t="shared" si="315"/>
        <v>85167</v>
      </c>
      <c r="O261" s="376">
        <f t="shared" si="315"/>
        <v>84993</v>
      </c>
      <c r="P261" s="376">
        <f t="shared" si="315"/>
        <v>86036</v>
      </c>
      <c r="Q261" s="376">
        <f t="shared" si="315"/>
        <v>87001</v>
      </c>
      <c r="R261" s="376">
        <f t="shared" si="315"/>
        <v>88639</v>
      </c>
      <c r="S261" s="376">
        <f t="shared" si="315"/>
        <v>87764</v>
      </c>
      <c r="T261" s="376">
        <f t="shared" si="315"/>
        <v>90263</v>
      </c>
      <c r="U261" s="376">
        <f t="shared" si="315"/>
        <v>99650</v>
      </c>
      <c r="V261" s="376">
        <f t="shared" si="315"/>
        <v>104040</v>
      </c>
      <c r="W261" s="376">
        <f t="shared" si="315"/>
        <v>95317</v>
      </c>
      <c r="X261" s="376">
        <f t="shared" si="315"/>
        <v>102503</v>
      </c>
      <c r="Y261" s="376">
        <f t="shared" si="315"/>
        <v>102057</v>
      </c>
      <c r="Z261" s="376">
        <f t="shared" si="315"/>
        <v>106620</v>
      </c>
      <c r="AA261" s="376">
        <f t="shared" si="315"/>
        <v>116236</v>
      </c>
      <c r="AB261" s="376">
        <f t="shared" si="315"/>
        <v>118387</v>
      </c>
      <c r="AC261" s="376">
        <f t="shared" ca="1" si="315"/>
        <v>120044.59984475048</v>
      </c>
      <c r="AD261" s="376">
        <f t="shared" ca="1" si="315"/>
        <v>119110.79598075096</v>
      </c>
      <c r="AE261" s="376">
        <f t="shared" ca="1" si="315"/>
        <v>118354.60227800143</v>
      </c>
      <c r="AF261" s="376">
        <f t="shared" ca="1" si="315"/>
        <v>116394.28618925193</v>
      </c>
      <c r="AG261" s="429"/>
      <c r="AH261" s="376">
        <f t="shared" ref="AH261" si="316">AH250-AH209</f>
        <v>68829</v>
      </c>
      <c r="AI261" s="376">
        <f t="shared" ref="AI261:AM261" si="317">AI250-AI209</f>
        <v>79359</v>
      </c>
      <c r="AJ261" s="376">
        <f t="shared" si="317"/>
        <v>87198</v>
      </c>
      <c r="AK261" s="376">
        <f t="shared" si="317"/>
        <v>84871</v>
      </c>
      <c r="AL261" s="376">
        <f t="shared" si="317"/>
        <v>86036</v>
      </c>
      <c r="AM261" s="376">
        <f t="shared" si="317"/>
        <v>90263</v>
      </c>
      <c r="AN261" s="376">
        <f t="shared" ref="AN261:AS261" si="318">AN250-AN209</f>
        <v>102503</v>
      </c>
      <c r="AO261" s="376">
        <f t="shared" si="318"/>
        <v>118387</v>
      </c>
      <c r="AP261" s="376">
        <f t="shared" ca="1" si="318"/>
        <v>116394.28618925193</v>
      </c>
      <c r="AQ261" s="376">
        <f t="shared" ca="1" si="318"/>
        <v>118589.33468240383</v>
      </c>
      <c r="AR261" s="376">
        <f t="shared" ca="1" si="318"/>
        <v>120966.27224962739</v>
      </c>
      <c r="AS261" s="376">
        <f t="shared" ca="1" si="318"/>
        <v>124988.95861708513</v>
      </c>
    </row>
    <row r="262" spans="3:45" s="373" customFormat="1">
      <c r="C262" s="370"/>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c r="AD262" s="376"/>
      <c r="AE262" s="376"/>
      <c r="AF262" s="376"/>
      <c r="AG262" s="429"/>
      <c r="AH262" s="376"/>
      <c r="AI262" s="376"/>
      <c r="AJ262" s="376"/>
      <c r="AK262" s="376"/>
      <c r="AL262" s="376"/>
      <c r="AM262" s="376"/>
      <c r="AN262" s="376"/>
      <c r="AO262" s="376"/>
      <c r="AP262" s="376"/>
      <c r="AQ262" s="376"/>
      <c r="AR262" s="376"/>
      <c r="AS262" s="376"/>
    </row>
    <row r="263" spans="3:45" s="381" customFormat="1">
      <c r="C263" s="598"/>
      <c r="E263" s="381">
        <f t="shared" ref="E263:AF263" si="319">E250-E259</f>
        <v>0</v>
      </c>
      <c r="F263" s="381">
        <f t="shared" si="319"/>
        <v>0</v>
      </c>
      <c r="G263" s="381">
        <f t="shared" si="319"/>
        <v>0</v>
      </c>
      <c r="H263" s="381">
        <f t="shared" si="319"/>
        <v>0</v>
      </c>
      <c r="I263" s="381">
        <f t="shared" si="319"/>
        <v>0</v>
      </c>
      <c r="J263" s="381">
        <f t="shared" si="319"/>
        <v>0</v>
      </c>
      <c r="K263" s="381">
        <f t="shared" si="319"/>
        <v>0</v>
      </c>
      <c r="L263" s="381">
        <f t="shared" si="319"/>
        <v>0</v>
      </c>
      <c r="M263" s="381">
        <f t="shared" si="319"/>
        <v>0</v>
      </c>
      <c r="N263" s="381">
        <f t="shared" si="319"/>
        <v>0</v>
      </c>
      <c r="O263" s="381">
        <f t="shared" si="319"/>
        <v>0</v>
      </c>
      <c r="P263" s="381">
        <f t="shared" si="319"/>
        <v>0</v>
      </c>
      <c r="Q263" s="381">
        <f t="shared" si="319"/>
        <v>0</v>
      </c>
      <c r="R263" s="381">
        <f t="shared" si="319"/>
        <v>0</v>
      </c>
      <c r="S263" s="381">
        <f t="shared" si="319"/>
        <v>0</v>
      </c>
      <c r="T263" s="381">
        <f t="shared" si="319"/>
        <v>0</v>
      </c>
      <c r="U263" s="381">
        <f t="shared" si="319"/>
        <v>0</v>
      </c>
      <c r="V263" s="381">
        <f t="shared" si="319"/>
        <v>0</v>
      </c>
      <c r="W263" s="381">
        <f t="shared" si="319"/>
        <v>0</v>
      </c>
      <c r="X263" s="381">
        <f t="shared" si="319"/>
        <v>0</v>
      </c>
      <c r="Y263" s="381">
        <f t="shared" si="319"/>
        <v>0</v>
      </c>
      <c r="Z263" s="381">
        <f t="shared" si="319"/>
        <v>0</v>
      </c>
      <c r="AA263" s="381">
        <f t="shared" si="319"/>
        <v>0</v>
      </c>
      <c r="AB263" s="381">
        <f t="shared" si="319"/>
        <v>0</v>
      </c>
      <c r="AC263" s="381">
        <f t="shared" ca="1" si="319"/>
        <v>0</v>
      </c>
      <c r="AD263" s="381">
        <f t="shared" ca="1" si="319"/>
        <v>0</v>
      </c>
      <c r="AE263" s="381">
        <f t="shared" ca="1" si="319"/>
        <v>0</v>
      </c>
      <c r="AF263" s="381">
        <f t="shared" ca="1" si="319"/>
        <v>0</v>
      </c>
      <c r="AG263" s="448"/>
      <c r="AH263" s="381">
        <f t="shared" ref="AH263" si="320">AH250-AH259</f>
        <v>0</v>
      </c>
      <c r="AI263" s="381">
        <f t="shared" ref="AI263:AM263" si="321">AI250-AI259</f>
        <v>0</v>
      </c>
      <c r="AJ263" s="381">
        <f t="shared" si="321"/>
        <v>0</v>
      </c>
      <c r="AK263" s="381">
        <f t="shared" si="321"/>
        <v>0</v>
      </c>
      <c r="AL263" s="381">
        <f t="shared" si="321"/>
        <v>0</v>
      </c>
      <c r="AM263" s="381">
        <f t="shared" si="321"/>
        <v>0</v>
      </c>
      <c r="AN263" s="381">
        <f t="shared" ref="AN263:AS263" si="322">AN250-AN259</f>
        <v>0</v>
      </c>
      <c r="AO263" s="381">
        <f t="shared" si="322"/>
        <v>0</v>
      </c>
      <c r="AP263" s="381">
        <f t="shared" ca="1" si="322"/>
        <v>0</v>
      </c>
      <c r="AQ263" s="381">
        <f t="shared" ca="1" si="322"/>
        <v>0</v>
      </c>
      <c r="AR263" s="381">
        <f t="shared" ca="1" si="322"/>
        <v>0</v>
      </c>
      <c r="AS263" s="381">
        <f t="shared" ca="1" si="322"/>
        <v>0</v>
      </c>
    </row>
    <row r="264" spans="3:45" s="373" customFormat="1">
      <c r="C264" s="370"/>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G264" s="429"/>
      <c r="AH264" s="376"/>
      <c r="AI264" s="376"/>
      <c r="AJ264" s="376"/>
      <c r="AK264" s="376"/>
      <c r="AL264" s="376"/>
      <c r="AM264" s="376"/>
      <c r="AN264" s="376"/>
      <c r="AO264" s="376"/>
    </row>
    <row r="265" spans="3:45" s="373" customFormat="1">
      <c r="C265" s="599" t="s">
        <v>321</v>
      </c>
      <c r="D265" s="784"/>
      <c r="E265" s="597"/>
      <c r="F265" s="597"/>
      <c r="G265" s="597"/>
      <c r="H265" s="597"/>
      <c r="I265" s="597"/>
      <c r="J265" s="597"/>
      <c r="K265" s="597"/>
      <c r="L265" s="597"/>
      <c r="M265" s="597"/>
      <c r="N265" s="597"/>
      <c r="O265" s="597"/>
      <c r="P265" s="597"/>
      <c r="Q265" s="597"/>
      <c r="R265" s="597"/>
      <c r="S265" s="597"/>
      <c r="T265" s="597"/>
      <c r="U265" s="597"/>
      <c r="V265" s="597"/>
      <c r="W265" s="597"/>
      <c r="X265" s="597"/>
      <c r="Y265" s="597"/>
      <c r="Z265" s="597"/>
      <c r="AA265" s="597"/>
      <c r="AB265" s="597"/>
      <c r="AC265" s="784"/>
      <c r="AD265" s="784"/>
      <c r="AE265" s="784"/>
      <c r="AF265" s="784"/>
      <c r="AG265" s="785"/>
      <c r="AH265" s="597"/>
      <c r="AI265" s="597"/>
      <c r="AJ265" s="597"/>
      <c r="AK265" s="597"/>
      <c r="AL265" s="597"/>
      <c r="AM265" s="597"/>
      <c r="AN265" s="597"/>
      <c r="AO265" s="597"/>
      <c r="AP265" s="784"/>
      <c r="AQ265" s="784"/>
      <c r="AR265" s="784"/>
      <c r="AS265" s="786"/>
    </row>
    <row r="266" spans="3:45" s="373" customFormat="1">
      <c r="C266" s="600" t="s">
        <v>322</v>
      </c>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G266" s="429"/>
      <c r="AH266" s="376"/>
      <c r="AI266" s="376"/>
      <c r="AJ266" s="376"/>
      <c r="AK266" s="376"/>
      <c r="AL266" s="376"/>
      <c r="AM266" s="376"/>
      <c r="AN266" s="376"/>
      <c r="AO266" s="376"/>
      <c r="AS266" s="787"/>
    </row>
    <row r="267" spans="3:45" s="373" customFormat="1">
      <c r="C267" s="601" t="s">
        <v>197</v>
      </c>
      <c r="E267" s="376"/>
      <c r="F267" s="596">
        <f t="shared" ref="F267:AF267" si="323">F43</f>
        <v>1330</v>
      </c>
      <c r="G267" s="596">
        <f t="shared" si="323"/>
        <v>3378</v>
      </c>
      <c r="H267" s="596">
        <f t="shared" si="323"/>
        <v>3562</v>
      </c>
      <c r="I267" s="596">
        <f t="shared" si="323"/>
        <v>2964</v>
      </c>
      <c r="J267" s="596">
        <f t="shared" si="323"/>
        <v>2808</v>
      </c>
      <c r="K267" s="596">
        <f t="shared" si="323"/>
        <v>4516</v>
      </c>
      <c r="L267" s="596">
        <f t="shared" si="323"/>
        <v>-687</v>
      </c>
      <c r="M267" s="596">
        <f t="shared" si="323"/>
        <v>4454</v>
      </c>
      <c r="N267" s="596">
        <f t="shared" si="323"/>
        <v>5006</v>
      </c>
      <c r="O267" s="596">
        <f t="shared" si="323"/>
        <v>6398</v>
      </c>
      <c r="P267" s="596">
        <f t="shared" si="323"/>
        <v>5195</v>
      </c>
      <c r="Q267" s="596">
        <f t="shared" si="323"/>
        <v>3974</v>
      </c>
      <c r="R267" s="596">
        <f t="shared" si="323"/>
        <v>4179</v>
      </c>
      <c r="S267" s="596">
        <f t="shared" si="323"/>
        <v>5990</v>
      </c>
      <c r="T267" s="596">
        <f t="shared" si="323"/>
        <v>6905</v>
      </c>
      <c r="U267" s="596">
        <f t="shared" si="323"/>
        <v>5661</v>
      </c>
      <c r="V267" s="596">
        <f t="shared" si="323"/>
        <v>5105</v>
      </c>
      <c r="W267" s="596">
        <f t="shared" si="323"/>
        <v>4276</v>
      </c>
      <c r="X267" s="596">
        <f t="shared" si="323"/>
        <v>5857</v>
      </c>
      <c r="Y267" s="596">
        <f t="shared" si="323"/>
        <v>3361</v>
      </c>
      <c r="Z267" s="596">
        <f t="shared" si="323"/>
        <v>5061</v>
      </c>
      <c r="AA267" s="596">
        <f t="shared" si="323"/>
        <v>6823</v>
      </c>
      <c r="AB267" s="596">
        <f t="shared" si="323"/>
        <v>4623</v>
      </c>
      <c r="AC267" s="596">
        <f t="shared" ca="1" si="323"/>
        <v>2665.0810947504788</v>
      </c>
      <c r="AD267" s="596">
        <f t="shared" ca="1" si="323"/>
        <v>1678.9267610004792</v>
      </c>
      <c r="AE267" s="596">
        <f t="shared" ca="1" si="323"/>
        <v>1316.4600472504794</v>
      </c>
      <c r="AF267" s="596">
        <f t="shared" ca="1" si="323"/>
        <v>988.71203625047883</v>
      </c>
      <c r="AG267" s="429"/>
      <c r="AH267" s="376"/>
      <c r="AI267" s="596">
        <f t="shared" ref="AI267:AS267" si="324">AI43</f>
        <v>11420</v>
      </c>
      <c r="AJ267" s="596">
        <f t="shared" si="324"/>
        <v>10316</v>
      </c>
      <c r="AK267" s="596">
        <f t="shared" si="324"/>
        <v>9601</v>
      </c>
      <c r="AL267" s="596">
        <f t="shared" si="324"/>
        <v>21053</v>
      </c>
      <c r="AM267" s="596">
        <f t="shared" si="324"/>
        <v>21048</v>
      </c>
      <c r="AN267" s="596">
        <f t="shared" si="324"/>
        <v>20899</v>
      </c>
      <c r="AO267" s="596">
        <f t="shared" si="324"/>
        <v>19868</v>
      </c>
      <c r="AP267" s="596">
        <f t="shared" ca="1" si="324"/>
        <v>6649.1799392519215</v>
      </c>
      <c r="AQ267" s="596">
        <f t="shared" ca="1" si="324"/>
        <v>7184.2411900269162</v>
      </c>
      <c r="AR267" s="596">
        <f t="shared" ca="1" si="324"/>
        <v>9070.3922465672949</v>
      </c>
      <c r="AS267" s="788">
        <f t="shared" ca="1" si="324"/>
        <v>10109.846700070131</v>
      </c>
    </row>
    <row r="268" spans="3:45" s="373" customFormat="1">
      <c r="C268" s="602" t="s">
        <v>323</v>
      </c>
      <c r="E268" s="376"/>
      <c r="F268" s="596">
        <f t="shared" ref="F268" si="325">F254-E254</f>
        <v>221</v>
      </c>
      <c r="G268" s="596">
        <f t="shared" ref="G268" si="326">G254-F254</f>
        <v>-1165</v>
      </c>
      <c r="H268" s="596">
        <f t="shared" ref="H268" si="327">H254-G254</f>
        <v>513</v>
      </c>
      <c r="I268" s="596">
        <f t="shared" ref="I268" si="328">I254-H254</f>
        <v>535</v>
      </c>
      <c r="J268" s="596">
        <f t="shared" ref="J268" si="329">J254-I254</f>
        <v>106</v>
      </c>
      <c r="K268" s="596">
        <f t="shared" ref="K268" si="330">K254-J254</f>
        <v>560</v>
      </c>
      <c r="L268" s="596">
        <f t="shared" ref="L268" si="331">L254-K254</f>
        <v>53</v>
      </c>
      <c r="M268" s="596">
        <f t="shared" ref="M268" si="332">M254-L254</f>
        <v>-3138</v>
      </c>
      <c r="N268" s="596">
        <f t="shared" ref="N268" si="333">N254-M254</f>
        <v>102</v>
      </c>
      <c r="O268" s="596">
        <f t="shared" ref="O268" si="334">O254-N254</f>
        <v>-181</v>
      </c>
      <c r="P268" s="596">
        <f t="shared" ref="P268" si="335">P254-O254</f>
        <v>180</v>
      </c>
      <c r="Q268" s="596">
        <f t="shared" ref="Q268" si="336">Q254-P254</f>
        <v>-144</v>
      </c>
      <c r="R268" s="596">
        <f t="shared" ref="R268" si="337">R254-Q254</f>
        <v>262</v>
      </c>
      <c r="S268" s="596">
        <f t="shared" ref="S268" si="338">S254-R254</f>
        <v>-87</v>
      </c>
      <c r="T268" s="596">
        <f t="shared" ref="T268" si="339">T254-S254</f>
        <v>348</v>
      </c>
      <c r="U268" s="596">
        <f t="shared" ref="U268" si="340">U254-T254</f>
        <v>-17</v>
      </c>
      <c r="V268" s="596">
        <f t="shared" ref="V268" si="341">V254-U254</f>
        <v>696</v>
      </c>
      <c r="W268" s="596">
        <f t="shared" ref="W268" si="342">W254-V254</f>
        <v>272</v>
      </c>
      <c r="X268" s="596">
        <f t="shared" ref="X268" si="343">X254-W254</f>
        <v>848</v>
      </c>
      <c r="Y268" s="596">
        <f t="shared" ref="Y268" si="344">Y254-X254</f>
        <v>-433</v>
      </c>
      <c r="Z268" s="596">
        <f t="shared" ref="Z268" si="345">Z254-Y254</f>
        <v>-139</v>
      </c>
      <c r="AA268" s="596">
        <f t="shared" ref="AA268" si="346">AA254-Z254</f>
        <v>-252</v>
      </c>
      <c r="AB268" s="596">
        <f t="shared" ref="AB268" si="347">AB254-AA254</f>
        <v>-352</v>
      </c>
      <c r="AC268" s="596">
        <f t="shared" ref="AC268" si="348">AC254-AB254</f>
        <v>0</v>
      </c>
      <c r="AD268" s="596">
        <f t="shared" ref="AD268" si="349">AD254-AC254</f>
        <v>0</v>
      </c>
      <c r="AE268" s="596">
        <f t="shared" ref="AE268" si="350">AE254-AD254</f>
        <v>0</v>
      </c>
      <c r="AF268" s="596">
        <f t="shared" ref="AF268" si="351">AF254-AE254</f>
        <v>0</v>
      </c>
      <c r="AG268" s="429"/>
      <c r="AH268" s="376"/>
      <c r="AI268" s="596">
        <f t="shared" ref="AI268" si="352">AI254-AH254</f>
        <v>-2838</v>
      </c>
      <c r="AJ268" s="596">
        <f t="shared" ref="AJ268" si="353">AJ254-AI254</f>
        <v>306</v>
      </c>
      <c r="AK268" s="596">
        <f t="shared" ref="AK268" si="354">AK254-AJ254</f>
        <v>1254</v>
      </c>
      <c r="AL268" s="596">
        <f t="shared" ref="AL268" si="355">AL254-AK254</f>
        <v>-3037</v>
      </c>
      <c r="AM268" s="596">
        <f t="shared" ref="AM268" si="356">AM254-AL254</f>
        <v>379</v>
      </c>
      <c r="AN268" s="596">
        <f t="shared" ref="AN268:AS268" si="357">AN254-AM254</f>
        <v>1799</v>
      </c>
      <c r="AO268" s="596">
        <f t="shared" si="357"/>
        <v>-1176</v>
      </c>
      <c r="AP268" s="596">
        <f t="shared" si="357"/>
        <v>0</v>
      </c>
      <c r="AQ268" s="596">
        <f t="shared" si="357"/>
        <v>0</v>
      </c>
      <c r="AR268" s="596">
        <f t="shared" si="357"/>
        <v>0</v>
      </c>
      <c r="AS268" s="788">
        <f t="shared" si="357"/>
        <v>0</v>
      </c>
    </row>
    <row r="269" spans="3:45" s="373" customFormat="1">
      <c r="C269" s="602" t="s">
        <v>324</v>
      </c>
      <c r="E269" s="376"/>
      <c r="F269" s="596">
        <f t="shared" ref="F269:AF269" si="358">SUM(F36)*0.79</f>
        <v>377.62</v>
      </c>
      <c r="G269" s="596">
        <f t="shared" si="358"/>
        <v>-9.48</v>
      </c>
      <c r="H269" s="596">
        <f t="shared" si="358"/>
        <v>14.22</v>
      </c>
      <c r="I269" s="596">
        <f t="shared" si="358"/>
        <v>199.08</v>
      </c>
      <c r="J269" s="596">
        <f t="shared" si="358"/>
        <v>270.18</v>
      </c>
      <c r="K269" s="596">
        <f t="shared" si="358"/>
        <v>668.34</v>
      </c>
      <c r="L269" s="596">
        <f t="shared" si="358"/>
        <v>956.69</v>
      </c>
      <c r="M269" s="596">
        <f t="shared" si="358"/>
        <v>507.97</v>
      </c>
      <c r="N269" s="596">
        <f t="shared" si="358"/>
        <v>-160.37</v>
      </c>
      <c r="O269" s="596">
        <f t="shared" si="358"/>
        <v>-59.25</v>
      </c>
      <c r="P269" s="596">
        <f t="shared" si="358"/>
        <v>-387.1</v>
      </c>
      <c r="Q269" s="596">
        <f t="shared" si="358"/>
        <v>342.86</v>
      </c>
      <c r="R269" s="596">
        <f t="shared" si="358"/>
        <v>134.30000000000001</v>
      </c>
      <c r="S269" s="596">
        <f t="shared" si="358"/>
        <v>251.22</v>
      </c>
      <c r="T269" s="596">
        <f t="shared" si="358"/>
        <v>487.43</v>
      </c>
      <c r="U269" s="596">
        <f t="shared" si="358"/>
        <v>-87.69</v>
      </c>
      <c r="V269" s="596">
        <f t="shared" si="358"/>
        <v>210.93</v>
      </c>
      <c r="W269" s="596">
        <f t="shared" si="358"/>
        <v>44.24</v>
      </c>
      <c r="X269" s="596">
        <f t="shared" si="358"/>
        <v>1336.68</v>
      </c>
      <c r="Y269" s="596">
        <f t="shared" si="358"/>
        <v>290.72000000000003</v>
      </c>
      <c r="Z269" s="596">
        <f t="shared" si="358"/>
        <v>233.05</v>
      </c>
      <c r="AA269" s="596">
        <f t="shared" si="358"/>
        <v>1348.53</v>
      </c>
      <c r="AB269" s="596">
        <f t="shared" si="358"/>
        <v>283.61</v>
      </c>
      <c r="AC269" s="596">
        <f t="shared" si="358"/>
        <v>316</v>
      </c>
      <c r="AD269" s="596">
        <f t="shared" si="358"/>
        <v>316</v>
      </c>
      <c r="AE269" s="596">
        <f t="shared" si="358"/>
        <v>316</v>
      </c>
      <c r="AF269" s="596">
        <f t="shared" si="358"/>
        <v>316</v>
      </c>
      <c r="AG269" s="429"/>
      <c r="AH269" s="376"/>
      <c r="AI269" s="596">
        <f t="shared" ref="AI269:AS269" si="359">SUM(AI36)*0.79</f>
        <v>248.85000000000002</v>
      </c>
      <c r="AJ269" s="596">
        <f t="shared" si="359"/>
        <v>399.74</v>
      </c>
      <c r="AK269" s="596">
        <f t="shared" si="359"/>
        <v>2094.29</v>
      </c>
      <c r="AL269" s="596">
        <f t="shared" si="359"/>
        <v>-98.75</v>
      </c>
      <c r="AM269" s="596">
        <f t="shared" si="359"/>
        <v>1215.81</v>
      </c>
      <c r="AN269" s="596">
        <f t="shared" si="359"/>
        <v>1504.16</v>
      </c>
      <c r="AO269" s="596">
        <f t="shared" si="359"/>
        <v>2155.9100000000003</v>
      </c>
      <c r="AP269" s="596">
        <f t="shared" si="359"/>
        <v>1264</v>
      </c>
      <c r="AQ269" s="596">
        <f t="shared" si="359"/>
        <v>1580</v>
      </c>
      <c r="AR269" s="596">
        <f t="shared" si="359"/>
        <v>1580</v>
      </c>
      <c r="AS269" s="788">
        <f t="shared" si="359"/>
        <v>1580</v>
      </c>
    </row>
    <row r="270" spans="3:45" s="373" customFormat="1">
      <c r="C270" s="603" t="s">
        <v>325</v>
      </c>
      <c r="E270" s="376"/>
      <c r="F270" s="597">
        <f t="shared" ref="F270:AF270" si="360">F267+F268-F269</f>
        <v>1173.3800000000001</v>
      </c>
      <c r="G270" s="597">
        <f t="shared" si="360"/>
        <v>2222.48</v>
      </c>
      <c r="H270" s="597">
        <f t="shared" si="360"/>
        <v>4060.78</v>
      </c>
      <c r="I270" s="597">
        <f t="shared" si="360"/>
        <v>3299.92</v>
      </c>
      <c r="J270" s="597">
        <f t="shared" si="360"/>
        <v>2643.82</v>
      </c>
      <c r="K270" s="597">
        <f t="shared" si="360"/>
        <v>4407.66</v>
      </c>
      <c r="L270" s="597">
        <f t="shared" si="360"/>
        <v>-1590.69</v>
      </c>
      <c r="M270" s="597">
        <f t="shared" si="360"/>
        <v>808.03</v>
      </c>
      <c r="N270" s="597">
        <f t="shared" si="360"/>
        <v>5268.37</v>
      </c>
      <c r="O270" s="597">
        <f t="shared" si="360"/>
        <v>6276.25</v>
      </c>
      <c r="P270" s="597">
        <f t="shared" si="360"/>
        <v>5762.1</v>
      </c>
      <c r="Q270" s="597">
        <f t="shared" si="360"/>
        <v>3487.14</v>
      </c>
      <c r="R270" s="597">
        <f t="shared" si="360"/>
        <v>4306.7</v>
      </c>
      <c r="S270" s="597">
        <f t="shared" si="360"/>
        <v>5651.78</v>
      </c>
      <c r="T270" s="597">
        <f t="shared" si="360"/>
        <v>6765.57</v>
      </c>
      <c r="U270" s="597">
        <f t="shared" si="360"/>
        <v>5731.69</v>
      </c>
      <c r="V270" s="597">
        <f t="shared" si="360"/>
        <v>5590.07</v>
      </c>
      <c r="W270" s="597">
        <f t="shared" si="360"/>
        <v>4503.76</v>
      </c>
      <c r="X270" s="597">
        <f t="shared" si="360"/>
        <v>5368.32</v>
      </c>
      <c r="Y270" s="597">
        <f t="shared" si="360"/>
        <v>2637.2799999999997</v>
      </c>
      <c r="Z270" s="597">
        <f t="shared" si="360"/>
        <v>4688.95</v>
      </c>
      <c r="AA270" s="597">
        <f t="shared" si="360"/>
        <v>5222.47</v>
      </c>
      <c r="AB270" s="597">
        <f t="shared" si="360"/>
        <v>3987.39</v>
      </c>
      <c r="AC270" s="597">
        <f t="shared" ca="1" si="360"/>
        <v>2349.0810947504788</v>
      </c>
      <c r="AD270" s="597">
        <f t="shared" ca="1" si="360"/>
        <v>1362.9267610004792</v>
      </c>
      <c r="AE270" s="597">
        <f t="shared" ca="1" si="360"/>
        <v>1000.4600472504794</v>
      </c>
      <c r="AF270" s="597">
        <f t="shared" ca="1" si="360"/>
        <v>672.71203625047883</v>
      </c>
      <c r="AG270" s="429"/>
      <c r="AH270" s="376"/>
      <c r="AI270" s="597">
        <f t="shared" ref="AI270:AM270" si="361">AI267+AI268-AI269</f>
        <v>8333.15</v>
      </c>
      <c r="AJ270" s="597">
        <f t="shared" si="361"/>
        <v>10222.26</v>
      </c>
      <c r="AK270" s="597">
        <f t="shared" si="361"/>
        <v>8760.7099999999991</v>
      </c>
      <c r="AL270" s="597">
        <f t="shared" si="361"/>
        <v>18114.75</v>
      </c>
      <c r="AM270" s="597">
        <f t="shared" si="361"/>
        <v>20211.189999999999</v>
      </c>
      <c r="AN270" s="597">
        <f t="shared" ref="AN270:AS270" si="362">AN267+AN268-AN269</f>
        <v>21193.84</v>
      </c>
      <c r="AO270" s="597">
        <f t="shared" si="362"/>
        <v>16536.09</v>
      </c>
      <c r="AP270" s="597">
        <f t="shared" ca="1" si="362"/>
        <v>5385.1799392519215</v>
      </c>
      <c r="AQ270" s="597">
        <f t="shared" ca="1" si="362"/>
        <v>5604.2411900269162</v>
      </c>
      <c r="AR270" s="597">
        <f t="shared" ca="1" si="362"/>
        <v>7490.3922465672949</v>
      </c>
      <c r="AS270" s="789">
        <f t="shared" ca="1" si="362"/>
        <v>8529.8467000701312</v>
      </c>
    </row>
    <row r="271" spans="3:45" s="373" customFormat="1">
      <c r="C271" s="603"/>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c r="AD271" s="376"/>
      <c r="AE271" s="376"/>
      <c r="AF271" s="376"/>
      <c r="AG271" s="429"/>
      <c r="AH271" s="376"/>
      <c r="AI271" s="376"/>
      <c r="AJ271" s="376"/>
      <c r="AK271" s="376"/>
      <c r="AL271" s="376"/>
      <c r="AM271" s="376"/>
      <c r="AN271" s="376"/>
      <c r="AO271" s="376"/>
      <c r="AP271" s="376"/>
      <c r="AQ271" s="376"/>
      <c r="AR271" s="376"/>
      <c r="AS271" s="790"/>
    </row>
    <row r="272" spans="3:45" s="373" customFormat="1">
      <c r="C272" s="602" t="s">
        <v>326</v>
      </c>
      <c r="E272" s="376"/>
      <c r="F272" s="596">
        <f t="shared" ref="F272:AF272" si="363">-F37*0.79</f>
        <v>99.54</v>
      </c>
      <c r="G272" s="596">
        <f t="shared" si="363"/>
        <v>104.28</v>
      </c>
      <c r="H272" s="596">
        <f t="shared" si="363"/>
        <v>286.77000000000004</v>
      </c>
      <c r="I272" s="596">
        <f t="shared" si="363"/>
        <v>54.510000000000005</v>
      </c>
      <c r="J272" s="596">
        <f t="shared" si="363"/>
        <v>-306.52000000000004</v>
      </c>
      <c r="K272" s="596">
        <f t="shared" si="363"/>
        <v>45.03</v>
      </c>
      <c r="L272" s="596">
        <f t="shared" si="363"/>
        <v>482.69</v>
      </c>
      <c r="M272" s="596">
        <f t="shared" si="363"/>
        <v>80.58</v>
      </c>
      <c r="N272" s="596">
        <f t="shared" si="363"/>
        <v>-362.61</v>
      </c>
      <c r="O272" s="596">
        <f t="shared" si="363"/>
        <v>104.28</v>
      </c>
      <c r="P272" s="596">
        <f t="shared" si="363"/>
        <v>78.210000000000008</v>
      </c>
      <c r="Q272" s="596">
        <f t="shared" si="363"/>
        <v>48.190000000000005</v>
      </c>
      <c r="R272" s="596">
        <f t="shared" si="363"/>
        <v>49.77</v>
      </c>
      <c r="S272" s="596">
        <f t="shared" si="363"/>
        <v>36.340000000000003</v>
      </c>
      <c r="T272" s="596">
        <f t="shared" si="363"/>
        <v>-516.66</v>
      </c>
      <c r="U272" s="596">
        <f t="shared" si="363"/>
        <v>247.27</v>
      </c>
      <c r="V272" s="596">
        <f t="shared" si="363"/>
        <v>22.91</v>
      </c>
      <c r="W272" s="596">
        <f t="shared" si="363"/>
        <v>58.46</v>
      </c>
      <c r="X272" s="596">
        <f t="shared" si="363"/>
        <v>69.52000000000001</v>
      </c>
      <c r="Y272" s="596">
        <f t="shared" si="363"/>
        <v>123.24000000000001</v>
      </c>
      <c r="Z272" s="596">
        <f t="shared" si="363"/>
        <v>75.84</v>
      </c>
      <c r="AA272" s="596">
        <f t="shared" si="363"/>
        <v>60.040000000000006</v>
      </c>
      <c r="AB272" s="596">
        <f t="shared" si="363"/>
        <v>121.66000000000001</v>
      </c>
      <c r="AC272" s="596">
        <f t="shared" ca="1" si="363"/>
        <v>190.97934000000001</v>
      </c>
      <c r="AD272" s="596">
        <f t="shared" ca="1" si="363"/>
        <v>189.09321500000001</v>
      </c>
      <c r="AE272" s="596">
        <f t="shared" ca="1" si="363"/>
        <v>184.54084000000003</v>
      </c>
      <c r="AF272" s="596">
        <f t="shared" ca="1" si="363"/>
        <v>177.33398600000001</v>
      </c>
      <c r="AG272" s="429"/>
      <c r="AH272" s="376"/>
      <c r="AI272" s="596">
        <f t="shared" ref="AI272:AS272" si="364">-AI37*0.79</f>
        <v>82.95</v>
      </c>
      <c r="AJ272" s="596">
        <f t="shared" si="364"/>
        <v>555.37</v>
      </c>
      <c r="AK272" s="596">
        <f t="shared" si="364"/>
        <v>275.71000000000004</v>
      </c>
      <c r="AL272" s="596">
        <f t="shared" si="364"/>
        <v>-99.54</v>
      </c>
      <c r="AM272" s="596">
        <f t="shared" si="364"/>
        <v>-382.36</v>
      </c>
      <c r="AN272" s="596">
        <f t="shared" si="364"/>
        <v>398.16</v>
      </c>
      <c r="AO272" s="596">
        <f t="shared" si="364"/>
        <v>380.78000000000003</v>
      </c>
      <c r="AP272" s="596">
        <f t="shared" ca="1" si="364"/>
        <v>741.94738100000006</v>
      </c>
      <c r="AQ272" s="596">
        <f t="shared" ca="1" si="364"/>
        <v>686.08592799999997</v>
      </c>
      <c r="AR272" s="596">
        <f t="shared" ca="1" si="364"/>
        <v>664.52090299999998</v>
      </c>
      <c r="AS272" s="788">
        <f t="shared" ca="1" si="364"/>
        <v>608.40522799999997</v>
      </c>
    </row>
    <row r="273" spans="3:45" s="373" customFormat="1">
      <c r="C273" s="603" t="s">
        <v>327</v>
      </c>
      <c r="E273" s="376"/>
      <c r="F273" s="597">
        <f t="shared" ref="F273:AF273" si="365">F270+F272</f>
        <v>1272.92</v>
      </c>
      <c r="G273" s="597">
        <f t="shared" si="365"/>
        <v>2326.7600000000002</v>
      </c>
      <c r="H273" s="597">
        <f t="shared" si="365"/>
        <v>4347.55</v>
      </c>
      <c r="I273" s="597">
        <f t="shared" si="365"/>
        <v>3354.4300000000003</v>
      </c>
      <c r="J273" s="597">
        <f t="shared" si="365"/>
        <v>2337.3000000000002</v>
      </c>
      <c r="K273" s="597">
        <f t="shared" si="365"/>
        <v>4452.6899999999996</v>
      </c>
      <c r="L273" s="597">
        <f t="shared" si="365"/>
        <v>-1108</v>
      </c>
      <c r="M273" s="597">
        <f t="shared" si="365"/>
        <v>888.61</v>
      </c>
      <c r="N273" s="597">
        <f t="shared" si="365"/>
        <v>4905.76</v>
      </c>
      <c r="O273" s="597">
        <f t="shared" si="365"/>
        <v>6380.53</v>
      </c>
      <c r="P273" s="597">
        <f t="shared" si="365"/>
        <v>5840.31</v>
      </c>
      <c r="Q273" s="597">
        <f t="shared" si="365"/>
        <v>3535.33</v>
      </c>
      <c r="R273" s="597">
        <f t="shared" si="365"/>
        <v>4356.47</v>
      </c>
      <c r="S273" s="597">
        <f t="shared" si="365"/>
        <v>5688.12</v>
      </c>
      <c r="T273" s="597">
        <f t="shared" si="365"/>
        <v>6248.91</v>
      </c>
      <c r="U273" s="597">
        <f t="shared" si="365"/>
        <v>5978.96</v>
      </c>
      <c r="V273" s="597">
        <f t="shared" si="365"/>
        <v>5612.98</v>
      </c>
      <c r="W273" s="597">
        <f t="shared" si="365"/>
        <v>4562.22</v>
      </c>
      <c r="X273" s="597">
        <f t="shared" si="365"/>
        <v>5437.84</v>
      </c>
      <c r="Y273" s="597">
        <f t="shared" si="365"/>
        <v>2760.5199999999995</v>
      </c>
      <c r="Z273" s="597">
        <f t="shared" si="365"/>
        <v>4764.79</v>
      </c>
      <c r="AA273" s="597">
        <f t="shared" si="365"/>
        <v>5282.51</v>
      </c>
      <c r="AB273" s="597">
        <f t="shared" si="365"/>
        <v>4109.05</v>
      </c>
      <c r="AC273" s="597">
        <f t="shared" ca="1" si="365"/>
        <v>2540.0604347504786</v>
      </c>
      <c r="AD273" s="597">
        <f t="shared" ca="1" si="365"/>
        <v>1552.0199760004793</v>
      </c>
      <c r="AE273" s="597">
        <f t="shared" ca="1" si="365"/>
        <v>1185.0008872504795</v>
      </c>
      <c r="AF273" s="597">
        <f t="shared" ca="1" si="365"/>
        <v>850.04602225047881</v>
      </c>
      <c r="AG273" s="429"/>
      <c r="AH273" s="376"/>
      <c r="AI273" s="597">
        <f t="shared" ref="AI273:AM273" si="366">AI270+AI272</f>
        <v>8416.1</v>
      </c>
      <c r="AJ273" s="597">
        <f t="shared" si="366"/>
        <v>10777.630000000001</v>
      </c>
      <c r="AK273" s="597">
        <f t="shared" si="366"/>
        <v>9036.4199999999983</v>
      </c>
      <c r="AL273" s="597">
        <f t="shared" si="366"/>
        <v>18015.21</v>
      </c>
      <c r="AM273" s="597">
        <f t="shared" si="366"/>
        <v>19828.829999999998</v>
      </c>
      <c r="AN273" s="597">
        <f t="shared" ref="AN273:AS273" si="367">AN270+AN272</f>
        <v>21592</v>
      </c>
      <c r="AO273" s="597">
        <f t="shared" si="367"/>
        <v>16916.87</v>
      </c>
      <c r="AP273" s="597">
        <f t="shared" ca="1" si="367"/>
        <v>6127.1273202519214</v>
      </c>
      <c r="AQ273" s="597">
        <f t="shared" ca="1" si="367"/>
        <v>6290.3271180269167</v>
      </c>
      <c r="AR273" s="597">
        <f t="shared" ca="1" si="367"/>
        <v>8154.9131495672946</v>
      </c>
      <c r="AS273" s="789">
        <f t="shared" ca="1" si="367"/>
        <v>9138.2519280701308</v>
      </c>
    </row>
    <row r="274" spans="3:45" s="373" customFormat="1">
      <c r="C274" s="604"/>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c r="AD274" s="376"/>
      <c r="AE274" s="376"/>
      <c r="AF274" s="376"/>
      <c r="AG274" s="429"/>
      <c r="AH274" s="376"/>
      <c r="AI274" s="376"/>
      <c r="AJ274" s="376"/>
      <c r="AK274" s="376"/>
      <c r="AL274" s="376"/>
      <c r="AM274" s="376"/>
      <c r="AN274" s="376"/>
      <c r="AO274" s="376"/>
      <c r="AP274" s="376"/>
      <c r="AQ274" s="376"/>
      <c r="AR274" s="376"/>
      <c r="AS274" s="790"/>
    </row>
    <row r="275" spans="3:45" s="373" customFormat="1">
      <c r="C275" s="600" t="s">
        <v>328</v>
      </c>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c r="AD275" s="376"/>
      <c r="AE275" s="376"/>
      <c r="AF275" s="376"/>
      <c r="AG275" s="429"/>
      <c r="AH275" s="376"/>
      <c r="AI275" s="376"/>
      <c r="AJ275" s="376"/>
      <c r="AK275" s="376"/>
      <c r="AL275" s="376"/>
      <c r="AM275" s="376"/>
      <c r="AN275" s="376"/>
      <c r="AO275" s="376"/>
      <c r="AP275" s="376"/>
      <c r="AQ275" s="376"/>
      <c r="AR275" s="376"/>
      <c r="AS275" s="790"/>
    </row>
    <row r="276" spans="3:45" s="373" customFormat="1">
      <c r="C276" s="605" t="s">
        <v>76</v>
      </c>
      <c r="E276" s="376"/>
      <c r="F276" s="596">
        <f t="shared" ref="F276:AF276" si="368">F32</f>
        <v>1318</v>
      </c>
      <c r="G276" s="596">
        <f t="shared" si="368"/>
        <v>4462</v>
      </c>
      <c r="H276" s="596">
        <f t="shared" si="368"/>
        <v>4785</v>
      </c>
      <c r="I276" s="596">
        <f t="shared" si="368"/>
        <v>3632</v>
      </c>
      <c r="J276" s="596">
        <f t="shared" si="368"/>
        <v>3842</v>
      </c>
      <c r="K276" s="596">
        <f t="shared" si="368"/>
        <v>5141</v>
      </c>
      <c r="L276" s="596">
        <f t="shared" si="368"/>
        <v>5435</v>
      </c>
      <c r="M276" s="596">
        <f t="shared" si="368"/>
        <v>4470</v>
      </c>
      <c r="N276" s="596">
        <f t="shared" si="368"/>
        <v>5273</v>
      </c>
      <c r="O276" s="596">
        <f t="shared" si="368"/>
        <v>7349</v>
      </c>
      <c r="P276" s="596">
        <f t="shared" si="368"/>
        <v>6224</v>
      </c>
      <c r="Q276" s="596">
        <f t="shared" si="368"/>
        <v>4174</v>
      </c>
      <c r="R276" s="596">
        <f t="shared" si="368"/>
        <v>4617</v>
      </c>
      <c r="S276" s="596">
        <f t="shared" si="368"/>
        <v>6447</v>
      </c>
      <c r="T276" s="596">
        <f t="shared" si="368"/>
        <v>6797</v>
      </c>
      <c r="U276" s="596">
        <f t="shared" si="368"/>
        <v>7038</v>
      </c>
      <c r="V276" s="596">
        <f t="shared" si="368"/>
        <v>5697</v>
      </c>
      <c r="W276" s="596">
        <f t="shared" si="368"/>
        <v>5059</v>
      </c>
      <c r="X276" s="596">
        <f t="shared" si="368"/>
        <v>5884</v>
      </c>
      <c r="Y276" s="596">
        <f t="shared" si="368"/>
        <v>3694</v>
      </c>
      <c r="Z276" s="596">
        <f t="shared" si="368"/>
        <v>5546</v>
      </c>
      <c r="AA276" s="596">
        <f t="shared" si="368"/>
        <v>5227</v>
      </c>
      <c r="AB276" s="596">
        <f t="shared" si="368"/>
        <v>4989</v>
      </c>
      <c r="AC276" s="596">
        <f t="shared" si="368"/>
        <v>3215.266373101872</v>
      </c>
      <c r="AD276" s="596">
        <f t="shared" si="368"/>
        <v>1964.5822481018722</v>
      </c>
      <c r="AE276" s="596">
        <f t="shared" si="368"/>
        <v>1500.0011231018725</v>
      </c>
      <c r="AF276" s="596">
        <f t="shared" si="368"/>
        <v>1076.007623101872</v>
      </c>
      <c r="AG276" s="429"/>
      <c r="AH276" s="376"/>
      <c r="AI276" s="596">
        <f t="shared" ref="AI276:AS276" si="369">AI32</f>
        <v>14002</v>
      </c>
      <c r="AJ276" s="596">
        <f t="shared" si="369"/>
        <v>13133</v>
      </c>
      <c r="AK276" s="596">
        <f t="shared" si="369"/>
        <v>18050</v>
      </c>
      <c r="AL276" s="596">
        <f t="shared" si="369"/>
        <v>23316</v>
      </c>
      <c r="AM276" s="596">
        <f t="shared" si="369"/>
        <v>22035</v>
      </c>
      <c r="AN276" s="596">
        <f t="shared" si="369"/>
        <v>23678</v>
      </c>
      <c r="AO276" s="596">
        <f t="shared" si="369"/>
        <v>19456</v>
      </c>
      <c r="AP276" s="596">
        <f t="shared" si="369"/>
        <v>7755.8573674074942</v>
      </c>
      <c r="AQ276" s="596">
        <f t="shared" si="369"/>
        <v>7962.4393899074894</v>
      </c>
      <c r="AR276" s="596">
        <f t="shared" si="369"/>
        <v>10322.674872869993</v>
      </c>
      <c r="AS276" s="788">
        <f t="shared" si="369"/>
        <v>11567.407503886243</v>
      </c>
    </row>
    <row r="277" spans="3:45" s="373" customFormat="1">
      <c r="C277" s="606" t="s">
        <v>329</v>
      </c>
      <c r="E277" s="376"/>
      <c r="F277" s="596">
        <f t="shared" ref="F277:AF277" si="370">F285</f>
        <v>266.08</v>
      </c>
      <c r="G277" s="596">
        <f t="shared" si="370"/>
        <v>970.24</v>
      </c>
      <c r="H277" s="596">
        <f t="shared" si="370"/>
        <v>950.45</v>
      </c>
      <c r="I277" s="596">
        <f t="shared" si="370"/>
        <v>812.57</v>
      </c>
      <c r="J277" s="596">
        <f t="shared" si="370"/>
        <v>1610.7</v>
      </c>
      <c r="K277" s="596">
        <f t="shared" si="370"/>
        <v>1248.31</v>
      </c>
      <c r="L277" s="596">
        <f t="shared" si="370"/>
        <v>6596</v>
      </c>
      <c r="M277" s="596">
        <f t="shared" si="370"/>
        <v>443.39</v>
      </c>
      <c r="N277" s="596">
        <f t="shared" si="370"/>
        <v>469.24</v>
      </c>
      <c r="O277" s="596">
        <f t="shared" si="370"/>
        <v>787.47</v>
      </c>
      <c r="P277" s="596">
        <f t="shared" si="370"/>
        <v>563.69000000000005</v>
      </c>
      <c r="Q277" s="596">
        <f t="shared" si="370"/>
        <v>494.66999999999996</v>
      </c>
      <c r="R277" s="596">
        <f t="shared" si="370"/>
        <v>522.53</v>
      </c>
      <c r="S277" s="596">
        <f t="shared" si="370"/>
        <v>671.88</v>
      </c>
      <c r="T277" s="596">
        <f t="shared" si="370"/>
        <v>896.09000000000015</v>
      </c>
      <c r="U277" s="596">
        <f t="shared" si="370"/>
        <v>1042.04</v>
      </c>
      <c r="V277" s="596">
        <f t="shared" si="370"/>
        <v>780.02</v>
      </c>
      <c r="W277" s="596">
        <f t="shared" si="370"/>
        <v>768.78</v>
      </c>
      <c r="X277" s="596">
        <f t="shared" si="370"/>
        <v>1294.1600000000001</v>
      </c>
      <c r="Y277" s="596">
        <f t="shared" si="370"/>
        <v>500.48</v>
      </c>
      <c r="Z277" s="596">
        <f t="shared" si="370"/>
        <v>642.20999999999992</v>
      </c>
      <c r="AA277" s="596">
        <f t="shared" si="370"/>
        <v>-307.51</v>
      </c>
      <c r="AB277" s="596">
        <f t="shared" si="370"/>
        <v>527.95000000000005</v>
      </c>
      <c r="AC277" s="596">
        <f t="shared" ca="1" si="370"/>
        <v>675.20593835139312</v>
      </c>
      <c r="AD277" s="596">
        <f t="shared" ca="1" si="370"/>
        <v>412.56227210139321</v>
      </c>
      <c r="AE277" s="596">
        <f t="shared" ca="1" si="370"/>
        <v>315.0002358513932</v>
      </c>
      <c r="AF277" s="596">
        <f t="shared" ca="1" si="370"/>
        <v>225.96160085139309</v>
      </c>
      <c r="AG277" s="429"/>
      <c r="AH277" s="376"/>
      <c r="AI277" s="596">
        <f t="shared" ref="AI277:AM277" si="371">AI285</f>
        <v>2747.9</v>
      </c>
      <c r="AJ277" s="596">
        <f t="shared" si="371"/>
        <v>2661.37</v>
      </c>
      <c r="AK277" s="596">
        <f t="shared" si="371"/>
        <v>10267.580000000002</v>
      </c>
      <c r="AL277" s="596">
        <f t="shared" si="371"/>
        <v>2263.79</v>
      </c>
      <c r="AM277" s="596">
        <f t="shared" si="371"/>
        <v>2585.17</v>
      </c>
      <c r="AN277" s="596">
        <f t="shared" ref="AN277:AS277" si="372">AN285</f>
        <v>3885</v>
      </c>
      <c r="AO277" s="596">
        <f t="shared" si="372"/>
        <v>1363.13</v>
      </c>
      <c r="AP277" s="596">
        <f t="shared" ca="1" si="372"/>
        <v>1628.7300471555727</v>
      </c>
      <c r="AQ277" s="596">
        <f t="shared" ca="1" si="372"/>
        <v>1672.1122718805727</v>
      </c>
      <c r="AR277" s="596">
        <f t="shared" ca="1" si="372"/>
        <v>2167.7617233026986</v>
      </c>
      <c r="AS277" s="788">
        <f t="shared" ca="1" si="372"/>
        <v>2429.1555758161112</v>
      </c>
    </row>
    <row r="278" spans="3:45" s="373" customFormat="1">
      <c r="C278" s="606" t="s">
        <v>323</v>
      </c>
      <c r="E278" s="376"/>
      <c r="F278" s="596">
        <f t="shared" ref="F278" si="373">F254-E254</f>
        <v>221</v>
      </c>
      <c r="G278" s="596">
        <f t="shared" ref="G278" si="374">G254-F254</f>
        <v>-1165</v>
      </c>
      <c r="H278" s="596">
        <f t="shared" ref="H278" si="375">H254-G254</f>
        <v>513</v>
      </c>
      <c r="I278" s="596">
        <f t="shared" ref="I278" si="376">I254-H254</f>
        <v>535</v>
      </c>
      <c r="J278" s="596">
        <f t="shared" ref="J278" si="377">J254-I254</f>
        <v>106</v>
      </c>
      <c r="K278" s="596">
        <f t="shared" ref="K278" si="378">K254-J254</f>
        <v>560</v>
      </c>
      <c r="L278" s="596">
        <f t="shared" ref="L278" si="379">L254-K254</f>
        <v>53</v>
      </c>
      <c r="M278" s="596">
        <f t="shared" ref="M278" si="380">M254-L254</f>
        <v>-3138</v>
      </c>
      <c r="N278" s="596">
        <f t="shared" ref="N278" si="381">N254-M254</f>
        <v>102</v>
      </c>
      <c r="O278" s="596">
        <f t="shared" ref="O278" si="382">O254-N254</f>
        <v>-181</v>
      </c>
      <c r="P278" s="596">
        <f t="shared" ref="P278" si="383">P254-O254</f>
        <v>180</v>
      </c>
      <c r="Q278" s="596">
        <f t="shared" ref="Q278" si="384">Q254-P254</f>
        <v>-144</v>
      </c>
      <c r="R278" s="596">
        <f t="shared" ref="R278" si="385">R254-Q254</f>
        <v>262</v>
      </c>
      <c r="S278" s="596">
        <f t="shared" ref="S278" si="386">S254-R254</f>
        <v>-87</v>
      </c>
      <c r="T278" s="596">
        <f t="shared" ref="T278" si="387">T254-S254</f>
        <v>348</v>
      </c>
      <c r="U278" s="596">
        <f t="shared" ref="U278" si="388">U254-T254</f>
        <v>-17</v>
      </c>
      <c r="V278" s="596">
        <f t="shared" ref="V278" si="389">V254-U254</f>
        <v>696</v>
      </c>
      <c r="W278" s="596">
        <f t="shared" ref="W278" si="390">W254-V254</f>
        <v>272</v>
      </c>
      <c r="X278" s="596">
        <f t="shared" ref="X278" si="391">X254-W254</f>
        <v>848</v>
      </c>
      <c r="Y278" s="596">
        <f t="shared" ref="Y278" si="392">Y254-X254</f>
        <v>-433</v>
      </c>
      <c r="Z278" s="596">
        <f t="shared" ref="Z278" si="393">Z254-Y254</f>
        <v>-139</v>
      </c>
      <c r="AA278" s="596">
        <f t="shared" ref="AA278" si="394">AA254-Z254</f>
        <v>-252</v>
      </c>
      <c r="AB278" s="596">
        <f t="shared" ref="AB278" si="395">AB254-AA254</f>
        <v>-352</v>
      </c>
      <c r="AC278" s="596">
        <f t="shared" ref="AC278" si="396">AC254-AB254</f>
        <v>0</v>
      </c>
      <c r="AD278" s="596">
        <f t="shared" ref="AD278" si="397">AD254-AC254</f>
        <v>0</v>
      </c>
      <c r="AE278" s="596">
        <f t="shared" ref="AE278" si="398">AE254-AD254</f>
        <v>0</v>
      </c>
      <c r="AF278" s="596">
        <f t="shared" ref="AF278" si="399">AF254-AE254</f>
        <v>0</v>
      </c>
      <c r="AG278" s="429"/>
      <c r="AH278" s="376"/>
      <c r="AI278" s="596">
        <f t="shared" ref="AI278" si="400">AI254-AH254</f>
        <v>-2838</v>
      </c>
      <c r="AJ278" s="596">
        <f t="shared" ref="AJ278" si="401">AJ254-AI254</f>
        <v>306</v>
      </c>
      <c r="AK278" s="596">
        <f t="shared" ref="AK278" si="402">AK254-AJ254</f>
        <v>1254</v>
      </c>
      <c r="AL278" s="596">
        <f t="shared" ref="AL278" si="403">AL254-AK254</f>
        <v>-3037</v>
      </c>
      <c r="AM278" s="596">
        <f t="shared" ref="AM278" si="404">AM254-AL254</f>
        <v>379</v>
      </c>
      <c r="AN278" s="596">
        <f t="shared" ref="AN278:AS278" si="405">AN254-AM254</f>
        <v>1799</v>
      </c>
      <c r="AO278" s="596">
        <f t="shared" si="405"/>
        <v>-1176</v>
      </c>
      <c r="AP278" s="596">
        <f t="shared" si="405"/>
        <v>0</v>
      </c>
      <c r="AQ278" s="596">
        <f t="shared" si="405"/>
        <v>0</v>
      </c>
      <c r="AR278" s="596">
        <f t="shared" si="405"/>
        <v>0</v>
      </c>
      <c r="AS278" s="788">
        <f t="shared" si="405"/>
        <v>0</v>
      </c>
    </row>
    <row r="279" spans="3:45" s="373" customFormat="1">
      <c r="C279" s="600" t="s">
        <v>327</v>
      </c>
      <c r="E279" s="376"/>
      <c r="F279" s="597">
        <f t="shared" ref="F279:AF279" si="406">F276-F277+F278</f>
        <v>1272.92</v>
      </c>
      <c r="G279" s="597">
        <f t="shared" si="406"/>
        <v>2326.7600000000002</v>
      </c>
      <c r="H279" s="597">
        <f t="shared" si="406"/>
        <v>4347.55</v>
      </c>
      <c r="I279" s="597">
        <f t="shared" si="406"/>
        <v>3354.43</v>
      </c>
      <c r="J279" s="597">
        <f t="shared" si="406"/>
        <v>2337.3000000000002</v>
      </c>
      <c r="K279" s="597">
        <f t="shared" si="406"/>
        <v>4452.6900000000005</v>
      </c>
      <c r="L279" s="597">
        <f t="shared" si="406"/>
        <v>-1108</v>
      </c>
      <c r="M279" s="597">
        <f t="shared" si="406"/>
        <v>888.61000000000013</v>
      </c>
      <c r="N279" s="597">
        <f t="shared" si="406"/>
        <v>4905.76</v>
      </c>
      <c r="O279" s="597">
        <f t="shared" si="406"/>
        <v>6380.53</v>
      </c>
      <c r="P279" s="597">
        <f t="shared" si="406"/>
        <v>5840.3099999999995</v>
      </c>
      <c r="Q279" s="597">
        <f t="shared" si="406"/>
        <v>3535.33</v>
      </c>
      <c r="R279" s="597">
        <f t="shared" si="406"/>
        <v>4356.47</v>
      </c>
      <c r="S279" s="597">
        <f t="shared" si="406"/>
        <v>5688.12</v>
      </c>
      <c r="T279" s="597">
        <f t="shared" si="406"/>
        <v>6248.91</v>
      </c>
      <c r="U279" s="597">
        <f t="shared" si="406"/>
        <v>5978.96</v>
      </c>
      <c r="V279" s="597">
        <f t="shared" si="406"/>
        <v>5612.98</v>
      </c>
      <c r="W279" s="597">
        <f t="shared" si="406"/>
        <v>4562.22</v>
      </c>
      <c r="X279" s="597">
        <f t="shared" si="406"/>
        <v>5437.84</v>
      </c>
      <c r="Y279" s="597">
        <f t="shared" si="406"/>
        <v>2760.52</v>
      </c>
      <c r="Z279" s="597">
        <f t="shared" si="406"/>
        <v>4764.79</v>
      </c>
      <c r="AA279" s="597">
        <f t="shared" si="406"/>
        <v>5282.51</v>
      </c>
      <c r="AB279" s="597">
        <f t="shared" si="406"/>
        <v>4109.05</v>
      </c>
      <c r="AC279" s="597">
        <f t="shared" ca="1" si="406"/>
        <v>2540.0604347504786</v>
      </c>
      <c r="AD279" s="597">
        <f t="shared" ca="1" si="406"/>
        <v>1552.0199760004789</v>
      </c>
      <c r="AE279" s="597">
        <f t="shared" ca="1" si="406"/>
        <v>1185.0008872504793</v>
      </c>
      <c r="AF279" s="597">
        <f t="shared" ca="1" si="406"/>
        <v>850.04602225047893</v>
      </c>
      <c r="AG279" s="429"/>
      <c r="AH279" s="376"/>
      <c r="AI279" s="597">
        <f t="shared" ref="AI279:AM279" si="407">AI276-AI277+AI278</f>
        <v>8416.1</v>
      </c>
      <c r="AJ279" s="597">
        <f t="shared" si="407"/>
        <v>10777.630000000001</v>
      </c>
      <c r="AK279" s="597">
        <f t="shared" si="407"/>
        <v>9036.4199999999983</v>
      </c>
      <c r="AL279" s="597">
        <f t="shared" si="407"/>
        <v>18015.21</v>
      </c>
      <c r="AM279" s="597">
        <f t="shared" si="407"/>
        <v>19828.830000000002</v>
      </c>
      <c r="AN279" s="597">
        <f t="shared" ref="AN279:AS279" si="408">AN276-AN277+AN278</f>
        <v>21592</v>
      </c>
      <c r="AO279" s="597">
        <f t="shared" si="408"/>
        <v>16916.87</v>
      </c>
      <c r="AP279" s="597">
        <f t="shared" ca="1" si="408"/>
        <v>6127.1273202519214</v>
      </c>
      <c r="AQ279" s="597">
        <f t="shared" ca="1" si="408"/>
        <v>6290.3271180269167</v>
      </c>
      <c r="AR279" s="597">
        <f t="shared" ca="1" si="408"/>
        <v>8154.9131495672946</v>
      </c>
      <c r="AS279" s="789">
        <f t="shared" ca="1" si="408"/>
        <v>9138.2519280701308</v>
      </c>
    </row>
    <row r="280" spans="3:45" s="373" customFormat="1">
      <c r="C280" s="607"/>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c r="AD280" s="376"/>
      <c r="AE280" s="376"/>
      <c r="AF280" s="376"/>
      <c r="AG280" s="429"/>
      <c r="AH280" s="376"/>
      <c r="AI280" s="376"/>
      <c r="AJ280" s="376"/>
      <c r="AK280" s="376"/>
      <c r="AL280" s="376"/>
      <c r="AM280" s="376"/>
      <c r="AN280" s="376"/>
      <c r="AO280" s="376"/>
      <c r="AS280" s="787"/>
    </row>
    <row r="281" spans="3:45" s="373" customFormat="1">
      <c r="C281" s="608" t="s">
        <v>330</v>
      </c>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c r="AD281" s="376"/>
      <c r="AE281" s="376"/>
      <c r="AF281" s="376"/>
      <c r="AG281" s="429"/>
      <c r="AH281" s="376"/>
      <c r="AI281" s="376"/>
      <c r="AJ281" s="376"/>
      <c r="AK281" s="376"/>
      <c r="AL281" s="376"/>
      <c r="AM281" s="376"/>
      <c r="AN281" s="376"/>
      <c r="AO281" s="376"/>
      <c r="AS281" s="787"/>
    </row>
    <row r="282" spans="3:45" s="373" customFormat="1">
      <c r="C282" s="609" t="s">
        <v>331</v>
      </c>
      <c r="E282" s="376"/>
      <c r="F282" s="596">
        <f t="shared" ref="F282:AF282" si="409">F40</f>
        <v>340</v>
      </c>
      <c r="G282" s="596">
        <f t="shared" si="409"/>
        <v>940</v>
      </c>
      <c r="H282" s="596">
        <f t="shared" si="409"/>
        <v>878</v>
      </c>
      <c r="I282" s="596">
        <f t="shared" si="409"/>
        <v>851</v>
      </c>
      <c r="J282" s="596">
        <f t="shared" si="409"/>
        <v>1764</v>
      </c>
      <c r="K282" s="596">
        <f t="shared" si="409"/>
        <v>1414</v>
      </c>
      <c r="L282" s="596">
        <f t="shared" si="409"/>
        <v>6722</v>
      </c>
      <c r="M282" s="596">
        <f t="shared" si="409"/>
        <v>557</v>
      </c>
      <c r="N282" s="596">
        <f t="shared" si="409"/>
        <v>523</v>
      </c>
      <c r="O282" s="596">
        <f t="shared" si="409"/>
        <v>744</v>
      </c>
      <c r="P282" s="596">
        <f t="shared" si="409"/>
        <v>440</v>
      </c>
      <c r="Q282" s="596">
        <f t="shared" si="409"/>
        <v>573</v>
      </c>
      <c r="R282" s="596">
        <f t="shared" si="409"/>
        <v>545</v>
      </c>
      <c r="S282" s="596">
        <f t="shared" si="409"/>
        <v>729</v>
      </c>
      <c r="T282" s="596">
        <f t="shared" si="409"/>
        <v>1163</v>
      </c>
      <c r="U282" s="596">
        <f t="shared" si="409"/>
        <v>953</v>
      </c>
      <c r="V282" s="596">
        <f t="shared" si="409"/>
        <v>830</v>
      </c>
      <c r="W282" s="596">
        <f t="shared" si="409"/>
        <v>765</v>
      </c>
      <c r="X282" s="596">
        <f t="shared" si="409"/>
        <v>1631</v>
      </c>
      <c r="Y282" s="596">
        <f t="shared" si="409"/>
        <v>545</v>
      </c>
      <c r="Z282" s="596">
        <f t="shared" si="409"/>
        <v>684</v>
      </c>
      <c r="AA282" s="596">
        <f t="shared" si="409"/>
        <v>35</v>
      </c>
      <c r="AB282" s="596">
        <f t="shared" si="409"/>
        <v>571</v>
      </c>
      <c r="AC282" s="596">
        <f t="shared" ca="1" si="409"/>
        <v>708.43927835139311</v>
      </c>
      <c r="AD282" s="596">
        <f t="shared" ca="1" si="409"/>
        <v>446.2969871013932</v>
      </c>
      <c r="AE282" s="596">
        <f t="shared" ca="1" si="409"/>
        <v>349.9450758513932</v>
      </c>
      <c r="AF282" s="596">
        <f t="shared" ca="1" si="409"/>
        <v>262.8221868513931</v>
      </c>
      <c r="AG282" s="429"/>
      <c r="AH282" s="376"/>
      <c r="AI282" s="596">
        <f t="shared" ref="AI282:AS282" si="410">AI40</f>
        <v>2792</v>
      </c>
      <c r="AJ282" s="596">
        <f t="shared" si="410"/>
        <v>2620</v>
      </c>
      <c r="AK282" s="596">
        <f t="shared" si="410"/>
        <v>10751</v>
      </c>
      <c r="AL282" s="596">
        <f t="shared" si="410"/>
        <v>2264</v>
      </c>
      <c r="AM282" s="596">
        <f t="shared" si="410"/>
        <v>3010</v>
      </c>
      <c r="AN282" s="596">
        <f t="shared" si="410"/>
        <v>4179</v>
      </c>
      <c r="AO282" s="596">
        <f t="shared" si="410"/>
        <v>1835</v>
      </c>
      <c r="AP282" s="596">
        <f t="shared" ca="1" si="410"/>
        <v>1767.5035281555727</v>
      </c>
      <c r="AQ282" s="596">
        <f t="shared" ca="1" si="410"/>
        <v>1909.7349998805726</v>
      </c>
      <c r="AR282" s="596">
        <f t="shared" ca="1" si="410"/>
        <v>2411.1169263026986</v>
      </c>
      <c r="AS282" s="788">
        <f t="shared" ca="1" si="410"/>
        <v>2687.4276038161111</v>
      </c>
    </row>
    <row r="283" spans="3:45" s="373" customFormat="1">
      <c r="C283" s="610" t="s">
        <v>332</v>
      </c>
      <c r="E283" s="376"/>
      <c r="F283" s="596">
        <f t="shared" ref="F283:AF283" si="411">-F37*0.21</f>
        <v>26.459999999999997</v>
      </c>
      <c r="G283" s="596">
        <f t="shared" si="411"/>
        <v>27.72</v>
      </c>
      <c r="H283" s="596">
        <f t="shared" si="411"/>
        <v>76.23</v>
      </c>
      <c r="I283" s="596">
        <f t="shared" si="411"/>
        <v>14.49</v>
      </c>
      <c r="J283" s="596">
        <f t="shared" si="411"/>
        <v>-81.48</v>
      </c>
      <c r="K283" s="596">
        <f t="shared" si="411"/>
        <v>11.969999999999999</v>
      </c>
      <c r="L283" s="596">
        <f t="shared" si="411"/>
        <v>128.31</v>
      </c>
      <c r="M283" s="596">
        <f t="shared" si="411"/>
        <v>21.419999999999998</v>
      </c>
      <c r="N283" s="596">
        <f t="shared" si="411"/>
        <v>-96.39</v>
      </c>
      <c r="O283" s="596">
        <f t="shared" si="411"/>
        <v>27.72</v>
      </c>
      <c r="P283" s="596">
        <f t="shared" si="411"/>
        <v>20.79</v>
      </c>
      <c r="Q283" s="596">
        <f t="shared" si="411"/>
        <v>12.809999999999999</v>
      </c>
      <c r="R283" s="596">
        <f t="shared" si="411"/>
        <v>13.229999999999999</v>
      </c>
      <c r="S283" s="596">
        <f t="shared" si="411"/>
        <v>9.66</v>
      </c>
      <c r="T283" s="596">
        <f t="shared" si="411"/>
        <v>-137.34</v>
      </c>
      <c r="U283" s="596">
        <f t="shared" si="411"/>
        <v>65.73</v>
      </c>
      <c r="V283" s="596">
        <f t="shared" si="411"/>
        <v>6.09</v>
      </c>
      <c r="W283" s="596">
        <f t="shared" si="411"/>
        <v>15.54</v>
      </c>
      <c r="X283" s="596">
        <f t="shared" si="411"/>
        <v>18.48</v>
      </c>
      <c r="Y283" s="596">
        <f t="shared" si="411"/>
        <v>32.76</v>
      </c>
      <c r="Z283" s="596">
        <f t="shared" si="411"/>
        <v>20.16</v>
      </c>
      <c r="AA283" s="596">
        <f t="shared" si="411"/>
        <v>15.959999999999999</v>
      </c>
      <c r="AB283" s="596">
        <f t="shared" si="411"/>
        <v>32.339999999999996</v>
      </c>
      <c r="AC283" s="596">
        <f t="shared" ca="1" si="411"/>
        <v>50.766660000000002</v>
      </c>
      <c r="AD283" s="596">
        <f t="shared" ca="1" si="411"/>
        <v>50.265285000000006</v>
      </c>
      <c r="AE283" s="596">
        <f t="shared" ca="1" si="411"/>
        <v>49.055160000000008</v>
      </c>
      <c r="AF283" s="596">
        <f t="shared" ca="1" si="411"/>
        <v>47.139413999999995</v>
      </c>
      <c r="AG283" s="429"/>
      <c r="AH283" s="376"/>
      <c r="AI283" s="596">
        <f t="shared" ref="AI283:AS283" si="412">-AI37*0.21</f>
        <v>22.05</v>
      </c>
      <c r="AJ283" s="596">
        <f t="shared" si="412"/>
        <v>147.63</v>
      </c>
      <c r="AK283" s="596">
        <f t="shared" si="412"/>
        <v>73.289999999999992</v>
      </c>
      <c r="AL283" s="596">
        <f t="shared" si="412"/>
        <v>-26.459999999999997</v>
      </c>
      <c r="AM283" s="596">
        <f t="shared" si="412"/>
        <v>-101.64</v>
      </c>
      <c r="AN283" s="596">
        <f t="shared" si="412"/>
        <v>105.83999999999999</v>
      </c>
      <c r="AO283" s="596">
        <f t="shared" si="412"/>
        <v>101.22</v>
      </c>
      <c r="AP283" s="596">
        <f t="shared" ca="1" si="412"/>
        <v>197.226519</v>
      </c>
      <c r="AQ283" s="596">
        <f t="shared" ca="1" si="412"/>
        <v>182.37727199999998</v>
      </c>
      <c r="AR283" s="596">
        <f t="shared" ca="1" si="412"/>
        <v>176.64479699999998</v>
      </c>
      <c r="AS283" s="788">
        <f t="shared" ca="1" si="412"/>
        <v>161.72797199999997</v>
      </c>
    </row>
    <row r="284" spans="3:45" s="373" customFormat="1">
      <c r="C284" s="610" t="s">
        <v>333</v>
      </c>
      <c r="E284" s="376"/>
      <c r="F284" s="596">
        <f t="shared" ref="F284:AF284" si="413">SUM(F36)*0.21</f>
        <v>100.38</v>
      </c>
      <c r="G284" s="596">
        <f t="shared" si="413"/>
        <v>-2.52</v>
      </c>
      <c r="H284" s="596">
        <f t="shared" si="413"/>
        <v>3.78</v>
      </c>
      <c r="I284" s="596">
        <f t="shared" si="413"/>
        <v>52.919999999999995</v>
      </c>
      <c r="J284" s="596">
        <f t="shared" si="413"/>
        <v>71.819999999999993</v>
      </c>
      <c r="K284" s="596">
        <f t="shared" si="413"/>
        <v>177.66</v>
      </c>
      <c r="L284" s="596">
        <f t="shared" si="413"/>
        <v>254.31</v>
      </c>
      <c r="M284" s="596">
        <f t="shared" si="413"/>
        <v>135.03</v>
      </c>
      <c r="N284" s="596">
        <f t="shared" si="413"/>
        <v>-42.629999999999995</v>
      </c>
      <c r="O284" s="596">
        <f t="shared" si="413"/>
        <v>-15.75</v>
      </c>
      <c r="P284" s="596">
        <f t="shared" si="413"/>
        <v>-102.89999999999999</v>
      </c>
      <c r="Q284" s="596">
        <f t="shared" si="413"/>
        <v>91.14</v>
      </c>
      <c r="R284" s="596">
        <f t="shared" si="413"/>
        <v>35.699999999999996</v>
      </c>
      <c r="S284" s="596">
        <f t="shared" si="413"/>
        <v>66.78</v>
      </c>
      <c r="T284" s="596">
        <f t="shared" si="413"/>
        <v>129.57</v>
      </c>
      <c r="U284" s="596">
        <f t="shared" si="413"/>
        <v>-23.31</v>
      </c>
      <c r="V284" s="596">
        <f t="shared" si="413"/>
        <v>56.07</v>
      </c>
      <c r="W284" s="596">
        <f t="shared" si="413"/>
        <v>11.76</v>
      </c>
      <c r="X284" s="596">
        <f t="shared" si="413"/>
        <v>355.32</v>
      </c>
      <c r="Y284" s="596">
        <f t="shared" si="413"/>
        <v>77.28</v>
      </c>
      <c r="Z284" s="596">
        <f t="shared" si="413"/>
        <v>61.949999999999996</v>
      </c>
      <c r="AA284" s="596">
        <f t="shared" si="413"/>
        <v>358.46999999999997</v>
      </c>
      <c r="AB284" s="596">
        <f t="shared" si="413"/>
        <v>75.39</v>
      </c>
      <c r="AC284" s="596">
        <f t="shared" si="413"/>
        <v>84</v>
      </c>
      <c r="AD284" s="596">
        <f t="shared" si="413"/>
        <v>84</v>
      </c>
      <c r="AE284" s="596">
        <f t="shared" si="413"/>
        <v>84</v>
      </c>
      <c r="AF284" s="596">
        <f t="shared" si="413"/>
        <v>84</v>
      </c>
      <c r="AG284" s="429"/>
      <c r="AH284" s="376"/>
      <c r="AI284" s="596">
        <f t="shared" ref="AI284:AS284" si="414">SUM(AI36)*0.21</f>
        <v>66.149999999999991</v>
      </c>
      <c r="AJ284" s="596">
        <f t="shared" si="414"/>
        <v>106.25999999999999</v>
      </c>
      <c r="AK284" s="596">
        <f t="shared" si="414"/>
        <v>556.70999999999992</v>
      </c>
      <c r="AL284" s="596">
        <f t="shared" si="414"/>
        <v>-26.25</v>
      </c>
      <c r="AM284" s="596">
        <f t="shared" si="414"/>
        <v>323.19</v>
      </c>
      <c r="AN284" s="596">
        <f t="shared" si="414"/>
        <v>399.84</v>
      </c>
      <c r="AO284" s="596">
        <f t="shared" si="414"/>
        <v>573.09</v>
      </c>
      <c r="AP284" s="596">
        <f t="shared" si="414"/>
        <v>336</v>
      </c>
      <c r="AQ284" s="596">
        <f t="shared" si="414"/>
        <v>420</v>
      </c>
      <c r="AR284" s="596">
        <f t="shared" si="414"/>
        <v>420</v>
      </c>
      <c r="AS284" s="788">
        <f t="shared" si="414"/>
        <v>420</v>
      </c>
    </row>
    <row r="285" spans="3:45" s="373" customFormat="1">
      <c r="C285" s="611" t="s">
        <v>330</v>
      </c>
      <c r="D285" s="791"/>
      <c r="E285" s="792"/>
      <c r="F285" s="793">
        <f t="shared" ref="F285:AF285" si="415">F282+F283-F284</f>
        <v>266.08</v>
      </c>
      <c r="G285" s="793">
        <f t="shared" si="415"/>
        <v>970.24</v>
      </c>
      <c r="H285" s="793">
        <f t="shared" si="415"/>
        <v>950.45</v>
      </c>
      <c r="I285" s="793">
        <f t="shared" si="415"/>
        <v>812.57</v>
      </c>
      <c r="J285" s="793">
        <f t="shared" si="415"/>
        <v>1610.7</v>
      </c>
      <c r="K285" s="793">
        <f t="shared" si="415"/>
        <v>1248.31</v>
      </c>
      <c r="L285" s="793">
        <f t="shared" si="415"/>
        <v>6596</v>
      </c>
      <c r="M285" s="793">
        <f t="shared" si="415"/>
        <v>443.39</v>
      </c>
      <c r="N285" s="793">
        <f t="shared" si="415"/>
        <v>469.24</v>
      </c>
      <c r="O285" s="793">
        <f t="shared" si="415"/>
        <v>787.47</v>
      </c>
      <c r="P285" s="793">
        <f t="shared" si="415"/>
        <v>563.69000000000005</v>
      </c>
      <c r="Q285" s="793">
        <f t="shared" si="415"/>
        <v>494.66999999999996</v>
      </c>
      <c r="R285" s="793">
        <f t="shared" si="415"/>
        <v>522.53</v>
      </c>
      <c r="S285" s="793">
        <f t="shared" si="415"/>
        <v>671.88</v>
      </c>
      <c r="T285" s="793">
        <f t="shared" si="415"/>
        <v>896.09000000000015</v>
      </c>
      <c r="U285" s="793">
        <f t="shared" si="415"/>
        <v>1042.04</v>
      </c>
      <c r="V285" s="793">
        <f t="shared" si="415"/>
        <v>780.02</v>
      </c>
      <c r="W285" s="793">
        <f t="shared" si="415"/>
        <v>768.78</v>
      </c>
      <c r="X285" s="793">
        <f t="shared" si="415"/>
        <v>1294.1600000000001</v>
      </c>
      <c r="Y285" s="793">
        <f t="shared" si="415"/>
        <v>500.48</v>
      </c>
      <c r="Z285" s="793">
        <f t="shared" si="415"/>
        <v>642.20999999999992</v>
      </c>
      <c r="AA285" s="793">
        <f t="shared" si="415"/>
        <v>-307.51</v>
      </c>
      <c r="AB285" s="793">
        <f t="shared" si="415"/>
        <v>527.95000000000005</v>
      </c>
      <c r="AC285" s="793">
        <f t="shared" ca="1" si="415"/>
        <v>675.20593835139312</v>
      </c>
      <c r="AD285" s="793">
        <f t="shared" ca="1" si="415"/>
        <v>412.56227210139321</v>
      </c>
      <c r="AE285" s="793">
        <f t="shared" ca="1" si="415"/>
        <v>315.0002358513932</v>
      </c>
      <c r="AF285" s="793">
        <f t="shared" ca="1" si="415"/>
        <v>225.96160085139309</v>
      </c>
      <c r="AG285" s="519"/>
      <c r="AH285" s="792"/>
      <c r="AI285" s="793">
        <f t="shared" ref="AI285:AM285" si="416">AI282+AI283-AI284</f>
        <v>2747.9</v>
      </c>
      <c r="AJ285" s="793">
        <f t="shared" si="416"/>
        <v>2661.37</v>
      </c>
      <c r="AK285" s="793">
        <f t="shared" si="416"/>
        <v>10267.580000000002</v>
      </c>
      <c r="AL285" s="793">
        <f t="shared" si="416"/>
        <v>2263.79</v>
      </c>
      <c r="AM285" s="793">
        <f t="shared" si="416"/>
        <v>2585.17</v>
      </c>
      <c r="AN285" s="793">
        <f t="shared" ref="AN285:AS285" si="417">AN282+AN283-AN284</f>
        <v>3885</v>
      </c>
      <c r="AO285" s="793">
        <f t="shared" si="417"/>
        <v>1363.13</v>
      </c>
      <c r="AP285" s="793">
        <f t="shared" ca="1" si="417"/>
        <v>1628.7300471555727</v>
      </c>
      <c r="AQ285" s="793">
        <f t="shared" ca="1" si="417"/>
        <v>1672.1122718805727</v>
      </c>
      <c r="AR285" s="793">
        <f t="shared" ca="1" si="417"/>
        <v>2167.7617233026986</v>
      </c>
      <c r="AS285" s="794">
        <f t="shared" ca="1" si="417"/>
        <v>2429.1555758161112</v>
      </c>
    </row>
    <row r="286" spans="3:45" s="373" customFormat="1">
      <c r="C286" s="612"/>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c r="AD286" s="376"/>
      <c r="AE286" s="376"/>
      <c r="AF286" s="376"/>
      <c r="AG286" s="429"/>
      <c r="AH286" s="376"/>
      <c r="AI286" s="376"/>
      <c r="AJ286" s="376"/>
      <c r="AK286" s="376"/>
      <c r="AL286" s="376"/>
      <c r="AM286" s="376"/>
      <c r="AN286" s="376"/>
      <c r="AO286" s="376"/>
    </row>
    <row r="287" spans="3:45" s="613" customFormat="1">
      <c r="C287" s="614" t="s">
        <v>158</v>
      </c>
      <c r="D287" s="795"/>
      <c r="E287" s="796"/>
      <c r="F287" s="797"/>
      <c r="G287" s="797"/>
      <c r="H287" s="797"/>
      <c r="I287" s="797">
        <f>SUM(F279:I279)/I259</f>
        <v>0.10987419793894614</v>
      </c>
      <c r="J287" s="797">
        <f t="shared" ref="J287:AF287" si="418">SUM(G279:J279)/J259</f>
        <v>0.11340621045101888</v>
      </c>
      <c r="K287" s="797">
        <f t="shared" si="418"/>
        <v>0.12910786034370628</v>
      </c>
      <c r="L287" s="797">
        <f t="shared" si="418"/>
        <v>8.2705656232839098E-2</v>
      </c>
      <c r="M287" s="797">
        <f t="shared" si="418"/>
        <v>5.9733813342060765E-2</v>
      </c>
      <c r="N287" s="797">
        <f t="shared" si="418"/>
        <v>8.3448017677459421E-2</v>
      </c>
      <c r="O287" s="797">
        <f t="shared" si="418"/>
        <v>0.10106850290870238</v>
      </c>
      <c r="P287" s="797">
        <f t="shared" si="418"/>
        <v>0.16296131127373381</v>
      </c>
      <c r="Q287" s="797">
        <f t="shared" si="418"/>
        <v>0.18527223328132567</v>
      </c>
      <c r="R287" s="797">
        <f t="shared" si="418"/>
        <v>0.17763897475755594</v>
      </c>
      <c r="S287" s="797">
        <f t="shared" si="418"/>
        <v>0.1726380777128837</v>
      </c>
      <c r="T287" s="797">
        <f t="shared" si="418"/>
        <v>0.17014759007714159</v>
      </c>
      <c r="U287" s="797">
        <f t="shared" si="418"/>
        <v>0.17686943125327573</v>
      </c>
      <c r="V287" s="797">
        <f t="shared" si="418"/>
        <v>0.17963376926776756</v>
      </c>
      <c r="W287" s="797">
        <f t="shared" si="418"/>
        <v>0.18322322363255691</v>
      </c>
      <c r="X287" s="797">
        <f t="shared" si="418"/>
        <v>0.16676707292583839</v>
      </c>
      <c r="Y287" s="797">
        <f t="shared" si="418"/>
        <v>0.14239978919304339</v>
      </c>
      <c r="Z287" s="797">
        <f t="shared" si="418"/>
        <v>0.13138640657330497</v>
      </c>
      <c r="AA287" s="797">
        <f t="shared" si="418"/>
        <v>0.1275724014487282</v>
      </c>
      <c r="AB287" s="797">
        <f t="shared" si="418"/>
        <v>0.11638713450292397</v>
      </c>
      <c r="AC287" s="797">
        <f t="shared" ca="1" si="418"/>
        <v>0.11357515157300006</v>
      </c>
      <c r="AD287" s="797">
        <f t="shared" ca="1" si="418"/>
        <v>9.2307044670269137E-2</v>
      </c>
      <c r="AE287" s="797">
        <f t="shared" ca="1" si="418"/>
        <v>6.4590463583655847E-2</v>
      </c>
      <c r="AF287" s="797">
        <f t="shared" ca="1" si="418"/>
        <v>4.2740257458300651E-2</v>
      </c>
      <c r="AG287" s="798"/>
      <c r="AH287" s="796"/>
      <c r="AI287" s="797">
        <f t="shared" ref="AI287:AM287" si="419">AI279/AI259</f>
        <v>9.2799726543979014E-2</v>
      </c>
      <c r="AJ287" s="797">
        <f t="shared" si="419"/>
        <v>0.10639633947698353</v>
      </c>
      <c r="AK287" s="797">
        <f t="shared" si="419"/>
        <v>8.2705656232839084E-2</v>
      </c>
      <c r="AL287" s="797">
        <f t="shared" si="419"/>
        <v>0.16296131127373381</v>
      </c>
      <c r="AM287" s="797">
        <f t="shared" si="419"/>
        <v>0.17014759007714159</v>
      </c>
      <c r="AN287" s="797">
        <f t="shared" ref="AN287:AS287" si="420">AN279/AN259</f>
        <v>0.16676707292583839</v>
      </c>
      <c r="AO287" s="797">
        <f t="shared" si="420"/>
        <v>0.11638713450292397</v>
      </c>
      <c r="AP287" s="797">
        <f t="shared" ca="1" si="420"/>
        <v>4.2740257458300693E-2</v>
      </c>
      <c r="AQ287" s="797">
        <f t="shared" ca="1" si="420"/>
        <v>4.3216944144197016E-2</v>
      </c>
      <c r="AR287" s="797">
        <f t="shared" ca="1" si="420"/>
        <v>5.5127109229646303E-2</v>
      </c>
      <c r="AS287" s="799">
        <f t="shared" ca="1" si="420"/>
        <v>6.0941197516502066E-2</v>
      </c>
    </row>
    <row r="288" spans="3:45" s="613" customFormat="1">
      <c r="C288" s="615" t="s">
        <v>334</v>
      </c>
      <c r="D288" s="800"/>
      <c r="E288" s="801"/>
      <c r="F288" s="802"/>
      <c r="G288" s="802"/>
      <c r="H288" s="802"/>
      <c r="I288" s="802">
        <f>SUM(F279:I279)/I261</f>
        <v>0.1273268665292189</v>
      </c>
      <c r="J288" s="802">
        <f t="shared" ref="J288:AF288" si="421">SUM(G279:J279)/J261</f>
        <v>0.13025110596166001</v>
      </c>
      <c r="K288" s="802">
        <f t="shared" si="421"/>
        <v>0.16494764278722485</v>
      </c>
      <c r="L288" s="802">
        <f t="shared" si="421"/>
        <v>0.1064724110709194</v>
      </c>
      <c r="M288" s="802">
        <f t="shared" si="421"/>
        <v>7.6712744594405274E-2</v>
      </c>
      <c r="N288" s="802">
        <f t="shared" si="421"/>
        <v>0.10730752521516551</v>
      </c>
      <c r="O288" s="802">
        <f t="shared" si="421"/>
        <v>0.1302095466685492</v>
      </c>
      <c r="P288" s="802">
        <f t="shared" si="421"/>
        <v>0.20939153377655864</v>
      </c>
      <c r="Q288" s="802">
        <f t="shared" si="421"/>
        <v>0.23749071849748854</v>
      </c>
      <c r="R288" s="802">
        <f t="shared" si="421"/>
        <v>0.22690508692561964</v>
      </c>
      <c r="S288" s="802">
        <f t="shared" si="421"/>
        <v>0.2212778588031539</v>
      </c>
      <c r="T288" s="802">
        <f t="shared" si="421"/>
        <v>0.21967838427705708</v>
      </c>
      <c r="U288" s="802">
        <f t="shared" si="421"/>
        <v>0.22350687405920722</v>
      </c>
      <c r="V288" s="802">
        <f t="shared" si="421"/>
        <v>0.22615311418685119</v>
      </c>
      <c r="W288" s="802">
        <f t="shared" si="421"/>
        <v>0.23503750642592611</v>
      </c>
      <c r="X288" s="802">
        <f t="shared" si="421"/>
        <v>0.21064749324410018</v>
      </c>
      <c r="Y288" s="802">
        <f t="shared" si="421"/>
        <v>0.18003233487168938</v>
      </c>
      <c r="Z288" s="802">
        <f t="shared" si="421"/>
        <v>0.1643722566122679</v>
      </c>
      <c r="AA288" s="802">
        <f t="shared" si="421"/>
        <v>0.15697081799098389</v>
      </c>
      <c r="AB288" s="802">
        <f t="shared" si="421"/>
        <v>0.14289465904195561</v>
      </c>
      <c r="AC288" s="802">
        <f t="shared" ca="1" si="421"/>
        <v>0.13908506052203401</v>
      </c>
      <c r="AD288" s="802">
        <f t="shared" ca="1" si="421"/>
        <v>0.11320250443906024</v>
      </c>
      <c r="AE288" s="802">
        <f t="shared" ca="1" si="421"/>
        <v>7.9305165302777883E-2</v>
      </c>
      <c r="AF288" s="802">
        <f t="shared" ca="1" si="421"/>
        <v>5.264113489462429E-2</v>
      </c>
      <c r="AG288" s="803"/>
      <c r="AH288" s="801"/>
      <c r="AI288" s="802">
        <f t="shared" ref="AI288:AM288" si="422">AI279/AI261</f>
        <v>0.10605098350533651</v>
      </c>
      <c r="AJ288" s="802">
        <f t="shared" si="422"/>
        <v>0.12359950916305421</v>
      </c>
      <c r="AK288" s="802">
        <f t="shared" si="422"/>
        <v>0.10647241107091937</v>
      </c>
      <c r="AL288" s="802">
        <f t="shared" si="422"/>
        <v>0.20939153377655864</v>
      </c>
      <c r="AM288" s="802">
        <f t="shared" si="422"/>
        <v>0.21967838427705708</v>
      </c>
      <c r="AN288" s="802">
        <f t="shared" ref="AN288:AS288" si="423">AN279/AN261</f>
        <v>0.21064749324410018</v>
      </c>
      <c r="AO288" s="802">
        <f t="shared" si="423"/>
        <v>0.14289465904195561</v>
      </c>
      <c r="AP288" s="802">
        <f t="shared" ca="1" si="423"/>
        <v>5.2641134894624339E-2</v>
      </c>
      <c r="AQ288" s="802">
        <f t="shared" ca="1" si="423"/>
        <v>5.3042941297150807E-2</v>
      </c>
      <c r="AR288" s="802">
        <f t="shared" ca="1" si="423"/>
        <v>6.7414767752276616E-2</v>
      </c>
      <c r="AS288" s="804">
        <f t="shared" ca="1" si="423"/>
        <v>7.3112473527089578E-2</v>
      </c>
    </row>
    <row r="289" spans="2:70" s="373" customFormat="1">
      <c r="C289" s="370"/>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G289" s="429"/>
      <c r="AH289" s="376"/>
      <c r="AI289" s="376"/>
      <c r="AJ289" s="376"/>
      <c r="AK289" s="376"/>
      <c r="AL289" s="376"/>
      <c r="AM289" s="376"/>
      <c r="AN289" s="376"/>
      <c r="AO289" s="376"/>
    </row>
    <row r="290" spans="2:70" s="433" customFormat="1" ht="11.25" customHeight="1">
      <c r="B290" s="367" t="s">
        <v>9</v>
      </c>
      <c r="C290" s="367" t="s">
        <v>335</v>
      </c>
      <c r="D290" s="434"/>
      <c r="E290" s="434"/>
      <c r="F290" s="434"/>
      <c r="G290" s="434"/>
      <c r="H290" s="434"/>
      <c r="I290" s="435"/>
      <c r="J290" s="435"/>
      <c r="K290" s="435"/>
      <c r="L290" s="435"/>
      <c r="M290" s="435"/>
      <c r="N290" s="435"/>
      <c r="O290" s="435"/>
      <c r="P290" s="435"/>
      <c r="Q290" s="435"/>
      <c r="R290" s="435"/>
      <c r="S290" s="435"/>
      <c r="T290" s="435"/>
      <c r="U290" s="435"/>
      <c r="V290" s="435"/>
      <c r="W290" s="435"/>
      <c r="X290" s="434"/>
      <c r="Y290" s="434"/>
      <c r="Z290" s="434"/>
      <c r="AA290" s="434"/>
      <c r="AB290" s="434"/>
      <c r="AC290" s="434"/>
      <c r="AD290" s="434"/>
      <c r="AE290" s="434"/>
      <c r="AF290" s="434"/>
      <c r="AG290" s="429"/>
      <c r="AH290" s="434"/>
      <c r="AI290" s="434"/>
      <c r="AJ290" s="434"/>
      <c r="AK290" s="434"/>
      <c r="AL290" s="434"/>
      <c r="AM290" s="434"/>
      <c r="AN290" s="434"/>
      <c r="AO290" s="434"/>
      <c r="AP290" s="434"/>
      <c r="AQ290" s="434"/>
      <c r="AR290" s="434"/>
      <c r="AS290" s="434"/>
      <c r="AT290" s="373"/>
      <c r="AU290" s="373"/>
      <c r="AV290" s="373"/>
      <c r="AW290" s="373"/>
      <c r="AX290" s="373"/>
      <c r="AY290" s="338"/>
      <c r="AZ290" s="338"/>
      <c r="BA290" s="338"/>
      <c r="BB290" s="338"/>
      <c r="BC290" s="338"/>
      <c r="BD290" s="338"/>
    </row>
    <row r="291" spans="2:70" ht="11.25" customHeight="1">
      <c r="AH291" s="376"/>
      <c r="AI291" s="376"/>
      <c r="AT291" s="373"/>
      <c r="AU291" s="373"/>
      <c r="AV291" s="373"/>
      <c r="AW291" s="373"/>
      <c r="AX291" s="373"/>
    </row>
    <row r="292" spans="2:70" s="346" customFormat="1" ht="11.25" customHeight="1">
      <c r="C292" s="346" t="s">
        <v>336</v>
      </c>
      <c r="E292" s="379"/>
      <c r="F292" s="379"/>
      <c r="G292" s="379"/>
      <c r="H292" s="378">
        <f t="shared" ref="H292:AF292" si="424">AVERAGE(E200:H200)/SUM(E10:H10)*365</f>
        <v>28.093943118864399</v>
      </c>
      <c r="I292" s="378">
        <f t="shared" si="424"/>
        <v>28.649431226335544</v>
      </c>
      <c r="J292" s="378">
        <f t="shared" si="424"/>
        <v>29.514187097924193</v>
      </c>
      <c r="K292" s="378">
        <f t="shared" si="424"/>
        <v>30.810581166843853</v>
      </c>
      <c r="L292" s="378">
        <f t="shared" si="424"/>
        <v>31.810499354694795</v>
      </c>
      <c r="M292" s="378">
        <f t="shared" si="424"/>
        <v>31.119711545969924</v>
      </c>
      <c r="N292" s="378">
        <f t="shared" si="424"/>
        <v>29.037973727917866</v>
      </c>
      <c r="O292" s="378">
        <f t="shared" si="424"/>
        <v>27.11908251978511</v>
      </c>
      <c r="P292" s="378">
        <f t="shared" si="424"/>
        <v>27.941191000451674</v>
      </c>
      <c r="Q292" s="378">
        <f t="shared" si="424"/>
        <v>30.619750716372824</v>
      </c>
      <c r="R292" s="378">
        <f t="shared" si="424"/>
        <v>32.888944534424454</v>
      </c>
      <c r="S292" s="378">
        <f t="shared" si="424"/>
        <v>34.720435146918895</v>
      </c>
      <c r="T292" s="378">
        <f t="shared" si="424"/>
        <v>35.159747794066561</v>
      </c>
      <c r="U292" s="378">
        <f t="shared" si="424"/>
        <v>35.215810357576714</v>
      </c>
      <c r="V292" s="378">
        <f t="shared" si="424"/>
        <v>35.17438730922678</v>
      </c>
      <c r="W292" s="378">
        <f t="shared" si="424"/>
        <v>35.864154651847677</v>
      </c>
      <c r="X292" s="378">
        <f t="shared" si="424"/>
        <v>34.942819166013841</v>
      </c>
      <c r="Y292" s="378">
        <f t="shared" si="424"/>
        <v>33.548277614782791</v>
      </c>
      <c r="Z292" s="378">
        <f t="shared" si="424"/>
        <v>33.612542678605941</v>
      </c>
      <c r="AA292" s="378">
        <f t="shared" si="424"/>
        <v>34.709744628794247</v>
      </c>
      <c r="AB292" s="378">
        <f t="shared" si="424"/>
        <v>37.557023815549705</v>
      </c>
      <c r="AC292" s="378">
        <f t="shared" si="424"/>
        <v>39.892758401867404</v>
      </c>
      <c r="AD292" s="378">
        <f t="shared" si="424"/>
        <v>42.570485304752658</v>
      </c>
      <c r="AE292" s="378">
        <f t="shared" si="424"/>
        <v>44.375346381588542</v>
      </c>
      <c r="AF292" s="378">
        <f t="shared" si="424"/>
        <v>45.381077364431818</v>
      </c>
      <c r="AG292" s="429"/>
      <c r="AH292" s="376"/>
      <c r="AI292" s="378">
        <f t="shared" ref="AI292:AP292" si="425">AVERAGE(AH200:AI200)/AI10*365</f>
        <v>30.37765332851594</v>
      </c>
      <c r="AJ292" s="378">
        <f t="shared" si="425"/>
        <v>29.123419266842912</v>
      </c>
      <c r="AK292" s="378">
        <f t="shared" si="425"/>
        <v>29.94220136709103</v>
      </c>
      <c r="AL292" s="378">
        <f t="shared" si="425"/>
        <v>31.758729957091237</v>
      </c>
      <c r="AM292" s="378">
        <f t="shared" si="425"/>
        <v>36.469568540262628</v>
      </c>
      <c r="AN292" s="378">
        <f t="shared" si="425"/>
        <v>33.845948861520284</v>
      </c>
      <c r="AO292" s="378">
        <f t="shared" si="425"/>
        <v>37.502752328406558</v>
      </c>
      <c r="AP292" s="378">
        <f t="shared" si="425"/>
        <v>47.477927421700244</v>
      </c>
      <c r="AQ292" s="437">
        <v>40</v>
      </c>
      <c r="AR292" s="437">
        <v>40</v>
      </c>
      <c r="AS292" s="437">
        <v>40</v>
      </c>
    </row>
    <row r="293" spans="2:70" s="346" customFormat="1" ht="11.25" customHeight="1">
      <c r="C293" s="346" t="s">
        <v>337</v>
      </c>
      <c r="E293" s="379"/>
      <c r="F293" s="379"/>
      <c r="G293" s="379"/>
      <c r="H293" s="378">
        <f t="shared" ref="H293:AF293" si="426">AVERAGE(E201:H201)/SUM(E13:H13)*365</f>
        <v>90.197752008292312</v>
      </c>
      <c r="I293" s="378">
        <f t="shared" si="426"/>
        <v>90.145630545266613</v>
      </c>
      <c r="J293" s="378">
        <f t="shared" si="426"/>
        <v>91.7820471596999</v>
      </c>
      <c r="K293" s="378">
        <f t="shared" si="426"/>
        <v>95.083156891806055</v>
      </c>
      <c r="L293" s="378">
        <f t="shared" si="426"/>
        <v>100.40469298060262</v>
      </c>
      <c r="M293" s="378">
        <f t="shared" si="426"/>
        <v>102.5616739183975</v>
      </c>
      <c r="N293" s="378">
        <f t="shared" si="426"/>
        <v>102.68969411205325</v>
      </c>
      <c r="O293" s="378">
        <f t="shared" si="426"/>
        <v>101.50841809215595</v>
      </c>
      <c r="P293" s="378">
        <f t="shared" si="426"/>
        <v>98.092656117443113</v>
      </c>
      <c r="Q293" s="378">
        <f t="shared" si="426"/>
        <v>97.876378477728139</v>
      </c>
      <c r="R293" s="378">
        <f t="shared" si="426"/>
        <v>102.01364436619718</v>
      </c>
      <c r="S293" s="378">
        <f t="shared" si="426"/>
        <v>102.06472133868068</v>
      </c>
      <c r="T293" s="378">
        <f t="shared" si="426"/>
        <v>103.54312657166807</v>
      </c>
      <c r="U293" s="378">
        <f t="shared" si="426"/>
        <v>105.11381053318115</v>
      </c>
      <c r="V293" s="378">
        <f t="shared" si="426"/>
        <v>97.664579512312457</v>
      </c>
      <c r="W293" s="378">
        <f t="shared" si="426"/>
        <v>97.366297561550255</v>
      </c>
      <c r="X293" s="378">
        <f t="shared" si="426"/>
        <v>95.671982192380682</v>
      </c>
      <c r="Y293" s="378">
        <f t="shared" si="426"/>
        <v>90.975696216890697</v>
      </c>
      <c r="Z293" s="378">
        <f t="shared" si="426"/>
        <v>92.674374746126617</v>
      </c>
      <c r="AA293" s="378">
        <f t="shared" si="426"/>
        <v>94.464488636363626</v>
      </c>
      <c r="AB293" s="378">
        <f t="shared" si="426"/>
        <v>98.167158965037359</v>
      </c>
      <c r="AC293" s="378">
        <f t="shared" si="426"/>
        <v>102.10365109240193</v>
      </c>
      <c r="AD293" s="378">
        <f t="shared" si="426"/>
        <v>104.98309138587538</v>
      </c>
      <c r="AE293" s="378">
        <f t="shared" si="426"/>
        <v>105.91603858842842</v>
      </c>
      <c r="AF293" s="378">
        <f t="shared" si="426"/>
        <v>105.0703653832887</v>
      </c>
      <c r="AG293" s="429"/>
      <c r="AH293" s="376"/>
      <c r="AI293" s="378">
        <f t="shared" ref="AI293:AP293" si="427">AVERAGE(AH201:AI201)/AI13*365</f>
        <v>83.323660282453076</v>
      </c>
      <c r="AJ293" s="378">
        <f t="shared" si="427"/>
        <v>84.495119633756588</v>
      </c>
      <c r="AK293" s="378">
        <f t="shared" si="427"/>
        <v>96.683429827156317</v>
      </c>
      <c r="AL293" s="378">
        <f t="shared" si="427"/>
        <v>95.830843569031018</v>
      </c>
      <c r="AM293" s="378">
        <f t="shared" si="427"/>
        <v>97.886085498742659</v>
      </c>
      <c r="AN293" s="378">
        <f t="shared" si="427"/>
        <v>91.481754488395865</v>
      </c>
      <c r="AO293" s="378">
        <f t="shared" si="427"/>
        <v>99.535559090005393</v>
      </c>
      <c r="AP293" s="378">
        <f t="shared" si="427"/>
        <v>104.3636774267156</v>
      </c>
      <c r="AQ293" s="437">
        <v>100</v>
      </c>
      <c r="AR293" s="437">
        <v>100</v>
      </c>
      <c r="AS293" s="437">
        <v>100</v>
      </c>
    </row>
    <row r="294" spans="2:70" s="346" customFormat="1" ht="11.25" customHeight="1">
      <c r="C294" s="346" t="s">
        <v>338</v>
      </c>
      <c r="E294" s="379"/>
      <c r="F294" s="379"/>
      <c r="G294" s="379"/>
      <c r="H294" s="378">
        <f t="shared" ref="H294:AF294" si="428">AVERAGE(E215:H215)/SUM(E13:H13)*365</f>
        <v>48.233944458840803</v>
      </c>
      <c r="I294" s="378">
        <f t="shared" si="428"/>
        <v>48.328936600913082</v>
      </c>
      <c r="J294" s="378">
        <f t="shared" si="428"/>
        <v>49.089174705251878</v>
      </c>
      <c r="K294" s="378">
        <f t="shared" si="428"/>
        <v>49.927641329663345</v>
      </c>
      <c r="L294" s="378">
        <f t="shared" si="428"/>
        <v>51.573236698643449</v>
      </c>
      <c r="M294" s="378">
        <f t="shared" si="428"/>
        <v>54.565717100402267</v>
      </c>
      <c r="N294" s="378">
        <f t="shared" si="428"/>
        <v>54.378318408748711</v>
      </c>
      <c r="O294" s="378">
        <f t="shared" si="428"/>
        <v>53.011201648944365</v>
      </c>
      <c r="P294" s="378">
        <f t="shared" si="428"/>
        <v>53.768534912028329</v>
      </c>
      <c r="Q294" s="378">
        <f t="shared" si="428"/>
        <v>51.363476646965552</v>
      </c>
      <c r="R294" s="378">
        <f t="shared" si="428"/>
        <v>52.975621586662832</v>
      </c>
      <c r="S294" s="378">
        <f t="shared" si="428"/>
        <v>54.811834462729919</v>
      </c>
      <c r="T294" s="378">
        <f t="shared" si="428"/>
        <v>54.086085498742669</v>
      </c>
      <c r="U294" s="378">
        <f t="shared" si="428"/>
        <v>54.327449861405505</v>
      </c>
      <c r="V294" s="378">
        <f t="shared" si="428"/>
        <v>51.086172163925553</v>
      </c>
      <c r="W294" s="378">
        <f t="shared" si="428"/>
        <v>50.97810401696313</v>
      </c>
      <c r="X294" s="378">
        <f t="shared" si="428"/>
        <v>54.403700189753323</v>
      </c>
      <c r="Y294" s="378">
        <f t="shared" si="428"/>
        <v>54.909924281095797</v>
      </c>
      <c r="Z294" s="378">
        <f t="shared" si="428"/>
        <v>58.486733302384962</v>
      </c>
      <c r="AA294" s="378">
        <f t="shared" si="428"/>
        <v>63.077360139860133</v>
      </c>
      <c r="AB294" s="378">
        <f t="shared" si="428"/>
        <v>61.914922320997469</v>
      </c>
      <c r="AC294" s="378">
        <f t="shared" si="428"/>
        <v>61.547859029656081</v>
      </c>
      <c r="AD294" s="378">
        <f t="shared" si="428"/>
        <v>59.99984880431478</v>
      </c>
      <c r="AE294" s="378">
        <f t="shared" si="428"/>
        <v>56.775464008359464</v>
      </c>
      <c r="AF294" s="378">
        <f t="shared" si="428"/>
        <v>56.506769007585184</v>
      </c>
      <c r="AG294" s="429"/>
      <c r="AH294" s="376"/>
      <c r="AI294" s="378">
        <f t="shared" ref="AI294:AP294" si="429">AVERAGE(AH215:AI215)/AI13*365</f>
        <v>42.465056103695105</v>
      </c>
      <c r="AJ294" s="378">
        <f t="shared" si="429"/>
        <v>35.768549710633152</v>
      </c>
      <c r="AK294" s="378">
        <f t="shared" si="429"/>
        <v>41.670434856104464</v>
      </c>
      <c r="AL294" s="378">
        <f t="shared" si="429"/>
        <v>45.451661687138063</v>
      </c>
      <c r="AM294" s="378">
        <f t="shared" si="429"/>
        <v>48.65850796311819</v>
      </c>
      <c r="AN294" s="378">
        <f t="shared" si="429"/>
        <v>51.72653627207707</v>
      </c>
      <c r="AO294" s="378">
        <f t="shared" si="429"/>
        <v>58.716805362265326</v>
      </c>
      <c r="AP294" s="378">
        <f t="shared" si="429"/>
        <v>56.035643703203107</v>
      </c>
      <c r="AQ294" s="437">
        <v>60</v>
      </c>
      <c r="AR294" s="437">
        <v>60</v>
      </c>
      <c r="AS294" s="437">
        <v>60</v>
      </c>
    </row>
    <row r="295" spans="2:70" s="346" customFormat="1" ht="11.25" customHeight="1">
      <c r="C295" s="346" t="s">
        <v>339</v>
      </c>
      <c r="E295" s="380"/>
      <c r="F295" s="380"/>
      <c r="G295" s="380"/>
      <c r="H295" s="380"/>
      <c r="I295" s="377">
        <f t="shared" ref="I295:S295" si="430">+I292+I293-I294</f>
        <v>70.466125170689068</v>
      </c>
      <c r="J295" s="377">
        <f t="shared" si="430"/>
        <v>72.207059552372215</v>
      </c>
      <c r="K295" s="377">
        <f t="shared" si="430"/>
        <v>75.966096728986571</v>
      </c>
      <c r="L295" s="377">
        <f t="shared" si="430"/>
        <v>80.641955636653961</v>
      </c>
      <c r="M295" s="377">
        <f t="shared" si="430"/>
        <v>79.115668363965156</v>
      </c>
      <c r="N295" s="377">
        <f t="shared" si="430"/>
        <v>77.349349431222393</v>
      </c>
      <c r="O295" s="377">
        <f t="shared" si="430"/>
        <v>75.616298962996694</v>
      </c>
      <c r="P295" s="377">
        <f t="shared" si="430"/>
        <v>72.265312205866465</v>
      </c>
      <c r="Q295" s="377">
        <f t="shared" si="430"/>
        <v>77.132652547135422</v>
      </c>
      <c r="R295" s="377">
        <f t="shared" si="430"/>
        <v>81.926967313958812</v>
      </c>
      <c r="S295" s="377">
        <f t="shared" si="430"/>
        <v>81.973322022869652</v>
      </c>
      <c r="T295" s="377">
        <f t="shared" ref="T295:AB295" si="431">+T292+T293-T294</f>
        <v>84.616788866991953</v>
      </c>
      <c r="U295" s="377">
        <f t="shared" si="431"/>
        <v>86.002171029352354</v>
      </c>
      <c r="V295" s="377">
        <f t="shared" si="431"/>
        <v>81.752794657613677</v>
      </c>
      <c r="W295" s="377">
        <f t="shared" si="431"/>
        <v>82.252348196434809</v>
      </c>
      <c r="X295" s="377">
        <f t="shared" si="431"/>
        <v>76.211101168641193</v>
      </c>
      <c r="Y295" s="377">
        <f t="shared" si="431"/>
        <v>69.61404955057769</v>
      </c>
      <c r="Z295" s="377">
        <f t="shared" si="431"/>
        <v>67.800184122347602</v>
      </c>
      <c r="AA295" s="377">
        <f t="shared" si="431"/>
        <v>66.096873125297748</v>
      </c>
      <c r="AB295" s="377">
        <f t="shared" si="431"/>
        <v>73.809260459589581</v>
      </c>
      <c r="AC295" s="377">
        <f t="shared" ref="AC295:AF295" si="432">+AC292+AC293-AC294</f>
        <v>80.448550464613248</v>
      </c>
      <c r="AD295" s="377">
        <f t="shared" si="432"/>
        <v>87.553727886313254</v>
      </c>
      <c r="AE295" s="377">
        <f t="shared" si="432"/>
        <v>93.5159209616575</v>
      </c>
      <c r="AF295" s="377">
        <f t="shared" si="432"/>
        <v>93.944673740135357</v>
      </c>
      <c r="AG295" s="429"/>
      <c r="AH295" s="376"/>
      <c r="AI295" s="376"/>
      <c r="AJ295" s="377">
        <f t="shared" ref="AJ295:AO295" si="433">+AJ292+AJ293-AJ294</f>
        <v>77.849989189966351</v>
      </c>
      <c r="AK295" s="377">
        <f t="shared" si="433"/>
        <v>84.955196338142883</v>
      </c>
      <c r="AL295" s="377">
        <f t="shared" si="433"/>
        <v>82.137911838984195</v>
      </c>
      <c r="AM295" s="377">
        <f t="shared" si="433"/>
        <v>85.697146075887105</v>
      </c>
      <c r="AN295" s="377">
        <f t="shared" si="433"/>
        <v>73.601167077839079</v>
      </c>
      <c r="AO295" s="377">
        <f t="shared" si="433"/>
        <v>78.321506056146632</v>
      </c>
      <c r="AP295" s="377">
        <f>+AP292+AP293-AP294</f>
        <v>95.805961145212734</v>
      </c>
      <c r="AQ295" s="377">
        <f>+AQ292+AQ293-AQ294</f>
        <v>80</v>
      </c>
      <c r="AR295" s="377">
        <f>+AR292+AR293-AR294</f>
        <v>80</v>
      </c>
      <c r="AS295" s="377">
        <f>+AS292+AS293-AS294</f>
        <v>80</v>
      </c>
    </row>
    <row r="296" spans="2:70" ht="11.25" customHeight="1">
      <c r="AH296" s="376"/>
      <c r="AI296" s="376"/>
    </row>
    <row r="297" spans="2:70" s="346" customFormat="1" ht="11.25" customHeight="1">
      <c r="C297" s="346" t="s">
        <v>340</v>
      </c>
      <c r="E297" s="439"/>
      <c r="F297" s="439"/>
      <c r="G297" s="439"/>
      <c r="H297" s="439">
        <f t="shared" ref="H297:AB297" si="434">H203/SUM(E$10:H$10)</f>
        <v>4.977520332732753E-2</v>
      </c>
      <c r="I297" s="439">
        <f t="shared" si="434"/>
        <v>4.7998544997602553E-2</v>
      </c>
      <c r="J297" s="439">
        <f t="shared" si="434"/>
        <v>4.8078948647728929E-2</v>
      </c>
      <c r="K297" s="439">
        <f t="shared" si="434"/>
        <v>4.4570084726651846E-2</v>
      </c>
      <c r="L297" s="439">
        <f t="shared" si="434"/>
        <v>4.6334507098357257E-2</v>
      </c>
      <c r="M297" s="439">
        <f t="shared" si="434"/>
        <v>5.3224219518670644E-2</v>
      </c>
      <c r="N297" s="439">
        <f t="shared" si="434"/>
        <v>5.1306054658009963E-2</v>
      </c>
      <c r="O297" s="439">
        <f t="shared" si="434"/>
        <v>5.1210213159262899E-2</v>
      </c>
      <c r="P297" s="439">
        <f t="shared" si="434"/>
        <v>4.4630758807588079E-2</v>
      </c>
      <c r="Q297" s="439">
        <f t="shared" si="434"/>
        <v>3.2536736163064808E-2</v>
      </c>
      <c r="R297" s="439">
        <f t="shared" si="434"/>
        <v>3.3614639274855793E-2</v>
      </c>
      <c r="S297" s="439">
        <f t="shared" si="434"/>
        <v>3.4283441978043824E-2</v>
      </c>
      <c r="T297" s="439">
        <f t="shared" si="434"/>
        <v>2.3803237684985757E-2</v>
      </c>
      <c r="U297" s="439">
        <f t="shared" si="434"/>
        <v>3.9573760101410234E-2</v>
      </c>
      <c r="V297" s="439">
        <f t="shared" si="434"/>
        <v>2.7420682667342156E-2</v>
      </c>
      <c r="W297" s="439">
        <f t="shared" si="434"/>
        <v>2.7132577018617633E-2</v>
      </c>
      <c r="X297" s="439">
        <f t="shared" si="434"/>
        <v>3.5252417583828834E-2</v>
      </c>
      <c r="Y297" s="439">
        <f t="shared" si="434"/>
        <v>2.7331686226065473E-2</v>
      </c>
      <c r="Z297" s="439">
        <f t="shared" si="434"/>
        <v>3.1192424144817366E-2</v>
      </c>
      <c r="AA297" s="439">
        <f t="shared" si="434"/>
        <v>2.6416392690572672E-2</v>
      </c>
      <c r="AB297" s="439">
        <f t="shared" si="434"/>
        <v>2.6953836809070663E-2</v>
      </c>
      <c r="AC297" s="441">
        <v>0.03</v>
      </c>
      <c r="AD297" s="441">
        <v>0.03</v>
      </c>
      <c r="AE297" s="441">
        <v>0.03</v>
      </c>
      <c r="AF297" s="441">
        <v>0.03</v>
      </c>
      <c r="AG297" s="189"/>
      <c r="AH297" s="440"/>
      <c r="AI297" s="439">
        <f t="shared" ref="AI297:AP297" si="435">AI203/AI$10</f>
        <v>5.3870472405383431E-2</v>
      </c>
      <c r="AJ297" s="439">
        <f t="shared" si="435"/>
        <v>4.977520332732753E-2</v>
      </c>
      <c r="AK297" s="439">
        <f t="shared" si="435"/>
        <v>4.6334507098357257E-2</v>
      </c>
      <c r="AL297" s="439">
        <f t="shared" si="435"/>
        <v>4.4630758807588079E-2</v>
      </c>
      <c r="AM297" s="439">
        <f t="shared" si="435"/>
        <v>2.3803237684985757E-2</v>
      </c>
      <c r="AN297" s="439">
        <f t="shared" si="435"/>
        <v>3.5252417583828834E-2</v>
      </c>
      <c r="AO297" s="439">
        <f t="shared" si="435"/>
        <v>2.6953836809070663E-2</v>
      </c>
      <c r="AP297" s="439">
        <f t="shared" si="435"/>
        <v>0.03</v>
      </c>
      <c r="AQ297" s="441">
        <v>0.03</v>
      </c>
      <c r="AR297" s="441">
        <v>0.03</v>
      </c>
      <c r="AS297" s="441">
        <v>0.03</v>
      </c>
    </row>
    <row r="298" spans="2:70" s="346" customFormat="1" ht="11.25" customHeight="1">
      <c r="C298" s="346" t="s">
        <v>341</v>
      </c>
      <c r="E298" s="439"/>
      <c r="F298" s="439"/>
      <c r="G298" s="439"/>
      <c r="H298" s="439">
        <f t="shared" ref="H298:AB298" si="436">H219/SUM(E$10:H$10)</f>
        <v>0.10254769562362133</v>
      </c>
      <c r="I298" s="439">
        <f t="shared" si="436"/>
        <v>0.10995188571617533</v>
      </c>
      <c r="J298" s="439">
        <f t="shared" si="436"/>
        <v>0.10090583526437751</v>
      </c>
      <c r="K298" s="439">
        <f t="shared" si="436"/>
        <v>0.12225765922489611</v>
      </c>
      <c r="L298" s="439">
        <f t="shared" si="436"/>
        <v>0.1200586351396568</v>
      </c>
      <c r="M298" s="439">
        <f t="shared" si="436"/>
        <v>0.14970873483156596</v>
      </c>
      <c r="N298" s="439">
        <f t="shared" si="436"/>
        <v>0.11047863505964065</v>
      </c>
      <c r="O298" s="439">
        <f t="shared" si="436"/>
        <v>0.14203396684189243</v>
      </c>
      <c r="P298" s="439">
        <f t="shared" si="436"/>
        <v>0.11177450316169828</v>
      </c>
      <c r="Q298" s="439">
        <f t="shared" si="436"/>
        <v>0.14282286182121029</v>
      </c>
      <c r="R298" s="439">
        <f t="shared" si="436"/>
        <v>0.12421504276418606</v>
      </c>
      <c r="S298" s="439">
        <f t="shared" si="436"/>
        <v>0.16807975799923311</v>
      </c>
      <c r="T298" s="439">
        <f t="shared" si="436"/>
        <v>0.14779406656013339</v>
      </c>
      <c r="U298" s="439">
        <f t="shared" si="436"/>
        <v>0.17740189087836053</v>
      </c>
      <c r="V298" s="439">
        <f t="shared" si="436"/>
        <v>0.15640554746374516</v>
      </c>
      <c r="W298" s="439">
        <f t="shared" si="436"/>
        <v>0.16968424287433737</v>
      </c>
      <c r="X298" s="439">
        <f t="shared" si="436"/>
        <v>0.16271334454903874</v>
      </c>
      <c r="Y298" s="439">
        <f t="shared" si="436"/>
        <v>0.17131202388305539</v>
      </c>
      <c r="Z298" s="439">
        <f t="shared" si="436"/>
        <v>0.15522772659923983</v>
      </c>
      <c r="AA298" s="439">
        <f t="shared" si="436"/>
        <v>0.17916762239722711</v>
      </c>
      <c r="AB298" s="439">
        <f t="shared" si="436"/>
        <v>0.15930603361004253</v>
      </c>
      <c r="AC298" s="441">
        <v>0.16</v>
      </c>
      <c r="AD298" s="441">
        <v>0.16</v>
      </c>
      <c r="AE298" s="441">
        <v>0.16</v>
      </c>
      <c r="AF298" s="441">
        <v>0.16</v>
      </c>
      <c r="AG298" s="189"/>
      <c r="AH298" s="440"/>
      <c r="AI298" s="439">
        <f t="shared" ref="AI298:AP298" si="437">AI219/AI$10</f>
        <v>8.3226447475386142E-2</v>
      </c>
      <c r="AJ298" s="439">
        <f t="shared" si="437"/>
        <v>0.10254769562362133</v>
      </c>
      <c r="AK298" s="439">
        <f t="shared" si="437"/>
        <v>0.1200586351396568</v>
      </c>
      <c r="AL298" s="439">
        <f t="shared" si="437"/>
        <v>0.11177450316169828</v>
      </c>
      <c r="AM298" s="439">
        <f t="shared" si="437"/>
        <v>0.14779406656013339</v>
      </c>
      <c r="AN298" s="439">
        <f t="shared" si="437"/>
        <v>0.16271334454903874</v>
      </c>
      <c r="AO298" s="439">
        <f t="shared" si="437"/>
        <v>0.15930603361004253</v>
      </c>
      <c r="AP298" s="439">
        <f t="shared" si="437"/>
        <v>0.16</v>
      </c>
      <c r="AQ298" s="441">
        <v>0.16</v>
      </c>
      <c r="AR298" s="441">
        <v>0.16</v>
      </c>
      <c r="AS298" s="441">
        <v>0.16</v>
      </c>
    </row>
    <row r="299" spans="2:70" ht="11.25" customHeight="1">
      <c r="AH299" s="376"/>
      <c r="AI299" s="376"/>
    </row>
    <row r="300" spans="2:70" ht="11.25" customHeight="1">
      <c r="C300" s="338" t="s">
        <v>342</v>
      </c>
      <c r="E300" s="416">
        <f t="shared" ref="E300:AB300" si="438">+E307/E10</f>
        <v>3.2695956794628521E-2</v>
      </c>
      <c r="F300" s="416">
        <f t="shared" si="438"/>
        <v>2.6897214217098942E-2</v>
      </c>
      <c r="G300" s="416">
        <f t="shared" si="438"/>
        <v>2.0534922043351504E-2</v>
      </c>
      <c r="H300" s="416">
        <f t="shared" si="438"/>
        <v>1.8810309026505434E-2</v>
      </c>
      <c r="I300" s="416">
        <f t="shared" si="438"/>
        <v>2.6831576101649095E-2</v>
      </c>
      <c r="J300" s="416">
        <f t="shared" si="438"/>
        <v>2.2217706428232745E-2</v>
      </c>
      <c r="K300" s="416">
        <f t="shared" si="438"/>
        <v>2.0187008483497429E-2</v>
      </c>
      <c r="L300" s="416">
        <f t="shared" si="438"/>
        <v>1.8002697472585469E-2</v>
      </c>
      <c r="M300" s="416">
        <f t="shared" si="438"/>
        <v>2.6951325781152745E-2</v>
      </c>
      <c r="N300" s="416">
        <f t="shared" si="438"/>
        <v>2.2815705695083129E-2</v>
      </c>
      <c r="O300" s="416">
        <f t="shared" si="438"/>
        <v>1.9986432187027083E-2</v>
      </c>
      <c r="P300" s="416">
        <f t="shared" si="438"/>
        <v>1.838452055528756E-2</v>
      </c>
      <c r="Q300" s="416">
        <f t="shared" si="438"/>
        <v>2.4220160637569266E-2</v>
      </c>
      <c r="R300" s="416">
        <f t="shared" si="438"/>
        <v>2.8476219327476522E-2</v>
      </c>
      <c r="S300" s="416">
        <f t="shared" si="438"/>
        <v>2.2459614382490882E-2</v>
      </c>
      <c r="T300" s="416">
        <f t="shared" si="438"/>
        <v>2.0535405017566431E-2</v>
      </c>
      <c r="U300" s="416">
        <f t="shared" si="438"/>
        <v>2.26447448053258E-2</v>
      </c>
      <c r="V300" s="416">
        <f t="shared" si="438"/>
        <v>2.4939172749391728E-2</v>
      </c>
      <c r="W300" s="416">
        <f t="shared" si="438"/>
        <v>2.4654993727158677E-2</v>
      </c>
      <c r="X300" s="416">
        <f t="shared" si="438"/>
        <v>2.3075382921213333E-2</v>
      </c>
      <c r="Y300" s="416">
        <f t="shared" si="438"/>
        <v>2.1603212524780157E-2</v>
      </c>
      <c r="Z300" s="416">
        <f t="shared" si="438"/>
        <v>3.153176099027049E-2</v>
      </c>
      <c r="AA300" s="416">
        <f t="shared" si="438"/>
        <v>2.8293038766152565E-2</v>
      </c>
      <c r="AB300" s="416">
        <f t="shared" si="438"/>
        <v>2.1872564302416211E-2</v>
      </c>
      <c r="AC300" s="441">
        <v>2.5000000000000001E-2</v>
      </c>
      <c r="AD300" s="441">
        <v>2.5000000000000001E-2</v>
      </c>
      <c r="AE300" s="441">
        <v>2.5000000000000001E-2</v>
      </c>
      <c r="AF300" s="441">
        <v>2.5000000000000001E-2</v>
      </c>
      <c r="AH300" s="416">
        <f t="shared" ref="AH300:AP300" si="439">+AH307/AH10</f>
        <v>2.0547700017898695E-2</v>
      </c>
      <c r="AI300" s="416">
        <f t="shared" si="439"/>
        <v>2.3575106133140639E-2</v>
      </c>
      <c r="AJ300" s="416">
        <f t="shared" si="439"/>
        <v>2.4315085793187061E-2</v>
      </c>
      <c r="AK300" s="416">
        <f t="shared" si="439"/>
        <v>2.1637641210305762E-2</v>
      </c>
      <c r="AL300" s="416">
        <f t="shared" si="439"/>
        <v>2.1821364046973803E-2</v>
      </c>
      <c r="AM300" s="416">
        <f t="shared" si="439"/>
        <v>2.3692072535260195E-2</v>
      </c>
      <c r="AN300" s="416">
        <f t="shared" si="439"/>
        <v>2.3809829581208985E-2</v>
      </c>
      <c r="AO300" s="416">
        <f t="shared" si="439"/>
        <v>2.5764324762097592E-2</v>
      </c>
      <c r="AP300" s="416">
        <f t="shared" si="439"/>
        <v>2.4999999999999998E-2</v>
      </c>
      <c r="AQ300" s="441">
        <v>2.5000000000000001E-2</v>
      </c>
      <c r="AR300" s="441">
        <v>2.5000000000000001E-2</v>
      </c>
      <c r="AS300" s="441">
        <v>2.5000000000000001E-2</v>
      </c>
    </row>
    <row r="301" spans="2:70" ht="11.25" customHeight="1">
      <c r="AH301" s="376"/>
      <c r="AI301" s="376"/>
    </row>
    <row r="302" spans="2:70" s="433" customFormat="1" ht="11.25" customHeight="1">
      <c r="B302" s="367" t="s">
        <v>9</v>
      </c>
      <c r="C302" s="367" t="s">
        <v>343</v>
      </c>
      <c r="D302" s="434"/>
      <c r="E302" s="434"/>
      <c r="F302" s="434"/>
      <c r="G302" s="434"/>
      <c r="H302" s="434"/>
      <c r="I302" s="435"/>
      <c r="J302" s="435"/>
      <c r="K302" s="435"/>
      <c r="L302" s="435"/>
      <c r="M302" s="435"/>
      <c r="N302" s="435"/>
      <c r="O302" s="435"/>
      <c r="P302" s="435"/>
      <c r="Q302" s="435"/>
      <c r="R302" s="435"/>
      <c r="S302" s="435"/>
      <c r="T302" s="435"/>
      <c r="U302" s="435"/>
      <c r="V302" s="435"/>
      <c r="W302" s="435"/>
      <c r="X302" s="435"/>
      <c r="Y302" s="435"/>
      <c r="Z302" s="435"/>
      <c r="AA302" s="435"/>
      <c r="AB302" s="434"/>
      <c r="AC302" s="434"/>
      <c r="AD302" s="434"/>
      <c r="AE302" s="434"/>
      <c r="AF302" s="434"/>
      <c r="AG302" s="429"/>
      <c r="AH302" s="434"/>
      <c r="AI302" s="434"/>
      <c r="AJ302" s="434"/>
      <c r="AK302" s="434"/>
      <c r="AL302" s="434"/>
      <c r="AM302" s="434"/>
      <c r="AN302" s="434"/>
      <c r="AO302" s="434"/>
      <c r="AP302" s="434"/>
      <c r="AQ302" s="434"/>
      <c r="AR302" s="434"/>
      <c r="AS302" s="434"/>
    </row>
    <row r="303" spans="2:70">
      <c r="E303" s="372"/>
      <c r="F303" s="372"/>
      <c r="G303" s="372"/>
      <c r="H303" s="372"/>
      <c r="I303" s="372"/>
      <c r="J303" s="372"/>
      <c r="K303" s="372"/>
      <c r="L303" s="372"/>
      <c r="M303" s="372"/>
      <c r="N303" s="372"/>
      <c r="O303" s="372"/>
      <c r="P303" s="372"/>
      <c r="Q303" s="372"/>
      <c r="R303" s="372"/>
      <c r="S303" s="372"/>
      <c r="T303" s="372"/>
      <c r="U303" s="372"/>
      <c r="V303" s="372"/>
      <c r="W303" s="372"/>
      <c r="X303" s="369"/>
      <c r="Y303" s="369"/>
      <c r="Z303" s="369"/>
      <c r="AA303" s="369"/>
      <c r="AB303" s="369"/>
      <c r="AC303" s="372"/>
      <c r="AD303" s="372"/>
      <c r="AE303" s="372"/>
      <c r="AF303" s="372"/>
    </row>
    <row r="304" spans="2:70">
      <c r="C304" s="338" t="s">
        <v>197</v>
      </c>
      <c r="E304" s="372">
        <f>AU304</f>
        <v>2046</v>
      </c>
      <c r="F304" s="372">
        <f>AV304-AU304</f>
        <v>1330</v>
      </c>
      <c r="G304" s="372">
        <f>AW304-AV304</f>
        <v>3378</v>
      </c>
      <c r="H304" s="372">
        <f>AX304-AW304</f>
        <v>3562</v>
      </c>
      <c r="I304" s="372">
        <f>AY304</f>
        <v>2964</v>
      </c>
      <c r="J304" s="372">
        <f>AZ304-AY304</f>
        <v>2808</v>
      </c>
      <c r="K304" s="372">
        <f>BA304-AZ304</f>
        <v>4516</v>
      </c>
      <c r="L304" s="372">
        <f>BB304-BA304</f>
        <v>-687</v>
      </c>
      <c r="M304" s="372">
        <f>BC304</f>
        <v>4454</v>
      </c>
      <c r="N304" s="372">
        <f>BD304-BC304</f>
        <v>5006</v>
      </c>
      <c r="O304" s="372">
        <f>BE304-BD304</f>
        <v>6398</v>
      </c>
      <c r="P304" s="372">
        <f>BF304-BE304</f>
        <v>5195</v>
      </c>
      <c r="Q304" s="372">
        <f>BG304</f>
        <v>3974</v>
      </c>
      <c r="R304" s="372">
        <f>BH304-BG304</f>
        <v>4179</v>
      </c>
      <c r="S304" s="372">
        <f>BI304-BH304</f>
        <v>5990</v>
      </c>
      <c r="T304" s="372">
        <f>BJ304-BI304</f>
        <v>6905</v>
      </c>
      <c r="U304" s="372">
        <f>BK304</f>
        <v>5661</v>
      </c>
      <c r="V304" s="372">
        <f>BL304-BK304</f>
        <v>5105</v>
      </c>
      <c r="W304" s="372">
        <f>BM304-BL304</f>
        <v>4276</v>
      </c>
      <c r="X304" s="372">
        <f>BN304-BM304</f>
        <v>5857</v>
      </c>
      <c r="Y304" s="372">
        <f>BO304</f>
        <v>3361</v>
      </c>
      <c r="Z304" s="372">
        <f>BP304-BO304</f>
        <v>5061</v>
      </c>
      <c r="AA304" s="372">
        <f>BQ304-BP304</f>
        <v>6823</v>
      </c>
      <c r="AB304" s="372">
        <f>BR304-BQ304</f>
        <v>4623</v>
      </c>
      <c r="AC304" s="372">
        <f ca="1">AC43</f>
        <v>2665.0810947504788</v>
      </c>
      <c r="AD304" s="372">
        <f ca="1">AD43</f>
        <v>1678.9267610004792</v>
      </c>
      <c r="AE304" s="372">
        <f ca="1">AE43</f>
        <v>1316.4600472504794</v>
      </c>
      <c r="AF304" s="372">
        <f ca="1">AF43</f>
        <v>988.71203625047883</v>
      </c>
      <c r="AG304" s="445"/>
      <c r="AH304" s="345">
        <v>11704</v>
      </c>
      <c r="AI304" s="345">
        <v>11420</v>
      </c>
      <c r="AJ304" s="345">
        <v>10316</v>
      </c>
      <c r="AK304" s="345">
        <v>9601</v>
      </c>
      <c r="AL304" s="345">
        <v>21053</v>
      </c>
      <c r="AM304" s="345">
        <v>21048</v>
      </c>
      <c r="AN304" s="345">
        <v>20899</v>
      </c>
      <c r="AO304" s="345">
        <v>19868</v>
      </c>
      <c r="AP304" s="344">
        <f t="shared" ref="AP304:AP322" ca="1" si="440">+SUMIF($E$5:$AF$5,AP$5,$E304:$AF304)</f>
        <v>6649.1799392519169</v>
      </c>
      <c r="AQ304" s="372">
        <f ca="1">AQ43</f>
        <v>7184.2411900269162</v>
      </c>
      <c r="AR304" s="372">
        <f ca="1">AR43</f>
        <v>9070.3922465672949</v>
      </c>
      <c r="AS304" s="372">
        <f ca="1">AS43</f>
        <v>10109.846700070131</v>
      </c>
      <c r="AU304" s="345">
        <v>2046</v>
      </c>
      <c r="AV304" s="345">
        <v>3376</v>
      </c>
      <c r="AW304" s="345">
        <v>6754</v>
      </c>
      <c r="AX304" s="345">
        <v>10316</v>
      </c>
      <c r="AY304" s="345">
        <v>2964</v>
      </c>
      <c r="AZ304" s="345">
        <v>5772</v>
      </c>
      <c r="BA304" s="345">
        <v>10288</v>
      </c>
      <c r="BB304" s="345">
        <v>9601</v>
      </c>
      <c r="BC304" s="345">
        <v>4454</v>
      </c>
      <c r="BD304" s="345">
        <v>9460</v>
      </c>
      <c r="BE304" s="345">
        <v>15858</v>
      </c>
      <c r="BF304" s="345">
        <v>21053</v>
      </c>
      <c r="BG304" s="345">
        <v>3974</v>
      </c>
      <c r="BH304" s="345">
        <v>8153</v>
      </c>
      <c r="BI304" s="345">
        <v>14143</v>
      </c>
      <c r="BJ304" s="345">
        <v>21048</v>
      </c>
      <c r="BK304" s="345">
        <v>5661</v>
      </c>
      <c r="BL304" s="345">
        <v>10766</v>
      </c>
      <c r="BM304" s="345">
        <v>15042</v>
      </c>
      <c r="BN304" s="345">
        <v>20899</v>
      </c>
      <c r="BO304" s="345">
        <v>3361</v>
      </c>
      <c r="BP304" s="345">
        <v>8422</v>
      </c>
      <c r="BQ304" s="345">
        <v>15245</v>
      </c>
      <c r="BR304" s="345">
        <v>19868</v>
      </c>
    </row>
    <row r="305" spans="3:70">
      <c r="E305" s="372"/>
      <c r="F305" s="372"/>
      <c r="G305" s="372"/>
      <c r="H305" s="372"/>
      <c r="I305" s="372"/>
      <c r="J305" s="372"/>
      <c r="K305" s="372"/>
      <c r="L305" s="372"/>
      <c r="M305" s="372"/>
      <c r="N305" s="372"/>
      <c r="O305" s="372"/>
      <c r="P305" s="372"/>
      <c r="Q305" s="372"/>
      <c r="R305" s="372"/>
      <c r="S305" s="372"/>
      <c r="T305" s="372"/>
      <c r="U305" s="372"/>
      <c r="V305" s="372"/>
      <c r="W305" s="372"/>
      <c r="X305" s="372"/>
      <c r="Y305" s="372"/>
      <c r="Z305" s="372"/>
      <c r="AA305" s="372"/>
      <c r="AB305" s="372"/>
      <c r="AC305" s="372"/>
      <c r="AD305" s="372"/>
      <c r="AE305" s="372"/>
      <c r="AF305" s="372"/>
      <c r="AG305" s="445"/>
      <c r="AH305" s="345"/>
      <c r="AI305" s="345"/>
      <c r="AJ305" s="345"/>
      <c r="AK305" s="345"/>
      <c r="AL305" s="345"/>
      <c r="AM305" s="345"/>
      <c r="AN305" s="345"/>
      <c r="AO305" s="345"/>
      <c r="AP305" s="344"/>
      <c r="AQ305" s="372"/>
      <c r="AR305" s="372"/>
      <c r="AS305" s="372"/>
      <c r="AU305" s="345"/>
      <c r="AV305" s="345"/>
      <c r="AW305" s="345"/>
      <c r="AX305" s="345"/>
      <c r="AY305" s="345"/>
      <c r="AZ305" s="345"/>
      <c r="BA305" s="345"/>
      <c r="BB305" s="345"/>
      <c r="BC305" s="345"/>
      <c r="BD305" s="345"/>
      <c r="BE305" s="345"/>
      <c r="BF305" s="345"/>
      <c r="BG305" s="345"/>
      <c r="BH305" s="345"/>
      <c r="BI305" s="345"/>
      <c r="BJ305" s="345"/>
      <c r="BK305" s="345"/>
      <c r="BL305" s="345"/>
      <c r="BM305" s="345"/>
      <c r="BN305" s="345"/>
      <c r="BO305" s="345"/>
      <c r="BP305" s="345"/>
      <c r="BQ305" s="345"/>
      <c r="BR305" s="345"/>
    </row>
    <row r="306" spans="3:70">
      <c r="C306" s="338" t="s">
        <v>344</v>
      </c>
      <c r="E306" s="372">
        <f t="shared" ref="E306:E322" si="441">AU306</f>
        <v>1619</v>
      </c>
      <c r="F306" s="372">
        <f t="shared" ref="F306:F322" si="442">AV306-AU306</f>
        <v>1522</v>
      </c>
      <c r="G306" s="372">
        <f t="shared" ref="G306:G322" si="443">AW306-AV306</f>
        <v>1543</v>
      </c>
      <c r="H306" s="372">
        <f t="shared" ref="H306:H322" si="444">AX306-AW306</f>
        <v>1582</v>
      </c>
      <c r="I306" s="372">
        <f t="shared" ref="I306:I322" si="445">AY306</f>
        <v>1625</v>
      </c>
      <c r="J306" s="372">
        <f t="shared" ref="J306:J322" si="446">AZ306-AY306</f>
        <v>1675</v>
      </c>
      <c r="K306" s="372">
        <f t="shared" ref="K306:K322" si="447">BA306-AZ306</f>
        <v>1690</v>
      </c>
      <c r="L306" s="372">
        <f t="shared" ref="L306:L322" si="448">BB306-BA306</f>
        <v>1762</v>
      </c>
      <c r="M306" s="372">
        <f t="shared" ref="M306:M322" si="449">BC306</f>
        <v>1806</v>
      </c>
      <c r="N306" s="372">
        <f t="shared" ref="N306:N322" si="450">BD306-BC306</f>
        <v>1730</v>
      </c>
      <c r="O306" s="372">
        <f t="shared" ref="O306:O322" si="451">BE306-BD306</f>
        <v>1884</v>
      </c>
      <c r="P306" s="372">
        <f t="shared" ref="P306:P322" si="452">BF306-BE306</f>
        <v>2100</v>
      </c>
      <c r="Q306" s="372">
        <f t="shared" ref="Q306:Q322" si="453">BG306</f>
        <v>2229</v>
      </c>
      <c r="R306" s="372">
        <f t="shared" ref="R306:R322" si="454">BH306-BG306</f>
        <v>2150</v>
      </c>
      <c r="S306" s="372">
        <f t="shared" ref="S306:S322" si="455">BI306-BH306</f>
        <v>2268</v>
      </c>
      <c r="T306" s="372">
        <f t="shared" ref="T306:T322" si="456">BJ306-BI306</f>
        <v>2557</v>
      </c>
      <c r="U306" s="372">
        <f t="shared" ref="U306:U322" si="457">BK306</f>
        <v>2623</v>
      </c>
      <c r="V306" s="372">
        <f t="shared" ref="V306:V322" si="458">BL306-BK306</f>
        <v>2625</v>
      </c>
      <c r="W306" s="372">
        <f t="shared" ref="W306:W322" si="459">BM306-BL306</f>
        <v>2677</v>
      </c>
      <c r="X306" s="372">
        <f t="shared" ref="X306:X322" si="460">BN306-BM306</f>
        <v>2557</v>
      </c>
      <c r="Y306" s="372">
        <f t="shared" ref="Y306:Y322" si="461">BO306</f>
        <v>2454</v>
      </c>
      <c r="Z306" s="372">
        <f t="shared" ref="Z306:Z322" si="462">BP306-BO306</f>
        <v>2408</v>
      </c>
      <c r="AA306" s="372">
        <f t="shared" ref="AA306:AA322" si="463">BQ306-BP306</f>
        <v>2495</v>
      </c>
      <c r="AB306" s="372">
        <f t="shared" ref="AB306:AB322" si="464">BR306-BQ306</f>
        <v>2596</v>
      </c>
      <c r="AC306" s="372">
        <f>-AC395</f>
        <v>2500</v>
      </c>
      <c r="AD306" s="372">
        <f>-AD395</f>
        <v>2500</v>
      </c>
      <c r="AE306" s="372">
        <f>-AE395</f>
        <v>3000</v>
      </c>
      <c r="AF306" s="372">
        <f>-AF395</f>
        <v>3000</v>
      </c>
      <c r="AG306" s="445"/>
      <c r="AH306" s="345">
        <v>7380</v>
      </c>
      <c r="AI306" s="345">
        <v>7821</v>
      </c>
      <c r="AJ306" s="345">
        <v>6266</v>
      </c>
      <c r="AK306" s="345">
        <v>6752</v>
      </c>
      <c r="AL306" s="345">
        <v>7520</v>
      </c>
      <c r="AM306" s="345">
        <v>9204</v>
      </c>
      <c r="AN306" s="345">
        <v>10482</v>
      </c>
      <c r="AO306" s="345">
        <v>9953</v>
      </c>
      <c r="AP306" s="344">
        <f t="shared" si="440"/>
        <v>11000</v>
      </c>
      <c r="AQ306" s="372">
        <f>-AQ395</f>
        <v>12559.232775723378</v>
      </c>
      <c r="AR306" s="372">
        <f>-AR395</f>
        <v>13398.646475475309</v>
      </c>
      <c r="AS306" s="372">
        <f>-AS395</f>
        <v>13730.585187518678</v>
      </c>
      <c r="AU306" s="345">
        <v>1619</v>
      </c>
      <c r="AV306" s="345">
        <v>3141</v>
      </c>
      <c r="AW306" s="345">
        <v>4684</v>
      </c>
      <c r="AX306" s="345">
        <v>6266</v>
      </c>
      <c r="AY306" s="345">
        <v>1625</v>
      </c>
      <c r="AZ306" s="345">
        <v>3300</v>
      </c>
      <c r="BA306" s="345">
        <v>4990</v>
      </c>
      <c r="BB306" s="345">
        <v>6752</v>
      </c>
      <c r="BC306" s="345">
        <v>1806</v>
      </c>
      <c r="BD306" s="345">
        <v>3536</v>
      </c>
      <c r="BE306" s="345">
        <v>5420</v>
      </c>
      <c r="BF306" s="345">
        <v>7520</v>
      </c>
      <c r="BG306" s="345">
        <v>2229</v>
      </c>
      <c r="BH306" s="345">
        <v>4379</v>
      </c>
      <c r="BI306" s="345">
        <v>6647</v>
      </c>
      <c r="BJ306" s="345">
        <v>9204</v>
      </c>
      <c r="BK306" s="345">
        <v>2623</v>
      </c>
      <c r="BL306" s="345">
        <v>5248</v>
      </c>
      <c r="BM306" s="345">
        <v>7925</v>
      </c>
      <c r="BN306" s="345">
        <v>10482</v>
      </c>
      <c r="BO306" s="345">
        <v>2454</v>
      </c>
      <c r="BP306" s="345">
        <v>4862</v>
      </c>
      <c r="BQ306" s="345">
        <v>7357</v>
      </c>
      <c r="BR306" s="345">
        <v>9953</v>
      </c>
    </row>
    <row r="307" spans="3:70">
      <c r="C307" s="338" t="s">
        <v>345</v>
      </c>
      <c r="E307" s="372">
        <f t="shared" si="441"/>
        <v>448</v>
      </c>
      <c r="F307" s="372">
        <f t="shared" si="442"/>
        <v>364</v>
      </c>
      <c r="G307" s="372">
        <f t="shared" si="443"/>
        <v>324</v>
      </c>
      <c r="H307" s="372">
        <f t="shared" si="444"/>
        <v>308</v>
      </c>
      <c r="I307" s="372">
        <f t="shared" si="445"/>
        <v>397</v>
      </c>
      <c r="J307" s="372">
        <f t="shared" si="446"/>
        <v>328</v>
      </c>
      <c r="K307" s="372">
        <f t="shared" si="447"/>
        <v>326</v>
      </c>
      <c r="L307" s="372">
        <f t="shared" si="448"/>
        <v>307</v>
      </c>
      <c r="M307" s="372">
        <f t="shared" si="449"/>
        <v>433</v>
      </c>
      <c r="N307" s="372">
        <f t="shared" si="450"/>
        <v>387</v>
      </c>
      <c r="O307" s="372">
        <f t="shared" si="451"/>
        <v>383</v>
      </c>
      <c r="P307" s="372">
        <f t="shared" si="452"/>
        <v>343</v>
      </c>
      <c r="Q307" s="372">
        <f t="shared" si="453"/>
        <v>389</v>
      </c>
      <c r="R307" s="372">
        <f t="shared" si="454"/>
        <v>470</v>
      </c>
      <c r="S307" s="372">
        <f t="shared" si="455"/>
        <v>431</v>
      </c>
      <c r="T307" s="372">
        <f t="shared" si="456"/>
        <v>415</v>
      </c>
      <c r="U307" s="372">
        <f t="shared" si="457"/>
        <v>449</v>
      </c>
      <c r="V307" s="372">
        <f t="shared" si="458"/>
        <v>492</v>
      </c>
      <c r="W307" s="372">
        <f t="shared" si="459"/>
        <v>452</v>
      </c>
      <c r="X307" s="372">
        <f t="shared" si="460"/>
        <v>461</v>
      </c>
      <c r="Y307" s="372">
        <f t="shared" si="461"/>
        <v>425</v>
      </c>
      <c r="Z307" s="372">
        <f t="shared" si="462"/>
        <v>619</v>
      </c>
      <c r="AA307" s="372">
        <f t="shared" si="463"/>
        <v>543</v>
      </c>
      <c r="AB307" s="372">
        <f t="shared" si="464"/>
        <v>449</v>
      </c>
      <c r="AC307" s="372">
        <f>+AC300*AC10</f>
        <v>476.16874999999993</v>
      </c>
      <c r="AD307" s="372">
        <f>+AD300*AD10</f>
        <v>420.91937499999995</v>
      </c>
      <c r="AE307" s="372">
        <f>+AE300*AE10</f>
        <v>410.99625000000009</v>
      </c>
      <c r="AF307" s="372">
        <f>+AF300*AF10</f>
        <v>432.62187500000005</v>
      </c>
      <c r="AG307" s="445"/>
      <c r="AH307" s="345">
        <v>1148</v>
      </c>
      <c r="AI307" s="345">
        <v>1305</v>
      </c>
      <c r="AJ307" s="345">
        <v>1444</v>
      </c>
      <c r="AK307" s="345">
        <v>1358</v>
      </c>
      <c r="AL307" s="345">
        <v>1546</v>
      </c>
      <c r="AM307" s="345">
        <v>1705</v>
      </c>
      <c r="AN307" s="345">
        <v>1854</v>
      </c>
      <c r="AO307" s="345">
        <v>2036</v>
      </c>
      <c r="AP307" s="344">
        <f t="shared" si="440"/>
        <v>1740.70625</v>
      </c>
      <c r="AQ307" s="372">
        <f>+AQ300*AQ10</f>
        <v>1642.1373031250002</v>
      </c>
      <c r="AR307" s="372">
        <f>+AR300*AR10</f>
        <v>1699.4418206562505</v>
      </c>
      <c r="AS307" s="372">
        <f>+AS300*AS10</f>
        <v>1777.9079182609382</v>
      </c>
      <c r="AU307" s="345">
        <v>448</v>
      </c>
      <c r="AV307" s="345">
        <v>812</v>
      </c>
      <c r="AW307" s="345">
        <v>1136</v>
      </c>
      <c r="AX307" s="345">
        <v>1444</v>
      </c>
      <c r="AY307" s="345">
        <v>397</v>
      </c>
      <c r="AZ307" s="345">
        <v>725</v>
      </c>
      <c r="BA307" s="345">
        <v>1051</v>
      </c>
      <c r="BB307" s="345">
        <v>1358</v>
      </c>
      <c r="BC307" s="345">
        <v>433</v>
      </c>
      <c r="BD307" s="345">
        <v>820</v>
      </c>
      <c r="BE307" s="345">
        <v>1203</v>
      </c>
      <c r="BF307" s="345">
        <v>1546</v>
      </c>
      <c r="BG307" s="345">
        <v>389</v>
      </c>
      <c r="BH307" s="345">
        <v>859</v>
      </c>
      <c r="BI307" s="345">
        <v>1290</v>
      </c>
      <c r="BJ307" s="345">
        <v>1705</v>
      </c>
      <c r="BK307" s="345">
        <v>449</v>
      </c>
      <c r="BL307" s="345">
        <v>941</v>
      </c>
      <c r="BM307" s="345">
        <v>1393</v>
      </c>
      <c r="BN307" s="345">
        <v>1854</v>
      </c>
      <c r="BO307" s="345">
        <v>425</v>
      </c>
      <c r="BP307" s="345">
        <v>1044</v>
      </c>
      <c r="BQ307" s="345">
        <v>1587</v>
      </c>
      <c r="BR307" s="345">
        <v>2036</v>
      </c>
    </row>
    <row r="308" spans="3:70">
      <c r="C308" s="338" t="s">
        <v>188</v>
      </c>
      <c r="E308" s="372">
        <f t="shared" si="441"/>
        <v>0</v>
      </c>
      <c r="F308" s="372">
        <f t="shared" si="442"/>
        <v>1414</v>
      </c>
      <c r="G308" s="372">
        <f t="shared" si="443"/>
        <v>372</v>
      </c>
      <c r="H308" s="372">
        <f t="shared" si="444"/>
        <v>-1786</v>
      </c>
      <c r="I308" s="372">
        <f t="shared" si="445"/>
        <v>80</v>
      </c>
      <c r="J308" s="372">
        <f t="shared" si="446"/>
        <v>-80</v>
      </c>
      <c r="K308" s="372">
        <f t="shared" si="447"/>
        <v>0</v>
      </c>
      <c r="L308" s="372">
        <f t="shared" si="448"/>
        <v>0</v>
      </c>
      <c r="M308" s="372">
        <f t="shared" si="449"/>
        <v>0</v>
      </c>
      <c r="N308" s="372">
        <f t="shared" si="450"/>
        <v>0</v>
      </c>
      <c r="O308" s="372">
        <f t="shared" si="451"/>
        <v>0</v>
      </c>
      <c r="P308" s="372">
        <f t="shared" si="452"/>
        <v>0</v>
      </c>
      <c r="Q308" s="372">
        <f t="shared" si="453"/>
        <v>0</v>
      </c>
      <c r="R308" s="372">
        <f t="shared" si="454"/>
        <v>0</v>
      </c>
      <c r="S308" s="372">
        <f t="shared" si="455"/>
        <v>0</v>
      </c>
      <c r="T308" s="372">
        <f t="shared" si="456"/>
        <v>393</v>
      </c>
      <c r="U308" s="372">
        <f t="shared" si="457"/>
        <v>162</v>
      </c>
      <c r="V308" s="372">
        <f t="shared" si="458"/>
        <v>9</v>
      </c>
      <c r="W308" s="372">
        <f t="shared" si="459"/>
        <v>-25</v>
      </c>
      <c r="X308" s="372">
        <f t="shared" si="460"/>
        <v>52</v>
      </c>
      <c r="Y308" s="372">
        <f t="shared" si="461"/>
        <v>2209</v>
      </c>
      <c r="Z308" s="372">
        <f t="shared" si="462"/>
        <v>346</v>
      </c>
      <c r="AA308" s="372">
        <f t="shared" si="463"/>
        <v>42</v>
      </c>
      <c r="AB308" s="372">
        <f t="shared" si="464"/>
        <v>29</v>
      </c>
      <c r="AC308" s="444"/>
      <c r="AD308" s="444"/>
      <c r="AE308" s="444"/>
      <c r="AF308" s="444"/>
      <c r="AG308" s="445"/>
      <c r="AH308" s="345">
        <v>295</v>
      </c>
      <c r="AI308" s="345">
        <v>354</v>
      </c>
      <c r="AJ308" s="345">
        <v>0</v>
      </c>
      <c r="AK308" s="345">
        <v>0</v>
      </c>
      <c r="AL308" s="345">
        <v>0</v>
      </c>
      <c r="AM308" s="345">
        <v>393</v>
      </c>
      <c r="AN308" s="345">
        <v>198</v>
      </c>
      <c r="AO308" s="345">
        <v>2626</v>
      </c>
      <c r="AP308" s="344">
        <f t="shared" si="440"/>
        <v>0</v>
      </c>
      <c r="AQ308" s="444"/>
      <c r="AR308" s="444"/>
      <c r="AS308" s="444"/>
      <c r="AU308" s="345">
        <v>0</v>
      </c>
      <c r="AV308" s="345">
        <v>1414</v>
      </c>
      <c r="AW308" s="345">
        <v>1786</v>
      </c>
      <c r="AX308" s="345">
        <v>0</v>
      </c>
      <c r="AY308" s="345">
        <v>80</v>
      </c>
      <c r="AZ308" s="345">
        <v>0</v>
      </c>
      <c r="BA308" s="345">
        <v>0</v>
      </c>
      <c r="BB308" s="345">
        <v>0</v>
      </c>
      <c r="BC308" s="345">
        <v>0</v>
      </c>
      <c r="BD308" s="345">
        <v>0</v>
      </c>
      <c r="BE308" s="345">
        <v>0</v>
      </c>
      <c r="BF308" s="345">
        <v>0</v>
      </c>
      <c r="BG308" s="345">
        <v>0</v>
      </c>
      <c r="BH308" s="345">
        <v>0</v>
      </c>
      <c r="BI308" s="345">
        <v>0</v>
      </c>
      <c r="BJ308" s="345">
        <v>393</v>
      </c>
      <c r="BK308" s="345">
        <v>162</v>
      </c>
      <c r="BL308" s="345">
        <v>171</v>
      </c>
      <c r="BM308" s="345">
        <v>146</v>
      </c>
      <c r="BN308" s="345">
        <v>198</v>
      </c>
      <c r="BO308" s="345">
        <v>2209</v>
      </c>
      <c r="BP308" s="345">
        <v>2555</v>
      </c>
      <c r="BQ308" s="345">
        <v>2597</v>
      </c>
      <c r="BR308" s="345">
        <v>2626</v>
      </c>
    </row>
    <row r="309" spans="3:70">
      <c r="C309" s="338" t="s">
        <v>346</v>
      </c>
      <c r="E309" s="372">
        <f t="shared" si="441"/>
        <v>396</v>
      </c>
      <c r="F309" s="372">
        <f t="shared" si="442"/>
        <v>395</v>
      </c>
      <c r="G309" s="372">
        <f t="shared" si="443"/>
        <v>385</v>
      </c>
      <c r="H309" s="372">
        <f t="shared" si="444"/>
        <v>348</v>
      </c>
      <c r="I309" s="372">
        <f t="shared" si="445"/>
        <v>321</v>
      </c>
      <c r="J309" s="372">
        <f t="shared" si="446"/>
        <v>-136</v>
      </c>
      <c r="K309" s="372">
        <f t="shared" si="447"/>
        <v>814</v>
      </c>
      <c r="L309" s="372">
        <f t="shared" si="448"/>
        <v>378</v>
      </c>
      <c r="M309" s="372">
        <f t="shared" si="449"/>
        <v>390</v>
      </c>
      <c r="N309" s="372">
        <f t="shared" si="450"/>
        <v>392</v>
      </c>
      <c r="O309" s="372">
        <f t="shared" si="451"/>
        <v>390</v>
      </c>
      <c r="P309" s="372">
        <f t="shared" si="452"/>
        <v>393</v>
      </c>
      <c r="Q309" s="372">
        <f t="shared" si="453"/>
        <v>396</v>
      </c>
      <c r="R309" s="372">
        <f t="shared" si="454"/>
        <v>404</v>
      </c>
      <c r="S309" s="372">
        <f t="shared" si="455"/>
        <v>411</v>
      </c>
      <c r="T309" s="372">
        <f t="shared" si="456"/>
        <v>411</v>
      </c>
      <c r="U309" s="372">
        <f t="shared" si="457"/>
        <v>427</v>
      </c>
      <c r="V309" s="372">
        <f t="shared" si="458"/>
        <v>438</v>
      </c>
      <c r="W309" s="372">
        <f t="shared" si="459"/>
        <v>446</v>
      </c>
      <c r="X309" s="372">
        <f t="shared" si="460"/>
        <v>446</v>
      </c>
      <c r="Y309" s="372">
        <f t="shared" si="461"/>
        <v>448</v>
      </c>
      <c r="Z309" s="372">
        <f t="shared" si="462"/>
        <v>449</v>
      </c>
      <c r="AA309" s="372">
        <f t="shared" si="463"/>
        <v>464</v>
      </c>
      <c r="AB309" s="372">
        <f t="shared" si="464"/>
        <v>478</v>
      </c>
      <c r="AC309" s="372">
        <f>-AC434</f>
        <v>442.88749999999999</v>
      </c>
      <c r="AD309" s="372">
        <f>-AD434</f>
        <v>442.88749999999999</v>
      </c>
      <c r="AE309" s="372">
        <f>-AE434</f>
        <v>442.88749999999999</v>
      </c>
      <c r="AF309" s="372">
        <f>-AF434</f>
        <v>442.88749999999999</v>
      </c>
      <c r="AG309" s="445"/>
      <c r="AH309" s="345">
        <v>1169</v>
      </c>
      <c r="AI309" s="345">
        <v>890</v>
      </c>
      <c r="AJ309" s="345">
        <v>1524</v>
      </c>
      <c r="AK309" s="345">
        <v>1377</v>
      </c>
      <c r="AL309" s="345">
        <v>1565</v>
      </c>
      <c r="AM309" s="345">
        <v>1622</v>
      </c>
      <c r="AN309" s="345">
        <v>1757</v>
      </c>
      <c r="AO309" s="345">
        <v>1839</v>
      </c>
      <c r="AP309" s="344">
        <f t="shared" si="440"/>
        <v>1771.55</v>
      </c>
      <c r="AQ309" s="372">
        <f>-AQ434</f>
        <v>1771.55</v>
      </c>
      <c r="AR309" s="372">
        <f>-AR434</f>
        <v>1771.55</v>
      </c>
      <c r="AS309" s="372">
        <f>-AS434</f>
        <v>1771.55</v>
      </c>
      <c r="AU309" s="345">
        <v>396</v>
      </c>
      <c r="AV309" s="345">
        <v>791</v>
      </c>
      <c r="AW309" s="345">
        <v>1176</v>
      </c>
      <c r="AX309" s="345">
        <v>1524</v>
      </c>
      <c r="AY309" s="345">
        <v>321</v>
      </c>
      <c r="AZ309" s="345">
        <v>185</v>
      </c>
      <c r="BA309" s="345">
        <v>999</v>
      </c>
      <c r="BB309" s="345">
        <v>1377</v>
      </c>
      <c r="BC309" s="345">
        <v>390</v>
      </c>
      <c r="BD309" s="345">
        <v>782</v>
      </c>
      <c r="BE309" s="345">
        <v>1172</v>
      </c>
      <c r="BF309" s="345">
        <v>1565</v>
      </c>
      <c r="BG309" s="345">
        <v>396</v>
      </c>
      <c r="BH309" s="345">
        <v>800</v>
      </c>
      <c r="BI309" s="345">
        <v>1211</v>
      </c>
      <c r="BJ309" s="345">
        <v>1622</v>
      </c>
      <c r="BK309" s="345">
        <v>427</v>
      </c>
      <c r="BL309" s="345">
        <v>865</v>
      </c>
      <c r="BM309" s="345">
        <v>1311</v>
      </c>
      <c r="BN309" s="345">
        <v>1757</v>
      </c>
      <c r="BO309" s="345">
        <v>448</v>
      </c>
      <c r="BP309" s="345">
        <v>897</v>
      </c>
      <c r="BQ309" s="345">
        <v>1361</v>
      </c>
      <c r="BR309" s="345">
        <v>1839</v>
      </c>
    </row>
    <row r="310" spans="3:70">
      <c r="C310" s="338" t="s">
        <v>347</v>
      </c>
      <c r="E310" s="372">
        <f t="shared" si="441"/>
        <v>-22</v>
      </c>
      <c r="F310" s="372">
        <f t="shared" si="442"/>
        <v>-404</v>
      </c>
      <c r="G310" s="372">
        <f t="shared" si="443"/>
        <v>12</v>
      </c>
      <c r="H310" s="372">
        <f t="shared" si="444"/>
        <v>-18</v>
      </c>
      <c r="I310" s="372">
        <f t="shared" si="445"/>
        <v>-250</v>
      </c>
      <c r="J310" s="372">
        <f t="shared" si="446"/>
        <v>884</v>
      </c>
      <c r="K310" s="372">
        <f t="shared" si="447"/>
        <v>-2006</v>
      </c>
      <c r="L310" s="372">
        <f t="shared" si="448"/>
        <v>-1211</v>
      </c>
      <c r="M310" s="372">
        <f t="shared" si="449"/>
        <v>-643</v>
      </c>
      <c r="N310" s="372">
        <f t="shared" si="450"/>
        <v>242</v>
      </c>
      <c r="O310" s="372">
        <f t="shared" si="451"/>
        <v>72</v>
      </c>
      <c r="P310" s="372">
        <f t="shared" si="452"/>
        <v>484</v>
      </c>
      <c r="Q310" s="372">
        <f t="shared" si="453"/>
        <v>-274</v>
      </c>
      <c r="R310" s="372">
        <f t="shared" si="454"/>
        <v>174</v>
      </c>
      <c r="S310" s="372">
        <f t="shared" si="455"/>
        <v>-295</v>
      </c>
      <c r="T310" s="372">
        <f t="shared" si="456"/>
        <v>-497</v>
      </c>
      <c r="U310" s="372">
        <f t="shared" si="457"/>
        <v>134</v>
      </c>
      <c r="V310" s="372">
        <f t="shared" si="458"/>
        <v>-226</v>
      </c>
      <c r="W310" s="372">
        <f t="shared" si="459"/>
        <v>-13</v>
      </c>
      <c r="X310" s="372">
        <f t="shared" si="460"/>
        <v>-1652</v>
      </c>
      <c r="Y310" s="372">
        <f t="shared" si="461"/>
        <v>-299</v>
      </c>
      <c r="Z310" s="372">
        <f t="shared" si="462"/>
        <v>-256</v>
      </c>
      <c r="AA310" s="372">
        <f t="shared" si="463"/>
        <v>-558</v>
      </c>
      <c r="AB310" s="372">
        <f t="shared" si="464"/>
        <v>-345</v>
      </c>
      <c r="AC310" s="372">
        <f>-AC36</f>
        <v>-400</v>
      </c>
      <c r="AD310" s="372">
        <f>-AD36</f>
        <v>-400</v>
      </c>
      <c r="AE310" s="372">
        <f>-AE36</f>
        <v>-400</v>
      </c>
      <c r="AF310" s="372">
        <f>-AF36</f>
        <v>-400</v>
      </c>
      <c r="AG310" s="445"/>
      <c r="AH310" s="345">
        <v>-354</v>
      </c>
      <c r="AI310" s="345">
        <v>-263</v>
      </c>
      <c r="AJ310" s="345">
        <v>-432</v>
      </c>
      <c r="AK310" s="345">
        <v>-2583</v>
      </c>
      <c r="AL310" s="345">
        <v>155</v>
      </c>
      <c r="AM310" s="345">
        <v>-892</v>
      </c>
      <c r="AN310" s="345">
        <v>-1757</v>
      </c>
      <c r="AO310" s="345">
        <v>-1458</v>
      </c>
      <c r="AP310" s="344">
        <f t="shared" si="440"/>
        <v>-1600</v>
      </c>
      <c r="AQ310" s="372">
        <f>-AQ36</f>
        <v>-2000</v>
      </c>
      <c r="AR310" s="372">
        <f>-AR36</f>
        <v>-2000</v>
      </c>
      <c r="AS310" s="372">
        <f>-AS36</f>
        <v>-2000</v>
      </c>
      <c r="AU310" s="345">
        <v>-22</v>
      </c>
      <c r="AV310" s="345">
        <v>-426</v>
      </c>
      <c r="AW310" s="345">
        <v>-414</v>
      </c>
      <c r="AX310" s="345">
        <v>-432</v>
      </c>
      <c r="AY310" s="345">
        <v>-250</v>
      </c>
      <c r="AZ310" s="345">
        <v>634</v>
      </c>
      <c r="BA310" s="345">
        <v>-1372</v>
      </c>
      <c r="BB310" s="345">
        <v>-2583</v>
      </c>
      <c r="BC310" s="345">
        <v>-643</v>
      </c>
      <c r="BD310" s="345">
        <v>-401</v>
      </c>
      <c r="BE310" s="345">
        <v>-329</v>
      </c>
      <c r="BF310" s="345">
        <v>155</v>
      </c>
      <c r="BG310" s="345">
        <v>-274</v>
      </c>
      <c r="BH310" s="345">
        <v>-100</v>
      </c>
      <c r="BI310" s="345">
        <v>-395</v>
      </c>
      <c r="BJ310" s="345">
        <v>-892</v>
      </c>
      <c r="BK310" s="345">
        <v>134</v>
      </c>
      <c r="BL310" s="345">
        <v>-92</v>
      </c>
      <c r="BM310" s="345">
        <v>-105</v>
      </c>
      <c r="BN310" s="345">
        <v>-1757</v>
      </c>
      <c r="BO310" s="345">
        <v>-299</v>
      </c>
      <c r="BP310" s="345">
        <v>-555</v>
      </c>
      <c r="BQ310" s="345">
        <v>-1113</v>
      </c>
      <c r="BR310" s="345">
        <v>-1458</v>
      </c>
    </row>
    <row r="311" spans="3:70">
      <c r="C311" s="338" t="s">
        <v>348</v>
      </c>
      <c r="E311" s="372">
        <f t="shared" si="441"/>
        <v>0</v>
      </c>
      <c r="F311" s="372">
        <f t="shared" si="442"/>
        <v>0</v>
      </c>
      <c r="G311" s="372">
        <f t="shared" si="443"/>
        <v>0</v>
      </c>
      <c r="H311" s="372">
        <f t="shared" si="444"/>
        <v>0</v>
      </c>
      <c r="I311" s="372">
        <f t="shared" si="445"/>
        <v>0</v>
      </c>
      <c r="J311" s="372">
        <f t="shared" si="446"/>
        <v>-526</v>
      </c>
      <c r="K311" s="372">
        <f t="shared" si="447"/>
        <v>139</v>
      </c>
      <c r="L311" s="372">
        <f t="shared" si="448"/>
        <v>0</v>
      </c>
      <c r="M311" s="372">
        <f t="shared" si="449"/>
        <v>0</v>
      </c>
      <c r="N311" s="372">
        <f t="shared" si="450"/>
        <v>0</v>
      </c>
      <c r="O311" s="372">
        <f t="shared" si="451"/>
        <v>0</v>
      </c>
      <c r="P311" s="372">
        <f t="shared" si="452"/>
        <v>-497</v>
      </c>
      <c r="Q311" s="372">
        <f t="shared" si="453"/>
        <v>0</v>
      </c>
      <c r="R311" s="372">
        <f t="shared" si="454"/>
        <v>0</v>
      </c>
      <c r="S311" s="372">
        <f t="shared" si="455"/>
        <v>0</v>
      </c>
      <c r="T311" s="372">
        <f t="shared" si="456"/>
        <v>0</v>
      </c>
      <c r="U311" s="372">
        <f t="shared" si="457"/>
        <v>0</v>
      </c>
      <c r="V311" s="372">
        <f t="shared" si="458"/>
        <v>0</v>
      </c>
      <c r="W311" s="372">
        <f t="shared" si="459"/>
        <v>0</v>
      </c>
      <c r="X311" s="372">
        <f t="shared" si="460"/>
        <v>0</v>
      </c>
      <c r="Y311" s="372">
        <f t="shared" si="461"/>
        <v>0</v>
      </c>
      <c r="Z311" s="372">
        <f t="shared" si="462"/>
        <v>0</v>
      </c>
      <c r="AA311" s="372">
        <f t="shared" si="463"/>
        <v>0</v>
      </c>
      <c r="AB311" s="372">
        <f t="shared" si="464"/>
        <v>0</v>
      </c>
      <c r="AC311" s="444"/>
      <c r="AD311" s="444"/>
      <c r="AE311" s="444"/>
      <c r="AF311" s="444"/>
      <c r="AG311" s="445"/>
      <c r="AH311" s="345">
        <v>0</v>
      </c>
      <c r="AI311" s="345">
        <v>0</v>
      </c>
      <c r="AJ311" s="345">
        <v>0</v>
      </c>
      <c r="AK311" s="345">
        <v>-387</v>
      </c>
      <c r="AL311" s="345">
        <v>-497</v>
      </c>
      <c r="AM311" s="345">
        <v>0</v>
      </c>
      <c r="AN311" s="345">
        <v>0</v>
      </c>
      <c r="AO311" s="345">
        <v>0</v>
      </c>
      <c r="AP311" s="344">
        <f t="shared" si="440"/>
        <v>0</v>
      </c>
      <c r="AQ311" s="444"/>
      <c r="AR311" s="444"/>
      <c r="AS311" s="444"/>
      <c r="AU311" s="345">
        <v>0</v>
      </c>
      <c r="AV311" s="345">
        <v>0</v>
      </c>
      <c r="AW311" s="345">
        <v>0</v>
      </c>
      <c r="AX311" s="345">
        <v>0</v>
      </c>
      <c r="AY311" s="345">
        <v>0</v>
      </c>
      <c r="AZ311" s="345">
        <v>-526</v>
      </c>
      <c r="BA311" s="345">
        <v>-387</v>
      </c>
      <c r="BB311" s="345">
        <v>-387</v>
      </c>
      <c r="BC311" s="345">
        <v>0</v>
      </c>
      <c r="BD311" s="345">
        <v>0</v>
      </c>
      <c r="BE311" s="345">
        <v>0</v>
      </c>
      <c r="BF311" s="345">
        <v>-497</v>
      </c>
      <c r="BG311" s="345">
        <v>0</v>
      </c>
      <c r="BH311" s="345">
        <v>0</v>
      </c>
      <c r="BI311" s="345">
        <v>0</v>
      </c>
      <c r="BJ311" s="345">
        <v>0</v>
      </c>
      <c r="BK311" s="345">
        <v>0</v>
      </c>
      <c r="BL311" s="345">
        <v>0</v>
      </c>
      <c r="BM311" s="345">
        <v>0</v>
      </c>
      <c r="BN311" s="345">
        <v>0</v>
      </c>
      <c r="BO311" s="345">
        <v>0</v>
      </c>
      <c r="BP311" s="345">
        <v>0</v>
      </c>
      <c r="BQ311" s="345">
        <v>0</v>
      </c>
      <c r="BR311" s="345">
        <v>0</v>
      </c>
    </row>
    <row r="312" spans="3:70">
      <c r="C312" s="338" t="s">
        <v>349</v>
      </c>
      <c r="E312" s="372">
        <f t="shared" si="441"/>
        <v>-43</v>
      </c>
      <c r="F312" s="372">
        <f t="shared" si="442"/>
        <v>114</v>
      </c>
      <c r="G312" s="372">
        <f t="shared" si="443"/>
        <v>-259</v>
      </c>
      <c r="H312" s="372">
        <f t="shared" si="444"/>
        <v>445</v>
      </c>
      <c r="I312" s="372">
        <f t="shared" si="445"/>
        <v>212</v>
      </c>
      <c r="J312" s="372">
        <f t="shared" si="446"/>
        <v>595</v>
      </c>
      <c r="K312" s="372">
        <f t="shared" si="447"/>
        <v>-237</v>
      </c>
      <c r="L312" s="372">
        <f t="shared" si="448"/>
        <v>-570</v>
      </c>
      <c r="M312" s="372">
        <f t="shared" si="449"/>
        <v>0</v>
      </c>
      <c r="N312" s="372">
        <f t="shared" si="450"/>
        <v>0</v>
      </c>
      <c r="O312" s="372">
        <f t="shared" si="451"/>
        <v>0</v>
      </c>
      <c r="P312" s="372">
        <f t="shared" si="452"/>
        <v>0</v>
      </c>
      <c r="Q312" s="372">
        <f t="shared" si="453"/>
        <v>0</v>
      </c>
      <c r="R312" s="372">
        <f t="shared" si="454"/>
        <v>0</v>
      </c>
      <c r="S312" s="372">
        <f t="shared" si="455"/>
        <v>0</v>
      </c>
      <c r="T312" s="372">
        <f t="shared" si="456"/>
        <v>0</v>
      </c>
      <c r="U312" s="372">
        <f t="shared" si="457"/>
        <v>0</v>
      </c>
      <c r="V312" s="372">
        <f t="shared" si="458"/>
        <v>0</v>
      </c>
      <c r="W312" s="372">
        <f t="shared" si="459"/>
        <v>0</v>
      </c>
      <c r="X312" s="372">
        <f t="shared" si="460"/>
        <v>0</v>
      </c>
      <c r="Y312" s="372">
        <f t="shared" si="461"/>
        <v>0</v>
      </c>
      <c r="Z312" s="372">
        <f t="shared" si="462"/>
        <v>0</v>
      </c>
      <c r="AA312" s="372">
        <f t="shared" si="463"/>
        <v>0</v>
      </c>
      <c r="AB312" s="372">
        <f t="shared" si="464"/>
        <v>0</v>
      </c>
      <c r="AC312" s="444"/>
      <c r="AD312" s="444"/>
      <c r="AE312" s="444"/>
      <c r="AF312" s="444"/>
      <c r="AG312" s="445"/>
      <c r="AH312" s="345">
        <v>-703</v>
      </c>
      <c r="AI312" s="345">
        <v>-1270</v>
      </c>
      <c r="AJ312" s="345">
        <v>257</v>
      </c>
      <c r="AK312" s="345">
        <v>0</v>
      </c>
      <c r="AL312" s="345">
        <v>0</v>
      </c>
      <c r="AM312" s="345">
        <v>0</v>
      </c>
      <c r="AN312" s="345">
        <v>0</v>
      </c>
      <c r="AO312" s="345">
        <v>0</v>
      </c>
      <c r="AP312" s="344">
        <f t="shared" si="440"/>
        <v>0</v>
      </c>
      <c r="AQ312" s="444"/>
      <c r="AR312" s="444"/>
      <c r="AS312" s="444"/>
      <c r="AU312" s="345">
        <v>-43</v>
      </c>
      <c r="AV312" s="345">
        <v>71</v>
      </c>
      <c r="AW312" s="345">
        <v>-188</v>
      </c>
      <c r="AX312" s="345">
        <v>257</v>
      </c>
      <c r="AY312" s="345">
        <v>212</v>
      </c>
      <c r="AZ312" s="345">
        <v>807</v>
      </c>
      <c r="BA312" s="345">
        <v>570</v>
      </c>
      <c r="BB312" s="345">
        <v>0</v>
      </c>
      <c r="BC312" s="345">
        <v>0</v>
      </c>
      <c r="BD312" s="345">
        <v>0</v>
      </c>
      <c r="BE312" s="345">
        <v>0</v>
      </c>
      <c r="BF312" s="345">
        <v>0</v>
      </c>
      <c r="BG312" s="345">
        <v>0</v>
      </c>
      <c r="BH312" s="345">
        <v>0</v>
      </c>
      <c r="BI312" s="345">
        <v>0</v>
      </c>
      <c r="BJ312" s="345">
        <v>0</v>
      </c>
      <c r="BK312" s="345">
        <v>0</v>
      </c>
      <c r="BL312" s="345">
        <v>0</v>
      </c>
      <c r="BM312" s="345">
        <v>0</v>
      </c>
      <c r="BN312" s="345">
        <v>0</v>
      </c>
      <c r="BO312" s="345">
        <v>0</v>
      </c>
      <c r="BP312" s="345">
        <v>0</v>
      </c>
      <c r="BQ312" s="345">
        <v>0</v>
      </c>
      <c r="BR312" s="345">
        <v>0</v>
      </c>
    </row>
    <row r="313" spans="3:70">
      <c r="C313" s="338" t="s">
        <v>350</v>
      </c>
      <c r="E313" s="372">
        <f t="shared" si="441"/>
        <v>0</v>
      </c>
      <c r="F313" s="372">
        <f t="shared" si="442"/>
        <v>0</v>
      </c>
      <c r="G313" s="372">
        <f t="shared" si="443"/>
        <v>0</v>
      </c>
      <c r="H313" s="372">
        <f t="shared" si="444"/>
        <v>0</v>
      </c>
      <c r="I313" s="372">
        <f t="shared" si="445"/>
        <v>0</v>
      </c>
      <c r="J313" s="372">
        <f t="shared" si="446"/>
        <v>0</v>
      </c>
      <c r="K313" s="372">
        <f t="shared" si="447"/>
        <v>0</v>
      </c>
      <c r="L313" s="372">
        <f t="shared" si="448"/>
        <v>0</v>
      </c>
      <c r="M313" s="372">
        <f t="shared" si="449"/>
        <v>0</v>
      </c>
      <c r="N313" s="372">
        <f t="shared" si="450"/>
        <v>0</v>
      </c>
      <c r="O313" s="372">
        <f t="shared" si="451"/>
        <v>0</v>
      </c>
      <c r="P313" s="372">
        <f t="shared" si="452"/>
        <v>0</v>
      </c>
      <c r="Q313" s="372">
        <f t="shared" si="453"/>
        <v>0</v>
      </c>
      <c r="R313" s="372">
        <f t="shared" si="454"/>
        <v>0</v>
      </c>
      <c r="S313" s="372">
        <f t="shared" si="455"/>
        <v>0</v>
      </c>
      <c r="T313" s="372">
        <f t="shared" si="456"/>
        <v>0</v>
      </c>
      <c r="U313" s="372">
        <f t="shared" si="457"/>
        <v>0</v>
      </c>
      <c r="V313" s="372">
        <f t="shared" si="458"/>
        <v>0</v>
      </c>
      <c r="W313" s="372">
        <f t="shared" si="459"/>
        <v>0</v>
      </c>
      <c r="X313" s="372">
        <f t="shared" si="460"/>
        <v>0</v>
      </c>
      <c r="Y313" s="372">
        <f t="shared" si="461"/>
        <v>0</v>
      </c>
      <c r="Z313" s="372">
        <f t="shared" si="462"/>
        <v>0</v>
      </c>
      <c r="AA313" s="372">
        <f t="shared" si="463"/>
        <v>0</v>
      </c>
      <c r="AB313" s="372">
        <f t="shared" si="464"/>
        <v>0</v>
      </c>
      <c r="AC313" s="444"/>
      <c r="AD313" s="444"/>
      <c r="AE313" s="444"/>
      <c r="AF313" s="444"/>
      <c r="AG313" s="445"/>
      <c r="AH313" s="345">
        <v>-122</v>
      </c>
      <c r="AI313" s="345">
        <v>0</v>
      </c>
      <c r="AJ313" s="345">
        <v>0</v>
      </c>
      <c r="AK313" s="345">
        <v>0</v>
      </c>
      <c r="AL313" s="345">
        <v>0</v>
      </c>
      <c r="AM313" s="345">
        <v>0</v>
      </c>
      <c r="AN313" s="345">
        <v>0</v>
      </c>
      <c r="AO313" s="345">
        <v>0</v>
      </c>
      <c r="AP313" s="344">
        <f t="shared" si="440"/>
        <v>0</v>
      </c>
      <c r="AQ313" s="444"/>
      <c r="AR313" s="444"/>
      <c r="AS313" s="444"/>
      <c r="AU313" s="345">
        <v>0</v>
      </c>
      <c r="AV313" s="345">
        <v>0</v>
      </c>
      <c r="AW313" s="345">
        <v>0</v>
      </c>
      <c r="AX313" s="345">
        <v>0</v>
      </c>
      <c r="AY313" s="345">
        <v>0</v>
      </c>
      <c r="AZ313" s="345">
        <v>0</v>
      </c>
      <c r="BA313" s="345">
        <v>0</v>
      </c>
      <c r="BB313" s="345">
        <v>0</v>
      </c>
      <c r="BC313" s="345">
        <v>0</v>
      </c>
      <c r="BD313" s="345">
        <v>0</v>
      </c>
      <c r="BE313" s="345">
        <v>0</v>
      </c>
      <c r="BF313" s="345">
        <v>0</v>
      </c>
      <c r="BG313" s="345">
        <v>0</v>
      </c>
      <c r="BH313" s="345">
        <v>0</v>
      </c>
      <c r="BI313" s="345">
        <v>0</v>
      </c>
      <c r="BJ313" s="345">
        <v>0</v>
      </c>
      <c r="BK313" s="345">
        <v>0</v>
      </c>
      <c r="BL313" s="345">
        <v>0</v>
      </c>
      <c r="BM313" s="345">
        <v>0</v>
      </c>
      <c r="BN313" s="345">
        <v>0</v>
      </c>
      <c r="BO313" s="345">
        <v>0</v>
      </c>
      <c r="BP313" s="345">
        <v>0</v>
      </c>
      <c r="BQ313" s="345">
        <v>0</v>
      </c>
      <c r="BR313" s="345">
        <v>0</v>
      </c>
    </row>
    <row r="314" spans="3:70">
      <c r="C314" s="338" t="s">
        <v>351</v>
      </c>
      <c r="E314" s="372">
        <f t="shared" si="441"/>
        <v>0</v>
      </c>
      <c r="F314" s="372">
        <f t="shared" si="442"/>
        <v>0</v>
      </c>
      <c r="G314" s="372">
        <f t="shared" si="443"/>
        <v>0</v>
      </c>
      <c r="H314" s="372">
        <f t="shared" si="444"/>
        <v>0</v>
      </c>
      <c r="I314" s="372">
        <f t="shared" si="445"/>
        <v>0</v>
      </c>
      <c r="J314" s="372">
        <f t="shared" si="446"/>
        <v>-387</v>
      </c>
      <c r="K314" s="372">
        <f t="shared" si="447"/>
        <v>387</v>
      </c>
      <c r="L314" s="372">
        <f t="shared" si="448"/>
        <v>0</v>
      </c>
      <c r="M314" s="372">
        <f t="shared" si="449"/>
        <v>0</v>
      </c>
      <c r="N314" s="372">
        <f t="shared" si="450"/>
        <v>0</v>
      </c>
      <c r="O314" s="372">
        <f t="shared" si="451"/>
        <v>0</v>
      </c>
      <c r="P314" s="372">
        <f t="shared" si="452"/>
        <v>0</v>
      </c>
      <c r="Q314" s="372">
        <f t="shared" si="453"/>
        <v>0</v>
      </c>
      <c r="R314" s="372">
        <f t="shared" si="454"/>
        <v>0</v>
      </c>
      <c r="S314" s="372">
        <f t="shared" si="455"/>
        <v>0</v>
      </c>
      <c r="T314" s="372">
        <f t="shared" si="456"/>
        <v>0</v>
      </c>
      <c r="U314" s="372">
        <f t="shared" si="457"/>
        <v>0</v>
      </c>
      <c r="V314" s="372">
        <f t="shared" si="458"/>
        <v>0</v>
      </c>
      <c r="W314" s="372">
        <f t="shared" si="459"/>
        <v>0</v>
      </c>
      <c r="X314" s="372">
        <f t="shared" si="460"/>
        <v>0</v>
      </c>
      <c r="Y314" s="372">
        <f t="shared" si="461"/>
        <v>0</v>
      </c>
      <c r="Z314" s="372">
        <f t="shared" si="462"/>
        <v>0</v>
      </c>
      <c r="AA314" s="372">
        <f t="shared" si="463"/>
        <v>0</v>
      </c>
      <c r="AB314" s="372">
        <f t="shared" si="464"/>
        <v>0</v>
      </c>
      <c r="AC314" s="444"/>
      <c r="AD314" s="444"/>
      <c r="AE314" s="444"/>
      <c r="AF314" s="444"/>
      <c r="AG314" s="445"/>
      <c r="AH314" s="345">
        <v>0</v>
      </c>
      <c r="AI314" s="345">
        <v>0</v>
      </c>
      <c r="AJ314" s="345">
        <v>0</v>
      </c>
      <c r="AK314" s="345">
        <v>0</v>
      </c>
      <c r="AL314" s="345">
        <v>0</v>
      </c>
      <c r="AM314" s="345">
        <v>0</v>
      </c>
      <c r="AN314" s="345">
        <v>0</v>
      </c>
      <c r="AO314" s="345">
        <v>0</v>
      </c>
      <c r="AP314" s="344">
        <f t="shared" si="440"/>
        <v>0</v>
      </c>
      <c r="AQ314" s="444"/>
      <c r="AR314" s="444"/>
      <c r="AS314" s="444"/>
      <c r="AU314" s="345">
        <v>0</v>
      </c>
      <c r="AV314" s="345">
        <v>0</v>
      </c>
      <c r="AW314" s="345">
        <v>0</v>
      </c>
      <c r="AX314" s="345">
        <v>0</v>
      </c>
      <c r="AY314" s="345">
        <v>0</v>
      </c>
      <c r="AZ314" s="345">
        <v>-387</v>
      </c>
      <c r="BA314" s="345">
        <v>0</v>
      </c>
      <c r="BB314" s="345">
        <v>0</v>
      </c>
      <c r="BC314" s="345">
        <v>0</v>
      </c>
      <c r="BD314" s="345">
        <v>0</v>
      </c>
      <c r="BE314" s="345">
        <v>0</v>
      </c>
      <c r="BF314" s="345">
        <v>0</v>
      </c>
      <c r="BG314" s="345">
        <v>0</v>
      </c>
      <c r="BH314" s="345">
        <v>0</v>
      </c>
      <c r="BI314" s="345">
        <v>0</v>
      </c>
      <c r="BJ314" s="345">
        <v>0</v>
      </c>
      <c r="BK314" s="345">
        <v>0</v>
      </c>
      <c r="BL314" s="345">
        <v>0</v>
      </c>
      <c r="BM314" s="345">
        <v>0</v>
      </c>
      <c r="BN314" s="345">
        <v>0</v>
      </c>
      <c r="BO314" s="345">
        <v>0</v>
      </c>
      <c r="BP314" s="345">
        <v>0</v>
      </c>
      <c r="BQ314" s="345">
        <v>0</v>
      </c>
      <c r="BR314" s="345">
        <v>0</v>
      </c>
    </row>
    <row r="315" spans="3:70">
      <c r="C315" s="338" t="s">
        <v>352</v>
      </c>
      <c r="E315" s="372">
        <f t="shared" si="441"/>
        <v>0</v>
      </c>
      <c r="F315" s="372">
        <f t="shared" si="442"/>
        <v>0</v>
      </c>
      <c r="G315" s="372">
        <f t="shared" si="443"/>
        <v>0</v>
      </c>
      <c r="H315" s="372">
        <f t="shared" si="444"/>
        <v>0</v>
      </c>
      <c r="I315" s="372">
        <f t="shared" si="445"/>
        <v>0</v>
      </c>
      <c r="J315" s="372">
        <f t="shared" si="446"/>
        <v>0</v>
      </c>
      <c r="K315" s="372">
        <f t="shared" si="447"/>
        <v>0</v>
      </c>
      <c r="L315" s="372">
        <f t="shared" si="448"/>
        <v>0</v>
      </c>
      <c r="M315" s="372">
        <f t="shared" si="449"/>
        <v>0</v>
      </c>
      <c r="N315" s="372">
        <f t="shared" si="450"/>
        <v>0</v>
      </c>
      <c r="O315" s="372">
        <f t="shared" si="451"/>
        <v>0</v>
      </c>
      <c r="P315" s="372">
        <f t="shared" si="452"/>
        <v>0</v>
      </c>
      <c r="Q315" s="372">
        <f t="shared" si="453"/>
        <v>0</v>
      </c>
      <c r="R315" s="372">
        <f t="shared" si="454"/>
        <v>0</v>
      </c>
      <c r="S315" s="372">
        <f t="shared" si="455"/>
        <v>0</v>
      </c>
      <c r="T315" s="372">
        <f t="shared" si="456"/>
        <v>0</v>
      </c>
      <c r="U315" s="372">
        <f t="shared" si="457"/>
        <v>0</v>
      </c>
      <c r="V315" s="372">
        <f t="shared" si="458"/>
        <v>0</v>
      </c>
      <c r="W315" s="372">
        <f t="shared" si="459"/>
        <v>0</v>
      </c>
      <c r="X315" s="372">
        <f t="shared" si="460"/>
        <v>0</v>
      </c>
      <c r="Y315" s="372">
        <f t="shared" si="461"/>
        <v>0</v>
      </c>
      <c r="Z315" s="372">
        <f t="shared" si="462"/>
        <v>0</v>
      </c>
      <c r="AA315" s="372">
        <f t="shared" si="463"/>
        <v>0</v>
      </c>
      <c r="AB315" s="372">
        <f t="shared" si="464"/>
        <v>0</v>
      </c>
      <c r="AC315" s="444"/>
      <c r="AD315" s="444"/>
      <c r="AE315" s="444"/>
      <c r="AF315" s="444"/>
      <c r="AG315" s="445"/>
      <c r="AH315" s="345"/>
      <c r="AI315" s="345"/>
      <c r="AJ315" s="345"/>
      <c r="AK315" s="345"/>
      <c r="AL315" s="345"/>
      <c r="AM315" s="345"/>
      <c r="AN315" s="345"/>
      <c r="AO315" s="345"/>
      <c r="AP315" s="344">
        <f t="shared" si="440"/>
        <v>0</v>
      </c>
      <c r="AQ315" s="444"/>
      <c r="AR315" s="444"/>
      <c r="AS315" s="444"/>
      <c r="AU315" s="345"/>
      <c r="AV315" s="345"/>
      <c r="AW315" s="345"/>
      <c r="AX315" s="345"/>
      <c r="AY315" s="345"/>
      <c r="AZ315" s="345"/>
      <c r="BA315" s="345"/>
      <c r="BB315" s="345"/>
      <c r="BC315" s="345"/>
      <c r="BD315" s="345"/>
      <c r="BE315" s="345"/>
      <c r="BF315" s="345"/>
      <c r="BG315" s="345"/>
      <c r="BH315" s="345"/>
      <c r="BI315" s="345"/>
      <c r="BJ315" s="345"/>
      <c r="BK315" s="345"/>
      <c r="BL315" s="345"/>
      <c r="BM315" s="345"/>
      <c r="BN315" s="345"/>
      <c r="BO315" s="345"/>
      <c r="BP315" s="345"/>
      <c r="BQ315" s="345"/>
      <c r="BR315" s="345"/>
    </row>
    <row r="316" spans="3:70">
      <c r="C316" s="361" t="s">
        <v>353</v>
      </c>
      <c r="E316" s="372">
        <f t="shared" si="441"/>
        <v>942</v>
      </c>
      <c r="F316" s="372">
        <f t="shared" si="442"/>
        <v>-208</v>
      </c>
      <c r="G316" s="372">
        <f t="shared" si="443"/>
        <v>-834</v>
      </c>
      <c r="H316" s="372">
        <f t="shared" si="444"/>
        <v>165</v>
      </c>
      <c r="I316" s="372">
        <f t="shared" si="445"/>
        <v>-105</v>
      </c>
      <c r="J316" s="372">
        <f t="shared" si="446"/>
        <v>-513</v>
      </c>
      <c r="K316" s="372">
        <f t="shared" si="447"/>
        <v>-510</v>
      </c>
      <c r="L316" s="372">
        <f t="shared" si="448"/>
        <v>347</v>
      </c>
      <c r="M316" s="372">
        <f t="shared" si="449"/>
        <v>102</v>
      </c>
      <c r="N316" s="372">
        <f t="shared" si="450"/>
        <v>267</v>
      </c>
      <c r="O316" s="372">
        <f t="shared" si="451"/>
        <v>-818</v>
      </c>
      <c r="P316" s="372">
        <f t="shared" si="452"/>
        <v>-1265</v>
      </c>
      <c r="Q316" s="372">
        <f t="shared" si="453"/>
        <v>-235</v>
      </c>
      <c r="R316" s="372">
        <f t="shared" si="454"/>
        <v>725</v>
      </c>
      <c r="S316" s="372">
        <f t="shared" si="455"/>
        <v>-646</v>
      </c>
      <c r="T316" s="372">
        <f t="shared" si="456"/>
        <v>-779</v>
      </c>
      <c r="U316" s="372">
        <f t="shared" si="457"/>
        <v>-796</v>
      </c>
      <c r="V316" s="372">
        <f t="shared" si="458"/>
        <v>1020</v>
      </c>
      <c r="W316" s="372">
        <f t="shared" si="459"/>
        <v>301</v>
      </c>
      <c r="X316" s="372">
        <f t="shared" si="460"/>
        <v>358</v>
      </c>
      <c r="Y316" s="372">
        <f t="shared" si="461"/>
        <v>-426</v>
      </c>
      <c r="Z316" s="372">
        <f t="shared" si="462"/>
        <v>-252</v>
      </c>
      <c r="AA316" s="372">
        <f t="shared" si="463"/>
        <v>-940</v>
      </c>
      <c r="AB316" s="372">
        <f t="shared" si="464"/>
        <v>-1056</v>
      </c>
      <c r="AC316" s="345">
        <v>500</v>
      </c>
      <c r="AD316" s="345">
        <v>500</v>
      </c>
      <c r="AE316" s="345">
        <v>-100</v>
      </c>
      <c r="AF316" s="345">
        <v>-100</v>
      </c>
      <c r="AG316" s="445"/>
      <c r="AH316" s="345">
        <v>-861</v>
      </c>
      <c r="AI316" s="345">
        <v>-355</v>
      </c>
      <c r="AJ316" s="345">
        <v>65</v>
      </c>
      <c r="AK316" s="345">
        <v>-781</v>
      </c>
      <c r="AL316" s="345">
        <v>-1714</v>
      </c>
      <c r="AM316" s="345">
        <v>-935</v>
      </c>
      <c r="AN316" s="345">
        <v>883</v>
      </c>
      <c r="AO316" s="345">
        <v>-2674</v>
      </c>
      <c r="AP316" s="344">
        <f t="shared" si="440"/>
        <v>800</v>
      </c>
      <c r="AQ316" s="345">
        <v>800</v>
      </c>
      <c r="AR316" s="345">
        <v>800</v>
      </c>
      <c r="AS316" s="345">
        <v>800</v>
      </c>
      <c r="AU316" s="345">
        <v>942</v>
      </c>
      <c r="AV316" s="345">
        <v>734</v>
      </c>
      <c r="AW316" s="345">
        <v>-100</v>
      </c>
      <c r="AX316" s="345">
        <v>65</v>
      </c>
      <c r="AY316" s="345">
        <v>-105</v>
      </c>
      <c r="AZ316" s="345">
        <v>-618</v>
      </c>
      <c r="BA316" s="345">
        <v>-1128</v>
      </c>
      <c r="BB316" s="345">
        <v>-781</v>
      </c>
      <c r="BC316" s="345">
        <v>102</v>
      </c>
      <c r="BD316" s="345">
        <v>369</v>
      </c>
      <c r="BE316" s="345">
        <v>-449</v>
      </c>
      <c r="BF316" s="345">
        <v>-1714</v>
      </c>
      <c r="BG316" s="345">
        <v>-235</v>
      </c>
      <c r="BH316" s="345">
        <v>490</v>
      </c>
      <c r="BI316" s="345">
        <v>-156</v>
      </c>
      <c r="BJ316" s="345">
        <v>-935</v>
      </c>
      <c r="BK316" s="345">
        <v>-796</v>
      </c>
      <c r="BL316" s="345">
        <v>224</v>
      </c>
      <c r="BM316" s="345">
        <v>525</v>
      </c>
      <c r="BN316" s="345">
        <v>883</v>
      </c>
      <c r="BO316" s="345">
        <v>-426</v>
      </c>
      <c r="BP316" s="345">
        <v>-678</v>
      </c>
      <c r="BQ316" s="345">
        <v>-1618</v>
      </c>
      <c r="BR316" s="345">
        <v>-2674</v>
      </c>
    </row>
    <row r="317" spans="3:70">
      <c r="C317" s="361" t="s">
        <v>276</v>
      </c>
      <c r="E317" s="372">
        <f t="shared" si="441"/>
        <v>-57</v>
      </c>
      <c r="F317" s="372">
        <f t="shared" si="442"/>
        <v>-47</v>
      </c>
      <c r="G317" s="372">
        <f t="shared" si="443"/>
        <v>-14</v>
      </c>
      <c r="H317" s="372">
        <f t="shared" si="444"/>
        <v>237</v>
      </c>
      <c r="I317" s="372">
        <f t="shared" si="445"/>
        <v>-232</v>
      </c>
      <c r="J317" s="372">
        <f t="shared" si="446"/>
        <v>-528</v>
      </c>
      <c r="K317" s="372">
        <f t="shared" si="447"/>
        <v>-485</v>
      </c>
      <c r="L317" s="372">
        <f t="shared" si="448"/>
        <v>-55</v>
      </c>
      <c r="M317" s="372">
        <f t="shared" si="449"/>
        <v>-96</v>
      </c>
      <c r="N317" s="372">
        <f t="shared" si="450"/>
        <v>-207</v>
      </c>
      <c r="O317" s="372">
        <f t="shared" si="451"/>
        <v>-59</v>
      </c>
      <c r="P317" s="372">
        <f t="shared" si="452"/>
        <v>148</v>
      </c>
      <c r="Q317" s="372">
        <f t="shared" si="453"/>
        <v>-512</v>
      </c>
      <c r="R317" s="372">
        <f t="shared" si="454"/>
        <v>-931</v>
      </c>
      <c r="S317" s="372">
        <f t="shared" si="455"/>
        <v>67</v>
      </c>
      <c r="T317" s="372">
        <f t="shared" si="456"/>
        <v>-105</v>
      </c>
      <c r="U317" s="372">
        <f t="shared" si="457"/>
        <v>-548</v>
      </c>
      <c r="V317" s="372">
        <f t="shared" si="458"/>
        <v>277</v>
      </c>
      <c r="W317" s="372">
        <f t="shared" si="459"/>
        <v>-299</v>
      </c>
      <c r="X317" s="372">
        <f t="shared" si="460"/>
        <v>-117</v>
      </c>
      <c r="Y317" s="372">
        <f t="shared" si="461"/>
        <v>180</v>
      </c>
      <c r="Z317" s="372">
        <f t="shared" si="462"/>
        <v>-306</v>
      </c>
      <c r="AA317" s="372">
        <f t="shared" si="463"/>
        <v>-1086</v>
      </c>
      <c r="AB317" s="372">
        <f t="shared" si="464"/>
        <v>-1127</v>
      </c>
      <c r="AC317" s="345">
        <v>-150</v>
      </c>
      <c r="AD317" s="345">
        <v>-150</v>
      </c>
      <c r="AE317" s="345">
        <v>-150</v>
      </c>
      <c r="AF317" s="345">
        <v>-150</v>
      </c>
      <c r="AG317" s="445"/>
      <c r="AH317" s="345">
        <v>-98</v>
      </c>
      <c r="AI317" s="345">
        <v>-764</v>
      </c>
      <c r="AJ317" s="345">
        <v>119</v>
      </c>
      <c r="AK317" s="345">
        <v>-1300</v>
      </c>
      <c r="AL317" s="345">
        <v>-214</v>
      </c>
      <c r="AM317" s="345">
        <v>-1481</v>
      </c>
      <c r="AN317" s="345">
        <v>-687</v>
      </c>
      <c r="AO317" s="345">
        <v>-2339</v>
      </c>
      <c r="AP317" s="344">
        <f t="shared" si="440"/>
        <v>-600</v>
      </c>
      <c r="AQ317" s="345">
        <v>200</v>
      </c>
      <c r="AR317" s="345">
        <v>200</v>
      </c>
      <c r="AS317" s="345">
        <v>200</v>
      </c>
      <c r="AU317" s="345">
        <v>-57</v>
      </c>
      <c r="AV317" s="345">
        <v>-104</v>
      </c>
      <c r="AW317" s="345">
        <v>-118</v>
      </c>
      <c r="AX317" s="345">
        <v>119</v>
      </c>
      <c r="AY317" s="345">
        <v>-232</v>
      </c>
      <c r="AZ317" s="345">
        <v>-760</v>
      </c>
      <c r="BA317" s="345">
        <v>-1245</v>
      </c>
      <c r="BB317" s="345">
        <v>-1300</v>
      </c>
      <c r="BC317" s="345">
        <v>-96</v>
      </c>
      <c r="BD317" s="345">
        <v>-303</v>
      </c>
      <c r="BE317" s="345">
        <v>-362</v>
      </c>
      <c r="BF317" s="345">
        <v>-214</v>
      </c>
      <c r="BG317" s="345">
        <v>-512</v>
      </c>
      <c r="BH317" s="345">
        <v>-1443</v>
      </c>
      <c r="BI317" s="345">
        <v>-1376</v>
      </c>
      <c r="BJ317" s="345">
        <v>-1481</v>
      </c>
      <c r="BK317" s="345">
        <v>-548</v>
      </c>
      <c r="BL317" s="345">
        <v>-271</v>
      </c>
      <c r="BM317" s="345">
        <v>-570</v>
      </c>
      <c r="BN317" s="345">
        <v>-687</v>
      </c>
      <c r="BO317" s="345">
        <v>180</v>
      </c>
      <c r="BP317" s="345">
        <v>-126</v>
      </c>
      <c r="BQ317" s="345">
        <v>-1212</v>
      </c>
      <c r="BR317" s="345">
        <v>-2339</v>
      </c>
    </row>
    <row r="318" spans="3:70">
      <c r="C318" s="361" t="s">
        <v>288</v>
      </c>
      <c r="E318" s="372">
        <f t="shared" si="441"/>
        <v>434</v>
      </c>
      <c r="F318" s="372">
        <f t="shared" si="442"/>
        <v>-59</v>
      </c>
      <c r="G318" s="372">
        <f t="shared" si="443"/>
        <v>-187</v>
      </c>
      <c r="H318" s="372">
        <f t="shared" si="444"/>
        <v>-6</v>
      </c>
      <c r="I318" s="372">
        <f t="shared" si="445"/>
        <v>188</v>
      </c>
      <c r="J318" s="372">
        <f t="shared" si="446"/>
        <v>237</v>
      </c>
      <c r="K318" s="372">
        <f t="shared" si="447"/>
        <v>-254</v>
      </c>
      <c r="L318" s="372">
        <f t="shared" si="448"/>
        <v>20</v>
      </c>
      <c r="M318" s="372">
        <f t="shared" si="449"/>
        <v>73</v>
      </c>
      <c r="N318" s="372">
        <f t="shared" si="450"/>
        <v>201</v>
      </c>
      <c r="O318" s="372">
        <f t="shared" si="451"/>
        <v>156</v>
      </c>
      <c r="P318" s="372">
        <f t="shared" si="452"/>
        <v>-219</v>
      </c>
      <c r="Q318" s="372">
        <f t="shared" si="453"/>
        <v>196</v>
      </c>
      <c r="R318" s="372">
        <f t="shared" si="454"/>
        <v>235</v>
      </c>
      <c r="S318" s="372">
        <f t="shared" si="455"/>
        <v>297</v>
      </c>
      <c r="T318" s="372">
        <f t="shared" si="456"/>
        <v>-32</v>
      </c>
      <c r="U318" s="372">
        <f t="shared" si="457"/>
        <v>117</v>
      </c>
      <c r="V318" s="372">
        <f t="shared" si="458"/>
        <v>91</v>
      </c>
      <c r="W318" s="372">
        <f t="shared" si="459"/>
        <v>147</v>
      </c>
      <c r="X318" s="372">
        <f t="shared" si="460"/>
        <v>50</v>
      </c>
      <c r="Y318" s="372">
        <f t="shared" si="461"/>
        <v>303</v>
      </c>
      <c r="Z318" s="372">
        <f t="shared" si="462"/>
        <v>122</v>
      </c>
      <c r="AA318" s="372">
        <f t="shared" si="463"/>
        <v>670</v>
      </c>
      <c r="AB318" s="372">
        <f t="shared" si="464"/>
        <v>95</v>
      </c>
      <c r="AC318" s="345">
        <v>100</v>
      </c>
      <c r="AD318" s="345">
        <v>100</v>
      </c>
      <c r="AE318" s="345">
        <v>100</v>
      </c>
      <c r="AF318" s="345">
        <v>100</v>
      </c>
      <c r="AG318" s="445"/>
      <c r="AH318" s="345">
        <v>-249</v>
      </c>
      <c r="AI318" s="345">
        <v>-312</v>
      </c>
      <c r="AJ318" s="345">
        <v>182</v>
      </c>
      <c r="AK318" s="345">
        <v>191</v>
      </c>
      <c r="AL318" s="345">
        <v>211</v>
      </c>
      <c r="AM318" s="345">
        <v>696</v>
      </c>
      <c r="AN318" s="345">
        <v>405</v>
      </c>
      <c r="AO318" s="345">
        <v>1190</v>
      </c>
      <c r="AP318" s="344">
        <f t="shared" si="440"/>
        <v>400</v>
      </c>
      <c r="AQ318" s="345">
        <v>200</v>
      </c>
      <c r="AR318" s="345">
        <v>200</v>
      </c>
      <c r="AS318" s="345">
        <v>200</v>
      </c>
      <c r="AU318" s="345">
        <v>434</v>
      </c>
      <c r="AV318" s="345">
        <v>375</v>
      </c>
      <c r="AW318" s="345">
        <v>188</v>
      </c>
      <c r="AX318" s="345">
        <v>182</v>
      </c>
      <c r="AY318" s="345">
        <v>188</v>
      </c>
      <c r="AZ318" s="345">
        <v>425</v>
      </c>
      <c r="BA318" s="345">
        <v>171</v>
      </c>
      <c r="BB318" s="345">
        <v>191</v>
      </c>
      <c r="BC318" s="345">
        <v>73</v>
      </c>
      <c r="BD318" s="345">
        <v>274</v>
      </c>
      <c r="BE318" s="345">
        <v>430</v>
      </c>
      <c r="BF318" s="345">
        <v>211</v>
      </c>
      <c r="BG318" s="345">
        <v>196</v>
      </c>
      <c r="BH318" s="345">
        <v>431</v>
      </c>
      <c r="BI318" s="345">
        <v>728</v>
      </c>
      <c r="BJ318" s="345">
        <v>696</v>
      </c>
      <c r="BK318" s="345">
        <v>117</v>
      </c>
      <c r="BL318" s="345">
        <v>208</v>
      </c>
      <c r="BM318" s="345">
        <v>355</v>
      </c>
      <c r="BN318" s="345">
        <v>405</v>
      </c>
      <c r="BO318" s="345">
        <v>303</v>
      </c>
      <c r="BP318" s="345">
        <v>425</v>
      </c>
      <c r="BQ318" s="345">
        <v>1095</v>
      </c>
      <c r="BR318" s="345">
        <v>1190</v>
      </c>
    </row>
    <row r="319" spans="3:70">
      <c r="C319" s="361" t="s">
        <v>289</v>
      </c>
      <c r="E319" s="372">
        <f t="shared" si="441"/>
        <v>-1307</v>
      </c>
      <c r="F319" s="372">
        <f t="shared" si="442"/>
        <v>-352</v>
      </c>
      <c r="G319" s="372">
        <f t="shared" si="443"/>
        <v>-215</v>
      </c>
      <c r="H319" s="372">
        <f t="shared" si="444"/>
        <v>2165</v>
      </c>
      <c r="I319" s="372">
        <f t="shared" si="445"/>
        <v>-1277</v>
      </c>
      <c r="J319" s="372">
        <f t="shared" si="446"/>
        <v>175</v>
      </c>
      <c r="K319" s="372">
        <f t="shared" si="447"/>
        <v>740</v>
      </c>
      <c r="L319" s="372">
        <f t="shared" si="448"/>
        <v>673</v>
      </c>
      <c r="M319" s="372">
        <f t="shared" si="449"/>
        <v>-1307</v>
      </c>
      <c r="N319" s="372">
        <f t="shared" si="450"/>
        <v>423</v>
      </c>
      <c r="O319" s="372">
        <f t="shared" si="451"/>
        <v>83</v>
      </c>
      <c r="P319" s="372">
        <f t="shared" si="452"/>
        <v>541</v>
      </c>
      <c r="Q319" s="372">
        <f t="shared" si="453"/>
        <v>-1620</v>
      </c>
      <c r="R319" s="372">
        <f t="shared" si="454"/>
        <v>608</v>
      </c>
      <c r="S319" s="372">
        <f t="shared" si="455"/>
        <v>647</v>
      </c>
      <c r="T319" s="372">
        <f t="shared" si="456"/>
        <v>105</v>
      </c>
      <c r="U319" s="372">
        <f t="shared" si="457"/>
        <v>-1605</v>
      </c>
      <c r="V319" s="372">
        <f t="shared" si="458"/>
        <v>580</v>
      </c>
      <c r="W319" s="372">
        <f t="shared" si="459"/>
        <v>456</v>
      </c>
      <c r="X319" s="372">
        <f t="shared" si="460"/>
        <v>917</v>
      </c>
      <c r="Y319" s="372">
        <f t="shared" si="461"/>
        <v>-1283</v>
      </c>
      <c r="Z319" s="372">
        <f t="shared" si="462"/>
        <v>447</v>
      </c>
      <c r="AA319" s="372">
        <f t="shared" si="463"/>
        <v>820</v>
      </c>
      <c r="AB319" s="372">
        <f t="shared" si="464"/>
        <v>531</v>
      </c>
      <c r="AC319" s="372">
        <f>+AC216-AB216</f>
        <v>0</v>
      </c>
      <c r="AD319" s="372">
        <f>+AD216-AC216</f>
        <v>0</v>
      </c>
      <c r="AE319" s="372">
        <f>+AE216-AD216</f>
        <v>0</v>
      </c>
      <c r="AF319" s="372">
        <f>+AF216-AE216</f>
        <v>0</v>
      </c>
      <c r="AG319" s="445"/>
      <c r="AH319" s="345">
        <v>4</v>
      </c>
      <c r="AI319" s="345">
        <v>0</v>
      </c>
      <c r="AJ319" s="345">
        <v>291</v>
      </c>
      <c r="AK319" s="345">
        <v>311</v>
      </c>
      <c r="AL319" s="345">
        <v>-260</v>
      </c>
      <c r="AM319" s="345">
        <v>-260</v>
      </c>
      <c r="AN319" s="345">
        <v>348</v>
      </c>
      <c r="AO319" s="345">
        <v>515</v>
      </c>
      <c r="AP319" s="344">
        <f t="shared" si="440"/>
        <v>0</v>
      </c>
      <c r="AQ319" s="372">
        <f>+AQ216-AP216</f>
        <v>0</v>
      </c>
      <c r="AR319" s="372">
        <f>+AR216-AQ216</f>
        <v>0</v>
      </c>
      <c r="AS319" s="372">
        <f>+AS216-AR216</f>
        <v>0</v>
      </c>
      <c r="AU319" s="345">
        <v>-1307</v>
      </c>
      <c r="AV319" s="345">
        <v>-1659</v>
      </c>
      <c r="AW319" s="345">
        <v>-1874</v>
      </c>
      <c r="AX319" s="345">
        <v>291</v>
      </c>
      <c r="AY319" s="345">
        <v>-1277</v>
      </c>
      <c r="AZ319" s="345">
        <v>-1102</v>
      </c>
      <c r="BA319" s="345">
        <v>-362</v>
      </c>
      <c r="BB319" s="345">
        <v>311</v>
      </c>
      <c r="BC319" s="345">
        <v>-1307</v>
      </c>
      <c r="BD319" s="345">
        <v>-884</v>
      </c>
      <c r="BE319" s="345">
        <v>-801</v>
      </c>
      <c r="BF319" s="345">
        <v>-260</v>
      </c>
      <c r="BG319" s="345">
        <v>-1620</v>
      </c>
      <c r="BH319" s="345">
        <v>-1012</v>
      </c>
      <c r="BI319" s="345">
        <v>-365</v>
      </c>
      <c r="BJ319" s="345">
        <v>-260</v>
      </c>
      <c r="BK319" s="345">
        <v>-1605</v>
      </c>
      <c r="BL319" s="345">
        <v>-1025</v>
      </c>
      <c r="BM319" s="345">
        <v>-569</v>
      </c>
      <c r="BN319" s="345">
        <v>348</v>
      </c>
      <c r="BO319" s="345">
        <v>-1283</v>
      </c>
      <c r="BP319" s="345">
        <v>-836</v>
      </c>
      <c r="BQ319" s="345">
        <v>-16</v>
      </c>
      <c r="BR319" s="345">
        <v>515</v>
      </c>
    </row>
    <row r="320" spans="3:70">
      <c r="C320" s="361" t="s">
        <v>354</v>
      </c>
      <c r="E320" s="372">
        <f t="shared" si="441"/>
        <v>497</v>
      </c>
      <c r="F320" s="372">
        <f t="shared" si="442"/>
        <v>-576</v>
      </c>
      <c r="G320" s="372">
        <f t="shared" si="443"/>
        <v>1040</v>
      </c>
      <c r="H320" s="372">
        <f t="shared" si="444"/>
        <v>421</v>
      </c>
      <c r="I320" s="372">
        <f t="shared" si="445"/>
        <v>427</v>
      </c>
      <c r="J320" s="372">
        <f t="shared" si="446"/>
        <v>136</v>
      </c>
      <c r="K320" s="372">
        <f t="shared" si="447"/>
        <v>416</v>
      </c>
      <c r="L320" s="372">
        <f t="shared" si="448"/>
        <v>5799</v>
      </c>
      <c r="M320" s="372">
        <f t="shared" si="449"/>
        <v>295</v>
      </c>
      <c r="N320" s="372">
        <f t="shared" si="450"/>
        <v>-1428</v>
      </c>
      <c r="O320" s="372">
        <f t="shared" si="451"/>
        <v>76</v>
      </c>
      <c r="P320" s="372">
        <f t="shared" si="452"/>
        <v>-544</v>
      </c>
      <c r="Q320" s="372">
        <f t="shared" si="453"/>
        <v>440</v>
      </c>
      <c r="R320" s="372">
        <f t="shared" si="454"/>
        <v>-455</v>
      </c>
      <c r="S320" s="372">
        <f t="shared" si="455"/>
        <v>450</v>
      </c>
      <c r="T320" s="372">
        <f t="shared" si="456"/>
        <v>450</v>
      </c>
      <c r="U320" s="372">
        <f t="shared" si="457"/>
        <v>753</v>
      </c>
      <c r="V320" s="372">
        <f t="shared" si="458"/>
        <v>450</v>
      </c>
      <c r="W320" s="372">
        <f t="shared" si="459"/>
        <v>-710</v>
      </c>
      <c r="X320" s="372">
        <f t="shared" si="460"/>
        <v>1127</v>
      </c>
      <c r="Y320" s="372">
        <f t="shared" si="461"/>
        <v>383</v>
      </c>
      <c r="Z320" s="372">
        <f t="shared" si="462"/>
        <v>-269</v>
      </c>
      <c r="AA320" s="372">
        <f t="shared" si="463"/>
        <v>-684</v>
      </c>
      <c r="AB320" s="372">
        <f t="shared" si="464"/>
        <v>129</v>
      </c>
      <c r="AC320" s="444"/>
      <c r="AD320" s="444"/>
      <c r="AE320" s="444"/>
      <c r="AF320" s="444"/>
      <c r="AG320" s="445"/>
      <c r="AH320" s="345">
        <v>-286</v>
      </c>
      <c r="AI320" s="345">
        <v>386</v>
      </c>
      <c r="AJ320" s="345">
        <v>1382</v>
      </c>
      <c r="AK320" s="345">
        <v>6778</v>
      </c>
      <c r="AL320" s="345">
        <v>-1601</v>
      </c>
      <c r="AM320" s="345">
        <v>885</v>
      </c>
      <c r="AN320" s="345">
        <v>1620</v>
      </c>
      <c r="AO320" s="345">
        <v>-441</v>
      </c>
      <c r="AP320" s="344">
        <f t="shared" si="440"/>
        <v>0</v>
      </c>
      <c r="AQ320" s="444"/>
      <c r="AR320" s="444"/>
      <c r="AS320" s="444"/>
      <c r="AU320" s="345">
        <v>497</v>
      </c>
      <c r="AV320" s="345">
        <v>-79</v>
      </c>
      <c r="AW320" s="345">
        <v>961</v>
      </c>
      <c r="AX320" s="345">
        <v>1382</v>
      </c>
      <c r="AY320" s="345">
        <v>427</v>
      </c>
      <c r="AZ320" s="345">
        <v>563</v>
      </c>
      <c r="BA320" s="345">
        <v>979</v>
      </c>
      <c r="BB320" s="345">
        <v>6778</v>
      </c>
      <c r="BC320" s="345">
        <v>295</v>
      </c>
      <c r="BD320" s="345">
        <v>-1133</v>
      </c>
      <c r="BE320" s="345">
        <v>-1057</v>
      </c>
      <c r="BF320" s="345">
        <v>-1601</v>
      </c>
      <c r="BG320" s="345">
        <v>440</v>
      </c>
      <c r="BH320" s="345">
        <v>-15</v>
      </c>
      <c r="BI320" s="345">
        <v>435</v>
      </c>
      <c r="BJ320" s="345">
        <v>885</v>
      </c>
      <c r="BK320" s="345">
        <v>753</v>
      </c>
      <c r="BL320" s="345">
        <v>1203</v>
      </c>
      <c r="BM320" s="345">
        <v>493</v>
      </c>
      <c r="BN320" s="345">
        <v>1620</v>
      </c>
      <c r="BO320" s="345">
        <v>383</v>
      </c>
      <c r="BP320" s="345">
        <v>114</v>
      </c>
      <c r="BQ320" s="345">
        <v>-570</v>
      </c>
      <c r="BR320" s="345">
        <v>-441</v>
      </c>
    </row>
    <row r="321" spans="3:70">
      <c r="C321" s="361" t="s">
        <v>355</v>
      </c>
      <c r="E321" s="372">
        <f t="shared" si="441"/>
        <v>0</v>
      </c>
      <c r="F321" s="372">
        <f t="shared" si="442"/>
        <v>0</v>
      </c>
      <c r="G321" s="372">
        <f t="shared" si="443"/>
        <v>0</v>
      </c>
      <c r="H321" s="372">
        <f t="shared" si="444"/>
        <v>0</v>
      </c>
      <c r="I321" s="372">
        <f t="shared" si="445"/>
        <v>0</v>
      </c>
      <c r="J321" s="372">
        <f t="shared" si="446"/>
        <v>0</v>
      </c>
      <c r="K321" s="372">
        <f t="shared" si="447"/>
        <v>0</v>
      </c>
      <c r="L321" s="372">
        <f t="shared" si="448"/>
        <v>1105</v>
      </c>
      <c r="M321" s="372">
        <f t="shared" si="449"/>
        <v>1599</v>
      </c>
      <c r="N321" s="372">
        <f t="shared" si="450"/>
        <v>-19</v>
      </c>
      <c r="O321" s="372">
        <f t="shared" si="451"/>
        <v>-108</v>
      </c>
      <c r="P321" s="372">
        <f t="shared" si="452"/>
        <v>-105</v>
      </c>
      <c r="Q321" s="372">
        <f t="shared" si="453"/>
        <v>-228</v>
      </c>
      <c r="R321" s="372">
        <f t="shared" si="454"/>
        <v>-216</v>
      </c>
      <c r="S321" s="372">
        <f t="shared" si="455"/>
        <v>-230</v>
      </c>
      <c r="T321" s="372">
        <f t="shared" si="456"/>
        <v>-108</v>
      </c>
      <c r="U321" s="372">
        <f t="shared" si="457"/>
        <v>-87</v>
      </c>
      <c r="V321" s="372">
        <f t="shared" si="458"/>
        <v>-74</v>
      </c>
      <c r="W321" s="372">
        <f t="shared" si="459"/>
        <v>70</v>
      </c>
      <c r="X321" s="372">
        <f t="shared" si="460"/>
        <v>-90</v>
      </c>
      <c r="Y321" s="372">
        <f t="shared" si="461"/>
        <v>-1566</v>
      </c>
      <c r="Z321" s="372">
        <f t="shared" si="462"/>
        <v>-5</v>
      </c>
      <c r="AA321" s="372">
        <f t="shared" si="463"/>
        <v>-6</v>
      </c>
      <c r="AB321" s="372">
        <f t="shared" si="464"/>
        <v>-6</v>
      </c>
      <c r="AC321" s="444"/>
      <c r="AD321" s="444"/>
      <c r="AE321" s="444"/>
      <c r="AF321" s="444"/>
      <c r="AG321" s="445"/>
      <c r="AH321" s="345">
        <v>0</v>
      </c>
      <c r="AI321" s="345">
        <v>-711</v>
      </c>
      <c r="AJ321" s="345">
        <v>0</v>
      </c>
      <c r="AK321" s="345">
        <v>1105</v>
      </c>
      <c r="AL321" s="345">
        <v>1367</v>
      </c>
      <c r="AM321" s="345">
        <v>-782</v>
      </c>
      <c r="AN321" s="345">
        <v>-181</v>
      </c>
      <c r="AO321" s="345">
        <v>-1583</v>
      </c>
      <c r="AP321" s="344">
        <f t="shared" si="440"/>
        <v>0</v>
      </c>
      <c r="AQ321" s="444"/>
      <c r="AR321" s="444"/>
      <c r="AS321" s="444"/>
      <c r="AU321" s="345">
        <v>0</v>
      </c>
      <c r="AV321" s="345">
        <v>0</v>
      </c>
      <c r="AW321" s="345">
        <v>0</v>
      </c>
      <c r="AX321" s="345">
        <v>0</v>
      </c>
      <c r="AY321" s="345">
        <v>0</v>
      </c>
      <c r="AZ321" s="345">
        <v>0</v>
      </c>
      <c r="BA321" s="345">
        <v>0</v>
      </c>
      <c r="BB321" s="345">
        <v>1105</v>
      </c>
      <c r="BC321" s="345">
        <v>1599</v>
      </c>
      <c r="BD321" s="345">
        <v>1580</v>
      </c>
      <c r="BE321" s="345">
        <v>1472</v>
      </c>
      <c r="BF321" s="345">
        <v>1367</v>
      </c>
      <c r="BG321" s="345">
        <v>-228</v>
      </c>
      <c r="BH321" s="345">
        <v>-444</v>
      </c>
      <c r="BI321" s="345">
        <v>-674</v>
      </c>
      <c r="BJ321" s="345">
        <v>-782</v>
      </c>
      <c r="BK321" s="345">
        <v>-87</v>
      </c>
      <c r="BL321" s="345">
        <v>-161</v>
      </c>
      <c r="BM321" s="345">
        <v>-91</v>
      </c>
      <c r="BN321" s="345">
        <v>-181</v>
      </c>
      <c r="BO321" s="345">
        <v>-1566</v>
      </c>
      <c r="BP321" s="345">
        <v>-1571</v>
      </c>
      <c r="BQ321" s="345">
        <v>-1577</v>
      </c>
      <c r="BR321" s="345">
        <v>-1583</v>
      </c>
    </row>
    <row r="322" spans="3:70">
      <c r="C322" s="361" t="s">
        <v>356</v>
      </c>
      <c r="E322" s="372">
        <f t="shared" si="441"/>
        <v>-898</v>
      </c>
      <c r="F322" s="372">
        <f t="shared" si="442"/>
        <v>352</v>
      </c>
      <c r="G322" s="372">
        <f t="shared" si="443"/>
        <v>213</v>
      </c>
      <c r="H322" s="372">
        <f t="shared" si="444"/>
        <v>727</v>
      </c>
      <c r="I322" s="372">
        <f t="shared" si="445"/>
        <v>-452</v>
      </c>
      <c r="J322" s="372">
        <f t="shared" si="446"/>
        <v>39</v>
      </c>
      <c r="K322" s="372">
        <f t="shared" si="447"/>
        <v>728</v>
      </c>
      <c r="L322" s="372">
        <f t="shared" si="448"/>
        <v>-627</v>
      </c>
      <c r="M322" s="372">
        <f t="shared" si="449"/>
        <v>-822</v>
      </c>
      <c r="N322" s="372">
        <f t="shared" si="450"/>
        <v>419</v>
      </c>
      <c r="O322" s="372">
        <f t="shared" si="451"/>
        <v>378</v>
      </c>
      <c r="P322" s="372">
        <f t="shared" si="452"/>
        <v>326</v>
      </c>
      <c r="Q322" s="372">
        <f t="shared" si="453"/>
        <v>204</v>
      </c>
      <c r="R322" s="372">
        <f t="shared" si="454"/>
        <v>244</v>
      </c>
      <c r="S322" s="372">
        <f t="shared" si="455"/>
        <v>1321</v>
      </c>
      <c r="T322" s="372">
        <f t="shared" si="456"/>
        <v>173</v>
      </c>
      <c r="U322" s="372">
        <f t="shared" si="457"/>
        <v>-1132</v>
      </c>
      <c r="V322" s="372">
        <f t="shared" si="458"/>
        <v>370</v>
      </c>
      <c r="W322" s="372">
        <f t="shared" si="459"/>
        <v>401</v>
      </c>
      <c r="X322" s="372">
        <f t="shared" si="460"/>
        <v>-76</v>
      </c>
      <c r="Y322" s="372">
        <f t="shared" si="461"/>
        <v>-641</v>
      </c>
      <c r="Z322" s="372">
        <f t="shared" si="462"/>
        <v>382</v>
      </c>
      <c r="AA322" s="372">
        <f t="shared" si="463"/>
        <v>1317</v>
      </c>
      <c r="AB322" s="372">
        <f t="shared" si="464"/>
        <v>-599</v>
      </c>
      <c r="AC322" s="372">
        <f>+AB203-AC203+AB211-AC211+AC217-AB217+AC218-AB218+AC219-AB219</f>
        <v>-267.29249999999956</v>
      </c>
      <c r="AD322" s="372">
        <f>+AC202-AD202+AC203-AD203+AC211-AD211+AD217-AC217+AD218-AC218+AD219-AC219</f>
        <v>-363.24925000000076</v>
      </c>
      <c r="AE322" s="372">
        <f>+AD202-AE202+AD203-AE203+AD211-AE211+AE217-AD217+AE218-AD218+AE219-AD219</f>
        <v>-357.77949999999873</v>
      </c>
      <c r="AF322" s="372">
        <f>+AE202-AF202+AE203-AF203+AE211-AF211+AF217-AE217+AF218-AE218+AF219-AE219</f>
        <v>-419.00624999999854</v>
      </c>
      <c r="AG322" s="445"/>
      <c r="AH322" s="345">
        <v>1391</v>
      </c>
      <c r="AI322" s="345">
        <v>517</v>
      </c>
      <c r="AJ322" s="345">
        <v>394</v>
      </c>
      <c r="AK322" s="345">
        <v>-312</v>
      </c>
      <c r="AL322" s="345">
        <v>301</v>
      </c>
      <c r="AM322" s="345">
        <v>1942</v>
      </c>
      <c r="AN322" s="345">
        <v>-437</v>
      </c>
      <c r="AO322" s="345">
        <v>459</v>
      </c>
      <c r="AP322" s="344">
        <f t="shared" si="440"/>
        <v>-1407.3274999999976</v>
      </c>
      <c r="AQ322" s="372">
        <f>+AP202-AQ202+AP203-AQ203+AP211-AQ211+AQ217-AP217+AQ218-AP218+AQ219-AP219</f>
        <v>-512.55852374999995</v>
      </c>
      <c r="AR322" s="372">
        <f>+AQ202-AR202+AQ203-AR203+AQ211-AR211+AR217-AQ217+AR218-AQ218+AR219-AQ219</f>
        <v>297.98349116250029</v>
      </c>
      <c r="AS322" s="372">
        <f>+AR202-AS202+AR203-AS203+AR211-AS211+AS217-AR217+AS218-AR218+AS219-AR219</f>
        <v>408.02370754437834</v>
      </c>
      <c r="AU322" s="345">
        <v>-898</v>
      </c>
      <c r="AV322" s="345">
        <v>-546</v>
      </c>
      <c r="AW322" s="345">
        <v>-333</v>
      </c>
      <c r="AX322" s="345">
        <v>394</v>
      </c>
      <c r="AY322" s="345">
        <v>-452</v>
      </c>
      <c r="AZ322" s="345">
        <v>-413</v>
      </c>
      <c r="BA322" s="345">
        <v>315</v>
      </c>
      <c r="BB322" s="345">
        <v>-312</v>
      </c>
      <c r="BC322" s="345">
        <v>-822</v>
      </c>
      <c r="BD322" s="345">
        <v>-403</v>
      </c>
      <c r="BE322" s="345">
        <v>-25</v>
      </c>
      <c r="BF322" s="345">
        <v>301</v>
      </c>
      <c r="BG322" s="345">
        <v>204</v>
      </c>
      <c r="BH322" s="345">
        <v>448</v>
      </c>
      <c r="BI322" s="345">
        <v>1769</v>
      </c>
      <c r="BJ322" s="345">
        <v>1942</v>
      </c>
      <c r="BK322" s="345">
        <v>-1132</v>
      </c>
      <c r="BL322" s="345">
        <v>-762</v>
      </c>
      <c r="BM322" s="345">
        <v>-361</v>
      </c>
      <c r="BN322" s="345">
        <v>-437</v>
      </c>
      <c r="BO322" s="345">
        <v>-641</v>
      </c>
      <c r="BP322" s="345">
        <v>-259</v>
      </c>
      <c r="BQ322" s="345">
        <v>1058</v>
      </c>
      <c r="BR322" s="345">
        <v>459</v>
      </c>
    </row>
    <row r="323" spans="3:70" s="373" customFormat="1">
      <c r="C323" s="354" t="s">
        <v>357</v>
      </c>
      <c r="E323" s="352">
        <f t="shared" ref="E323:AB323" si="465">SUM(E306:E322)</f>
        <v>2009</v>
      </c>
      <c r="F323" s="352">
        <f t="shared" si="465"/>
        <v>2515</v>
      </c>
      <c r="G323" s="352">
        <f t="shared" si="465"/>
        <v>2380</v>
      </c>
      <c r="H323" s="352">
        <f t="shared" si="465"/>
        <v>4588</v>
      </c>
      <c r="I323" s="352">
        <f t="shared" si="465"/>
        <v>934</v>
      </c>
      <c r="J323" s="352">
        <f t="shared" si="465"/>
        <v>1899</v>
      </c>
      <c r="K323" s="352">
        <f t="shared" si="465"/>
        <v>1748</v>
      </c>
      <c r="L323" s="352">
        <f t="shared" si="465"/>
        <v>7928</v>
      </c>
      <c r="M323" s="352">
        <f t="shared" si="465"/>
        <v>1830</v>
      </c>
      <c r="N323" s="352">
        <f t="shared" si="465"/>
        <v>2407</v>
      </c>
      <c r="O323" s="352">
        <f t="shared" si="465"/>
        <v>2437</v>
      </c>
      <c r="P323" s="352">
        <f t="shared" si="465"/>
        <v>1705</v>
      </c>
      <c r="Q323" s="352">
        <f t="shared" si="465"/>
        <v>985</v>
      </c>
      <c r="R323" s="352">
        <f t="shared" si="465"/>
        <v>3408</v>
      </c>
      <c r="S323" s="352">
        <f t="shared" si="465"/>
        <v>4721</v>
      </c>
      <c r="T323" s="352">
        <f t="shared" si="465"/>
        <v>2983</v>
      </c>
      <c r="U323" s="352">
        <f t="shared" si="465"/>
        <v>497</v>
      </c>
      <c r="V323" s="352">
        <f t="shared" si="465"/>
        <v>6052</v>
      </c>
      <c r="W323" s="352">
        <f t="shared" si="465"/>
        <v>3903</v>
      </c>
      <c r="X323" s="352">
        <f t="shared" si="465"/>
        <v>4033</v>
      </c>
      <c r="Y323" s="352">
        <f t="shared" si="465"/>
        <v>2187</v>
      </c>
      <c r="Z323" s="352">
        <f t="shared" si="465"/>
        <v>3685</v>
      </c>
      <c r="AA323" s="352">
        <f t="shared" si="465"/>
        <v>3077</v>
      </c>
      <c r="AB323" s="352">
        <f t="shared" si="465"/>
        <v>1174</v>
      </c>
      <c r="AC323" s="352">
        <f>SUM(AC306:AC322)</f>
        <v>3201.7637500000001</v>
      </c>
      <c r="AD323" s="352">
        <f>SUM(AD306:AD322)</f>
        <v>3050.557624999999</v>
      </c>
      <c r="AE323" s="352">
        <f>SUM(AE306:AE322)</f>
        <v>2946.1042500000012</v>
      </c>
      <c r="AF323" s="352">
        <f>SUM(AF306:AF322)</f>
        <v>2906.5031250000011</v>
      </c>
      <c r="AG323" s="445"/>
      <c r="AH323" s="352">
        <f t="shared" ref="AH323:AO323" si="466">SUM(AH306:AH322)</f>
        <v>8714</v>
      </c>
      <c r="AI323" s="352">
        <f t="shared" si="466"/>
        <v>7598</v>
      </c>
      <c r="AJ323" s="352">
        <f t="shared" si="466"/>
        <v>11492</v>
      </c>
      <c r="AK323" s="352">
        <f t="shared" si="466"/>
        <v>12509</v>
      </c>
      <c r="AL323" s="352">
        <f t="shared" si="466"/>
        <v>8379</v>
      </c>
      <c r="AM323" s="352">
        <f t="shared" si="466"/>
        <v>12097</v>
      </c>
      <c r="AN323" s="352">
        <f t="shared" si="466"/>
        <v>14485</v>
      </c>
      <c r="AO323" s="352">
        <f t="shared" si="466"/>
        <v>10123</v>
      </c>
      <c r="AP323" s="352">
        <f>SUM(AP306:AP322)</f>
        <v>12104.928750000001</v>
      </c>
      <c r="AQ323" s="352">
        <f>SUM(AQ306:AQ322)</f>
        <v>14660.361555098378</v>
      </c>
      <c r="AR323" s="352">
        <f>SUM(AR306:AR322)</f>
        <v>16367.621787294058</v>
      </c>
      <c r="AS323" s="352">
        <f>SUM(AS306:AS322)</f>
        <v>16888.066813323996</v>
      </c>
      <c r="AU323" s="352">
        <f t="shared" ref="AU323:BR323" si="467">SUM(AU306:AU322)</f>
        <v>2009</v>
      </c>
      <c r="AV323" s="352">
        <f t="shared" si="467"/>
        <v>4524</v>
      </c>
      <c r="AW323" s="352">
        <f t="shared" si="467"/>
        <v>6904</v>
      </c>
      <c r="AX323" s="352">
        <f t="shared" si="467"/>
        <v>11492</v>
      </c>
      <c r="AY323" s="352">
        <f t="shared" si="467"/>
        <v>934</v>
      </c>
      <c r="AZ323" s="352">
        <f t="shared" si="467"/>
        <v>2833</v>
      </c>
      <c r="BA323" s="352">
        <f t="shared" si="467"/>
        <v>4581</v>
      </c>
      <c r="BB323" s="352">
        <f t="shared" si="467"/>
        <v>12509</v>
      </c>
      <c r="BC323" s="352">
        <f t="shared" si="467"/>
        <v>1830</v>
      </c>
      <c r="BD323" s="352">
        <f t="shared" si="467"/>
        <v>4237</v>
      </c>
      <c r="BE323" s="352">
        <f t="shared" si="467"/>
        <v>6674</v>
      </c>
      <c r="BF323" s="352">
        <f t="shared" si="467"/>
        <v>8379</v>
      </c>
      <c r="BG323" s="352">
        <f t="shared" si="467"/>
        <v>985</v>
      </c>
      <c r="BH323" s="352">
        <f t="shared" si="467"/>
        <v>4393</v>
      </c>
      <c r="BI323" s="352">
        <f t="shared" si="467"/>
        <v>9114</v>
      </c>
      <c r="BJ323" s="352">
        <f t="shared" si="467"/>
        <v>12097</v>
      </c>
      <c r="BK323" s="352">
        <f t="shared" si="467"/>
        <v>497</v>
      </c>
      <c r="BL323" s="352">
        <f t="shared" si="467"/>
        <v>6549</v>
      </c>
      <c r="BM323" s="352">
        <f t="shared" si="467"/>
        <v>10452</v>
      </c>
      <c r="BN323" s="352">
        <f t="shared" si="467"/>
        <v>14485</v>
      </c>
      <c r="BO323" s="352">
        <f t="shared" si="467"/>
        <v>2187</v>
      </c>
      <c r="BP323" s="352">
        <f t="shared" si="467"/>
        <v>5872</v>
      </c>
      <c r="BQ323" s="352">
        <f t="shared" si="467"/>
        <v>8949</v>
      </c>
      <c r="BR323" s="352">
        <f t="shared" si="467"/>
        <v>10123</v>
      </c>
    </row>
    <row r="324" spans="3:70" s="373" customFormat="1">
      <c r="C324" s="354" t="s">
        <v>358</v>
      </c>
      <c r="E324" s="352">
        <f t="shared" ref="E324:AB324" si="468">E304+E323</f>
        <v>4055</v>
      </c>
      <c r="F324" s="352">
        <f t="shared" si="468"/>
        <v>3845</v>
      </c>
      <c r="G324" s="352">
        <f t="shared" si="468"/>
        <v>5758</v>
      </c>
      <c r="H324" s="352">
        <f t="shared" si="468"/>
        <v>8150</v>
      </c>
      <c r="I324" s="352">
        <f t="shared" si="468"/>
        <v>3898</v>
      </c>
      <c r="J324" s="352">
        <f t="shared" si="468"/>
        <v>4707</v>
      </c>
      <c r="K324" s="352">
        <f t="shared" si="468"/>
        <v>6264</v>
      </c>
      <c r="L324" s="352">
        <f t="shared" si="468"/>
        <v>7241</v>
      </c>
      <c r="M324" s="352">
        <f t="shared" si="468"/>
        <v>6284</v>
      </c>
      <c r="N324" s="352">
        <f t="shared" si="468"/>
        <v>7413</v>
      </c>
      <c r="O324" s="352">
        <f t="shared" si="468"/>
        <v>8835</v>
      </c>
      <c r="P324" s="352">
        <f t="shared" si="468"/>
        <v>6900</v>
      </c>
      <c r="Q324" s="352">
        <f t="shared" si="468"/>
        <v>4959</v>
      </c>
      <c r="R324" s="352">
        <f t="shared" si="468"/>
        <v>7587</v>
      </c>
      <c r="S324" s="352">
        <f t="shared" si="468"/>
        <v>10711</v>
      </c>
      <c r="T324" s="352">
        <f t="shared" si="468"/>
        <v>9888</v>
      </c>
      <c r="U324" s="352">
        <f t="shared" si="468"/>
        <v>6158</v>
      </c>
      <c r="V324" s="352">
        <f t="shared" si="468"/>
        <v>11157</v>
      </c>
      <c r="W324" s="352">
        <f t="shared" si="468"/>
        <v>8179</v>
      </c>
      <c r="X324" s="352">
        <f t="shared" si="468"/>
        <v>9890</v>
      </c>
      <c r="Y324" s="352">
        <f t="shared" si="468"/>
        <v>5548</v>
      </c>
      <c r="Z324" s="352">
        <f t="shared" si="468"/>
        <v>8746</v>
      </c>
      <c r="AA324" s="352">
        <f t="shared" si="468"/>
        <v>9900</v>
      </c>
      <c r="AB324" s="352">
        <f t="shared" si="468"/>
        <v>5797</v>
      </c>
      <c r="AC324" s="352">
        <f ca="1">AC304+AC323</f>
        <v>5866.8448447504788</v>
      </c>
      <c r="AD324" s="352">
        <f ca="1">AD304+AD323</f>
        <v>4729.4843860004785</v>
      </c>
      <c r="AE324" s="352">
        <f ca="1">AE304+AE323</f>
        <v>4262.5642972504811</v>
      </c>
      <c r="AF324" s="352">
        <f ca="1">AF304+AF323</f>
        <v>3895.2151612504799</v>
      </c>
      <c r="AG324" s="445"/>
      <c r="AH324" s="352">
        <f t="shared" ref="AH324:AO324" si="469">AH304+AH323</f>
        <v>20418</v>
      </c>
      <c r="AI324" s="352">
        <f t="shared" si="469"/>
        <v>19018</v>
      </c>
      <c r="AJ324" s="352">
        <f t="shared" si="469"/>
        <v>21808</v>
      </c>
      <c r="AK324" s="352">
        <f t="shared" si="469"/>
        <v>22110</v>
      </c>
      <c r="AL324" s="352">
        <f t="shared" si="469"/>
        <v>29432</v>
      </c>
      <c r="AM324" s="352">
        <f t="shared" si="469"/>
        <v>33145</v>
      </c>
      <c r="AN324" s="352">
        <f t="shared" si="469"/>
        <v>35384</v>
      </c>
      <c r="AO324" s="352">
        <f t="shared" si="469"/>
        <v>29991</v>
      </c>
      <c r="AP324" s="352">
        <f ca="1">AP304+AP323</f>
        <v>18754.108689251916</v>
      </c>
      <c r="AQ324" s="352">
        <f ca="1">AQ304+AQ323</f>
        <v>21844.602745125296</v>
      </c>
      <c r="AR324" s="352">
        <f ca="1">AR304+AR323</f>
        <v>25438.014033861353</v>
      </c>
      <c r="AS324" s="352">
        <f ca="1">AS304+AS323</f>
        <v>26997.913513394127</v>
      </c>
      <c r="AU324" s="352">
        <f t="shared" ref="AU324:BR324" si="470">AU304+AU323</f>
        <v>4055</v>
      </c>
      <c r="AV324" s="352">
        <f t="shared" si="470"/>
        <v>7900</v>
      </c>
      <c r="AW324" s="352">
        <f t="shared" si="470"/>
        <v>13658</v>
      </c>
      <c r="AX324" s="352">
        <f t="shared" si="470"/>
        <v>21808</v>
      </c>
      <c r="AY324" s="352">
        <f t="shared" si="470"/>
        <v>3898</v>
      </c>
      <c r="AZ324" s="352">
        <f t="shared" si="470"/>
        <v>8605</v>
      </c>
      <c r="BA324" s="352">
        <f t="shared" si="470"/>
        <v>14869</v>
      </c>
      <c r="BB324" s="352">
        <f t="shared" si="470"/>
        <v>22110</v>
      </c>
      <c r="BC324" s="352">
        <f t="shared" si="470"/>
        <v>6284</v>
      </c>
      <c r="BD324" s="352">
        <f t="shared" si="470"/>
        <v>13697</v>
      </c>
      <c r="BE324" s="352">
        <f t="shared" si="470"/>
        <v>22532</v>
      </c>
      <c r="BF324" s="352">
        <f t="shared" si="470"/>
        <v>29432</v>
      </c>
      <c r="BG324" s="352">
        <f t="shared" si="470"/>
        <v>4959</v>
      </c>
      <c r="BH324" s="352">
        <f t="shared" si="470"/>
        <v>12546</v>
      </c>
      <c r="BI324" s="352">
        <f t="shared" si="470"/>
        <v>23257</v>
      </c>
      <c r="BJ324" s="352">
        <f t="shared" si="470"/>
        <v>33145</v>
      </c>
      <c r="BK324" s="352">
        <f t="shared" si="470"/>
        <v>6158</v>
      </c>
      <c r="BL324" s="352">
        <f t="shared" si="470"/>
        <v>17315</v>
      </c>
      <c r="BM324" s="352">
        <f t="shared" si="470"/>
        <v>25494</v>
      </c>
      <c r="BN324" s="352">
        <f t="shared" si="470"/>
        <v>35384</v>
      </c>
      <c r="BO324" s="352">
        <f t="shared" si="470"/>
        <v>5548</v>
      </c>
      <c r="BP324" s="352">
        <f t="shared" si="470"/>
        <v>14294</v>
      </c>
      <c r="BQ324" s="352">
        <f t="shared" si="470"/>
        <v>24194</v>
      </c>
      <c r="BR324" s="352">
        <f t="shared" si="470"/>
        <v>29991</v>
      </c>
    </row>
    <row r="325" spans="3:70">
      <c r="E325" s="372"/>
      <c r="F325" s="372"/>
      <c r="G325" s="372"/>
      <c r="H325" s="372"/>
      <c r="I325" s="372"/>
      <c r="J325" s="372"/>
      <c r="K325" s="372"/>
      <c r="L325" s="372"/>
      <c r="M325" s="372"/>
      <c r="N325" s="372"/>
      <c r="O325" s="372"/>
      <c r="P325" s="372"/>
      <c r="Q325" s="372"/>
      <c r="R325" s="372"/>
      <c r="S325" s="372"/>
      <c r="T325" s="372"/>
      <c r="U325" s="372"/>
      <c r="V325" s="372"/>
      <c r="W325" s="372"/>
      <c r="X325" s="372"/>
      <c r="Y325" s="372"/>
      <c r="Z325" s="372"/>
      <c r="AA325" s="372"/>
      <c r="AB325" s="372"/>
      <c r="AC325" s="372"/>
      <c r="AD325" s="372"/>
      <c r="AE325" s="372"/>
      <c r="AF325" s="372"/>
      <c r="AG325" s="445"/>
      <c r="AH325" s="345"/>
      <c r="AI325" s="345"/>
      <c r="AJ325" s="345"/>
      <c r="AK325" s="345"/>
      <c r="AL325" s="345"/>
      <c r="AM325" s="345"/>
      <c r="AN325" s="345"/>
      <c r="AO325" s="345"/>
      <c r="AP325" s="372"/>
      <c r="AQ325" s="372"/>
      <c r="AR325" s="372"/>
      <c r="AS325" s="372"/>
      <c r="AU325" s="345"/>
      <c r="AV325" s="345"/>
      <c r="AW325" s="345"/>
      <c r="AX325" s="345"/>
      <c r="AY325" s="345"/>
      <c r="AZ325" s="345"/>
      <c r="BA325" s="345"/>
      <c r="BB325" s="345"/>
      <c r="BC325" s="345"/>
      <c r="BD325" s="345"/>
      <c r="BE325" s="345"/>
      <c r="BF325" s="345"/>
      <c r="BG325" s="345"/>
      <c r="BH325" s="345"/>
      <c r="BI325" s="345"/>
      <c r="BJ325" s="345"/>
      <c r="BK325" s="345"/>
      <c r="BL325" s="345"/>
      <c r="BM325" s="345"/>
      <c r="BN325" s="345"/>
      <c r="BO325" s="345"/>
      <c r="BP325" s="345"/>
      <c r="BQ325" s="345"/>
      <c r="BR325" s="345"/>
    </row>
    <row r="326" spans="3:70">
      <c r="C326" s="338" t="s">
        <v>270</v>
      </c>
      <c r="E326" s="372">
        <f t="shared" ref="E326:E339" si="471">AU326</f>
        <v>-1346</v>
      </c>
      <c r="F326" s="372">
        <f t="shared" ref="F326:F339" si="472">AV326-AU326</f>
        <v>-2286</v>
      </c>
      <c r="G326" s="372">
        <f t="shared" ref="G326:G339" si="473">AW326-AV326</f>
        <v>-2463</v>
      </c>
      <c r="H326" s="372">
        <f t="shared" ref="H326:H339" si="474">AX326-AW326</f>
        <v>-3530</v>
      </c>
      <c r="I326" s="372">
        <f t="shared" ref="I326:I339" si="475">AY326</f>
        <v>-1952</v>
      </c>
      <c r="J326" s="372">
        <f t="shared" ref="J326:J339" si="476">AZ326-AY326</f>
        <v>-2778</v>
      </c>
      <c r="K326" s="372">
        <f t="shared" ref="K326:K339" si="477">BA326-AZ326</f>
        <v>-2979</v>
      </c>
      <c r="L326" s="372">
        <f t="shared" ref="L326:L339" si="478">BB326-BA326</f>
        <v>-4069</v>
      </c>
      <c r="M326" s="372">
        <f t="shared" ref="M326:M339" si="479">BC326</f>
        <v>-2910</v>
      </c>
      <c r="N326" s="372">
        <f t="shared" ref="N326:N339" si="480">BD326-BC326</f>
        <v>-4530</v>
      </c>
      <c r="O326" s="372">
        <f t="shared" ref="O326:O339" si="481">BE326-BD326</f>
        <v>-3851</v>
      </c>
      <c r="P326" s="372">
        <f t="shared" ref="P326:P339" si="482">BF326-BE326</f>
        <v>-3890</v>
      </c>
      <c r="Q326" s="372">
        <f t="shared" ref="Q326:Q339" si="483">BG326</f>
        <v>-3321</v>
      </c>
      <c r="R326" s="372">
        <f t="shared" ref="R326:R339" si="484">BH326-BG326</f>
        <v>-3554</v>
      </c>
      <c r="S326" s="372">
        <f t="shared" ref="S326:S339" si="485">BI326-BH326</f>
        <v>-4672</v>
      </c>
      <c r="T326" s="372">
        <f t="shared" ref="T326:T339" si="486">BJ326-BI326</f>
        <v>-4666</v>
      </c>
      <c r="U326" s="372">
        <f t="shared" ref="U326:U339" si="487">BK326</f>
        <v>-3268</v>
      </c>
      <c r="V326" s="372">
        <f t="shared" ref="V326:V339" si="488">BL326-BK326</f>
        <v>-3408</v>
      </c>
      <c r="W326" s="372">
        <f t="shared" ref="W326:W339" si="489">BM326-BL326</f>
        <v>-3716</v>
      </c>
      <c r="X326" s="372">
        <f t="shared" ref="X326:X339" si="490">BN326-BM326</f>
        <v>-3867</v>
      </c>
      <c r="Y326" s="372">
        <f t="shared" ref="Y326:Y339" si="491">BO326</f>
        <v>-3972</v>
      </c>
      <c r="Z326" s="372">
        <f t="shared" ref="Z326:Z339" si="492">BP326-BO326</f>
        <v>-3602</v>
      </c>
      <c r="AA326" s="372">
        <f t="shared" ref="AA326:AA339" si="493">BQ326-BP326</f>
        <v>-4005</v>
      </c>
      <c r="AB326" s="372">
        <f t="shared" ref="AB326:AB339" si="494">BR326-BQ326</f>
        <v>-7154</v>
      </c>
      <c r="AC326" s="372">
        <f>-AC394</f>
        <v>-6666.3624999999984</v>
      </c>
      <c r="AD326" s="372">
        <f>-AD394</f>
        <v>-5892.8712499999992</v>
      </c>
      <c r="AE326" s="372">
        <f>-AE394</f>
        <v>-5753.9475000000002</v>
      </c>
      <c r="AF326" s="372">
        <f>-AF394</f>
        <v>-6056.7062499999993</v>
      </c>
      <c r="AG326" s="445"/>
      <c r="AH326" s="345">
        <v>-10105</v>
      </c>
      <c r="AI326" s="345">
        <v>-7326</v>
      </c>
      <c r="AJ326" s="345">
        <v>-9625</v>
      </c>
      <c r="AK326" s="345">
        <v>-11778</v>
      </c>
      <c r="AL326" s="345">
        <v>-15181</v>
      </c>
      <c r="AM326" s="345">
        <v>-16213</v>
      </c>
      <c r="AN326" s="345">
        <v>-14259</v>
      </c>
      <c r="AO326" s="345">
        <v>-18733</v>
      </c>
      <c r="AP326" s="344">
        <f t="shared" ref="AP326:AP339" si="495">+SUMIF($E$5:$AF$5,AP$5,$E326:$AF326)</f>
        <v>-24369.887499999997</v>
      </c>
      <c r="AQ326" s="372">
        <f>-AQ394</f>
        <v>-22989.922243749999</v>
      </c>
      <c r="AR326" s="372">
        <f>-AR394</f>
        <v>-21752.855304400004</v>
      </c>
      <c r="AS326" s="372">
        <f>-AS394</f>
        <v>-17779.079182609381</v>
      </c>
      <c r="AU326" s="345">
        <v>-1346</v>
      </c>
      <c r="AV326" s="345">
        <v>-3632</v>
      </c>
      <c r="AW326" s="345">
        <v>-6095</v>
      </c>
      <c r="AX326" s="345">
        <v>-9625</v>
      </c>
      <c r="AY326" s="345">
        <v>-1952</v>
      </c>
      <c r="AZ326" s="345">
        <v>-4730</v>
      </c>
      <c r="BA326" s="345">
        <v>-7709</v>
      </c>
      <c r="BB326" s="345">
        <v>-11778</v>
      </c>
      <c r="BC326" s="345">
        <v>-2910</v>
      </c>
      <c r="BD326" s="345">
        <v>-7440</v>
      </c>
      <c r="BE326" s="345">
        <v>-11291</v>
      </c>
      <c r="BF326" s="345">
        <v>-15181</v>
      </c>
      <c r="BG326" s="345">
        <v>-3321</v>
      </c>
      <c r="BH326" s="345">
        <v>-6875</v>
      </c>
      <c r="BI326" s="345">
        <v>-11547</v>
      </c>
      <c r="BJ326" s="345">
        <v>-16213</v>
      </c>
      <c r="BK326" s="345">
        <v>-3268</v>
      </c>
      <c r="BL326" s="345">
        <v>-6676</v>
      </c>
      <c r="BM326" s="345">
        <v>-10392</v>
      </c>
      <c r="BN326" s="345">
        <v>-14259</v>
      </c>
      <c r="BO326" s="345">
        <v>-3972</v>
      </c>
      <c r="BP326" s="345">
        <v>-7574</v>
      </c>
      <c r="BQ326" s="345">
        <v>-11579</v>
      </c>
      <c r="BR326" s="345">
        <v>-18733</v>
      </c>
    </row>
    <row r="327" spans="3:70">
      <c r="C327" s="338" t="s">
        <v>359</v>
      </c>
      <c r="E327" s="372">
        <f t="shared" si="471"/>
        <v>0</v>
      </c>
      <c r="F327" s="372">
        <f t="shared" si="472"/>
        <v>0</v>
      </c>
      <c r="G327" s="372">
        <f t="shared" si="473"/>
        <v>0</v>
      </c>
      <c r="H327" s="372">
        <f t="shared" si="474"/>
        <v>0</v>
      </c>
      <c r="I327" s="372">
        <f t="shared" si="475"/>
        <v>0</v>
      </c>
      <c r="J327" s="372">
        <f t="shared" si="476"/>
        <v>0</v>
      </c>
      <c r="K327" s="372">
        <f t="shared" si="477"/>
        <v>0</v>
      </c>
      <c r="L327" s="372">
        <f t="shared" si="478"/>
        <v>0</v>
      </c>
      <c r="M327" s="372">
        <f t="shared" si="479"/>
        <v>0</v>
      </c>
      <c r="N327" s="372">
        <f t="shared" si="480"/>
        <v>0</v>
      </c>
      <c r="O327" s="372">
        <f t="shared" si="481"/>
        <v>0</v>
      </c>
      <c r="P327" s="372">
        <f t="shared" si="482"/>
        <v>0</v>
      </c>
      <c r="Q327" s="372">
        <f t="shared" si="483"/>
        <v>0</v>
      </c>
      <c r="R327" s="372">
        <f t="shared" si="484"/>
        <v>0</v>
      </c>
      <c r="S327" s="372">
        <f t="shared" si="485"/>
        <v>0</v>
      </c>
      <c r="T327" s="372">
        <f t="shared" si="486"/>
        <v>0</v>
      </c>
      <c r="U327" s="372">
        <f t="shared" si="487"/>
        <v>0</v>
      </c>
      <c r="V327" s="372">
        <f t="shared" si="488"/>
        <v>0</v>
      </c>
      <c r="W327" s="372">
        <f t="shared" si="489"/>
        <v>0</v>
      </c>
      <c r="X327" s="372">
        <f t="shared" si="490"/>
        <v>-194</v>
      </c>
      <c r="Y327" s="372">
        <f t="shared" si="491"/>
        <v>-416</v>
      </c>
      <c r="Z327" s="372">
        <f t="shared" si="492"/>
        <v>-266</v>
      </c>
      <c r="AA327" s="372">
        <f t="shared" si="493"/>
        <v>-436</v>
      </c>
      <c r="AB327" s="372">
        <f t="shared" si="494"/>
        <v>-478</v>
      </c>
      <c r="AC327" s="444"/>
      <c r="AD327" s="444"/>
      <c r="AE327" s="444"/>
      <c r="AF327" s="444"/>
      <c r="AG327" s="445"/>
      <c r="AH327" s="345">
        <v>0</v>
      </c>
      <c r="AI327" s="345">
        <v>0</v>
      </c>
      <c r="AJ327" s="345">
        <v>0</v>
      </c>
      <c r="AK327" s="345">
        <v>0</v>
      </c>
      <c r="AL327" s="345">
        <v>0</v>
      </c>
      <c r="AM327" s="345">
        <v>0</v>
      </c>
      <c r="AN327" s="345">
        <v>-194</v>
      </c>
      <c r="AO327" s="345">
        <v>-1596</v>
      </c>
      <c r="AP327" s="540">
        <f t="shared" si="495"/>
        <v>0</v>
      </c>
      <c r="AQ327" s="444"/>
      <c r="AR327" s="444"/>
      <c r="AS327" s="444"/>
      <c r="AU327" s="345">
        <v>0</v>
      </c>
      <c r="AV327" s="345">
        <v>0</v>
      </c>
      <c r="AW327" s="345">
        <v>0</v>
      </c>
      <c r="AX327" s="345">
        <v>0</v>
      </c>
      <c r="AY327" s="345">
        <v>0</v>
      </c>
      <c r="AZ327" s="345">
        <v>0</v>
      </c>
      <c r="BA327" s="345">
        <v>0</v>
      </c>
      <c r="BB327" s="345">
        <v>0</v>
      </c>
      <c r="BC327" s="345">
        <v>0</v>
      </c>
      <c r="BD327" s="345">
        <v>0</v>
      </c>
      <c r="BE327" s="345">
        <v>0</v>
      </c>
      <c r="BF327" s="345">
        <v>0</v>
      </c>
      <c r="BG327" s="345">
        <v>0</v>
      </c>
      <c r="BH327" s="345">
        <v>0</v>
      </c>
      <c r="BI327" s="345">
        <v>0</v>
      </c>
      <c r="BJ327" s="345">
        <v>0</v>
      </c>
      <c r="BK327" s="345">
        <v>0</v>
      </c>
      <c r="BL327" s="345">
        <v>0</v>
      </c>
      <c r="BM327" s="345">
        <v>0</v>
      </c>
      <c r="BN327" s="345">
        <v>-194</v>
      </c>
      <c r="BO327" s="345">
        <v>-416</v>
      </c>
      <c r="BP327" s="345">
        <v>-682</v>
      </c>
      <c r="BQ327" s="345">
        <v>-1118</v>
      </c>
      <c r="BR327" s="345">
        <v>-1596</v>
      </c>
    </row>
    <row r="328" spans="3:70">
      <c r="C328" s="338" t="s">
        <v>360</v>
      </c>
      <c r="E328" s="372">
        <f t="shared" si="471"/>
        <v>-2847</v>
      </c>
      <c r="F328" s="372">
        <f t="shared" si="472"/>
        <v>-2846</v>
      </c>
      <c r="G328" s="372">
        <f t="shared" si="473"/>
        <v>-2269</v>
      </c>
      <c r="H328" s="372">
        <f t="shared" si="474"/>
        <v>-1307</v>
      </c>
      <c r="I328" s="372">
        <f t="shared" si="475"/>
        <v>-1746</v>
      </c>
      <c r="J328" s="372">
        <f t="shared" si="476"/>
        <v>-130</v>
      </c>
      <c r="K328" s="372">
        <f t="shared" si="477"/>
        <v>1428</v>
      </c>
      <c r="L328" s="372">
        <f t="shared" si="478"/>
        <v>-2298</v>
      </c>
      <c r="M328" s="372">
        <f t="shared" si="479"/>
        <v>-859</v>
      </c>
      <c r="N328" s="372">
        <f t="shared" si="480"/>
        <v>-719</v>
      </c>
      <c r="O328" s="372">
        <f t="shared" si="481"/>
        <v>-1512</v>
      </c>
      <c r="P328" s="372">
        <f t="shared" si="482"/>
        <v>-753</v>
      </c>
      <c r="Q328" s="372">
        <f t="shared" si="483"/>
        <v>-872</v>
      </c>
      <c r="R328" s="372">
        <f t="shared" si="484"/>
        <v>-849</v>
      </c>
      <c r="S328" s="372">
        <f t="shared" si="485"/>
        <v>-307</v>
      </c>
      <c r="T328" s="372">
        <f t="shared" si="486"/>
        <v>-240</v>
      </c>
      <c r="U328" s="372">
        <f t="shared" si="487"/>
        <v>-513</v>
      </c>
      <c r="V328" s="372">
        <f t="shared" si="488"/>
        <v>-4045</v>
      </c>
      <c r="W328" s="372">
        <f t="shared" si="489"/>
        <v>-1765</v>
      </c>
      <c r="X328" s="372">
        <f t="shared" si="490"/>
        <v>-539</v>
      </c>
      <c r="Y328" s="372">
        <f t="shared" si="491"/>
        <v>-593</v>
      </c>
      <c r="Z328" s="372">
        <f t="shared" si="492"/>
        <v>-1407</v>
      </c>
      <c r="AA328" s="372">
        <f t="shared" si="493"/>
        <v>-1983</v>
      </c>
      <c r="AB328" s="372">
        <f t="shared" si="494"/>
        <v>-1068</v>
      </c>
      <c r="AC328" s="372">
        <f>+AB198-AC198</f>
        <v>0</v>
      </c>
      <c r="AD328" s="372">
        <f>+AC198-AD198</f>
        <v>0</v>
      </c>
      <c r="AE328" s="372">
        <f>+AD198-AE198</f>
        <v>0</v>
      </c>
      <c r="AF328" s="372">
        <f>+AE198-AF198</f>
        <v>0</v>
      </c>
      <c r="AG328" s="445"/>
      <c r="AH328" s="345">
        <v>-7007</v>
      </c>
      <c r="AI328" s="345">
        <v>-8259</v>
      </c>
      <c r="AJ328" s="345">
        <v>-9269</v>
      </c>
      <c r="AK328" s="345">
        <v>-2746</v>
      </c>
      <c r="AL328" s="345">
        <v>-3843</v>
      </c>
      <c r="AM328" s="345">
        <v>-2268</v>
      </c>
      <c r="AN328" s="345">
        <v>-6862</v>
      </c>
      <c r="AO328" s="345">
        <v>-5051</v>
      </c>
      <c r="AP328" s="344">
        <f t="shared" si="495"/>
        <v>0</v>
      </c>
      <c r="AQ328" s="372">
        <f>+AP198-AQ198</f>
        <v>0</v>
      </c>
      <c r="AR328" s="372">
        <f>+AQ198-AR198</f>
        <v>0</v>
      </c>
      <c r="AS328" s="372">
        <f>+AR198-AS198</f>
        <v>0</v>
      </c>
      <c r="AU328" s="345">
        <v>-2847</v>
      </c>
      <c r="AV328" s="345">
        <v>-5693</v>
      </c>
      <c r="AW328" s="345">
        <v>-7962</v>
      </c>
      <c r="AX328" s="345">
        <v>-9269</v>
      </c>
      <c r="AY328" s="345">
        <v>-1746</v>
      </c>
      <c r="AZ328" s="345">
        <v>-1876</v>
      </c>
      <c r="BA328" s="345">
        <f>-1959+1511</f>
        <v>-448</v>
      </c>
      <c r="BB328" s="345">
        <v>-2746</v>
      </c>
      <c r="BC328" s="345">
        <v>-859</v>
      </c>
      <c r="BD328" s="345">
        <v>-1578</v>
      </c>
      <c r="BE328" s="345">
        <v>-3090</v>
      </c>
      <c r="BF328" s="345">
        <v>-3843</v>
      </c>
      <c r="BG328" s="345">
        <v>-872</v>
      </c>
      <c r="BH328" s="345">
        <v>-1721</v>
      </c>
      <c r="BI328" s="345">
        <v>-2028</v>
      </c>
      <c r="BJ328" s="345">
        <v>-2268</v>
      </c>
      <c r="BK328" s="345">
        <v>-513</v>
      </c>
      <c r="BL328" s="345">
        <v>-4558</v>
      </c>
      <c r="BM328" s="345">
        <v>-6323</v>
      </c>
      <c r="BN328" s="345">
        <v>-6862</v>
      </c>
      <c r="BO328" s="345">
        <v>-593</v>
      </c>
      <c r="BP328" s="345">
        <v>-2000</v>
      </c>
      <c r="BQ328" s="345">
        <v>-3983</v>
      </c>
      <c r="BR328" s="345">
        <v>-5051</v>
      </c>
    </row>
    <row r="329" spans="3:70">
      <c r="C329" s="338" t="s">
        <v>361</v>
      </c>
      <c r="E329" s="372">
        <f t="shared" si="471"/>
        <v>4169</v>
      </c>
      <c r="F329" s="372">
        <f t="shared" si="472"/>
        <v>1909</v>
      </c>
      <c r="G329" s="372">
        <f t="shared" si="473"/>
        <v>2643</v>
      </c>
      <c r="H329" s="372">
        <f t="shared" si="474"/>
        <v>-220</v>
      </c>
      <c r="I329" s="372">
        <f t="shared" si="475"/>
        <v>1508</v>
      </c>
      <c r="J329" s="372">
        <f t="shared" si="476"/>
        <v>689</v>
      </c>
      <c r="K329" s="372">
        <f t="shared" si="477"/>
        <v>1291</v>
      </c>
      <c r="L329" s="372">
        <f t="shared" si="478"/>
        <v>2032</v>
      </c>
      <c r="M329" s="372">
        <f t="shared" si="479"/>
        <v>893</v>
      </c>
      <c r="N329" s="372">
        <f t="shared" si="480"/>
        <v>827</v>
      </c>
      <c r="O329" s="372">
        <f t="shared" si="481"/>
        <v>647</v>
      </c>
      <c r="P329" s="372">
        <f t="shared" si="482"/>
        <v>796</v>
      </c>
      <c r="Q329" s="372">
        <f t="shared" si="483"/>
        <v>948</v>
      </c>
      <c r="R329" s="372">
        <f t="shared" si="484"/>
        <v>1083</v>
      </c>
      <c r="S329" s="372">
        <f t="shared" si="485"/>
        <v>1087</v>
      </c>
      <c r="T329" s="372">
        <f t="shared" si="486"/>
        <v>1108</v>
      </c>
      <c r="U329" s="372">
        <f t="shared" si="487"/>
        <v>625</v>
      </c>
      <c r="V329" s="372">
        <f t="shared" si="488"/>
        <v>678</v>
      </c>
      <c r="W329" s="372">
        <f t="shared" si="489"/>
        <v>3734</v>
      </c>
      <c r="X329" s="372">
        <f t="shared" si="490"/>
        <v>1744</v>
      </c>
      <c r="Y329" s="372">
        <f t="shared" si="491"/>
        <v>1232</v>
      </c>
      <c r="Z329" s="372">
        <f t="shared" si="492"/>
        <v>894</v>
      </c>
      <c r="AA329" s="372">
        <f t="shared" si="493"/>
        <v>1331</v>
      </c>
      <c r="AB329" s="372">
        <f t="shared" si="494"/>
        <v>3010</v>
      </c>
      <c r="AC329" s="444"/>
      <c r="AD329" s="444"/>
      <c r="AE329" s="444"/>
      <c r="AF329" s="444"/>
      <c r="AG329" s="445"/>
      <c r="AH329" s="345">
        <v>1227</v>
      </c>
      <c r="AI329" s="345">
        <f>2090+6168</f>
        <v>8258</v>
      </c>
      <c r="AJ329" s="345">
        <f>2847+5654</f>
        <v>8501</v>
      </c>
      <c r="AK329" s="345">
        <f>1833+3687</f>
        <v>5520</v>
      </c>
      <c r="AL329" s="345">
        <v>3163</v>
      </c>
      <c r="AM329" s="345">
        <v>4226</v>
      </c>
      <c r="AN329" s="345">
        <v>6781</v>
      </c>
      <c r="AO329" s="345">
        <v>6467</v>
      </c>
      <c r="AP329" s="344">
        <f t="shared" si="495"/>
        <v>0</v>
      </c>
      <c r="AQ329" s="444"/>
      <c r="AR329" s="444"/>
      <c r="AS329" s="444"/>
      <c r="AU329" s="345">
        <f>2810+1359</f>
        <v>4169</v>
      </c>
      <c r="AV329" s="345">
        <f>3685+2393</f>
        <v>6078</v>
      </c>
      <c r="AW329" s="345">
        <f>3793+4928</f>
        <v>8721</v>
      </c>
      <c r="AX329" s="345">
        <f>2847+5654</f>
        <v>8501</v>
      </c>
      <c r="AY329" s="345">
        <v>1508</v>
      </c>
      <c r="AZ329" s="345">
        <v>2197</v>
      </c>
      <c r="BA329" s="345">
        <v>3488</v>
      </c>
      <c r="BB329" s="345">
        <f>1833+3687</f>
        <v>5520</v>
      </c>
      <c r="BC329" s="345">
        <v>893</v>
      </c>
      <c r="BD329" s="345">
        <v>1720</v>
      </c>
      <c r="BE329" s="345">
        <f>135+2232</f>
        <v>2367</v>
      </c>
      <c r="BF329" s="345">
        <v>3163</v>
      </c>
      <c r="BG329" s="345">
        <v>948</v>
      </c>
      <c r="BH329" s="345">
        <v>2031</v>
      </c>
      <c r="BI329" s="345">
        <v>3118</v>
      </c>
      <c r="BJ329" s="345">
        <v>4226</v>
      </c>
      <c r="BK329" s="345">
        <v>625</v>
      </c>
      <c r="BL329" s="345">
        <v>1303</v>
      </c>
      <c r="BM329" s="345">
        <v>5037</v>
      </c>
      <c r="BN329" s="345">
        <v>6781</v>
      </c>
      <c r="BO329" s="345">
        <v>1232</v>
      </c>
      <c r="BP329" s="345">
        <v>2126</v>
      </c>
      <c r="BQ329" s="345">
        <v>3457</v>
      </c>
      <c r="BR329" s="345">
        <v>6467</v>
      </c>
    </row>
    <row r="330" spans="3:70">
      <c r="C330" s="338" t="s">
        <v>362</v>
      </c>
      <c r="E330" s="372">
        <f t="shared" si="471"/>
        <v>-4533</v>
      </c>
      <c r="F330" s="372">
        <f t="shared" si="472"/>
        <v>-2672</v>
      </c>
      <c r="G330" s="372">
        <f t="shared" si="473"/>
        <v>-2748</v>
      </c>
      <c r="H330" s="372">
        <f t="shared" si="474"/>
        <v>-2284</v>
      </c>
      <c r="I330" s="372">
        <f t="shared" si="475"/>
        <v>-3075</v>
      </c>
      <c r="J330" s="372">
        <f t="shared" si="476"/>
        <v>-4886</v>
      </c>
      <c r="K330" s="372">
        <f t="shared" si="477"/>
        <v>-1831</v>
      </c>
      <c r="L330" s="372">
        <f t="shared" si="478"/>
        <v>-3908</v>
      </c>
      <c r="M330" s="372">
        <f t="shared" si="479"/>
        <v>-5398</v>
      </c>
      <c r="N330" s="372">
        <f t="shared" si="480"/>
        <v>-1103</v>
      </c>
      <c r="O330" s="372">
        <f t="shared" si="481"/>
        <v>-1815</v>
      </c>
      <c r="P330" s="372">
        <f t="shared" si="482"/>
        <v>-1187</v>
      </c>
      <c r="Q330" s="372">
        <f t="shared" si="483"/>
        <v>-1869</v>
      </c>
      <c r="R330" s="372">
        <f t="shared" si="484"/>
        <v>-2629</v>
      </c>
      <c r="S330" s="372">
        <f t="shared" si="485"/>
        <v>-1271</v>
      </c>
      <c r="T330" s="372">
        <f t="shared" si="486"/>
        <v>-3393</v>
      </c>
      <c r="U330" s="372">
        <f t="shared" si="487"/>
        <v>-3897</v>
      </c>
      <c r="V330" s="372">
        <f t="shared" si="488"/>
        <v>-7532</v>
      </c>
      <c r="W330" s="372">
        <f t="shared" si="489"/>
        <v>-3315</v>
      </c>
      <c r="X330" s="372">
        <f t="shared" si="490"/>
        <v>-7633</v>
      </c>
      <c r="Y330" s="372">
        <f t="shared" si="491"/>
        <v>-5981</v>
      </c>
      <c r="Z330" s="372">
        <f t="shared" si="492"/>
        <v>-8656</v>
      </c>
      <c r="AA330" s="372">
        <f t="shared" si="493"/>
        <v>-11706</v>
      </c>
      <c r="AB330" s="372">
        <f t="shared" si="494"/>
        <v>-9160</v>
      </c>
      <c r="AC330" s="213">
        <v>0</v>
      </c>
      <c r="AD330" s="213">
        <v>0</v>
      </c>
      <c r="AE330" s="213">
        <v>0</v>
      </c>
      <c r="AF330" s="213">
        <v>0</v>
      </c>
      <c r="AG330" s="445"/>
      <c r="AH330" s="345">
        <v>8944</v>
      </c>
      <c r="AI330" s="345">
        <v>-11485</v>
      </c>
      <c r="AJ330" s="345">
        <v>-12237</v>
      </c>
      <c r="AK330" s="345">
        <v>-13700</v>
      </c>
      <c r="AL330" s="345">
        <v>-9503</v>
      </c>
      <c r="AM330" s="345">
        <v>-9162</v>
      </c>
      <c r="AN330" s="345">
        <v>-22377</v>
      </c>
      <c r="AO330" s="345">
        <v>-35503</v>
      </c>
      <c r="AP330" s="344">
        <f t="shared" si="495"/>
        <v>0</v>
      </c>
      <c r="AQ330" s="213">
        <v>0</v>
      </c>
      <c r="AR330" s="213">
        <v>0</v>
      </c>
      <c r="AS330" s="213">
        <v>0</v>
      </c>
      <c r="AU330" s="345">
        <v>-4533</v>
      </c>
      <c r="AV330" s="345">
        <v>-7205</v>
      </c>
      <c r="AW330" s="345">
        <v>-9953</v>
      </c>
      <c r="AX330" s="345">
        <v>-12237</v>
      </c>
      <c r="AY330" s="345">
        <v>-3075</v>
      </c>
      <c r="AZ330" s="345">
        <v>-7961</v>
      </c>
      <c r="BA330" s="345">
        <v>-9792</v>
      </c>
      <c r="BB330" s="345">
        <v>-13700</v>
      </c>
      <c r="BC330" s="345">
        <v>-5398</v>
      </c>
      <c r="BD330" s="345">
        <v>-6501</v>
      </c>
      <c r="BE330" s="345">
        <v>-8316</v>
      </c>
      <c r="BF330" s="345">
        <v>-9503</v>
      </c>
      <c r="BG330" s="345">
        <v>-1869</v>
      </c>
      <c r="BH330" s="345">
        <v>-4498</v>
      </c>
      <c r="BI330" s="345">
        <v>-5769</v>
      </c>
      <c r="BJ330" s="345">
        <v>-9162</v>
      </c>
      <c r="BK330" s="345">
        <v>-3897</v>
      </c>
      <c r="BL330" s="345">
        <v>-11429</v>
      </c>
      <c r="BM330" s="345">
        <v>-14744</v>
      </c>
      <c r="BN330" s="345">
        <v>-22377</v>
      </c>
      <c r="BO330" s="345">
        <v>-5981</v>
      </c>
      <c r="BP330" s="345">
        <v>-14637</v>
      </c>
      <c r="BQ330" s="345">
        <v>-26343</v>
      </c>
      <c r="BR330" s="345">
        <v>-35503</v>
      </c>
    </row>
    <row r="331" spans="3:70">
      <c r="C331" s="338" t="s">
        <v>363</v>
      </c>
      <c r="E331" s="372">
        <f t="shared" si="471"/>
        <v>3138</v>
      </c>
      <c r="F331" s="372">
        <f t="shared" si="472"/>
        <v>2175</v>
      </c>
      <c r="G331" s="372">
        <f t="shared" si="473"/>
        <v>2554</v>
      </c>
      <c r="H331" s="372">
        <f t="shared" si="474"/>
        <v>3031</v>
      </c>
      <c r="I331" s="372">
        <f t="shared" si="475"/>
        <v>2433</v>
      </c>
      <c r="J331" s="372">
        <f t="shared" si="476"/>
        <v>3544</v>
      </c>
      <c r="K331" s="372">
        <f t="shared" si="477"/>
        <v>5829</v>
      </c>
      <c r="L331" s="372">
        <f t="shared" si="478"/>
        <v>2164</v>
      </c>
      <c r="M331" s="372">
        <f t="shared" si="479"/>
        <v>3760</v>
      </c>
      <c r="N331" s="372">
        <f t="shared" si="480"/>
        <v>3931</v>
      </c>
      <c r="O331" s="372">
        <f t="shared" si="481"/>
        <v>2014</v>
      </c>
      <c r="P331" s="372">
        <f t="shared" si="482"/>
        <v>2406</v>
      </c>
      <c r="Q331" s="372">
        <f t="shared" si="483"/>
        <v>1554</v>
      </c>
      <c r="R331" s="372">
        <f t="shared" si="484"/>
        <v>2254</v>
      </c>
      <c r="S331" s="372">
        <f t="shared" si="485"/>
        <v>1659</v>
      </c>
      <c r="T331" s="372">
        <f t="shared" si="486"/>
        <v>1711</v>
      </c>
      <c r="U331" s="372">
        <f t="shared" si="487"/>
        <v>3660</v>
      </c>
      <c r="V331" s="372">
        <f t="shared" si="488"/>
        <v>3770</v>
      </c>
      <c r="W331" s="372">
        <f t="shared" si="489"/>
        <v>3797</v>
      </c>
      <c r="X331" s="372">
        <f t="shared" si="490"/>
        <v>4150</v>
      </c>
      <c r="Y331" s="372">
        <f t="shared" si="491"/>
        <v>6777</v>
      </c>
      <c r="Z331" s="372">
        <f t="shared" si="492"/>
        <v>6159</v>
      </c>
      <c r="AA331" s="372">
        <f t="shared" si="493"/>
        <v>5877</v>
      </c>
      <c r="AB331" s="372">
        <f t="shared" si="494"/>
        <v>10019</v>
      </c>
      <c r="AC331" s="213">
        <v>3000</v>
      </c>
      <c r="AD331" s="213">
        <v>3000</v>
      </c>
      <c r="AE331" s="213">
        <v>3000</v>
      </c>
      <c r="AF331" s="213">
        <v>3000</v>
      </c>
      <c r="AG331" s="445"/>
      <c r="AH331" s="345">
        <f>-14397+13165</f>
        <v>-1232</v>
      </c>
      <c r="AI331" s="345">
        <v>13372</v>
      </c>
      <c r="AJ331" s="345">
        <v>10898</v>
      </c>
      <c r="AK331" s="345">
        <v>13970</v>
      </c>
      <c r="AL331" s="345">
        <v>12111</v>
      </c>
      <c r="AM331" s="345">
        <v>7178</v>
      </c>
      <c r="AN331" s="345">
        <v>15377</v>
      </c>
      <c r="AO331" s="345">
        <v>28832</v>
      </c>
      <c r="AP331" s="344">
        <f t="shared" si="495"/>
        <v>12000</v>
      </c>
      <c r="AQ331" s="213">
        <v>5000</v>
      </c>
      <c r="AR331" s="213">
        <v>4000</v>
      </c>
      <c r="AS331" s="213">
        <v>0</v>
      </c>
      <c r="AU331" s="345">
        <v>3138</v>
      </c>
      <c r="AV331" s="345">
        <v>5313</v>
      </c>
      <c r="AW331" s="345">
        <v>7867</v>
      </c>
      <c r="AX331" s="345">
        <v>10898</v>
      </c>
      <c r="AY331" s="345">
        <v>2433</v>
      </c>
      <c r="AZ331" s="345">
        <v>5977</v>
      </c>
      <c r="BA331" s="345">
        <v>11806</v>
      </c>
      <c r="BB331" s="345">
        <v>13970</v>
      </c>
      <c r="BC331" s="345">
        <v>3760</v>
      </c>
      <c r="BD331" s="345">
        <v>7691</v>
      </c>
      <c r="BE331" s="345">
        <v>9705</v>
      </c>
      <c r="BF331" s="345">
        <v>12111</v>
      </c>
      <c r="BG331" s="345">
        <v>1554</v>
      </c>
      <c r="BH331" s="345">
        <v>3808</v>
      </c>
      <c r="BI331" s="345">
        <v>5467</v>
      </c>
      <c r="BJ331" s="345">
        <v>7178</v>
      </c>
      <c r="BK331" s="345">
        <v>3660</v>
      </c>
      <c r="BL331" s="345">
        <v>7430</v>
      </c>
      <c r="BM331" s="345">
        <v>11227</v>
      </c>
      <c r="BN331" s="345">
        <v>15377</v>
      </c>
      <c r="BO331" s="345">
        <v>6777</v>
      </c>
      <c r="BP331" s="345">
        <v>12936</v>
      </c>
      <c r="BQ331" s="345">
        <v>18813</v>
      </c>
      <c r="BR331" s="345">
        <v>28832</v>
      </c>
    </row>
    <row r="332" spans="3:70">
      <c r="C332" s="338" t="s">
        <v>364</v>
      </c>
      <c r="E332" s="372">
        <f t="shared" si="471"/>
        <v>-14569</v>
      </c>
      <c r="F332" s="372">
        <f t="shared" si="472"/>
        <v>-50</v>
      </c>
      <c r="G332" s="372">
        <f t="shared" si="473"/>
        <v>-532</v>
      </c>
      <c r="H332" s="372">
        <f t="shared" si="474"/>
        <v>-319</v>
      </c>
      <c r="I332" s="372">
        <f t="shared" si="475"/>
        <v>0</v>
      </c>
      <c r="J332" s="372">
        <f t="shared" si="476"/>
        <v>0</v>
      </c>
      <c r="K332" s="372">
        <f t="shared" si="477"/>
        <v>-14499</v>
      </c>
      <c r="L332" s="372">
        <f t="shared" si="478"/>
        <v>0</v>
      </c>
      <c r="M332" s="372">
        <f t="shared" si="479"/>
        <v>0</v>
      </c>
      <c r="N332" s="372">
        <f t="shared" si="480"/>
        <v>0</v>
      </c>
      <c r="O332" s="372">
        <f t="shared" si="481"/>
        <v>0</v>
      </c>
      <c r="P332" s="372">
        <f t="shared" si="482"/>
        <v>-190</v>
      </c>
      <c r="Q332" s="372">
        <f t="shared" si="483"/>
        <v>0</v>
      </c>
      <c r="R332" s="372">
        <f t="shared" si="484"/>
        <v>0</v>
      </c>
      <c r="S332" s="372">
        <f t="shared" si="485"/>
        <v>0</v>
      </c>
      <c r="T332" s="372">
        <f t="shared" si="486"/>
        <v>-1958</v>
      </c>
      <c r="U332" s="372">
        <f t="shared" si="487"/>
        <v>0</v>
      </c>
      <c r="V332" s="372">
        <f t="shared" si="488"/>
        <v>0</v>
      </c>
      <c r="W332" s="372">
        <f t="shared" si="489"/>
        <v>0</v>
      </c>
      <c r="X332" s="372">
        <f t="shared" si="490"/>
        <v>-837</v>
      </c>
      <c r="Y332" s="372">
        <f t="shared" si="491"/>
        <v>0</v>
      </c>
      <c r="Z332" s="372">
        <f t="shared" si="492"/>
        <v>0</v>
      </c>
      <c r="AA332" s="372">
        <f t="shared" si="493"/>
        <v>0</v>
      </c>
      <c r="AB332" s="372">
        <f t="shared" si="494"/>
        <v>-209</v>
      </c>
      <c r="AC332" s="372">
        <f>-AC433</f>
        <v>0</v>
      </c>
      <c r="AD332" s="372">
        <f>-AD433</f>
        <v>0</v>
      </c>
      <c r="AE332" s="372">
        <f>-AE433</f>
        <v>0</v>
      </c>
      <c r="AF332" s="372">
        <f>-AF433</f>
        <v>0</v>
      </c>
      <c r="AG332" s="445"/>
      <c r="AH332" s="345">
        <v>-934</v>
      </c>
      <c r="AI332" s="345">
        <v>-913</v>
      </c>
      <c r="AJ332" s="345">
        <v>-15470</v>
      </c>
      <c r="AK332" s="345">
        <v>-14499</v>
      </c>
      <c r="AL332" s="345">
        <v>-190</v>
      </c>
      <c r="AM332" s="345">
        <v>-1958</v>
      </c>
      <c r="AN332" s="345">
        <v>-837</v>
      </c>
      <c r="AO332" s="345">
        <v>-209</v>
      </c>
      <c r="AP332" s="344">
        <f t="shared" si="495"/>
        <v>0</v>
      </c>
      <c r="AQ332" s="372">
        <f>-AQ433</f>
        <v>-1500</v>
      </c>
      <c r="AR332" s="372">
        <f>-AR433</f>
        <v>-1500</v>
      </c>
      <c r="AS332" s="372">
        <f>-AS433</f>
        <v>-1500</v>
      </c>
      <c r="AU332" s="345">
        <v>-14569</v>
      </c>
      <c r="AV332" s="345">
        <v>-14619</v>
      </c>
      <c r="AW332" s="345">
        <v>-15151</v>
      </c>
      <c r="AX332" s="345">
        <v>-15470</v>
      </c>
      <c r="AY332" s="345">
        <v>0</v>
      </c>
      <c r="AZ332" s="345">
        <v>0</v>
      </c>
      <c r="BA332" s="345">
        <v>-14499</v>
      </c>
      <c r="BB332" s="345">
        <v>-14499</v>
      </c>
      <c r="BC332" s="345">
        <v>0</v>
      </c>
      <c r="BD332" s="345">
        <v>0</v>
      </c>
      <c r="BE332" s="345">
        <v>0</v>
      </c>
      <c r="BF332" s="345">
        <v>-190</v>
      </c>
      <c r="BG332" s="345">
        <v>0</v>
      </c>
      <c r="BH332" s="345">
        <v>0</v>
      </c>
      <c r="BI332" s="345">
        <v>0</v>
      </c>
      <c r="BJ332" s="345">
        <v>-1958</v>
      </c>
      <c r="BK332" s="345">
        <v>0</v>
      </c>
      <c r="BL332" s="345">
        <v>0</v>
      </c>
      <c r="BM332" s="345">
        <v>0</v>
      </c>
      <c r="BN332" s="345">
        <v>-837</v>
      </c>
      <c r="BO332" s="345">
        <v>0</v>
      </c>
      <c r="BP332" s="345">
        <v>0</v>
      </c>
      <c r="BQ332" s="345">
        <v>0</v>
      </c>
      <c r="BR332" s="345">
        <v>-209</v>
      </c>
    </row>
    <row r="333" spans="3:70">
      <c r="C333" s="338" t="s">
        <v>365</v>
      </c>
      <c r="E333" s="372">
        <f t="shared" si="471"/>
        <v>-223</v>
      </c>
      <c r="F333" s="372">
        <f t="shared" si="472"/>
        <v>0</v>
      </c>
      <c r="G333" s="372">
        <f t="shared" si="473"/>
        <v>0</v>
      </c>
      <c r="H333" s="372">
        <f t="shared" si="474"/>
        <v>223</v>
      </c>
      <c r="I333" s="372">
        <f t="shared" si="475"/>
        <v>0</v>
      </c>
      <c r="J333" s="372">
        <f t="shared" si="476"/>
        <v>0</v>
      </c>
      <c r="K333" s="372">
        <f t="shared" si="477"/>
        <v>0</v>
      </c>
      <c r="L333" s="372">
        <f t="shared" si="478"/>
        <v>0</v>
      </c>
      <c r="M333" s="372">
        <f t="shared" si="479"/>
        <v>0</v>
      </c>
      <c r="N333" s="372">
        <f t="shared" si="480"/>
        <v>0</v>
      </c>
      <c r="O333" s="372">
        <f t="shared" si="481"/>
        <v>0</v>
      </c>
      <c r="P333" s="372">
        <f t="shared" si="482"/>
        <v>0</v>
      </c>
      <c r="Q333" s="372">
        <f t="shared" si="483"/>
        <v>0</v>
      </c>
      <c r="R333" s="372">
        <f t="shared" si="484"/>
        <v>0</v>
      </c>
      <c r="S333" s="372">
        <f t="shared" si="485"/>
        <v>0</v>
      </c>
      <c r="T333" s="372">
        <f t="shared" si="486"/>
        <v>0</v>
      </c>
      <c r="U333" s="372">
        <f t="shared" si="487"/>
        <v>0</v>
      </c>
      <c r="V333" s="372">
        <f t="shared" si="488"/>
        <v>0</v>
      </c>
      <c r="W333" s="372">
        <f t="shared" si="489"/>
        <v>0</v>
      </c>
      <c r="X333" s="372">
        <f t="shared" si="490"/>
        <v>0</v>
      </c>
      <c r="Y333" s="372">
        <f t="shared" si="491"/>
        <v>0</v>
      </c>
      <c r="Z333" s="372">
        <f t="shared" si="492"/>
        <v>0</v>
      </c>
      <c r="AA333" s="372">
        <f t="shared" si="493"/>
        <v>0</v>
      </c>
      <c r="AB333" s="372">
        <f t="shared" si="494"/>
        <v>0</v>
      </c>
      <c r="AC333" s="444"/>
      <c r="AD333" s="444"/>
      <c r="AE333" s="444"/>
      <c r="AF333" s="444"/>
      <c r="AG333" s="445"/>
      <c r="AH333" s="345">
        <v>-150</v>
      </c>
      <c r="AI333" s="345">
        <v>0</v>
      </c>
      <c r="AJ333" s="345">
        <v>0</v>
      </c>
      <c r="AK333" s="345">
        <v>0</v>
      </c>
      <c r="AL333" s="345">
        <v>0</v>
      </c>
      <c r="AM333" s="345">
        <v>0</v>
      </c>
      <c r="AN333" s="345">
        <v>0</v>
      </c>
      <c r="AO333" s="345">
        <v>0</v>
      </c>
      <c r="AP333" s="540">
        <f t="shared" si="495"/>
        <v>0</v>
      </c>
      <c r="AQ333" s="444"/>
      <c r="AR333" s="444"/>
      <c r="AS333" s="444"/>
      <c r="AU333" s="345">
        <v>-223</v>
      </c>
      <c r="AV333" s="345">
        <v>-223</v>
      </c>
      <c r="AW333" s="345">
        <v>-223</v>
      </c>
      <c r="AX333" s="345">
        <v>0</v>
      </c>
      <c r="AY333" s="345">
        <v>0</v>
      </c>
      <c r="AZ333" s="345">
        <v>0</v>
      </c>
      <c r="BA333" s="345">
        <v>0</v>
      </c>
      <c r="BB333" s="345">
        <v>0</v>
      </c>
      <c r="BC333" s="345">
        <v>0</v>
      </c>
      <c r="BD333" s="345">
        <v>0</v>
      </c>
      <c r="BE333" s="345">
        <v>0</v>
      </c>
      <c r="BF333" s="345">
        <v>0</v>
      </c>
      <c r="BG333" s="345">
        <v>0</v>
      </c>
      <c r="BH333" s="345">
        <v>0</v>
      </c>
      <c r="BI333" s="345">
        <v>0</v>
      </c>
      <c r="BJ333" s="345">
        <v>0</v>
      </c>
      <c r="BK333" s="345">
        <v>0</v>
      </c>
      <c r="BL333" s="345">
        <v>0</v>
      </c>
      <c r="BM333" s="345">
        <v>0</v>
      </c>
      <c r="BN333" s="345">
        <v>0</v>
      </c>
      <c r="BO333" s="345">
        <v>0</v>
      </c>
      <c r="BP333" s="345">
        <v>0</v>
      </c>
      <c r="BQ333" s="345">
        <v>0</v>
      </c>
      <c r="BR333" s="345">
        <v>0</v>
      </c>
    </row>
    <row r="334" spans="3:70">
      <c r="C334" s="338" t="s">
        <v>366</v>
      </c>
      <c r="E334" s="372">
        <f t="shared" si="471"/>
        <v>650</v>
      </c>
      <c r="F334" s="372">
        <f t="shared" si="472"/>
        <v>0</v>
      </c>
      <c r="G334" s="372">
        <f t="shared" si="473"/>
        <v>261</v>
      </c>
      <c r="H334" s="372">
        <f t="shared" si="474"/>
        <v>-911</v>
      </c>
      <c r="I334" s="372">
        <f t="shared" si="475"/>
        <v>0</v>
      </c>
      <c r="J334" s="372">
        <f t="shared" si="476"/>
        <v>0</v>
      </c>
      <c r="K334" s="372">
        <f t="shared" si="477"/>
        <v>0</v>
      </c>
      <c r="L334" s="372">
        <f t="shared" si="478"/>
        <v>0</v>
      </c>
      <c r="M334" s="372">
        <f t="shared" si="479"/>
        <v>0</v>
      </c>
      <c r="N334" s="372">
        <f t="shared" si="480"/>
        <v>0</v>
      </c>
      <c r="O334" s="372">
        <f t="shared" si="481"/>
        <v>0</v>
      </c>
      <c r="P334" s="372">
        <f t="shared" si="482"/>
        <v>0</v>
      </c>
      <c r="Q334" s="372">
        <f t="shared" si="483"/>
        <v>0</v>
      </c>
      <c r="R334" s="372">
        <f t="shared" si="484"/>
        <v>0</v>
      </c>
      <c r="S334" s="372">
        <f t="shared" si="485"/>
        <v>0</v>
      </c>
      <c r="T334" s="372">
        <f t="shared" si="486"/>
        <v>0</v>
      </c>
      <c r="U334" s="372">
        <f t="shared" si="487"/>
        <v>0</v>
      </c>
      <c r="V334" s="372">
        <f t="shared" si="488"/>
        <v>0</v>
      </c>
      <c r="W334" s="372">
        <f t="shared" si="489"/>
        <v>0</v>
      </c>
      <c r="X334" s="372">
        <f t="shared" si="490"/>
        <v>0</v>
      </c>
      <c r="Y334" s="372">
        <f t="shared" si="491"/>
        <v>0</v>
      </c>
      <c r="Z334" s="372">
        <f t="shared" si="492"/>
        <v>0</v>
      </c>
      <c r="AA334" s="372">
        <f t="shared" si="493"/>
        <v>0</v>
      </c>
      <c r="AB334" s="372">
        <f t="shared" si="494"/>
        <v>0</v>
      </c>
      <c r="AC334" s="444"/>
      <c r="AD334" s="444"/>
      <c r="AE334" s="444"/>
      <c r="AF334" s="444"/>
      <c r="AG334" s="445"/>
      <c r="AH334" s="345">
        <v>117</v>
      </c>
      <c r="AI334" s="345">
        <v>0</v>
      </c>
      <c r="AJ334" s="345">
        <v>0</v>
      </c>
      <c r="AK334" s="345">
        <v>0</v>
      </c>
      <c r="AL334" s="345">
        <v>0</v>
      </c>
      <c r="AM334" s="345">
        <v>0</v>
      </c>
      <c r="AN334" s="345">
        <v>0</v>
      </c>
      <c r="AO334" s="345">
        <v>0</v>
      </c>
      <c r="AP334" s="540">
        <f t="shared" si="495"/>
        <v>0</v>
      </c>
      <c r="AQ334" s="444"/>
      <c r="AR334" s="444"/>
      <c r="AS334" s="444"/>
      <c r="AU334" s="345">
        <v>650</v>
      </c>
      <c r="AV334" s="345">
        <v>650</v>
      </c>
      <c r="AW334" s="345">
        <v>911</v>
      </c>
      <c r="AX334" s="345">
        <v>0</v>
      </c>
      <c r="AY334" s="345">
        <v>0</v>
      </c>
      <c r="AZ334" s="345">
        <v>0</v>
      </c>
      <c r="BA334" s="345">
        <v>0</v>
      </c>
      <c r="BB334" s="345">
        <v>0</v>
      </c>
      <c r="BC334" s="345">
        <v>0</v>
      </c>
      <c r="BD334" s="345">
        <v>0</v>
      </c>
      <c r="BE334" s="345">
        <v>0</v>
      </c>
      <c r="BF334" s="345">
        <v>0</v>
      </c>
      <c r="BG334" s="345">
        <v>0</v>
      </c>
      <c r="BH334" s="345">
        <v>0</v>
      </c>
      <c r="BI334" s="345">
        <v>0</v>
      </c>
      <c r="BJ334" s="345">
        <v>0</v>
      </c>
      <c r="BK334" s="345">
        <v>0</v>
      </c>
      <c r="BL334" s="345">
        <v>0</v>
      </c>
      <c r="BM334" s="345">
        <v>0</v>
      </c>
      <c r="BN334" s="345">
        <v>0</v>
      </c>
      <c r="BO334" s="345">
        <v>0</v>
      </c>
      <c r="BP334" s="345">
        <v>0</v>
      </c>
      <c r="BQ334" s="345">
        <v>0</v>
      </c>
      <c r="BR334" s="345">
        <v>0</v>
      </c>
    </row>
    <row r="335" spans="3:70">
      <c r="C335" s="338" t="s">
        <v>367</v>
      </c>
      <c r="E335" s="372">
        <f t="shared" si="471"/>
        <v>-182</v>
      </c>
      <c r="F335" s="372">
        <f t="shared" si="472"/>
        <v>-481</v>
      </c>
      <c r="G335" s="372">
        <f t="shared" si="473"/>
        <v>-230</v>
      </c>
      <c r="H335" s="372">
        <f t="shared" si="474"/>
        <v>893</v>
      </c>
      <c r="I335" s="372">
        <f t="shared" si="475"/>
        <v>0</v>
      </c>
      <c r="J335" s="372">
        <f t="shared" si="476"/>
        <v>0</v>
      </c>
      <c r="K335" s="372">
        <f t="shared" si="477"/>
        <v>0</v>
      </c>
      <c r="L335" s="372">
        <f t="shared" si="478"/>
        <v>0</v>
      </c>
      <c r="M335" s="372">
        <f t="shared" si="479"/>
        <v>0</v>
      </c>
      <c r="N335" s="372">
        <f t="shared" si="480"/>
        <v>0</v>
      </c>
      <c r="O335" s="372">
        <f t="shared" si="481"/>
        <v>0</v>
      </c>
      <c r="P335" s="372">
        <f t="shared" si="482"/>
        <v>0</v>
      </c>
      <c r="Q335" s="372">
        <f t="shared" si="483"/>
        <v>0</v>
      </c>
      <c r="R335" s="372">
        <f t="shared" si="484"/>
        <v>0</v>
      </c>
      <c r="S335" s="372">
        <f t="shared" si="485"/>
        <v>0</v>
      </c>
      <c r="T335" s="372">
        <f t="shared" si="486"/>
        <v>0</v>
      </c>
      <c r="U335" s="372">
        <f t="shared" si="487"/>
        <v>0</v>
      </c>
      <c r="V335" s="372">
        <f t="shared" si="488"/>
        <v>0</v>
      </c>
      <c r="W335" s="372">
        <f t="shared" si="489"/>
        <v>0</v>
      </c>
      <c r="X335" s="372">
        <f t="shared" si="490"/>
        <v>0</v>
      </c>
      <c r="Y335" s="372">
        <f t="shared" si="491"/>
        <v>0</v>
      </c>
      <c r="Z335" s="372">
        <f t="shared" si="492"/>
        <v>0</v>
      </c>
      <c r="AA335" s="372">
        <f t="shared" si="493"/>
        <v>0</v>
      </c>
      <c r="AB335" s="372">
        <f t="shared" si="494"/>
        <v>0</v>
      </c>
      <c r="AC335" s="444"/>
      <c r="AD335" s="444"/>
      <c r="AE335" s="444"/>
      <c r="AF335" s="444"/>
      <c r="AG335" s="445"/>
      <c r="AH335" s="345">
        <v>-1377</v>
      </c>
      <c r="AI335" s="345">
        <v>-2011</v>
      </c>
      <c r="AJ335" s="345">
        <v>0</v>
      </c>
      <c r="AK335" s="345">
        <v>0</v>
      </c>
      <c r="AL335" s="345">
        <v>0</v>
      </c>
      <c r="AM335" s="345">
        <v>0</v>
      </c>
      <c r="AN335" s="345">
        <v>0</v>
      </c>
      <c r="AO335" s="345">
        <v>0</v>
      </c>
      <c r="AP335" s="540">
        <f t="shared" si="495"/>
        <v>0</v>
      </c>
      <c r="AQ335" s="444"/>
      <c r="AR335" s="444"/>
      <c r="AS335" s="444"/>
      <c r="AU335" s="345">
        <v>-182</v>
      </c>
      <c r="AV335" s="345">
        <v>-663</v>
      </c>
      <c r="AW335" s="345">
        <v>-893</v>
      </c>
      <c r="AX335" s="345">
        <v>0</v>
      </c>
      <c r="AY335" s="345">
        <v>0</v>
      </c>
      <c r="AZ335" s="345">
        <v>0</v>
      </c>
      <c r="BA335" s="345">
        <v>0</v>
      </c>
      <c r="BB335" s="345">
        <v>0</v>
      </c>
      <c r="BC335" s="345">
        <v>0</v>
      </c>
      <c r="BD335" s="345">
        <v>0</v>
      </c>
      <c r="BE335" s="345">
        <v>0</v>
      </c>
      <c r="BF335" s="345">
        <v>0</v>
      </c>
      <c r="BG335" s="345">
        <v>0</v>
      </c>
      <c r="BH335" s="345">
        <v>0</v>
      </c>
      <c r="BI335" s="345">
        <v>0</v>
      </c>
      <c r="BJ335" s="345">
        <v>0</v>
      </c>
      <c r="BK335" s="345">
        <v>0</v>
      </c>
      <c r="BL335" s="345">
        <v>0</v>
      </c>
      <c r="BM335" s="345">
        <v>0</v>
      </c>
      <c r="BN335" s="345">
        <v>0</v>
      </c>
      <c r="BO335" s="345">
        <v>0</v>
      </c>
      <c r="BP335" s="345">
        <v>0</v>
      </c>
      <c r="BQ335" s="345">
        <v>0</v>
      </c>
      <c r="BR335" s="345">
        <v>0</v>
      </c>
    </row>
    <row r="336" spans="3:70">
      <c r="C336" s="338" t="s">
        <v>368</v>
      </c>
      <c r="E336" s="372">
        <f t="shared" si="471"/>
        <v>0</v>
      </c>
      <c r="F336" s="372">
        <f t="shared" si="472"/>
        <v>0</v>
      </c>
      <c r="G336" s="372">
        <f t="shared" si="473"/>
        <v>0</v>
      </c>
      <c r="H336" s="372">
        <f t="shared" si="474"/>
        <v>0</v>
      </c>
      <c r="I336" s="372">
        <f t="shared" si="475"/>
        <v>0</v>
      </c>
      <c r="J336" s="372">
        <f t="shared" si="476"/>
        <v>924</v>
      </c>
      <c r="K336" s="372">
        <f t="shared" si="477"/>
        <v>2200</v>
      </c>
      <c r="L336" s="372">
        <f t="shared" si="478"/>
        <v>0</v>
      </c>
      <c r="M336" s="372">
        <f t="shared" si="479"/>
        <v>0</v>
      </c>
      <c r="N336" s="372">
        <f t="shared" si="480"/>
        <v>0</v>
      </c>
      <c r="O336" s="372">
        <f t="shared" si="481"/>
        <v>0</v>
      </c>
      <c r="P336" s="372">
        <f t="shared" si="482"/>
        <v>548</v>
      </c>
      <c r="Q336" s="372">
        <f t="shared" si="483"/>
        <v>0</v>
      </c>
      <c r="R336" s="372">
        <f t="shared" si="484"/>
        <v>0</v>
      </c>
      <c r="S336" s="372">
        <f t="shared" si="485"/>
        <v>0</v>
      </c>
      <c r="T336" s="372">
        <f t="shared" si="486"/>
        <v>0</v>
      </c>
      <c r="U336" s="372">
        <f t="shared" si="487"/>
        <v>0</v>
      </c>
      <c r="V336" s="372">
        <f t="shared" si="488"/>
        <v>0</v>
      </c>
      <c r="W336" s="372">
        <f t="shared" si="489"/>
        <v>0</v>
      </c>
      <c r="X336" s="372">
        <f t="shared" si="490"/>
        <v>0</v>
      </c>
      <c r="Y336" s="372">
        <f t="shared" si="491"/>
        <v>0</v>
      </c>
      <c r="Z336" s="372">
        <f t="shared" si="492"/>
        <v>0</v>
      </c>
      <c r="AA336" s="372">
        <f t="shared" si="493"/>
        <v>0</v>
      </c>
      <c r="AB336" s="372">
        <f t="shared" si="494"/>
        <v>0</v>
      </c>
      <c r="AC336" s="344">
        <f>$AB$202</f>
        <v>6942</v>
      </c>
      <c r="AD336" s="345">
        <v>0</v>
      </c>
      <c r="AE336" s="345">
        <v>0</v>
      </c>
      <c r="AF336" s="345">
        <v>0</v>
      </c>
      <c r="AG336" s="445"/>
      <c r="AH336" s="345">
        <v>0</v>
      </c>
      <c r="AI336" s="345">
        <v>0</v>
      </c>
      <c r="AJ336" s="345">
        <v>0</v>
      </c>
      <c r="AK336" s="345">
        <v>3124</v>
      </c>
      <c r="AL336" s="345">
        <v>548</v>
      </c>
      <c r="AM336" s="345">
        <v>0</v>
      </c>
      <c r="AN336" s="345">
        <v>0</v>
      </c>
      <c r="AO336" s="345">
        <v>0</v>
      </c>
      <c r="AP336" s="344">
        <f t="shared" si="495"/>
        <v>6942</v>
      </c>
      <c r="AQ336" s="345">
        <v>0</v>
      </c>
      <c r="AR336" s="345">
        <v>0</v>
      </c>
      <c r="AS336" s="345">
        <v>2000</v>
      </c>
      <c r="AU336" s="345">
        <v>0</v>
      </c>
      <c r="AV336" s="345">
        <v>0</v>
      </c>
      <c r="AW336" s="345">
        <v>0</v>
      </c>
      <c r="AX336" s="345">
        <v>0</v>
      </c>
      <c r="AY336" s="345">
        <v>0</v>
      </c>
      <c r="AZ336" s="345">
        <v>924</v>
      </c>
      <c r="BA336" s="345">
        <v>3124</v>
      </c>
      <c r="BB336" s="345">
        <v>3124</v>
      </c>
      <c r="BC336" s="345">
        <v>0</v>
      </c>
      <c r="BD336" s="345">
        <v>0</v>
      </c>
      <c r="BE336" s="345">
        <v>0</v>
      </c>
      <c r="BF336" s="345">
        <v>548</v>
      </c>
      <c r="BG336" s="345">
        <v>0</v>
      </c>
      <c r="BH336" s="345">
        <v>0</v>
      </c>
      <c r="BI336" s="345">
        <v>0</v>
      </c>
      <c r="BJ336" s="345">
        <v>0</v>
      </c>
      <c r="BK336" s="345">
        <v>0</v>
      </c>
      <c r="BL336" s="345">
        <v>0</v>
      </c>
      <c r="BM336" s="345">
        <v>0</v>
      </c>
      <c r="BN336" s="345">
        <v>0</v>
      </c>
      <c r="BO336" s="345">
        <v>0</v>
      </c>
      <c r="BP336" s="345">
        <v>0</v>
      </c>
      <c r="BQ336" s="345">
        <v>0</v>
      </c>
      <c r="BR336" s="345">
        <v>0</v>
      </c>
    </row>
    <row r="337" spans="3:70">
      <c r="C337" s="338" t="s">
        <v>369</v>
      </c>
      <c r="E337" s="372">
        <f t="shared" si="471"/>
        <v>0</v>
      </c>
      <c r="F337" s="372">
        <f t="shared" si="472"/>
        <v>0</v>
      </c>
      <c r="G337" s="372">
        <f t="shared" si="473"/>
        <v>0</v>
      </c>
      <c r="H337" s="372">
        <f t="shared" si="474"/>
        <v>-963</v>
      </c>
      <c r="I337" s="372">
        <f t="shared" si="475"/>
        <v>0</v>
      </c>
      <c r="J337" s="372">
        <f t="shared" si="476"/>
        <v>-643</v>
      </c>
      <c r="K337" s="372">
        <f t="shared" si="477"/>
        <v>-101</v>
      </c>
      <c r="L337" s="372">
        <f t="shared" si="478"/>
        <v>-875</v>
      </c>
      <c r="M337" s="372">
        <f t="shared" si="479"/>
        <v>0</v>
      </c>
      <c r="N337" s="372">
        <f t="shared" si="480"/>
        <v>0</v>
      </c>
      <c r="O337" s="372">
        <f t="shared" si="481"/>
        <v>0</v>
      </c>
      <c r="P337" s="372">
        <f t="shared" si="482"/>
        <v>-874</v>
      </c>
      <c r="Q337" s="372">
        <f t="shared" si="483"/>
        <v>0</v>
      </c>
      <c r="R337" s="372">
        <f t="shared" si="484"/>
        <v>0</v>
      </c>
      <c r="S337" s="372">
        <f t="shared" si="485"/>
        <v>0</v>
      </c>
      <c r="T337" s="372">
        <f t="shared" si="486"/>
        <v>-522</v>
      </c>
      <c r="U337" s="372">
        <f t="shared" si="487"/>
        <v>0</v>
      </c>
      <c r="V337" s="372">
        <f t="shared" si="488"/>
        <v>0</v>
      </c>
      <c r="W337" s="372">
        <f t="shared" si="489"/>
        <v>0</v>
      </c>
      <c r="X337" s="372">
        <f t="shared" si="490"/>
        <v>-720</v>
      </c>
      <c r="Y337" s="372">
        <f t="shared" si="491"/>
        <v>0</v>
      </c>
      <c r="Z337" s="372">
        <f t="shared" si="492"/>
        <v>0</v>
      </c>
      <c r="AA337" s="372">
        <f t="shared" si="493"/>
        <v>0</v>
      </c>
      <c r="AB337" s="372">
        <f t="shared" si="494"/>
        <v>-613</v>
      </c>
      <c r="AC337" s="345">
        <v>-20</v>
      </c>
      <c r="AD337" s="345">
        <v>-20</v>
      </c>
      <c r="AE337" s="345">
        <v>-20</v>
      </c>
      <c r="AF337" s="345">
        <v>-20</v>
      </c>
      <c r="AG337" s="445"/>
      <c r="AH337" s="345">
        <v>0</v>
      </c>
      <c r="AI337" s="345">
        <v>0</v>
      </c>
      <c r="AJ337" s="345">
        <v>-963</v>
      </c>
      <c r="AK337" s="345">
        <v>-1619</v>
      </c>
      <c r="AL337" s="345">
        <v>-874</v>
      </c>
      <c r="AM337" s="345">
        <v>-522</v>
      </c>
      <c r="AN337" s="345">
        <v>-720</v>
      </c>
      <c r="AO337" s="345">
        <v>-613</v>
      </c>
      <c r="AP337" s="344">
        <f t="shared" si="495"/>
        <v>-80</v>
      </c>
      <c r="AQ337" s="345">
        <v>-20</v>
      </c>
      <c r="AR337" s="345">
        <v>-20</v>
      </c>
      <c r="AS337" s="345">
        <v>-20</v>
      </c>
      <c r="AU337" s="345">
        <v>0</v>
      </c>
      <c r="AV337" s="345">
        <v>0</v>
      </c>
      <c r="AW337" s="345">
        <v>0</v>
      </c>
      <c r="AX337" s="345">
        <v>-963</v>
      </c>
      <c r="AY337" s="345">
        <v>0</v>
      </c>
      <c r="AZ337" s="345">
        <v>-643</v>
      </c>
      <c r="BA337" s="345">
        <v>-744</v>
      </c>
      <c r="BB337" s="345">
        <v>-1619</v>
      </c>
      <c r="BC337" s="345">
        <v>0</v>
      </c>
      <c r="BD337" s="345">
        <v>0</v>
      </c>
      <c r="BE337" s="345">
        <v>0</v>
      </c>
      <c r="BF337" s="345">
        <v>-874</v>
      </c>
      <c r="BG337" s="345">
        <v>0</v>
      </c>
      <c r="BH337" s="345">
        <v>0</v>
      </c>
      <c r="BI337" s="345">
        <v>0</v>
      </c>
      <c r="BJ337" s="345">
        <v>-522</v>
      </c>
      <c r="BK337" s="345">
        <v>0</v>
      </c>
      <c r="BL337" s="345">
        <v>0</v>
      </c>
      <c r="BM337" s="345">
        <v>0</v>
      </c>
      <c r="BN337" s="345">
        <v>-720</v>
      </c>
      <c r="BO337" s="345">
        <v>0</v>
      </c>
      <c r="BP337" s="345">
        <v>0</v>
      </c>
      <c r="BQ337" s="345">
        <v>0</v>
      </c>
      <c r="BR337" s="345">
        <v>-613</v>
      </c>
    </row>
    <row r="338" spans="3:70">
      <c r="C338" s="338" t="s">
        <v>370</v>
      </c>
      <c r="E338" s="372">
        <f t="shared" si="471"/>
        <v>0</v>
      </c>
      <c r="F338" s="372">
        <f t="shared" si="472"/>
        <v>0</v>
      </c>
      <c r="G338" s="372">
        <f t="shared" si="473"/>
        <v>0</v>
      </c>
      <c r="H338" s="372">
        <f t="shared" si="474"/>
        <v>1080</v>
      </c>
      <c r="I338" s="372">
        <f t="shared" si="475"/>
        <v>0</v>
      </c>
      <c r="J338" s="372">
        <f t="shared" si="476"/>
        <v>1751</v>
      </c>
      <c r="K338" s="372">
        <f t="shared" si="477"/>
        <v>1422</v>
      </c>
      <c r="L338" s="372">
        <f t="shared" si="478"/>
        <v>2063</v>
      </c>
      <c r="M338" s="372">
        <f t="shared" si="479"/>
        <v>163</v>
      </c>
      <c r="N338" s="372">
        <f t="shared" si="480"/>
        <v>52</v>
      </c>
      <c r="O338" s="372">
        <f t="shared" si="481"/>
        <v>1431</v>
      </c>
      <c r="P338" s="372">
        <f t="shared" si="482"/>
        <v>1156</v>
      </c>
      <c r="Q338" s="372">
        <f t="shared" si="483"/>
        <v>1077</v>
      </c>
      <c r="R338" s="372">
        <f t="shared" si="484"/>
        <v>254</v>
      </c>
      <c r="S338" s="372">
        <f t="shared" si="485"/>
        <v>83</v>
      </c>
      <c r="T338" s="372">
        <f t="shared" si="486"/>
        <v>1274</v>
      </c>
      <c r="U338" s="372">
        <f t="shared" si="487"/>
        <v>0</v>
      </c>
      <c r="V338" s="372">
        <f t="shared" si="488"/>
        <v>0</v>
      </c>
      <c r="W338" s="372">
        <f t="shared" si="489"/>
        <v>0</v>
      </c>
      <c r="X338" s="372">
        <f t="shared" si="490"/>
        <v>910</v>
      </c>
      <c r="Y338" s="372">
        <f t="shared" si="491"/>
        <v>0</v>
      </c>
      <c r="Z338" s="372">
        <f t="shared" si="492"/>
        <v>0</v>
      </c>
      <c r="AA338" s="372">
        <f t="shared" si="493"/>
        <v>0</v>
      </c>
      <c r="AB338" s="372">
        <f t="shared" si="494"/>
        <v>581</v>
      </c>
      <c r="AC338" s="444"/>
      <c r="AD338" s="444"/>
      <c r="AE338" s="444"/>
      <c r="AF338" s="444"/>
      <c r="AG338" s="445"/>
      <c r="AH338" s="345">
        <v>0</v>
      </c>
      <c r="AI338" s="345">
        <v>0</v>
      </c>
      <c r="AJ338" s="345">
        <v>1080</v>
      </c>
      <c r="AK338" s="345">
        <v>5236</v>
      </c>
      <c r="AL338" s="345">
        <v>2802</v>
      </c>
      <c r="AM338" s="345">
        <v>2688</v>
      </c>
      <c r="AN338" s="345">
        <v>910</v>
      </c>
      <c r="AO338" s="345">
        <v>581</v>
      </c>
      <c r="AP338" s="344">
        <f t="shared" si="495"/>
        <v>0</v>
      </c>
      <c r="AQ338" s="444"/>
      <c r="AR338" s="444"/>
      <c r="AS338" s="444"/>
      <c r="AU338" s="345">
        <v>0</v>
      </c>
      <c r="AV338" s="345">
        <v>0</v>
      </c>
      <c r="AW338" s="345">
        <v>0</v>
      </c>
      <c r="AX338" s="345">
        <v>1080</v>
      </c>
      <c r="AY338" s="345">
        <v>0</v>
      </c>
      <c r="AZ338" s="345">
        <v>1751</v>
      </c>
      <c r="BA338" s="345">
        <v>3173</v>
      </c>
      <c r="BB338" s="345">
        <v>5236</v>
      </c>
      <c r="BC338" s="345">
        <v>163</v>
      </c>
      <c r="BD338" s="345">
        <v>215</v>
      </c>
      <c r="BE338" s="345">
        <v>1646</v>
      </c>
      <c r="BF338" s="345">
        <v>2802</v>
      </c>
      <c r="BG338" s="345">
        <v>1077</v>
      </c>
      <c r="BH338" s="345">
        <v>1331</v>
      </c>
      <c r="BI338" s="345">
        <v>1414</v>
      </c>
      <c r="BJ338" s="345">
        <v>2688</v>
      </c>
      <c r="BK338" s="345">
        <v>0</v>
      </c>
      <c r="BL338" s="345">
        <v>0</v>
      </c>
      <c r="BM338" s="345">
        <v>0</v>
      </c>
      <c r="BN338" s="345">
        <v>910</v>
      </c>
      <c r="BO338" s="345">
        <v>0</v>
      </c>
      <c r="BP338" s="345">
        <v>0</v>
      </c>
      <c r="BQ338" s="345">
        <v>0</v>
      </c>
      <c r="BR338" s="345">
        <v>581</v>
      </c>
    </row>
    <row r="339" spans="3:70">
      <c r="C339" s="338" t="s">
        <v>371</v>
      </c>
      <c r="E339" s="372">
        <f t="shared" si="471"/>
        <v>223</v>
      </c>
      <c r="F339" s="372">
        <f t="shared" si="472"/>
        <v>81</v>
      </c>
      <c r="G339" s="372">
        <f t="shared" si="473"/>
        <v>101</v>
      </c>
      <c r="H339" s="372">
        <f t="shared" si="474"/>
        <v>863</v>
      </c>
      <c r="I339" s="372">
        <f t="shared" si="475"/>
        <v>54</v>
      </c>
      <c r="J339" s="372">
        <f t="shared" si="476"/>
        <v>91</v>
      </c>
      <c r="K339" s="372">
        <f t="shared" si="477"/>
        <v>924</v>
      </c>
      <c r="L339" s="372">
        <f t="shared" si="478"/>
        <v>-339</v>
      </c>
      <c r="M339" s="372">
        <f t="shared" si="479"/>
        <v>-440</v>
      </c>
      <c r="N339" s="372">
        <f t="shared" si="480"/>
        <v>349</v>
      </c>
      <c r="O339" s="372">
        <f t="shared" si="481"/>
        <v>-349</v>
      </c>
      <c r="P339" s="372">
        <f t="shared" si="482"/>
        <v>168</v>
      </c>
      <c r="Q339" s="372">
        <f t="shared" si="483"/>
        <v>-239</v>
      </c>
      <c r="R339" s="372">
        <f t="shared" si="484"/>
        <v>153</v>
      </c>
      <c r="S339" s="372">
        <f t="shared" si="485"/>
        <v>-489</v>
      </c>
      <c r="T339" s="372">
        <f t="shared" si="486"/>
        <v>2201</v>
      </c>
      <c r="U339" s="372">
        <f t="shared" si="487"/>
        <v>-343</v>
      </c>
      <c r="V339" s="372">
        <f t="shared" si="488"/>
        <v>-73</v>
      </c>
      <c r="W339" s="372">
        <f t="shared" si="489"/>
        <v>499</v>
      </c>
      <c r="X339" s="372">
        <f t="shared" si="490"/>
        <v>1302</v>
      </c>
      <c r="Y339" s="372">
        <f t="shared" si="491"/>
        <v>406</v>
      </c>
      <c r="Z339" s="372">
        <f t="shared" si="492"/>
        <v>-26</v>
      </c>
      <c r="AA339" s="372">
        <f t="shared" si="493"/>
        <v>240</v>
      </c>
      <c r="AB339" s="372">
        <f t="shared" si="494"/>
        <v>38</v>
      </c>
      <c r="AC339" s="372">
        <f>+AB208-AC208</f>
        <v>0</v>
      </c>
      <c r="AD339" s="372">
        <f>+AC208-AD208</f>
        <v>0</v>
      </c>
      <c r="AE339" s="372">
        <f>+AD208-AE208</f>
        <v>0</v>
      </c>
      <c r="AF339" s="372">
        <f>+AE208-AF208</f>
        <v>0</v>
      </c>
      <c r="AG339" s="445"/>
      <c r="AH339" s="345">
        <v>612</v>
      </c>
      <c r="AI339" s="345">
        <v>181</v>
      </c>
      <c r="AJ339" s="345">
        <v>1268</v>
      </c>
      <c r="AK339" s="345">
        <v>730</v>
      </c>
      <c r="AL339" s="345">
        <v>-272</v>
      </c>
      <c r="AM339" s="345">
        <v>1626</v>
      </c>
      <c r="AN339" s="345">
        <v>1385</v>
      </c>
      <c r="AO339" s="345">
        <v>658</v>
      </c>
      <c r="AP339" s="344">
        <f t="shared" si="495"/>
        <v>0</v>
      </c>
      <c r="AQ339" s="372">
        <f>+AP208-AQ208</f>
        <v>0</v>
      </c>
      <c r="AR339" s="372">
        <f>+AQ208-AR208</f>
        <v>0</v>
      </c>
      <c r="AS339" s="372">
        <f>+AR208-AS208</f>
        <v>0</v>
      </c>
      <c r="AU339" s="345">
        <v>223</v>
      </c>
      <c r="AV339" s="345">
        <v>304</v>
      </c>
      <c r="AW339" s="345">
        <v>405</v>
      </c>
      <c r="AX339" s="345">
        <v>1268</v>
      </c>
      <c r="AY339" s="345">
        <v>54</v>
      </c>
      <c r="AZ339" s="345">
        <v>145</v>
      </c>
      <c r="BA339" s="345">
        <v>1069</v>
      </c>
      <c r="BB339" s="345">
        <v>730</v>
      </c>
      <c r="BC339" s="345">
        <v>-440</v>
      </c>
      <c r="BD339" s="345">
        <v>-91</v>
      </c>
      <c r="BE339" s="345">
        <v>-440</v>
      </c>
      <c r="BF339" s="345">
        <v>-272</v>
      </c>
      <c r="BG339" s="345">
        <v>-239</v>
      </c>
      <c r="BH339" s="345">
        <v>-86</v>
      </c>
      <c r="BI339" s="345">
        <v>-575</v>
      </c>
      <c r="BJ339" s="345">
        <v>1626</v>
      </c>
      <c r="BK339" s="345">
        <v>-343</v>
      </c>
      <c r="BL339" s="345">
        <v>-416</v>
      </c>
      <c r="BM339" s="345">
        <v>83</v>
      </c>
      <c r="BN339" s="345">
        <v>1385</v>
      </c>
      <c r="BO339" s="345">
        <v>406</v>
      </c>
      <c r="BP339" s="345">
        <v>380</v>
      </c>
      <c r="BQ339" s="345">
        <v>620</v>
      </c>
      <c r="BR339" s="345">
        <v>658</v>
      </c>
    </row>
    <row r="340" spans="3:70" s="373" customFormat="1">
      <c r="C340" s="354" t="s">
        <v>372</v>
      </c>
      <c r="E340" s="352">
        <f t="shared" ref="E340:AC340" si="496">SUM(E326:E339)</f>
        <v>-15520</v>
      </c>
      <c r="F340" s="352">
        <f t="shared" si="496"/>
        <v>-4170</v>
      </c>
      <c r="G340" s="352">
        <f t="shared" si="496"/>
        <v>-2683</v>
      </c>
      <c r="H340" s="352">
        <f t="shared" si="496"/>
        <v>-3444</v>
      </c>
      <c r="I340" s="352">
        <f t="shared" si="496"/>
        <v>-2778</v>
      </c>
      <c r="J340" s="352">
        <f t="shared" si="496"/>
        <v>-1438</v>
      </c>
      <c r="K340" s="352">
        <f t="shared" si="496"/>
        <v>-6316</v>
      </c>
      <c r="L340" s="352">
        <f t="shared" si="496"/>
        <v>-5230</v>
      </c>
      <c r="M340" s="352">
        <f t="shared" si="496"/>
        <v>-4791</v>
      </c>
      <c r="N340" s="352">
        <f t="shared" si="496"/>
        <v>-1193</v>
      </c>
      <c r="O340" s="352">
        <f t="shared" si="496"/>
        <v>-3435</v>
      </c>
      <c r="P340" s="352">
        <f t="shared" si="496"/>
        <v>-1820</v>
      </c>
      <c r="Q340" s="352">
        <f t="shared" si="496"/>
        <v>-2722</v>
      </c>
      <c r="R340" s="352">
        <f t="shared" si="496"/>
        <v>-3288</v>
      </c>
      <c r="S340" s="352">
        <f t="shared" si="496"/>
        <v>-3910</v>
      </c>
      <c r="T340" s="352">
        <f t="shared" si="496"/>
        <v>-4485</v>
      </c>
      <c r="U340" s="352">
        <f t="shared" si="496"/>
        <v>-3736</v>
      </c>
      <c r="V340" s="352">
        <f t="shared" si="496"/>
        <v>-10610</v>
      </c>
      <c r="W340" s="352">
        <f t="shared" si="496"/>
        <v>-766</v>
      </c>
      <c r="X340" s="352">
        <f t="shared" si="496"/>
        <v>-5684</v>
      </c>
      <c r="Y340" s="352">
        <f t="shared" si="496"/>
        <v>-2547</v>
      </c>
      <c r="Z340" s="352">
        <f t="shared" si="496"/>
        <v>-6904</v>
      </c>
      <c r="AA340" s="352">
        <f t="shared" si="496"/>
        <v>-10682</v>
      </c>
      <c r="AB340" s="352">
        <f t="shared" si="496"/>
        <v>-5034</v>
      </c>
      <c r="AC340" s="352">
        <f t="shared" si="496"/>
        <v>3255.6375000000016</v>
      </c>
      <c r="AD340" s="352">
        <f>SUM(AD326:AD339)</f>
        <v>-2912.8712499999992</v>
      </c>
      <c r="AE340" s="352">
        <f>SUM(AE326:AE339)</f>
        <v>-2773.9475000000002</v>
      </c>
      <c r="AF340" s="352">
        <f>SUM(AF326:AF339)</f>
        <v>-3076.7062499999993</v>
      </c>
      <c r="AG340" s="445"/>
      <c r="AH340" s="352">
        <f t="shared" ref="AH340:AQ340" si="497">SUM(AH326:AH339)</f>
        <v>-9905</v>
      </c>
      <c r="AI340" s="352">
        <f t="shared" si="497"/>
        <v>-8183</v>
      </c>
      <c r="AJ340" s="352">
        <f t="shared" si="497"/>
        <v>-25817</v>
      </c>
      <c r="AK340" s="352">
        <f t="shared" si="497"/>
        <v>-15762</v>
      </c>
      <c r="AL340" s="352">
        <f t="shared" si="497"/>
        <v>-11239</v>
      </c>
      <c r="AM340" s="352">
        <f t="shared" si="497"/>
        <v>-14405</v>
      </c>
      <c r="AN340" s="352">
        <f t="shared" si="497"/>
        <v>-20796</v>
      </c>
      <c r="AO340" s="352">
        <f t="shared" si="497"/>
        <v>-25167</v>
      </c>
      <c r="AP340" s="352">
        <f t="shared" si="497"/>
        <v>-5507.8874999999971</v>
      </c>
      <c r="AQ340" s="352">
        <f t="shared" si="497"/>
        <v>-19509.922243749999</v>
      </c>
      <c r="AR340" s="352">
        <f>SUM(AR326:AR339)</f>
        <v>-19272.855304400004</v>
      </c>
      <c r="AS340" s="352">
        <f>SUM(AS326:AS339)</f>
        <v>-17299.079182609381</v>
      </c>
      <c r="AU340" s="352">
        <f t="shared" ref="AU340:BR340" si="498">SUM(AU326:AU339)</f>
        <v>-15520</v>
      </c>
      <c r="AV340" s="352">
        <f t="shared" si="498"/>
        <v>-19690</v>
      </c>
      <c r="AW340" s="352">
        <f t="shared" si="498"/>
        <v>-22373</v>
      </c>
      <c r="AX340" s="352">
        <f t="shared" si="498"/>
        <v>-25817</v>
      </c>
      <c r="AY340" s="352">
        <f t="shared" si="498"/>
        <v>-2778</v>
      </c>
      <c r="AZ340" s="352">
        <f t="shared" si="498"/>
        <v>-4216</v>
      </c>
      <c r="BA340" s="352">
        <f t="shared" si="498"/>
        <v>-10532</v>
      </c>
      <c r="BB340" s="352">
        <f t="shared" si="498"/>
        <v>-15762</v>
      </c>
      <c r="BC340" s="352">
        <f t="shared" si="498"/>
        <v>-4791</v>
      </c>
      <c r="BD340" s="352">
        <f t="shared" si="498"/>
        <v>-5984</v>
      </c>
      <c r="BE340" s="352">
        <f t="shared" si="498"/>
        <v>-9419</v>
      </c>
      <c r="BF340" s="352">
        <f t="shared" si="498"/>
        <v>-11239</v>
      </c>
      <c r="BG340" s="352">
        <f t="shared" si="498"/>
        <v>-2722</v>
      </c>
      <c r="BH340" s="352">
        <f t="shared" si="498"/>
        <v>-6010</v>
      </c>
      <c r="BI340" s="352">
        <f t="shared" si="498"/>
        <v>-9920</v>
      </c>
      <c r="BJ340" s="352">
        <f t="shared" si="498"/>
        <v>-14405</v>
      </c>
      <c r="BK340" s="352">
        <f t="shared" si="498"/>
        <v>-3736</v>
      </c>
      <c r="BL340" s="352">
        <f t="shared" si="498"/>
        <v>-14346</v>
      </c>
      <c r="BM340" s="352">
        <f t="shared" si="498"/>
        <v>-15112</v>
      </c>
      <c r="BN340" s="352">
        <f t="shared" si="498"/>
        <v>-20796</v>
      </c>
      <c r="BO340" s="352">
        <f t="shared" si="498"/>
        <v>-2547</v>
      </c>
      <c r="BP340" s="352">
        <f t="shared" si="498"/>
        <v>-9451</v>
      </c>
      <c r="BQ340" s="352">
        <f t="shared" si="498"/>
        <v>-20133</v>
      </c>
      <c r="BR340" s="352">
        <f t="shared" si="498"/>
        <v>-25167</v>
      </c>
    </row>
    <row r="341" spans="3:70">
      <c r="E341" s="372"/>
      <c r="F341" s="372"/>
      <c r="G341" s="372"/>
      <c r="H341" s="372"/>
      <c r="I341" s="372"/>
      <c r="J341" s="372"/>
      <c r="K341" s="372"/>
      <c r="L341" s="372"/>
      <c r="M341" s="372"/>
      <c r="N341" s="372"/>
      <c r="O341" s="372"/>
      <c r="P341" s="372"/>
      <c r="Q341" s="372"/>
      <c r="R341" s="372"/>
      <c r="S341" s="372"/>
      <c r="T341" s="372"/>
      <c r="U341" s="372"/>
      <c r="V341" s="372"/>
      <c r="W341" s="372"/>
      <c r="X341" s="372"/>
      <c r="Y341" s="372"/>
      <c r="Z341" s="372"/>
      <c r="AA341" s="372"/>
      <c r="AB341" s="372"/>
      <c r="AC341" s="372"/>
      <c r="AD341" s="372"/>
      <c r="AE341" s="372"/>
      <c r="AF341" s="372"/>
      <c r="AG341" s="445"/>
      <c r="AH341" s="345"/>
      <c r="AI341" s="345"/>
      <c r="AJ341" s="345"/>
      <c r="AK341" s="345"/>
      <c r="AL341" s="345"/>
      <c r="AM341" s="345"/>
      <c r="AN341" s="345"/>
      <c r="AO341" s="345"/>
      <c r="AP341" s="372"/>
      <c r="AQ341" s="372"/>
      <c r="AR341" s="372"/>
      <c r="AS341" s="372"/>
      <c r="AU341" s="345"/>
      <c r="AV341" s="345"/>
      <c r="AW341" s="345"/>
      <c r="AX341" s="345"/>
      <c r="AY341" s="345"/>
      <c r="AZ341" s="345"/>
      <c r="BA341" s="345"/>
      <c r="BB341" s="345"/>
      <c r="BC341" s="345"/>
      <c r="BD341" s="345"/>
      <c r="BE341" s="345"/>
      <c r="BF341" s="345"/>
      <c r="BG341" s="345"/>
      <c r="BH341" s="345"/>
      <c r="BI341" s="345"/>
      <c r="BJ341" s="345"/>
      <c r="BK341" s="345"/>
      <c r="BL341" s="345"/>
      <c r="BM341" s="345"/>
      <c r="BN341" s="345"/>
      <c r="BO341" s="345"/>
      <c r="BP341" s="345"/>
      <c r="BQ341" s="345"/>
      <c r="BR341" s="345"/>
    </row>
    <row r="342" spans="3:70">
      <c r="C342" s="338" t="s">
        <v>373</v>
      </c>
      <c r="E342" s="372">
        <f t="shared" ref="E342:E352" si="499">AU342</f>
        <v>0</v>
      </c>
      <c r="F342" s="372">
        <f t="shared" ref="F342:F352" si="500">AV342-AU342</f>
        <v>2734</v>
      </c>
      <c r="G342" s="372">
        <f t="shared" ref="G342:G352" si="501">AW342-AV342</f>
        <v>0</v>
      </c>
      <c r="H342" s="372">
        <f t="shared" ref="H342:H352" si="502">AX342-AW342</f>
        <v>0</v>
      </c>
      <c r="I342" s="372">
        <f t="shared" ref="I342:I352" si="503">AY342</f>
        <v>0</v>
      </c>
      <c r="J342" s="372">
        <f t="shared" ref="J342:J352" si="504">AZ342-AY342</f>
        <v>7078</v>
      </c>
      <c r="K342" s="372">
        <f t="shared" ref="K342:K352" si="505">BA342-AZ342</f>
        <v>638</v>
      </c>
      <c r="L342" s="372">
        <f t="shared" ref="L342:L352" si="506">BB342-BA342</f>
        <v>0</v>
      </c>
      <c r="M342" s="372">
        <f t="shared" ref="M342:M352" si="507">BC342</f>
        <v>0</v>
      </c>
      <c r="N342" s="372">
        <f t="shared" ref="N342:N352" si="508">BD342-BC342</f>
        <v>0</v>
      </c>
      <c r="O342" s="372">
        <f t="shared" ref="O342:O352" si="509">BE342-BD342</f>
        <v>423</v>
      </c>
      <c r="P342" s="372">
        <f t="shared" ref="P342:P352" si="510">BF342-BE342</f>
        <v>0</v>
      </c>
      <c r="Q342" s="372">
        <f t="shared" ref="Q342:Q352" si="511">BG342</f>
        <v>135</v>
      </c>
      <c r="R342" s="372">
        <f t="shared" ref="R342:R352" si="512">BH342-BG342</f>
        <v>466</v>
      </c>
      <c r="S342" s="372">
        <f t="shared" ref="S342:S352" si="513">BI342-BH342</f>
        <v>49</v>
      </c>
      <c r="T342" s="372">
        <f t="shared" ref="T342:T352" si="514">BJ342-BI342</f>
        <v>2742</v>
      </c>
      <c r="U342" s="372">
        <f t="shared" ref="U342:U352" si="515">BK342</f>
        <v>10247</v>
      </c>
      <c r="V342" s="372">
        <f t="shared" ref="V342:V352" si="516">BL342-BK342</f>
        <v>0</v>
      </c>
      <c r="W342" s="372">
        <f t="shared" ref="W342:W352" si="517">BM342-BL342</f>
        <v>0</v>
      </c>
      <c r="X342" s="372">
        <f t="shared" ref="X342:X352" si="518">BN342-BM342</f>
        <v>0</v>
      </c>
      <c r="Y342" s="372">
        <f t="shared" ref="Y342:Y352" si="519">BO342</f>
        <v>0</v>
      </c>
      <c r="Z342" s="372">
        <f t="shared" ref="Z342:Z352" si="520">BP342-BO342</f>
        <v>0</v>
      </c>
      <c r="AA342" s="372">
        <f t="shared" ref="AA342:AA352" si="521">BQ342-BP342</f>
        <v>4974</v>
      </c>
      <c r="AB342" s="372">
        <f t="shared" ref="AB342:AB352" si="522">BR342-BQ342</f>
        <v>0</v>
      </c>
      <c r="AC342" s="344">
        <f ca="1">+(AC214+AC222)-(AB214+AB222)</f>
        <v>0</v>
      </c>
      <c r="AD342" s="344">
        <f ca="1">+(AD214+AD222)-(AC214+AC222)</f>
        <v>-1550</v>
      </c>
      <c r="AE342" s="344">
        <f ca="1">+(AE214+AE222)-(AD214+AD222)</f>
        <v>-1000</v>
      </c>
      <c r="AF342" s="344">
        <f ca="1">+(AF214+AF222)-(AE214+AE222)</f>
        <v>-1898</v>
      </c>
      <c r="AG342" s="445"/>
      <c r="AH342" s="345">
        <v>0</v>
      </c>
      <c r="AI342" s="345">
        <v>9476</v>
      </c>
      <c r="AJ342" s="345">
        <v>2734</v>
      </c>
      <c r="AK342" s="345">
        <v>7716</v>
      </c>
      <c r="AL342" s="345">
        <v>423</v>
      </c>
      <c r="AM342" s="345">
        <v>3392</v>
      </c>
      <c r="AN342" s="345">
        <v>10247</v>
      </c>
      <c r="AO342" s="345">
        <v>4974</v>
      </c>
      <c r="AP342" s="344">
        <f t="shared" ref="AP342:AP352" ca="1" si="523">+SUMIF($E$5:$AF$5,AP$5,$E342:$AF342)</f>
        <v>-4448</v>
      </c>
      <c r="AQ342" s="344">
        <f ca="1">+(AQ214+AQ222)-(AP214+AP222)</f>
        <v>-400</v>
      </c>
      <c r="AR342" s="344">
        <f ca="1">+(AR214+AR222)-(AQ214+AQ222)</f>
        <v>-1850</v>
      </c>
      <c r="AS342" s="344">
        <f ca="1">+(AS214+AS222)-(AR214+AR222)</f>
        <v>-2995.0269258733133</v>
      </c>
      <c r="AU342" s="345">
        <v>0</v>
      </c>
      <c r="AV342" s="345">
        <v>2734</v>
      </c>
      <c r="AW342" s="345">
        <v>2734</v>
      </c>
      <c r="AX342" s="345">
        <v>2734</v>
      </c>
      <c r="AY342" s="345">
        <v>0</v>
      </c>
      <c r="AZ342" s="345">
        <v>7078</v>
      </c>
      <c r="BA342" s="345">
        <v>7716</v>
      </c>
      <c r="BB342" s="345">
        <v>7716</v>
      </c>
      <c r="BC342" s="345">
        <v>0</v>
      </c>
      <c r="BD342" s="345">
        <v>0</v>
      </c>
      <c r="BE342" s="345">
        <v>423</v>
      </c>
      <c r="BF342" s="345">
        <v>423</v>
      </c>
      <c r="BG342" s="345">
        <v>135</v>
      </c>
      <c r="BH342" s="345">
        <v>601</v>
      </c>
      <c r="BI342" s="345">
        <v>650</v>
      </c>
      <c r="BJ342" s="345">
        <v>3392</v>
      </c>
      <c r="BK342" s="345">
        <v>10247</v>
      </c>
      <c r="BL342" s="345">
        <v>10247</v>
      </c>
      <c r="BM342" s="345">
        <v>10247</v>
      </c>
      <c r="BN342" s="345">
        <v>10247</v>
      </c>
      <c r="BO342" s="345">
        <v>0</v>
      </c>
      <c r="BP342" s="345">
        <v>0</v>
      </c>
      <c r="BQ342" s="345">
        <v>4974</v>
      </c>
      <c r="BR342" s="345">
        <v>4974</v>
      </c>
    </row>
    <row r="343" spans="3:70">
      <c r="C343" s="338" t="s">
        <v>374</v>
      </c>
      <c r="E343" s="372">
        <f t="shared" si="499"/>
        <v>0</v>
      </c>
      <c r="F343" s="372">
        <f t="shared" si="500"/>
        <v>0</v>
      </c>
      <c r="G343" s="372">
        <f t="shared" si="501"/>
        <v>0</v>
      </c>
      <c r="H343" s="372">
        <f t="shared" si="502"/>
        <v>-1500</v>
      </c>
      <c r="I343" s="372">
        <f t="shared" si="503"/>
        <v>0</v>
      </c>
      <c r="J343" s="372">
        <f t="shared" si="504"/>
        <v>-500</v>
      </c>
      <c r="K343" s="372">
        <f t="shared" si="505"/>
        <v>-1002</v>
      </c>
      <c r="L343" s="372">
        <f t="shared" si="506"/>
        <v>-6578</v>
      </c>
      <c r="M343" s="372">
        <f t="shared" si="507"/>
        <v>-327</v>
      </c>
      <c r="N343" s="372">
        <f t="shared" si="508"/>
        <v>-842</v>
      </c>
      <c r="O343" s="372">
        <f t="shared" si="509"/>
        <v>-759</v>
      </c>
      <c r="P343" s="372">
        <f t="shared" si="510"/>
        <v>-1098</v>
      </c>
      <c r="Q343" s="372">
        <f t="shared" si="511"/>
        <v>-861</v>
      </c>
      <c r="R343" s="372">
        <f t="shared" si="512"/>
        <v>-172</v>
      </c>
      <c r="S343" s="372">
        <f t="shared" si="513"/>
        <v>-445</v>
      </c>
      <c r="T343" s="372">
        <f t="shared" si="514"/>
        <v>-1149</v>
      </c>
      <c r="U343" s="372">
        <f t="shared" si="515"/>
        <v>-1075</v>
      </c>
      <c r="V343" s="372">
        <f t="shared" si="516"/>
        <v>-1700</v>
      </c>
      <c r="W343" s="372">
        <f t="shared" si="517"/>
        <v>-1750</v>
      </c>
      <c r="X343" s="372">
        <f t="shared" si="518"/>
        <v>0</v>
      </c>
      <c r="Y343" s="372">
        <f t="shared" si="519"/>
        <v>0</v>
      </c>
      <c r="Z343" s="372">
        <f t="shared" si="520"/>
        <v>-500</v>
      </c>
      <c r="AA343" s="372">
        <f t="shared" si="521"/>
        <v>0</v>
      </c>
      <c r="AB343" s="372">
        <f t="shared" si="522"/>
        <v>-2000</v>
      </c>
      <c r="AC343" s="444"/>
      <c r="AD343" s="444"/>
      <c r="AE343" s="444"/>
      <c r="AF343" s="444"/>
      <c r="AG343" s="445"/>
      <c r="AH343" s="345">
        <v>0</v>
      </c>
      <c r="AI343" s="345">
        <v>0</v>
      </c>
      <c r="AJ343" s="345">
        <v>-1500</v>
      </c>
      <c r="AK343" s="345">
        <v>-8080</v>
      </c>
      <c r="AL343" s="345">
        <v>-3026</v>
      </c>
      <c r="AM343" s="345">
        <v>-2627</v>
      </c>
      <c r="AN343" s="345">
        <v>-4525</v>
      </c>
      <c r="AO343" s="345">
        <v>-2500</v>
      </c>
      <c r="AP343" s="344">
        <f t="shared" si="523"/>
        <v>0</v>
      </c>
      <c r="AQ343" s="444"/>
      <c r="AR343" s="444"/>
      <c r="AS343" s="444"/>
      <c r="AU343" s="345">
        <v>0</v>
      </c>
      <c r="AV343" s="345">
        <v>0</v>
      </c>
      <c r="AW343" s="345">
        <v>0</v>
      </c>
      <c r="AX343" s="345">
        <v>-1500</v>
      </c>
      <c r="AY343" s="345">
        <v>0</v>
      </c>
      <c r="AZ343" s="345">
        <v>-500</v>
      </c>
      <c r="BA343" s="345">
        <v>-1502</v>
      </c>
      <c r="BB343" s="345">
        <v>-8080</v>
      </c>
      <c r="BC343" s="345">
        <v>-327</v>
      </c>
      <c r="BD343" s="345">
        <v>-1169</v>
      </c>
      <c r="BE343" s="345">
        <v>-1928</v>
      </c>
      <c r="BF343" s="345">
        <v>-3026</v>
      </c>
      <c r="BG343" s="345">
        <v>-861</v>
      </c>
      <c r="BH343" s="345">
        <v>-1033</v>
      </c>
      <c r="BI343" s="345">
        <v>-1478</v>
      </c>
      <c r="BJ343" s="345">
        <v>-2627</v>
      </c>
      <c r="BK343" s="345">
        <v>-1075</v>
      </c>
      <c r="BL343" s="345">
        <v>-2775</v>
      </c>
      <c r="BM343" s="345">
        <v>-4525</v>
      </c>
      <c r="BN343" s="345">
        <v>-4525</v>
      </c>
      <c r="BO343" s="345">
        <v>0</v>
      </c>
      <c r="BP343" s="345">
        <v>-500</v>
      </c>
      <c r="BQ343" s="345">
        <v>-500</v>
      </c>
      <c r="BR343" s="345">
        <v>-2500</v>
      </c>
    </row>
    <row r="344" spans="3:70">
      <c r="C344" s="338" t="s">
        <v>375</v>
      </c>
      <c r="E344" s="372">
        <f t="shared" si="499"/>
        <v>956</v>
      </c>
      <c r="F344" s="372">
        <f t="shared" si="500"/>
        <v>460</v>
      </c>
      <c r="G344" s="372">
        <f t="shared" si="501"/>
        <v>-990</v>
      </c>
      <c r="H344" s="372">
        <f t="shared" si="502"/>
        <v>-441</v>
      </c>
      <c r="I344" s="372">
        <f t="shared" si="503"/>
        <v>435</v>
      </c>
      <c r="J344" s="372">
        <f t="shared" si="504"/>
        <v>-447</v>
      </c>
      <c r="K344" s="372">
        <f t="shared" si="505"/>
        <v>7</v>
      </c>
      <c r="L344" s="372">
        <f t="shared" si="506"/>
        <v>5</v>
      </c>
      <c r="M344" s="372">
        <f t="shared" si="507"/>
        <v>2142</v>
      </c>
      <c r="N344" s="372">
        <f t="shared" si="508"/>
        <v>-151</v>
      </c>
      <c r="O344" s="372">
        <f t="shared" si="509"/>
        <v>-284</v>
      </c>
      <c r="P344" s="372">
        <f t="shared" si="510"/>
        <v>-1707</v>
      </c>
      <c r="Q344" s="372">
        <f t="shared" si="511"/>
        <v>1682</v>
      </c>
      <c r="R344" s="372">
        <f t="shared" si="512"/>
        <v>-686</v>
      </c>
      <c r="S344" s="372">
        <f t="shared" si="513"/>
        <v>-161</v>
      </c>
      <c r="T344" s="372">
        <f t="shared" si="514"/>
        <v>-835</v>
      </c>
      <c r="U344" s="372">
        <f t="shared" si="515"/>
        <v>0</v>
      </c>
      <c r="V344" s="372">
        <f t="shared" si="516"/>
        <v>0</v>
      </c>
      <c r="W344" s="372">
        <f t="shared" si="517"/>
        <v>0</v>
      </c>
      <c r="X344" s="372">
        <f t="shared" si="518"/>
        <v>0</v>
      </c>
      <c r="Y344" s="372">
        <f t="shared" si="519"/>
        <v>0</v>
      </c>
      <c r="Z344" s="372">
        <f t="shared" si="520"/>
        <v>0</v>
      </c>
      <c r="AA344" s="372">
        <f t="shared" si="521"/>
        <v>0</v>
      </c>
      <c r="AB344" s="372">
        <f t="shared" si="522"/>
        <v>0</v>
      </c>
      <c r="AC344" s="444"/>
      <c r="AD344" s="444"/>
      <c r="AE344" s="444"/>
      <c r="AF344" s="444"/>
      <c r="AG344" s="445"/>
      <c r="AH344" s="345">
        <v>235</v>
      </c>
      <c r="AI344" s="345">
        <v>0</v>
      </c>
      <c r="AJ344" s="345">
        <v>-15</v>
      </c>
      <c r="AK344" s="345">
        <v>0</v>
      </c>
      <c r="AL344" s="345">
        <v>0</v>
      </c>
      <c r="AM344" s="345">
        <v>0</v>
      </c>
      <c r="AN344" s="345">
        <v>0</v>
      </c>
      <c r="AO344" s="345">
        <v>0</v>
      </c>
      <c r="AP344" s="344">
        <f t="shared" si="523"/>
        <v>0</v>
      </c>
      <c r="AQ344" s="444"/>
      <c r="AR344" s="444"/>
      <c r="AS344" s="444"/>
      <c r="AU344" s="345">
        <v>956</v>
      </c>
      <c r="AV344" s="345">
        <v>1416</v>
      </c>
      <c r="AW344" s="345">
        <v>426</v>
      </c>
      <c r="AX344" s="345">
        <v>-15</v>
      </c>
      <c r="AY344" s="345">
        <v>435</v>
      </c>
      <c r="AZ344" s="345">
        <v>-12</v>
      </c>
      <c r="BA344" s="345">
        <v>-5</v>
      </c>
      <c r="BB344" s="345">
        <v>0</v>
      </c>
      <c r="BC344" s="345">
        <v>2142</v>
      </c>
      <c r="BD344" s="345">
        <v>1991</v>
      </c>
      <c r="BE344" s="345">
        <v>1707</v>
      </c>
      <c r="BF344" s="345">
        <v>0</v>
      </c>
      <c r="BG344" s="345">
        <v>1682</v>
      </c>
      <c r="BH344" s="345">
        <v>996</v>
      </c>
      <c r="BI344" s="345">
        <v>835</v>
      </c>
      <c r="BJ344" s="345">
        <v>0</v>
      </c>
      <c r="BK344" s="345">
        <v>0</v>
      </c>
      <c r="BL344" s="345">
        <v>0</v>
      </c>
      <c r="BM344" s="345">
        <v>0</v>
      </c>
      <c r="BN344" s="345">
        <v>0</v>
      </c>
      <c r="BO344" s="345">
        <v>0</v>
      </c>
      <c r="BP344" s="345">
        <v>0</v>
      </c>
      <c r="BQ344" s="345">
        <v>0</v>
      </c>
      <c r="BR344" s="345">
        <v>0</v>
      </c>
    </row>
    <row r="345" spans="3:70">
      <c r="C345" s="338" t="s">
        <v>376</v>
      </c>
      <c r="E345" s="372">
        <f t="shared" si="499"/>
        <v>343</v>
      </c>
      <c r="F345" s="372">
        <f t="shared" si="500"/>
        <v>184</v>
      </c>
      <c r="G345" s="372">
        <f t="shared" si="501"/>
        <v>497</v>
      </c>
      <c r="H345" s="372">
        <f t="shared" si="502"/>
        <v>84</v>
      </c>
      <c r="I345" s="372">
        <f t="shared" si="503"/>
        <v>329</v>
      </c>
      <c r="J345" s="372">
        <f t="shared" si="504"/>
        <v>77</v>
      </c>
      <c r="K345" s="372">
        <f t="shared" si="505"/>
        <v>231</v>
      </c>
      <c r="L345" s="372">
        <f t="shared" si="506"/>
        <v>133</v>
      </c>
      <c r="M345" s="372">
        <f t="shared" si="507"/>
        <v>289</v>
      </c>
      <c r="N345" s="372">
        <f t="shared" si="508"/>
        <v>31</v>
      </c>
      <c r="O345" s="372">
        <f t="shared" si="509"/>
        <v>225</v>
      </c>
      <c r="P345" s="372">
        <f t="shared" si="510"/>
        <v>10</v>
      </c>
      <c r="Q345" s="372">
        <f t="shared" si="511"/>
        <v>290</v>
      </c>
      <c r="R345" s="372">
        <f t="shared" si="512"/>
        <v>15</v>
      </c>
      <c r="S345" s="372">
        <f t="shared" si="513"/>
        <v>492</v>
      </c>
      <c r="T345" s="372">
        <f t="shared" si="514"/>
        <v>-47</v>
      </c>
      <c r="U345" s="372">
        <f t="shared" si="515"/>
        <v>503</v>
      </c>
      <c r="V345" s="372">
        <f t="shared" si="516"/>
        <v>9</v>
      </c>
      <c r="W345" s="372">
        <f t="shared" si="517"/>
        <v>385</v>
      </c>
      <c r="X345" s="372">
        <f t="shared" si="518"/>
        <v>0</v>
      </c>
      <c r="Y345" s="372">
        <f t="shared" si="519"/>
        <v>565</v>
      </c>
      <c r="Z345" s="372">
        <f t="shared" si="520"/>
        <v>24</v>
      </c>
      <c r="AA345" s="372">
        <f t="shared" si="521"/>
        <v>427</v>
      </c>
      <c r="AB345" s="372">
        <f t="shared" si="522"/>
        <v>4</v>
      </c>
      <c r="AC345" s="444"/>
      <c r="AD345" s="444"/>
      <c r="AE345" s="444"/>
      <c r="AF345" s="444"/>
      <c r="AG345" s="445"/>
      <c r="AH345" s="345">
        <v>1660</v>
      </c>
      <c r="AI345" s="345">
        <v>866</v>
      </c>
      <c r="AJ345" s="345">
        <v>1108</v>
      </c>
      <c r="AK345" s="345">
        <v>770</v>
      </c>
      <c r="AL345" s="345">
        <v>555</v>
      </c>
      <c r="AM345" s="345">
        <v>750</v>
      </c>
      <c r="AN345" s="345">
        <v>897</v>
      </c>
      <c r="AO345" s="345">
        <v>1020</v>
      </c>
      <c r="AP345" s="344">
        <f t="shared" si="523"/>
        <v>0</v>
      </c>
      <c r="AQ345" s="444"/>
      <c r="AR345" s="444"/>
      <c r="AS345" s="444"/>
      <c r="AU345" s="345">
        <v>343</v>
      </c>
      <c r="AV345" s="345">
        <v>527</v>
      </c>
      <c r="AW345" s="345">
        <v>1024</v>
      </c>
      <c r="AX345" s="345">
        <v>1108</v>
      </c>
      <c r="AY345" s="345">
        <v>329</v>
      </c>
      <c r="AZ345" s="345">
        <v>406</v>
      </c>
      <c r="BA345" s="345">
        <v>637</v>
      </c>
      <c r="BB345" s="345">
        <v>770</v>
      </c>
      <c r="BC345" s="345">
        <v>289</v>
      </c>
      <c r="BD345" s="345">
        <v>320</v>
      </c>
      <c r="BE345" s="345">
        <v>545</v>
      </c>
      <c r="BF345" s="345">
        <v>555</v>
      </c>
      <c r="BG345" s="345">
        <v>290</v>
      </c>
      <c r="BH345" s="345">
        <v>305</v>
      </c>
      <c r="BI345" s="345">
        <v>797</v>
      </c>
      <c r="BJ345" s="345">
        <v>750</v>
      </c>
      <c r="BK345" s="345">
        <v>503</v>
      </c>
      <c r="BL345" s="345">
        <v>512</v>
      </c>
      <c r="BM345" s="345">
        <v>897</v>
      </c>
      <c r="BN345" s="345">
        <v>897</v>
      </c>
      <c r="BO345" s="345">
        <v>565</v>
      </c>
      <c r="BP345" s="345">
        <v>589</v>
      </c>
      <c r="BQ345" s="345">
        <v>1016</v>
      </c>
      <c r="BR345" s="345">
        <v>1020</v>
      </c>
    </row>
    <row r="346" spans="3:70">
      <c r="C346" s="338" t="s">
        <v>377</v>
      </c>
      <c r="E346" s="372">
        <f t="shared" si="499"/>
        <v>-793</v>
      </c>
      <c r="F346" s="372">
        <f t="shared" si="500"/>
        <v>-804</v>
      </c>
      <c r="G346" s="372">
        <f t="shared" si="501"/>
        <v>-457</v>
      </c>
      <c r="H346" s="372">
        <f t="shared" si="502"/>
        <v>-533</v>
      </c>
      <c r="I346" s="372">
        <f t="shared" si="503"/>
        <v>-1242</v>
      </c>
      <c r="J346" s="372">
        <f t="shared" si="504"/>
        <v>-1276</v>
      </c>
      <c r="K346" s="372">
        <f t="shared" si="505"/>
        <v>-1093</v>
      </c>
      <c r="L346" s="372">
        <f t="shared" si="506"/>
        <v>-4</v>
      </c>
      <c r="M346" s="372">
        <f t="shared" si="507"/>
        <v>-1914</v>
      </c>
      <c r="N346" s="372">
        <f t="shared" si="508"/>
        <v>-3893</v>
      </c>
      <c r="O346" s="372">
        <f t="shared" si="509"/>
        <v>-2657</v>
      </c>
      <c r="P346" s="372">
        <f t="shared" si="510"/>
        <v>-2266</v>
      </c>
      <c r="Q346" s="372">
        <f t="shared" si="511"/>
        <v>-2530</v>
      </c>
      <c r="R346" s="372">
        <f t="shared" si="512"/>
        <v>-3049</v>
      </c>
      <c r="S346" s="372">
        <f t="shared" si="513"/>
        <v>-4521</v>
      </c>
      <c r="T346" s="372">
        <f t="shared" si="514"/>
        <v>-3476</v>
      </c>
      <c r="U346" s="372">
        <f t="shared" si="515"/>
        <v>-4229</v>
      </c>
      <c r="V346" s="372">
        <f t="shared" si="516"/>
        <v>0</v>
      </c>
      <c r="W346" s="372">
        <f t="shared" si="517"/>
        <v>-10000</v>
      </c>
      <c r="X346" s="372">
        <f t="shared" si="518"/>
        <v>0</v>
      </c>
      <c r="Y346" s="372">
        <f t="shared" si="519"/>
        <v>-2301</v>
      </c>
      <c r="Z346" s="372">
        <f t="shared" si="520"/>
        <v>-114</v>
      </c>
      <c r="AA346" s="372">
        <f t="shared" si="521"/>
        <v>0</v>
      </c>
      <c r="AB346" s="372">
        <f t="shared" si="522"/>
        <v>0</v>
      </c>
      <c r="AC346" s="372">
        <f>-AC372</f>
        <v>0</v>
      </c>
      <c r="AD346" s="372">
        <f>-AD372</f>
        <v>0</v>
      </c>
      <c r="AE346" s="372">
        <f>-AE372</f>
        <v>0</v>
      </c>
      <c r="AF346" s="372">
        <f>-AF372</f>
        <v>0</v>
      </c>
      <c r="AG346" s="445"/>
      <c r="AH346" s="345">
        <v>-10792</v>
      </c>
      <c r="AI346" s="345">
        <v>-3001</v>
      </c>
      <c r="AJ346" s="345">
        <v>-2587</v>
      </c>
      <c r="AK346" s="345">
        <v>-3615</v>
      </c>
      <c r="AL346" s="345">
        <v>-10730</v>
      </c>
      <c r="AM346" s="345">
        <v>-13576</v>
      </c>
      <c r="AN346" s="345">
        <v>-14229</v>
      </c>
      <c r="AO346" s="345">
        <v>-2415</v>
      </c>
      <c r="AP346" s="344">
        <f t="shared" si="523"/>
        <v>0</v>
      </c>
      <c r="AQ346" s="372">
        <f>-AQ372</f>
        <v>0</v>
      </c>
      <c r="AR346" s="372">
        <f>-AR372</f>
        <v>0</v>
      </c>
      <c r="AS346" s="372">
        <f>-AS372</f>
        <v>0</v>
      </c>
      <c r="AU346" s="345">
        <v>-793</v>
      </c>
      <c r="AV346" s="345">
        <v>-1597</v>
      </c>
      <c r="AW346" s="345">
        <v>-2054</v>
      </c>
      <c r="AX346" s="345">
        <v>-2587</v>
      </c>
      <c r="AY346" s="345">
        <v>-1242</v>
      </c>
      <c r="AZ346" s="345">
        <v>-2518</v>
      </c>
      <c r="BA346" s="345">
        <v>-3611</v>
      </c>
      <c r="BB346" s="345">
        <v>-3615</v>
      </c>
      <c r="BC346" s="345">
        <v>-1914</v>
      </c>
      <c r="BD346" s="345">
        <v>-5807</v>
      </c>
      <c r="BE346" s="345">
        <v>-8464</v>
      </c>
      <c r="BF346" s="345">
        <v>-10730</v>
      </c>
      <c r="BG346" s="345">
        <v>-2530</v>
      </c>
      <c r="BH346" s="345">
        <v>-5579</v>
      </c>
      <c r="BI346" s="345">
        <v>-10100</v>
      </c>
      <c r="BJ346" s="345">
        <v>-13576</v>
      </c>
      <c r="BK346" s="345">
        <v>-4229</v>
      </c>
      <c r="BL346" s="345">
        <v>-4229</v>
      </c>
      <c r="BM346" s="345">
        <f>-12229-2000</f>
        <v>-14229</v>
      </c>
      <c r="BN346" s="345">
        <v>-14229</v>
      </c>
      <c r="BO346" s="345">
        <v>-2301</v>
      </c>
      <c r="BP346" s="345">
        <v>-2415</v>
      </c>
      <c r="BQ346" s="345">
        <v>-2415</v>
      </c>
      <c r="BR346" s="345">
        <v>-2415</v>
      </c>
    </row>
    <row r="347" spans="3:70">
      <c r="C347" s="338" t="s">
        <v>378</v>
      </c>
      <c r="E347" s="372">
        <f t="shared" si="499"/>
        <v>0</v>
      </c>
      <c r="F347" s="372">
        <f t="shared" si="500"/>
        <v>0</v>
      </c>
      <c r="G347" s="372">
        <f t="shared" si="501"/>
        <v>0</v>
      </c>
      <c r="H347" s="372">
        <f t="shared" si="502"/>
        <v>0</v>
      </c>
      <c r="I347" s="372">
        <f t="shared" si="503"/>
        <v>0</v>
      </c>
      <c r="J347" s="372">
        <f t="shared" si="504"/>
        <v>0</v>
      </c>
      <c r="K347" s="372">
        <f t="shared" si="505"/>
        <v>0</v>
      </c>
      <c r="L347" s="372">
        <f t="shared" si="506"/>
        <v>0</v>
      </c>
      <c r="M347" s="372">
        <f t="shared" si="507"/>
        <v>0</v>
      </c>
      <c r="N347" s="372">
        <f t="shared" si="508"/>
        <v>0</v>
      </c>
      <c r="O347" s="372">
        <f t="shared" si="509"/>
        <v>0</v>
      </c>
      <c r="P347" s="372">
        <f t="shared" si="510"/>
        <v>0</v>
      </c>
      <c r="Q347" s="372">
        <f t="shared" si="511"/>
        <v>0</v>
      </c>
      <c r="R347" s="372">
        <f t="shared" si="512"/>
        <v>0</v>
      </c>
      <c r="S347" s="372">
        <f t="shared" si="513"/>
        <v>0</v>
      </c>
      <c r="T347" s="372">
        <f t="shared" si="514"/>
        <v>0</v>
      </c>
      <c r="U347" s="372">
        <f t="shared" si="515"/>
        <v>0</v>
      </c>
      <c r="V347" s="372">
        <f t="shared" si="516"/>
        <v>0</v>
      </c>
      <c r="W347" s="372">
        <f t="shared" si="517"/>
        <v>0</v>
      </c>
      <c r="X347" s="372">
        <f t="shared" si="518"/>
        <v>0</v>
      </c>
      <c r="Y347" s="372">
        <f t="shared" si="519"/>
        <v>0</v>
      </c>
      <c r="Z347" s="372">
        <f t="shared" si="520"/>
        <v>0</v>
      </c>
      <c r="AA347" s="372">
        <f t="shared" si="521"/>
        <v>0</v>
      </c>
      <c r="AB347" s="372">
        <f t="shared" si="522"/>
        <v>0</v>
      </c>
      <c r="AC347" s="444"/>
      <c r="AD347" s="444"/>
      <c r="AE347" s="444"/>
      <c r="AF347" s="444"/>
      <c r="AG347" s="445"/>
      <c r="AH347" s="345">
        <v>-325</v>
      </c>
      <c r="AI347" s="345">
        <v>0</v>
      </c>
      <c r="AJ347" s="345">
        <v>0</v>
      </c>
      <c r="AK347" s="345">
        <v>0</v>
      </c>
      <c r="AL347" s="345">
        <v>0</v>
      </c>
      <c r="AM347" s="345">
        <v>0</v>
      </c>
      <c r="AN347" s="345">
        <v>0</v>
      </c>
      <c r="AO347" s="345">
        <v>0</v>
      </c>
      <c r="AP347" s="344">
        <f t="shared" si="523"/>
        <v>0</v>
      </c>
      <c r="AQ347" s="444"/>
      <c r="AR347" s="444"/>
      <c r="AS347" s="444"/>
      <c r="AU347" s="345">
        <v>0</v>
      </c>
      <c r="AV347" s="345">
        <v>0</v>
      </c>
      <c r="AW347" s="345">
        <v>0</v>
      </c>
      <c r="AX347" s="345">
        <v>0</v>
      </c>
      <c r="AY347" s="345">
        <v>0</v>
      </c>
      <c r="AZ347" s="345">
        <v>0</v>
      </c>
      <c r="BA347" s="345">
        <v>0</v>
      </c>
      <c r="BB347" s="345">
        <v>0</v>
      </c>
      <c r="BC347" s="345">
        <v>0</v>
      </c>
      <c r="BD347" s="345">
        <v>0</v>
      </c>
      <c r="BE347" s="345">
        <v>0</v>
      </c>
      <c r="BF347" s="345">
        <v>0</v>
      </c>
      <c r="BG347" s="345">
        <v>0</v>
      </c>
      <c r="BH347" s="345">
        <v>0</v>
      </c>
      <c r="BI347" s="345">
        <v>0</v>
      </c>
      <c r="BJ347" s="345">
        <v>0</v>
      </c>
      <c r="BK347" s="345">
        <v>0</v>
      </c>
      <c r="BL347" s="345">
        <v>0</v>
      </c>
      <c r="BM347" s="345">
        <v>0</v>
      </c>
      <c r="BN347" s="345">
        <v>0</v>
      </c>
      <c r="BO347" s="345">
        <v>0</v>
      </c>
      <c r="BP347" s="345">
        <v>0</v>
      </c>
      <c r="BQ347" s="345">
        <v>0</v>
      </c>
      <c r="BR347" s="345">
        <v>0</v>
      </c>
    </row>
    <row r="348" spans="3:70">
      <c r="C348" s="338" t="s">
        <v>379</v>
      </c>
      <c r="E348" s="372">
        <f t="shared" si="499"/>
        <v>-1228</v>
      </c>
      <c r="F348" s="372">
        <f t="shared" si="500"/>
        <v>-1233</v>
      </c>
      <c r="G348" s="372">
        <f t="shared" si="501"/>
        <v>-1231</v>
      </c>
      <c r="H348" s="372">
        <f t="shared" si="502"/>
        <v>-1233</v>
      </c>
      <c r="I348" s="372">
        <f t="shared" si="503"/>
        <v>-1229</v>
      </c>
      <c r="J348" s="372">
        <f t="shared" si="504"/>
        <v>-1287</v>
      </c>
      <c r="K348" s="372">
        <f t="shared" si="505"/>
        <v>-1278</v>
      </c>
      <c r="L348" s="372">
        <f t="shared" si="506"/>
        <v>-1278</v>
      </c>
      <c r="M348" s="372">
        <f t="shared" si="507"/>
        <v>-1400</v>
      </c>
      <c r="N348" s="372">
        <f t="shared" si="508"/>
        <v>-1400</v>
      </c>
      <c r="O348" s="372">
        <f t="shared" si="509"/>
        <v>-1373</v>
      </c>
      <c r="P348" s="372">
        <f t="shared" si="510"/>
        <v>-1368</v>
      </c>
      <c r="Q348" s="372">
        <f t="shared" si="511"/>
        <v>-1414</v>
      </c>
      <c r="R348" s="372">
        <f t="shared" si="512"/>
        <v>-1414</v>
      </c>
      <c r="S348" s="372">
        <f t="shared" si="513"/>
        <v>-1386</v>
      </c>
      <c r="T348" s="372">
        <f t="shared" si="514"/>
        <v>-1362</v>
      </c>
      <c r="U348" s="372">
        <f t="shared" si="515"/>
        <v>-1408</v>
      </c>
      <c r="V348" s="372">
        <f t="shared" si="516"/>
        <v>-1403</v>
      </c>
      <c r="W348" s="372">
        <f t="shared" si="517"/>
        <v>-1404</v>
      </c>
      <c r="X348" s="372">
        <f t="shared" si="518"/>
        <v>-1353</v>
      </c>
      <c r="Y348" s="372">
        <f t="shared" si="519"/>
        <v>-1411</v>
      </c>
      <c r="Z348" s="372">
        <f t="shared" si="520"/>
        <v>-1410</v>
      </c>
      <c r="AA348" s="372">
        <f t="shared" si="521"/>
        <v>-1410</v>
      </c>
      <c r="AB348" s="372">
        <f t="shared" si="522"/>
        <v>-1413</v>
      </c>
      <c r="AC348" s="372">
        <f>-AC382</f>
        <v>-1483.6499999999999</v>
      </c>
      <c r="AD348" s="372">
        <f>-AD382</f>
        <v>-1483.6499999999999</v>
      </c>
      <c r="AE348" s="372">
        <f>-AE382</f>
        <v>-1483.6499999999999</v>
      </c>
      <c r="AF348" s="372">
        <f>-AF382</f>
        <v>-1483.6499999999999</v>
      </c>
      <c r="AG348" s="445"/>
      <c r="AH348" s="345">
        <v>-4409</v>
      </c>
      <c r="AI348" s="345">
        <v>-4556</v>
      </c>
      <c r="AJ348" s="345">
        <v>-4925</v>
      </c>
      <c r="AK348" s="345">
        <v>-5072</v>
      </c>
      <c r="AL348" s="345">
        <v>-5541</v>
      </c>
      <c r="AM348" s="345">
        <v>-5576</v>
      </c>
      <c r="AN348" s="345">
        <v>-5568</v>
      </c>
      <c r="AO348" s="345">
        <v>-5644</v>
      </c>
      <c r="AP348" s="344">
        <f t="shared" si="523"/>
        <v>-5934.5999999999995</v>
      </c>
      <c r="AQ348" s="372">
        <f>-AQ382</f>
        <v>-6231.33</v>
      </c>
      <c r="AR348" s="372">
        <f>-AR382</f>
        <v>-6542.8964999999998</v>
      </c>
      <c r="AS348" s="372">
        <f>-AS382</f>
        <v>-6870.0413250000001</v>
      </c>
      <c r="AU348" s="345">
        <v>-1228</v>
      </c>
      <c r="AV348" s="345">
        <v>-2461</v>
      </c>
      <c r="AW348" s="345">
        <v>-3692</v>
      </c>
      <c r="AX348" s="345">
        <v>-4925</v>
      </c>
      <c r="AY348" s="345">
        <v>-1229</v>
      </c>
      <c r="AZ348" s="345">
        <v>-2516</v>
      </c>
      <c r="BA348" s="345">
        <v>-3794</v>
      </c>
      <c r="BB348" s="345">
        <v>-5072</v>
      </c>
      <c r="BC348" s="345">
        <v>-1400</v>
      </c>
      <c r="BD348" s="345">
        <v>-2800</v>
      </c>
      <c r="BE348" s="345">
        <v>-4173</v>
      </c>
      <c r="BF348" s="345">
        <v>-5541</v>
      </c>
      <c r="BG348" s="345">
        <v>-1414</v>
      </c>
      <c r="BH348" s="345">
        <v>-2828</v>
      </c>
      <c r="BI348" s="345">
        <v>-4214</v>
      </c>
      <c r="BJ348" s="345">
        <v>-5576</v>
      </c>
      <c r="BK348" s="345">
        <v>-1408</v>
      </c>
      <c r="BL348" s="345">
        <v>-2811</v>
      </c>
      <c r="BM348" s="345">
        <v>-4215</v>
      </c>
      <c r="BN348" s="345">
        <v>-5568</v>
      </c>
      <c r="BO348" s="345">
        <v>-1411</v>
      </c>
      <c r="BP348" s="345">
        <v>-2821</v>
      </c>
      <c r="BQ348" s="345">
        <v>-4231</v>
      </c>
      <c r="BR348" s="345">
        <v>-5644</v>
      </c>
    </row>
    <row r="349" spans="3:70">
      <c r="C349" s="338" t="s">
        <v>380</v>
      </c>
      <c r="E349" s="372">
        <f t="shared" si="499"/>
        <v>-63</v>
      </c>
      <c r="F349" s="372">
        <f t="shared" si="500"/>
        <v>-331</v>
      </c>
      <c r="G349" s="372">
        <f t="shared" si="501"/>
        <v>-40</v>
      </c>
      <c r="H349" s="372">
        <f t="shared" si="502"/>
        <v>434</v>
      </c>
      <c r="I349" s="372">
        <f t="shared" si="503"/>
        <v>0</v>
      </c>
      <c r="J349" s="372">
        <f t="shared" si="504"/>
        <v>-404</v>
      </c>
      <c r="K349" s="372">
        <f t="shared" si="505"/>
        <v>-20</v>
      </c>
      <c r="L349" s="372">
        <f t="shared" si="506"/>
        <v>424</v>
      </c>
      <c r="M349" s="372">
        <f t="shared" si="507"/>
        <v>0</v>
      </c>
      <c r="N349" s="372">
        <f t="shared" si="508"/>
        <v>0</v>
      </c>
      <c r="O349" s="372">
        <f t="shared" si="509"/>
        <v>0</v>
      </c>
      <c r="P349" s="372">
        <f t="shared" si="510"/>
        <v>0</v>
      </c>
      <c r="Q349" s="372">
        <f t="shared" si="511"/>
        <v>0</v>
      </c>
      <c r="R349" s="372">
        <f t="shared" si="512"/>
        <v>0</v>
      </c>
      <c r="S349" s="372">
        <f t="shared" si="513"/>
        <v>0</v>
      </c>
      <c r="T349" s="372">
        <f t="shared" si="514"/>
        <v>0</v>
      </c>
      <c r="U349" s="372">
        <f t="shared" si="515"/>
        <v>0</v>
      </c>
      <c r="V349" s="372">
        <f t="shared" si="516"/>
        <v>0</v>
      </c>
      <c r="W349" s="372">
        <f t="shared" si="517"/>
        <v>0</v>
      </c>
      <c r="X349" s="372">
        <f t="shared" si="518"/>
        <v>0</v>
      </c>
      <c r="Y349" s="372">
        <f t="shared" si="519"/>
        <v>0</v>
      </c>
      <c r="Z349" s="372">
        <f t="shared" si="520"/>
        <v>0</v>
      </c>
      <c r="AA349" s="372">
        <f t="shared" si="521"/>
        <v>0</v>
      </c>
      <c r="AB349" s="372">
        <f t="shared" si="522"/>
        <v>0</v>
      </c>
      <c r="AC349" s="444"/>
      <c r="AD349" s="444"/>
      <c r="AE349" s="444"/>
      <c r="AF349" s="444"/>
      <c r="AG349" s="445"/>
      <c r="AH349" s="345">
        <v>-332</v>
      </c>
      <c r="AI349" s="345">
        <v>0</v>
      </c>
      <c r="AJ349" s="345">
        <v>0</v>
      </c>
      <c r="AK349" s="345">
        <v>0</v>
      </c>
      <c r="AL349" s="345">
        <v>0</v>
      </c>
      <c r="AM349" s="345">
        <v>0</v>
      </c>
      <c r="AN349" s="345">
        <v>0</v>
      </c>
      <c r="AO349" s="345">
        <v>0</v>
      </c>
      <c r="AP349" s="344">
        <f t="shared" si="523"/>
        <v>0</v>
      </c>
      <c r="AQ349" s="444"/>
      <c r="AR349" s="444"/>
      <c r="AS349" s="444"/>
      <c r="AU349" s="345">
        <v>-63</v>
      </c>
      <c r="AV349" s="345">
        <v>-394</v>
      </c>
      <c r="AW349" s="345">
        <v>-434</v>
      </c>
      <c r="AX349" s="345">
        <v>0</v>
      </c>
      <c r="AY349" s="345">
        <v>0</v>
      </c>
      <c r="AZ349" s="345">
        <v>-404</v>
      </c>
      <c r="BA349" s="345">
        <v>-424</v>
      </c>
      <c r="BB349" s="345">
        <v>0</v>
      </c>
      <c r="BC349" s="345">
        <v>0</v>
      </c>
      <c r="BD349" s="345">
        <v>0</v>
      </c>
      <c r="BE349" s="345">
        <v>0</v>
      </c>
      <c r="BF349" s="345">
        <v>0</v>
      </c>
      <c r="BG349" s="345">
        <v>0</v>
      </c>
      <c r="BH349" s="345">
        <v>0</v>
      </c>
      <c r="BI349" s="345">
        <v>0</v>
      </c>
      <c r="BJ349" s="345">
        <v>0</v>
      </c>
      <c r="BK349" s="345">
        <v>0</v>
      </c>
      <c r="BL349" s="345">
        <v>0</v>
      </c>
      <c r="BM349" s="345">
        <v>0</v>
      </c>
      <c r="BN349" s="345">
        <v>0</v>
      </c>
      <c r="BO349" s="345">
        <v>0</v>
      </c>
      <c r="BP349" s="345">
        <v>0</v>
      </c>
      <c r="BQ349" s="345">
        <v>0</v>
      </c>
      <c r="BR349" s="345">
        <v>0</v>
      </c>
    </row>
    <row r="350" spans="3:70">
      <c r="C350" s="338" t="s">
        <v>381</v>
      </c>
      <c r="E350" s="372">
        <f t="shared" si="499"/>
        <v>0</v>
      </c>
      <c r="F350" s="372">
        <f t="shared" si="500"/>
        <v>0</v>
      </c>
      <c r="G350" s="372">
        <f t="shared" si="501"/>
        <v>0</v>
      </c>
      <c r="H350" s="372">
        <f t="shared" si="502"/>
        <v>0</v>
      </c>
      <c r="I350" s="372">
        <f t="shared" si="503"/>
        <v>0</v>
      </c>
      <c r="J350" s="372">
        <f t="shared" si="504"/>
        <v>0</v>
      </c>
      <c r="K350" s="372">
        <f t="shared" si="505"/>
        <v>0</v>
      </c>
      <c r="L350" s="372">
        <f t="shared" si="506"/>
        <v>0</v>
      </c>
      <c r="M350" s="372">
        <f t="shared" si="507"/>
        <v>0</v>
      </c>
      <c r="N350" s="372">
        <f t="shared" si="508"/>
        <v>0</v>
      </c>
      <c r="O350" s="372">
        <f t="shared" si="509"/>
        <v>0</v>
      </c>
      <c r="P350" s="372">
        <f t="shared" si="510"/>
        <v>0</v>
      </c>
      <c r="Q350" s="372">
        <f t="shared" si="511"/>
        <v>0</v>
      </c>
      <c r="R350" s="372">
        <f t="shared" si="512"/>
        <v>0</v>
      </c>
      <c r="S350" s="372">
        <f t="shared" si="513"/>
        <v>0</v>
      </c>
      <c r="T350" s="372">
        <f t="shared" si="514"/>
        <v>0</v>
      </c>
      <c r="U350" s="372">
        <f t="shared" si="515"/>
        <v>0</v>
      </c>
      <c r="V350" s="372">
        <f t="shared" si="516"/>
        <v>0</v>
      </c>
      <c r="W350" s="372">
        <f t="shared" si="517"/>
        <v>0</v>
      </c>
      <c r="X350" s="372">
        <f t="shared" si="518"/>
        <v>0</v>
      </c>
      <c r="Y350" s="372">
        <f t="shared" si="519"/>
        <v>0</v>
      </c>
      <c r="Z350" s="372">
        <f t="shared" si="520"/>
        <v>0</v>
      </c>
      <c r="AA350" s="372">
        <f t="shared" si="521"/>
        <v>0</v>
      </c>
      <c r="AB350" s="372">
        <f t="shared" si="522"/>
        <v>0</v>
      </c>
      <c r="AC350" s="444"/>
      <c r="AD350" s="444"/>
      <c r="AE350" s="444"/>
      <c r="AF350" s="444"/>
      <c r="AG350" s="445"/>
      <c r="AH350" s="345">
        <v>325</v>
      </c>
      <c r="AI350" s="345">
        <v>0</v>
      </c>
      <c r="AJ350" s="345">
        <v>0</v>
      </c>
      <c r="AK350" s="345">
        <v>0</v>
      </c>
      <c r="AL350" s="345">
        <v>0</v>
      </c>
      <c r="AM350" s="345">
        <v>0</v>
      </c>
      <c r="AN350" s="345">
        <v>0</v>
      </c>
      <c r="AO350" s="345">
        <v>0</v>
      </c>
      <c r="AP350" s="344">
        <f t="shared" si="523"/>
        <v>0</v>
      </c>
      <c r="AQ350" s="444"/>
      <c r="AR350" s="444"/>
      <c r="AS350" s="444"/>
      <c r="AU350" s="345">
        <v>0</v>
      </c>
      <c r="AV350" s="345">
        <v>0</v>
      </c>
      <c r="AW350" s="345">
        <v>0</v>
      </c>
      <c r="AX350" s="345">
        <v>0</v>
      </c>
      <c r="AY350" s="345">
        <v>0</v>
      </c>
      <c r="AZ350" s="345">
        <v>0</v>
      </c>
      <c r="BA350" s="345">
        <v>0</v>
      </c>
      <c r="BB350" s="345">
        <v>0</v>
      </c>
      <c r="BC350" s="345">
        <v>0</v>
      </c>
      <c r="BD350" s="345">
        <v>0</v>
      </c>
      <c r="BE350" s="345">
        <v>0</v>
      </c>
      <c r="BF350" s="345">
        <v>0</v>
      </c>
      <c r="BG350" s="345">
        <v>0</v>
      </c>
      <c r="BH350" s="345">
        <v>0</v>
      </c>
      <c r="BI350" s="345">
        <v>0</v>
      </c>
      <c r="BJ350" s="345">
        <v>0</v>
      </c>
      <c r="BK350" s="345">
        <v>0</v>
      </c>
      <c r="BL350" s="345">
        <v>0</v>
      </c>
      <c r="BM350" s="345">
        <v>0</v>
      </c>
      <c r="BN350" s="345">
        <v>0</v>
      </c>
      <c r="BO350" s="345">
        <v>0</v>
      </c>
      <c r="BP350" s="345">
        <v>0</v>
      </c>
      <c r="BQ350" s="345">
        <v>0</v>
      </c>
      <c r="BR350" s="345">
        <v>0</v>
      </c>
    </row>
    <row r="351" spans="3:70">
      <c r="C351" s="338" t="s">
        <v>350</v>
      </c>
      <c r="E351" s="372">
        <f t="shared" si="499"/>
        <v>0</v>
      </c>
      <c r="F351" s="372">
        <f t="shared" si="500"/>
        <v>0</v>
      </c>
      <c r="G351" s="372">
        <f t="shared" si="501"/>
        <v>0</v>
      </c>
      <c r="H351" s="372">
        <f t="shared" si="502"/>
        <v>0</v>
      </c>
      <c r="I351" s="372">
        <f t="shared" si="503"/>
        <v>0</v>
      </c>
      <c r="J351" s="372">
        <f t="shared" si="504"/>
        <v>0</v>
      </c>
      <c r="K351" s="372">
        <f t="shared" si="505"/>
        <v>0</v>
      </c>
      <c r="L351" s="372">
        <f t="shared" si="506"/>
        <v>0</v>
      </c>
      <c r="M351" s="372">
        <f t="shared" si="507"/>
        <v>0</v>
      </c>
      <c r="N351" s="372">
        <f t="shared" si="508"/>
        <v>0</v>
      </c>
      <c r="O351" s="372">
        <f t="shared" si="509"/>
        <v>0</v>
      </c>
      <c r="P351" s="372">
        <f t="shared" si="510"/>
        <v>0</v>
      </c>
      <c r="Q351" s="372">
        <f t="shared" si="511"/>
        <v>0</v>
      </c>
      <c r="R351" s="372">
        <f t="shared" si="512"/>
        <v>0</v>
      </c>
      <c r="S351" s="372">
        <f t="shared" si="513"/>
        <v>0</v>
      </c>
      <c r="T351" s="372">
        <f t="shared" si="514"/>
        <v>0</v>
      </c>
      <c r="U351" s="372">
        <f t="shared" si="515"/>
        <v>0</v>
      </c>
      <c r="V351" s="372">
        <f t="shared" si="516"/>
        <v>0</v>
      </c>
      <c r="W351" s="372">
        <f t="shared" si="517"/>
        <v>0</v>
      </c>
      <c r="X351" s="372">
        <f t="shared" si="518"/>
        <v>0</v>
      </c>
      <c r="Y351" s="372">
        <f t="shared" si="519"/>
        <v>0</v>
      </c>
      <c r="Z351" s="372">
        <f t="shared" si="520"/>
        <v>0</v>
      </c>
      <c r="AA351" s="372">
        <f t="shared" si="521"/>
        <v>0</v>
      </c>
      <c r="AB351" s="372">
        <f t="shared" si="522"/>
        <v>0</v>
      </c>
      <c r="AC351" s="444"/>
      <c r="AD351" s="444"/>
      <c r="AE351" s="444"/>
      <c r="AF351" s="444"/>
      <c r="AG351" s="445"/>
      <c r="AH351" s="345">
        <v>122</v>
      </c>
      <c r="AI351" s="345">
        <v>0</v>
      </c>
      <c r="AJ351" s="345">
        <v>0</v>
      </c>
      <c r="AK351" s="345">
        <v>0</v>
      </c>
      <c r="AL351" s="345">
        <v>0</v>
      </c>
      <c r="AM351" s="345">
        <v>0</v>
      </c>
      <c r="AN351" s="345">
        <v>0</v>
      </c>
      <c r="AO351" s="345">
        <v>0</v>
      </c>
      <c r="AP351" s="344">
        <f t="shared" si="523"/>
        <v>0</v>
      </c>
      <c r="AQ351" s="444"/>
      <c r="AR351" s="444"/>
      <c r="AS351" s="444"/>
      <c r="AU351" s="345">
        <v>0</v>
      </c>
      <c r="AV351" s="345">
        <v>0</v>
      </c>
      <c r="AW351" s="345">
        <v>0</v>
      </c>
      <c r="AX351" s="345">
        <v>0</v>
      </c>
      <c r="AY351" s="345">
        <v>0</v>
      </c>
      <c r="AZ351" s="345">
        <v>0</v>
      </c>
      <c r="BA351" s="345">
        <v>0</v>
      </c>
      <c r="BB351" s="345">
        <v>0</v>
      </c>
      <c r="BC351" s="345">
        <v>0</v>
      </c>
      <c r="BD351" s="345">
        <v>0</v>
      </c>
      <c r="BE351" s="345">
        <v>0</v>
      </c>
      <c r="BF351" s="345">
        <v>0</v>
      </c>
      <c r="BG351" s="345">
        <v>0</v>
      </c>
      <c r="BH351" s="345">
        <v>0</v>
      </c>
      <c r="BI351" s="345">
        <v>0</v>
      </c>
      <c r="BJ351" s="345">
        <v>0</v>
      </c>
      <c r="BK351" s="345">
        <v>0</v>
      </c>
      <c r="BL351" s="345">
        <v>0</v>
      </c>
      <c r="BM351" s="345">
        <v>0</v>
      </c>
      <c r="BN351" s="345">
        <v>0</v>
      </c>
      <c r="BO351" s="345">
        <v>0</v>
      </c>
      <c r="BP351" s="345">
        <v>0</v>
      </c>
      <c r="BQ351" s="345">
        <v>0</v>
      </c>
      <c r="BR351" s="345">
        <v>0</v>
      </c>
    </row>
    <row r="352" spans="3:70">
      <c r="C352" s="338" t="s">
        <v>382</v>
      </c>
      <c r="E352" s="372">
        <f t="shared" si="499"/>
        <v>3</v>
      </c>
      <c r="F352" s="372">
        <f t="shared" si="500"/>
        <v>139</v>
      </c>
      <c r="G352" s="372">
        <f t="shared" si="501"/>
        <v>13</v>
      </c>
      <c r="H352" s="372">
        <f t="shared" si="502"/>
        <v>-709</v>
      </c>
      <c r="I352" s="372">
        <f t="shared" si="503"/>
        <v>-39</v>
      </c>
      <c r="J352" s="372">
        <f t="shared" si="504"/>
        <v>243</v>
      </c>
      <c r="K352" s="372">
        <f t="shared" si="505"/>
        <v>-43</v>
      </c>
      <c r="L352" s="372">
        <f t="shared" si="506"/>
        <v>-355</v>
      </c>
      <c r="M352" s="372">
        <f t="shared" si="507"/>
        <v>-162</v>
      </c>
      <c r="N352" s="372">
        <f t="shared" si="508"/>
        <v>-905</v>
      </c>
      <c r="O352" s="372">
        <f t="shared" si="509"/>
        <v>-182</v>
      </c>
      <c r="P352" s="372">
        <f t="shared" si="510"/>
        <v>961</v>
      </c>
      <c r="Q352" s="372">
        <f t="shared" si="511"/>
        <v>596</v>
      </c>
      <c r="R352" s="372">
        <f t="shared" si="512"/>
        <v>254</v>
      </c>
      <c r="S352" s="372">
        <f t="shared" si="513"/>
        <v>239</v>
      </c>
      <c r="T352" s="372">
        <f t="shared" si="514"/>
        <v>-1017</v>
      </c>
      <c r="U352" s="372">
        <f t="shared" si="515"/>
        <v>726</v>
      </c>
      <c r="V352" s="372">
        <f t="shared" si="516"/>
        <v>-97</v>
      </c>
      <c r="W352" s="372">
        <f t="shared" si="517"/>
        <v>-24</v>
      </c>
      <c r="X352" s="372">
        <f t="shared" si="518"/>
        <v>-344</v>
      </c>
      <c r="Y352" s="372">
        <f t="shared" si="519"/>
        <v>-527</v>
      </c>
      <c r="Z352" s="372">
        <f t="shared" si="520"/>
        <v>-288</v>
      </c>
      <c r="AA352" s="372">
        <f t="shared" si="521"/>
        <v>-85</v>
      </c>
      <c r="AB352" s="372">
        <f t="shared" si="522"/>
        <v>-397</v>
      </c>
      <c r="AC352" s="444"/>
      <c r="AD352" s="444"/>
      <c r="AE352" s="444"/>
      <c r="AF352" s="444"/>
      <c r="AG352" s="445"/>
      <c r="AH352" s="345">
        <f>-95-15</f>
        <v>-110</v>
      </c>
      <c r="AI352" s="345">
        <v>-873</v>
      </c>
      <c r="AJ352" s="345">
        <v>-554</v>
      </c>
      <c r="AK352" s="345">
        <v>-194</v>
      </c>
      <c r="AL352" s="345">
        <v>-288</v>
      </c>
      <c r="AM352" s="345">
        <v>72</v>
      </c>
      <c r="AN352" s="345">
        <v>261</v>
      </c>
      <c r="AO352" s="345">
        <v>-1297</v>
      </c>
      <c r="AP352" s="344">
        <f t="shared" si="523"/>
        <v>0</v>
      </c>
      <c r="AQ352" s="444"/>
      <c r="AR352" s="444"/>
      <c r="AS352" s="444"/>
      <c r="AU352" s="345">
        <v>3</v>
      </c>
      <c r="AV352" s="345">
        <v>142</v>
      </c>
      <c r="AW352" s="345">
        <v>155</v>
      </c>
      <c r="AX352" s="345">
        <v>-554</v>
      </c>
      <c r="AY352" s="345">
        <v>-39</v>
      </c>
      <c r="AZ352" s="345">
        <v>204</v>
      </c>
      <c r="BA352" s="345">
        <v>161</v>
      </c>
      <c r="BB352" s="345">
        <v>-194</v>
      </c>
      <c r="BC352" s="345">
        <v>-162</v>
      </c>
      <c r="BD352" s="345">
        <v>-1067</v>
      </c>
      <c r="BE352" s="345">
        <v>-1249</v>
      </c>
      <c r="BF352" s="345">
        <v>-288</v>
      </c>
      <c r="BG352" s="345">
        <v>596</v>
      </c>
      <c r="BH352" s="345">
        <v>850</v>
      </c>
      <c r="BI352" s="345">
        <v>1089</v>
      </c>
      <c r="BJ352" s="345">
        <v>72</v>
      </c>
      <c r="BK352" s="345">
        <v>726</v>
      </c>
      <c r="BL352" s="345">
        <v>629</v>
      </c>
      <c r="BM352" s="345">
        <v>605</v>
      </c>
      <c r="BN352" s="345">
        <v>261</v>
      </c>
      <c r="BO352" s="345">
        <v>-527</v>
      </c>
      <c r="BP352" s="345">
        <v>-815</v>
      </c>
      <c r="BQ352" s="345">
        <v>-900</v>
      </c>
      <c r="BR352" s="345">
        <v>-1297</v>
      </c>
    </row>
    <row r="353" spans="3:70" s="354" customFormat="1">
      <c r="C353" s="354" t="s">
        <v>383</v>
      </c>
      <c r="E353" s="352">
        <f t="shared" ref="E353:AF353" si="524">SUM(E342:E352)</f>
        <v>-782</v>
      </c>
      <c r="F353" s="352">
        <f t="shared" si="524"/>
        <v>1149</v>
      </c>
      <c r="G353" s="352">
        <f t="shared" si="524"/>
        <v>-2208</v>
      </c>
      <c r="H353" s="352">
        <f t="shared" si="524"/>
        <v>-3898</v>
      </c>
      <c r="I353" s="352">
        <f t="shared" si="524"/>
        <v>-1746</v>
      </c>
      <c r="J353" s="352">
        <f t="shared" si="524"/>
        <v>3484</v>
      </c>
      <c r="K353" s="352">
        <f t="shared" si="524"/>
        <v>-2560</v>
      </c>
      <c r="L353" s="352">
        <f t="shared" si="524"/>
        <v>-7653</v>
      </c>
      <c r="M353" s="352">
        <f t="shared" si="524"/>
        <v>-1372</v>
      </c>
      <c r="N353" s="352">
        <f t="shared" si="524"/>
        <v>-7160</v>
      </c>
      <c r="O353" s="352">
        <f t="shared" si="524"/>
        <v>-4607</v>
      </c>
      <c r="P353" s="352">
        <f t="shared" si="524"/>
        <v>-5468</v>
      </c>
      <c r="Q353" s="352">
        <f t="shared" si="524"/>
        <v>-2102</v>
      </c>
      <c r="R353" s="352">
        <f t="shared" si="524"/>
        <v>-4586</v>
      </c>
      <c r="S353" s="352">
        <f t="shared" si="524"/>
        <v>-5733</v>
      </c>
      <c r="T353" s="352">
        <f t="shared" si="524"/>
        <v>-5144</v>
      </c>
      <c r="U353" s="352">
        <f t="shared" si="524"/>
        <v>4764</v>
      </c>
      <c r="V353" s="352">
        <f t="shared" si="524"/>
        <v>-3191</v>
      </c>
      <c r="W353" s="352">
        <f t="shared" si="524"/>
        <v>-12793</v>
      </c>
      <c r="X353" s="352">
        <f t="shared" si="524"/>
        <v>-1697</v>
      </c>
      <c r="Y353" s="352">
        <f t="shared" si="524"/>
        <v>-3674</v>
      </c>
      <c r="Z353" s="352">
        <f t="shared" si="524"/>
        <v>-2288</v>
      </c>
      <c r="AA353" s="352">
        <f t="shared" si="524"/>
        <v>3906</v>
      </c>
      <c r="AB353" s="352">
        <f t="shared" si="524"/>
        <v>-3806</v>
      </c>
      <c r="AC353" s="352">
        <f t="shared" ca="1" si="524"/>
        <v>-1483.6499999999999</v>
      </c>
      <c r="AD353" s="352">
        <f t="shared" ca="1" si="524"/>
        <v>-3033.6499999999996</v>
      </c>
      <c r="AE353" s="352">
        <f t="shared" ca="1" si="524"/>
        <v>-2483.6499999999996</v>
      </c>
      <c r="AF353" s="352">
        <f t="shared" ca="1" si="524"/>
        <v>-3381.6499999999996</v>
      </c>
      <c r="AG353" s="445"/>
      <c r="AH353" s="352">
        <f t="shared" ref="AH353:AS353" si="525">SUM(AH342:AH352)</f>
        <v>-13626</v>
      </c>
      <c r="AI353" s="352">
        <f t="shared" si="525"/>
        <v>1912</v>
      </c>
      <c r="AJ353" s="352">
        <f t="shared" si="525"/>
        <v>-5739</v>
      </c>
      <c r="AK353" s="352">
        <f t="shared" si="525"/>
        <v>-8475</v>
      </c>
      <c r="AL353" s="352">
        <f t="shared" si="525"/>
        <v>-18607</v>
      </c>
      <c r="AM353" s="352">
        <f t="shared" si="525"/>
        <v>-17565</v>
      </c>
      <c r="AN353" s="352">
        <f t="shared" si="525"/>
        <v>-12917</v>
      </c>
      <c r="AO353" s="352">
        <f t="shared" si="525"/>
        <v>-5862</v>
      </c>
      <c r="AP353" s="352">
        <f t="shared" ca="1" si="525"/>
        <v>-10382.599999999999</v>
      </c>
      <c r="AQ353" s="352">
        <f t="shared" ca="1" si="525"/>
        <v>-6631.33</v>
      </c>
      <c r="AR353" s="352">
        <f t="shared" ca="1" si="525"/>
        <v>-8392.8964999999989</v>
      </c>
      <c r="AS353" s="352">
        <f t="shared" ca="1" si="525"/>
        <v>-9865.0682508733134</v>
      </c>
      <c r="AU353" s="352">
        <f t="shared" ref="AU353:BR353" si="526">SUM(AU342:AU352)</f>
        <v>-782</v>
      </c>
      <c r="AV353" s="352">
        <f t="shared" si="526"/>
        <v>367</v>
      </c>
      <c r="AW353" s="352">
        <f t="shared" si="526"/>
        <v>-1841</v>
      </c>
      <c r="AX353" s="352">
        <f t="shared" si="526"/>
        <v>-5739</v>
      </c>
      <c r="AY353" s="352">
        <f t="shared" si="526"/>
        <v>-1746</v>
      </c>
      <c r="AZ353" s="352">
        <f t="shared" si="526"/>
        <v>1738</v>
      </c>
      <c r="BA353" s="352">
        <f t="shared" si="526"/>
        <v>-822</v>
      </c>
      <c r="BB353" s="352">
        <f t="shared" si="526"/>
        <v>-8475</v>
      </c>
      <c r="BC353" s="352">
        <f t="shared" si="526"/>
        <v>-1372</v>
      </c>
      <c r="BD353" s="352">
        <f t="shared" si="526"/>
        <v>-8532</v>
      </c>
      <c r="BE353" s="352">
        <f t="shared" si="526"/>
        <v>-13139</v>
      </c>
      <c r="BF353" s="352">
        <f t="shared" si="526"/>
        <v>-18607</v>
      </c>
      <c r="BG353" s="352">
        <f t="shared" si="526"/>
        <v>-2102</v>
      </c>
      <c r="BH353" s="352">
        <f t="shared" si="526"/>
        <v>-6688</v>
      </c>
      <c r="BI353" s="352">
        <f t="shared" si="526"/>
        <v>-12421</v>
      </c>
      <c r="BJ353" s="352">
        <f t="shared" si="526"/>
        <v>-17565</v>
      </c>
      <c r="BK353" s="352">
        <f t="shared" si="526"/>
        <v>4764</v>
      </c>
      <c r="BL353" s="352">
        <f t="shared" si="526"/>
        <v>1573</v>
      </c>
      <c r="BM353" s="352">
        <f t="shared" si="526"/>
        <v>-11220</v>
      </c>
      <c r="BN353" s="352">
        <f t="shared" si="526"/>
        <v>-12917</v>
      </c>
      <c r="BO353" s="352">
        <f t="shared" si="526"/>
        <v>-3674</v>
      </c>
      <c r="BP353" s="352">
        <f t="shared" si="526"/>
        <v>-5962</v>
      </c>
      <c r="BQ353" s="352">
        <f t="shared" si="526"/>
        <v>-2056</v>
      </c>
      <c r="BR353" s="352">
        <f t="shared" si="526"/>
        <v>-5862</v>
      </c>
    </row>
    <row r="354" spans="3:70">
      <c r="E354" s="372"/>
      <c r="F354" s="372"/>
      <c r="G354" s="372"/>
      <c r="H354" s="372"/>
      <c r="I354" s="372"/>
      <c r="J354" s="372"/>
      <c r="K354" s="372"/>
      <c r="L354" s="372"/>
      <c r="M354" s="372"/>
      <c r="N354" s="372"/>
      <c r="O354" s="372"/>
      <c r="P354" s="372"/>
      <c r="Q354" s="372"/>
      <c r="R354" s="372"/>
      <c r="S354" s="372"/>
      <c r="T354" s="372"/>
      <c r="U354" s="372"/>
      <c r="V354" s="372"/>
      <c r="W354" s="372"/>
      <c r="X354" s="372"/>
      <c r="Y354" s="372"/>
      <c r="Z354" s="372"/>
      <c r="AA354" s="372"/>
      <c r="AB354" s="372"/>
      <c r="AC354" s="372"/>
      <c r="AD354" s="372"/>
      <c r="AE354" s="372"/>
      <c r="AF354" s="372"/>
      <c r="AG354" s="445"/>
      <c r="AH354" s="345"/>
      <c r="AI354" s="345"/>
      <c r="AJ354" s="345"/>
      <c r="AK354" s="345"/>
      <c r="AL354" s="345"/>
      <c r="AM354" s="345"/>
      <c r="AN354" s="345"/>
      <c r="AO354" s="345"/>
      <c r="AP354" s="372"/>
      <c r="AQ354" s="372"/>
      <c r="AR354" s="372"/>
      <c r="AS354" s="372"/>
      <c r="AU354" s="345"/>
      <c r="AV354" s="345"/>
      <c r="AW354" s="345"/>
      <c r="AX354" s="345"/>
      <c r="AY354" s="345"/>
      <c r="AZ354" s="345"/>
      <c r="BA354" s="345"/>
      <c r="BB354" s="345"/>
      <c r="BC354" s="345"/>
      <c r="BD354" s="345"/>
      <c r="BE354" s="345"/>
      <c r="BF354" s="345"/>
      <c r="BG354" s="345"/>
      <c r="BH354" s="345"/>
      <c r="BI354" s="345"/>
      <c r="BJ354" s="345"/>
      <c r="BK354" s="345"/>
      <c r="BL354" s="345"/>
      <c r="BM354" s="345"/>
      <c r="BN354" s="345"/>
      <c r="BO354" s="345"/>
      <c r="BP354" s="345"/>
      <c r="BQ354" s="345"/>
      <c r="BR354" s="345"/>
    </row>
    <row r="355" spans="3:70" s="351" customFormat="1">
      <c r="C355" s="351" t="s">
        <v>384</v>
      </c>
      <c r="E355" s="375">
        <f t="shared" ref="E355:AF355" si="527">E324+E340+E353+E357</f>
        <v>-12247</v>
      </c>
      <c r="F355" s="375">
        <f t="shared" si="527"/>
        <v>824</v>
      </c>
      <c r="G355" s="375">
        <f t="shared" si="527"/>
        <v>867</v>
      </c>
      <c r="H355" s="375">
        <f t="shared" si="527"/>
        <v>808</v>
      </c>
      <c r="I355" s="375">
        <f t="shared" si="527"/>
        <v>-626</v>
      </c>
      <c r="J355" s="375">
        <f t="shared" si="527"/>
        <v>6753</v>
      </c>
      <c r="K355" s="375">
        <f t="shared" si="527"/>
        <v>-2612</v>
      </c>
      <c r="L355" s="375">
        <f t="shared" si="527"/>
        <v>-5642</v>
      </c>
      <c r="M355" s="375">
        <f t="shared" si="527"/>
        <v>121</v>
      </c>
      <c r="N355" s="375">
        <f t="shared" si="527"/>
        <v>-940</v>
      </c>
      <c r="O355" s="375">
        <f t="shared" si="527"/>
        <v>793</v>
      </c>
      <c r="P355" s="375">
        <f t="shared" si="527"/>
        <v>-388</v>
      </c>
      <c r="Q355" s="375">
        <f t="shared" si="527"/>
        <v>135</v>
      </c>
      <c r="R355" s="375">
        <f t="shared" si="527"/>
        <v>-287</v>
      </c>
      <c r="S355" s="375">
        <f t="shared" si="527"/>
        <v>1068</v>
      </c>
      <c r="T355" s="375">
        <f t="shared" si="527"/>
        <v>259</v>
      </c>
      <c r="U355" s="375">
        <f t="shared" si="527"/>
        <v>7186</v>
      </c>
      <c r="V355" s="375">
        <f t="shared" si="527"/>
        <v>-2644</v>
      </c>
      <c r="W355" s="375">
        <f t="shared" si="527"/>
        <v>-5380</v>
      </c>
      <c r="X355" s="375">
        <f t="shared" si="527"/>
        <v>2509</v>
      </c>
      <c r="Y355" s="375">
        <f t="shared" si="527"/>
        <v>-673</v>
      </c>
      <c r="Z355" s="375">
        <f t="shared" si="527"/>
        <v>-446</v>
      </c>
      <c r="AA355" s="375">
        <f t="shared" si="527"/>
        <v>3124</v>
      </c>
      <c r="AB355" s="375">
        <f t="shared" si="527"/>
        <v>-3043</v>
      </c>
      <c r="AC355" s="375">
        <f t="shared" ca="1" si="527"/>
        <v>7638.8323447504808</v>
      </c>
      <c r="AD355" s="375">
        <f t="shared" ca="1" si="527"/>
        <v>-1217.0368639995204</v>
      </c>
      <c r="AE355" s="375">
        <f t="shared" ca="1" si="527"/>
        <v>-995.03320274951875</v>
      </c>
      <c r="AF355" s="375">
        <f t="shared" ca="1" si="527"/>
        <v>-2563.141088749519</v>
      </c>
      <c r="AG355" s="445"/>
      <c r="AH355" s="375">
        <f t="shared" ref="AH355:AS355" si="528">AH324+AH340+AH353+AH357</f>
        <v>-3113</v>
      </c>
      <c r="AI355" s="375">
        <f t="shared" si="528"/>
        <v>12747</v>
      </c>
      <c r="AJ355" s="375">
        <f t="shared" si="528"/>
        <v>-9748</v>
      </c>
      <c r="AK355" s="375">
        <f t="shared" si="528"/>
        <v>-2127</v>
      </c>
      <c r="AL355" s="375">
        <f t="shared" si="528"/>
        <v>-414</v>
      </c>
      <c r="AM355" s="375">
        <f t="shared" si="528"/>
        <v>1175</v>
      </c>
      <c r="AN355" s="375">
        <f t="shared" si="528"/>
        <v>1671</v>
      </c>
      <c r="AO355" s="375">
        <f t="shared" si="528"/>
        <v>-1038</v>
      </c>
      <c r="AP355" s="375">
        <f t="shared" ca="1" si="528"/>
        <v>2863.6211892519204</v>
      </c>
      <c r="AQ355" s="375">
        <f t="shared" ca="1" si="528"/>
        <v>-4296.6494986247035</v>
      </c>
      <c r="AR355" s="375">
        <f t="shared" ca="1" si="528"/>
        <v>-2227.7377705386498</v>
      </c>
      <c r="AS355" s="375">
        <f t="shared" ca="1" si="528"/>
        <v>-166.23392008856717</v>
      </c>
      <c r="AU355" s="375">
        <f t="shared" ref="AU355:BR355" si="529">AU324+AU340+AU353+AU357</f>
        <v>-12247</v>
      </c>
      <c r="AV355" s="375">
        <f t="shared" si="529"/>
        <v>-11423</v>
      </c>
      <c r="AW355" s="375">
        <f t="shared" si="529"/>
        <v>-10556</v>
      </c>
      <c r="AX355" s="375">
        <f t="shared" si="529"/>
        <v>-9748</v>
      </c>
      <c r="AY355" s="375">
        <f t="shared" si="529"/>
        <v>-626</v>
      </c>
      <c r="AZ355" s="375">
        <f t="shared" si="529"/>
        <v>6127</v>
      </c>
      <c r="BA355" s="375">
        <f t="shared" si="529"/>
        <v>3515</v>
      </c>
      <c r="BB355" s="375">
        <f t="shared" si="529"/>
        <v>-2127</v>
      </c>
      <c r="BC355" s="375">
        <f t="shared" si="529"/>
        <v>121</v>
      </c>
      <c r="BD355" s="375">
        <f t="shared" si="529"/>
        <v>-819</v>
      </c>
      <c r="BE355" s="375">
        <f t="shared" si="529"/>
        <v>-26</v>
      </c>
      <c r="BF355" s="375">
        <f t="shared" si="529"/>
        <v>-414</v>
      </c>
      <c r="BG355" s="375">
        <f t="shared" si="529"/>
        <v>135</v>
      </c>
      <c r="BH355" s="375">
        <f t="shared" si="529"/>
        <v>-152</v>
      </c>
      <c r="BI355" s="375">
        <f t="shared" si="529"/>
        <v>916</v>
      </c>
      <c r="BJ355" s="375">
        <f t="shared" si="529"/>
        <v>1175</v>
      </c>
      <c r="BK355" s="375">
        <f t="shared" si="529"/>
        <v>7186</v>
      </c>
      <c r="BL355" s="375">
        <f t="shared" si="529"/>
        <v>4542</v>
      </c>
      <c r="BM355" s="375">
        <f t="shared" si="529"/>
        <v>-838</v>
      </c>
      <c r="BN355" s="375">
        <f t="shared" si="529"/>
        <v>1671</v>
      </c>
      <c r="BO355" s="375">
        <f t="shared" si="529"/>
        <v>-673</v>
      </c>
      <c r="BP355" s="375">
        <f t="shared" si="529"/>
        <v>-1119</v>
      </c>
      <c r="BQ355" s="375">
        <f t="shared" si="529"/>
        <v>2005</v>
      </c>
      <c r="BR355" s="375">
        <f t="shared" si="529"/>
        <v>-1038</v>
      </c>
    </row>
    <row r="356" spans="3:70">
      <c r="C356" s="338" t="s">
        <v>385</v>
      </c>
      <c r="E356" s="372">
        <f>AU356</f>
        <v>15308</v>
      </c>
      <c r="F356" s="372">
        <f t="shared" ref="F356:AC356" si="530">E358</f>
        <v>3061</v>
      </c>
      <c r="G356" s="372">
        <f t="shared" si="530"/>
        <v>3885</v>
      </c>
      <c r="H356" s="372">
        <f t="shared" si="530"/>
        <v>4752</v>
      </c>
      <c r="I356" s="372">
        <f t="shared" si="530"/>
        <v>5560</v>
      </c>
      <c r="J356" s="372">
        <f t="shared" si="530"/>
        <v>4934</v>
      </c>
      <c r="K356" s="372">
        <f t="shared" si="530"/>
        <v>11687</v>
      </c>
      <c r="L356" s="372">
        <f t="shared" si="530"/>
        <v>9075</v>
      </c>
      <c r="M356" s="372">
        <f t="shared" si="530"/>
        <v>3433</v>
      </c>
      <c r="N356" s="372">
        <f t="shared" si="530"/>
        <v>3554</v>
      </c>
      <c r="O356" s="372">
        <f t="shared" si="530"/>
        <v>2614</v>
      </c>
      <c r="P356" s="372">
        <f t="shared" si="530"/>
        <v>3407</v>
      </c>
      <c r="Q356" s="372">
        <f t="shared" si="530"/>
        <v>3019</v>
      </c>
      <c r="R356" s="372">
        <f t="shared" si="530"/>
        <v>3154</v>
      </c>
      <c r="S356" s="372">
        <f t="shared" si="530"/>
        <v>2867</v>
      </c>
      <c r="T356" s="372">
        <f t="shared" si="530"/>
        <v>3935</v>
      </c>
      <c r="U356" s="372">
        <f t="shared" si="530"/>
        <v>4194</v>
      </c>
      <c r="V356" s="372">
        <f t="shared" si="530"/>
        <v>11380</v>
      </c>
      <c r="W356" s="372">
        <f t="shared" si="530"/>
        <v>8736</v>
      </c>
      <c r="X356" s="372">
        <f t="shared" si="530"/>
        <v>3356</v>
      </c>
      <c r="Y356" s="372">
        <f t="shared" si="530"/>
        <v>5865</v>
      </c>
      <c r="Z356" s="372">
        <f t="shared" si="530"/>
        <v>5192</v>
      </c>
      <c r="AA356" s="372">
        <f t="shared" si="530"/>
        <v>4746</v>
      </c>
      <c r="AB356" s="372">
        <f t="shared" si="530"/>
        <v>7870</v>
      </c>
      <c r="AC356" s="372">
        <f t="shared" si="530"/>
        <v>4827</v>
      </c>
      <c r="AD356" s="372">
        <f ca="1">AC358</f>
        <v>12465.832344750481</v>
      </c>
      <c r="AE356" s="372">
        <f ca="1">AD358</f>
        <v>11248.79548075096</v>
      </c>
      <c r="AF356" s="372">
        <f ca="1">AE358</f>
        <v>10253.762278001441</v>
      </c>
      <c r="AG356" s="445"/>
      <c r="AH356" s="345">
        <v>5674</v>
      </c>
      <c r="AI356" s="344">
        <f>+AH358</f>
        <v>2561</v>
      </c>
      <c r="AJ356" s="344">
        <f>+AI358</f>
        <v>15308</v>
      </c>
      <c r="AK356" s="344">
        <f t="shared" ref="AK356:AP356" si="531">+AJ358</f>
        <v>5560</v>
      </c>
      <c r="AL356" s="344">
        <f t="shared" si="531"/>
        <v>3433</v>
      </c>
      <c r="AM356" s="344">
        <f t="shared" si="531"/>
        <v>3019</v>
      </c>
      <c r="AN356" s="344">
        <f t="shared" si="531"/>
        <v>4194</v>
      </c>
      <c r="AO356" s="344">
        <f t="shared" si="531"/>
        <v>5865</v>
      </c>
      <c r="AP356" s="344">
        <f t="shared" si="531"/>
        <v>4827</v>
      </c>
      <c r="AQ356" s="372">
        <f ca="1">AP358</f>
        <v>7690.6211892519204</v>
      </c>
      <c r="AR356" s="372">
        <f ca="1">AQ358</f>
        <v>3393.971690627217</v>
      </c>
      <c r="AS356" s="372">
        <f ca="1">AR358</f>
        <v>1166.2339200885672</v>
      </c>
      <c r="AU356" s="345">
        <v>15308</v>
      </c>
      <c r="AV356" s="345">
        <v>15308</v>
      </c>
      <c r="AW356" s="345">
        <v>15308</v>
      </c>
      <c r="AX356" s="345">
        <v>15308</v>
      </c>
      <c r="AY356" s="345">
        <v>5560</v>
      </c>
      <c r="AZ356" s="345">
        <v>5560</v>
      </c>
      <c r="BA356" s="345">
        <v>5560</v>
      </c>
      <c r="BB356" s="345">
        <v>5560</v>
      </c>
      <c r="BC356" s="345">
        <v>3433</v>
      </c>
      <c r="BD356" s="345">
        <v>3433</v>
      </c>
      <c r="BE356" s="345">
        <v>3433</v>
      </c>
      <c r="BF356" s="345">
        <v>3433</v>
      </c>
      <c r="BG356" s="345">
        <v>3019</v>
      </c>
      <c r="BH356" s="345">
        <v>3019</v>
      </c>
      <c r="BI356" s="345">
        <v>3019</v>
      </c>
      <c r="BJ356" s="345">
        <v>3019</v>
      </c>
      <c r="BK356" s="345">
        <v>4194</v>
      </c>
      <c r="BL356" s="345">
        <v>4194</v>
      </c>
      <c r="BM356" s="345">
        <v>4194</v>
      </c>
      <c r="BN356" s="345">
        <v>4194</v>
      </c>
      <c r="BO356" s="345">
        <v>5865</v>
      </c>
      <c r="BP356" s="345">
        <v>5865</v>
      </c>
      <c r="BQ356" s="345">
        <v>5865</v>
      </c>
      <c r="BR356" s="345">
        <v>5865</v>
      </c>
    </row>
    <row r="357" spans="3:70">
      <c r="C357" s="338" t="s">
        <v>386</v>
      </c>
      <c r="E357" s="372">
        <f>AU357</f>
        <v>0</v>
      </c>
      <c r="F357" s="372">
        <f>AV357-AU357</f>
        <v>0</v>
      </c>
      <c r="G357" s="372">
        <f>AW357-AV357</f>
        <v>0</v>
      </c>
      <c r="H357" s="372">
        <f>AX357-AW357</f>
        <v>0</v>
      </c>
      <c r="I357" s="372">
        <f>AY357</f>
        <v>0</v>
      </c>
      <c r="J357" s="372">
        <f>AZ357-AY357</f>
        <v>0</v>
      </c>
      <c r="K357" s="372">
        <f>BA357-AZ357</f>
        <v>0</v>
      </c>
      <c r="L357" s="372">
        <f>BB357-BA357</f>
        <v>0</v>
      </c>
      <c r="M357" s="372">
        <f>BC357</f>
        <v>0</v>
      </c>
      <c r="N357" s="372">
        <f>BD357-BC357</f>
        <v>0</v>
      </c>
      <c r="O357" s="372">
        <f>BE357-BD357</f>
        <v>0</v>
      </c>
      <c r="P357" s="372">
        <f>BF357-BE357</f>
        <v>0</v>
      </c>
      <c r="Q357" s="372">
        <f>BG357</f>
        <v>0</v>
      </c>
      <c r="R357" s="372">
        <f>BH357-BG357</f>
        <v>0</v>
      </c>
      <c r="S357" s="372">
        <f>BI357-BH357</f>
        <v>0</v>
      </c>
      <c r="T357" s="372">
        <f>BJ357-BI357</f>
        <v>0</v>
      </c>
      <c r="U357" s="372">
        <f>BK357</f>
        <v>0</v>
      </c>
      <c r="V357" s="372">
        <f>BL357-BK357</f>
        <v>0</v>
      </c>
      <c r="W357" s="372">
        <f>BM357-BL357</f>
        <v>0</v>
      </c>
      <c r="X357" s="372">
        <f>BN357-BM357</f>
        <v>0</v>
      </c>
      <c r="Y357" s="372">
        <f>BO357</f>
        <v>0</v>
      </c>
      <c r="Z357" s="372">
        <f>BP357-BO357</f>
        <v>0</v>
      </c>
      <c r="AA357" s="372">
        <f>BQ357-BP357</f>
        <v>0</v>
      </c>
      <c r="AB357" s="372">
        <f>BR357-BQ357</f>
        <v>0</v>
      </c>
      <c r="AC357" s="444"/>
      <c r="AD357" s="444"/>
      <c r="AE357" s="444"/>
      <c r="AF357" s="444"/>
      <c r="AG357" s="445"/>
      <c r="AH357" s="345"/>
      <c r="AI357" s="345">
        <v>0</v>
      </c>
      <c r="AJ357" s="345">
        <v>0</v>
      </c>
      <c r="AK357" s="345">
        <v>0</v>
      </c>
      <c r="AL357" s="345">
        <v>0</v>
      </c>
      <c r="AM357" s="345">
        <v>0</v>
      </c>
      <c r="AN357" s="345">
        <v>0</v>
      </c>
      <c r="AO357" s="345">
        <v>0</v>
      </c>
      <c r="AP357" s="344">
        <f>+SUMIF($E$5:$AF$5,AP$5,$E357:$AF357)</f>
        <v>0</v>
      </c>
      <c r="AQ357" s="444"/>
      <c r="AR357" s="444"/>
      <c r="AS357" s="444"/>
      <c r="AU357" s="345">
        <v>0</v>
      </c>
      <c r="AV357" s="345">
        <v>0</v>
      </c>
      <c r="AW357" s="345">
        <v>0</v>
      </c>
      <c r="AX357" s="345">
        <v>0</v>
      </c>
      <c r="AY357" s="345">
        <v>0</v>
      </c>
      <c r="AZ357" s="345">
        <v>0</v>
      </c>
      <c r="BA357" s="345">
        <v>0</v>
      </c>
      <c r="BB357" s="345">
        <v>0</v>
      </c>
      <c r="BC357" s="345">
        <v>0</v>
      </c>
      <c r="BD357" s="345">
        <v>0</v>
      </c>
      <c r="BE357" s="345">
        <v>0</v>
      </c>
      <c r="BF357" s="345">
        <v>0</v>
      </c>
      <c r="BG357" s="345">
        <v>0</v>
      </c>
      <c r="BH357" s="345">
        <v>0</v>
      </c>
      <c r="BI357" s="345">
        <v>0</v>
      </c>
      <c r="BJ357" s="345">
        <v>0</v>
      </c>
      <c r="BK357" s="345">
        <v>0</v>
      </c>
      <c r="BL357" s="345">
        <v>0</v>
      </c>
      <c r="BM357" s="345">
        <v>0</v>
      </c>
      <c r="BN357" s="345">
        <v>0</v>
      </c>
      <c r="BO357" s="345">
        <v>0</v>
      </c>
      <c r="BP357" s="345">
        <v>0</v>
      </c>
      <c r="BQ357" s="345">
        <v>0</v>
      </c>
      <c r="BR357" s="345">
        <v>0</v>
      </c>
    </row>
    <row r="358" spans="3:70" s="373" customFormat="1">
      <c r="C358" s="374" t="s">
        <v>387</v>
      </c>
      <c r="E358" s="352">
        <f t="shared" ref="E358:AC358" si="532">SUM(E355:E356)</f>
        <v>3061</v>
      </c>
      <c r="F358" s="352">
        <f t="shared" si="532"/>
        <v>3885</v>
      </c>
      <c r="G358" s="352">
        <f t="shared" si="532"/>
        <v>4752</v>
      </c>
      <c r="H358" s="352">
        <f t="shared" si="532"/>
        <v>5560</v>
      </c>
      <c r="I358" s="352">
        <f t="shared" si="532"/>
        <v>4934</v>
      </c>
      <c r="J358" s="352">
        <f t="shared" si="532"/>
        <v>11687</v>
      </c>
      <c r="K358" s="352">
        <f t="shared" si="532"/>
        <v>9075</v>
      </c>
      <c r="L358" s="352">
        <f t="shared" si="532"/>
        <v>3433</v>
      </c>
      <c r="M358" s="352">
        <f t="shared" si="532"/>
        <v>3554</v>
      </c>
      <c r="N358" s="352">
        <f t="shared" si="532"/>
        <v>2614</v>
      </c>
      <c r="O358" s="352">
        <f t="shared" si="532"/>
        <v>3407</v>
      </c>
      <c r="P358" s="352">
        <f t="shared" si="532"/>
        <v>3019</v>
      </c>
      <c r="Q358" s="352">
        <f t="shared" si="532"/>
        <v>3154</v>
      </c>
      <c r="R358" s="352">
        <f t="shared" si="532"/>
        <v>2867</v>
      </c>
      <c r="S358" s="352">
        <f t="shared" si="532"/>
        <v>3935</v>
      </c>
      <c r="T358" s="352">
        <f t="shared" si="532"/>
        <v>4194</v>
      </c>
      <c r="U358" s="352">
        <f t="shared" si="532"/>
        <v>11380</v>
      </c>
      <c r="V358" s="352">
        <f t="shared" si="532"/>
        <v>8736</v>
      </c>
      <c r="W358" s="352">
        <f t="shared" si="532"/>
        <v>3356</v>
      </c>
      <c r="X358" s="352">
        <f t="shared" si="532"/>
        <v>5865</v>
      </c>
      <c r="Y358" s="352">
        <f t="shared" si="532"/>
        <v>5192</v>
      </c>
      <c r="Z358" s="352">
        <f t="shared" si="532"/>
        <v>4746</v>
      </c>
      <c r="AA358" s="352">
        <f t="shared" si="532"/>
        <v>7870</v>
      </c>
      <c r="AB358" s="352">
        <f t="shared" si="532"/>
        <v>4827</v>
      </c>
      <c r="AC358" s="352">
        <f t="shared" ca="1" si="532"/>
        <v>12465.832344750481</v>
      </c>
      <c r="AD358" s="352">
        <f ca="1">SUM(AD355:AD356)</f>
        <v>11248.79548075096</v>
      </c>
      <c r="AE358" s="352">
        <f ca="1">SUM(AE355:AE356)</f>
        <v>10253.762278001441</v>
      </c>
      <c r="AF358" s="352">
        <f ca="1">SUM(AF355:AF356)</f>
        <v>7690.6211892519223</v>
      </c>
      <c r="AG358" s="445"/>
      <c r="AH358" s="352">
        <f t="shared" ref="AH358:AO358" si="533">SUM(AH355:AH356)</f>
        <v>2561</v>
      </c>
      <c r="AI358" s="352">
        <f t="shared" si="533"/>
        <v>15308</v>
      </c>
      <c r="AJ358" s="352">
        <f t="shared" si="533"/>
        <v>5560</v>
      </c>
      <c r="AK358" s="352">
        <f t="shared" si="533"/>
        <v>3433</v>
      </c>
      <c r="AL358" s="352">
        <f t="shared" si="533"/>
        <v>3019</v>
      </c>
      <c r="AM358" s="352">
        <f t="shared" si="533"/>
        <v>4194</v>
      </c>
      <c r="AN358" s="352">
        <f t="shared" si="533"/>
        <v>5865</v>
      </c>
      <c r="AO358" s="352">
        <f t="shared" si="533"/>
        <v>4827</v>
      </c>
      <c r="AP358" s="352">
        <f ca="1">SUM(AP355:AP356)</f>
        <v>7690.6211892519204</v>
      </c>
      <c r="AQ358" s="352">
        <f ca="1">SUM(AQ355:AQ356)</f>
        <v>3393.971690627217</v>
      </c>
      <c r="AR358" s="352">
        <f ca="1">SUM(AR355:AR356)</f>
        <v>1166.2339200885672</v>
      </c>
      <c r="AS358" s="352">
        <f ca="1">SUM(AS355:AS356)</f>
        <v>1000</v>
      </c>
      <c r="AU358" s="352">
        <f t="shared" ref="AU358:BR358" si="534">SUM(AU355:AU356)</f>
        <v>3061</v>
      </c>
      <c r="AV358" s="352">
        <f t="shared" si="534"/>
        <v>3885</v>
      </c>
      <c r="AW358" s="352">
        <f t="shared" si="534"/>
        <v>4752</v>
      </c>
      <c r="AX358" s="352">
        <f t="shared" si="534"/>
        <v>5560</v>
      </c>
      <c r="AY358" s="352">
        <f t="shared" si="534"/>
        <v>4934</v>
      </c>
      <c r="AZ358" s="352">
        <f t="shared" si="534"/>
        <v>11687</v>
      </c>
      <c r="BA358" s="352">
        <f t="shared" si="534"/>
        <v>9075</v>
      </c>
      <c r="BB358" s="352">
        <f t="shared" si="534"/>
        <v>3433</v>
      </c>
      <c r="BC358" s="352">
        <f t="shared" si="534"/>
        <v>3554</v>
      </c>
      <c r="BD358" s="352">
        <f t="shared" si="534"/>
        <v>2614</v>
      </c>
      <c r="BE358" s="352">
        <f t="shared" si="534"/>
        <v>3407</v>
      </c>
      <c r="BF358" s="352">
        <f t="shared" si="534"/>
        <v>3019</v>
      </c>
      <c r="BG358" s="352">
        <f t="shared" si="534"/>
        <v>3154</v>
      </c>
      <c r="BH358" s="352">
        <f t="shared" si="534"/>
        <v>2867</v>
      </c>
      <c r="BI358" s="352">
        <f t="shared" si="534"/>
        <v>3935</v>
      </c>
      <c r="BJ358" s="352">
        <f t="shared" si="534"/>
        <v>4194</v>
      </c>
      <c r="BK358" s="352">
        <f t="shared" si="534"/>
        <v>11380</v>
      </c>
      <c r="BL358" s="352">
        <f t="shared" si="534"/>
        <v>8736</v>
      </c>
      <c r="BM358" s="352">
        <f t="shared" si="534"/>
        <v>3356</v>
      </c>
      <c r="BN358" s="352">
        <f t="shared" si="534"/>
        <v>5865</v>
      </c>
      <c r="BO358" s="352">
        <f t="shared" si="534"/>
        <v>5192</v>
      </c>
      <c r="BP358" s="352">
        <f t="shared" si="534"/>
        <v>4746</v>
      </c>
      <c r="BQ358" s="352">
        <f t="shared" si="534"/>
        <v>7870</v>
      </c>
      <c r="BR358" s="352">
        <f t="shared" si="534"/>
        <v>4827</v>
      </c>
    </row>
    <row r="359" spans="3:70" s="373" customFormat="1">
      <c r="C359" s="374"/>
      <c r="E359" s="372"/>
      <c r="F359" s="372"/>
      <c r="G359" s="372"/>
      <c r="H359" s="372"/>
      <c r="I359" s="372"/>
      <c r="J359" s="372"/>
      <c r="K359" s="372"/>
      <c r="L359" s="372"/>
      <c r="M359" s="372"/>
      <c r="N359" s="372"/>
      <c r="O359" s="372"/>
      <c r="P359" s="372"/>
      <c r="Q359" s="372"/>
      <c r="R359" s="372"/>
      <c r="S359" s="372"/>
      <c r="T359" s="372"/>
      <c r="U359" s="372"/>
      <c r="V359" s="372"/>
      <c r="W359" s="372"/>
      <c r="X359" s="372"/>
      <c r="Y359" s="372"/>
      <c r="Z359" s="372"/>
      <c r="AA359" s="372"/>
      <c r="AB359" s="372"/>
      <c r="AC359" s="372"/>
      <c r="AD359" s="372"/>
      <c r="AE359" s="372"/>
      <c r="AF359" s="372"/>
      <c r="AG359" s="445"/>
      <c r="AH359" s="353"/>
      <c r="AI359" s="353"/>
      <c r="AJ359" s="353"/>
      <c r="AK359" s="353"/>
      <c r="AL359" s="353"/>
      <c r="AM359" s="353"/>
      <c r="AN359" s="353"/>
      <c r="AO359" s="353"/>
      <c r="AP359" s="353"/>
      <c r="AQ359" s="372"/>
      <c r="AR359" s="372"/>
      <c r="AS359" s="372"/>
      <c r="AU359" s="353"/>
      <c r="AV359" s="353"/>
      <c r="AW359" s="353"/>
      <c r="AX359" s="353"/>
      <c r="AY359" s="353"/>
      <c r="AZ359" s="353"/>
      <c r="BA359" s="353"/>
      <c r="BB359" s="353"/>
      <c r="BC359" s="353"/>
      <c r="BD359" s="353"/>
      <c r="BE359" s="353"/>
      <c r="BF359" s="353"/>
      <c r="BG359" s="353"/>
      <c r="BH359" s="353"/>
      <c r="BI359" s="353"/>
      <c r="BJ359" s="353"/>
      <c r="BK359" s="353"/>
      <c r="BL359" s="353"/>
      <c r="BM359" s="353"/>
      <c r="BN359" s="353"/>
      <c r="BO359" s="353"/>
      <c r="BP359" s="353"/>
      <c r="BQ359" s="353"/>
      <c r="BR359" s="353"/>
    </row>
    <row r="360" spans="3:70" hidden="1" outlineLevel="1">
      <c r="C360" s="342" t="s">
        <v>388</v>
      </c>
      <c r="E360" s="372"/>
      <c r="F360" s="372"/>
      <c r="G360" s="372"/>
      <c r="H360" s="372"/>
      <c r="I360" s="372"/>
      <c r="J360" s="372"/>
      <c r="K360" s="372"/>
      <c r="L360" s="372"/>
      <c r="M360" s="372"/>
      <c r="N360" s="372"/>
      <c r="O360" s="372"/>
      <c r="P360" s="372"/>
      <c r="Q360" s="372"/>
      <c r="R360" s="372"/>
      <c r="S360" s="372"/>
      <c r="T360" s="372"/>
      <c r="U360" s="372"/>
      <c r="V360" s="372"/>
      <c r="W360" s="372"/>
      <c r="X360" s="372"/>
      <c r="Y360" s="372"/>
      <c r="Z360" s="372"/>
      <c r="AA360" s="372"/>
      <c r="AB360" s="372"/>
      <c r="AC360" s="372"/>
      <c r="AD360" s="372"/>
      <c r="AE360" s="372"/>
      <c r="AF360" s="372"/>
      <c r="AG360" s="445"/>
      <c r="AH360" s="345"/>
      <c r="AI360" s="345"/>
      <c r="AJ360" s="345"/>
      <c r="AK360" s="345"/>
      <c r="AL360" s="345"/>
      <c r="AM360" s="345"/>
      <c r="AN360" s="345"/>
      <c r="AO360" s="345"/>
      <c r="AP360" s="345"/>
      <c r="AQ360" s="372"/>
      <c r="AR360" s="372"/>
      <c r="AS360" s="372"/>
      <c r="AU360" s="345"/>
      <c r="AV360" s="345"/>
      <c r="AW360" s="345"/>
      <c r="AX360" s="345"/>
      <c r="AY360" s="345"/>
      <c r="AZ360" s="345"/>
      <c r="BA360" s="345"/>
      <c r="BB360" s="345"/>
      <c r="BC360" s="345"/>
      <c r="BD360" s="345"/>
      <c r="BE360" s="345"/>
      <c r="BF360" s="345"/>
      <c r="BG360" s="345"/>
      <c r="BH360" s="345"/>
      <c r="BI360" s="345"/>
      <c r="BJ360" s="345"/>
      <c r="BK360" s="345"/>
      <c r="BL360" s="345"/>
      <c r="BM360" s="345"/>
      <c r="BN360" s="345"/>
      <c r="BO360" s="345"/>
      <c r="BP360" s="345"/>
      <c r="BQ360" s="345"/>
      <c r="BR360" s="345"/>
    </row>
    <row r="361" spans="3:70" hidden="1" outlineLevel="1">
      <c r="C361" s="361" t="s">
        <v>389</v>
      </c>
      <c r="E361" s="372">
        <f t="shared" ref="E361:E366" si="535">AU361</f>
        <v>1083</v>
      </c>
      <c r="F361" s="372">
        <f t="shared" ref="F361:H366" si="536">AV361-AU361</f>
        <v>396</v>
      </c>
      <c r="G361" s="372">
        <f t="shared" si="536"/>
        <v>26</v>
      </c>
      <c r="H361" s="372">
        <f t="shared" si="536"/>
        <v>-526</v>
      </c>
      <c r="I361" s="372">
        <f t="shared" ref="I361:I366" si="537">AY361</f>
        <v>1448</v>
      </c>
      <c r="J361" s="372">
        <f t="shared" ref="J361:L366" si="538">AZ361-AY361</f>
        <v>238</v>
      </c>
      <c r="K361" s="372">
        <f t="shared" si="538"/>
        <v>50</v>
      </c>
      <c r="L361" s="372">
        <f t="shared" si="538"/>
        <v>-319</v>
      </c>
      <c r="M361" s="372">
        <f t="shared" ref="M361:M366" si="539">BC361</f>
        <v>2904</v>
      </c>
      <c r="N361" s="372">
        <f t="shared" ref="N361:P366" si="540">BD361-BC361</f>
        <v>-115</v>
      </c>
      <c r="O361" s="372">
        <f t="shared" si="540"/>
        <v>-801</v>
      </c>
      <c r="P361" s="372">
        <f t="shared" si="540"/>
        <v>352</v>
      </c>
      <c r="Q361" s="372">
        <f t="shared" ref="Q361:Q366" si="541">BG361</f>
        <v>2259</v>
      </c>
      <c r="R361" s="372">
        <f t="shared" ref="R361:T366" si="542">BH361-BG361</f>
        <v>419</v>
      </c>
      <c r="S361" s="372">
        <f t="shared" si="542"/>
        <v>-302</v>
      </c>
      <c r="T361" s="372">
        <f t="shared" si="542"/>
        <v>-615</v>
      </c>
      <c r="U361" s="372">
        <f t="shared" ref="U361:U366" si="543">BK361</f>
        <v>2294</v>
      </c>
      <c r="V361" s="372">
        <f t="shared" ref="V361:X366" si="544">BL361-BK361</f>
        <v>542</v>
      </c>
      <c r="W361" s="372">
        <f t="shared" si="544"/>
        <v>-84</v>
      </c>
      <c r="X361" s="372">
        <f t="shared" si="544"/>
        <v>221</v>
      </c>
      <c r="Y361" s="372">
        <f t="shared" ref="Y361:Y366" si="545">BO361</f>
        <v>2472</v>
      </c>
      <c r="Z361" s="372">
        <f t="shared" ref="Z361:AB366" si="546">BP361-BO361</f>
        <v>-46</v>
      </c>
      <c r="AA361" s="372">
        <f t="shared" si="546"/>
        <v>267</v>
      </c>
      <c r="AB361" s="372">
        <f t="shared" si="546"/>
        <v>-1074</v>
      </c>
      <c r="AC361" s="372"/>
      <c r="AD361" s="372"/>
      <c r="AE361" s="372"/>
      <c r="AF361" s="372"/>
      <c r="AG361" s="445"/>
      <c r="AH361" s="345">
        <v>985</v>
      </c>
      <c r="AI361" s="345">
        <v>392</v>
      </c>
      <c r="AJ361" s="345">
        <v>979</v>
      </c>
      <c r="AK361" s="345">
        <v>1417</v>
      </c>
      <c r="AL361" s="345">
        <v>2340</v>
      </c>
      <c r="AM361" s="345">
        <v>1761</v>
      </c>
      <c r="AN361" s="345">
        <v>2973</v>
      </c>
      <c r="AO361" s="345">
        <v>1619</v>
      </c>
      <c r="AP361" s="345">
        <v>1619</v>
      </c>
      <c r="AQ361" s="372"/>
      <c r="AR361" s="372"/>
      <c r="AS361" s="372"/>
      <c r="AU361" s="345">
        <v>1083</v>
      </c>
      <c r="AV361" s="345">
        <v>1479</v>
      </c>
      <c r="AW361" s="345">
        <v>1505</v>
      </c>
      <c r="AX361" s="345">
        <v>979</v>
      </c>
      <c r="AY361" s="345">
        <v>1448</v>
      </c>
      <c r="AZ361" s="345">
        <v>1686</v>
      </c>
      <c r="BA361" s="345">
        <v>1736</v>
      </c>
      <c r="BB361" s="345">
        <v>1417</v>
      </c>
      <c r="BC361" s="345">
        <v>2904</v>
      </c>
      <c r="BD361" s="345">
        <v>2789</v>
      </c>
      <c r="BE361" s="345">
        <v>1988</v>
      </c>
      <c r="BF361" s="345">
        <v>2340</v>
      </c>
      <c r="BG361" s="345">
        <v>2259</v>
      </c>
      <c r="BH361" s="345">
        <v>2678</v>
      </c>
      <c r="BI361" s="345">
        <v>2376</v>
      </c>
      <c r="BJ361" s="345">
        <v>1761</v>
      </c>
      <c r="BK361" s="345">
        <v>2294</v>
      </c>
      <c r="BL361" s="345">
        <v>2836</v>
      </c>
      <c r="BM361" s="345">
        <v>2752</v>
      </c>
      <c r="BN361" s="345">
        <v>2973</v>
      </c>
      <c r="BO361" s="345">
        <v>2472</v>
      </c>
      <c r="BP361" s="345">
        <v>2426</v>
      </c>
      <c r="BQ361" s="345">
        <v>2693</v>
      </c>
      <c r="BR361" s="345">
        <v>1619</v>
      </c>
    </row>
    <row r="362" spans="3:70" hidden="1" outlineLevel="1">
      <c r="C362" s="361" t="s">
        <v>390</v>
      </c>
      <c r="E362" s="372">
        <f t="shared" si="535"/>
        <v>0</v>
      </c>
      <c r="F362" s="372">
        <f t="shared" si="536"/>
        <v>0</v>
      </c>
      <c r="G362" s="372">
        <f t="shared" si="536"/>
        <v>0</v>
      </c>
      <c r="H362" s="372">
        <f t="shared" si="536"/>
        <v>0</v>
      </c>
      <c r="I362" s="372">
        <f t="shared" si="537"/>
        <v>0</v>
      </c>
      <c r="J362" s="372">
        <f t="shared" si="538"/>
        <v>2200</v>
      </c>
      <c r="K362" s="372">
        <f t="shared" si="538"/>
        <v>-2200</v>
      </c>
      <c r="L362" s="372">
        <f t="shared" si="538"/>
        <v>0</v>
      </c>
      <c r="M362" s="372">
        <f t="shared" si="539"/>
        <v>0</v>
      </c>
      <c r="N362" s="372">
        <f t="shared" si="540"/>
        <v>0</v>
      </c>
      <c r="O362" s="372">
        <f t="shared" si="540"/>
        <v>0</v>
      </c>
      <c r="P362" s="372">
        <f t="shared" si="540"/>
        <v>0</v>
      </c>
      <c r="Q362" s="372">
        <f t="shared" si="541"/>
        <v>0</v>
      </c>
      <c r="R362" s="372">
        <f t="shared" si="542"/>
        <v>0</v>
      </c>
      <c r="S362" s="372">
        <f t="shared" si="542"/>
        <v>0</v>
      </c>
      <c r="T362" s="372">
        <f t="shared" si="542"/>
        <v>0</v>
      </c>
      <c r="U362" s="372">
        <f t="shared" si="543"/>
        <v>0</v>
      </c>
      <c r="V362" s="372">
        <f t="shared" si="544"/>
        <v>0</v>
      </c>
      <c r="W362" s="372">
        <f t="shared" si="544"/>
        <v>0</v>
      </c>
      <c r="X362" s="372">
        <f t="shared" si="544"/>
        <v>0</v>
      </c>
      <c r="Y362" s="372">
        <f t="shared" si="545"/>
        <v>0</v>
      </c>
      <c r="Z362" s="372">
        <f t="shared" si="546"/>
        <v>0</v>
      </c>
      <c r="AA362" s="372">
        <f t="shared" si="546"/>
        <v>0</v>
      </c>
      <c r="AB362" s="372">
        <f t="shared" si="546"/>
        <v>0</v>
      </c>
      <c r="AC362" s="372"/>
      <c r="AD362" s="372"/>
      <c r="AE362" s="372"/>
      <c r="AF362" s="372"/>
      <c r="AG362" s="445"/>
      <c r="AH362" s="345">
        <v>0</v>
      </c>
      <c r="AI362" s="345">
        <v>0</v>
      </c>
      <c r="AJ362" s="345">
        <v>0</v>
      </c>
      <c r="AK362" s="345">
        <v>0</v>
      </c>
      <c r="AL362" s="345">
        <v>0</v>
      </c>
      <c r="AM362" s="345">
        <v>0</v>
      </c>
      <c r="AN362" s="345">
        <v>0</v>
      </c>
      <c r="AO362" s="345">
        <v>0</v>
      </c>
      <c r="AP362" s="345">
        <v>0</v>
      </c>
      <c r="AQ362" s="372"/>
      <c r="AR362" s="372"/>
      <c r="AS362" s="372"/>
      <c r="AU362" s="345">
        <v>0</v>
      </c>
      <c r="AV362" s="345">
        <v>0</v>
      </c>
      <c r="AW362" s="345">
        <v>0</v>
      </c>
      <c r="AX362" s="345">
        <v>0</v>
      </c>
      <c r="AY362" s="345">
        <v>0</v>
      </c>
      <c r="AZ362" s="345">
        <v>2200</v>
      </c>
      <c r="BA362" s="345">
        <v>0</v>
      </c>
      <c r="BB362" s="345">
        <v>0</v>
      </c>
      <c r="BC362" s="345">
        <v>0</v>
      </c>
      <c r="BD362" s="345">
        <v>0</v>
      </c>
      <c r="BE362" s="345">
        <v>0</v>
      </c>
      <c r="BF362" s="345">
        <v>0</v>
      </c>
      <c r="BG362" s="345">
        <v>0</v>
      </c>
      <c r="BH362" s="345">
        <v>0</v>
      </c>
      <c r="BI362" s="345">
        <v>0</v>
      </c>
      <c r="BJ362" s="345">
        <v>0</v>
      </c>
      <c r="BK362" s="345">
        <v>0</v>
      </c>
      <c r="BL362" s="345">
        <v>0</v>
      </c>
      <c r="BM362" s="345">
        <v>0</v>
      </c>
      <c r="BN362" s="345">
        <v>0</v>
      </c>
      <c r="BO362" s="345">
        <v>0</v>
      </c>
      <c r="BP362" s="345">
        <v>0</v>
      </c>
      <c r="BQ362" s="345">
        <v>0</v>
      </c>
      <c r="BR362" s="345">
        <v>0</v>
      </c>
    </row>
    <row r="363" spans="3:70" hidden="1" outlineLevel="1">
      <c r="C363" s="361" t="s">
        <v>391</v>
      </c>
      <c r="E363" s="372">
        <f t="shared" si="535"/>
        <v>0</v>
      </c>
      <c r="F363" s="372">
        <f t="shared" si="536"/>
        <v>0</v>
      </c>
      <c r="G363" s="372">
        <f t="shared" si="536"/>
        <v>0</v>
      </c>
      <c r="H363" s="372">
        <f t="shared" si="536"/>
        <v>0</v>
      </c>
      <c r="I363" s="372">
        <f t="shared" si="537"/>
        <v>0</v>
      </c>
      <c r="J363" s="372">
        <f t="shared" si="538"/>
        <v>1078</v>
      </c>
      <c r="K363" s="372">
        <f t="shared" si="538"/>
        <v>0</v>
      </c>
      <c r="L363" s="372">
        <f t="shared" si="538"/>
        <v>-1078</v>
      </c>
      <c r="M363" s="372">
        <f t="shared" si="539"/>
        <v>0</v>
      </c>
      <c r="N363" s="372">
        <f t="shared" si="540"/>
        <v>0</v>
      </c>
      <c r="O363" s="372">
        <f t="shared" si="540"/>
        <v>0</v>
      </c>
      <c r="P363" s="372">
        <f t="shared" si="540"/>
        <v>0</v>
      </c>
      <c r="Q363" s="372">
        <f t="shared" si="541"/>
        <v>0</v>
      </c>
      <c r="R363" s="372">
        <f t="shared" si="542"/>
        <v>0</v>
      </c>
      <c r="S363" s="372">
        <f t="shared" si="542"/>
        <v>0</v>
      </c>
      <c r="T363" s="372">
        <f t="shared" si="542"/>
        <v>0</v>
      </c>
      <c r="U363" s="372">
        <f t="shared" si="543"/>
        <v>0</v>
      </c>
      <c r="V363" s="372">
        <f t="shared" si="544"/>
        <v>0</v>
      </c>
      <c r="W363" s="372">
        <f t="shared" si="544"/>
        <v>0</v>
      </c>
      <c r="X363" s="372">
        <f t="shared" si="544"/>
        <v>0</v>
      </c>
      <c r="Y363" s="372">
        <f t="shared" si="545"/>
        <v>0</v>
      </c>
      <c r="Z363" s="372">
        <f t="shared" si="546"/>
        <v>0</v>
      </c>
      <c r="AA363" s="372">
        <f t="shared" si="546"/>
        <v>0</v>
      </c>
      <c r="AB363" s="372">
        <f t="shared" si="546"/>
        <v>0</v>
      </c>
      <c r="AC363" s="372"/>
      <c r="AD363" s="372"/>
      <c r="AE363" s="372"/>
      <c r="AF363" s="372"/>
      <c r="AG363" s="445"/>
      <c r="AH363" s="345">
        <v>0</v>
      </c>
      <c r="AI363" s="345">
        <v>0</v>
      </c>
      <c r="AJ363" s="345">
        <v>0</v>
      </c>
      <c r="AK363" s="345">
        <v>0</v>
      </c>
      <c r="AL363" s="345">
        <v>0</v>
      </c>
      <c r="AM363" s="345">
        <v>0</v>
      </c>
      <c r="AN363" s="345">
        <v>0</v>
      </c>
      <c r="AO363" s="345">
        <v>0</v>
      </c>
      <c r="AP363" s="345">
        <v>0</v>
      </c>
      <c r="AQ363" s="372"/>
      <c r="AR363" s="372"/>
      <c r="AS363" s="372"/>
      <c r="AU363" s="345">
        <v>0</v>
      </c>
      <c r="AV363" s="345">
        <v>0</v>
      </c>
      <c r="AW363" s="345">
        <v>0</v>
      </c>
      <c r="AX363" s="345">
        <v>0</v>
      </c>
      <c r="AY363" s="345">
        <v>0</v>
      </c>
      <c r="AZ363" s="345">
        <v>1078</v>
      </c>
      <c r="BA363" s="345">
        <v>1078</v>
      </c>
      <c r="BB363" s="345">
        <v>0</v>
      </c>
      <c r="BC363" s="345">
        <v>0</v>
      </c>
      <c r="BD363" s="345">
        <v>0</v>
      </c>
      <c r="BE363" s="345">
        <v>0</v>
      </c>
      <c r="BF363" s="345">
        <v>0</v>
      </c>
      <c r="BG363" s="345">
        <v>0</v>
      </c>
      <c r="BH363" s="345">
        <v>0</v>
      </c>
      <c r="BI363" s="345">
        <v>0</v>
      </c>
      <c r="BJ363" s="345">
        <v>0</v>
      </c>
      <c r="BK363" s="345">
        <v>0</v>
      </c>
      <c r="BL363" s="345">
        <v>0</v>
      </c>
      <c r="BM363" s="345">
        <v>0</v>
      </c>
      <c r="BN363" s="345">
        <v>0</v>
      </c>
      <c r="BO363" s="345">
        <v>0</v>
      </c>
      <c r="BP363" s="345">
        <v>0</v>
      </c>
      <c r="BQ363" s="345">
        <v>0</v>
      </c>
      <c r="BR363" s="345">
        <v>0</v>
      </c>
    </row>
    <row r="364" spans="3:70" hidden="1" outlineLevel="1">
      <c r="C364" s="342" t="s">
        <v>392</v>
      </c>
      <c r="E364" s="372">
        <f t="shared" si="535"/>
        <v>0</v>
      </c>
      <c r="F364" s="372">
        <f t="shared" si="536"/>
        <v>0</v>
      </c>
      <c r="G364" s="372">
        <f t="shared" si="536"/>
        <v>0</v>
      </c>
      <c r="H364" s="372">
        <f t="shared" si="536"/>
        <v>0</v>
      </c>
      <c r="I364" s="372">
        <f t="shared" si="537"/>
        <v>0</v>
      </c>
      <c r="J364" s="372">
        <f t="shared" si="538"/>
        <v>0</v>
      </c>
      <c r="K364" s="372">
        <f t="shared" si="538"/>
        <v>0</v>
      </c>
      <c r="L364" s="372">
        <f t="shared" si="538"/>
        <v>0</v>
      </c>
      <c r="M364" s="372">
        <f t="shared" si="539"/>
        <v>0</v>
      </c>
      <c r="N364" s="372">
        <f t="shared" si="540"/>
        <v>0</v>
      </c>
      <c r="O364" s="372">
        <f t="shared" si="540"/>
        <v>0</v>
      </c>
      <c r="P364" s="372">
        <f t="shared" si="540"/>
        <v>0</v>
      </c>
      <c r="Q364" s="372">
        <f t="shared" si="541"/>
        <v>0</v>
      </c>
      <c r="R364" s="372">
        <f t="shared" si="542"/>
        <v>0</v>
      </c>
      <c r="S364" s="372">
        <f t="shared" si="542"/>
        <v>0</v>
      </c>
      <c r="T364" s="372">
        <f t="shared" si="542"/>
        <v>0</v>
      </c>
      <c r="U364" s="372">
        <f t="shared" si="543"/>
        <v>0</v>
      </c>
      <c r="V364" s="372">
        <f t="shared" si="544"/>
        <v>0</v>
      </c>
      <c r="W364" s="372">
        <f t="shared" si="544"/>
        <v>0</v>
      </c>
      <c r="X364" s="372">
        <f t="shared" si="544"/>
        <v>0</v>
      </c>
      <c r="Y364" s="372">
        <f t="shared" si="545"/>
        <v>0</v>
      </c>
      <c r="Z364" s="372">
        <f t="shared" si="546"/>
        <v>0</v>
      </c>
      <c r="AA364" s="372">
        <f t="shared" si="546"/>
        <v>0</v>
      </c>
      <c r="AB364" s="372">
        <f t="shared" si="546"/>
        <v>0</v>
      </c>
      <c r="AC364" s="372"/>
      <c r="AD364" s="372"/>
      <c r="AE364" s="372"/>
      <c r="AF364" s="372"/>
      <c r="AG364" s="445"/>
      <c r="AH364" s="345"/>
      <c r="AI364" s="345"/>
      <c r="AJ364" s="345"/>
      <c r="AK364" s="345"/>
      <c r="AL364" s="345"/>
      <c r="AM364" s="345"/>
      <c r="AN364" s="345"/>
      <c r="AO364" s="345"/>
      <c r="AP364" s="345"/>
      <c r="AQ364" s="372"/>
      <c r="AR364" s="372"/>
      <c r="AS364" s="372"/>
      <c r="AU364" s="345"/>
      <c r="AV364" s="345"/>
      <c r="AW364" s="345"/>
      <c r="AX364" s="345"/>
      <c r="AY364" s="345"/>
      <c r="AZ364" s="345"/>
      <c r="BA364" s="345"/>
      <c r="BB364" s="345"/>
      <c r="BC364" s="345"/>
      <c r="BD364" s="345"/>
      <c r="BE364" s="345"/>
      <c r="BF364" s="345"/>
      <c r="BG364" s="345"/>
      <c r="BH364" s="345"/>
      <c r="BI364" s="345"/>
      <c r="BJ364" s="345"/>
      <c r="BK364" s="345"/>
      <c r="BL364" s="345"/>
      <c r="BM364" s="345"/>
      <c r="BN364" s="345"/>
      <c r="BO364" s="345"/>
      <c r="BP364" s="345"/>
      <c r="BQ364" s="345"/>
      <c r="BR364" s="345"/>
    </row>
    <row r="365" spans="3:70" hidden="1" outlineLevel="1">
      <c r="C365" s="361" t="s">
        <v>393</v>
      </c>
      <c r="E365" s="372">
        <f t="shared" si="535"/>
        <v>254</v>
      </c>
      <c r="F365" s="372">
        <f t="shared" si="536"/>
        <v>94</v>
      </c>
      <c r="G365" s="372">
        <f t="shared" si="536"/>
        <v>124</v>
      </c>
      <c r="H365" s="372">
        <f t="shared" si="536"/>
        <v>210</v>
      </c>
      <c r="I365" s="372">
        <f t="shared" si="537"/>
        <v>97</v>
      </c>
      <c r="J365" s="372">
        <f t="shared" si="538"/>
        <v>183</v>
      </c>
      <c r="K365" s="372">
        <f t="shared" si="538"/>
        <v>106</v>
      </c>
      <c r="L365" s="372">
        <f t="shared" si="538"/>
        <v>238</v>
      </c>
      <c r="M365" s="372">
        <f t="shared" si="539"/>
        <v>60</v>
      </c>
      <c r="N365" s="372">
        <f t="shared" si="540"/>
        <v>149</v>
      </c>
      <c r="O365" s="372">
        <f t="shared" si="540"/>
        <v>107</v>
      </c>
      <c r="P365" s="372">
        <f t="shared" si="540"/>
        <v>132</v>
      </c>
      <c r="Q365" s="372">
        <f t="shared" si="541"/>
        <v>109</v>
      </c>
      <c r="R365" s="372">
        <f t="shared" si="542"/>
        <v>134</v>
      </c>
      <c r="S365" s="372">
        <f t="shared" si="542"/>
        <v>69</v>
      </c>
      <c r="T365" s="372">
        <f t="shared" si="542"/>
        <v>157</v>
      </c>
      <c r="U365" s="372">
        <f t="shared" si="543"/>
        <v>67</v>
      </c>
      <c r="V365" s="372">
        <f t="shared" si="544"/>
        <v>185</v>
      </c>
      <c r="W365" s="372">
        <f t="shared" si="544"/>
        <v>207</v>
      </c>
      <c r="X365" s="372">
        <f t="shared" si="544"/>
        <v>135</v>
      </c>
      <c r="Y365" s="372">
        <f t="shared" si="545"/>
        <v>161</v>
      </c>
      <c r="Z365" s="372">
        <f t="shared" si="546"/>
        <v>122</v>
      </c>
      <c r="AA365" s="372">
        <f t="shared" si="546"/>
        <v>-12</v>
      </c>
      <c r="AB365" s="372">
        <f t="shared" si="546"/>
        <v>274</v>
      </c>
      <c r="AC365" s="372"/>
      <c r="AD365" s="372"/>
      <c r="AE365" s="372"/>
      <c r="AF365" s="372"/>
      <c r="AG365" s="445"/>
      <c r="AH365" s="345">
        <v>167</v>
      </c>
      <c r="AI365" s="345">
        <v>186</v>
      </c>
      <c r="AJ365" s="345">
        <v>682</v>
      </c>
      <c r="AK365" s="345">
        <v>624</v>
      </c>
      <c r="AL365" s="345">
        <v>448</v>
      </c>
      <c r="AM365" s="345">
        <v>469</v>
      </c>
      <c r="AN365" s="345">
        <v>594</v>
      </c>
      <c r="AO365" s="345">
        <v>545</v>
      </c>
      <c r="AP365" s="345">
        <v>545</v>
      </c>
      <c r="AQ365" s="372"/>
      <c r="AR365" s="372"/>
      <c r="AS365" s="372"/>
      <c r="AU365" s="345">
        <v>254</v>
      </c>
      <c r="AV365" s="345">
        <v>348</v>
      </c>
      <c r="AW365" s="345">
        <v>472</v>
      </c>
      <c r="AX365" s="345">
        <v>682</v>
      </c>
      <c r="AY365" s="345">
        <v>97</v>
      </c>
      <c r="AZ365" s="345">
        <v>280</v>
      </c>
      <c r="BA365" s="345">
        <v>386</v>
      </c>
      <c r="BB365" s="345">
        <v>624</v>
      </c>
      <c r="BC365" s="345">
        <v>60</v>
      </c>
      <c r="BD365" s="345">
        <v>209</v>
      </c>
      <c r="BE365" s="345">
        <v>316</v>
      </c>
      <c r="BF365" s="345">
        <v>448</v>
      </c>
      <c r="BG365" s="345">
        <v>109</v>
      </c>
      <c r="BH365" s="345">
        <v>243</v>
      </c>
      <c r="BI365" s="345">
        <v>312</v>
      </c>
      <c r="BJ365" s="345">
        <v>469</v>
      </c>
      <c r="BK365" s="345">
        <v>67</v>
      </c>
      <c r="BL365" s="345">
        <v>252</v>
      </c>
      <c r="BM365" s="345">
        <v>459</v>
      </c>
      <c r="BN365" s="345">
        <v>594</v>
      </c>
      <c r="BO365" s="345">
        <v>161</v>
      </c>
      <c r="BP365" s="345">
        <v>283</v>
      </c>
      <c r="BQ365" s="345">
        <v>271</v>
      </c>
      <c r="BR365" s="345">
        <v>545</v>
      </c>
    </row>
    <row r="366" spans="3:70" hidden="1" outlineLevel="1">
      <c r="C366" s="361" t="s">
        <v>394</v>
      </c>
      <c r="E366" s="372">
        <f t="shared" si="535"/>
        <v>-72</v>
      </c>
      <c r="F366" s="372">
        <f t="shared" si="536"/>
        <v>761</v>
      </c>
      <c r="G366" s="372">
        <f t="shared" si="536"/>
        <v>154</v>
      </c>
      <c r="H366" s="372">
        <f t="shared" si="536"/>
        <v>34</v>
      </c>
      <c r="I366" s="372">
        <f t="shared" si="537"/>
        <v>171</v>
      </c>
      <c r="J366" s="372">
        <f t="shared" si="538"/>
        <v>968</v>
      </c>
      <c r="K366" s="372">
        <f t="shared" si="538"/>
        <v>1189</v>
      </c>
      <c r="L366" s="372">
        <f t="shared" si="538"/>
        <v>1496</v>
      </c>
      <c r="M366" s="372">
        <f t="shared" si="539"/>
        <v>228</v>
      </c>
      <c r="N366" s="372">
        <f t="shared" si="540"/>
        <v>1968</v>
      </c>
      <c r="O366" s="372">
        <f t="shared" si="540"/>
        <v>658</v>
      </c>
      <c r="P366" s="372">
        <f t="shared" si="540"/>
        <v>959</v>
      </c>
      <c r="Q366" s="372">
        <f t="shared" si="541"/>
        <v>125</v>
      </c>
      <c r="R366" s="372">
        <f t="shared" si="542"/>
        <v>987</v>
      </c>
      <c r="S366" s="372">
        <f t="shared" si="542"/>
        <v>222</v>
      </c>
      <c r="T366" s="372">
        <f t="shared" si="542"/>
        <v>776</v>
      </c>
      <c r="U366" s="372">
        <f t="shared" si="543"/>
        <v>211</v>
      </c>
      <c r="V366" s="372">
        <f t="shared" si="544"/>
        <v>363</v>
      </c>
      <c r="W366" s="372">
        <f t="shared" si="544"/>
        <v>1412</v>
      </c>
      <c r="X366" s="372">
        <f t="shared" si="544"/>
        <v>450</v>
      </c>
      <c r="Y366" s="372">
        <f t="shared" si="545"/>
        <v>172</v>
      </c>
      <c r="Z366" s="372">
        <f t="shared" si="546"/>
        <v>938</v>
      </c>
      <c r="AA366" s="372">
        <f t="shared" si="546"/>
        <v>721</v>
      </c>
      <c r="AB366" s="372">
        <f t="shared" si="546"/>
        <v>432</v>
      </c>
      <c r="AC366" s="372"/>
      <c r="AD366" s="372"/>
      <c r="AE366" s="372"/>
      <c r="AF366" s="372"/>
      <c r="AG366" s="445"/>
      <c r="AH366" s="345">
        <v>4639</v>
      </c>
      <c r="AI366" s="345">
        <v>3439</v>
      </c>
      <c r="AJ366" s="345">
        <v>877</v>
      </c>
      <c r="AK366" s="345">
        <v>3824</v>
      </c>
      <c r="AL366" s="345">
        <v>3813</v>
      </c>
      <c r="AM366" s="345">
        <v>2110</v>
      </c>
      <c r="AN366" s="345">
        <v>2436</v>
      </c>
      <c r="AO366" s="345">
        <v>2263</v>
      </c>
      <c r="AP366" s="345">
        <v>2263</v>
      </c>
      <c r="AQ366" s="372"/>
      <c r="AR366" s="372"/>
      <c r="AS366" s="372"/>
      <c r="AU366" s="345">
        <v>-72</v>
      </c>
      <c r="AV366" s="345">
        <v>689</v>
      </c>
      <c r="AW366" s="345">
        <v>843</v>
      </c>
      <c r="AX366" s="345">
        <v>877</v>
      </c>
      <c r="AY366" s="345">
        <v>171</v>
      </c>
      <c r="AZ366" s="345">
        <v>1139</v>
      </c>
      <c r="BA366" s="345">
        <v>2328</v>
      </c>
      <c r="BB366" s="345">
        <v>3824</v>
      </c>
      <c r="BC366" s="345">
        <v>228</v>
      </c>
      <c r="BD366" s="345">
        <v>2196</v>
      </c>
      <c r="BE366" s="345">
        <v>2854</v>
      </c>
      <c r="BF366" s="345">
        <v>3813</v>
      </c>
      <c r="BG366" s="345">
        <v>125</v>
      </c>
      <c r="BH366" s="345">
        <v>1112</v>
      </c>
      <c r="BI366" s="345">
        <v>1334</v>
      </c>
      <c r="BJ366" s="345">
        <v>2110</v>
      </c>
      <c r="BK366" s="345">
        <v>211</v>
      </c>
      <c r="BL366" s="345">
        <v>574</v>
      </c>
      <c r="BM366" s="345">
        <v>1986</v>
      </c>
      <c r="BN366" s="345">
        <v>2436</v>
      </c>
      <c r="BO366" s="345">
        <v>172</v>
      </c>
      <c r="BP366" s="345">
        <v>1110</v>
      </c>
      <c r="BQ366" s="345">
        <v>1831</v>
      </c>
      <c r="BR366" s="345">
        <v>2263</v>
      </c>
    </row>
    <row r="367" spans="3:70" hidden="1" outlineLevel="1">
      <c r="C367" s="361"/>
      <c r="E367" s="372"/>
      <c r="F367" s="372"/>
      <c r="G367" s="372"/>
      <c r="H367" s="372"/>
      <c r="I367" s="372"/>
      <c r="J367" s="372"/>
      <c r="K367" s="372"/>
      <c r="L367" s="372"/>
      <c r="M367" s="372"/>
      <c r="N367" s="372"/>
      <c r="O367" s="372"/>
      <c r="P367" s="372"/>
      <c r="Q367" s="372"/>
      <c r="R367" s="372"/>
      <c r="S367" s="372"/>
      <c r="T367" s="372"/>
      <c r="U367" s="372"/>
      <c r="V367" s="372"/>
      <c r="W367" s="372"/>
      <c r="X367" s="372"/>
      <c r="Y367" s="372"/>
      <c r="Z367" s="372"/>
      <c r="AA367" s="372"/>
      <c r="AB367" s="372"/>
      <c r="AC367" s="372"/>
      <c r="AD367" s="372"/>
      <c r="AE367" s="372"/>
      <c r="AF367" s="372"/>
      <c r="AG367" s="445"/>
      <c r="AH367" s="345"/>
      <c r="AI367" s="345"/>
      <c r="AJ367" s="345"/>
      <c r="AK367" s="345"/>
      <c r="AL367" s="345"/>
      <c r="AM367" s="345"/>
      <c r="AN367" s="345"/>
      <c r="AO367" s="345"/>
      <c r="AP367" s="345"/>
      <c r="AQ367" s="372"/>
      <c r="AR367" s="372"/>
      <c r="AS367" s="372"/>
      <c r="AU367" s="345"/>
      <c r="AV367" s="345"/>
      <c r="AW367" s="345"/>
      <c r="AX367" s="345"/>
      <c r="AY367" s="345"/>
      <c r="AZ367" s="345"/>
      <c r="BA367" s="345"/>
      <c r="BB367" s="345"/>
      <c r="BC367" s="345"/>
      <c r="BD367" s="345"/>
      <c r="BE367" s="345"/>
      <c r="BF367" s="345"/>
      <c r="BG367" s="345"/>
      <c r="BH367" s="345"/>
      <c r="BI367" s="345"/>
      <c r="BJ367" s="345"/>
      <c r="BK367" s="345"/>
      <c r="BL367" s="345"/>
      <c r="BM367" s="345"/>
      <c r="BN367" s="345"/>
      <c r="BO367" s="345"/>
      <c r="BP367" s="345"/>
      <c r="BQ367" s="345"/>
      <c r="BR367" s="345"/>
    </row>
    <row r="368" spans="3:70" collapsed="1">
      <c r="C368" s="370" t="s">
        <v>41</v>
      </c>
      <c r="E368" s="369">
        <f t="shared" ref="E368:AF368" si="547">E358-E197</f>
        <v>0</v>
      </c>
      <c r="F368" s="369">
        <f t="shared" si="547"/>
        <v>0</v>
      </c>
      <c r="G368" s="369">
        <f t="shared" si="547"/>
        <v>0</v>
      </c>
      <c r="H368" s="369">
        <f t="shared" si="547"/>
        <v>0</v>
      </c>
      <c r="I368" s="369">
        <f t="shared" si="547"/>
        <v>0</v>
      </c>
      <c r="J368" s="369">
        <f t="shared" si="547"/>
        <v>0</v>
      </c>
      <c r="K368" s="369">
        <f t="shared" si="547"/>
        <v>0</v>
      </c>
      <c r="L368" s="369">
        <f t="shared" si="547"/>
        <v>0</v>
      </c>
      <c r="M368" s="369">
        <f t="shared" si="547"/>
        <v>0</v>
      </c>
      <c r="N368" s="369">
        <f t="shared" si="547"/>
        <v>0</v>
      </c>
      <c r="O368" s="369">
        <f t="shared" si="547"/>
        <v>0</v>
      </c>
      <c r="P368" s="369">
        <f t="shared" si="547"/>
        <v>0</v>
      </c>
      <c r="Q368" s="369">
        <f t="shared" si="547"/>
        <v>0</v>
      </c>
      <c r="R368" s="369">
        <f t="shared" si="547"/>
        <v>0</v>
      </c>
      <c r="S368" s="369">
        <f t="shared" si="547"/>
        <v>0</v>
      </c>
      <c r="T368" s="369">
        <f t="shared" si="547"/>
        <v>0</v>
      </c>
      <c r="U368" s="369">
        <f t="shared" si="547"/>
        <v>0</v>
      </c>
      <c r="V368" s="369">
        <f t="shared" si="547"/>
        <v>0</v>
      </c>
      <c r="W368" s="369">
        <f t="shared" si="547"/>
        <v>0</v>
      </c>
      <c r="X368" s="369">
        <f t="shared" si="547"/>
        <v>0</v>
      </c>
      <c r="Y368" s="369">
        <f t="shared" si="547"/>
        <v>0</v>
      </c>
      <c r="Z368" s="369">
        <f t="shared" si="547"/>
        <v>0</v>
      </c>
      <c r="AA368" s="369">
        <f t="shared" si="547"/>
        <v>0</v>
      </c>
      <c r="AB368" s="369">
        <f t="shared" si="547"/>
        <v>0</v>
      </c>
      <c r="AC368" s="369">
        <f t="shared" ca="1" si="547"/>
        <v>0</v>
      </c>
      <c r="AD368" s="369">
        <f t="shared" ca="1" si="547"/>
        <v>0</v>
      </c>
      <c r="AE368" s="369">
        <f t="shared" ca="1" si="547"/>
        <v>0</v>
      </c>
      <c r="AF368" s="369">
        <f t="shared" ca="1" si="547"/>
        <v>0</v>
      </c>
      <c r="AG368" s="445"/>
      <c r="AH368" s="369">
        <f t="shared" ref="AH368:AS368" si="548">AH358-AH197</f>
        <v>0</v>
      </c>
      <c r="AI368" s="369">
        <f t="shared" si="548"/>
        <v>0</v>
      </c>
      <c r="AJ368" s="369">
        <f t="shared" si="548"/>
        <v>0</v>
      </c>
      <c r="AK368" s="369">
        <f t="shared" si="548"/>
        <v>0</v>
      </c>
      <c r="AL368" s="369">
        <f t="shared" si="548"/>
        <v>0</v>
      </c>
      <c r="AM368" s="369">
        <f t="shared" si="548"/>
        <v>0</v>
      </c>
      <c r="AN368" s="369">
        <f t="shared" si="548"/>
        <v>0</v>
      </c>
      <c r="AO368" s="369">
        <f t="shared" si="548"/>
        <v>0</v>
      </c>
      <c r="AP368" s="369">
        <f t="shared" ca="1" si="548"/>
        <v>0</v>
      </c>
      <c r="AQ368" s="369">
        <f t="shared" ca="1" si="548"/>
        <v>0</v>
      </c>
      <c r="AR368" s="369">
        <f t="shared" ca="1" si="548"/>
        <v>0</v>
      </c>
      <c r="AS368" s="369">
        <f t="shared" ca="1" si="548"/>
        <v>0</v>
      </c>
      <c r="AU368" s="369">
        <f t="shared" ref="AU368:BR368" si="549">AU358-E197</f>
        <v>0</v>
      </c>
      <c r="AV368" s="369">
        <f t="shared" si="549"/>
        <v>0</v>
      </c>
      <c r="AW368" s="369">
        <f t="shared" si="549"/>
        <v>0</v>
      </c>
      <c r="AX368" s="369">
        <f t="shared" si="549"/>
        <v>0</v>
      </c>
      <c r="AY368" s="369">
        <f t="shared" si="549"/>
        <v>0</v>
      </c>
      <c r="AZ368" s="369">
        <f t="shared" si="549"/>
        <v>0</v>
      </c>
      <c r="BA368" s="369">
        <f t="shared" si="549"/>
        <v>0</v>
      </c>
      <c r="BB368" s="369">
        <f t="shared" si="549"/>
        <v>0</v>
      </c>
      <c r="BC368" s="369">
        <f t="shared" si="549"/>
        <v>0</v>
      </c>
      <c r="BD368" s="369">
        <f t="shared" si="549"/>
        <v>0</v>
      </c>
      <c r="BE368" s="369">
        <f t="shared" si="549"/>
        <v>0</v>
      </c>
      <c r="BF368" s="369">
        <f t="shared" si="549"/>
        <v>0</v>
      </c>
      <c r="BG368" s="369">
        <f t="shared" si="549"/>
        <v>0</v>
      </c>
      <c r="BH368" s="369">
        <f t="shared" si="549"/>
        <v>0</v>
      </c>
      <c r="BI368" s="369">
        <f t="shared" si="549"/>
        <v>0</v>
      </c>
      <c r="BJ368" s="369">
        <f t="shared" si="549"/>
        <v>0</v>
      </c>
      <c r="BK368" s="369">
        <f t="shared" si="549"/>
        <v>0</v>
      </c>
      <c r="BL368" s="369">
        <f t="shared" si="549"/>
        <v>0</v>
      </c>
      <c r="BM368" s="369">
        <f t="shared" si="549"/>
        <v>0</v>
      </c>
      <c r="BN368" s="369">
        <f t="shared" si="549"/>
        <v>0</v>
      </c>
      <c r="BO368" s="369">
        <f t="shared" si="549"/>
        <v>0</v>
      </c>
      <c r="BP368" s="369">
        <f t="shared" si="549"/>
        <v>0</v>
      </c>
      <c r="BQ368" s="369">
        <f t="shared" si="549"/>
        <v>0</v>
      </c>
      <c r="BR368" s="369">
        <f t="shared" si="549"/>
        <v>0</v>
      </c>
    </row>
    <row r="369" spans="2:57">
      <c r="AM369" s="368"/>
      <c r="BE369" s="339"/>
    </row>
    <row r="370" spans="2:57" s="433" customFormat="1" ht="11.25" customHeight="1">
      <c r="B370" s="367" t="s">
        <v>9</v>
      </c>
      <c r="C370" s="367" t="s">
        <v>395</v>
      </c>
      <c r="D370" s="434"/>
      <c r="E370" s="434"/>
      <c r="F370" s="434"/>
      <c r="G370" s="434"/>
      <c r="H370" s="434"/>
      <c r="I370" s="435"/>
      <c r="J370" s="435"/>
      <c r="K370" s="435"/>
      <c r="L370" s="435"/>
      <c r="M370" s="435"/>
      <c r="N370" s="435"/>
      <c r="O370" s="435"/>
      <c r="P370" s="435"/>
      <c r="Q370" s="435"/>
      <c r="R370" s="435"/>
      <c r="S370" s="435"/>
      <c r="T370" s="435"/>
      <c r="U370" s="435"/>
      <c r="V370" s="435"/>
      <c r="W370" s="435"/>
      <c r="X370" s="435"/>
      <c r="Y370" s="435"/>
      <c r="Z370" s="435"/>
      <c r="AA370" s="435"/>
      <c r="AB370" s="434"/>
      <c r="AC370" s="434"/>
      <c r="AD370" s="434"/>
      <c r="AE370" s="434"/>
      <c r="AF370" s="434"/>
      <c r="AG370" s="429"/>
      <c r="AH370" s="434"/>
      <c r="AI370" s="434"/>
      <c r="AJ370" s="434"/>
      <c r="AK370" s="434"/>
      <c r="AL370" s="434"/>
      <c r="AM370" s="434"/>
      <c r="AN370" s="434"/>
      <c r="AO370" s="434"/>
      <c r="AP370" s="434"/>
      <c r="AQ370" s="434"/>
      <c r="AR370" s="434"/>
      <c r="AS370" s="434"/>
    </row>
    <row r="371" spans="2:57" customFormat="1"/>
    <row r="372" spans="2:57" customFormat="1">
      <c r="C372" t="s">
        <v>396</v>
      </c>
      <c r="E372" s="35">
        <f t="shared" ref="E372:AB372" si="550">-E346</f>
        <v>793</v>
      </c>
      <c r="F372" s="35">
        <f t="shared" si="550"/>
        <v>804</v>
      </c>
      <c r="G372" s="35">
        <f t="shared" si="550"/>
        <v>457</v>
      </c>
      <c r="H372" s="35">
        <f t="shared" si="550"/>
        <v>533</v>
      </c>
      <c r="I372" s="35">
        <f t="shared" si="550"/>
        <v>1242</v>
      </c>
      <c r="J372" s="35">
        <f t="shared" si="550"/>
        <v>1276</v>
      </c>
      <c r="K372" s="35">
        <f t="shared" si="550"/>
        <v>1093</v>
      </c>
      <c r="L372" s="35">
        <f t="shared" si="550"/>
        <v>4</v>
      </c>
      <c r="M372" s="35">
        <f t="shared" si="550"/>
        <v>1914</v>
      </c>
      <c r="N372" s="35">
        <f t="shared" si="550"/>
        <v>3893</v>
      </c>
      <c r="O372" s="35">
        <f t="shared" si="550"/>
        <v>2657</v>
      </c>
      <c r="P372" s="35">
        <f t="shared" si="550"/>
        <v>2266</v>
      </c>
      <c r="Q372" s="35">
        <f t="shared" si="550"/>
        <v>2530</v>
      </c>
      <c r="R372" s="35">
        <f t="shared" si="550"/>
        <v>3049</v>
      </c>
      <c r="S372" s="35">
        <f t="shared" si="550"/>
        <v>4521</v>
      </c>
      <c r="T372" s="35">
        <f t="shared" si="550"/>
        <v>3476</v>
      </c>
      <c r="U372" s="35">
        <f t="shared" si="550"/>
        <v>4229</v>
      </c>
      <c r="V372" s="35">
        <f t="shared" si="550"/>
        <v>0</v>
      </c>
      <c r="W372" s="35">
        <f t="shared" si="550"/>
        <v>10000</v>
      </c>
      <c r="X372" s="35">
        <f t="shared" si="550"/>
        <v>0</v>
      </c>
      <c r="Y372" s="35">
        <f t="shared" si="550"/>
        <v>2301</v>
      </c>
      <c r="Z372" s="35">
        <f t="shared" si="550"/>
        <v>114</v>
      </c>
      <c r="AA372" s="35">
        <f t="shared" si="550"/>
        <v>0</v>
      </c>
      <c r="AB372" s="35">
        <f t="shared" si="550"/>
        <v>0</v>
      </c>
      <c r="AC372" s="213">
        <v>0</v>
      </c>
      <c r="AD372" s="213">
        <v>0</v>
      </c>
      <c r="AE372" s="213">
        <v>0</v>
      </c>
      <c r="AF372" s="213">
        <v>0</v>
      </c>
      <c r="AH372" s="35">
        <f t="shared" ref="AH372:AO372" si="551">-AH346</f>
        <v>10792</v>
      </c>
      <c r="AI372" s="35">
        <f t="shared" si="551"/>
        <v>3001</v>
      </c>
      <c r="AJ372" s="35">
        <f t="shared" si="551"/>
        <v>2587</v>
      </c>
      <c r="AK372" s="35">
        <f t="shared" si="551"/>
        <v>3615</v>
      </c>
      <c r="AL372" s="35">
        <f t="shared" si="551"/>
        <v>10730</v>
      </c>
      <c r="AM372" s="35">
        <f t="shared" si="551"/>
        <v>13576</v>
      </c>
      <c r="AN372" s="35">
        <f t="shared" si="551"/>
        <v>14229</v>
      </c>
      <c r="AO372" s="35">
        <f t="shared" si="551"/>
        <v>2415</v>
      </c>
      <c r="AP372" s="344">
        <f>+SUMIF($E$5:$AF$5,AP$5,$E372:$AF372)</f>
        <v>0</v>
      </c>
      <c r="AQ372" s="213">
        <v>0</v>
      </c>
      <c r="AR372" s="213">
        <v>0</v>
      </c>
      <c r="AS372" s="213">
        <v>0</v>
      </c>
    </row>
    <row r="373" spans="2:57" customFormat="1"/>
    <row r="374" spans="2:57" customFormat="1">
      <c r="C374" t="s">
        <v>397</v>
      </c>
      <c r="E374" s="495"/>
      <c r="F374" s="495"/>
      <c r="G374" s="495"/>
      <c r="H374" s="495"/>
      <c r="I374" s="495"/>
      <c r="J374" s="495"/>
      <c r="K374" s="495"/>
      <c r="L374" s="495"/>
      <c r="M374" s="495"/>
      <c r="N374" s="495"/>
      <c r="O374" s="495"/>
      <c r="P374" s="495"/>
      <c r="Q374" s="495"/>
      <c r="R374" s="495"/>
      <c r="S374" s="495"/>
      <c r="T374" s="495"/>
      <c r="U374" s="495"/>
      <c r="V374" s="495"/>
      <c r="W374" s="495"/>
      <c r="X374" s="495"/>
      <c r="Y374" s="495"/>
      <c r="Z374" s="495"/>
      <c r="AA374" s="495"/>
      <c r="AB374" s="495"/>
      <c r="AC374" s="237">
        <v>50</v>
      </c>
      <c r="AD374" s="237">
        <v>51</v>
      </c>
      <c r="AE374" s="237">
        <v>52</v>
      </c>
      <c r="AF374" s="237">
        <v>53</v>
      </c>
      <c r="AH374" s="495"/>
      <c r="AI374" s="495"/>
      <c r="AJ374" s="495"/>
      <c r="AK374" s="495"/>
      <c r="AL374" s="495"/>
      <c r="AM374" s="495"/>
      <c r="AN374" s="495"/>
      <c r="AO374" s="495"/>
      <c r="AP374" s="497">
        <f>+AF374</f>
        <v>53</v>
      </c>
      <c r="AQ374" s="237">
        <v>55</v>
      </c>
      <c r="AR374" s="237">
        <v>57</v>
      </c>
      <c r="AS374" s="237">
        <v>60</v>
      </c>
    </row>
    <row r="375" spans="2:57" customFormat="1">
      <c r="C375" t="s">
        <v>398</v>
      </c>
      <c r="E375" s="495"/>
      <c r="F375" s="495"/>
      <c r="G375" s="495"/>
      <c r="H375" s="495"/>
      <c r="I375" s="495"/>
      <c r="J375" s="495"/>
      <c r="K375" s="495"/>
      <c r="L375" s="495"/>
      <c r="M375" s="495"/>
      <c r="N375" s="495"/>
      <c r="O375" s="495"/>
      <c r="P375" s="495"/>
      <c r="Q375" s="495"/>
      <c r="R375" s="495"/>
      <c r="S375" s="495"/>
      <c r="T375" s="495"/>
      <c r="U375" s="495"/>
      <c r="V375" s="495"/>
      <c r="W375" s="495"/>
      <c r="X375" s="495"/>
      <c r="Y375" s="495"/>
      <c r="Z375" s="495"/>
      <c r="AA375" s="495"/>
      <c r="AB375" s="495"/>
      <c r="AC375" s="496">
        <f>+AC372/AC374</f>
        <v>0</v>
      </c>
      <c r="AD375" s="496">
        <f>+AD372/AD374</f>
        <v>0</v>
      </c>
      <c r="AE375" s="496">
        <f>+AE372/AE374</f>
        <v>0</v>
      </c>
      <c r="AF375" s="496">
        <f>+AF372/AF374</f>
        <v>0</v>
      </c>
      <c r="AH375" s="495"/>
      <c r="AI375" s="495"/>
      <c r="AJ375" s="495"/>
      <c r="AK375" s="495"/>
      <c r="AL375" s="495"/>
      <c r="AM375" s="495"/>
      <c r="AN375" s="495"/>
      <c r="AO375" s="495"/>
      <c r="AP375" s="496">
        <f>+AP372/AP374</f>
        <v>0</v>
      </c>
      <c r="AQ375" s="496">
        <f>+AQ372/AQ374</f>
        <v>0</v>
      </c>
      <c r="AR375" s="496">
        <f>+AR372/AR374</f>
        <v>0</v>
      </c>
      <c r="AS375" s="496">
        <f>+AS372/AS374</f>
        <v>0</v>
      </c>
    </row>
    <row r="376" spans="2:57" customFormat="1"/>
    <row r="377" spans="2:57" customFormat="1">
      <c r="C377" t="s">
        <v>399</v>
      </c>
    </row>
    <row r="378" spans="2:57" customFormat="1">
      <c r="C378" t="s">
        <v>400</v>
      </c>
      <c r="E378" s="344">
        <f t="shared" ref="E378:AB378" si="552">E52</f>
        <v>4722</v>
      </c>
      <c r="F378" s="344">
        <f t="shared" si="552"/>
        <v>4729</v>
      </c>
      <c r="G378" s="344">
        <f t="shared" si="552"/>
        <v>4734</v>
      </c>
      <c r="H378" s="344">
        <f t="shared" si="552"/>
        <v>4723</v>
      </c>
      <c r="I378" s="344">
        <f t="shared" si="552"/>
        <v>4723</v>
      </c>
      <c r="J378" s="344">
        <f t="shared" si="552"/>
        <v>4710</v>
      </c>
      <c r="K378" s="344">
        <f t="shared" si="552"/>
        <v>4688</v>
      </c>
      <c r="L378" s="344">
        <f t="shared" si="552"/>
        <v>4674</v>
      </c>
      <c r="M378" s="344">
        <f t="shared" si="552"/>
        <v>4674</v>
      </c>
      <c r="N378" s="344">
        <f t="shared" si="552"/>
        <v>4649</v>
      </c>
      <c r="O378" s="344">
        <f t="shared" si="552"/>
        <v>4574</v>
      </c>
      <c r="P378" s="344">
        <f t="shared" si="552"/>
        <v>4492</v>
      </c>
      <c r="Q378" s="344">
        <f t="shared" si="552"/>
        <v>4492</v>
      </c>
      <c r="R378" s="344">
        <f t="shared" si="552"/>
        <v>4466</v>
      </c>
      <c r="S378" s="344">
        <f t="shared" si="552"/>
        <v>4391</v>
      </c>
      <c r="T378" s="344">
        <f t="shared" si="552"/>
        <v>4266</v>
      </c>
      <c r="U378" s="344">
        <f t="shared" si="552"/>
        <v>4266</v>
      </c>
      <c r="V378" s="344">
        <f t="shared" si="552"/>
        <v>4246</v>
      </c>
      <c r="W378" s="344">
        <f t="shared" si="552"/>
        <v>4188</v>
      </c>
      <c r="X378" s="344">
        <f t="shared" si="552"/>
        <v>4056</v>
      </c>
      <c r="Y378" s="344">
        <f t="shared" si="552"/>
        <v>4056</v>
      </c>
      <c r="Z378" s="344">
        <f t="shared" si="552"/>
        <v>4049</v>
      </c>
      <c r="AA378" s="344">
        <f t="shared" si="552"/>
        <v>4061</v>
      </c>
      <c r="AB378" s="344">
        <f t="shared" si="552"/>
        <v>4059</v>
      </c>
      <c r="AC378" s="35">
        <f t="shared" ref="AC378:AF379" si="553">+AB378-AC$375</f>
        <v>4059</v>
      </c>
      <c r="AD378" s="35">
        <f t="shared" si="553"/>
        <v>4059</v>
      </c>
      <c r="AE378" s="35">
        <f t="shared" si="553"/>
        <v>4059</v>
      </c>
      <c r="AF378" s="35">
        <f t="shared" si="553"/>
        <v>4059</v>
      </c>
      <c r="AH378" s="344">
        <f t="shared" ref="AH378:AO379" si="554">AH52</f>
        <v>4901</v>
      </c>
      <c r="AI378" s="344">
        <f t="shared" si="554"/>
        <v>4742</v>
      </c>
      <c r="AJ378" s="344">
        <f t="shared" si="554"/>
        <v>4730</v>
      </c>
      <c r="AK378" s="344">
        <f t="shared" si="554"/>
        <v>4701</v>
      </c>
      <c r="AL378" s="344">
        <f t="shared" si="554"/>
        <v>4611</v>
      </c>
      <c r="AM378" s="344">
        <f t="shared" si="554"/>
        <v>4417</v>
      </c>
      <c r="AN378" s="344">
        <f t="shared" si="554"/>
        <v>4199</v>
      </c>
      <c r="AO378" s="344">
        <f t="shared" si="554"/>
        <v>4059</v>
      </c>
      <c r="AP378" s="35">
        <f>+AF378</f>
        <v>4059</v>
      </c>
      <c r="AQ378" s="35">
        <f t="shared" ref="AQ378:AS379" si="555">+AP378-AQ$375</f>
        <v>4059</v>
      </c>
      <c r="AR378" s="35">
        <f t="shared" si="555"/>
        <v>4059</v>
      </c>
      <c r="AS378" s="35">
        <f t="shared" si="555"/>
        <v>4059</v>
      </c>
    </row>
    <row r="379" spans="2:57" customFormat="1">
      <c r="C379" t="s">
        <v>200</v>
      </c>
      <c r="E379" s="344">
        <f t="shared" ref="E379:AB379" si="556">E53</f>
        <v>4875</v>
      </c>
      <c r="F379" s="344">
        <f t="shared" si="556"/>
        <v>4866</v>
      </c>
      <c r="G379" s="344">
        <f t="shared" si="556"/>
        <v>4877</v>
      </c>
      <c r="H379" s="344">
        <f t="shared" si="556"/>
        <v>4881</v>
      </c>
      <c r="I379" s="344">
        <f t="shared" si="556"/>
        <v>4881</v>
      </c>
      <c r="J379" s="344">
        <f t="shared" si="556"/>
        <v>4845</v>
      </c>
      <c r="K379" s="344">
        <f t="shared" si="556"/>
        <v>4821</v>
      </c>
      <c r="L379" s="344">
        <f t="shared" si="556"/>
        <v>4790</v>
      </c>
      <c r="M379" s="344">
        <f t="shared" si="556"/>
        <v>4790</v>
      </c>
      <c r="N379" s="344">
        <f t="shared" si="556"/>
        <v>4747</v>
      </c>
      <c r="O379" s="344">
        <f t="shared" si="556"/>
        <v>4648</v>
      </c>
      <c r="P379" s="344">
        <f t="shared" si="556"/>
        <v>4564</v>
      </c>
      <c r="Q379" s="344">
        <f t="shared" si="556"/>
        <v>4564</v>
      </c>
      <c r="R379" s="344">
        <f t="shared" si="556"/>
        <v>4523</v>
      </c>
      <c r="S379" s="344">
        <f t="shared" si="556"/>
        <v>4433</v>
      </c>
      <c r="T379" s="344">
        <f t="shared" si="556"/>
        <v>4312</v>
      </c>
      <c r="U379" s="344">
        <f t="shared" si="556"/>
        <v>4312</v>
      </c>
      <c r="V379" s="344">
        <f t="shared" si="556"/>
        <v>4284</v>
      </c>
      <c r="W379" s="344">
        <f t="shared" si="556"/>
        <v>4211</v>
      </c>
      <c r="X379" s="344">
        <f t="shared" si="556"/>
        <v>4096</v>
      </c>
      <c r="Y379" s="344">
        <f t="shared" si="556"/>
        <v>4096</v>
      </c>
      <c r="Z379" s="344">
        <f t="shared" si="556"/>
        <v>4084</v>
      </c>
      <c r="AA379" s="344">
        <f t="shared" si="556"/>
        <v>4086</v>
      </c>
      <c r="AB379" s="344">
        <f t="shared" si="556"/>
        <v>4090</v>
      </c>
      <c r="AC379" s="35">
        <f t="shared" si="553"/>
        <v>4090</v>
      </c>
      <c r="AD379" s="35">
        <f t="shared" si="553"/>
        <v>4090</v>
      </c>
      <c r="AE379" s="35">
        <f t="shared" si="553"/>
        <v>4090</v>
      </c>
      <c r="AF379" s="35">
        <f t="shared" si="553"/>
        <v>4090</v>
      </c>
      <c r="AH379" s="344">
        <f t="shared" si="554"/>
        <v>5056</v>
      </c>
      <c r="AI379" s="344">
        <f t="shared" si="554"/>
        <v>4894</v>
      </c>
      <c r="AJ379" s="344">
        <f t="shared" si="554"/>
        <v>4875</v>
      </c>
      <c r="AK379" s="344">
        <f t="shared" si="554"/>
        <v>4835</v>
      </c>
      <c r="AL379" s="344">
        <f t="shared" si="554"/>
        <v>4701</v>
      </c>
      <c r="AM379" s="344">
        <f t="shared" si="554"/>
        <v>4473</v>
      </c>
      <c r="AN379" s="344">
        <f t="shared" si="554"/>
        <v>4232</v>
      </c>
      <c r="AO379" s="344">
        <f t="shared" si="554"/>
        <v>4090</v>
      </c>
      <c r="AP379" s="35">
        <f>+AF379</f>
        <v>4090</v>
      </c>
      <c r="AQ379" s="35">
        <f t="shared" si="555"/>
        <v>4090</v>
      </c>
      <c r="AR379" s="35">
        <f t="shared" si="555"/>
        <v>4090</v>
      </c>
      <c r="AS379" s="35">
        <f t="shared" si="555"/>
        <v>4090</v>
      </c>
    </row>
    <row r="380" spans="2:57" customFormat="1">
      <c r="AI380" s="338"/>
    </row>
    <row r="381" spans="2:57" customFormat="1">
      <c r="C381" t="s">
        <v>401</v>
      </c>
      <c r="E381" s="498">
        <f>+E382/E379</f>
        <v>0.25189743589743591</v>
      </c>
      <c r="F381" s="498">
        <f t="shared" ref="F381:AB381" si="557">+F382/F379</f>
        <v>0.25339087546239208</v>
      </c>
      <c r="G381" s="498">
        <f t="shared" si="557"/>
        <v>0.25240926799261842</v>
      </c>
      <c r="H381" s="498">
        <f t="shared" si="557"/>
        <v>0.25261216963736938</v>
      </c>
      <c r="I381" s="498">
        <f t="shared" si="557"/>
        <v>0.25179266543741036</v>
      </c>
      <c r="J381" s="498">
        <f t="shared" si="557"/>
        <v>0.26563467492260062</v>
      </c>
      <c r="K381" s="498">
        <f t="shared" si="557"/>
        <v>0.26509023024268824</v>
      </c>
      <c r="L381" s="498">
        <f t="shared" si="557"/>
        <v>0.26680584551148223</v>
      </c>
      <c r="M381" s="498">
        <f t="shared" si="557"/>
        <v>0.29227557411273486</v>
      </c>
      <c r="N381" s="498">
        <f t="shared" si="557"/>
        <v>0.29492310933220983</v>
      </c>
      <c r="O381" s="498">
        <f t="shared" si="557"/>
        <v>0.29539586919104993</v>
      </c>
      <c r="P381" s="498">
        <f t="shared" si="557"/>
        <v>0.29973707274320771</v>
      </c>
      <c r="Q381" s="498">
        <f t="shared" si="557"/>
        <v>0.30981595092024539</v>
      </c>
      <c r="R381" s="498">
        <f t="shared" si="557"/>
        <v>0.31262436435993807</v>
      </c>
      <c r="S381" s="498">
        <f t="shared" si="557"/>
        <v>0.31265508684863524</v>
      </c>
      <c r="T381" s="498">
        <f t="shared" si="557"/>
        <v>0.31586270871985156</v>
      </c>
      <c r="U381" s="498">
        <f t="shared" si="557"/>
        <v>0.32653061224489793</v>
      </c>
      <c r="V381" s="498">
        <f t="shared" si="557"/>
        <v>0.32749766573295985</v>
      </c>
      <c r="W381" s="498">
        <f t="shared" si="557"/>
        <v>0.33341249109475185</v>
      </c>
      <c r="X381" s="498">
        <f t="shared" si="557"/>
        <v>0.330322265625</v>
      </c>
      <c r="Y381" s="498">
        <f t="shared" si="557"/>
        <v>0.344482421875</v>
      </c>
      <c r="Z381" s="498">
        <f t="shared" si="557"/>
        <v>0.34524975514201761</v>
      </c>
      <c r="AA381" s="498">
        <f t="shared" si="557"/>
        <v>0.34508076358296624</v>
      </c>
      <c r="AB381" s="498">
        <f t="shared" si="557"/>
        <v>0.34547677261613691</v>
      </c>
      <c r="AC381" s="499">
        <f>+AB381*1.05</f>
        <v>0.36275061124694374</v>
      </c>
      <c r="AD381" s="500">
        <f>+AC381</f>
        <v>0.36275061124694374</v>
      </c>
      <c r="AE381" s="500">
        <f>+AD381</f>
        <v>0.36275061124694374</v>
      </c>
      <c r="AF381" s="500">
        <f>+AE381</f>
        <v>0.36275061124694374</v>
      </c>
      <c r="AH381" s="498">
        <f t="shared" ref="AH381:AO381" si="558">+AH382/AH379</f>
        <v>0.87203322784810122</v>
      </c>
      <c r="AI381" s="498">
        <f t="shared" si="558"/>
        <v>0.93093583980384143</v>
      </c>
      <c r="AJ381" s="498">
        <f t="shared" si="558"/>
        <v>1.0102564102564102</v>
      </c>
      <c r="AK381" s="498">
        <f t="shared" si="558"/>
        <v>1.0490175801447776</v>
      </c>
      <c r="AL381" s="498">
        <f t="shared" si="558"/>
        <v>1.1786853860880664</v>
      </c>
      <c r="AM381" s="498">
        <f t="shared" si="558"/>
        <v>1.2465906550413592</v>
      </c>
      <c r="AN381" s="498">
        <f t="shared" si="558"/>
        <v>1.3156899810964082</v>
      </c>
      <c r="AO381" s="498">
        <f t="shared" si="558"/>
        <v>1.3799511002444989</v>
      </c>
      <c r="AP381" s="498">
        <f>+SUMIF($E$5:$AF$5,AP$5,$E381:$AF381)</f>
        <v>1.451002444987775</v>
      </c>
      <c r="AQ381" s="499">
        <f>+AP381*1.05</f>
        <v>1.5235525672371637</v>
      </c>
      <c r="AR381" s="499">
        <f>+AQ381*1.05</f>
        <v>1.599730195599022</v>
      </c>
      <c r="AS381" s="499">
        <f>+AR381*1.05</f>
        <v>1.6797167053789732</v>
      </c>
    </row>
    <row r="382" spans="2:57" customFormat="1">
      <c r="C382" t="s">
        <v>402</v>
      </c>
      <c r="E382" s="35">
        <f>-E348</f>
        <v>1228</v>
      </c>
      <c r="F382" s="35">
        <f t="shared" ref="F382:AB382" si="559">-F348</f>
        <v>1233</v>
      </c>
      <c r="G382" s="35">
        <f t="shared" si="559"/>
        <v>1231</v>
      </c>
      <c r="H382" s="35">
        <f t="shared" si="559"/>
        <v>1233</v>
      </c>
      <c r="I382" s="35">
        <f t="shared" si="559"/>
        <v>1229</v>
      </c>
      <c r="J382" s="35">
        <f t="shared" si="559"/>
        <v>1287</v>
      </c>
      <c r="K382" s="35">
        <f t="shared" si="559"/>
        <v>1278</v>
      </c>
      <c r="L382" s="35">
        <f t="shared" si="559"/>
        <v>1278</v>
      </c>
      <c r="M382" s="35">
        <f t="shared" si="559"/>
        <v>1400</v>
      </c>
      <c r="N382" s="35">
        <f t="shared" si="559"/>
        <v>1400</v>
      </c>
      <c r="O382" s="35">
        <f t="shared" si="559"/>
        <v>1373</v>
      </c>
      <c r="P382" s="35">
        <f t="shared" si="559"/>
        <v>1368</v>
      </c>
      <c r="Q382" s="35">
        <f t="shared" si="559"/>
        <v>1414</v>
      </c>
      <c r="R382" s="35">
        <f t="shared" si="559"/>
        <v>1414</v>
      </c>
      <c r="S382" s="35">
        <f t="shared" si="559"/>
        <v>1386</v>
      </c>
      <c r="T382" s="35">
        <f t="shared" si="559"/>
        <v>1362</v>
      </c>
      <c r="U382" s="35">
        <f t="shared" si="559"/>
        <v>1408</v>
      </c>
      <c r="V382" s="35">
        <f t="shared" si="559"/>
        <v>1403</v>
      </c>
      <c r="W382" s="35">
        <f t="shared" si="559"/>
        <v>1404</v>
      </c>
      <c r="X382" s="35">
        <f t="shared" si="559"/>
        <v>1353</v>
      </c>
      <c r="Y382" s="35">
        <f t="shared" si="559"/>
        <v>1411</v>
      </c>
      <c r="Z382" s="35">
        <f t="shared" si="559"/>
        <v>1410</v>
      </c>
      <c r="AA382" s="35">
        <f t="shared" si="559"/>
        <v>1410</v>
      </c>
      <c r="AB382" s="35">
        <f t="shared" si="559"/>
        <v>1413</v>
      </c>
      <c r="AC382" s="35">
        <f>+AC379*AC381</f>
        <v>1483.6499999999999</v>
      </c>
      <c r="AD382" s="35">
        <f>+AD379*AD381</f>
        <v>1483.6499999999999</v>
      </c>
      <c r="AE382" s="35">
        <f>+AE379*AE381</f>
        <v>1483.6499999999999</v>
      </c>
      <c r="AF382" s="35">
        <f>+AF379*AF381</f>
        <v>1483.6499999999999</v>
      </c>
      <c r="AH382" s="35">
        <f t="shared" ref="AH382:AO382" si="560">-AH348</f>
        <v>4409</v>
      </c>
      <c r="AI382" s="35">
        <f t="shared" si="560"/>
        <v>4556</v>
      </c>
      <c r="AJ382" s="35">
        <f t="shared" si="560"/>
        <v>4925</v>
      </c>
      <c r="AK382" s="35">
        <f t="shared" si="560"/>
        <v>5072</v>
      </c>
      <c r="AL382" s="35">
        <f t="shared" si="560"/>
        <v>5541</v>
      </c>
      <c r="AM382" s="35">
        <f t="shared" si="560"/>
        <v>5576</v>
      </c>
      <c r="AN382" s="35">
        <f t="shared" si="560"/>
        <v>5568</v>
      </c>
      <c r="AO382" s="35">
        <f t="shared" si="560"/>
        <v>5644</v>
      </c>
      <c r="AP382" s="35">
        <f>+SUMIF($E$5:$AF$5,AP$5,$E382:$AF382)</f>
        <v>5934.5999999999995</v>
      </c>
      <c r="AQ382" s="35">
        <f>+AQ379*AQ381</f>
        <v>6231.33</v>
      </c>
      <c r="AR382" s="35">
        <f>+AR379*AR381</f>
        <v>6542.8964999999998</v>
      </c>
      <c r="AS382" s="35">
        <f>+AS379*AS381</f>
        <v>6870.0413250000001</v>
      </c>
    </row>
    <row r="383" spans="2:57" customFormat="1">
      <c r="AI383" s="45">
        <f>AI381/AH381-1</f>
        <v>6.7546293047907158E-2</v>
      </c>
      <c r="AJ383" s="45">
        <f t="shared" ref="AJ383:AP383" si="561">AJ381/AI381-1</f>
        <v>8.5205195740753137E-2</v>
      </c>
      <c r="AK383" s="45">
        <f t="shared" si="561"/>
        <v>3.8367655473257045E-2</v>
      </c>
      <c r="AL383" s="45">
        <f t="shared" si="561"/>
        <v>0.12360880160406174</v>
      </c>
      <c r="AM383" s="45">
        <f t="shared" si="561"/>
        <v>5.761102135885765E-2</v>
      </c>
      <c r="AN383" s="45">
        <f t="shared" si="561"/>
        <v>5.5430646600472366E-2</v>
      </c>
      <c r="AO383" s="45">
        <f t="shared" si="561"/>
        <v>4.8842143720315923E-2</v>
      </c>
      <c r="AP383" s="45">
        <f t="shared" si="561"/>
        <v>5.148830616583977E-2</v>
      </c>
      <c r="AQ383" s="45">
        <f t="shared" ref="AQ383:AS383" si="562">AQ381/AP381-1</f>
        <v>5.0000000000000044E-2</v>
      </c>
      <c r="AR383" s="45">
        <f t="shared" si="562"/>
        <v>5.0000000000000044E-2</v>
      </c>
      <c r="AS383" s="45">
        <f t="shared" si="562"/>
        <v>5.0000000000000044E-2</v>
      </c>
    </row>
    <row r="384" spans="2:57" s="433" customFormat="1" ht="11.25" customHeight="1">
      <c r="B384" s="367" t="s">
        <v>9</v>
      </c>
      <c r="C384" s="367" t="s">
        <v>403</v>
      </c>
      <c r="D384" s="434"/>
      <c r="E384" s="434"/>
      <c r="F384" s="434"/>
      <c r="G384" s="434"/>
      <c r="H384" s="434"/>
      <c r="I384" s="435"/>
      <c r="J384" s="435"/>
      <c r="K384" s="435"/>
      <c r="L384" s="435"/>
      <c r="M384" s="435"/>
      <c r="N384" s="435"/>
      <c r="O384" s="435"/>
      <c r="P384" s="435"/>
      <c r="Q384" s="435"/>
      <c r="R384" s="435"/>
      <c r="S384" s="435"/>
      <c r="T384" s="435"/>
      <c r="U384" s="435"/>
      <c r="V384" s="435"/>
      <c r="W384" s="435"/>
      <c r="X384" s="435"/>
      <c r="Y384" s="435"/>
      <c r="Z384" s="435"/>
      <c r="AA384" s="435"/>
      <c r="AB384" s="434"/>
      <c r="AC384" s="434"/>
      <c r="AD384" s="434"/>
      <c r="AE384" s="434"/>
      <c r="AF384" s="434"/>
      <c r="AG384" s="429"/>
      <c r="AH384" s="434"/>
      <c r="AI384" s="45">
        <f>AI382/AH382-1</f>
        <v>3.3340893626672807E-2</v>
      </c>
      <c r="AJ384" s="45">
        <f t="shared" ref="AJ384:AP384" si="563">AJ382/AI382-1</f>
        <v>8.0992098331870155E-2</v>
      </c>
      <c r="AK384" s="45">
        <f t="shared" si="563"/>
        <v>2.9847715736040614E-2</v>
      </c>
      <c r="AL384" s="45">
        <f t="shared" si="563"/>
        <v>9.2468454258675115E-2</v>
      </c>
      <c r="AM384" s="45">
        <f t="shared" si="563"/>
        <v>6.3165493593213551E-3</v>
      </c>
      <c r="AN384" s="45">
        <f t="shared" si="563"/>
        <v>-1.4347202295552641E-3</v>
      </c>
      <c r="AO384" s="45">
        <f t="shared" si="563"/>
        <v>1.3649425287356243E-2</v>
      </c>
      <c r="AP384" s="45">
        <f t="shared" si="563"/>
        <v>5.148830616583977E-2</v>
      </c>
      <c r="AQ384" s="45">
        <f t="shared" ref="AQ384:AS384" si="564">AQ382/AP382-1</f>
        <v>5.0000000000000044E-2</v>
      </c>
      <c r="AR384" s="45">
        <f t="shared" si="564"/>
        <v>5.0000000000000044E-2</v>
      </c>
      <c r="AS384" s="45">
        <f t="shared" si="564"/>
        <v>5.0000000000000044E-2</v>
      </c>
      <c r="AU384"/>
    </row>
    <row r="386" spans="3:46">
      <c r="C386" s="338" t="s">
        <v>404</v>
      </c>
      <c r="AH386" s="345">
        <v>22989</v>
      </c>
      <c r="AI386" s="345">
        <v>25578</v>
      </c>
      <c r="AJ386" s="345">
        <v>26627</v>
      </c>
      <c r="AK386" s="345">
        <v>27391</v>
      </c>
      <c r="AL386" s="345">
        <v>30954</v>
      </c>
      <c r="AM386" s="345">
        <v>37743</v>
      </c>
      <c r="AN386" s="345">
        <v>37536</v>
      </c>
      <c r="AO386" s="345">
        <v>40039</v>
      </c>
    </row>
    <row r="387" spans="3:46">
      <c r="C387" s="338" t="s">
        <v>405</v>
      </c>
      <c r="AH387" s="345">
        <v>44441</v>
      </c>
      <c r="AI387" s="345">
        <v>48459</v>
      </c>
      <c r="AJ387" s="345">
        <v>52608</v>
      </c>
      <c r="AK387" s="345">
        <v>57192</v>
      </c>
      <c r="AL387" s="345">
        <v>66721</v>
      </c>
      <c r="AM387" s="345">
        <v>74901</v>
      </c>
      <c r="AN387" s="345">
        <v>79384</v>
      </c>
      <c r="AO387" s="345">
        <v>86955</v>
      </c>
    </row>
    <row r="388" spans="3:46">
      <c r="C388" s="338" t="s">
        <v>406</v>
      </c>
      <c r="AH388" s="345">
        <v>12279</v>
      </c>
      <c r="AI388" s="345">
        <v>9359</v>
      </c>
      <c r="AJ388" s="345">
        <v>10870</v>
      </c>
      <c r="AK388" s="345">
        <v>15812</v>
      </c>
      <c r="AL388" s="345">
        <v>16643</v>
      </c>
      <c r="AM388" s="345">
        <v>16063</v>
      </c>
      <c r="AN388" s="345">
        <v>17309</v>
      </c>
      <c r="AO388" s="345">
        <v>21545</v>
      </c>
    </row>
    <row r="389" spans="3:46" s="342" customFormat="1">
      <c r="C389" s="354" t="s">
        <v>407</v>
      </c>
      <c r="AG389" s="429"/>
      <c r="AH389" s="341">
        <f t="shared" ref="AH389:AO389" si="565">SUM(AH386:AH388)</f>
        <v>79709</v>
      </c>
      <c r="AI389" s="341">
        <f t="shared" si="565"/>
        <v>83396</v>
      </c>
      <c r="AJ389" s="341">
        <f t="shared" si="565"/>
        <v>90105</v>
      </c>
      <c r="AK389" s="341">
        <f t="shared" si="565"/>
        <v>100395</v>
      </c>
      <c r="AL389" s="341">
        <f t="shared" si="565"/>
        <v>114318</v>
      </c>
      <c r="AM389" s="341">
        <f t="shared" si="565"/>
        <v>128707</v>
      </c>
      <c r="AN389" s="341">
        <f t="shared" si="565"/>
        <v>134229</v>
      </c>
      <c r="AO389" s="341">
        <f t="shared" si="565"/>
        <v>148539</v>
      </c>
    </row>
    <row r="390" spans="3:46">
      <c r="C390" s="338" t="s">
        <v>408</v>
      </c>
      <c r="AH390" s="345">
        <v>-46471</v>
      </c>
      <c r="AI390" s="345">
        <v>-51538</v>
      </c>
      <c r="AJ390" s="345">
        <v>-53934</v>
      </c>
      <c r="AK390" s="345">
        <v>-59286</v>
      </c>
      <c r="AL390" s="345">
        <v>-65342</v>
      </c>
      <c r="AM390" s="345">
        <v>-73321</v>
      </c>
      <c r="AN390" s="345">
        <v>-77645</v>
      </c>
      <c r="AO390" s="345">
        <v>-85294</v>
      </c>
    </row>
    <row r="391" spans="3:46" s="342" customFormat="1">
      <c r="C391" s="354" t="s">
        <v>409</v>
      </c>
      <c r="AG391" s="429"/>
      <c r="AH391" s="341">
        <f t="shared" ref="AH391:AO391" si="566">SUM(AH389:AH390)</f>
        <v>33238</v>
      </c>
      <c r="AI391" s="341">
        <f t="shared" si="566"/>
        <v>31858</v>
      </c>
      <c r="AJ391" s="341">
        <f t="shared" si="566"/>
        <v>36171</v>
      </c>
      <c r="AK391" s="341">
        <f t="shared" si="566"/>
        <v>41109</v>
      </c>
      <c r="AL391" s="341">
        <f t="shared" si="566"/>
        <v>48976</v>
      </c>
      <c r="AM391" s="341">
        <f t="shared" si="566"/>
        <v>55386</v>
      </c>
      <c r="AN391" s="341">
        <f t="shared" si="566"/>
        <v>56584</v>
      </c>
      <c r="AO391" s="341">
        <f t="shared" si="566"/>
        <v>63245</v>
      </c>
    </row>
    <row r="393" spans="3:46">
      <c r="C393" s="438" t="s">
        <v>410</v>
      </c>
      <c r="F393" s="372">
        <f>E396</f>
        <v>32644</v>
      </c>
      <c r="G393" s="372">
        <f t="shared" ref="G393:AB393" si="567">F396</f>
        <v>33804</v>
      </c>
      <c r="H393" s="372">
        <f t="shared" si="567"/>
        <v>34707</v>
      </c>
      <c r="I393" s="372">
        <f t="shared" si="567"/>
        <v>36171</v>
      </c>
      <c r="J393" s="372">
        <f t="shared" si="567"/>
        <v>36911</v>
      </c>
      <c r="K393" s="372">
        <f t="shared" si="567"/>
        <v>38130</v>
      </c>
      <c r="L393" s="372">
        <f t="shared" si="567"/>
        <v>39472</v>
      </c>
      <c r="M393" s="372">
        <f t="shared" si="567"/>
        <v>41109</v>
      </c>
      <c r="N393" s="372">
        <f t="shared" si="567"/>
        <v>43735</v>
      </c>
      <c r="O393" s="372">
        <f t="shared" si="567"/>
        <v>45914</v>
      </c>
      <c r="P393" s="372">
        <f t="shared" si="567"/>
        <v>47071</v>
      </c>
      <c r="Q393" s="372">
        <f t="shared" si="567"/>
        <v>48976</v>
      </c>
      <c r="R393" s="372">
        <f t="shared" si="567"/>
        <v>50040</v>
      </c>
      <c r="S393" s="372">
        <f t="shared" si="567"/>
        <v>51377</v>
      </c>
      <c r="T393" s="372">
        <f t="shared" si="567"/>
        <v>53563</v>
      </c>
      <c r="U393" s="372">
        <f t="shared" si="567"/>
        <v>55386</v>
      </c>
      <c r="V393" s="372">
        <f t="shared" si="567"/>
        <v>56770</v>
      </c>
      <c r="W393" s="372">
        <f t="shared" si="567"/>
        <v>58036</v>
      </c>
      <c r="X393" s="372">
        <f t="shared" si="567"/>
        <v>59205</v>
      </c>
      <c r="Y393" s="372">
        <f t="shared" si="567"/>
        <v>56584</v>
      </c>
      <c r="Z393" s="372">
        <f t="shared" si="567"/>
        <v>57330</v>
      </c>
      <c r="AA393" s="372">
        <f t="shared" si="567"/>
        <v>58166</v>
      </c>
      <c r="AB393" s="372">
        <f t="shared" si="567"/>
        <v>59733</v>
      </c>
      <c r="AC393" s="372">
        <f>AB396</f>
        <v>63245</v>
      </c>
      <c r="AD393" s="372">
        <f>AC396</f>
        <v>67411.362500000003</v>
      </c>
      <c r="AE393" s="372">
        <f>AD396</f>
        <v>70804.233749999999</v>
      </c>
      <c r="AF393" s="372">
        <f>AE396</f>
        <v>73558.181249999994</v>
      </c>
      <c r="AI393" s="372">
        <f>AH396</f>
        <v>33238</v>
      </c>
      <c r="AJ393" s="372">
        <f t="shared" ref="AJ393:AO393" si="568">AI396</f>
        <v>31858</v>
      </c>
      <c r="AK393" s="372">
        <f t="shared" si="568"/>
        <v>36171</v>
      </c>
      <c r="AL393" s="372">
        <f t="shared" si="568"/>
        <v>41109</v>
      </c>
      <c r="AM393" s="372">
        <f t="shared" si="568"/>
        <v>48976</v>
      </c>
      <c r="AN393" s="372">
        <f t="shared" si="568"/>
        <v>55386</v>
      </c>
      <c r="AO393" s="372">
        <f t="shared" si="568"/>
        <v>56584</v>
      </c>
      <c r="AP393" s="372">
        <f>AO396</f>
        <v>63245</v>
      </c>
      <c r="AQ393" s="372">
        <f>AP396</f>
        <v>76614.887499999997</v>
      </c>
      <c r="AR393" s="372">
        <f>AQ396</f>
        <v>87045.576968026624</v>
      </c>
      <c r="AS393" s="372">
        <f>AR396</f>
        <v>95399.785796951313</v>
      </c>
    </row>
    <row r="394" spans="3:46">
      <c r="C394" s="438" t="s">
        <v>411</v>
      </c>
      <c r="F394" s="372">
        <f t="shared" ref="F394:AB394" si="569">-F326</f>
        <v>2286</v>
      </c>
      <c r="G394" s="372">
        <f t="shared" si="569"/>
        <v>2463</v>
      </c>
      <c r="H394" s="372">
        <f t="shared" si="569"/>
        <v>3530</v>
      </c>
      <c r="I394" s="372">
        <f t="shared" si="569"/>
        <v>1952</v>
      </c>
      <c r="J394" s="372">
        <f t="shared" si="569"/>
        <v>2778</v>
      </c>
      <c r="K394" s="372">
        <f t="shared" si="569"/>
        <v>2979</v>
      </c>
      <c r="L394" s="372">
        <f t="shared" si="569"/>
        <v>4069</v>
      </c>
      <c r="M394" s="372">
        <f t="shared" si="569"/>
        <v>2910</v>
      </c>
      <c r="N394" s="372">
        <f t="shared" si="569"/>
        <v>4530</v>
      </c>
      <c r="O394" s="372">
        <f t="shared" si="569"/>
        <v>3851</v>
      </c>
      <c r="P394" s="372">
        <f t="shared" si="569"/>
        <v>3890</v>
      </c>
      <c r="Q394" s="372">
        <f t="shared" si="569"/>
        <v>3321</v>
      </c>
      <c r="R394" s="372">
        <f t="shared" si="569"/>
        <v>3554</v>
      </c>
      <c r="S394" s="372">
        <f t="shared" si="569"/>
        <v>4672</v>
      </c>
      <c r="T394" s="372">
        <f t="shared" si="569"/>
        <v>4666</v>
      </c>
      <c r="U394" s="372">
        <f t="shared" si="569"/>
        <v>3268</v>
      </c>
      <c r="V394" s="372">
        <f t="shared" si="569"/>
        <v>3408</v>
      </c>
      <c r="W394" s="372">
        <f t="shared" si="569"/>
        <v>3716</v>
      </c>
      <c r="X394" s="372">
        <f t="shared" si="569"/>
        <v>3867</v>
      </c>
      <c r="Y394" s="372">
        <f t="shared" si="569"/>
        <v>3972</v>
      </c>
      <c r="Z394" s="372">
        <f t="shared" si="569"/>
        <v>3602</v>
      </c>
      <c r="AA394" s="372">
        <f t="shared" si="569"/>
        <v>4005</v>
      </c>
      <c r="AB394" s="372">
        <f t="shared" si="569"/>
        <v>7154</v>
      </c>
      <c r="AC394" s="372">
        <f>AC398*AC$10</f>
        <v>6666.3624999999984</v>
      </c>
      <c r="AD394" s="372">
        <f>AD398*AD$10</f>
        <v>5892.8712499999992</v>
      </c>
      <c r="AE394" s="372">
        <f>AE398*AE$10</f>
        <v>5753.9475000000002</v>
      </c>
      <c r="AF394" s="372">
        <f>AF398*AF$10</f>
        <v>6056.7062499999993</v>
      </c>
      <c r="AI394" s="372">
        <f t="shared" ref="AI394:AO394" si="570">-AI326</f>
        <v>7326</v>
      </c>
      <c r="AJ394" s="372">
        <f t="shared" si="570"/>
        <v>9625</v>
      </c>
      <c r="AK394" s="372">
        <f t="shared" si="570"/>
        <v>11778</v>
      </c>
      <c r="AL394" s="372">
        <f t="shared" si="570"/>
        <v>15181</v>
      </c>
      <c r="AM394" s="372">
        <f t="shared" si="570"/>
        <v>16213</v>
      </c>
      <c r="AN394" s="372">
        <f t="shared" si="570"/>
        <v>14259</v>
      </c>
      <c r="AO394" s="372">
        <f t="shared" si="570"/>
        <v>18733</v>
      </c>
      <c r="AP394" s="344">
        <f>+SUMIF($E$5:$AF$5,AP$5,$E394:$AF394)</f>
        <v>24369.887499999997</v>
      </c>
      <c r="AQ394" s="372">
        <f>AQ398*AQ$10</f>
        <v>22989.922243749999</v>
      </c>
      <c r="AR394" s="372">
        <f>AR398*AR$10</f>
        <v>21752.855304400004</v>
      </c>
      <c r="AS394" s="372">
        <f>AS398*AS$10</f>
        <v>17779.079182609381</v>
      </c>
      <c r="AT394" s="369">
        <f>+SUM(AP394:AS394)/1000-16*4</f>
        <v>22.891744230759372</v>
      </c>
    </row>
    <row r="395" spans="3:46">
      <c r="C395" s="438" t="s">
        <v>412</v>
      </c>
      <c r="F395" s="372">
        <f t="shared" ref="F395:AB395" si="571">-F306</f>
        <v>-1522</v>
      </c>
      <c r="G395" s="372">
        <f t="shared" si="571"/>
        <v>-1543</v>
      </c>
      <c r="H395" s="372">
        <f t="shared" si="571"/>
        <v>-1582</v>
      </c>
      <c r="I395" s="372">
        <f t="shared" si="571"/>
        <v>-1625</v>
      </c>
      <c r="J395" s="372">
        <f t="shared" si="571"/>
        <v>-1675</v>
      </c>
      <c r="K395" s="372">
        <f t="shared" si="571"/>
        <v>-1690</v>
      </c>
      <c r="L395" s="372">
        <f t="shared" si="571"/>
        <v>-1762</v>
      </c>
      <c r="M395" s="372">
        <f t="shared" si="571"/>
        <v>-1806</v>
      </c>
      <c r="N395" s="372">
        <f t="shared" si="571"/>
        <v>-1730</v>
      </c>
      <c r="O395" s="372">
        <f t="shared" si="571"/>
        <v>-1884</v>
      </c>
      <c r="P395" s="372">
        <f t="shared" si="571"/>
        <v>-2100</v>
      </c>
      <c r="Q395" s="372">
        <f t="shared" si="571"/>
        <v>-2229</v>
      </c>
      <c r="R395" s="372">
        <f t="shared" si="571"/>
        <v>-2150</v>
      </c>
      <c r="S395" s="372">
        <f t="shared" si="571"/>
        <v>-2268</v>
      </c>
      <c r="T395" s="372">
        <f t="shared" si="571"/>
        <v>-2557</v>
      </c>
      <c r="U395" s="372">
        <f t="shared" si="571"/>
        <v>-2623</v>
      </c>
      <c r="V395" s="372">
        <f t="shared" si="571"/>
        <v>-2625</v>
      </c>
      <c r="W395" s="372">
        <f t="shared" si="571"/>
        <v>-2677</v>
      </c>
      <c r="X395" s="372">
        <f t="shared" si="571"/>
        <v>-2557</v>
      </c>
      <c r="Y395" s="372">
        <f t="shared" si="571"/>
        <v>-2454</v>
      </c>
      <c r="Z395" s="372">
        <f t="shared" si="571"/>
        <v>-2408</v>
      </c>
      <c r="AA395" s="372">
        <f t="shared" si="571"/>
        <v>-2495</v>
      </c>
      <c r="AB395" s="372">
        <f t="shared" si="571"/>
        <v>-2596</v>
      </c>
      <c r="AC395" s="345">
        <v>-2500</v>
      </c>
      <c r="AD395" s="345">
        <v>-2500</v>
      </c>
      <c r="AE395" s="345">
        <v>-3000</v>
      </c>
      <c r="AF395" s="345">
        <v>-3000</v>
      </c>
      <c r="AI395" s="372">
        <f t="shared" ref="AI395:AO395" si="572">-AI306</f>
        <v>-7821</v>
      </c>
      <c r="AJ395" s="372">
        <f t="shared" si="572"/>
        <v>-6266</v>
      </c>
      <c r="AK395" s="372">
        <f t="shared" si="572"/>
        <v>-6752</v>
      </c>
      <c r="AL395" s="372">
        <f t="shared" si="572"/>
        <v>-7520</v>
      </c>
      <c r="AM395" s="372">
        <f t="shared" si="572"/>
        <v>-9204</v>
      </c>
      <c r="AN395" s="372">
        <f t="shared" si="572"/>
        <v>-10482</v>
      </c>
      <c r="AO395" s="372">
        <f t="shared" si="572"/>
        <v>-9953</v>
      </c>
      <c r="AP395" s="344">
        <f>+SUMIF($E$5:$AF$5,AP$5,$E395:$AF395)</f>
        <v>-11000</v>
      </c>
      <c r="AQ395" s="372">
        <f>-AQ399*AQ393</f>
        <v>-12559.232775723378</v>
      </c>
      <c r="AR395" s="372">
        <f>-AR399*AR393</f>
        <v>-13398.646475475309</v>
      </c>
      <c r="AS395" s="372">
        <f>-AS399*AS393</f>
        <v>-13730.585187518678</v>
      </c>
    </row>
    <row r="396" spans="3:46" s="342" customFormat="1">
      <c r="C396" s="343" t="s">
        <v>413</v>
      </c>
      <c r="E396" s="341">
        <f t="shared" ref="E396:AB396" si="573">E206</f>
        <v>32644</v>
      </c>
      <c r="F396" s="341">
        <f t="shared" si="573"/>
        <v>33804</v>
      </c>
      <c r="G396" s="341">
        <f t="shared" si="573"/>
        <v>34707</v>
      </c>
      <c r="H396" s="341">
        <f t="shared" si="573"/>
        <v>36171</v>
      </c>
      <c r="I396" s="341">
        <f t="shared" si="573"/>
        <v>36911</v>
      </c>
      <c r="J396" s="341">
        <f t="shared" si="573"/>
        <v>38130</v>
      </c>
      <c r="K396" s="341">
        <f t="shared" si="573"/>
        <v>39472</v>
      </c>
      <c r="L396" s="341">
        <f t="shared" si="573"/>
        <v>41109</v>
      </c>
      <c r="M396" s="341">
        <f t="shared" si="573"/>
        <v>43735</v>
      </c>
      <c r="N396" s="341">
        <f t="shared" si="573"/>
        <v>45914</v>
      </c>
      <c r="O396" s="341">
        <f t="shared" si="573"/>
        <v>47071</v>
      </c>
      <c r="P396" s="341">
        <f t="shared" si="573"/>
        <v>48976</v>
      </c>
      <c r="Q396" s="341">
        <f t="shared" si="573"/>
        <v>50040</v>
      </c>
      <c r="R396" s="341">
        <f t="shared" si="573"/>
        <v>51377</v>
      </c>
      <c r="S396" s="341">
        <f t="shared" si="573"/>
        <v>53563</v>
      </c>
      <c r="T396" s="341">
        <f t="shared" si="573"/>
        <v>55386</v>
      </c>
      <c r="U396" s="341">
        <f t="shared" si="573"/>
        <v>56770</v>
      </c>
      <c r="V396" s="341">
        <f t="shared" si="573"/>
        <v>58036</v>
      </c>
      <c r="W396" s="341">
        <f t="shared" si="573"/>
        <v>59205</v>
      </c>
      <c r="X396" s="341">
        <f t="shared" si="573"/>
        <v>56584</v>
      </c>
      <c r="Y396" s="341">
        <f t="shared" si="573"/>
        <v>57330</v>
      </c>
      <c r="Z396" s="341">
        <f t="shared" si="573"/>
        <v>58166</v>
      </c>
      <c r="AA396" s="341">
        <f t="shared" si="573"/>
        <v>59733</v>
      </c>
      <c r="AB396" s="341">
        <f t="shared" si="573"/>
        <v>63245</v>
      </c>
      <c r="AC396" s="341">
        <f>SUM(AC393:AC395)</f>
        <v>67411.362500000003</v>
      </c>
      <c r="AD396" s="341">
        <f>SUM(AD393:AD395)</f>
        <v>70804.233749999999</v>
      </c>
      <c r="AE396" s="341">
        <f>SUM(AE393:AE395)</f>
        <v>73558.181249999994</v>
      </c>
      <c r="AF396" s="341">
        <f>SUM(AF393:AF395)</f>
        <v>76614.887499999997</v>
      </c>
      <c r="AG396" s="36"/>
      <c r="AH396" s="341">
        <f t="shared" ref="AH396:AO396" si="574">AH206</f>
        <v>33238</v>
      </c>
      <c r="AI396" s="341">
        <f t="shared" si="574"/>
        <v>31858</v>
      </c>
      <c r="AJ396" s="341">
        <f t="shared" si="574"/>
        <v>36171</v>
      </c>
      <c r="AK396" s="341">
        <f t="shared" si="574"/>
        <v>41109</v>
      </c>
      <c r="AL396" s="341">
        <f t="shared" si="574"/>
        <v>48976</v>
      </c>
      <c r="AM396" s="341">
        <f t="shared" si="574"/>
        <v>55386</v>
      </c>
      <c r="AN396" s="341">
        <f t="shared" si="574"/>
        <v>56584</v>
      </c>
      <c r="AO396" s="341">
        <f t="shared" si="574"/>
        <v>63245</v>
      </c>
      <c r="AP396" s="341">
        <f>SUM(AP393:AP395)</f>
        <v>76614.887499999997</v>
      </c>
      <c r="AQ396" s="341">
        <f>SUM(AQ393:AQ395)</f>
        <v>87045.576968026624</v>
      </c>
      <c r="AR396" s="341">
        <f>SUM(AR393:AR395)</f>
        <v>95399.785796951313</v>
      </c>
      <c r="AS396" s="341">
        <f>SUM(AS393:AS395)</f>
        <v>99448.279792042013</v>
      </c>
    </row>
    <row r="398" spans="3:46" s="346" customFormat="1">
      <c r="C398" s="346" t="s">
        <v>414</v>
      </c>
      <c r="F398" s="439">
        <f>F394/F$10</f>
        <v>0.16892041675903346</v>
      </c>
      <c r="G398" s="439">
        <f t="shared" ref="G398:AB398" si="575">G394/G$10</f>
        <v>0.15610343516288502</v>
      </c>
      <c r="H398" s="439">
        <f t="shared" si="575"/>
        <v>0.21558568462196165</v>
      </c>
      <c r="I398" s="439">
        <f t="shared" si="575"/>
        <v>0.13192754798594214</v>
      </c>
      <c r="J398" s="439">
        <f t="shared" si="575"/>
        <v>0.1881731355415566</v>
      </c>
      <c r="K398" s="439">
        <f t="shared" si="575"/>
        <v>0.1844696266022664</v>
      </c>
      <c r="L398" s="439">
        <f t="shared" si="575"/>
        <v>0.23860904239723216</v>
      </c>
      <c r="M398" s="439">
        <f t="shared" si="575"/>
        <v>0.18112784762853232</v>
      </c>
      <c r="N398" s="439">
        <f t="shared" si="575"/>
        <v>0.26706756278740712</v>
      </c>
      <c r="O398" s="439">
        <f t="shared" si="575"/>
        <v>0.20096018368731408</v>
      </c>
      <c r="P398" s="439">
        <f t="shared" si="575"/>
        <v>0.20850083078737203</v>
      </c>
      <c r="Q398" s="439">
        <f t="shared" si="575"/>
        <v>0.20677417346366975</v>
      </c>
      <c r="R398" s="439">
        <f t="shared" si="575"/>
        <v>0.21532868827627991</v>
      </c>
      <c r="S398" s="439">
        <f t="shared" si="575"/>
        <v>0.24346013548723294</v>
      </c>
      <c r="T398" s="439">
        <f t="shared" si="575"/>
        <v>0.23088722846256618</v>
      </c>
      <c r="U398" s="439">
        <f t="shared" si="575"/>
        <v>0.1648174298971152</v>
      </c>
      <c r="V398" s="439">
        <f t="shared" si="575"/>
        <v>0.17274939172749393</v>
      </c>
      <c r="W398" s="439">
        <f t="shared" si="575"/>
        <v>0.20269459444717178</v>
      </c>
      <c r="X398" s="439">
        <f t="shared" si="575"/>
        <v>0.19356291921113225</v>
      </c>
      <c r="Y398" s="439">
        <f t="shared" si="575"/>
        <v>0.20190108270218066</v>
      </c>
      <c r="Z398" s="439">
        <f t="shared" si="575"/>
        <v>0.18348530385614589</v>
      </c>
      <c r="AA398" s="439">
        <f t="shared" si="575"/>
        <v>0.20868070029178826</v>
      </c>
      <c r="AB398" s="439">
        <f t="shared" si="575"/>
        <v>0.34849961028838661</v>
      </c>
      <c r="AC398" s="441">
        <v>0.35</v>
      </c>
      <c r="AD398" s="441">
        <v>0.35</v>
      </c>
      <c r="AE398" s="441">
        <v>0.35</v>
      </c>
      <c r="AF398" s="441">
        <v>0.35</v>
      </c>
      <c r="AG398" s="189"/>
      <c r="AI398" s="439">
        <f t="shared" ref="AI398:AP398" si="576">AI394/AI$10</f>
        <v>0.13234576822328606</v>
      </c>
      <c r="AJ398" s="439">
        <f t="shared" si="576"/>
        <v>0.16207250745112567</v>
      </c>
      <c r="AK398" s="439">
        <f t="shared" si="576"/>
        <v>0.18766431382546486</v>
      </c>
      <c r="AL398" s="439">
        <f t="shared" si="576"/>
        <v>0.21427563233965674</v>
      </c>
      <c r="AM398" s="439">
        <f t="shared" si="576"/>
        <v>0.22529007156256514</v>
      </c>
      <c r="AN398" s="439">
        <f t="shared" si="576"/>
        <v>0.18311993527424969</v>
      </c>
      <c r="AO398" s="439">
        <f t="shared" si="576"/>
        <v>0.23705456570155903</v>
      </c>
      <c r="AP398" s="439">
        <f t="shared" si="576"/>
        <v>0.35</v>
      </c>
      <c r="AQ398" s="441">
        <v>0.35</v>
      </c>
      <c r="AR398" s="441">
        <v>0.32</v>
      </c>
      <c r="AS398" s="441">
        <v>0.25</v>
      </c>
    </row>
    <row r="399" spans="3:46" s="346" customFormat="1">
      <c r="C399" s="346" t="s">
        <v>415</v>
      </c>
      <c r="F399" s="439">
        <f>-F395/F393*4</f>
        <v>0.18649675284891556</v>
      </c>
      <c r="G399" s="439">
        <f t="shared" ref="G399:AF399" si="577">-G395/G393*4</f>
        <v>0.18258194296532954</v>
      </c>
      <c r="H399" s="439">
        <f t="shared" si="577"/>
        <v>0.18232633186388914</v>
      </c>
      <c r="I399" s="439">
        <f t="shared" si="577"/>
        <v>0.1797019711923917</v>
      </c>
      <c r="J399" s="439">
        <f t="shared" si="577"/>
        <v>0.18151770474926174</v>
      </c>
      <c r="K399" s="439">
        <f t="shared" si="577"/>
        <v>0.17728822449514817</v>
      </c>
      <c r="L399" s="439">
        <f t="shared" si="577"/>
        <v>0.17855695176327524</v>
      </c>
      <c r="M399" s="439">
        <f t="shared" si="577"/>
        <v>0.17572794278625117</v>
      </c>
      <c r="N399" s="439">
        <f t="shared" si="577"/>
        <v>0.15822567737510004</v>
      </c>
      <c r="O399" s="439">
        <f t="shared" si="577"/>
        <v>0.16413294420002614</v>
      </c>
      <c r="P399" s="439">
        <f t="shared" si="577"/>
        <v>0.17845382507276242</v>
      </c>
      <c r="Q399" s="439">
        <f t="shared" si="577"/>
        <v>0.18204835021234891</v>
      </c>
      <c r="R399" s="439">
        <f t="shared" si="577"/>
        <v>0.17186250999200639</v>
      </c>
      <c r="S399" s="439">
        <f t="shared" si="577"/>
        <v>0.17657706755941374</v>
      </c>
      <c r="T399" s="439">
        <f t="shared" si="577"/>
        <v>0.19095270989302318</v>
      </c>
      <c r="U399" s="439">
        <f t="shared" si="577"/>
        <v>0.189434153035063</v>
      </c>
      <c r="V399" s="439">
        <f t="shared" si="577"/>
        <v>0.18495684340320592</v>
      </c>
      <c r="W399" s="439">
        <f t="shared" si="577"/>
        <v>0.1845061685850162</v>
      </c>
      <c r="X399" s="439">
        <f t="shared" si="577"/>
        <v>0.17275567941896799</v>
      </c>
      <c r="Y399" s="439">
        <f t="shared" si="577"/>
        <v>0.17347660115933833</v>
      </c>
      <c r="Z399" s="439">
        <f t="shared" si="577"/>
        <v>0.16800976800976802</v>
      </c>
      <c r="AA399" s="439">
        <f t="shared" si="577"/>
        <v>0.17157789774094831</v>
      </c>
      <c r="AB399" s="439">
        <f t="shared" si="577"/>
        <v>0.1738402558049989</v>
      </c>
      <c r="AC399" s="439">
        <f t="shared" si="577"/>
        <v>0.15811526602893508</v>
      </c>
      <c r="AD399" s="439">
        <f t="shared" si="577"/>
        <v>0.14834294441089216</v>
      </c>
      <c r="AE399" s="439">
        <f t="shared" si="577"/>
        <v>0.16948139065201026</v>
      </c>
      <c r="AF399" s="439">
        <f t="shared" si="577"/>
        <v>0.16313617052623908</v>
      </c>
      <c r="AG399" s="189"/>
      <c r="AI399" s="439">
        <f t="shared" ref="AI399:AP399" si="578">-AI395/AI393</f>
        <v>0.23530296648414464</v>
      </c>
      <c r="AJ399" s="439">
        <f t="shared" si="578"/>
        <v>0.19668529097871806</v>
      </c>
      <c r="AK399" s="439">
        <f t="shared" si="578"/>
        <v>0.18666887838323518</v>
      </c>
      <c r="AL399" s="439">
        <f t="shared" si="578"/>
        <v>0.18292831253496802</v>
      </c>
      <c r="AM399" s="439">
        <f t="shared" si="578"/>
        <v>0.18792878144397257</v>
      </c>
      <c r="AN399" s="439">
        <f t="shared" si="578"/>
        <v>0.1892536019932835</v>
      </c>
      <c r="AO399" s="439">
        <f t="shared" si="578"/>
        <v>0.17589778029124842</v>
      </c>
      <c r="AP399" s="439">
        <f t="shared" si="578"/>
        <v>0.17392679263182861</v>
      </c>
      <c r="AQ399" s="441">
        <f>AP399-0.01</f>
        <v>0.16392679263182861</v>
      </c>
      <c r="AR399" s="441">
        <f t="shared" ref="AR399:AS399" si="579">AQ399-0.01</f>
        <v>0.1539267926318286</v>
      </c>
      <c r="AS399" s="441">
        <f t="shared" si="579"/>
        <v>0.14392679263182859</v>
      </c>
    </row>
    <row r="401" spans="1:45" s="433" customFormat="1">
      <c r="A401" s="338"/>
      <c r="B401" s="367" t="s">
        <v>9</v>
      </c>
      <c r="C401" s="367" t="s">
        <v>416</v>
      </c>
      <c r="D401" s="434"/>
      <c r="E401" s="434"/>
      <c r="F401" s="434"/>
      <c r="G401" s="434"/>
      <c r="H401" s="434"/>
      <c r="I401" s="435"/>
      <c r="J401" s="435"/>
      <c r="K401" s="435"/>
      <c r="L401" s="435"/>
      <c r="M401" s="435"/>
      <c r="N401" s="435"/>
      <c r="O401" s="435"/>
      <c r="P401" s="435"/>
      <c r="Q401" s="435"/>
      <c r="R401" s="435"/>
      <c r="S401" s="435"/>
      <c r="T401" s="435"/>
      <c r="U401" s="435"/>
      <c r="V401" s="435"/>
      <c r="W401" s="435"/>
      <c r="X401" s="435"/>
      <c r="Y401" s="435"/>
      <c r="Z401" s="435"/>
      <c r="AA401" s="435"/>
      <c r="AB401" s="434"/>
      <c r="AC401" s="434"/>
      <c r="AD401" s="434"/>
      <c r="AE401" s="434"/>
      <c r="AF401" s="434"/>
      <c r="AG401" s="429"/>
      <c r="AH401" s="434"/>
      <c r="AI401" s="434"/>
      <c r="AJ401" s="434"/>
      <c r="AK401" s="434"/>
      <c r="AL401" s="434"/>
      <c r="AM401" s="434"/>
      <c r="AN401" s="434"/>
      <c r="AO401" s="434"/>
      <c r="AP401" s="434"/>
      <c r="AQ401" s="434"/>
      <c r="AR401" s="434"/>
      <c r="AS401" s="434"/>
    </row>
    <row r="403" spans="1:45">
      <c r="C403" s="338" t="s">
        <v>417</v>
      </c>
      <c r="AM403" s="345">
        <v>9407</v>
      </c>
      <c r="AN403" s="345">
        <v>10188</v>
      </c>
      <c r="AO403" s="345">
        <v>11102</v>
      </c>
    </row>
    <row r="404" spans="1:45">
      <c r="C404" s="338" t="s">
        <v>418</v>
      </c>
      <c r="AM404" s="345">
        <v>-3801</v>
      </c>
      <c r="AN404" s="345">
        <v>-4880</v>
      </c>
      <c r="AO404" s="345">
        <v>-6026</v>
      </c>
    </row>
    <row r="405" spans="1:45">
      <c r="C405" s="361" t="s">
        <v>419</v>
      </c>
      <c r="AM405" s="508">
        <f>SUM(AM403:AM404)</f>
        <v>5606</v>
      </c>
      <c r="AN405" s="508">
        <f>SUM(AN403:AN404)</f>
        <v>5308</v>
      </c>
      <c r="AO405" s="508">
        <f>SUM(AO403:AO404)</f>
        <v>5076</v>
      </c>
    </row>
    <row r="407" spans="1:45">
      <c r="C407" s="338" t="s">
        <v>420</v>
      </c>
      <c r="AM407" s="345">
        <v>2160</v>
      </c>
      <c r="AN407" s="345">
        <v>2110</v>
      </c>
      <c r="AO407" s="345">
        <v>2110</v>
      </c>
    </row>
    <row r="408" spans="1:45">
      <c r="C408" s="338" t="s">
        <v>418</v>
      </c>
      <c r="AM408" s="345">
        <v>-708</v>
      </c>
      <c r="AN408" s="345">
        <v>-854</v>
      </c>
      <c r="AO408" s="345">
        <v>-1063</v>
      </c>
    </row>
    <row r="409" spans="1:45">
      <c r="C409" s="361" t="s">
        <v>419</v>
      </c>
      <c r="AM409" s="508">
        <f>SUM(AM407:AM408)</f>
        <v>1452</v>
      </c>
      <c r="AN409" s="508">
        <f>SUM(AN407:AN408)</f>
        <v>1256</v>
      </c>
      <c r="AO409" s="508">
        <f>SUM(AO407:AO408)</f>
        <v>1047</v>
      </c>
    </row>
    <row r="410" spans="1:45">
      <c r="C410" s="361"/>
      <c r="AN410" s="525">
        <f>+AN412-AM412</f>
        <v>-174</v>
      </c>
      <c r="AO410" s="525">
        <f>+AO412-AN412</f>
        <v>-117</v>
      </c>
    </row>
    <row r="411" spans="1:45">
      <c r="C411" s="338" t="s">
        <v>421</v>
      </c>
      <c r="AM411" s="345">
        <v>2975</v>
      </c>
      <c r="AN411" s="345">
        <v>2836</v>
      </c>
      <c r="AO411" s="345">
        <v>2893</v>
      </c>
    </row>
    <row r="412" spans="1:45">
      <c r="C412" s="338" t="s">
        <v>418</v>
      </c>
      <c r="AM412" s="345">
        <v>-1455</v>
      </c>
      <c r="AN412" s="345">
        <v>-1629</v>
      </c>
      <c r="AO412" s="345">
        <v>-1746</v>
      </c>
    </row>
    <row r="413" spans="1:45">
      <c r="C413" s="361" t="s">
        <v>419</v>
      </c>
      <c r="AM413" s="508">
        <f>SUM(AM411:AM412)</f>
        <v>1520</v>
      </c>
      <c r="AN413" s="508">
        <f>SUM(AN411:AN412)</f>
        <v>1207</v>
      </c>
      <c r="AO413" s="508">
        <f>SUM(AO411:AO412)</f>
        <v>1147</v>
      </c>
    </row>
    <row r="414" spans="1:45">
      <c r="C414" s="361"/>
    </row>
    <row r="415" spans="1:45">
      <c r="C415" s="338" t="s">
        <v>422</v>
      </c>
      <c r="AM415" s="345">
        <v>1664</v>
      </c>
      <c r="AN415" s="345">
        <v>954</v>
      </c>
      <c r="AO415" s="345">
        <v>0</v>
      </c>
    </row>
    <row r="416" spans="1:45" customFormat="1">
      <c r="C416" s="338" t="s">
        <v>418</v>
      </c>
      <c r="AM416" s="345">
        <v>0</v>
      </c>
      <c r="AN416" s="345">
        <v>0</v>
      </c>
      <c r="AO416" s="345">
        <v>0</v>
      </c>
    </row>
    <row r="417" spans="3:45" customFormat="1">
      <c r="C417" s="361" t="s">
        <v>419</v>
      </c>
      <c r="AM417" s="508">
        <f>SUM(AM415:AM416)</f>
        <v>1664</v>
      </c>
      <c r="AN417" s="508">
        <f>SUM(AN415:AN416)</f>
        <v>954</v>
      </c>
      <c r="AO417" s="508">
        <f>SUM(AO415:AO416)</f>
        <v>0</v>
      </c>
    </row>
    <row r="418" spans="3:45" customFormat="1"/>
    <row r="419" spans="3:45" customFormat="1">
      <c r="C419" s="338" t="s">
        <v>423</v>
      </c>
      <c r="AM419" s="345">
        <v>585</v>
      </c>
      <c r="AN419" s="345">
        <v>301</v>
      </c>
      <c r="AO419" s="345">
        <v>0</v>
      </c>
    </row>
    <row r="420" spans="3:45" customFormat="1">
      <c r="C420" s="338" t="s">
        <v>418</v>
      </c>
      <c r="AM420" s="345">
        <v>0</v>
      </c>
      <c r="AN420" s="345">
        <v>0</v>
      </c>
      <c r="AO420" s="345">
        <v>0</v>
      </c>
    </row>
    <row r="421" spans="3:45" customFormat="1">
      <c r="C421" s="361" t="s">
        <v>419</v>
      </c>
      <c r="AM421" s="508">
        <f>SUM(AM419:AM420)</f>
        <v>585</v>
      </c>
      <c r="AN421" s="508">
        <f>SUM(AN419:AN420)</f>
        <v>301</v>
      </c>
      <c r="AO421" s="508">
        <f>SUM(AO419:AO420)</f>
        <v>0</v>
      </c>
    </row>
    <row r="422" spans="3:45" customFormat="1"/>
    <row r="423" spans="3:45" customFormat="1">
      <c r="C423" s="515" t="s">
        <v>424</v>
      </c>
      <c r="D423" s="505"/>
      <c r="E423" s="505"/>
      <c r="F423" s="505"/>
      <c r="G423" s="505"/>
      <c r="H423" s="505"/>
      <c r="I423" s="505"/>
      <c r="J423" s="505"/>
      <c r="K423" s="505"/>
      <c r="L423" s="505"/>
      <c r="M423" s="505"/>
      <c r="N423" s="505"/>
      <c r="O423" s="505"/>
      <c r="P423" s="505"/>
      <c r="Q423" s="505"/>
      <c r="R423" s="505"/>
      <c r="S423" s="505"/>
      <c r="T423" s="505"/>
      <c r="U423" s="505"/>
      <c r="V423" s="505"/>
      <c r="W423" s="505"/>
      <c r="X423" s="505"/>
      <c r="Y423" s="505"/>
      <c r="Z423" s="505"/>
      <c r="AA423" s="505"/>
      <c r="AB423" s="505"/>
      <c r="AC423" s="505"/>
      <c r="AD423" s="505"/>
      <c r="AE423" s="505"/>
      <c r="AF423" s="505"/>
      <c r="AG423" s="505"/>
      <c r="AH423" s="505"/>
      <c r="AI423" s="505"/>
      <c r="AJ423" s="505"/>
      <c r="AK423" s="505"/>
      <c r="AL423" s="505"/>
      <c r="AM423" s="375">
        <f t="shared" ref="AM423:AO424" si="580">+AM403+AM407+AM411+AM415+AM419</f>
        <v>16791</v>
      </c>
      <c r="AN423" s="375">
        <f t="shared" si="580"/>
        <v>16389</v>
      </c>
      <c r="AO423" s="375">
        <f t="shared" si="580"/>
        <v>16105</v>
      </c>
      <c r="AP423" s="522">
        <f>+AO423+AP433</f>
        <v>16105</v>
      </c>
      <c r="AQ423" s="523">
        <f>+AP423+AQ433</f>
        <v>17605</v>
      </c>
      <c r="AR423" s="523">
        <f>+AQ423+AR433</f>
        <v>19105</v>
      </c>
      <c r="AS423" s="524">
        <f>+AR423+AS433</f>
        <v>20605</v>
      </c>
    </row>
    <row r="424" spans="3:45" customFormat="1">
      <c r="C424" s="516" t="s">
        <v>418</v>
      </c>
      <c r="AM424" s="344">
        <f t="shared" si="580"/>
        <v>-5964</v>
      </c>
      <c r="AN424" s="344">
        <f t="shared" si="580"/>
        <v>-7363</v>
      </c>
      <c r="AO424" s="344">
        <f t="shared" si="580"/>
        <v>-8835</v>
      </c>
      <c r="AS424" s="506"/>
    </row>
    <row r="425" spans="3:45">
      <c r="C425" s="517" t="s">
        <v>419</v>
      </c>
      <c r="D425" s="518"/>
      <c r="E425" s="518"/>
      <c r="F425" s="518"/>
      <c r="G425" s="518"/>
      <c r="H425" s="518"/>
      <c r="I425" s="518"/>
      <c r="J425" s="518"/>
      <c r="K425" s="518"/>
      <c r="L425" s="518"/>
      <c r="M425" s="518"/>
      <c r="N425" s="518"/>
      <c r="O425" s="518"/>
      <c r="P425" s="518"/>
      <c r="Q425" s="518"/>
      <c r="R425" s="518"/>
      <c r="S425" s="518"/>
      <c r="T425" s="518"/>
      <c r="U425" s="518"/>
      <c r="V425" s="518"/>
      <c r="W425" s="518"/>
      <c r="X425" s="518"/>
      <c r="Y425" s="518"/>
      <c r="Z425" s="518"/>
      <c r="AA425" s="518"/>
      <c r="AB425" s="518"/>
      <c r="AC425" s="518"/>
      <c r="AD425" s="518"/>
      <c r="AE425" s="518"/>
      <c r="AF425" s="518"/>
      <c r="AG425" s="519"/>
      <c r="AH425" s="518"/>
      <c r="AI425" s="518"/>
      <c r="AJ425" s="518"/>
      <c r="AK425" s="518"/>
      <c r="AL425" s="518"/>
      <c r="AM425" s="520">
        <f>SUM(AM423:AM424)</f>
        <v>10827</v>
      </c>
      <c r="AN425" s="520">
        <f>SUM(AN423:AN424)</f>
        <v>9026</v>
      </c>
      <c r="AO425" s="520">
        <f>SUM(AO423:AO424)</f>
        <v>7270</v>
      </c>
      <c r="AP425" s="518"/>
      <c r="AQ425" s="518"/>
      <c r="AR425" s="518"/>
      <c r="AS425" s="521"/>
    </row>
    <row r="426" spans="3:45">
      <c r="AM426" s="371"/>
      <c r="AN426" s="525">
        <f>+AN424-AM424</f>
        <v>-1399</v>
      </c>
      <c r="AO426" s="525">
        <f>+AO424-AN424</f>
        <v>-1472</v>
      </c>
    </row>
    <row r="427" spans="3:45">
      <c r="C427" s="338" t="s">
        <v>417</v>
      </c>
      <c r="AC427" s="372">
        <f>+$AP427/4</f>
        <v>308.38237689812769</v>
      </c>
      <c r="AD427" s="372">
        <f t="shared" ref="AD427:AF429" si="581">+$AP427/4</f>
        <v>308.38237689812769</v>
      </c>
      <c r="AE427" s="372">
        <f t="shared" si="581"/>
        <v>308.38237689812769</v>
      </c>
      <c r="AF427" s="372">
        <f t="shared" si="581"/>
        <v>308.38237689812769</v>
      </c>
      <c r="AL427" s="345">
        <v>1105</v>
      </c>
      <c r="AM427" s="345">
        <v>1124</v>
      </c>
      <c r="AN427" s="345">
        <v>1211</v>
      </c>
      <c r="AO427" s="345">
        <v>1283</v>
      </c>
      <c r="AP427" s="372">
        <f>+AVERAGE($AL427:$AO427)/AVERAGE($AL$430:$AO$430)*AP$430</f>
        <v>1233.5295075925108</v>
      </c>
      <c r="AQ427" s="372">
        <f>+AVERAGE($AL427:$AO427)/AVERAGE($AL$430:$AO$430)*AQ$430</f>
        <v>1233.5295075925108</v>
      </c>
      <c r="AR427" s="372">
        <f>+AVERAGE($AL427:$AO427)/AVERAGE($AL$430:$AO$430)*AR$430</f>
        <v>1233.5295075925108</v>
      </c>
      <c r="AS427" s="372">
        <f>+AVERAGE($AL427:$AO427)/AVERAGE($AL$430:$AO$430)*AS$430</f>
        <v>1233.5295075925108</v>
      </c>
    </row>
    <row r="428" spans="3:45">
      <c r="C428" s="338" t="s">
        <v>420</v>
      </c>
      <c r="AC428" s="372">
        <f>+$AP428/4</f>
        <v>53.14911174996314</v>
      </c>
      <c r="AD428" s="372">
        <f t="shared" si="581"/>
        <v>53.14911174996314</v>
      </c>
      <c r="AE428" s="372">
        <f t="shared" si="581"/>
        <v>53.14911174996314</v>
      </c>
      <c r="AF428" s="372">
        <f t="shared" si="581"/>
        <v>53.14911174996314</v>
      </c>
      <c r="AL428" s="345">
        <v>200</v>
      </c>
      <c r="AM428" s="345">
        <v>200</v>
      </c>
      <c r="AN428" s="345">
        <v>205</v>
      </c>
      <c r="AO428" s="345">
        <v>209</v>
      </c>
      <c r="AP428" s="372">
        <f t="shared" ref="AP428:AS429" si="582">+AVERAGE($AL428:$AO428)/AVERAGE($AL$430:$AO$430)*AP$430</f>
        <v>212.59644699985256</v>
      </c>
      <c r="AQ428" s="372">
        <f t="shared" si="582"/>
        <v>212.59644699985256</v>
      </c>
      <c r="AR428" s="372">
        <f t="shared" si="582"/>
        <v>212.59644699985256</v>
      </c>
      <c r="AS428" s="372">
        <f t="shared" si="582"/>
        <v>212.59644699985256</v>
      </c>
    </row>
    <row r="429" spans="3:45">
      <c r="C429" s="338" t="s">
        <v>421</v>
      </c>
      <c r="AC429" s="372">
        <f>+$AP429/4</f>
        <v>81.356011351909174</v>
      </c>
      <c r="AD429" s="372">
        <f t="shared" si="581"/>
        <v>81.356011351909174</v>
      </c>
      <c r="AE429" s="372">
        <f t="shared" si="581"/>
        <v>81.356011351909174</v>
      </c>
      <c r="AF429" s="372">
        <f t="shared" si="581"/>
        <v>81.356011351909174</v>
      </c>
      <c r="AL429" s="345">
        <v>260</v>
      </c>
      <c r="AM429" s="345">
        <v>298</v>
      </c>
      <c r="AN429" s="345">
        <v>341</v>
      </c>
      <c r="AO429" s="345">
        <v>347</v>
      </c>
      <c r="AP429" s="372">
        <f t="shared" si="582"/>
        <v>325.4240454076367</v>
      </c>
      <c r="AQ429" s="372">
        <f t="shared" si="582"/>
        <v>325.4240454076367</v>
      </c>
      <c r="AR429" s="372">
        <f t="shared" si="582"/>
        <v>325.4240454076367</v>
      </c>
      <c r="AS429" s="372">
        <f t="shared" si="582"/>
        <v>325.4240454076367</v>
      </c>
    </row>
    <row r="430" spans="3:45" s="342" customFormat="1">
      <c r="C430" s="343" t="s">
        <v>425</v>
      </c>
      <c r="AC430" s="341">
        <f>SUM(AC427:AC429)</f>
        <v>442.88749999999999</v>
      </c>
      <c r="AD430" s="341">
        <f>SUM(AD427:AD429)</f>
        <v>442.88749999999999</v>
      </c>
      <c r="AE430" s="341">
        <f>SUM(AE427:AE429)</f>
        <v>442.88749999999999</v>
      </c>
      <c r="AF430" s="341">
        <f>SUM(AF427:AF429)</f>
        <v>442.88749999999999</v>
      </c>
      <c r="AG430" s="36"/>
      <c r="AL430" s="341">
        <f>SUM(AL427:AL429)</f>
        <v>1565</v>
      </c>
      <c r="AM430" s="341">
        <f>SUM(AM427:AM429)</f>
        <v>1622</v>
      </c>
      <c r="AN430" s="341">
        <f>SUM(AN427:AN429)</f>
        <v>1757</v>
      </c>
      <c r="AO430" s="341">
        <f>SUM(AO427:AO429)</f>
        <v>1839</v>
      </c>
      <c r="AP430" s="341">
        <f>-AP434</f>
        <v>1771.55</v>
      </c>
      <c r="AQ430" s="341">
        <f>-AQ434</f>
        <v>1771.55</v>
      </c>
      <c r="AR430" s="341">
        <f>-AR434</f>
        <v>1771.55</v>
      </c>
      <c r="AS430" s="341">
        <f>-AS434</f>
        <v>1771.55</v>
      </c>
    </row>
    <row r="432" spans="3:45">
      <c r="C432" s="438" t="s">
        <v>426</v>
      </c>
      <c r="AC432" s="372">
        <f>AB210</f>
        <v>7270</v>
      </c>
      <c r="AD432" s="372">
        <f>AC435</f>
        <v>6827.1125000000002</v>
      </c>
      <c r="AE432" s="372">
        <f>AD435</f>
        <v>6384.2250000000004</v>
      </c>
      <c r="AF432" s="372">
        <f>AE435</f>
        <v>5941.3375000000005</v>
      </c>
      <c r="AH432" s="372"/>
      <c r="AI432" s="372">
        <f>AH435</f>
        <v>4446</v>
      </c>
      <c r="AJ432" s="372">
        <f t="shared" ref="AJ432:AS432" si="583">AI435</f>
        <v>3933</v>
      </c>
      <c r="AK432" s="372">
        <f t="shared" si="583"/>
        <v>9494</v>
      </c>
      <c r="AL432" s="372">
        <f t="shared" si="583"/>
        <v>12745</v>
      </c>
      <c r="AM432" s="372">
        <f t="shared" si="583"/>
        <v>11836</v>
      </c>
      <c r="AN432" s="372">
        <f t="shared" si="583"/>
        <v>10827</v>
      </c>
      <c r="AO432" s="372">
        <f t="shared" si="583"/>
        <v>9026</v>
      </c>
      <c r="AP432" s="372">
        <f t="shared" si="583"/>
        <v>7270</v>
      </c>
      <c r="AQ432" s="372">
        <f t="shared" si="583"/>
        <v>5498.45</v>
      </c>
      <c r="AR432" s="372">
        <f t="shared" si="583"/>
        <v>5226.8999999999996</v>
      </c>
      <c r="AS432" s="372">
        <f t="shared" si="583"/>
        <v>4955.3499999999995</v>
      </c>
    </row>
    <row r="433" spans="2:45">
      <c r="C433" s="438" t="s">
        <v>427</v>
      </c>
      <c r="AC433" s="213">
        <v>0</v>
      </c>
      <c r="AD433" s="213">
        <v>0</v>
      </c>
      <c r="AE433" s="213">
        <v>0</v>
      </c>
      <c r="AF433" s="213">
        <v>0</v>
      </c>
      <c r="AH433" s="372"/>
      <c r="AI433" s="345">
        <v>0</v>
      </c>
      <c r="AJ433" s="345">
        <v>0</v>
      </c>
      <c r="AK433" s="345">
        <v>0</v>
      </c>
      <c r="AL433" s="345">
        <v>0</v>
      </c>
      <c r="AM433" s="345">
        <v>0</v>
      </c>
      <c r="AN433" s="345">
        <v>0</v>
      </c>
      <c r="AO433" s="345">
        <v>0</v>
      </c>
      <c r="AP433" s="344">
        <f>+SUMIF($E$5:$AF$5,AP$5,$E433:$AF433)</f>
        <v>0</v>
      </c>
      <c r="AQ433" s="213">
        <v>1500</v>
      </c>
      <c r="AR433" s="213">
        <v>1500</v>
      </c>
      <c r="AS433" s="213">
        <v>1500</v>
      </c>
    </row>
    <row r="434" spans="2:45">
      <c r="C434" s="338" t="s">
        <v>428</v>
      </c>
      <c r="AC434" s="236">
        <f>+$AP$434/4</f>
        <v>-442.88749999999999</v>
      </c>
      <c r="AD434" s="236">
        <f>+$AP$434/4</f>
        <v>-442.88749999999999</v>
      </c>
      <c r="AE434" s="236">
        <f>+$AP$434/4</f>
        <v>-442.88749999999999</v>
      </c>
      <c r="AF434" s="236">
        <f>+$AP$434/4</f>
        <v>-442.88749999999999</v>
      </c>
      <c r="AG434"/>
      <c r="AH434" s="372"/>
      <c r="AI434" s="372">
        <f t="shared" ref="AI434:AO434" si="584">-AI309</f>
        <v>-890</v>
      </c>
      <c r="AJ434" s="372">
        <f t="shared" si="584"/>
        <v>-1524</v>
      </c>
      <c r="AK434" s="372">
        <f t="shared" si="584"/>
        <v>-1377</v>
      </c>
      <c r="AL434" s="372">
        <f t="shared" si="584"/>
        <v>-1565</v>
      </c>
      <c r="AM434" s="372">
        <f t="shared" si="584"/>
        <v>-1622</v>
      </c>
      <c r="AN434" s="372">
        <f t="shared" si="584"/>
        <v>-1757</v>
      </c>
      <c r="AO434" s="372">
        <f t="shared" si="584"/>
        <v>-1839</v>
      </c>
      <c r="AP434" s="344">
        <f>-AO423*AP437</f>
        <v>-1771.55</v>
      </c>
      <c r="AQ434" s="509">
        <f>+AP434</f>
        <v>-1771.55</v>
      </c>
      <c r="AR434" s="509">
        <f>+AQ434</f>
        <v>-1771.55</v>
      </c>
      <c r="AS434" s="509">
        <f>+AR434</f>
        <v>-1771.55</v>
      </c>
    </row>
    <row r="435" spans="2:45" s="342" customFormat="1">
      <c r="C435" s="343" t="s">
        <v>429</v>
      </c>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c r="AA435" s="338"/>
      <c r="AB435" s="338"/>
      <c r="AC435" s="341">
        <f>SUM(AC432:AC434)</f>
        <v>6827.1125000000002</v>
      </c>
      <c r="AD435" s="341">
        <f>SUM(AD432:AD434)</f>
        <v>6384.2250000000004</v>
      </c>
      <c r="AE435" s="341">
        <f>SUM(AE432:AE434)</f>
        <v>5941.3375000000005</v>
      </c>
      <c r="AF435" s="341">
        <f>SUM(AF432:AF434)</f>
        <v>5498.4500000000007</v>
      </c>
      <c r="AG435" s="36"/>
      <c r="AH435" s="341">
        <f t="shared" ref="AH435:AO435" si="585">AH210</f>
        <v>4446</v>
      </c>
      <c r="AI435" s="341">
        <f t="shared" si="585"/>
        <v>3933</v>
      </c>
      <c r="AJ435" s="341">
        <f t="shared" si="585"/>
        <v>9494</v>
      </c>
      <c r="AK435" s="341">
        <f t="shared" si="585"/>
        <v>12745</v>
      </c>
      <c r="AL435" s="341">
        <f t="shared" si="585"/>
        <v>11836</v>
      </c>
      <c r="AM435" s="341">
        <f t="shared" si="585"/>
        <v>10827</v>
      </c>
      <c r="AN435" s="341">
        <f t="shared" si="585"/>
        <v>9026</v>
      </c>
      <c r="AO435" s="341">
        <f t="shared" si="585"/>
        <v>7270</v>
      </c>
      <c r="AP435" s="341">
        <f>SUM(AP432:AP434)</f>
        <v>5498.45</v>
      </c>
      <c r="AQ435" s="341">
        <f>SUM(AQ432:AQ434)</f>
        <v>5226.8999999999996</v>
      </c>
      <c r="AR435" s="341">
        <f>SUM(AR432:AR434)</f>
        <v>4955.3499999999995</v>
      </c>
      <c r="AS435" s="341">
        <f>SUM(AS432:AS434)</f>
        <v>4683.7999999999993</v>
      </c>
    </row>
    <row r="437" spans="2:45">
      <c r="C437" s="346" t="s">
        <v>430</v>
      </c>
      <c r="AC437" s="416"/>
      <c r="AD437" s="416"/>
      <c r="AE437" s="416"/>
      <c r="AF437" s="416"/>
      <c r="AI437" s="416"/>
      <c r="AJ437" s="416"/>
      <c r="AK437" s="416"/>
      <c r="AL437" s="416"/>
      <c r="AM437" s="416"/>
      <c r="AN437" s="416">
        <f>-AN434/AM423</f>
        <v>0.10463939014948484</v>
      </c>
      <c r="AO437" s="416">
        <f>-AO434/AN423</f>
        <v>0.11220940874977119</v>
      </c>
      <c r="AP437" s="46">
        <v>0.11</v>
      </c>
    </row>
    <row r="445" spans="2:45">
      <c r="B445" s="338" t="s">
        <v>9</v>
      </c>
    </row>
  </sheetData>
  <hyperlinks>
    <hyperlink ref="AU189" r:id="rId1" xr:uid="{D4C2C55D-3BAA-49FE-88AA-219C452433EF}"/>
  </hyperlinks>
  <pageMargins left="0.70866141732283472" right="0.70866141732283472" top="0.74803149606299213" bottom="0.74803149606299213" header="0.31496062992125984" footer="0.31496062992125984"/>
  <pageSetup scale="16" orientation="portrait" horizontalDpi="300" verticalDpi="300" r:id="rId2"/>
  <ignoredErrors>
    <ignoredError sqref="AG292:AG295 A238:AH238 A296:AG296 A291:AG291 A302:W302 AC8:AG9 A8:D10 AG10:AO10 A11:AO11 AQ11:AS11 A19:AS19 A18:AB18 AG18:AO18 A17:AO17 A16:C16 AG16:AO16 A14:AS15 A12:C13 AG13:AI13 AG21:AS21 A21:AB21 AG20:AO20 A23:AS23 A27:AS27 A26:AB26 AG26:AO26 A25:AO25 A24:C24 AG24:AO24 A35:AS35 A28:AB28 AG28:AO28 A33:AO33 A29:AO29 A30:D30 AG30 A34:AB34 AG34:AO34 A32:C32 AG32:AO32 E16:AB16 A20:C20 E20:AB20 E24:AB24 E32:AB32 A46:AS47 A43:C43 E43:AB43 A39:AS39 A40:AB40 AG40:AO40 AG43:AO43 AT43:XFD43 A52:G53 I52:K53 M52:O53 Q52:S53 U52:W53 Y52:AA53 AG52:AO53 A50:AS51 A48:AB49 AG48:AO49 A290:X290 Z290:AG290 A305:AC305 A303:D303 AG303:AS303 A304:AB304 A205:AC205 AG197:AO197 A359:AC367 A292:G295 A213:AC213 A197:AB198 A230:AC230 A228:AB229 A231:AB237 AG233:AO237 E12:AS12 E13:AB13 A196:D196 A206:AB212 A214:AB226 A308:AC308 A311:AC315 A320:AC321 A316:AB319 A325:AC325 A322:AB324 A327:AC327 A326:AB326 A341:AC341 A328:AB340 A354:AC354 A353:AB353 A369:AS369 A368:AB368 A355:AB358 AG355:AI355 A344:AC345 A342:AB343 AG358:AO368 AG304:AO324 AG325:AP325 AG326:AO340 AG341:AP341 AG354:AP354 AH198:AO226 AH228:AO232 AG356:AH356 AJ296:AO296 AT292:XFD296 AJ290:AS291 AY290:XFD291 AT23:XFD24 AT26:XFD30 AQ25:XFD25 AT32:XFD40 A1:XFD4 AT385:XFD392 AT195:XFD226 AT228:XFD238 A522:XFD1048576 A195:AA195 AC195:AL195 AC302:AS302 A36:AB38 A309:AB310 AG126:AL126 AG118:AL118 AG119 AC120:AL120 AG122 AG135:AL135 AG140:AK140 AG136 AG149:AL149 A118:D120 AP120:XFD120 AG131 AG144 AG154 AG175:AG176 A175:D176 AT166:XFD166 A166:D166 A147:D150 AG150 A138:D141 AG141 A169:D172 AG169:AG172 AG124:AH124 AG134:AH134 AG166 A124:B124 AT124:XFD124 A131:D131 AT131:XFD131 AT144:XFD144 A144:D144 AG139:AI139 AC160:AG160 A160:D160 AT116:XFD116 A116:D116 AK13:AO13 AT122:XFD122 A122:B122 AG138 A384:A392 AC196 AE196:AL196 AR195:AS196 A126:D126 AG127 A134:D136 AT134:XFD136 D122 A127:B127 D127 AC163:AG164 A163:D164 AP163:XFD164 A113:AF114 A349:AC352 A348:AB348 A347:AC347 A346:AB346 AG36:AO38 A200:AB204 A199:AA199 AT10:XFD10 AU8:XFD9 AT15:XFD21 AX11:XFD14 D124 AU118:XFD119 AT126:XFD127 AT138:XFD141 AT147:XFD147 A306:AB307 AP160:XFD160 A154:D158 AG158 AT149:XFD150 AT148 AV148:XFD148 AT384 AV384:XFD384 AG147:AH148 AG155:AK157 AT154:XFD158 AT169:XFD172 AT175:XFD176 AT46:XFD53 AT302:XFD345 AJ238:AS238 AM355:AO355 AK355 AG342:AO351 AT347:XFD369 AT346:BL346 BN346:XFD346 AG357 AI357:AO357 AG353:AO353 AG352 AI352:AO352 AH113:XFD114 A6:XFD7 A5:C5 E5:XFD5" formula="1"/>
    <ignoredError sqref="H295" formula="1" formulaRange="1"/>
    <ignoredError sqref="H294:AB294 I295:AB295 H292:AB292 H293:AB293 AN95:AO101 AH93:AO94 AH95:AM101" formulaRange="1"/>
  </ignoredErrors>
  <drawing r:id="rId3"/>
  <legacyDrawing r:id="rId4"/>
  <extLst>
    <ext xmlns:x14="http://schemas.microsoft.com/office/spreadsheetml/2009/9/main" uri="{05C60535-1F16-4fd2-B633-F4F36F0B64E0}">
      <x14:sparklineGroups xmlns:xm="http://schemas.microsoft.com/office/excel/2006/main">
        <x14:sparklineGroup manualMax="0" manualMin="0" displayEmptyCellsAs="gap" high="1" low="1" xr2:uid="{BA4B8DFD-6CF6-462E-8B66-ECB607685C55}">
          <x14:colorSeries rgb="FF376092"/>
          <x14:colorNegative rgb="FFD00000"/>
          <x14:colorAxis rgb="FF000000"/>
          <x14:colorMarkers rgb="FFD00000"/>
          <x14:colorFirst rgb="FFD00000"/>
          <x14:colorLast rgb="FFD00000"/>
          <x14:colorHigh rgb="FFD00000"/>
          <x14:colorLow rgb="FFD00000"/>
          <x14:sparklines>
            <x14:sparkline>
              <xm:f>Financials!AN72:AS72</xm:f>
              <xm:sqref>D72</xm:sqref>
            </x14:sparkline>
          </x14:sparklines>
        </x14:sparklineGroup>
        <x14:sparklineGroup manualMax="0" manualMin="0" displayEmptyCellsAs="gap" high="1" low="1" xr2:uid="{5CD70A02-B5DF-4EC5-9A4B-79F0AC3713EF}">
          <x14:colorSeries rgb="FF376092"/>
          <x14:colorNegative rgb="FFD00000"/>
          <x14:colorAxis rgb="FF000000"/>
          <x14:colorMarkers rgb="FFD00000"/>
          <x14:colorFirst rgb="FFD00000"/>
          <x14:colorLast rgb="FFD00000"/>
          <x14:colorHigh rgb="FFD00000"/>
          <x14:colorLow rgb="FFD00000"/>
          <x14:sparklines>
            <x14:sparkline>
              <xm:f>Financials!E43:AF43</xm:f>
              <xm:sqref>D43</xm:sqref>
            </x14:sparkline>
          </x14:sparklines>
        </x14:sparklineGroup>
        <x14:sparklineGroup manualMax="0" manualMin="0" displayEmptyCellsAs="gap" high="1" low="1" xr2:uid="{F59BECD8-4A17-462D-95B5-CFBABF576705}">
          <x14:colorSeries rgb="FF376092"/>
          <x14:colorNegative rgb="FFD00000"/>
          <x14:colorAxis rgb="FF000000"/>
          <x14:colorMarkers rgb="FFD00000"/>
          <x14:colorFirst rgb="FFD00000"/>
          <x14:colorLast rgb="FFD00000"/>
          <x14:colorHigh rgb="FFD00000"/>
          <x14:colorLow rgb="FFD00000"/>
          <x14:sparklines>
            <x14:sparkline>
              <xm:f>Financials!E32:AF32</xm:f>
              <xm:sqref>D32</xm:sqref>
            </x14:sparkline>
          </x14:sparklines>
        </x14:sparklineGroup>
        <x14:sparklineGroup manualMax="0" manualMin="0" displayEmptyCellsAs="gap" high="1" low="1" xr2:uid="{E187FD36-FA7C-4AB1-988D-9D6BF5EB9319}">
          <x14:colorSeries rgb="FF376092"/>
          <x14:colorNegative rgb="FFD00000"/>
          <x14:colorAxis rgb="FF000000"/>
          <x14:colorMarkers rgb="FFD00000"/>
          <x14:colorFirst rgb="FFD00000"/>
          <x14:colorLast rgb="FFD00000"/>
          <x14:colorHigh rgb="FFD00000"/>
          <x14:colorLow rgb="FFD00000"/>
          <x14:sparklines>
            <x14:sparkline>
              <xm:f>Financials!E24:AF24</xm:f>
              <xm:sqref>D24</xm:sqref>
            </x14:sparkline>
          </x14:sparklines>
        </x14:sparklineGroup>
        <x14:sparklineGroup manualMax="0" manualMin="0" displayEmptyCellsAs="gap" high="1" low="1" xr2:uid="{CCD3940F-F04A-4E88-9291-E7C744A3C99B}">
          <x14:colorSeries rgb="FF376092"/>
          <x14:colorNegative rgb="FFD00000"/>
          <x14:colorAxis rgb="FF000000"/>
          <x14:colorMarkers rgb="FFD00000"/>
          <x14:colorFirst rgb="FFD00000"/>
          <x14:colorLast rgb="FFD00000"/>
          <x14:colorHigh rgb="FFD00000"/>
          <x14:colorLow rgb="FFD00000"/>
          <x14:sparklines>
            <x14:sparkline>
              <xm:f>Financials!E20:AF20</xm:f>
              <xm:sqref>D20</xm:sqref>
            </x14:sparkline>
          </x14:sparklines>
        </x14:sparklineGroup>
        <x14:sparklineGroup manualMax="0" manualMin="0" displayEmptyCellsAs="gap" high="1" low="1" xr2:uid="{7AF98B15-47A4-4B3B-9C03-7CAA6E5C9105}">
          <x14:colorSeries rgb="FF376092"/>
          <x14:colorNegative rgb="FFD00000"/>
          <x14:colorAxis rgb="FF000000"/>
          <x14:colorMarkers rgb="FFD00000"/>
          <x14:colorFirst rgb="FFD00000"/>
          <x14:colorLast rgb="FFD00000"/>
          <x14:colorHigh rgb="FFD00000"/>
          <x14:colorLow rgb="FFD00000"/>
          <x14:sparklines>
            <x14:sparkline>
              <xm:f>Financials!E16:AF16</xm:f>
              <xm:sqref>D16</xm:sqref>
            </x14:sparkline>
          </x14:sparklines>
        </x14:sparklineGroup>
        <x14:sparklineGroup manualMax="0" manualMin="0" displayEmptyCellsAs="gap" high="1" low="1" xr2:uid="{206DA156-EA58-42D9-BB8B-6D403AFE8038}">
          <x14:colorSeries rgb="FF376092"/>
          <x14:colorNegative rgb="FFD00000"/>
          <x14:colorAxis rgb="FF000000"/>
          <x14:colorMarkers rgb="FFD00000"/>
          <x14:colorFirst rgb="FFD00000"/>
          <x14:colorLast rgb="FFD00000"/>
          <x14:colorHigh rgb="FFD00000"/>
          <x14:colorLow rgb="FFD00000"/>
          <x14:sparklines>
            <x14:sparkline>
              <xm:f>Financials!E10:AF10</xm:f>
              <xm:sqref>D10</xm:sqref>
            </x14:sparkline>
          </x14:sparklines>
        </x14:sparklineGroup>
        <x14:sparklineGroup manualMax="0" manualMin="0" displayEmptyCellsAs="gap" high="1" low="1" xr2:uid="{7DE71377-0779-4CCD-8CA8-473EDB2B80F9}">
          <x14:colorSeries rgb="FF376092"/>
          <x14:colorNegative rgb="FFD00000"/>
          <x14:colorAxis rgb="FF000000"/>
          <x14:colorMarkers rgb="FFD00000"/>
          <x14:colorFirst rgb="FFD00000"/>
          <x14:colorLast rgb="FFD00000"/>
          <x14:colorHigh rgb="FFD00000"/>
          <x14:colorLow rgb="FFD00000"/>
          <x14:sparklines>
            <x14:sparkline>
              <xm:f>Financials!E13:AF13</xm:f>
              <xm:sqref>D13</xm:sqref>
            </x14:sparkline>
          </x14:sparklines>
        </x14:sparklineGroup>
        <x14:sparklineGroup manualMax="0" manualMin="0" displayEmptyCellsAs="gap" high="1" low="1" xr2:uid="{06813568-34BC-46A4-9A45-5745D9824B5A}">
          <x14:colorSeries rgb="FF376092"/>
          <x14:colorNegative rgb="FFD00000"/>
          <x14:colorAxis rgb="FF000000"/>
          <x14:colorMarkers rgb="FFD00000"/>
          <x14:colorFirst rgb="FFD00000"/>
          <x14:colorLast rgb="FFD00000"/>
          <x14:colorHigh rgb="FFD00000"/>
          <x14:colorLow rgb="FFD00000"/>
          <x14:sparklines>
            <x14:sparkline>
              <xm:f>Financials!AN57:AS57</xm:f>
              <xm:sqref>D57</xm:sqref>
            </x14:sparkline>
            <x14:sparkline>
              <xm:f>Financials!AN58:AS58</xm:f>
              <xm:sqref>D58</xm:sqref>
            </x14:sparkline>
            <x14:sparkline>
              <xm:f>Financials!AN59:AS59</xm:f>
              <xm:sqref>D59</xm:sqref>
            </x14:sparkline>
            <x14:sparkline>
              <xm:f>Financials!AN60:AS60</xm:f>
              <xm:sqref>D60</xm:sqref>
            </x14:sparkline>
            <x14:sparkline>
              <xm:f>Financials!AN61:AS61</xm:f>
              <xm:sqref>D61</xm:sqref>
            </x14:sparkline>
          </x14:sparklines>
        </x14:sparklineGroup>
        <x14:sparklineGroup manualMax="0" manualMin="0" displayEmptyCellsAs="gap" high="1" low="1" xr2:uid="{DC4A8B82-189E-4426-94FB-09064BA68DBF}">
          <x14:colorSeries rgb="FF376092"/>
          <x14:colorNegative rgb="FFD00000"/>
          <x14:colorAxis rgb="FF000000"/>
          <x14:colorMarkers rgb="FFD00000"/>
          <x14:colorFirst rgb="FFD00000"/>
          <x14:colorLast rgb="FFD00000"/>
          <x14:colorHigh rgb="FFD00000"/>
          <x14:colorLow rgb="FFD00000"/>
          <x14:sparklines>
            <x14:sparkline>
              <xm:f>Financials!AN64:AS64</xm:f>
              <xm:sqref>D64</xm:sqref>
            </x14:sparkline>
            <x14:sparkline>
              <xm:f>Financials!AN65:AS65</xm:f>
              <xm:sqref>D65</xm:sqref>
            </x14:sparkline>
          </x14:sparklines>
        </x14:sparklineGroup>
        <x14:sparklineGroup manualMax="0" manualMin="0" displayEmptyCellsAs="gap" high="1" low="1" xr2:uid="{FC0092B7-DD94-4846-B2AE-0175896BF521}">
          <x14:colorSeries rgb="FF376092"/>
          <x14:colorNegative rgb="FFD00000"/>
          <x14:colorAxis rgb="FF000000"/>
          <x14:colorMarkers rgb="FFD00000"/>
          <x14:colorFirst rgb="FFD00000"/>
          <x14:colorLast rgb="FFD00000"/>
          <x14:colorHigh rgb="FFD00000"/>
          <x14:colorLow rgb="FFD00000"/>
          <x14:sparklines>
            <x14:sparkline>
              <xm:f>Financials!AN73:AS73</xm:f>
              <xm:sqref>D73</xm:sqref>
            </x14:sparkline>
            <x14:sparkline>
              <xm:f>Financials!AN74:AS74</xm:f>
              <xm:sqref>D74</xm:sqref>
            </x14:sparkline>
            <x14:sparkline>
              <xm:f>Financials!AN75:AS75</xm:f>
              <xm:sqref>D75</xm:sqref>
            </x14:sparkline>
            <x14:sparkline>
              <xm:f>Financials!AN76:AS76</xm:f>
              <xm:sqref>D76</xm:sqref>
            </x14:sparkline>
            <x14:sparkline>
              <xm:f>Financials!AN77:AS77</xm:f>
              <xm:sqref>D77</xm:sqref>
            </x14:sparkline>
            <x14:sparkline>
              <xm:f>Financials!AN78:AS78</xm:f>
              <xm:sqref>D78</xm:sqref>
            </x14:sparkline>
            <x14:sparkline>
              <xm:f>Financials!AN79:AS79</xm:f>
              <xm:sqref>D79</xm:sqref>
            </x14:sparkline>
            <x14:sparkline>
              <xm:f>Financials!AN80:AS80</xm:f>
              <xm:sqref>D80</xm:sqref>
            </x14:sparkline>
            <x14:sparkline>
              <xm:f>Financials!AN81:AS81</xm:f>
              <xm:sqref>D81</xm:sqref>
            </x14:sparkline>
            <x14:sparkline>
              <xm:f>Financials!AN82:AS82</xm:f>
              <xm:sqref>D82</xm:sqref>
            </x14:sparkline>
            <x14:sparkline>
              <xm:f>Financials!AN83:AS83</xm:f>
              <xm:sqref>D83</xm:sqref>
            </x14:sparkline>
            <x14:sparkline>
              <xm:f>Financials!AN84:AS84</xm:f>
              <xm:sqref>D84</xm:sqref>
            </x14:sparkline>
            <x14:sparkline>
              <xm:f>Financials!AN85:AS85</xm:f>
              <xm:sqref>D85</xm:sqref>
            </x14:sparkline>
            <x14:sparkline>
              <xm:f>Financials!AN86:AS86</xm:f>
              <xm:sqref>D86</xm:sqref>
            </x14:sparkline>
            <x14:sparkline>
              <xm:f>Financials!AN87:AS87</xm:f>
              <xm:sqref>D87</xm:sqref>
            </x14:sparkline>
          </x14:sparklines>
        </x14:sparklineGroup>
        <x14:sparklineGroup manualMax="0" manualMin="0" displayEmptyCellsAs="gap" high="1" low="1" xr2:uid="{1BCB8C89-76ED-4564-AC4B-77419832C15E}">
          <x14:colorSeries rgb="FF376092"/>
          <x14:colorNegative rgb="FFD00000"/>
          <x14:colorAxis rgb="FF000000"/>
          <x14:colorMarkers rgb="FFD00000"/>
          <x14:colorFirst rgb="FFD00000"/>
          <x14:colorLast rgb="FFD00000"/>
          <x14:colorHigh rgb="FFD00000"/>
          <x14:colorLow rgb="FFD00000"/>
          <x14:sparklines>
            <x14:sparkline>
              <xm:f>Financials!AN109:AS109</xm:f>
              <xm:sqref>D109</xm:sqref>
            </x14:sparkline>
            <x14:sparkline>
              <xm:f>Financials!AN110:AS110</xm:f>
              <xm:sqref>D110</xm:sqref>
            </x14:sparkline>
          </x14:sparklines>
        </x14:sparklineGroup>
        <x14:sparklineGroup manualMax="0" manualMin="0" displayEmptyCellsAs="gap" high="1" low="1" xr2:uid="{88A67EEA-113A-4654-9EC1-F0220CD952AE}">
          <x14:colorSeries rgb="FF376092"/>
          <x14:colorNegative rgb="FFD00000"/>
          <x14:colorAxis rgb="FF000000"/>
          <x14:colorMarkers rgb="FFD00000"/>
          <x14:colorFirst rgb="FFD00000"/>
          <x14:colorLast rgb="FFD00000"/>
          <x14:colorHigh rgb="FFD00000"/>
          <x14:colorLow rgb="FFD00000"/>
          <x14:sparklines>
            <x14:sparkline>
              <xm:f>Financials!AN108:AS108</xm:f>
              <xm:sqref>D108</xm:sqref>
            </x14:sparkline>
          </x14:sparklines>
        </x14:sparklineGroup>
        <x14:sparklineGroup manualMax="0" manualMin="0" displayEmptyCellsAs="gap" high="1" low="1" xr2:uid="{5FDD3708-817B-4FD6-BC48-8D0A162820C3}">
          <x14:colorSeries rgb="FF376092"/>
          <x14:colorNegative rgb="FFD00000"/>
          <x14:colorAxis rgb="FF000000"/>
          <x14:colorMarkers rgb="FFD00000"/>
          <x14:colorFirst rgb="FFD00000"/>
          <x14:colorLast rgb="FFD00000"/>
          <x14:colorHigh rgb="FFD00000"/>
          <x14:colorLow rgb="FFD00000"/>
          <x14:sparklines>
            <x14:sparkline>
              <xm:f>Financials!AN105:AS105</xm:f>
              <xm:sqref>D105</xm:sqref>
            </x14:sparkline>
          </x14:sparklines>
        </x14:sparklineGroup>
        <x14:sparklineGroup manualMax="0" manualMin="0" displayEmptyCellsAs="gap" high="1" low="1" xr2:uid="{3382D0CC-3ED6-41FE-9420-7089EB952E52}">
          <x14:colorSeries rgb="FF376092"/>
          <x14:colorNegative rgb="FFD00000"/>
          <x14:colorAxis rgb="FF000000"/>
          <x14:colorMarkers rgb="FFD00000"/>
          <x14:colorFirst rgb="FFD00000"/>
          <x14:colorLast rgb="FFD00000"/>
          <x14:colorHigh rgb="FFD00000"/>
          <x14:colorLow rgb="FFD00000"/>
          <x14:sparklines>
            <x14:sparkline>
              <xm:f>Financials!AN102:AS102</xm:f>
              <xm:sqref>D102</xm:sqref>
            </x14:sparkline>
          </x14:sparklines>
        </x14:sparklineGroup>
        <x14:sparklineGroup manualMax="0" manualMin="0" displayEmptyCellsAs="gap" high="1" low="1" xr2:uid="{4748B9A6-4AAF-4B2E-97FE-67131A1427B2}">
          <x14:colorSeries rgb="FF376092"/>
          <x14:colorNegative rgb="FFD00000"/>
          <x14:colorAxis rgb="FF000000"/>
          <x14:colorMarkers rgb="FFD00000"/>
          <x14:colorFirst rgb="FFD00000"/>
          <x14:colorLast rgb="FFD00000"/>
          <x14:colorHigh rgb="FFD00000"/>
          <x14:colorLow rgb="FFD00000"/>
          <x14:sparklines>
            <x14:sparkline>
              <xm:f>Financials!AN99:AS99</xm:f>
              <xm:sqref>D99</xm:sqref>
            </x14:sparkline>
          </x14:sparklines>
        </x14:sparklineGroup>
        <x14:sparklineGroup manualMax="0" manualMin="0" displayEmptyCellsAs="gap" high="1" low="1" xr2:uid="{844992DE-3788-4384-982A-051F992A4ACB}">
          <x14:colorSeries rgb="FF376092"/>
          <x14:colorNegative rgb="FFD00000"/>
          <x14:colorAxis rgb="FF000000"/>
          <x14:colorMarkers rgb="FFD00000"/>
          <x14:colorFirst rgb="FFD00000"/>
          <x14:colorLast rgb="FFD00000"/>
          <x14:colorHigh rgb="FFD00000"/>
          <x14:colorLow rgb="FFD00000"/>
          <x14:sparklines>
            <x14:sparkline>
              <xm:f>Financials!AN97:AS97</xm:f>
              <xm:sqref>D97</xm:sqref>
            </x14:sparkline>
          </x14:sparklines>
        </x14:sparklineGroup>
        <x14:sparklineGroup manualMax="0" manualMin="0" displayEmptyCellsAs="gap" high="1" low="1" xr2:uid="{5FFD8C58-162C-4DBE-9F34-66C497732837}">
          <x14:colorSeries rgb="FF376092"/>
          <x14:colorNegative rgb="FFD00000"/>
          <x14:colorAxis rgb="FF000000"/>
          <x14:colorMarkers rgb="FFD00000"/>
          <x14:colorFirst rgb="FFD00000"/>
          <x14:colorLast rgb="FFD00000"/>
          <x14:colorHigh rgb="FFD00000"/>
          <x14:colorLow rgb="FFD00000"/>
          <x14:sparklines>
            <x14:sparkline>
              <xm:f>Financials!AN95:AS95</xm:f>
              <xm:sqref>D95</xm:sqref>
            </x14:sparkline>
          </x14:sparklines>
        </x14:sparklineGroup>
        <x14:sparklineGroup manualMax="0" manualMin="0" displayEmptyCellsAs="gap" high="1" low="1" xr2:uid="{089CFA67-9BB4-4E7B-891F-C52B5B6E9719}">
          <x14:colorSeries rgb="FF376092"/>
          <x14:colorNegative rgb="FFD00000"/>
          <x14:colorAxis rgb="FF000000"/>
          <x14:colorMarkers rgb="FFD00000"/>
          <x14:colorFirst rgb="FFD00000"/>
          <x14:colorLast rgb="FFD00000"/>
          <x14:colorHigh rgb="FFD00000"/>
          <x14:colorLow rgb="FFD00000"/>
          <x14:sparklines>
            <x14:sparkline>
              <xm:f>Financials!AN91:AS91</xm:f>
              <xm:sqref>D91</xm:sqref>
            </x14:sparkline>
          </x14:sparklines>
        </x14:sparklineGroup>
        <x14:sparklineGroup manualMax="0" manualMin="0" displayEmptyCellsAs="gap" high="1" low="1" xr2:uid="{0C64D9CE-9122-4344-B99D-A00F1DA59B84}">
          <x14:colorSeries rgb="FF376092"/>
          <x14:colorNegative rgb="FFD00000"/>
          <x14:colorAxis rgb="FF000000"/>
          <x14:colorMarkers rgb="FFD00000"/>
          <x14:colorFirst rgb="FFD00000"/>
          <x14:colorLast rgb="FFD00000"/>
          <x14:colorHigh rgb="FFD00000"/>
          <x14:colorLow rgb="FFD00000"/>
          <x14:sparklines>
            <x14:sparkline>
              <xm:f>Financials!AN66:AS66</xm:f>
              <xm:sqref>D66</xm:sqref>
            </x14:sparkline>
          </x14:sparklines>
        </x14:sparklineGroup>
        <x14:sparklineGroup manualMax="0" manualMin="0" displayEmptyCellsAs="gap" high="1" low="1" xr2:uid="{B5BEF734-B275-4458-AB07-08CA82F0BFBB}">
          <x14:colorSeries rgb="FF376092"/>
          <x14:colorNegative rgb="FFD00000"/>
          <x14:colorAxis rgb="FF000000"/>
          <x14:colorMarkers rgb="FFD00000"/>
          <x14:colorFirst rgb="FFD00000"/>
          <x14:colorLast rgb="FFD00000"/>
          <x14:colorHigh rgb="FFD00000"/>
          <x14:colorLow rgb="FFD00000"/>
          <x14:sparklines>
            <x14:sparkline>
              <xm:f>Financials!AN67:AS67</xm:f>
              <xm:sqref>D67</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8544F-6720-4E26-A2FA-DD52348C6137}">
  <sheetPr codeName="Sheet19"/>
  <dimension ref="A1:BA216"/>
  <sheetViews>
    <sheetView showGridLines="0" zoomScaleNormal="100" workbookViewId="0">
      <pane xSplit="4" ySplit="6" topLeftCell="AB187" activePane="bottomRight" state="frozen"/>
      <selection pane="topRight"/>
      <selection pane="bottomLeft"/>
      <selection pane="bottomRight"/>
    </sheetView>
  </sheetViews>
  <sheetFormatPr defaultColWidth="10.81640625" defaultRowHeight="10.5" outlineLevelCol="1"/>
  <cols>
    <col min="1" max="2" width="1.81640625" customWidth="1"/>
    <col min="3" max="3" width="49.1796875" customWidth="1"/>
    <col min="4" max="4" width="11.6328125" customWidth="1"/>
    <col min="5" max="23" width="11.6328125" hidden="1" customWidth="1" outlineLevel="1"/>
    <col min="24" max="24" width="11.6328125" hidden="1" customWidth="1" outlineLevel="1" collapsed="1"/>
    <col min="25" max="25" width="11.6328125" hidden="1" customWidth="1" outlineLevel="1"/>
    <col min="26" max="26" width="11.6328125" hidden="1" customWidth="1" outlineLevel="1" collapsed="1"/>
    <col min="27" max="27" width="11.6328125" hidden="1" customWidth="1" outlineLevel="1"/>
    <col min="28" max="28" width="11.6328125" customWidth="1" collapsed="1"/>
    <col min="29" max="33" width="11.6328125" customWidth="1"/>
    <col min="34" max="40" width="11.6328125" hidden="1" customWidth="1" outlineLevel="1"/>
    <col min="41" max="41" width="11.6328125" customWidth="1" collapsed="1"/>
    <col min="42" max="47" width="11.6328125" customWidth="1"/>
  </cols>
  <sheetData>
    <row r="1" spans="1:53" s="243" customFormat="1" ht="15" customHeight="1">
      <c r="A1" s="44" t="str">
        <f>Financials!A1</f>
        <v>Intel Corporation</v>
      </c>
      <c r="AG1"/>
    </row>
    <row r="2" spans="1:53" s="130" customFormat="1" ht="11.25" customHeight="1">
      <c r="A2" s="245" t="str">
        <f>Financials!A2</f>
        <v>(All Values in $ millions, except per share data)</v>
      </c>
      <c r="AA2" s="246"/>
      <c r="AC2" s="130" t="s">
        <v>431</v>
      </c>
      <c r="AD2" s="247">
        <v>0</v>
      </c>
      <c r="AE2" s="248">
        <v>0</v>
      </c>
      <c r="AF2" s="248" t="s">
        <v>432</v>
      </c>
      <c r="AG2"/>
      <c r="AM2" s="249"/>
      <c r="AN2" s="249"/>
      <c r="AO2" s="249"/>
      <c r="AP2" s="243"/>
      <c r="AQ2" s="243"/>
      <c r="AR2" s="249"/>
      <c r="AS2" s="249"/>
    </row>
    <row r="3" spans="1:53" s="130" customFormat="1" ht="11.25" customHeight="1">
      <c r="A3" s="245" t="s">
        <v>125</v>
      </c>
      <c r="S3" s="250"/>
      <c r="T3" s="250"/>
      <c r="U3" s="250"/>
      <c r="V3" s="250"/>
      <c r="W3" s="250"/>
      <c r="X3" s="251"/>
      <c r="Y3" s="252"/>
      <c r="Z3" s="8"/>
      <c r="AA3" s="250"/>
      <c r="AB3" s="250"/>
      <c r="AC3" s="250"/>
      <c r="AE3" s="248">
        <v>1</v>
      </c>
      <c r="AF3" s="248" t="s">
        <v>433</v>
      </c>
      <c r="AG3"/>
      <c r="AH3" s="250"/>
      <c r="AI3" s="250"/>
      <c r="AJ3" s="250"/>
      <c r="AK3" s="250"/>
      <c r="AL3" s="250"/>
      <c r="AM3" s="250"/>
      <c r="AN3" s="250"/>
      <c r="AO3" s="250"/>
      <c r="AP3" s="243"/>
      <c r="AQ3" s="243"/>
      <c r="AR3" s="250"/>
      <c r="AS3" s="250"/>
    </row>
    <row r="4" spans="1:53" s="130" customFormat="1" ht="11.25" customHeight="1">
      <c r="A4" s="245"/>
      <c r="B4" s="243"/>
      <c r="U4" s="243"/>
      <c r="V4" s="243"/>
      <c r="W4" s="243"/>
      <c r="X4" s="243"/>
      <c r="Y4" s="243"/>
      <c r="Z4" s="243"/>
      <c r="AA4" s="243"/>
      <c r="AB4" s="243"/>
      <c r="AC4" s="243"/>
      <c r="AD4" s="243"/>
      <c r="AE4" s="243"/>
      <c r="AF4" s="243"/>
      <c r="AG4"/>
      <c r="AM4" s="249"/>
      <c r="AN4" s="249"/>
      <c r="AO4" s="253"/>
      <c r="AP4" s="243"/>
      <c r="AQ4" s="243"/>
      <c r="AR4" s="253"/>
      <c r="AS4" s="253"/>
    </row>
    <row r="5" spans="1:53" s="130" customFormat="1" ht="11.25" customHeight="1">
      <c r="B5" s="9"/>
      <c r="C5" s="10" t="s">
        <v>2</v>
      </c>
      <c r="D5" s="9"/>
      <c r="E5" s="409">
        <f t="shared" ref="E5:AF5" si="0">YEAR(E6)</f>
        <v>2016</v>
      </c>
      <c r="F5" s="408">
        <f t="shared" si="0"/>
        <v>2016</v>
      </c>
      <c r="G5" s="407">
        <f t="shared" si="0"/>
        <v>2016</v>
      </c>
      <c r="H5" s="410">
        <f t="shared" si="0"/>
        <v>2016</v>
      </c>
      <c r="I5" s="409">
        <f t="shared" si="0"/>
        <v>2017</v>
      </c>
      <c r="J5" s="408">
        <f t="shared" si="0"/>
        <v>2017</v>
      </c>
      <c r="K5" s="407">
        <f t="shared" si="0"/>
        <v>2017</v>
      </c>
      <c r="L5" s="410">
        <f t="shared" si="0"/>
        <v>2017</v>
      </c>
      <c r="M5" s="409">
        <f t="shared" si="0"/>
        <v>2018</v>
      </c>
      <c r="N5" s="408">
        <f t="shared" si="0"/>
        <v>2018</v>
      </c>
      <c r="O5" s="407">
        <f t="shared" si="0"/>
        <v>2018</v>
      </c>
      <c r="P5" s="410">
        <f t="shared" si="0"/>
        <v>2018</v>
      </c>
      <c r="Q5" s="409">
        <f t="shared" si="0"/>
        <v>2019</v>
      </c>
      <c r="R5" s="408">
        <f t="shared" si="0"/>
        <v>2019</v>
      </c>
      <c r="S5" s="407">
        <f t="shared" si="0"/>
        <v>2019</v>
      </c>
      <c r="T5" s="410">
        <f t="shared" si="0"/>
        <v>2019</v>
      </c>
      <c r="U5" s="409">
        <f t="shared" si="0"/>
        <v>2020</v>
      </c>
      <c r="V5" s="408">
        <f t="shared" si="0"/>
        <v>2020</v>
      </c>
      <c r="W5" s="407">
        <f t="shared" si="0"/>
        <v>2020</v>
      </c>
      <c r="X5" s="410">
        <f t="shared" si="0"/>
        <v>2020</v>
      </c>
      <c r="Y5" s="409">
        <f t="shared" si="0"/>
        <v>2021</v>
      </c>
      <c r="Z5" s="408">
        <f t="shared" si="0"/>
        <v>2021</v>
      </c>
      <c r="AA5" s="407">
        <f t="shared" si="0"/>
        <v>2021</v>
      </c>
      <c r="AB5" s="410">
        <f t="shared" si="0"/>
        <v>2021</v>
      </c>
      <c r="AC5" s="406">
        <f t="shared" si="0"/>
        <v>2022</v>
      </c>
      <c r="AD5" s="405">
        <f t="shared" si="0"/>
        <v>2022</v>
      </c>
      <c r="AE5" s="404">
        <f t="shared" si="0"/>
        <v>2022</v>
      </c>
      <c r="AF5" s="418">
        <f t="shared" si="0"/>
        <v>2022</v>
      </c>
      <c r="AG5"/>
      <c r="AH5" s="403">
        <f t="shared" ref="AH5:AS5" si="1">+YEAR(AH6)</f>
        <v>2014</v>
      </c>
      <c r="AI5" s="403">
        <f t="shared" si="1"/>
        <v>2015</v>
      </c>
      <c r="AJ5" s="403">
        <f t="shared" si="1"/>
        <v>2016</v>
      </c>
      <c r="AK5" s="403">
        <f t="shared" si="1"/>
        <v>2017</v>
      </c>
      <c r="AL5" s="403">
        <f t="shared" si="1"/>
        <v>2018</v>
      </c>
      <c r="AM5" s="403">
        <f t="shared" si="1"/>
        <v>2019</v>
      </c>
      <c r="AN5" s="419">
        <f t="shared" si="1"/>
        <v>2020</v>
      </c>
      <c r="AO5" s="419">
        <f t="shared" si="1"/>
        <v>2021</v>
      </c>
      <c r="AP5" s="420">
        <f t="shared" si="1"/>
        <v>2022</v>
      </c>
      <c r="AQ5" s="420">
        <f t="shared" si="1"/>
        <v>2023</v>
      </c>
      <c r="AR5" s="420">
        <f t="shared" si="1"/>
        <v>2024</v>
      </c>
      <c r="AS5" s="420">
        <f t="shared" si="1"/>
        <v>2025</v>
      </c>
      <c r="AU5" s="254" t="s">
        <v>434</v>
      </c>
    </row>
    <row r="6" spans="1:53" s="255" customFormat="1" ht="11.25" customHeight="1">
      <c r="B6" s="20"/>
      <c r="C6" s="21" t="s">
        <v>3</v>
      </c>
      <c r="D6" s="22"/>
      <c r="E6" s="396">
        <v>42460</v>
      </c>
      <c r="F6" s="396">
        <f t="shared" ref="F6:AF6" si="2">+EOMONTH(E6,3)</f>
        <v>42551</v>
      </c>
      <c r="G6" s="396">
        <f t="shared" si="2"/>
        <v>42643</v>
      </c>
      <c r="H6" s="396">
        <f t="shared" si="2"/>
        <v>42735</v>
      </c>
      <c r="I6" s="396">
        <f t="shared" si="2"/>
        <v>42825</v>
      </c>
      <c r="J6" s="396">
        <f t="shared" si="2"/>
        <v>42916</v>
      </c>
      <c r="K6" s="396">
        <f t="shared" si="2"/>
        <v>43008</v>
      </c>
      <c r="L6" s="396">
        <f t="shared" si="2"/>
        <v>43100</v>
      </c>
      <c r="M6" s="396">
        <f t="shared" si="2"/>
        <v>43190</v>
      </c>
      <c r="N6" s="396">
        <f t="shared" si="2"/>
        <v>43281</v>
      </c>
      <c r="O6" s="396">
        <f t="shared" si="2"/>
        <v>43373</v>
      </c>
      <c r="P6" s="396">
        <f t="shared" si="2"/>
        <v>43465</v>
      </c>
      <c r="Q6" s="396">
        <f t="shared" si="2"/>
        <v>43555</v>
      </c>
      <c r="R6" s="396">
        <f t="shared" si="2"/>
        <v>43646</v>
      </c>
      <c r="S6" s="396">
        <f t="shared" si="2"/>
        <v>43738</v>
      </c>
      <c r="T6" s="396">
        <f t="shared" si="2"/>
        <v>43830</v>
      </c>
      <c r="U6" s="396">
        <f t="shared" si="2"/>
        <v>43921</v>
      </c>
      <c r="V6" s="396">
        <f t="shared" si="2"/>
        <v>44012</v>
      </c>
      <c r="W6" s="396">
        <f t="shared" si="2"/>
        <v>44104</v>
      </c>
      <c r="X6" s="396">
        <f t="shared" si="2"/>
        <v>44196</v>
      </c>
      <c r="Y6" s="396">
        <f t="shared" si="2"/>
        <v>44286</v>
      </c>
      <c r="Z6" s="396">
        <f t="shared" si="2"/>
        <v>44377</v>
      </c>
      <c r="AA6" s="396">
        <f t="shared" si="2"/>
        <v>44469</v>
      </c>
      <c r="AB6" s="396">
        <f t="shared" si="2"/>
        <v>44561</v>
      </c>
      <c r="AC6" s="396">
        <f t="shared" si="2"/>
        <v>44651</v>
      </c>
      <c r="AD6" s="396">
        <f t="shared" si="2"/>
        <v>44742</v>
      </c>
      <c r="AE6" s="396">
        <f t="shared" si="2"/>
        <v>44834</v>
      </c>
      <c r="AF6" s="396">
        <f t="shared" si="2"/>
        <v>44926</v>
      </c>
      <c r="AG6"/>
      <c r="AH6" s="431">
        <v>42004</v>
      </c>
      <c r="AI6" s="394">
        <f t="shared" ref="AI6:AS6" si="3">+EOMONTH(AH6,12)</f>
        <v>42369</v>
      </c>
      <c r="AJ6" s="394">
        <f t="shared" si="3"/>
        <v>42735</v>
      </c>
      <c r="AK6" s="394">
        <f t="shared" si="3"/>
        <v>43100</v>
      </c>
      <c r="AL6" s="394">
        <f t="shared" si="3"/>
        <v>43465</v>
      </c>
      <c r="AM6" s="394">
        <f t="shared" si="3"/>
        <v>43830</v>
      </c>
      <c r="AN6" s="394">
        <f t="shared" si="3"/>
        <v>44196</v>
      </c>
      <c r="AO6" s="394">
        <f t="shared" si="3"/>
        <v>44561</v>
      </c>
      <c r="AP6" s="394">
        <f t="shared" si="3"/>
        <v>44926</v>
      </c>
      <c r="AQ6" s="394">
        <f t="shared" si="3"/>
        <v>45291</v>
      </c>
      <c r="AR6" s="394">
        <f t="shared" si="3"/>
        <v>45657</v>
      </c>
      <c r="AS6" s="394">
        <f t="shared" si="3"/>
        <v>46022</v>
      </c>
      <c r="AT6" s="130"/>
      <c r="AU6" s="256"/>
    </row>
    <row r="7" spans="1:53" s="130" customFormat="1" ht="5.25" customHeight="1">
      <c r="B7" s="257"/>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c r="AH7" s="258"/>
      <c r="AI7" s="258"/>
      <c r="AJ7" s="258"/>
      <c r="AK7" s="258"/>
      <c r="AL7" s="258"/>
      <c r="AM7" s="258"/>
      <c r="AN7" s="258"/>
      <c r="AO7" s="258"/>
      <c r="AP7" s="258"/>
      <c r="AQ7" s="258"/>
      <c r="AR7" s="258"/>
      <c r="AS7" s="258"/>
      <c r="AU7" s="258"/>
    </row>
    <row r="8" spans="1:53" s="238" customFormat="1" ht="11.25" customHeight="1">
      <c r="B8" s="30" t="s">
        <v>125</v>
      </c>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c r="AH8" s="31"/>
      <c r="AI8" s="31"/>
      <c r="AJ8" s="31"/>
      <c r="AK8" s="31"/>
      <c r="AL8" s="31"/>
      <c r="AM8" s="31"/>
      <c r="AN8" s="31"/>
      <c r="AO8" s="31"/>
      <c r="AP8" s="31"/>
      <c r="AQ8" s="31"/>
      <c r="AR8" s="31"/>
      <c r="AS8" s="31"/>
      <c r="AU8" s="31"/>
    </row>
    <row r="9" spans="1:53">
      <c r="AY9" s="238"/>
      <c r="AZ9" s="238"/>
      <c r="BA9" s="238"/>
    </row>
    <row r="10" spans="1:53">
      <c r="C10" s="259" t="s">
        <v>435</v>
      </c>
      <c r="D10" s="201">
        <v>5.4999999999999997E-3</v>
      </c>
      <c r="AB10" s="32">
        <v>800</v>
      </c>
      <c r="AC10" s="35">
        <f t="shared" ref="AC10:AF29" si="4">+AB10-AC57</f>
        <v>800</v>
      </c>
      <c r="AD10" s="35">
        <f t="shared" si="4"/>
        <v>0</v>
      </c>
      <c r="AE10" s="35">
        <f t="shared" si="4"/>
        <v>0</v>
      </c>
      <c r="AF10" s="35">
        <f t="shared" si="4"/>
        <v>0</v>
      </c>
      <c r="AO10" s="35">
        <f>+AB10</f>
        <v>800</v>
      </c>
      <c r="AP10" s="35">
        <f>+AF10</f>
        <v>0</v>
      </c>
      <c r="AQ10" s="35">
        <f t="shared" ref="AQ10:AS29" si="5">+AP10-AQ57</f>
        <v>0</v>
      </c>
      <c r="AR10" s="35">
        <f t="shared" si="5"/>
        <v>0</v>
      </c>
      <c r="AS10" s="35">
        <f t="shared" si="5"/>
        <v>0</v>
      </c>
      <c r="AU10" s="443">
        <v>44711</v>
      </c>
      <c r="AX10" s="238"/>
      <c r="AZ10" s="238"/>
    </row>
    <row r="11" spans="1:53">
      <c r="C11" s="259" t="s">
        <v>436</v>
      </c>
      <c r="D11" s="201">
        <v>1.7000000000000001E-2</v>
      </c>
      <c r="AB11" s="32">
        <v>0</v>
      </c>
      <c r="AC11" s="35">
        <f t="shared" si="4"/>
        <v>0</v>
      </c>
      <c r="AD11" s="35">
        <f t="shared" si="4"/>
        <v>0</v>
      </c>
      <c r="AE11" s="35">
        <f t="shared" si="4"/>
        <v>0</v>
      </c>
      <c r="AF11" s="35">
        <f t="shared" si="4"/>
        <v>0</v>
      </c>
      <c r="AO11" s="35">
        <f t="shared" ref="AO11:AO47" si="6">+AB11</f>
        <v>0</v>
      </c>
      <c r="AP11" s="35">
        <f t="shared" ref="AP11:AP47" si="7">+AF11</f>
        <v>0</v>
      </c>
      <c r="AQ11" s="35">
        <f t="shared" si="5"/>
        <v>0</v>
      </c>
      <c r="AR11" s="35">
        <f t="shared" si="5"/>
        <v>0</v>
      </c>
      <c r="AS11" s="35">
        <f t="shared" si="5"/>
        <v>0</v>
      </c>
      <c r="AU11" s="443">
        <v>44346</v>
      </c>
      <c r="AY11" s="238"/>
      <c r="AZ11" s="238"/>
      <c r="BA11" s="238"/>
    </row>
    <row r="12" spans="1:53">
      <c r="C12" s="259" t="s">
        <v>437</v>
      </c>
      <c r="D12" s="201">
        <v>3.3000000000000002E-2</v>
      </c>
      <c r="AB12" s="32">
        <v>0</v>
      </c>
      <c r="AC12" s="35">
        <f t="shared" si="4"/>
        <v>0</v>
      </c>
      <c r="AD12" s="35">
        <f t="shared" si="4"/>
        <v>0</v>
      </c>
      <c r="AE12" s="35">
        <f t="shared" si="4"/>
        <v>0</v>
      </c>
      <c r="AF12" s="35">
        <f t="shared" si="4"/>
        <v>0</v>
      </c>
      <c r="AO12" s="35">
        <f t="shared" si="6"/>
        <v>0</v>
      </c>
      <c r="AP12" s="35">
        <f t="shared" si="7"/>
        <v>0</v>
      </c>
      <c r="AQ12" s="35">
        <f t="shared" si="5"/>
        <v>0</v>
      </c>
      <c r="AR12" s="35">
        <f t="shared" si="5"/>
        <v>0</v>
      </c>
      <c r="AS12" s="35">
        <f t="shared" si="5"/>
        <v>0</v>
      </c>
      <c r="AU12" s="443">
        <v>44499</v>
      </c>
      <c r="AY12" s="238"/>
      <c r="AZ12" s="238"/>
      <c r="BA12" s="238"/>
    </row>
    <row r="13" spans="1:53">
      <c r="C13" s="259" t="s">
        <v>438</v>
      </c>
      <c r="D13" s="201">
        <v>1.9599999999999999E-2</v>
      </c>
      <c r="AB13" s="32">
        <v>750</v>
      </c>
      <c r="AC13" s="35">
        <f t="shared" si="4"/>
        <v>750</v>
      </c>
      <c r="AD13" s="35">
        <f t="shared" si="4"/>
        <v>0</v>
      </c>
      <c r="AE13" s="35">
        <f t="shared" si="4"/>
        <v>0</v>
      </c>
      <c r="AF13" s="35">
        <f t="shared" si="4"/>
        <v>0</v>
      </c>
      <c r="AO13" s="35">
        <f t="shared" si="6"/>
        <v>750</v>
      </c>
      <c r="AP13" s="35">
        <f t="shared" si="7"/>
        <v>0</v>
      </c>
      <c r="AQ13" s="35">
        <f t="shared" si="5"/>
        <v>0</v>
      </c>
      <c r="AR13" s="35">
        <f t="shared" si="5"/>
        <v>0</v>
      </c>
      <c r="AS13" s="35">
        <f t="shared" si="5"/>
        <v>0</v>
      </c>
      <c r="AU13" s="443">
        <v>44711</v>
      </c>
      <c r="AY13" s="238"/>
      <c r="AZ13" s="238"/>
      <c r="BA13" s="238"/>
    </row>
    <row r="14" spans="1:53">
      <c r="C14" s="259" t="s">
        <v>439</v>
      </c>
      <c r="D14" s="201">
        <v>2.7E-2</v>
      </c>
      <c r="AB14" s="32">
        <v>1000</v>
      </c>
      <c r="AC14" s="35">
        <f t="shared" si="4"/>
        <v>1000</v>
      </c>
      <c r="AD14" s="35">
        <f t="shared" si="4"/>
        <v>1000</v>
      </c>
      <c r="AE14" s="35">
        <f t="shared" si="4"/>
        <v>0</v>
      </c>
      <c r="AF14" s="35">
        <f t="shared" si="4"/>
        <v>0</v>
      </c>
      <c r="AO14" s="35">
        <f t="shared" si="6"/>
        <v>1000</v>
      </c>
      <c r="AP14" s="35">
        <f t="shared" si="7"/>
        <v>0</v>
      </c>
      <c r="AQ14" s="35">
        <f t="shared" si="5"/>
        <v>0</v>
      </c>
      <c r="AR14" s="35">
        <f t="shared" si="5"/>
        <v>0</v>
      </c>
      <c r="AS14" s="35">
        <f t="shared" si="5"/>
        <v>0</v>
      </c>
      <c r="AU14" s="443">
        <v>44772</v>
      </c>
      <c r="AY14" s="238"/>
      <c r="AZ14" s="238"/>
      <c r="BA14" s="238"/>
    </row>
    <row r="15" spans="1:53">
      <c r="C15" s="259" t="s">
        <v>440</v>
      </c>
      <c r="D15" s="201">
        <v>2.9600000000000001E-2</v>
      </c>
      <c r="AB15" s="32">
        <v>398</v>
      </c>
      <c r="AC15" s="35">
        <f t="shared" si="4"/>
        <v>398</v>
      </c>
      <c r="AD15" s="35">
        <f t="shared" si="4"/>
        <v>398</v>
      </c>
      <c r="AE15" s="35">
        <f t="shared" si="4"/>
        <v>398</v>
      </c>
      <c r="AF15" s="35">
        <f t="shared" si="4"/>
        <v>0</v>
      </c>
      <c r="AO15" s="35">
        <f t="shared" si="6"/>
        <v>398</v>
      </c>
      <c r="AP15" s="35">
        <f t="shared" si="7"/>
        <v>0</v>
      </c>
      <c r="AQ15" s="35">
        <f t="shared" si="5"/>
        <v>0</v>
      </c>
      <c r="AR15" s="35">
        <f t="shared" si="5"/>
        <v>0</v>
      </c>
      <c r="AS15" s="35">
        <f t="shared" si="5"/>
        <v>0</v>
      </c>
      <c r="AU15" s="443">
        <v>44925</v>
      </c>
      <c r="AY15" s="238"/>
      <c r="AZ15" s="238"/>
      <c r="BA15" s="238"/>
    </row>
    <row r="16" spans="1:53">
      <c r="C16" s="259" t="s">
        <v>441</v>
      </c>
      <c r="D16" s="201">
        <v>2.2800000000000001E-2</v>
      </c>
      <c r="AB16" s="32">
        <v>1500</v>
      </c>
      <c r="AC16" s="35">
        <f t="shared" si="4"/>
        <v>1500</v>
      </c>
      <c r="AD16" s="35">
        <f t="shared" si="4"/>
        <v>1500</v>
      </c>
      <c r="AE16" s="35">
        <f t="shared" si="4"/>
        <v>1500</v>
      </c>
      <c r="AF16" s="35">
        <f t="shared" si="4"/>
        <v>0</v>
      </c>
      <c r="AO16" s="35">
        <f t="shared" si="6"/>
        <v>1500</v>
      </c>
      <c r="AP16" s="35">
        <f t="shared" si="7"/>
        <v>0</v>
      </c>
      <c r="AQ16" s="35">
        <f t="shared" si="5"/>
        <v>0</v>
      </c>
      <c r="AR16" s="35">
        <f t="shared" si="5"/>
        <v>0</v>
      </c>
      <c r="AS16" s="35">
        <f t="shared" si="5"/>
        <v>0</v>
      </c>
      <c r="AU16" s="443">
        <v>44925</v>
      </c>
      <c r="AY16" s="238"/>
      <c r="AZ16" s="238"/>
      <c r="BA16" s="238"/>
    </row>
    <row r="17" spans="3:53">
      <c r="C17" s="259" t="s">
        <v>442</v>
      </c>
      <c r="D17" s="201">
        <v>3.2199999999999999E-2</v>
      </c>
      <c r="AB17" s="32">
        <v>400</v>
      </c>
      <c r="AC17" s="35">
        <f t="shared" si="4"/>
        <v>400</v>
      </c>
      <c r="AD17" s="35">
        <f t="shared" si="4"/>
        <v>400</v>
      </c>
      <c r="AE17" s="35">
        <f t="shared" si="4"/>
        <v>400</v>
      </c>
      <c r="AF17" s="35">
        <f t="shared" si="4"/>
        <v>400</v>
      </c>
      <c r="AO17" s="35">
        <f t="shared" si="6"/>
        <v>400</v>
      </c>
      <c r="AP17" s="35">
        <f t="shared" si="7"/>
        <v>400</v>
      </c>
      <c r="AQ17" s="35">
        <f t="shared" si="5"/>
        <v>0</v>
      </c>
      <c r="AR17" s="35">
        <f t="shared" si="5"/>
        <v>0</v>
      </c>
      <c r="AS17" s="35">
        <f t="shared" si="5"/>
        <v>0</v>
      </c>
      <c r="AU17" s="443">
        <v>45260</v>
      </c>
      <c r="AY17" s="238"/>
      <c r="AZ17" s="238"/>
      <c r="BA17" s="238"/>
    </row>
    <row r="18" spans="3:53">
      <c r="C18" s="259" t="s">
        <v>443</v>
      </c>
      <c r="D18" s="201">
        <v>2.3099999999999999E-2</v>
      </c>
      <c r="AB18" s="32">
        <v>1250</v>
      </c>
      <c r="AC18" s="35">
        <f t="shared" si="4"/>
        <v>1250</v>
      </c>
      <c r="AD18" s="35">
        <f t="shared" si="4"/>
        <v>1250</v>
      </c>
      <c r="AE18" s="35">
        <f t="shared" si="4"/>
        <v>1250</v>
      </c>
      <c r="AF18" s="35">
        <f t="shared" si="4"/>
        <v>1250</v>
      </c>
      <c r="AO18" s="35">
        <f t="shared" si="6"/>
        <v>1250</v>
      </c>
      <c r="AP18" s="35">
        <f t="shared" si="7"/>
        <v>1250</v>
      </c>
      <c r="AQ18" s="35">
        <f t="shared" si="5"/>
        <v>1250</v>
      </c>
      <c r="AR18" s="35">
        <f t="shared" si="5"/>
        <v>0</v>
      </c>
      <c r="AS18" s="35">
        <f t="shared" si="5"/>
        <v>0</v>
      </c>
      <c r="AU18" s="443">
        <v>45442</v>
      </c>
      <c r="AY18" s="238"/>
      <c r="AZ18" s="238"/>
      <c r="BA18" s="238"/>
    </row>
    <row r="19" spans="3:53">
      <c r="C19" s="259" t="s">
        <v>444</v>
      </c>
      <c r="D19" s="201">
        <v>2.1399999999999999E-2</v>
      </c>
      <c r="AB19" s="32">
        <v>600</v>
      </c>
      <c r="AC19" s="35">
        <f t="shared" si="4"/>
        <v>600</v>
      </c>
      <c r="AD19" s="35">
        <f t="shared" si="4"/>
        <v>600</v>
      </c>
      <c r="AE19" s="35">
        <f t="shared" si="4"/>
        <v>600</v>
      </c>
      <c r="AF19" s="35">
        <f t="shared" si="4"/>
        <v>600</v>
      </c>
      <c r="AO19" s="35">
        <f t="shared" si="6"/>
        <v>600</v>
      </c>
      <c r="AP19" s="35">
        <f t="shared" si="7"/>
        <v>600</v>
      </c>
      <c r="AQ19" s="35">
        <f t="shared" si="5"/>
        <v>600</v>
      </c>
      <c r="AR19" s="35">
        <f t="shared" si="5"/>
        <v>0</v>
      </c>
      <c r="AS19" s="35">
        <f t="shared" si="5"/>
        <v>0</v>
      </c>
      <c r="AU19" s="443">
        <v>45473</v>
      </c>
      <c r="AY19" s="238"/>
      <c r="AZ19" s="238"/>
      <c r="BA19" s="238"/>
    </row>
    <row r="20" spans="3:53">
      <c r="C20" s="259" t="s">
        <v>445</v>
      </c>
      <c r="D20" s="201">
        <v>3.4500000000000003E-2</v>
      </c>
      <c r="AB20" s="32">
        <v>1500</v>
      </c>
      <c r="AC20" s="35">
        <f t="shared" si="4"/>
        <v>1500</v>
      </c>
      <c r="AD20" s="35">
        <f t="shared" si="4"/>
        <v>1500</v>
      </c>
      <c r="AE20" s="35">
        <f t="shared" si="4"/>
        <v>1500</v>
      </c>
      <c r="AF20" s="35">
        <f t="shared" si="4"/>
        <v>1500</v>
      </c>
      <c r="AO20" s="35">
        <f t="shared" si="6"/>
        <v>1500</v>
      </c>
      <c r="AP20" s="35">
        <f t="shared" si="7"/>
        <v>1500</v>
      </c>
      <c r="AQ20" s="35">
        <f t="shared" si="5"/>
        <v>1500</v>
      </c>
      <c r="AR20" s="35">
        <f t="shared" si="5"/>
        <v>1500</v>
      </c>
      <c r="AS20" s="35">
        <f t="shared" si="5"/>
        <v>0</v>
      </c>
      <c r="AU20" s="443">
        <v>45746</v>
      </c>
      <c r="AY20" s="238"/>
      <c r="AZ20" s="238"/>
      <c r="BA20" s="238"/>
    </row>
    <row r="21" spans="3:53">
      <c r="C21" s="259" t="s">
        <v>446</v>
      </c>
      <c r="D21" s="201">
        <v>2.1600000000000001E-2</v>
      </c>
      <c r="AB21" s="32">
        <v>2250</v>
      </c>
      <c r="AC21" s="35">
        <f t="shared" si="4"/>
        <v>2250</v>
      </c>
      <c r="AD21" s="35">
        <f t="shared" si="4"/>
        <v>2250</v>
      </c>
      <c r="AE21" s="35">
        <f t="shared" si="4"/>
        <v>2250</v>
      </c>
      <c r="AF21" s="35">
        <f t="shared" si="4"/>
        <v>2250</v>
      </c>
      <c r="AO21" s="35">
        <f t="shared" si="6"/>
        <v>2250</v>
      </c>
      <c r="AP21" s="35">
        <f t="shared" si="7"/>
        <v>2250</v>
      </c>
      <c r="AQ21" s="35">
        <f t="shared" si="5"/>
        <v>2250</v>
      </c>
      <c r="AR21" s="35">
        <f t="shared" si="5"/>
        <v>2250</v>
      </c>
      <c r="AS21" s="35">
        <f t="shared" si="5"/>
        <v>0</v>
      </c>
      <c r="AU21" s="443">
        <v>45868</v>
      </c>
      <c r="AY21" s="238"/>
      <c r="AZ21" s="238"/>
      <c r="BA21" s="238"/>
    </row>
    <row r="22" spans="3:53">
      <c r="C22" s="259" t="s">
        <v>447</v>
      </c>
      <c r="D22" s="201">
        <v>6.3E-3</v>
      </c>
      <c r="AB22" s="32">
        <v>1000</v>
      </c>
      <c r="AC22" s="35">
        <f t="shared" si="4"/>
        <v>1000</v>
      </c>
      <c r="AD22" s="35">
        <f t="shared" si="4"/>
        <v>1000</v>
      </c>
      <c r="AE22" s="35">
        <f t="shared" si="4"/>
        <v>1000</v>
      </c>
      <c r="AF22" s="35">
        <f t="shared" si="4"/>
        <v>1000</v>
      </c>
      <c r="AO22" s="35">
        <f t="shared" si="6"/>
        <v>1000</v>
      </c>
      <c r="AP22" s="35">
        <f t="shared" si="7"/>
        <v>1000</v>
      </c>
      <c r="AQ22" s="35">
        <f t="shared" si="5"/>
        <v>1000</v>
      </c>
      <c r="AR22" s="35">
        <f t="shared" si="5"/>
        <v>1000</v>
      </c>
      <c r="AS22" s="35">
        <f t="shared" si="5"/>
        <v>1000</v>
      </c>
      <c r="AU22" s="443">
        <v>46172</v>
      </c>
      <c r="AY22" s="238"/>
      <c r="AZ22" s="238"/>
      <c r="BA22" s="238"/>
    </row>
    <row r="23" spans="3:53">
      <c r="C23" s="259" t="s">
        <v>448</v>
      </c>
      <c r="D23" s="201">
        <v>3.7900000000000003E-2</v>
      </c>
      <c r="AB23" s="32">
        <v>1000</v>
      </c>
      <c r="AC23" s="35">
        <f t="shared" si="4"/>
        <v>1000</v>
      </c>
      <c r="AD23" s="35">
        <f t="shared" si="4"/>
        <v>1000</v>
      </c>
      <c r="AE23" s="35">
        <f t="shared" si="4"/>
        <v>1000</v>
      </c>
      <c r="AF23" s="35">
        <f t="shared" si="4"/>
        <v>1000</v>
      </c>
      <c r="AO23" s="35">
        <f t="shared" si="6"/>
        <v>1000</v>
      </c>
      <c r="AP23" s="35">
        <f t="shared" si="7"/>
        <v>1000</v>
      </c>
      <c r="AQ23" s="35">
        <f t="shared" si="5"/>
        <v>1000</v>
      </c>
      <c r="AR23" s="35">
        <f t="shared" si="5"/>
        <v>1000</v>
      </c>
      <c r="AS23" s="35">
        <f t="shared" si="5"/>
        <v>1000</v>
      </c>
      <c r="AU23" s="443">
        <v>46476</v>
      </c>
      <c r="AY23" s="238"/>
      <c r="AZ23" s="238"/>
      <c r="BA23" s="238"/>
    </row>
    <row r="24" spans="3:53">
      <c r="C24" s="259" t="s">
        <v>449</v>
      </c>
      <c r="D24" s="201">
        <v>1.21E-2</v>
      </c>
      <c r="AB24" s="32">
        <v>1000</v>
      </c>
      <c r="AC24" s="35">
        <f t="shared" si="4"/>
        <v>1000</v>
      </c>
      <c r="AD24" s="35">
        <f t="shared" si="4"/>
        <v>1000</v>
      </c>
      <c r="AE24" s="35">
        <f t="shared" si="4"/>
        <v>1000</v>
      </c>
      <c r="AF24" s="35">
        <f t="shared" si="4"/>
        <v>1000</v>
      </c>
      <c r="AO24" s="35">
        <f t="shared" si="6"/>
        <v>1000</v>
      </c>
      <c r="AP24" s="35">
        <f t="shared" si="7"/>
        <v>1000</v>
      </c>
      <c r="AQ24" s="35">
        <f t="shared" si="5"/>
        <v>1000</v>
      </c>
      <c r="AR24" s="35">
        <f t="shared" si="5"/>
        <v>1000</v>
      </c>
      <c r="AS24" s="35">
        <f t="shared" si="5"/>
        <v>1000</v>
      </c>
      <c r="AU24" s="443">
        <v>46537</v>
      </c>
      <c r="AY24" s="238"/>
      <c r="AZ24" s="238"/>
      <c r="BA24" s="238"/>
    </row>
    <row r="25" spans="3:53">
      <c r="C25" s="259" t="s">
        <v>450</v>
      </c>
      <c r="D25" s="201">
        <v>1.6799999999999999E-2</v>
      </c>
      <c r="AB25" s="32">
        <v>1000</v>
      </c>
      <c r="AC25" s="35">
        <f t="shared" si="4"/>
        <v>1000</v>
      </c>
      <c r="AD25" s="35">
        <f t="shared" si="4"/>
        <v>1000</v>
      </c>
      <c r="AE25" s="35">
        <f t="shared" si="4"/>
        <v>1000</v>
      </c>
      <c r="AF25" s="35">
        <f t="shared" si="4"/>
        <v>1000</v>
      </c>
      <c r="AO25" s="35">
        <f t="shared" si="6"/>
        <v>1000</v>
      </c>
      <c r="AP25" s="35">
        <f t="shared" si="7"/>
        <v>1000</v>
      </c>
      <c r="AQ25" s="35">
        <f t="shared" si="5"/>
        <v>1000</v>
      </c>
      <c r="AR25" s="35">
        <f t="shared" si="5"/>
        <v>1000</v>
      </c>
      <c r="AS25" s="35">
        <f t="shared" si="5"/>
        <v>1000</v>
      </c>
      <c r="AU25" s="443">
        <v>46995</v>
      </c>
      <c r="AY25" s="238"/>
      <c r="AZ25" s="238"/>
      <c r="BA25" s="238"/>
    </row>
    <row r="26" spans="3:53">
      <c r="C26" s="259" t="s">
        <v>451</v>
      </c>
      <c r="D26" s="201">
        <v>2.3900000000000001E-2</v>
      </c>
      <c r="AB26" s="32">
        <v>2000</v>
      </c>
      <c r="AC26" s="35">
        <f t="shared" si="4"/>
        <v>2000</v>
      </c>
      <c r="AD26" s="35">
        <f t="shared" si="4"/>
        <v>2000</v>
      </c>
      <c r="AE26" s="35">
        <f t="shared" si="4"/>
        <v>2000</v>
      </c>
      <c r="AF26" s="35">
        <f t="shared" si="4"/>
        <v>2000</v>
      </c>
      <c r="AO26" s="35">
        <f t="shared" si="6"/>
        <v>2000</v>
      </c>
      <c r="AP26" s="35">
        <f t="shared" si="7"/>
        <v>2000</v>
      </c>
      <c r="AQ26" s="35">
        <f t="shared" si="5"/>
        <v>2000</v>
      </c>
      <c r="AR26" s="35">
        <f t="shared" si="5"/>
        <v>2000</v>
      </c>
      <c r="AS26" s="35">
        <f t="shared" si="5"/>
        <v>2000</v>
      </c>
      <c r="AU26" s="443">
        <v>47452</v>
      </c>
      <c r="AY26" s="238"/>
      <c r="AZ26" s="238"/>
      <c r="BA26" s="238"/>
    </row>
    <row r="27" spans="3:53">
      <c r="C27" s="259" t="s">
        <v>452</v>
      </c>
      <c r="D27" s="201">
        <v>3.9300000000000002E-2</v>
      </c>
      <c r="AB27" s="32">
        <v>1500</v>
      </c>
      <c r="AC27" s="35">
        <f t="shared" si="4"/>
        <v>1500</v>
      </c>
      <c r="AD27" s="35">
        <f t="shared" si="4"/>
        <v>1500</v>
      </c>
      <c r="AE27" s="35">
        <f t="shared" si="4"/>
        <v>1500</v>
      </c>
      <c r="AF27" s="35">
        <f t="shared" si="4"/>
        <v>1500</v>
      </c>
      <c r="AO27" s="35">
        <f t="shared" si="6"/>
        <v>1500</v>
      </c>
      <c r="AP27" s="35">
        <f t="shared" si="7"/>
        <v>1500</v>
      </c>
      <c r="AQ27" s="35">
        <f t="shared" si="5"/>
        <v>1500</v>
      </c>
      <c r="AR27" s="35">
        <f t="shared" si="5"/>
        <v>1500</v>
      </c>
      <c r="AS27" s="35">
        <f t="shared" si="5"/>
        <v>1500</v>
      </c>
      <c r="AU27" s="443">
        <v>47572</v>
      </c>
      <c r="AY27" s="238"/>
      <c r="AZ27" s="238"/>
      <c r="BA27" s="238"/>
    </row>
    <row r="28" spans="3:53">
      <c r="C28" s="259" t="s">
        <v>453</v>
      </c>
      <c r="D28" s="201">
        <v>2.0400000000000001E-2</v>
      </c>
      <c r="AB28" s="32">
        <v>1250</v>
      </c>
      <c r="AC28" s="35">
        <f t="shared" si="4"/>
        <v>1250</v>
      </c>
      <c r="AD28" s="35">
        <f t="shared" si="4"/>
        <v>1250</v>
      </c>
      <c r="AE28" s="35">
        <f t="shared" si="4"/>
        <v>1250</v>
      </c>
      <c r="AF28" s="35">
        <f t="shared" si="4"/>
        <v>1250</v>
      </c>
      <c r="AO28" s="35">
        <f t="shared" si="6"/>
        <v>1250</v>
      </c>
      <c r="AP28" s="35">
        <f t="shared" si="7"/>
        <v>1250</v>
      </c>
      <c r="AQ28" s="35">
        <f t="shared" si="5"/>
        <v>1250</v>
      </c>
      <c r="AR28" s="35">
        <f t="shared" si="5"/>
        <v>1250</v>
      </c>
      <c r="AS28" s="35">
        <f t="shared" si="5"/>
        <v>1250</v>
      </c>
      <c r="AU28" s="443">
        <v>48090</v>
      </c>
      <c r="AY28" s="238"/>
      <c r="AZ28" s="238"/>
      <c r="BA28" s="238"/>
    </row>
    <row r="29" spans="3:53">
      <c r="C29" s="259" t="s">
        <v>454</v>
      </c>
      <c r="D29" s="201">
        <v>1.24E-2</v>
      </c>
      <c r="AB29" s="32">
        <v>750</v>
      </c>
      <c r="AC29" s="35">
        <f t="shared" si="4"/>
        <v>750</v>
      </c>
      <c r="AD29" s="35">
        <f t="shared" si="4"/>
        <v>750</v>
      </c>
      <c r="AE29" s="35">
        <f t="shared" si="4"/>
        <v>750</v>
      </c>
      <c r="AF29" s="35">
        <f t="shared" si="4"/>
        <v>750</v>
      </c>
      <c r="AO29" s="35">
        <f t="shared" si="6"/>
        <v>750</v>
      </c>
      <c r="AP29" s="35">
        <f t="shared" si="7"/>
        <v>750</v>
      </c>
      <c r="AQ29" s="35">
        <f t="shared" si="5"/>
        <v>750</v>
      </c>
      <c r="AR29" s="35">
        <f t="shared" si="5"/>
        <v>750</v>
      </c>
      <c r="AS29" s="35">
        <f t="shared" si="5"/>
        <v>750</v>
      </c>
      <c r="AU29" s="443">
        <v>48578</v>
      </c>
      <c r="AY29" s="238"/>
      <c r="AZ29" s="238"/>
      <c r="BA29" s="238"/>
    </row>
    <row r="30" spans="3:53">
      <c r="C30" s="259" t="s">
        <v>455</v>
      </c>
      <c r="D30" s="201">
        <v>4.6100000000000002E-2</v>
      </c>
      <c r="AB30" s="32">
        <v>750</v>
      </c>
      <c r="AC30" s="35">
        <f t="shared" ref="AC30:AF47" si="8">+AB30-AC77</f>
        <v>750</v>
      </c>
      <c r="AD30" s="35">
        <f t="shared" si="8"/>
        <v>750</v>
      </c>
      <c r="AE30" s="35">
        <f t="shared" si="8"/>
        <v>750</v>
      </c>
      <c r="AF30" s="35">
        <f t="shared" si="8"/>
        <v>750</v>
      </c>
      <c r="AO30" s="35">
        <f t="shared" si="6"/>
        <v>750</v>
      </c>
      <c r="AP30" s="35">
        <f t="shared" si="7"/>
        <v>750</v>
      </c>
      <c r="AQ30" s="35">
        <f t="shared" ref="AQ30:AS47" si="9">+AP30-AQ77</f>
        <v>750</v>
      </c>
      <c r="AR30" s="35">
        <f t="shared" si="9"/>
        <v>750</v>
      </c>
      <c r="AS30" s="35">
        <f t="shared" si="9"/>
        <v>750</v>
      </c>
      <c r="AU30" s="443">
        <v>51225</v>
      </c>
      <c r="AY30" s="238"/>
      <c r="AZ30" s="238"/>
      <c r="BA30" s="238"/>
    </row>
    <row r="31" spans="3:53">
      <c r="C31" s="259" t="s">
        <v>456</v>
      </c>
      <c r="D31" s="201">
        <v>2.8199999999999999E-2</v>
      </c>
      <c r="AB31" s="32">
        <v>750</v>
      </c>
      <c r="AC31" s="35">
        <f t="shared" si="8"/>
        <v>750</v>
      </c>
      <c r="AD31" s="35">
        <f t="shared" si="8"/>
        <v>750</v>
      </c>
      <c r="AE31" s="35">
        <f t="shared" si="8"/>
        <v>750</v>
      </c>
      <c r="AF31" s="35">
        <f t="shared" si="8"/>
        <v>750</v>
      </c>
      <c r="AO31" s="35">
        <f t="shared" si="6"/>
        <v>750</v>
      </c>
      <c r="AP31" s="35">
        <f t="shared" si="7"/>
        <v>750</v>
      </c>
      <c r="AQ31" s="35">
        <f t="shared" si="9"/>
        <v>750</v>
      </c>
      <c r="AR31" s="35">
        <f t="shared" si="9"/>
        <v>750</v>
      </c>
      <c r="AS31" s="35">
        <f t="shared" si="9"/>
        <v>750</v>
      </c>
      <c r="AU31" s="443">
        <v>51743</v>
      </c>
      <c r="AY31" s="238"/>
      <c r="AZ31" s="238"/>
      <c r="BA31" s="238"/>
    </row>
    <row r="32" spans="3:53">
      <c r="C32" s="259" t="s">
        <v>457</v>
      </c>
      <c r="D32" s="201">
        <v>2.01E-2</v>
      </c>
      <c r="AB32" s="32">
        <v>802</v>
      </c>
      <c r="AC32" s="35">
        <f t="shared" si="8"/>
        <v>802</v>
      </c>
      <c r="AD32" s="35">
        <f t="shared" si="8"/>
        <v>802</v>
      </c>
      <c r="AE32" s="35">
        <f t="shared" si="8"/>
        <v>802</v>
      </c>
      <c r="AF32" s="35">
        <f t="shared" si="8"/>
        <v>802</v>
      </c>
      <c r="AO32" s="35">
        <f t="shared" si="6"/>
        <v>802</v>
      </c>
      <c r="AP32" s="35">
        <f t="shared" si="7"/>
        <v>802</v>
      </c>
      <c r="AQ32" s="35">
        <f t="shared" si="9"/>
        <v>802</v>
      </c>
      <c r="AR32" s="35">
        <f t="shared" si="9"/>
        <v>802</v>
      </c>
      <c r="AS32" s="35">
        <f t="shared" si="9"/>
        <v>802</v>
      </c>
      <c r="AU32" s="443">
        <v>51804</v>
      </c>
      <c r="AY32" s="238"/>
      <c r="AZ32" s="238"/>
      <c r="BA32" s="238"/>
    </row>
    <row r="33" spans="3:53">
      <c r="C33" s="259" t="s">
        <v>458</v>
      </c>
      <c r="D33" s="201">
        <v>1.4200000000000001E-2</v>
      </c>
      <c r="AB33" s="32">
        <v>567</v>
      </c>
      <c r="AC33" s="35">
        <f t="shared" si="8"/>
        <v>567</v>
      </c>
      <c r="AD33" s="35">
        <f t="shared" si="8"/>
        <v>567</v>
      </c>
      <c r="AE33" s="35">
        <f t="shared" si="8"/>
        <v>567</v>
      </c>
      <c r="AF33" s="35">
        <f t="shared" si="8"/>
        <v>567</v>
      </c>
      <c r="AO33" s="35">
        <f t="shared" si="6"/>
        <v>567</v>
      </c>
      <c r="AP33" s="35">
        <f t="shared" si="7"/>
        <v>567</v>
      </c>
      <c r="AQ33" s="35">
        <f t="shared" si="9"/>
        <v>567</v>
      </c>
      <c r="AR33" s="35">
        <f t="shared" si="9"/>
        <v>567</v>
      </c>
      <c r="AS33" s="35">
        <f t="shared" si="9"/>
        <v>567</v>
      </c>
      <c r="AU33" s="443">
        <v>52230</v>
      </c>
      <c r="AY33" s="238"/>
      <c r="AZ33" s="238"/>
      <c r="BA33" s="238"/>
    </row>
    <row r="34" spans="3:53">
      <c r="C34" s="259" t="s">
        <v>459</v>
      </c>
      <c r="D34" s="201">
        <v>2.1299999999999999E-2</v>
      </c>
      <c r="AB34" s="32">
        <v>772</v>
      </c>
      <c r="AC34" s="35">
        <f t="shared" si="8"/>
        <v>772</v>
      </c>
      <c r="AD34" s="35">
        <f t="shared" si="8"/>
        <v>772</v>
      </c>
      <c r="AE34" s="35">
        <f t="shared" si="8"/>
        <v>772</v>
      </c>
      <c r="AF34" s="35">
        <f t="shared" si="8"/>
        <v>772</v>
      </c>
      <c r="AO34" s="35">
        <f t="shared" si="6"/>
        <v>772</v>
      </c>
      <c r="AP34" s="35">
        <f t="shared" si="7"/>
        <v>772</v>
      </c>
      <c r="AQ34" s="35">
        <f t="shared" si="9"/>
        <v>772</v>
      </c>
      <c r="AR34" s="35">
        <f t="shared" si="9"/>
        <v>772</v>
      </c>
      <c r="AS34" s="35">
        <f t="shared" si="9"/>
        <v>772</v>
      </c>
      <c r="AU34" s="443">
        <v>53173</v>
      </c>
      <c r="AY34" s="238"/>
      <c r="AZ34" s="238"/>
      <c r="BA34" s="238"/>
    </row>
    <row r="35" spans="3:53">
      <c r="C35" s="259" t="s">
        <v>460</v>
      </c>
      <c r="D35" s="201">
        <v>1.4E-2</v>
      </c>
      <c r="AB35" s="32">
        <v>1250</v>
      </c>
      <c r="AC35" s="35">
        <f t="shared" si="8"/>
        <v>1250</v>
      </c>
      <c r="AD35" s="35">
        <f t="shared" si="8"/>
        <v>1250</v>
      </c>
      <c r="AE35" s="35">
        <f t="shared" si="8"/>
        <v>1250</v>
      </c>
      <c r="AF35" s="35">
        <f t="shared" si="8"/>
        <v>1250</v>
      </c>
      <c r="AO35" s="35">
        <f t="shared" si="6"/>
        <v>1250</v>
      </c>
      <c r="AP35" s="35">
        <f t="shared" si="7"/>
        <v>1250</v>
      </c>
      <c r="AQ35" s="35">
        <f t="shared" si="9"/>
        <v>1250</v>
      </c>
      <c r="AR35" s="35">
        <f t="shared" si="9"/>
        <v>1250</v>
      </c>
      <c r="AS35" s="35">
        <f t="shared" si="9"/>
        <v>1250</v>
      </c>
      <c r="AU35" s="443">
        <v>53477</v>
      </c>
      <c r="AY35" s="238"/>
      <c r="AZ35" s="238"/>
      <c r="BA35" s="238"/>
    </row>
    <row r="36" spans="3:53">
      <c r="C36" s="259" t="s">
        <v>461</v>
      </c>
      <c r="D36" s="201">
        <v>1.37E-2</v>
      </c>
      <c r="AB36" s="32">
        <v>1000</v>
      </c>
      <c r="AC36" s="35">
        <f t="shared" si="8"/>
        <v>1000</v>
      </c>
      <c r="AD36" s="35">
        <f t="shared" si="8"/>
        <v>1000</v>
      </c>
      <c r="AE36" s="35">
        <f t="shared" si="8"/>
        <v>1000</v>
      </c>
      <c r="AF36" s="35">
        <f t="shared" si="8"/>
        <v>1000</v>
      </c>
      <c r="AO36" s="35">
        <f t="shared" si="6"/>
        <v>1000</v>
      </c>
      <c r="AP36" s="35">
        <f t="shared" si="7"/>
        <v>1000</v>
      </c>
      <c r="AQ36" s="35">
        <f t="shared" si="9"/>
        <v>1000</v>
      </c>
      <c r="AR36" s="35">
        <f t="shared" si="9"/>
        <v>1000</v>
      </c>
      <c r="AS36" s="35">
        <f t="shared" si="9"/>
        <v>1000</v>
      </c>
      <c r="AU36" s="443">
        <v>53842</v>
      </c>
      <c r="AY36" s="238"/>
      <c r="AZ36" s="238"/>
      <c r="BA36" s="238"/>
    </row>
    <row r="37" spans="3:53">
      <c r="C37" s="259" t="s">
        <v>462</v>
      </c>
      <c r="D37" s="201">
        <v>9.1999999999999998E-3</v>
      </c>
      <c r="AB37" s="32">
        <v>640</v>
      </c>
      <c r="AC37" s="35">
        <f t="shared" si="8"/>
        <v>640</v>
      </c>
      <c r="AD37" s="35">
        <f t="shared" si="8"/>
        <v>640</v>
      </c>
      <c r="AE37" s="35">
        <f t="shared" si="8"/>
        <v>640</v>
      </c>
      <c r="AF37" s="35">
        <f t="shared" si="8"/>
        <v>640</v>
      </c>
      <c r="AO37" s="35">
        <f t="shared" si="6"/>
        <v>640</v>
      </c>
      <c r="AP37" s="35">
        <f t="shared" si="7"/>
        <v>640</v>
      </c>
      <c r="AQ37" s="35">
        <f t="shared" si="9"/>
        <v>640</v>
      </c>
      <c r="AR37" s="35">
        <f t="shared" si="9"/>
        <v>640</v>
      </c>
      <c r="AS37" s="35">
        <f t="shared" si="9"/>
        <v>640</v>
      </c>
      <c r="AU37" s="443">
        <v>53934</v>
      </c>
      <c r="AY37" s="238"/>
      <c r="AZ37" s="238"/>
      <c r="BA37" s="238"/>
    </row>
    <row r="38" spans="3:53">
      <c r="C38" s="259" t="s">
        <v>463</v>
      </c>
      <c r="D38" s="201">
        <v>1.77E-2</v>
      </c>
      <c r="AB38" s="32">
        <v>1967</v>
      </c>
      <c r="AC38" s="35">
        <f t="shared" si="8"/>
        <v>1967</v>
      </c>
      <c r="AD38" s="35">
        <f t="shared" si="8"/>
        <v>1967</v>
      </c>
      <c r="AE38" s="35">
        <f t="shared" si="8"/>
        <v>1967</v>
      </c>
      <c r="AF38" s="35">
        <f t="shared" si="8"/>
        <v>1967</v>
      </c>
      <c r="AO38" s="35">
        <f t="shared" si="6"/>
        <v>1967</v>
      </c>
      <c r="AP38" s="35">
        <f t="shared" si="7"/>
        <v>1967</v>
      </c>
      <c r="AQ38" s="35">
        <f t="shared" si="9"/>
        <v>1967</v>
      </c>
      <c r="AR38" s="35">
        <f t="shared" si="9"/>
        <v>1967</v>
      </c>
      <c r="AS38" s="35">
        <f t="shared" si="9"/>
        <v>1967</v>
      </c>
      <c r="AU38" s="443">
        <v>54056</v>
      </c>
      <c r="AY38" s="238"/>
      <c r="AZ38" s="238"/>
      <c r="BA38" s="238"/>
    </row>
    <row r="39" spans="3:53">
      <c r="C39" s="259" t="s">
        <v>464</v>
      </c>
      <c r="D39" s="201">
        <v>3.2000000000000001E-2</v>
      </c>
      <c r="AB39" s="32">
        <v>2000</v>
      </c>
      <c r="AC39" s="35">
        <f t="shared" si="8"/>
        <v>2000</v>
      </c>
      <c r="AD39" s="35">
        <f t="shared" si="8"/>
        <v>2000</v>
      </c>
      <c r="AE39" s="35">
        <f t="shared" si="8"/>
        <v>2000</v>
      </c>
      <c r="AF39" s="35">
        <f t="shared" si="8"/>
        <v>2000</v>
      </c>
      <c r="AO39" s="35">
        <f t="shared" si="6"/>
        <v>2000</v>
      </c>
      <c r="AP39" s="35">
        <f t="shared" si="7"/>
        <v>2000</v>
      </c>
      <c r="AQ39" s="35">
        <f t="shared" si="9"/>
        <v>2000</v>
      </c>
      <c r="AR39" s="35">
        <f t="shared" si="9"/>
        <v>2000</v>
      </c>
      <c r="AS39" s="35">
        <f t="shared" si="9"/>
        <v>2000</v>
      </c>
      <c r="AU39" s="443">
        <v>54757</v>
      </c>
      <c r="AY39" s="238"/>
      <c r="AZ39" s="238"/>
      <c r="BA39" s="238"/>
    </row>
    <row r="40" spans="3:53">
      <c r="C40" s="259" t="s">
        <v>465</v>
      </c>
      <c r="D40" s="201">
        <v>4.7399999999999998E-2</v>
      </c>
      <c r="AB40" s="32">
        <v>2250</v>
      </c>
      <c r="AC40" s="35">
        <f t="shared" si="8"/>
        <v>2250</v>
      </c>
      <c r="AD40" s="35">
        <f t="shared" si="8"/>
        <v>2250</v>
      </c>
      <c r="AE40" s="35">
        <f t="shared" si="8"/>
        <v>2250</v>
      </c>
      <c r="AF40" s="35">
        <f t="shared" si="8"/>
        <v>2250</v>
      </c>
      <c r="AO40" s="35">
        <f t="shared" si="6"/>
        <v>2250</v>
      </c>
      <c r="AP40" s="35">
        <f t="shared" si="7"/>
        <v>2250</v>
      </c>
      <c r="AQ40" s="35">
        <f t="shared" si="9"/>
        <v>2250</v>
      </c>
      <c r="AR40" s="35">
        <f t="shared" si="9"/>
        <v>2250</v>
      </c>
      <c r="AS40" s="35">
        <f t="shared" si="9"/>
        <v>2250</v>
      </c>
      <c r="AU40" s="443">
        <v>54877</v>
      </c>
      <c r="AY40" s="238"/>
      <c r="AZ40" s="238"/>
      <c r="BA40" s="238"/>
    </row>
    <row r="41" spans="3:53">
      <c r="C41" s="259" t="s">
        <v>466</v>
      </c>
      <c r="D41" s="201">
        <v>3.0700000000000002E-2</v>
      </c>
      <c r="AB41" s="32">
        <v>1250</v>
      </c>
      <c r="AC41" s="35">
        <f t="shared" si="8"/>
        <v>1250</v>
      </c>
      <c r="AD41" s="35">
        <f t="shared" si="8"/>
        <v>1250</v>
      </c>
      <c r="AE41" s="35">
        <f t="shared" si="8"/>
        <v>1250</v>
      </c>
      <c r="AF41" s="35">
        <f t="shared" si="8"/>
        <v>1250</v>
      </c>
      <c r="AO41" s="35">
        <f t="shared" si="6"/>
        <v>1250</v>
      </c>
      <c r="AP41" s="35">
        <f t="shared" si="7"/>
        <v>1250</v>
      </c>
      <c r="AQ41" s="35">
        <f t="shared" si="9"/>
        <v>1250</v>
      </c>
      <c r="AR41" s="35">
        <f t="shared" si="9"/>
        <v>1250</v>
      </c>
      <c r="AS41" s="35">
        <f t="shared" si="9"/>
        <v>1250</v>
      </c>
      <c r="AU41" s="443">
        <v>55395</v>
      </c>
      <c r="AY41" s="238"/>
      <c r="AZ41" s="238"/>
      <c r="BA41" s="238"/>
    </row>
    <row r="42" spans="3:53">
      <c r="C42" s="259" t="s">
        <v>467</v>
      </c>
      <c r="D42" s="201">
        <v>3.1099999999999999E-2</v>
      </c>
      <c r="AB42" s="32">
        <v>1000</v>
      </c>
      <c r="AC42" s="35">
        <f t="shared" si="8"/>
        <v>1000</v>
      </c>
      <c r="AD42" s="35">
        <f t="shared" si="8"/>
        <v>1000</v>
      </c>
      <c r="AE42" s="35">
        <f t="shared" si="8"/>
        <v>1000</v>
      </c>
      <c r="AF42" s="35">
        <f t="shared" si="8"/>
        <v>1000</v>
      </c>
      <c r="AO42" s="35">
        <f t="shared" si="6"/>
        <v>1000</v>
      </c>
      <c r="AP42" s="35">
        <f t="shared" si="7"/>
        <v>1000</v>
      </c>
      <c r="AQ42" s="35">
        <f t="shared" si="9"/>
        <v>1000</v>
      </c>
      <c r="AR42" s="35">
        <f t="shared" si="9"/>
        <v>1000</v>
      </c>
      <c r="AS42" s="35">
        <f t="shared" si="9"/>
        <v>1000</v>
      </c>
      <c r="AU42" s="443">
        <v>58501</v>
      </c>
      <c r="AY42" s="238"/>
      <c r="AZ42" s="238"/>
      <c r="BA42" s="238"/>
    </row>
    <row r="43" spans="3:53">
      <c r="C43" s="259" t="s">
        <v>468</v>
      </c>
      <c r="D43" s="201">
        <v>4.99E-2</v>
      </c>
      <c r="AB43" s="32">
        <v>1000</v>
      </c>
      <c r="AC43" s="35">
        <f t="shared" si="8"/>
        <v>1000</v>
      </c>
      <c r="AD43" s="35">
        <f t="shared" si="8"/>
        <v>1000</v>
      </c>
      <c r="AE43" s="35">
        <f t="shared" si="8"/>
        <v>1000</v>
      </c>
      <c r="AF43" s="35">
        <f t="shared" si="8"/>
        <v>1000</v>
      </c>
      <c r="AO43" s="35">
        <f t="shared" si="6"/>
        <v>1000</v>
      </c>
      <c r="AP43" s="35">
        <f t="shared" si="7"/>
        <v>1000</v>
      </c>
      <c r="AQ43" s="35">
        <f t="shared" si="9"/>
        <v>1000</v>
      </c>
      <c r="AR43" s="35">
        <f t="shared" si="9"/>
        <v>1000</v>
      </c>
      <c r="AS43" s="35">
        <f t="shared" si="9"/>
        <v>1000</v>
      </c>
      <c r="AU43" s="443">
        <v>58530</v>
      </c>
      <c r="AY43" s="238"/>
      <c r="AZ43" s="238"/>
      <c r="BA43" s="238"/>
    </row>
    <row r="44" spans="3:53">
      <c r="C44" s="259" t="s">
        <v>469</v>
      </c>
      <c r="D44" s="201">
        <v>3.2199999999999999E-2</v>
      </c>
      <c r="AB44" s="32">
        <v>750</v>
      </c>
      <c r="AC44" s="35">
        <f t="shared" si="8"/>
        <v>750</v>
      </c>
      <c r="AD44" s="35">
        <f t="shared" si="8"/>
        <v>750</v>
      </c>
      <c r="AE44" s="35">
        <f t="shared" si="8"/>
        <v>750</v>
      </c>
      <c r="AF44" s="35">
        <f t="shared" si="8"/>
        <v>750</v>
      </c>
      <c r="AO44" s="35">
        <f t="shared" si="6"/>
        <v>750</v>
      </c>
      <c r="AP44" s="35">
        <f t="shared" si="7"/>
        <v>750</v>
      </c>
      <c r="AQ44" s="35">
        <f t="shared" si="9"/>
        <v>750</v>
      </c>
      <c r="AR44" s="35">
        <f t="shared" si="9"/>
        <v>750</v>
      </c>
      <c r="AS44" s="35">
        <f t="shared" si="9"/>
        <v>750</v>
      </c>
      <c r="AU44" s="443">
        <v>59048</v>
      </c>
      <c r="AY44" s="238"/>
      <c r="AZ44" s="238"/>
      <c r="BA44" s="238"/>
    </row>
    <row r="45" spans="3:53">
      <c r="C45" s="259" t="s">
        <v>470</v>
      </c>
      <c r="D45" s="201">
        <v>2.4899999999999999E-2</v>
      </c>
      <c r="AB45" s="32">
        <v>423</v>
      </c>
      <c r="AC45" s="35">
        <f t="shared" si="8"/>
        <v>423</v>
      </c>
      <c r="AD45" s="35">
        <f t="shared" si="8"/>
        <v>423</v>
      </c>
      <c r="AE45" s="35">
        <f t="shared" si="8"/>
        <v>423</v>
      </c>
      <c r="AF45" s="35">
        <f t="shared" si="8"/>
        <v>423</v>
      </c>
      <c r="AO45" s="35">
        <f t="shared" si="6"/>
        <v>423</v>
      </c>
      <c r="AP45" s="35">
        <f t="shared" si="7"/>
        <v>423</v>
      </c>
      <c r="AQ45" s="35">
        <f t="shared" si="9"/>
        <v>423</v>
      </c>
      <c r="AR45" s="35">
        <f t="shared" si="9"/>
        <v>423</v>
      </c>
      <c r="AS45" s="35">
        <f t="shared" si="9"/>
        <v>423</v>
      </c>
      <c r="AU45" s="443">
        <v>49673</v>
      </c>
      <c r="AV45" s="442"/>
      <c r="AX45" s="238"/>
      <c r="AY45" s="238"/>
      <c r="AZ45" s="238"/>
      <c r="BA45" s="238"/>
    </row>
    <row r="46" spans="3:53">
      <c r="C46" s="259" t="s">
        <v>471</v>
      </c>
      <c r="D46" s="201">
        <v>2.1299999999999999E-2</v>
      </c>
      <c r="AB46" s="32">
        <v>138</v>
      </c>
      <c r="AC46" s="35">
        <f t="shared" si="8"/>
        <v>138</v>
      </c>
      <c r="AD46" s="35">
        <f t="shared" si="8"/>
        <v>138</v>
      </c>
      <c r="AE46" s="35">
        <f t="shared" si="8"/>
        <v>138</v>
      </c>
      <c r="AF46" s="35">
        <f t="shared" si="8"/>
        <v>138</v>
      </c>
      <c r="AO46" s="35">
        <f t="shared" si="6"/>
        <v>138</v>
      </c>
      <c r="AP46" s="35">
        <f t="shared" si="7"/>
        <v>138</v>
      </c>
      <c r="AQ46" s="35">
        <f t="shared" si="9"/>
        <v>138</v>
      </c>
      <c r="AR46" s="35">
        <f t="shared" si="9"/>
        <v>138</v>
      </c>
      <c r="AS46" s="35">
        <f t="shared" si="9"/>
        <v>138</v>
      </c>
      <c r="AU46" s="443">
        <v>54512</v>
      </c>
      <c r="AY46" s="238"/>
      <c r="AZ46" s="238"/>
      <c r="BA46" s="238"/>
    </row>
    <row r="47" spans="3:53">
      <c r="C47" s="259" t="s">
        <v>472</v>
      </c>
      <c r="D47" s="201">
        <v>2.1499999999999998E-2</v>
      </c>
      <c r="AB47" s="32">
        <v>438</v>
      </c>
      <c r="AC47" s="35">
        <f t="shared" si="8"/>
        <v>438</v>
      </c>
      <c r="AD47" s="35">
        <f t="shared" si="8"/>
        <v>438</v>
      </c>
      <c r="AE47" s="35">
        <f t="shared" si="8"/>
        <v>438</v>
      </c>
      <c r="AF47" s="35">
        <f t="shared" si="8"/>
        <v>438</v>
      </c>
      <c r="AO47" s="35">
        <f t="shared" si="6"/>
        <v>438</v>
      </c>
      <c r="AP47" s="35">
        <f t="shared" si="7"/>
        <v>438</v>
      </c>
      <c r="AQ47" s="35">
        <f t="shared" si="9"/>
        <v>438</v>
      </c>
      <c r="AR47" s="35">
        <f t="shared" si="9"/>
        <v>438</v>
      </c>
      <c r="AS47" s="35">
        <f t="shared" si="9"/>
        <v>438</v>
      </c>
      <c r="AU47" s="443">
        <v>54604</v>
      </c>
      <c r="AY47" s="238"/>
      <c r="AZ47" s="238"/>
      <c r="BA47" s="238"/>
    </row>
    <row r="48" spans="3:53">
      <c r="C48" s="259" t="s">
        <v>473</v>
      </c>
      <c r="D48" s="201"/>
      <c r="AB48" s="32">
        <f>811-405</f>
        <v>406</v>
      </c>
      <c r="AC48" s="205">
        <f>+AB48</f>
        <v>406</v>
      </c>
      <c r="AD48" s="205">
        <f>+AC48</f>
        <v>406</v>
      </c>
      <c r="AE48" s="205">
        <f>+AD48</f>
        <v>406</v>
      </c>
      <c r="AF48" s="205">
        <f>+AE48</f>
        <v>406</v>
      </c>
      <c r="AO48" s="35">
        <f>+AB48</f>
        <v>406</v>
      </c>
      <c r="AP48" s="35">
        <f>+AF48</f>
        <v>406</v>
      </c>
      <c r="AQ48" s="448">
        <f>+AP48</f>
        <v>406</v>
      </c>
      <c r="AR48" s="448">
        <f>+AQ48</f>
        <v>406</v>
      </c>
      <c r="AS48" s="448">
        <f>+AR48</f>
        <v>406</v>
      </c>
      <c r="AU48" s="443">
        <v>54604</v>
      </c>
      <c r="AY48" s="238"/>
      <c r="AZ48" s="238"/>
      <c r="BA48" s="238"/>
    </row>
    <row r="49" spans="2:51">
      <c r="C49" s="261" t="s">
        <v>474</v>
      </c>
      <c r="D49" s="262">
        <f>+SUMPRODUCT(D10:D47,AB10:AB47)/SUM(AB10:AB47)</f>
        <v>2.5652845204934341E-2</v>
      </c>
      <c r="AB49" s="32">
        <v>0</v>
      </c>
      <c r="AC49" s="35">
        <f>+AC204</f>
        <v>0</v>
      </c>
      <c r="AD49" s="35">
        <f>+AD204</f>
        <v>0</v>
      </c>
      <c r="AE49" s="35">
        <f>+AE204</f>
        <v>0</v>
      </c>
      <c r="AF49" s="35">
        <f>+AF204</f>
        <v>0</v>
      </c>
      <c r="AO49" s="35">
        <f>+AB49</f>
        <v>0</v>
      </c>
      <c r="AP49" s="35">
        <f>+AF49</f>
        <v>0</v>
      </c>
      <c r="AQ49" s="35">
        <f>+AQ204</f>
        <v>0</v>
      </c>
      <c r="AR49" s="35">
        <f>+AR204</f>
        <v>0</v>
      </c>
      <c r="AS49" s="35">
        <f>+AS204</f>
        <v>0</v>
      </c>
      <c r="AU49" s="260"/>
    </row>
    <row r="50" spans="2:51" s="36" customFormat="1">
      <c r="C50" s="33" t="s">
        <v>475</v>
      </c>
      <c r="D50" s="203"/>
      <c r="X50"/>
      <c r="Y50"/>
      <c r="Z50"/>
      <c r="AA50"/>
      <c r="AB50" s="239">
        <f>SUM(AB10:AB49)</f>
        <v>38101</v>
      </c>
      <c r="AC50" s="239">
        <f>SUM(AC10:AC49)</f>
        <v>38101</v>
      </c>
      <c r="AD50" s="239">
        <f>SUM(AD10:AD49)</f>
        <v>36551</v>
      </c>
      <c r="AE50" s="239">
        <f>SUM(AE10:AE49)</f>
        <v>35551</v>
      </c>
      <c r="AF50" s="239">
        <f>SUM(AF10:AF49)</f>
        <v>33653</v>
      </c>
      <c r="AG50"/>
      <c r="AN50"/>
      <c r="AO50" s="239">
        <f>SUM(AO10:AO49)</f>
        <v>38101</v>
      </c>
      <c r="AP50" s="239">
        <f>SUM(AP10:AP49)</f>
        <v>33653</v>
      </c>
      <c r="AQ50" s="239">
        <f>SUM(AQ10:AQ49)</f>
        <v>33253</v>
      </c>
      <c r="AR50" s="239">
        <f>SUM(AR10:AR49)</f>
        <v>31403</v>
      </c>
      <c r="AS50" s="239">
        <f>SUM(AS10:AS49)</f>
        <v>27653</v>
      </c>
      <c r="AW50"/>
      <c r="AX50"/>
      <c r="AY50"/>
    </row>
    <row r="51" spans="2:51" s="36" customFormat="1" ht="5.25" customHeight="1">
      <c r="C51" s="33"/>
      <c r="D51" s="203"/>
      <c r="X51"/>
      <c r="Y51"/>
      <c r="Z51"/>
      <c r="AA51"/>
      <c r="AB51" s="263"/>
      <c r="AC51" s="263"/>
      <c r="AD51" s="263"/>
      <c r="AE51" s="263"/>
      <c r="AF51" s="263"/>
      <c r="AG51"/>
      <c r="AN51"/>
      <c r="AO51" s="263"/>
      <c r="AP51" s="263"/>
      <c r="AQ51" s="263"/>
      <c r="AR51" s="263"/>
      <c r="AS51" s="263"/>
      <c r="AW51"/>
      <c r="AX51"/>
      <c r="AY51"/>
    </row>
    <row r="52" spans="2:51" ht="11.25" customHeight="1">
      <c r="C52" s="261" t="s">
        <v>476</v>
      </c>
      <c r="D52" s="262"/>
      <c r="AB52" s="32">
        <v>0</v>
      </c>
      <c r="AC52" s="35">
        <f ca="1">+AC209</f>
        <v>0</v>
      </c>
      <c r="AD52" s="35">
        <f ca="1">+AD209</f>
        <v>0</v>
      </c>
      <c r="AE52" s="35">
        <f ca="1">+AE209</f>
        <v>0</v>
      </c>
      <c r="AF52" s="35">
        <f ca="1">+AF209</f>
        <v>0</v>
      </c>
      <c r="AO52" s="35">
        <f>+AB52</f>
        <v>0</v>
      </c>
      <c r="AP52" s="35">
        <f ca="1">+AF52</f>
        <v>0</v>
      </c>
      <c r="AQ52" s="35">
        <f ca="1">+AQ209</f>
        <v>0</v>
      </c>
      <c r="AR52" s="35">
        <f ca="1">+AR209</f>
        <v>0</v>
      </c>
      <c r="AS52" s="35">
        <f ca="1">+AS209</f>
        <v>754.9730741266867</v>
      </c>
    </row>
    <row r="53" spans="2:51" s="36" customFormat="1">
      <c r="C53" s="33" t="s">
        <v>477</v>
      </c>
      <c r="D53" s="203"/>
      <c r="X53"/>
      <c r="Y53"/>
      <c r="Z53"/>
      <c r="AA53"/>
      <c r="AB53" s="239">
        <f>+AB50+AB52</f>
        <v>38101</v>
      </c>
      <c r="AC53" s="239">
        <f ca="1">+AC50+AC52</f>
        <v>38101</v>
      </c>
      <c r="AD53" s="239">
        <f ca="1">+AD50+AD52</f>
        <v>36551</v>
      </c>
      <c r="AE53" s="239">
        <f ca="1">+AE50+AE52</f>
        <v>35551</v>
      </c>
      <c r="AF53" s="239">
        <f ca="1">+AF50+AF52</f>
        <v>33653</v>
      </c>
      <c r="AG53"/>
      <c r="AN53"/>
      <c r="AO53" s="239">
        <f>+AO50+AO52</f>
        <v>38101</v>
      </c>
      <c r="AP53" s="239">
        <f ca="1">+AP50+AP52</f>
        <v>33653</v>
      </c>
      <c r="AQ53" s="239">
        <f ca="1">+AQ50+AQ52</f>
        <v>33253</v>
      </c>
      <c r="AR53" s="239">
        <f ca="1">+AR50+AR52</f>
        <v>31403</v>
      </c>
      <c r="AS53" s="239">
        <f ca="1">+AS50+AS52</f>
        <v>28407.973074126687</v>
      </c>
      <c r="AW53"/>
      <c r="AX53"/>
      <c r="AY53"/>
    </row>
    <row r="54" spans="2:51" ht="5.25" customHeight="1"/>
    <row r="55" spans="2:51" s="238" customFormat="1" ht="11.25" customHeight="1">
      <c r="B55" s="30" t="s">
        <v>478</v>
      </c>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447"/>
      <c r="AC55" s="31"/>
      <c r="AD55" s="31"/>
      <c r="AE55" s="31"/>
      <c r="AF55" s="31"/>
      <c r="AG55"/>
      <c r="AH55" s="31"/>
      <c r="AI55" s="31"/>
      <c r="AJ55" s="31"/>
      <c r="AK55" s="31"/>
      <c r="AL55" s="31"/>
      <c r="AM55" s="31"/>
      <c r="AN55" s="31"/>
      <c r="AO55" s="31"/>
      <c r="AP55" s="31"/>
      <c r="AQ55" s="31"/>
      <c r="AR55" s="31"/>
      <c r="AS55" s="31"/>
      <c r="AT55"/>
      <c r="AU55" s="31"/>
    </row>
    <row r="57" spans="2:51">
      <c r="C57" s="259" t="str">
        <f t="shared" ref="C57:C94" si="10">C10</f>
        <v>Three-month LIBOR plus 0.35%, due May 2022</v>
      </c>
      <c r="AC57" s="35">
        <f t="shared" ref="AC57:AF76" si="11">+IF(AND($AU10&gt;AB$6,$AU10&lt;=AC$6),AB10,0)</f>
        <v>0</v>
      </c>
      <c r="AD57" s="35">
        <f t="shared" si="11"/>
        <v>800</v>
      </c>
      <c r="AE57" s="35">
        <f t="shared" si="11"/>
        <v>0</v>
      </c>
      <c r="AF57" s="35">
        <f t="shared" si="11"/>
        <v>0</v>
      </c>
      <c r="AO57" s="35"/>
      <c r="AP57" s="35">
        <f t="shared" ref="AP57:AS76" si="12">+IF(AND($AU10&gt;AO$6,$AU10&lt;=AP$6),AO10,0)</f>
        <v>800</v>
      </c>
      <c r="AQ57" s="35">
        <f t="shared" si="12"/>
        <v>0</v>
      </c>
      <c r="AR57" s="35">
        <f t="shared" si="12"/>
        <v>0</v>
      </c>
      <c r="AS57" s="35">
        <f t="shared" si="12"/>
        <v>0</v>
      </c>
    </row>
    <row r="58" spans="2:51">
      <c r="C58" s="259" t="str">
        <f t="shared" si="10"/>
        <v>1.70%, due May 2021</v>
      </c>
      <c r="AC58" s="35">
        <f t="shared" si="11"/>
        <v>0</v>
      </c>
      <c r="AD58" s="35">
        <f t="shared" si="11"/>
        <v>0</v>
      </c>
      <c r="AE58" s="35">
        <f t="shared" si="11"/>
        <v>0</v>
      </c>
      <c r="AF58" s="35">
        <f t="shared" si="11"/>
        <v>0</v>
      </c>
      <c r="AO58" s="35"/>
      <c r="AP58" s="35">
        <f t="shared" si="12"/>
        <v>0</v>
      </c>
      <c r="AQ58" s="35">
        <f t="shared" si="12"/>
        <v>0</v>
      </c>
      <c r="AR58" s="35">
        <f t="shared" si="12"/>
        <v>0</v>
      </c>
      <c r="AS58" s="35">
        <f t="shared" si="12"/>
        <v>0</v>
      </c>
    </row>
    <row r="59" spans="2:51">
      <c r="C59" s="259" t="str">
        <f t="shared" si="10"/>
        <v>3.30%, due October 2021</v>
      </c>
      <c r="AC59" s="35">
        <f t="shared" si="11"/>
        <v>0</v>
      </c>
      <c r="AD59" s="35">
        <f t="shared" si="11"/>
        <v>0</v>
      </c>
      <c r="AE59" s="35">
        <f t="shared" si="11"/>
        <v>0</v>
      </c>
      <c r="AF59" s="35">
        <f t="shared" si="11"/>
        <v>0</v>
      </c>
      <c r="AO59" s="35"/>
      <c r="AP59" s="35">
        <f t="shared" si="12"/>
        <v>0</v>
      </c>
      <c r="AQ59" s="35">
        <f t="shared" si="12"/>
        <v>0</v>
      </c>
      <c r="AR59" s="35">
        <f t="shared" si="12"/>
        <v>0</v>
      </c>
      <c r="AS59" s="35">
        <f t="shared" si="12"/>
        <v>0</v>
      </c>
    </row>
    <row r="60" spans="2:51">
      <c r="C60" s="259" t="str">
        <f t="shared" si="10"/>
        <v>2.35%, due May 2022</v>
      </c>
      <c r="AC60" s="35">
        <f t="shared" si="11"/>
        <v>0</v>
      </c>
      <c r="AD60" s="35">
        <f t="shared" si="11"/>
        <v>750</v>
      </c>
      <c r="AE60" s="35">
        <f t="shared" si="11"/>
        <v>0</v>
      </c>
      <c r="AF60" s="35">
        <f t="shared" si="11"/>
        <v>0</v>
      </c>
      <c r="AO60" s="35"/>
      <c r="AP60" s="35">
        <f t="shared" si="12"/>
        <v>750</v>
      </c>
      <c r="AQ60" s="35">
        <f t="shared" si="12"/>
        <v>0</v>
      </c>
      <c r="AR60" s="35">
        <f t="shared" si="12"/>
        <v>0</v>
      </c>
      <c r="AS60" s="35">
        <f t="shared" si="12"/>
        <v>0</v>
      </c>
    </row>
    <row r="61" spans="2:51">
      <c r="C61" s="259" t="str">
        <f t="shared" si="10"/>
        <v>3.10%, due July 2022</v>
      </c>
      <c r="AC61" s="35">
        <f t="shared" si="11"/>
        <v>0</v>
      </c>
      <c r="AD61" s="35">
        <f t="shared" si="11"/>
        <v>0</v>
      </c>
      <c r="AE61" s="35">
        <f t="shared" si="11"/>
        <v>1000</v>
      </c>
      <c r="AF61" s="35">
        <f t="shared" si="11"/>
        <v>0</v>
      </c>
      <c r="AO61" s="35"/>
      <c r="AP61" s="35">
        <f t="shared" si="12"/>
        <v>1000</v>
      </c>
      <c r="AQ61" s="35">
        <f t="shared" si="12"/>
        <v>0</v>
      </c>
      <c r="AR61" s="35">
        <f t="shared" si="12"/>
        <v>0</v>
      </c>
      <c r="AS61" s="35">
        <f t="shared" si="12"/>
        <v>0</v>
      </c>
    </row>
    <row r="62" spans="2:51">
      <c r="C62" s="259" t="str">
        <f t="shared" si="10"/>
        <v>4.00%, due December 2022</v>
      </c>
      <c r="AC62" s="35">
        <f t="shared" si="11"/>
        <v>0</v>
      </c>
      <c r="AD62" s="35">
        <f t="shared" si="11"/>
        <v>0</v>
      </c>
      <c r="AE62" s="35">
        <f t="shared" si="11"/>
        <v>0</v>
      </c>
      <c r="AF62" s="35">
        <f t="shared" si="11"/>
        <v>398</v>
      </c>
      <c r="AO62" s="35"/>
      <c r="AP62" s="35">
        <f t="shared" si="12"/>
        <v>398</v>
      </c>
      <c r="AQ62" s="35">
        <f t="shared" si="12"/>
        <v>0</v>
      </c>
      <c r="AR62" s="35">
        <f t="shared" si="12"/>
        <v>0</v>
      </c>
      <c r="AS62" s="35">
        <f t="shared" si="12"/>
        <v>0</v>
      </c>
    </row>
    <row r="63" spans="2:51">
      <c r="C63" s="259" t="str">
        <f t="shared" si="10"/>
        <v>2.70%, due December 2022</v>
      </c>
      <c r="AC63" s="35">
        <f t="shared" si="11"/>
        <v>0</v>
      </c>
      <c r="AD63" s="35">
        <f t="shared" si="11"/>
        <v>0</v>
      </c>
      <c r="AE63" s="35">
        <f t="shared" si="11"/>
        <v>0</v>
      </c>
      <c r="AF63" s="35">
        <f t="shared" si="11"/>
        <v>1500</v>
      </c>
      <c r="AO63" s="35"/>
      <c r="AP63" s="35">
        <f t="shared" si="12"/>
        <v>1500</v>
      </c>
      <c r="AQ63" s="35">
        <f t="shared" si="12"/>
        <v>0</v>
      </c>
      <c r="AR63" s="35">
        <f t="shared" si="12"/>
        <v>0</v>
      </c>
      <c r="AS63" s="35">
        <f t="shared" si="12"/>
        <v>0</v>
      </c>
    </row>
    <row r="64" spans="2:51">
      <c r="C64" s="259" t="str">
        <f t="shared" si="10"/>
        <v>4.10%, due November 2023</v>
      </c>
      <c r="AC64" s="35">
        <f t="shared" si="11"/>
        <v>0</v>
      </c>
      <c r="AD64" s="35">
        <f t="shared" si="11"/>
        <v>0</v>
      </c>
      <c r="AE64" s="35">
        <f t="shared" si="11"/>
        <v>0</v>
      </c>
      <c r="AF64" s="35">
        <f t="shared" si="11"/>
        <v>0</v>
      </c>
      <c r="AO64" s="35"/>
      <c r="AP64" s="35">
        <f t="shared" si="12"/>
        <v>0</v>
      </c>
      <c r="AQ64" s="35">
        <f t="shared" si="12"/>
        <v>400</v>
      </c>
      <c r="AR64" s="35">
        <f t="shared" si="12"/>
        <v>0</v>
      </c>
      <c r="AS64" s="35">
        <f t="shared" si="12"/>
        <v>0</v>
      </c>
    </row>
    <row r="65" spans="3:45">
      <c r="C65" s="259" t="str">
        <f t="shared" si="10"/>
        <v>2.88%, due May 2024</v>
      </c>
      <c r="AC65" s="35">
        <f t="shared" si="11"/>
        <v>0</v>
      </c>
      <c r="AD65" s="35">
        <f t="shared" si="11"/>
        <v>0</v>
      </c>
      <c r="AE65" s="35">
        <f t="shared" si="11"/>
        <v>0</v>
      </c>
      <c r="AF65" s="35">
        <f t="shared" si="11"/>
        <v>0</v>
      </c>
      <c r="AO65" s="35"/>
      <c r="AP65" s="35">
        <f t="shared" si="12"/>
        <v>0</v>
      </c>
      <c r="AQ65" s="35">
        <f t="shared" si="12"/>
        <v>0</v>
      </c>
      <c r="AR65" s="35">
        <f t="shared" si="12"/>
        <v>1250</v>
      </c>
      <c r="AS65" s="35">
        <f t="shared" si="12"/>
        <v>0</v>
      </c>
    </row>
    <row r="66" spans="3:45">
      <c r="C66" s="259" t="str">
        <f t="shared" si="10"/>
        <v>2.70%, due June 2024</v>
      </c>
      <c r="AC66" s="35">
        <f t="shared" si="11"/>
        <v>0</v>
      </c>
      <c r="AD66" s="35">
        <f t="shared" si="11"/>
        <v>0</v>
      </c>
      <c r="AE66" s="35">
        <f t="shared" si="11"/>
        <v>0</v>
      </c>
      <c r="AF66" s="35">
        <f t="shared" si="11"/>
        <v>0</v>
      </c>
      <c r="AO66" s="35"/>
      <c r="AP66" s="35">
        <f t="shared" si="12"/>
        <v>0</v>
      </c>
      <c r="AQ66" s="35">
        <f t="shared" si="12"/>
        <v>0</v>
      </c>
      <c r="AR66" s="35">
        <f t="shared" si="12"/>
        <v>600</v>
      </c>
      <c r="AS66" s="35">
        <f t="shared" si="12"/>
        <v>0</v>
      </c>
    </row>
    <row r="67" spans="3:45">
      <c r="C67" s="259" t="str">
        <f t="shared" si="10"/>
        <v>3.40%, due March 2025</v>
      </c>
      <c r="AC67" s="35">
        <f t="shared" si="11"/>
        <v>0</v>
      </c>
      <c r="AD67" s="35">
        <f t="shared" si="11"/>
        <v>0</v>
      </c>
      <c r="AE67" s="35">
        <f t="shared" si="11"/>
        <v>0</v>
      </c>
      <c r="AF67" s="35">
        <f t="shared" si="11"/>
        <v>0</v>
      </c>
      <c r="AO67" s="35"/>
      <c r="AP67" s="35">
        <f t="shared" si="12"/>
        <v>0</v>
      </c>
      <c r="AQ67" s="35">
        <f t="shared" si="12"/>
        <v>0</v>
      </c>
      <c r="AR67" s="35">
        <f t="shared" si="12"/>
        <v>0</v>
      </c>
      <c r="AS67" s="35">
        <f t="shared" si="12"/>
        <v>1500</v>
      </c>
    </row>
    <row r="68" spans="3:45">
      <c r="C68" s="259" t="str">
        <f t="shared" si="10"/>
        <v>3.70%, due July 2025</v>
      </c>
      <c r="AC68" s="35">
        <f t="shared" si="11"/>
        <v>0</v>
      </c>
      <c r="AD68" s="35">
        <f t="shared" si="11"/>
        <v>0</v>
      </c>
      <c r="AE68" s="35">
        <f t="shared" si="11"/>
        <v>0</v>
      </c>
      <c r="AF68" s="35">
        <f t="shared" si="11"/>
        <v>0</v>
      </c>
      <c r="AO68" s="35"/>
      <c r="AP68" s="35">
        <f t="shared" si="12"/>
        <v>0</v>
      </c>
      <c r="AQ68" s="35">
        <f t="shared" si="12"/>
        <v>0</v>
      </c>
      <c r="AR68" s="35">
        <f t="shared" si="12"/>
        <v>0</v>
      </c>
      <c r="AS68" s="35">
        <f t="shared" si="12"/>
        <v>2250</v>
      </c>
    </row>
    <row r="69" spans="3:45">
      <c r="C69" s="259" t="str">
        <f t="shared" si="10"/>
        <v>2.60%, due May 2026</v>
      </c>
      <c r="AC69" s="35">
        <f t="shared" si="11"/>
        <v>0</v>
      </c>
      <c r="AD69" s="35">
        <f t="shared" si="11"/>
        <v>0</v>
      </c>
      <c r="AE69" s="35">
        <f t="shared" si="11"/>
        <v>0</v>
      </c>
      <c r="AF69" s="35">
        <f t="shared" si="11"/>
        <v>0</v>
      </c>
      <c r="AO69" s="35"/>
      <c r="AP69" s="35">
        <f t="shared" si="12"/>
        <v>0</v>
      </c>
      <c r="AQ69" s="35">
        <f t="shared" si="12"/>
        <v>0</v>
      </c>
      <c r="AR69" s="35">
        <f t="shared" si="12"/>
        <v>0</v>
      </c>
      <c r="AS69" s="35">
        <f t="shared" si="12"/>
        <v>0</v>
      </c>
    </row>
    <row r="70" spans="3:45">
      <c r="C70" s="259" t="str">
        <f t="shared" si="10"/>
        <v>3.75%, due March 2027</v>
      </c>
      <c r="AC70" s="35">
        <f t="shared" si="11"/>
        <v>0</v>
      </c>
      <c r="AD70" s="35">
        <f t="shared" si="11"/>
        <v>0</v>
      </c>
      <c r="AE70" s="35">
        <f t="shared" si="11"/>
        <v>0</v>
      </c>
      <c r="AF70" s="35">
        <f t="shared" si="11"/>
        <v>0</v>
      </c>
      <c r="AO70" s="35"/>
      <c r="AP70" s="35">
        <f t="shared" si="12"/>
        <v>0</v>
      </c>
      <c r="AQ70" s="35">
        <f t="shared" si="12"/>
        <v>0</v>
      </c>
      <c r="AR70" s="35">
        <f t="shared" si="12"/>
        <v>0</v>
      </c>
      <c r="AS70" s="35">
        <f t="shared" si="12"/>
        <v>0</v>
      </c>
    </row>
    <row r="71" spans="3:45">
      <c r="C71" s="259" t="str">
        <f t="shared" si="10"/>
        <v>3.15%, due May 2027</v>
      </c>
      <c r="AC71" s="35">
        <f t="shared" si="11"/>
        <v>0</v>
      </c>
      <c r="AD71" s="35">
        <f t="shared" si="11"/>
        <v>0</v>
      </c>
      <c r="AE71" s="35">
        <f t="shared" si="11"/>
        <v>0</v>
      </c>
      <c r="AF71" s="35">
        <f t="shared" si="11"/>
        <v>0</v>
      </c>
      <c r="AO71" s="35"/>
      <c r="AP71" s="35">
        <f t="shared" si="12"/>
        <v>0</v>
      </c>
      <c r="AQ71" s="35">
        <f t="shared" si="12"/>
        <v>0</v>
      </c>
      <c r="AR71" s="35">
        <f t="shared" si="12"/>
        <v>0</v>
      </c>
      <c r="AS71" s="35">
        <f t="shared" si="12"/>
        <v>0</v>
      </c>
    </row>
    <row r="72" spans="3:45">
      <c r="C72" s="259" t="str">
        <f t="shared" si="10"/>
        <v>1.60%, due August 2028</v>
      </c>
      <c r="AC72" s="35">
        <f t="shared" si="11"/>
        <v>0</v>
      </c>
      <c r="AD72" s="35">
        <f t="shared" si="11"/>
        <v>0</v>
      </c>
      <c r="AE72" s="35">
        <f t="shared" si="11"/>
        <v>0</v>
      </c>
      <c r="AF72" s="35">
        <f t="shared" si="11"/>
        <v>0</v>
      </c>
      <c r="AO72" s="35"/>
      <c r="AP72" s="35">
        <f t="shared" si="12"/>
        <v>0</v>
      </c>
      <c r="AQ72" s="35">
        <f t="shared" si="12"/>
        <v>0</v>
      </c>
      <c r="AR72" s="35">
        <f t="shared" si="12"/>
        <v>0</v>
      </c>
      <c r="AS72" s="35">
        <f t="shared" si="12"/>
        <v>0</v>
      </c>
    </row>
    <row r="73" spans="3:45">
      <c r="C73" s="259" t="str">
        <f t="shared" si="10"/>
        <v>2.45%, due November 2029</v>
      </c>
      <c r="AC73" s="35">
        <f t="shared" si="11"/>
        <v>0</v>
      </c>
      <c r="AD73" s="35">
        <f t="shared" si="11"/>
        <v>0</v>
      </c>
      <c r="AE73" s="35">
        <f t="shared" si="11"/>
        <v>0</v>
      </c>
      <c r="AF73" s="35">
        <f t="shared" si="11"/>
        <v>0</v>
      </c>
      <c r="AO73" s="35"/>
      <c r="AP73" s="35">
        <f t="shared" si="12"/>
        <v>0</v>
      </c>
      <c r="AQ73" s="35">
        <f t="shared" si="12"/>
        <v>0</v>
      </c>
      <c r="AR73" s="35">
        <f t="shared" si="12"/>
        <v>0</v>
      </c>
      <c r="AS73" s="35">
        <f t="shared" si="12"/>
        <v>0</v>
      </c>
    </row>
    <row r="74" spans="3:45">
      <c r="C74" s="259" t="str">
        <f t="shared" si="10"/>
        <v>3.90%, due March 2030</v>
      </c>
      <c r="AC74" s="35">
        <f t="shared" si="11"/>
        <v>0</v>
      </c>
      <c r="AD74" s="35">
        <f t="shared" si="11"/>
        <v>0</v>
      </c>
      <c r="AE74" s="35">
        <f t="shared" si="11"/>
        <v>0</v>
      </c>
      <c r="AF74" s="35">
        <f t="shared" si="11"/>
        <v>0</v>
      </c>
      <c r="AO74" s="35"/>
      <c r="AP74" s="35">
        <f t="shared" si="12"/>
        <v>0</v>
      </c>
      <c r="AQ74" s="35">
        <f t="shared" si="12"/>
        <v>0</v>
      </c>
      <c r="AR74" s="35">
        <f t="shared" si="12"/>
        <v>0</v>
      </c>
      <c r="AS74" s="35">
        <f t="shared" si="12"/>
        <v>0</v>
      </c>
    </row>
    <row r="75" spans="3:45">
      <c r="C75" s="259" t="str">
        <f t="shared" si="10"/>
        <v>2.00%, due August 2031</v>
      </c>
      <c r="AC75" s="35">
        <f t="shared" si="11"/>
        <v>0</v>
      </c>
      <c r="AD75" s="35">
        <f t="shared" si="11"/>
        <v>0</v>
      </c>
      <c r="AE75" s="35">
        <f t="shared" si="11"/>
        <v>0</v>
      </c>
      <c r="AF75" s="35">
        <f t="shared" si="11"/>
        <v>0</v>
      </c>
      <c r="AO75" s="35"/>
      <c r="AP75" s="35">
        <f t="shared" si="12"/>
        <v>0</v>
      </c>
      <c r="AQ75" s="35">
        <f t="shared" si="12"/>
        <v>0</v>
      </c>
      <c r="AR75" s="35">
        <f t="shared" si="12"/>
        <v>0</v>
      </c>
      <c r="AS75" s="35">
        <f t="shared" si="12"/>
        <v>0</v>
      </c>
    </row>
    <row r="76" spans="3:45">
      <c r="C76" s="259" t="str">
        <f t="shared" si="10"/>
        <v>4.00%, due December 2032</v>
      </c>
      <c r="AC76" s="35">
        <f t="shared" si="11"/>
        <v>0</v>
      </c>
      <c r="AD76" s="35">
        <f t="shared" si="11"/>
        <v>0</v>
      </c>
      <c r="AE76" s="35">
        <f t="shared" si="11"/>
        <v>0</v>
      </c>
      <c r="AF76" s="35">
        <f t="shared" si="11"/>
        <v>0</v>
      </c>
      <c r="AO76" s="35"/>
      <c r="AP76" s="35">
        <f t="shared" si="12"/>
        <v>0</v>
      </c>
      <c r="AQ76" s="35">
        <f t="shared" si="12"/>
        <v>0</v>
      </c>
      <c r="AR76" s="35">
        <f t="shared" si="12"/>
        <v>0</v>
      </c>
      <c r="AS76" s="35">
        <f t="shared" si="12"/>
        <v>0</v>
      </c>
    </row>
    <row r="77" spans="3:45">
      <c r="C77" s="259" t="str">
        <f t="shared" si="10"/>
        <v>4.60%, due March 2040</v>
      </c>
      <c r="AC77" s="35">
        <f t="shared" ref="AC77:AF94" si="13">+IF(AND($AU30&gt;AB$6,$AU30&lt;=AC$6),AB30,0)</f>
        <v>0</v>
      </c>
      <c r="AD77" s="35">
        <f t="shared" si="13"/>
        <v>0</v>
      </c>
      <c r="AE77" s="35">
        <f t="shared" si="13"/>
        <v>0</v>
      </c>
      <c r="AF77" s="35">
        <f t="shared" si="13"/>
        <v>0</v>
      </c>
      <c r="AO77" s="35"/>
      <c r="AP77" s="35">
        <f t="shared" ref="AP77:AS94" si="14">+IF(AND($AU30&gt;AO$6,$AU30&lt;=AP$6),AO30,0)</f>
        <v>0</v>
      </c>
      <c r="AQ77" s="35">
        <f t="shared" si="14"/>
        <v>0</v>
      </c>
      <c r="AR77" s="35">
        <f t="shared" si="14"/>
        <v>0</v>
      </c>
      <c r="AS77" s="35">
        <f t="shared" si="14"/>
        <v>0</v>
      </c>
    </row>
    <row r="78" spans="3:45">
      <c r="C78" s="259" t="str">
        <f t="shared" si="10"/>
        <v>2.80%, due August 2041</v>
      </c>
      <c r="AC78" s="35">
        <f t="shared" si="13"/>
        <v>0</v>
      </c>
      <c r="AD78" s="35">
        <f t="shared" si="13"/>
        <v>0</v>
      </c>
      <c r="AE78" s="35">
        <f t="shared" si="13"/>
        <v>0</v>
      </c>
      <c r="AF78" s="35">
        <f t="shared" si="13"/>
        <v>0</v>
      </c>
      <c r="AO78" s="35"/>
      <c r="AP78" s="35">
        <f t="shared" si="14"/>
        <v>0</v>
      </c>
      <c r="AQ78" s="35">
        <f t="shared" si="14"/>
        <v>0</v>
      </c>
      <c r="AR78" s="35">
        <f t="shared" si="14"/>
        <v>0</v>
      </c>
      <c r="AS78" s="35">
        <f t="shared" si="14"/>
        <v>0</v>
      </c>
    </row>
    <row r="79" spans="3:45">
      <c r="C79" s="259" t="str">
        <f t="shared" si="10"/>
        <v>4.80%, due October 2041</v>
      </c>
      <c r="AC79" s="35">
        <f t="shared" si="13"/>
        <v>0</v>
      </c>
      <c r="AD79" s="35">
        <f t="shared" si="13"/>
        <v>0</v>
      </c>
      <c r="AE79" s="35">
        <f t="shared" si="13"/>
        <v>0</v>
      </c>
      <c r="AF79" s="35">
        <f t="shared" si="13"/>
        <v>0</v>
      </c>
      <c r="AO79" s="35"/>
      <c r="AP79" s="35">
        <f t="shared" si="14"/>
        <v>0</v>
      </c>
      <c r="AQ79" s="35">
        <f t="shared" si="14"/>
        <v>0</v>
      </c>
      <c r="AR79" s="35">
        <f t="shared" si="14"/>
        <v>0</v>
      </c>
      <c r="AS79" s="35">
        <f t="shared" si="14"/>
        <v>0</v>
      </c>
    </row>
    <row r="80" spans="3:45">
      <c r="C80" s="259" t="str">
        <f t="shared" si="10"/>
        <v>4.25%, due December 2042</v>
      </c>
      <c r="AC80" s="35">
        <f t="shared" si="13"/>
        <v>0</v>
      </c>
      <c r="AD80" s="35">
        <f t="shared" si="13"/>
        <v>0</v>
      </c>
      <c r="AE80" s="35">
        <f t="shared" si="13"/>
        <v>0</v>
      </c>
      <c r="AF80" s="35">
        <f t="shared" si="13"/>
        <v>0</v>
      </c>
      <c r="AO80" s="35"/>
      <c r="AP80" s="35">
        <f t="shared" si="14"/>
        <v>0</v>
      </c>
      <c r="AQ80" s="35">
        <f t="shared" si="14"/>
        <v>0</v>
      </c>
      <c r="AR80" s="35">
        <f t="shared" si="14"/>
        <v>0</v>
      </c>
      <c r="AS80" s="35">
        <f t="shared" si="14"/>
        <v>0</v>
      </c>
    </row>
    <row r="81" spans="3:45">
      <c r="C81" s="259" t="str">
        <f t="shared" si="10"/>
        <v>4.90%, due July 2045</v>
      </c>
      <c r="AC81" s="35">
        <f t="shared" si="13"/>
        <v>0</v>
      </c>
      <c r="AD81" s="35">
        <f t="shared" si="13"/>
        <v>0</v>
      </c>
      <c r="AE81" s="35">
        <f t="shared" si="13"/>
        <v>0</v>
      </c>
      <c r="AF81" s="35">
        <f t="shared" si="13"/>
        <v>0</v>
      </c>
      <c r="AO81" s="35"/>
      <c r="AP81" s="35">
        <f t="shared" si="14"/>
        <v>0</v>
      </c>
      <c r="AQ81" s="35">
        <f t="shared" si="14"/>
        <v>0</v>
      </c>
      <c r="AR81" s="35">
        <f t="shared" si="14"/>
        <v>0</v>
      </c>
      <c r="AS81" s="35">
        <f t="shared" si="14"/>
        <v>0</v>
      </c>
    </row>
    <row r="82" spans="3:45">
      <c r="C82" s="259" t="str">
        <f t="shared" si="10"/>
        <v>4.10%, due May 2046</v>
      </c>
      <c r="AC82" s="35">
        <f t="shared" si="13"/>
        <v>0</v>
      </c>
      <c r="AD82" s="35">
        <f t="shared" si="13"/>
        <v>0</v>
      </c>
      <c r="AE82" s="35">
        <f t="shared" si="13"/>
        <v>0</v>
      </c>
      <c r="AF82" s="35">
        <f t="shared" si="13"/>
        <v>0</v>
      </c>
      <c r="AO82" s="35"/>
      <c r="AP82" s="35">
        <f t="shared" si="14"/>
        <v>0</v>
      </c>
      <c r="AQ82" s="35">
        <f t="shared" si="14"/>
        <v>0</v>
      </c>
      <c r="AR82" s="35">
        <f t="shared" si="14"/>
        <v>0</v>
      </c>
      <c r="AS82" s="35">
        <f t="shared" si="14"/>
        <v>0</v>
      </c>
    </row>
    <row r="83" spans="3:45">
      <c r="C83" s="259" t="str">
        <f t="shared" si="10"/>
        <v>4.10%, due May 2047</v>
      </c>
      <c r="AC83" s="35">
        <f t="shared" si="13"/>
        <v>0</v>
      </c>
      <c r="AD83" s="35">
        <f t="shared" si="13"/>
        <v>0</v>
      </c>
      <c r="AE83" s="35">
        <f t="shared" si="13"/>
        <v>0</v>
      </c>
      <c r="AF83" s="35">
        <f t="shared" si="13"/>
        <v>0</v>
      </c>
      <c r="AO83" s="35"/>
      <c r="AP83" s="35">
        <f t="shared" si="14"/>
        <v>0</v>
      </c>
      <c r="AQ83" s="35">
        <f t="shared" si="14"/>
        <v>0</v>
      </c>
      <c r="AR83" s="35">
        <f t="shared" si="14"/>
        <v>0</v>
      </c>
      <c r="AS83" s="35">
        <f t="shared" si="14"/>
        <v>0</v>
      </c>
    </row>
    <row r="84" spans="3:45">
      <c r="C84" s="259" t="str">
        <f t="shared" si="10"/>
        <v>4.10%, due August 2047</v>
      </c>
      <c r="AC84" s="35">
        <f t="shared" si="13"/>
        <v>0</v>
      </c>
      <c r="AD84" s="35">
        <f t="shared" si="13"/>
        <v>0</v>
      </c>
      <c r="AE84" s="35">
        <f t="shared" si="13"/>
        <v>0</v>
      </c>
      <c r="AF84" s="35">
        <f t="shared" si="13"/>
        <v>0</v>
      </c>
      <c r="AO84" s="35"/>
      <c r="AP84" s="35">
        <f t="shared" si="14"/>
        <v>0</v>
      </c>
      <c r="AQ84" s="35">
        <f t="shared" si="14"/>
        <v>0</v>
      </c>
      <c r="AR84" s="35">
        <f t="shared" si="14"/>
        <v>0</v>
      </c>
      <c r="AS84" s="35">
        <f t="shared" si="14"/>
        <v>0</v>
      </c>
    </row>
    <row r="85" spans="3:45">
      <c r="C85" s="259" t="str">
        <f t="shared" si="10"/>
        <v>3.73%, due December 2047</v>
      </c>
      <c r="AC85" s="35">
        <f t="shared" si="13"/>
        <v>0</v>
      </c>
      <c r="AD85" s="35">
        <f t="shared" si="13"/>
        <v>0</v>
      </c>
      <c r="AE85" s="35">
        <f t="shared" si="13"/>
        <v>0</v>
      </c>
      <c r="AF85" s="35">
        <f t="shared" si="13"/>
        <v>0</v>
      </c>
      <c r="AO85" s="35"/>
      <c r="AP85" s="35">
        <f t="shared" si="14"/>
        <v>0</v>
      </c>
      <c r="AQ85" s="35">
        <f t="shared" si="14"/>
        <v>0</v>
      </c>
      <c r="AR85" s="35">
        <f t="shared" si="14"/>
        <v>0</v>
      </c>
      <c r="AS85" s="35">
        <f t="shared" si="14"/>
        <v>0</v>
      </c>
    </row>
    <row r="86" spans="3:45">
      <c r="C86" s="259" t="str">
        <f t="shared" si="10"/>
        <v>3.25%, due November 2049</v>
      </c>
      <c r="AC86" s="35">
        <f t="shared" si="13"/>
        <v>0</v>
      </c>
      <c r="AD86" s="35">
        <f t="shared" si="13"/>
        <v>0</v>
      </c>
      <c r="AE86" s="35">
        <f t="shared" si="13"/>
        <v>0</v>
      </c>
      <c r="AF86" s="35">
        <f t="shared" si="13"/>
        <v>0</v>
      </c>
      <c r="AO86" s="35"/>
      <c r="AP86" s="35">
        <f t="shared" si="14"/>
        <v>0</v>
      </c>
      <c r="AQ86" s="35">
        <f t="shared" si="14"/>
        <v>0</v>
      </c>
      <c r="AR86" s="35">
        <f t="shared" si="14"/>
        <v>0</v>
      </c>
      <c r="AS86" s="35">
        <f t="shared" si="14"/>
        <v>0</v>
      </c>
    </row>
    <row r="87" spans="3:45">
      <c r="C87" s="259" t="str">
        <f t="shared" si="10"/>
        <v>4.75%, due March 2050</v>
      </c>
      <c r="AC87" s="35">
        <f t="shared" si="13"/>
        <v>0</v>
      </c>
      <c r="AD87" s="35">
        <f t="shared" si="13"/>
        <v>0</v>
      </c>
      <c r="AE87" s="35">
        <f t="shared" si="13"/>
        <v>0</v>
      </c>
      <c r="AF87" s="35">
        <f t="shared" si="13"/>
        <v>0</v>
      </c>
      <c r="AO87" s="35"/>
      <c r="AP87" s="35">
        <f t="shared" si="14"/>
        <v>0</v>
      </c>
      <c r="AQ87" s="35">
        <f t="shared" si="14"/>
        <v>0</v>
      </c>
      <c r="AR87" s="35">
        <f t="shared" si="14"/>
        <v>0</v>
      </c>
      <c r="AS87" s="35">
        <f t="shared" si="14"/>
        <v>0</v>
      </c>
    </row>
    <row r="88" spans="3:45">
      <c r="C88" s="259" t="str">
        <f t="shared" si="10"/>
        <v>3.05%, due August 2051</v>
      </c>
      <c r="AC88" s="35">
        <f t="shared" si="13"/>
        <v>0</v>
      </c>
      <c r="AD88" s="35">
        <f t="shared" si="13"/>
        <v>0</v>
      </c>
      <c r="AE88" s="35">
        <f t="shared" si="13"/>
        <v>0</v>
      </c>
      <c r="AF88" s="35">
        <f t="shared" si="13"/>
        <v>0</v>
      </c>
      <c r="AO88" s="35"/>
      <c r="AP88" s="35">
        <f t="shared" si="14"/>
        <v>0</v>
      </c>
      <c r="AQ88" s="35">
        <f t="shared" si="14"/>
        <v>0</v>
      </c>
      <c r="AR88" s="35">
        <f t="shared" si="14"/>
        <v>0</v>
      </c>
      <c r="AS88" s="35">
        <f t="shared" si="14"/>
        <v>0</v>
      </c>
    </row>
    <row r="89" spans="3:45">
      <c r="C89" s="259" t="str">
        <f t="shared" si="10"/>
        <v>3.10%, due February 2060</v>
      </c>
      <c r="AC89" s="35">
        <f t="shared" si="13"/>
        <v>0</v>
      </c>
      <c r="AD89" s="35">
        <f t="shared" si="13"/>
        <v>0</v>
      </c>
      <c r="AE89" s="35">
        <f t="shared" si="13"/>
        <v>0</v>
      </c>
      <c r="AF89" s="35">
        <f t="shared" si="13"/>
        <v>0</v>
      </c>
      <c r="AO89" s="35"/>
      <c r="AP89" s="35">
        <f t="shared" si="14"/>
        <v>0</v>
      </c>
      <c r="AQ89" s="35">
        <f t="shared" si="14"/>
        <v>0</v>
      </c>
      <c r="AR89" s="35">
        <f t="shared" si="14"/>
        <v>0</v>
      </c>
      <c r="AS89" s="35">
        <f t="shared" si="14"/>
        <v>0</v>
      </c>
    </row>
    <row r="90" spans="3:45">
      <c r="C90" s="259" t="str">
        <f t="shared" si="10"/>
        <v>4.95%, due March 2060</v>
      </c>
      <c r="AC90" s="35">
        <f t="shared" si="13"/>
        <v>0</v>
      </c>
      <c r="AD90" s="35">
        <f t="shared" si="13"/>
        <v>0</v>
      </c>
      <c r="AE90" s="35">
        <f t="shared" si="13"/>
        <v>0</v>
      </c>
      <c r="AF90" s="35">
        <f t="shared" si="13"/>
        <v>0</v>
      </c>
      <c r="AO90" s="35"/>
      <c r="AP90" s="35">
        <f t="shared" si="14"/>
        <v>0</v>
      </c>
      <c r="AQ90" s="35">
        <f t="shared" si="14"/>
        <v>0</v>
      </c>
      <c r="AR90" s="35">
        <f t="shared" si="14"/>
        <v>0</v>
      </c>
      <c r="AS90" s="35">
        <f t="shared" si="14"/>
        <v>0</v>
      </c>
    </row>
    <row r="91" spans="3:45">
      <c r="C91" s="259" t="str">
        <f t="shared" si="10"/>
        <v>3.20%, due August 2061</v>
      </c>
      <c r="AC91" s="35">
        <f t="shared" si="13"/>
        <v>0</v>
      </c>
      <c r="AD91" s="35">
        <f t="shared" si="13"/>
        <v>0</v>
      </c>
      <c r="AE91" s="35">
        <f t="shared" si="13"/>
        <v>0</v>
      </c>
      <c r="AF91" s="35">
        <f t="shared" si="13"/>
        <v>0</v>
      </c>
      <c r="AO91" s="35"/>
      <c r="AP91" s="35">
        <f t="shared" si="14"/>
        <v>0</v>
      </c>
      <c r="AQ91" s="35">
        <f t="shared" si="14"/>
        <v>0</v>
      </c>
      <c r="AR91" s="35">
        <f t="shared" si="14"/>
        <v>0</v>
      </c>
      <c r="AS91" s="35">
        <f t="shared" si="14"/>
        <v>0</v>
      </c>
    </row>
    <row r="92" spans="3:45">
      <c r="C92" s="259" t="str">
        <f t="shared" si="10"/>
        <v>2.40% - 2.70%, due December 2035 - 2040</v>
      </c>
      <c r="AC92" s="35">
        <f t="shared" si="13"/>
        <v>0</v>
      </c>
      <c r="AD92" s="35">
        <f t="shared" si="13"/>
        <v>0</v>
      </c>
      <c r="AE92" s="35">
        <f t="shared" si="13"/>
        <v>0</v>
      </c>
      <c r="AF92" s="35">
        <f t="shared" si="13"/>
        <v>0</v>
      </c>
      <c r="AO92" s="35"/>
      <c r="AP92" s="35">
        <f t="shared" si="14"/>
        <v>0</v>
      </c>
      <c r="AQ92" s="35">
        <f t="shared" si="14"/>
        <v>0</v>
      </c>
      <c r="AR92" s="35">
        <f t="shared" si="14"/>
        <v>0</v>
      </c>
      <c r="AS92" s="35">
        <f t="shared" si="14"/>
        <v>0</v>
      </c>
    </row>
    <row r="93" spans="3:45">
      <c r="C93" s="259" t="str">
        <f t="shared" si="10"/>
        <v>5.00%, due March 2049</v>
      </c>
      <c r="AC93" s="35">
        <f t="shared" si="13"/>
        <v>0</v>
      </c>
      <c r="AD93" s="35">
        <f t="shared" si="13"/>
        <v>0</v>
      </c>
      <c r="AE93" s="35">
        <f t="shared" si="13"/>
        <v>0</v>
      </c>
      <c r="AF93" s="35">
        <f t="shared" si="13"/>
        <v>0</v>
      </c>
      <c r="AO93" s="35"/>
      <c r="AP93" s="35">
        <f t="shared" si="14"/>
        <v>0</v>
      </c>
      <c r="AQ93" s="35">
        <f t="shared" si="14"/>
        <v>0</v>
      </c>
      <c r="AR93" s="35">
        <f t="shared" si="14"/>
        <v>0</v>
      </c>
      <c r="AS93" s="35">
        <f t="shared" si="14"/>
        <v>0</v>
      </c>
    </row>
    <row r="94" spans="3:45">
      <c r="C94" s="259" t="str">
        <f t="shared" si="10"/>
        <v>5.00%, due June 2049</v>
      </c>
      <c r="AC94" s="35">
        <f t="shared" si="13"/>
        <v>0</v>
      </c>
      <c r="AD94" s="35">
        <f t="shared" si="13"/>
        <v>0</v>
      </c>
      <c r="AE94" s="35">
        <f t="shared" si="13"/>
        <v>0</v>
      </c>
      <c r="AF94" s="35">
        <f t="shared" si="13"/>
        <v>0</v>
      </c>
      <c r="AO94" s="35"/>
      <c r="AP94" s="35">
        <f t="shared" si="14"/>
        <v>0</v>
      </c>
      <c r="AQ94" s="35">
        <f t="shared" si="14"/>
        <v>0</v>
      </c>
      <c r="AR94" s="35">
        <f t="shared" si="14"/>
        <v>0</v>
      </c>
      <c r="AS94" s="35">
        <f t="shared" si="14"/>
        <v>0</v>
      </c>
    </row>
    <row r="95" spans="3:45" ht="11.25" customHeight="1">
      <c r="C95" s="259" t="str">
        <f>C49</f>
        <v>Revolving Credit Facility</v>
      </c>
      <c r="AC95" s="244"/>
      <c r="AD95" s="244"/>
      <c r="AE95" s="244"/>
      <c r="AF95" s="244"/>
      <c r="AO95" s="35"/>
      <c r="AP95" s="244"/>
      <c r="AQ95" s="244"/>
      <c r="AR95" s="244"/>
      <c r="AS95" s="244"/>
    </row>
    <row r="96" spans="3:45" s="36" customFormat="1">
      <c r="C96" s="207" t="s">
        <v>479</v>
      </c>
      <c r="AB96"/>
      <c r="AC96" s="239">
        <f>SUM(AC57:AC95)</f>
        <v>0</v>
      </c>
      <c r="AD96" s="239">
        <f>SUM(AD57:AD95)</f>
        <v>1550</v>
      </c>
      <c r="AE96" s="239">
        <f>SUM(AE57:AE95)</f>
        <v>1000</v>
      </c>
      <c r="AF96" s="239">
        <f>SUM(AF57:AF95)</f>
        <v>1898</v>
      </c>
      <c r="AG96"/>
      <c r="AO96" s="35"/>
      <c r="AP96" s="239">
        <f>SUM(AP57:AP95)</f>
        <v>4448</v>
      </c>
      <c r="AQ96" s="239">
        <f>SUM(AQ57:AQ95)</f>
        <v>400</v>
      </c>
      <c r="AR96" s="239">
        <f>SUM(AR57:AR95)</f>
        <v>1850</v>
      </c>
      <c r="AS96" s="239">
        <f>SUM(AS57:AS95)</f>
        <v>3750</v>
      </c>
    </row>
    <row r="97" spans="2:47">
      <c r="AO97" s="35"/>
    </row>
    <row r="98" spans="2:47" s="238" customFormat="1" ht="11.25" customHeight="1">
      <c r="B98" s="30" t="s">
        <v>480</v>
      </c>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c r="AH98" s="31"/>
      <c r="AI98" s="31"/>
      <c r="AJ98" s="31"/>
      <c r="AK98" s="31"/>
      <c r="AL98" s="31"/>
      <c r="AM98" s="31"/>
      <c r="AN98" s="31"/>
      <c r="AO98" s="31"/>
      <c r="AP98" s="31"/>
      <c r="AQ98" s="31"/>
      <c r="AR98" s="31"/>
      <c r="AS98" s="31"/>
      <c r="AU98" s="31"/>
    </row>
    <row r="100" spans="2:47">
      <c r="C100" s="259" t="str">
        <f t="shared" ref="C100:C137" si="15">C10</f>
        <v>Three-month LIBOR plus 0.35%, due May 2022</v>
      </c>
      <c r="AC100" s="35">
        <f t="shared" ref="AC100:AF119" si="16">+AVERAGE(AB10:AC10)</f>
        <v>800</v>
      </c>
      <c r="AD100" s="35">
        <f t="shared" si="16"/>
        <v>400</v>
      </c>
      <c r="AE100" s="35">
        <f t="shared" si="16"/>
        <v>0</v>
      </c>
      <c r="AF100" s="35">
        <f t="shared" si="16"/>
        <v>0</v>
      </c>
      <c r="AP100" s="35">
        <f>+AF100</f>
        <v>0</v>
      </c>
      <c r="AQ100" s="35">
        <f t="shared" ref="AQ100:AS119" si="17">+AVERAGE(AP10:AQ10)</f>
        <v>0</v>
      </c>
      <c r="AR100" s="35">
        <f t="shared" si="17"/>
        <v>0</v>
      </c>
      <c r="AS100" s="35">
        <f t="shared" si="17"/>
        <v>0</v>
      </c>
    </row>
    <row r="101" spans="2:47">
      <c r="C101" s="259" t="str">
        <f t="shared" si="15"/>
        <v>1.70%, due May 2021</v>
      </c>
      <c r="AB101" s="35"/>
      <c r="AC101" s="35">
        <f t="shared" si="16"/>
        <v>0</v>
      </c>
      <c r="AD101" s="35">
        <f t="shared" si="16"/>
        <v>0</v>
      </c>
      <c r="AE101" s="35">
        <f t="shared" si="16"/>
        <v>0</v>
      </c>
      <c r="AF101" s="35">
        <f t="shared" si="16"/>
        <v>0</v>
      </c>
      <c r="AO101" s="35"/>
      <c r="AP101" s="35">
        <f t="shared" ref="AP101:AP130" si="18">+AF101</f>
        <v>0</v>
      </c>
      <c r="AQ101" s="35">
        <f t="shared" si="17"/>
        <v>0</v>
      </c>
      <c r="AR101" s="35">
        <f t="shared" si="17"/>
        <v>0</v>
      </c>
      <c r="AS101" s="35">
        <f t="shared" si="17"/>
        <v>0</v>
      </c>
    </row>
    <row r="102" spans="2:47">
      <c r="C102" s="259" t="str">
        <f t="shared" si="15"/>
        <v>3.30%, due October 2021</v>
      </c>
      <c r="AB102" s="35"/>
      <c r="AC102" s="35">
        <f t="shared" si="16"/>
        <v>0</v>
      </c>
      <c r="AD102" s="35">
        <f t="shared" si="16"/>
        <v>0</v>
      </c>
      <c r="AE102" s="35">
        <f t="shared" si="16"/>
        <v>0</v>
      </c>
      <c r="AF102" s="35">
        <f t="shared" si="16"/>
        <v>0</v>
      </c>
      <c r="AO102" s="35"/>
      <c r="AP102" s="35">
        <f t="shared" si="18"/>
        <v>0</v>
      </c>
      <c r="AQ102" s="35">
        <f t="shared" si="17"/>
        <v>0</v>
      </c>
      <c r="AR102" s="35">
        <f t="shared" si="17"/>
        <v>0</v>
      </c>
      <c r="AS102" s="35">
        <f t="shared" si="17"/>
        <v>0</v>
      </c>
    </row>
    <row r="103" spans="2:47">
      <c r="C103" s="259" t="str">
        <f t="shared" si="15"/>
        <v>2.35%, due May 2022</v>
      </c>
      <c r="AB103" s="35"/>
      <c r="AC103" s="35">
        <f t="shared" si="16"/>
        <v>750</v>
      </c>
      <c r="AD103" s="35">
        <f t="shared" si="16"/>
        <v>375</v>
      </c>
      <c r="AE103" s="35">
        <f t="shared" si="16"/>
        <v>0</v>
      </c>
      <c r="AF103" s="35">
        <f t="shared" si="16"/>
        <v>0</v>
      </c>
      <c r="AO103" s="35"/>
      <c r="AP103" s="35">
        <f t="shared" si="18"/>
        <v>0</v>
      </c>
      <c r="AQ103" s="35">
        <f t="shared" si="17"/>
        <v>0</v>
      </c>
      <c r="AR103" s="35">
        <f t="shared" si="17"/>
        <v>0</v>
      </c>
      <c r="AS103" s="35">
        <f t="shared" si="17"/>
        <v>0</v>
      </c>
    </row>
    <row r="104" spans="2:47">
      <c r="C104" s="259" t="str">
        <f t="shared" si="15"/>
        <v>3.10%, due July 2022</v>
      </c>
      <c r="AB104" s="35"/>
      <c r="AC104" s="35">
        <f t="shared" si="16"/>
        <v>1000</v>
      </c>
      <c r="AD104" s="35">
        <f t="shared" si="16"/>
        <v>1000</v>
      </c>
      <c r="AE104" s="35">
        <f t="shared" si="16"/>
        <v>500</v>
      </c>
      <c r="AF104" s="35">
        <f t="shared" si="16"/>
        <v>0</v>
      </c>
      <c r="AO104" s="35"/>
      <c r="AP104" s="35">
        <f t="shared" si="18"/>
        <v>0</v>
      </c>
      <c r="AQ104" s="35">
        <f t="shared" si="17"/>
        <v>0</v>
      </c>
      <c r="AR104" s="35">
        <f t="shared" si="17"/>
        <v>0</v>
      </c>
      <c r="AS104" s="35">
        <f t="shared" si="17"/>
        <v>0</v>
      </c>
    </row>
    <row r="105" spans="2:47">
      <c r="C105" s="259" t="str">
        <f t="shared" si="15"/>
        <v>4.00%, due December 2022</v>
      </c>
      <c r="AB105" s="35"/>
      <c r="AC105" s="35">
        <f t="shared" si="16"/>
        <v>398</v>
      </c>
      <c r="AD105" s="35">
        <f t="shared" si="16"/>
        <v>398</v>
      </c>
      <c r="AE105" s="35">
        <f t="shared" si="16"/>
        <v>398</v>
      </c>
      <c r="AF105" s="35">
        <f t="shared" si="16"/>
        <v>199</v>
      </c>
      <c r="AO105" s="35"/>
      <c r="AP105" s="35">
        <f t="shared" si="18"/>
        <v>199</v>
      </c>
      <c r="AQ105" s="35">
        <f t="shared" si="17"/>
        <v>0</v>
      </c>
      <c r="AR105" s="35">
        <f t="shared" si="17"/>
        <v>0</v>
      </c>
      <c r="AS105" s="35">
        <f t="shared" si="17"/>
        <v>0</v>
      </c>
    </row>
    <row r="106" spans="2:47">
      <c r="C106" s="259" t="str">
        <f t="shared" si="15"/>
        <v>2.70%, due December 2022</v>
      </c>
      <c r="AB106" s="35"/>
      <c r="AC106" s="35">
        <f t="shared" si="16"/>
        <v>1500</v>
      </c>
      <c r="AD106" s="35">
        <f t="shared" si="16"/>
        <v>1500</v>
      </c>
      <c r="AE106" s="35">
        <f t="shared" si="16"/>
        <v>1500</v>
      </c>
      <c r="AF106" s="35">
        <f t="shared" si="16"/>
        <v>750</v>
      </c>
      <c r="AO106" s="35"/>
      <c r="AP106" s="35">
        <f t="shared" si="18"/>
        <v>750</v>
      </c>
      <c r="AQ106" s="35">
        <f t="shared" si="17"/>
        <v>0</v>
      </c>
      <c r="AR106" s="35">
        <f t="shared" si="17"/>
        <v>0</v>
      </c>
      <c r="AS106" s="35">
        <f t="shared" si="17"/>
        <v>0</v>
      </c>
    </row>
    <row r="107" spans="2:47">
      <c r="C107" s="259" t="str">
        <f t="shared" si="15"/>
        <v>4.10%, due November 2023</v>
      </c>
      <c r="AB107" s="35"/>
      <c r="AC107" s="35">
        <f t="shared" si="16"/>
        <v>400</v>
      </c>
      <c r="AD107" s="35">
        <f t="shared" si="16"/>
        <v>400</v>
      </c>
      <c r="AE107" s="35">
        <f t="shared" si="16"/>
        <v>400</v>
      </c>
      <c r="AF107" s="35">
        <f t="shared" si="16"/>
        <v>400</v>
      </c>
      <c r="AO107" s="35"/>
      <c r="AP107" s="35">
        <f t="shared" si="18"/>
        <v>400</v>
      </c>
      <c r="AQ107" s="35">
        <f t="shared" si="17"/>
        <v>200</v>
      </c>
      <c r="AR107" s="35">
        <f t="shared" si="17"/>
        <v>0</v>
      </c>
      <c r="AS107" s="35">
        <f t="shared" si="17"/>
        <v>0</v>
      </c>
    </row>
    <row r="108" spans="2:47">
      <c r="C108" s="259" t="str">
        <f t="shared" si="15"/>
        <v>2.88%, due May 2024</v>
      </c>
      <c r="AB108" s="35"/>
      <c r="AC108" s="35">
        <f t="shared" si="16"/>
        <v>1250</v>
      </c>
      <c r="AD108" s="35">
        <f t="shared" si="16"/>
        <v>1250</v>
      </c>
      <c r="AE108" s="35">
        <f t="shared" si="16"/>
        <v>1250</v>
      </c>
      <c r="AF108" s="35">
        <f t="shared" si="16"/>
        <v>1250</v>
      </c>
      <c r="AO108" s="35"/>
      <c r="AP108" s="35">
        <f t="shared" si="18"/>
        <v>1250</v>
      </c>
      <c r="AQ108" s="35">
        <f t="shared" si="17"/>
        <v>1250</v>
      </c>
      <c r="AR108" s="35">
        <f t="shared" si="17"/>
        <v>625</v>
      </c>
      <c r="AS108" s="35">
        <f t="shared" si="17"/>
        <v>0</v>
      </c>
    </row>
    <row r="109" spans="2:47">
      <c r="C109" s="259" t="str">
        <f t="shared" si="15"/>
        <v>2.70%, due June 2024</v>
      </c>
      <c r="AB109" s="35"/>
      <c r="AC109" s="35">
        <f t="shared" si="16"/>
        <v>600</v>
      </c>
      <c r="AD109" s="35">
        <f t="shared" si="16"/>
        <v>600</v>
      </c>
      <c r="AE109" s="35">
        <f t="shared" si="16"/>
        <v>600</v>
      </c>
      <c r="AF109" s="35">
        <f t="shared" si="16"/>
        <v>600</v>
      </c>
      <c r="AO109" s="35"/>
      <c r="AP109" s="35">
        <f t="shared" si="18"/>
        <v>600</v>
      </c>
      <c r="AQ109" s="35">
        <f t="shared" si="17"/>
        <v>600</v>
      </c>
      <c r="AR109" s="35">
        <f t="shared" si="17"/>
        <v>300</v>
      </c>
      <c r="AS109" s="35">
        <f t="shared" si="17"/>
        <v>0</v>
      </c>
    </row>
    <row r="110" spans="2:47">
      <c r="C110" s="259" t="str">
        <f t="shared" si="15"/>
        <v>3.40%, due March 2025</v>
      </c>
      <c r="AB110" s="35"/>
      <c r="AC110" s="35">
        <f t="shared" si="16"/>
        <v>1500</v>
      </c>
      <c r="AD110" s="35">
        <f t="shared" si="16"/>
        <v>1500</v>
      </c>
      <c r="AE110" s="35">
        <f t="shared" si="16"/>
        <v>1500</v>
      </c>
      <c r="AF110" s="35">
        <f t="shared" si="16"/>
        <v>1500</v>
      </c>
      <c r="AO110" s="35"/>
      <c r="AP110" s="35">
        <f t="shared" si="18"/>
        <v>1500</v>
      </c>
      <c r="AQ110" s="35">
        <f t="shared" si="17"/>
        <v>1500</v>
      </c>
      <c r="AR110" s="35">
        <f t="shared" si="17"/>
        <v>1500</v>
      </c>
      <c r="AS110" s="35">
        <f t="shared" si="17"/>
        <v>750</v>
      </c>
    </row>
    <row r="111" spans="2:47">
      <c r="C111" s="259" t="str">
        <f t="shared" si="15"/>
        <v>3.70%, due July 2025</v>
      </c>
      <c r="AB111" s="35"/>
      <c r="AC111" s="35">
        <f t="shared" si="16"/>
        <v>2250</v>
      </c>
      <c r="AD111" s="35">
        <f t="shared" si="16"/>
        <v>2250</v>
      </c>
      <c r="AE111" s="35">
        <f t="shared" si="16"/>
        <v>2250</v>
      </c>
      <c r="AF111" s="35">
        <f t="shared" si="16"/>
        <v>2250</v>
      </c>
      <c r="AO111" s="35"/>
      <c r="AP111" s="35">
        <f t="shared" si="18"/>
        <v>2250</v>
      </c>
      <c r="AQ111" s="35">
        <f t="shared" si="17"/>
        <v>2250</v>
      </c>
      <c r="AR111" s="35">
        <f t="shared" si="17"/>
        <v>2250</v>
      </c>
      <c r="AS111" s="35">
        <f t="shared" si="17"/>
        <v>1125</v>
      </c>
    </row>
    <row r="112" spans="2:47">
      <c r="C112" s="259" t="str">
        <f t="shared" si="15"/>
        <v>2.60%, due May 2026</v>
      </c>
      <c r="AB112" s="35"/>
      <c r="AC112" s="35">
        <f t="shared" si="16"/>
        <v>1000</v>
      </c>
      <c r="AD112" s="35">
        <f t="shared" si="16"/>
        <v>1000</v>
      </c>
      <c r="AE112" s="35">
        <f t="shared" si="16"/>
        <v>1000</v>
      </c>
      <c r="AF112" s="35">
        <f t="shared" si="16"/>
        <v>1000</v>
      </c>
      <c r="AO112" s="35"/>
      <c r="AP112" s="35">
        <f t="shared" si="18"/>
        <v>1000</v>
      </c>
      <c r="AQ112" s="35">
        <f t="shared" si="17"/>
        <v>1000</v>
      </c>
      <c r="AR112" s="35">
        <f t="shared" si="17"/>
        <v>1000</v>
      </c>
      <c r="AS112" s="35">
        <f t="shared" si="17"/>
        <v>1000</v>
      </c>
    </row>
    <row r="113" spans="3:45">
      <c r="C113" s="259" t="str">
        <f t="shared" si="15"/>
        <v>3.75%, due March 2027</v>
      </c>
      <c r="AB113" s="35"/>
      <c r="AC113" s="35">
        <f t="shared" si="16"/>
        <v>1000</v>
      </c>
      <c r="AD113" s="35">
        <f t="shared" si="16"/>
        <v>1000</v>
      </c>
      <c r="AE113" s="35">
        <f t="shared" si="16"/>
        <v>1000</v>
      </c>
      <c r="AF113" s="35">
        <f t="shared" si="16"/>
        <v>1000</v>
      </c>
      <c r="AO113" s="35"/>
      <c r="AP113" s="35">
        <f t="shared" si="18"/>
        <v>1000</v>
      </c>
      <c r="AQ113" s="35">
        <f t="shared" si="17"/>
        <v>1000</v>
      </c>
      <c r="AR113" s="35">
        <f t="shared" si="17"/>
        <v>1000</v>
      </c>
      <c r="AS113" s="35">
        <f t="shared" si="17"/>
        <v>1000</v>
      </c>
    </row>
    <row r="114" spans="3:45">
      <c r="C114" s="259" t="str">
        <f t="shared" si="15"/>
        <v>3.15%, due May 2027</v>
      </c>
      <c r="AB114" s="35"/>
      <c r="AC114" s="35">
        <f t="shared" si="16"/>
        <v>1000</v>
      </c>
      <c r="AD114" s="35">
        <f t="shared" si="16"/>
        <v>1000</v>
      </c>
      <c r="AE114" s="35">
        <f t="shared" si="16"/>
        <v>1000</v>
      </c>
      <c r="AF114" s="35">
        <f t="shared" si="16"/>
        <v>1000</v>
      </c>
      <c r="AO114" s="35"/>
      <c r="AP114" s="35">
        <f t="shared" si="18"/>
        <v>1000</v>
      </c>
      <c r="AQ114" s="35">
        <f t="shared" si="17"/>
        <v>1000</v>
      </c>
      <c r="AR114" s="35">
        <f t="shared" si="17"/>
        <v>1000</v>
      </c>
      <c r="AS114" s="35">
        <f t="shared" si="17"/>
        <v>1000</v>
      </c>
    </row>
    <row r="115" spans="3:45">
      <c r="C115" s="259" t="str">
        <f t="shared" si="15"/>
        <v>1.60%, due August 2028</v>
      </c>
      <c r="AB115" s="35"/>
      <c r="AC115" s="35">
        <f t="shared" si="16"/>
        <v>1000</v>
      </c>
      <c r="AD115" s="35">
        <f t="shared" si="16"/>
        <v>1000</v>
      </c>
      <c r="AE115" s="35">
        <f t="shared" si="16"/>
        <v>1000</v>
      </c>
      <c r="AF115" s="35">
        <f t="shared" si="16"/>
        <v>1000</v>
      </c>
      <c r="AO115" s="35"/>
      <c r="AP115" s="35">
        <f t="shared" si="18"/>
        <v>1000</v>
      </c>
      <c r="AQ115" s="35">
        <f t="shared" si="17"/>
        <v>1000</v>
      </c>
      <c r="AR115" s="35">
        <f t="shared" si="17"/>
        <v>1000</v>
      </c>
      <c r="AS115" s="35">
        <f t="shared" si="17"/>
        <v>1000</v>
      </c>
    </row>
    <row r="116" spans="3:45">
      <c r="C116" s="259" t="str">
        <f t="shared" si="15"/>
        <v>2.45%, due November 2029</v>
      </c>
      <c r="AB116" s="35"/>
      <c r="AC116" s="35">
        <f t="shared" si="16"/>
        <v>2000</v>
      </c>
      <c r="AD116" s="35">
        <f t="shared" si="16"/>
        <v>2000</v>
      </c>
      <c r="AE116" s="35">
        <f t="shared" si="16"/>
        <v>2000</v>
      </c>
      <c r="AF116" s="35">
        <f t="shared" si="16"/>
        <v>2000</v>
      </c>
      <c r="AO116" s="35"/>
      <c r="AP116" s="35">
        <f t="shared" si="18"/>
        <v>2000</v>
      </c>
      <c r="AQ116" s="35">
        <f t="shared" si="17"/>
        <v>2000</v>
      </c>
      <c r="AR116" s="35">
        <f t="shared" si="17"/>
        <v>2000</v>
      </c>
      <c r="AS116" s="35">
        <f t="shared" si="17"/>
        <v>2000</v>
      </c>
    </row>
    <row r="117" spans="3:45">
      <c r="C117" s="259" t="str">
        <f t="shared" si="15"/>
        <v>3.90%, due March 2030</v>
      </c>
      <c r="AB117" s="35"/>
      <c r="AC117" s="35">
        <f t="shared" si="16"/>
        <v>1500</v>
      </c>
      <c r="AD117" s="35">
        <f t="shared" si="16"/>
        <v>1500</v>
      </c>
      <c r="AE117" s="35">
        <f t="shared" si="16"/>
        <v>1500</v>
      </c>
      <c r="AF117" s="35">
        <f t="shared" si="16"/>
        <v>1500</v>
      </c>
      <c r="AO117" s="35"/>
      <c r="AP117" s="35">
        <f t="shared" si="18"/>
        <v>1500</v>
      </c>
      <c r="AQ117" s="35">
        <f t="shared" si="17"/>
        <v>1500</v>
      </c>
      <c r="AR117" s="35">
        <f t="shared" si="17"/>
        <v>1500</v>
      </c>
      <c r="AS117" s="35">
        <f t="shared" si="17"/>
        <v>1500</v>
      </c>
    </row>
    <row r="118" spans="3:45">
      <c r="C118" s="259" t="str">
        <f t="shared" si="15"/>
        <v>2.00%, due August 2031</v>
      </c>
      <c r="AB118" s="35"/>
      <c r="AC118" s="35">
        <f t="shared" si="16"/>
        <v>1250</v>
      </c>
      <c r="AD118" s="35">
        <f t="shared" si="16"/>
        <v>1250</v>
      </c>
      <c r="AE118" s="35">
        <f t="shared" si="16"/>
        <v>1250</v>
      </c>
      <c r="AF118" s="35">
        <f t="shared" si="16"/>
        <v>1250</v>
      </c>
      <c r="AO118" s="35"/>
      <c r="AP118" s="35">
        <f t="shared" si="18"/>
        <v>1250</v>
      </c>
      <c r="AQ118" s="35">
        <f t="shared" si="17"/>
        <v>1250</v>
      </c>
      <c r="AR118" s="35">
        <f t="shared" si="17"/>
        <v>1250</v>
      </c>
      <c r="AS118" s="35">
        <f t="shared" si="17"/>
        <v>1250</v>
      </c>
    </row>
    <row r="119" spans="3:45">
      <c r="C119" s="259" t="str">
        <f t="shared" si="15"/>
        <v>4.00%, due December 2032</v>
      </c>
      <c r="AB119" s="35"/>
      <c r="AC119" s="35">
        <f t="shared" si="16"/>
        <v>750</v>
      </c>
      <c r="AD119" s="35">
        <f t="shared" si="16"/>
        <v>750</v>
      </c>
      <c r="AE119" s="35">
        <f t="shared" si="16"/>
        <v>750</v>
      </c>
      <c r="AF119" s="35">
        <f t="shared" si="16"/>
        <v>750</v>
      </c>
      <c r="AO119" s="35"/>
      <c r="AP119" s="35">
        <f t="shared" si="18"/>
        <v>750</v>
      </c>
      <c r="AQ119" s="35">
        <f t="shared" si="17"/>
        <v>750</v>
      </c>
      <c r="AR119" s="35">
        <f t="shared" si="17"/>
        <v>750</v>
      </c>
      <c r="AS119" s="35">
        <f t="shared" si="17"/>
        <v>750</v>
      </c>
    </row>
    <row r="120" spans="3:45">
      <c r="C120" s="259" t="str">
        <f t="shared" si="15"/>
        <v>4.60%, due March 2040</v>
      </c>
      <c r="AB120" s="35"/>
      <c r="AC120" s="35">
        <f t="shared" ref="AC120:AF137" si="19">+AVERAGE(AB30:AC30)</f>
        <v>750</v>
      </c>
      <c r="AD120" s="35">
        <f t="shared" si="19"/>
        <v>750</v>
      </c>
      <c r="AE120" s="35">
        <f t="shared" si="19"/>
        <v>750</v>
      </c>
      <c r="AF120" s="35">
        <f t="shared" si="19"/>
        <v>750</v>
      </c>
      <c r="AO120" s="35"/>
      <c r="AP120" s="35">
        <f t="shared" si="18"/>
        <v>750</v>
      </c>
      <c r="AQ120" s="35">
        <f t="shared" ref="AQ120:AS137" si="20">+AVERAGE(AP30:AQ30)</f>
        <v>750</v>
      </c>
      <c r="AR120" s="35">
        <f t="shared" si="20"/>
        <v>750</v>
      </c>
      <c r="AS120" s="35">
        <f t="shared" si="20"/>
        <v>750</v>
      </c>
    </row>
    <row r="121" spans="3:45">
      <c r="C121" s="259" t="str">
        <f t="shared" si="15"/>
        <v>2.80%, due August 2041</v>
      </c>
      <c r="AB121" s="35"/>
      <c r="AC121" s="35">
        <f t="shared" si="19"/>
        <v>750</v>
      </c>
      <c r="AD121" s="35">
        <f t="shared" si="19"/>
        <v>750</v>
      </c>
      <c r="AE121" s="35">
        <f t="shared" si="19"/>
        <v>750</v>
      </c>
      <c r="AF121" s="35">
        <f t="shared" si="19"/>
        <v>750</v>
      </c>
      <c r="AO121" s="35"/>
      <c r="AP121" s="35">
        <f t="shared" si="18"/>
        <v>750</v>
      </c>
      <c r="AQ121" s="35">
        <f t="shared" si="20"/>
        <v>750</v>
      </c>
      <c r="AR121" s="35">
        <f t="shared" si="20"/>
        <v>750</v>
      </c>
      <c r="AS121" s="35">
        <f t="shared" si="20"/>
        <v>750</v>
      </c>
    </row>
    <row r="122" spans="3:45">
      <c r="C122" s="259" t="str">
        <f t="shared" si="15"/>
        <v>4.80%, due October 2041</v>
      </c>
      <c r="AB122" s="35"/>
      <c r="AC122" s="35">
        <f t="shared" si="19"/>
        <v>802</v>
      </c>
      <c r="AD122" s="35">
        <f t="shared" si="19"/>
        <v>802</v>
      </c>
      <c r="AE122" s="35">
        <f t="shared" si="19"/>
        <v>802</v>
      </c>
      <c r="AF122" s="35">
        <f t="shared" si="19"/>
        <v>802</v>
      </c>
      <c r="AO122" s="35"/>
      <c r="AP122" s="35">
        <f t="shared" si="18"/>
        <v>802</v>
      </c>
      <c r="AQ122" s="35">
        <f t="shared" si="20"/>
        <v>802</v>
      </c>
      <c r="AR122" s="35">
        <f t="shared" si="20"/>
        <v>802</v>
      </c>
      <c r="AS122" s="35">
        <f t="shared" si="20"/>
        <v>802</v>
      </c>
    </row>
    <row r="123" spans="3:45">
      <c r="C123" s="259" t="str">
        <f t="shared" si="15"/>
        <v>4.25%, due December 2042</v>
      </c>
      <c r="AB123" s="35"/>
      <c r="AC123" s="35">
        <f t="shared" si="19"/>
        <v>567</v>
      </c>
      <c r="AD123" s="35">
        <f t="shared" si="19"/>
        <v>567</v>
      </c>
      <c r="AE123" s="35">
        <f t="shared" si="19"/>
        <v>567</v>
      </c>
      <c r="AF123" s="35">
        <f t="shared" si="19"/>
        <v>567</v>
      </c>
      <c r="AO123" s="35"/>
      <c r="AP123" s="35">
        <f t="shared" si="18"/>
        <v>567</v>
      </c>
      <c r="AQ123" s="35">
        <f t="shared" si="20"/>
        <v>567</v>
      </c>
      <c r="AR123" s="35">
        <f t="shared" si="20"/>
        <v>567</v>
      </c>
      <c r="AS123" s="35">
        <f t="shared" si="20"/>
        <v>567</v>
      </c>
    </row>
    <row r="124" spans="3:45">
      <c r="C124" s="259" t="str">
        <f t="shared" si="15"/>
        <v>4.90%, due July 2045</v>
      </c>
      <c r="AB124" s="35"/>
      <c r="AC124" s="35">
        <f t="shared" si="19"/>
        <v>772</v>
      </c>
      <c r="AD124" s="35">
        <f t="shared" si="19"/>
        <v>772</v>
      </c>
      <c r="AE124" s="35">
        <f t="shared" si="19"/>
        <v>772</v>
      </c>
      <c r="AF124" s="35">
        <f t="shared" si="19"/>
        <v>772</v>
      </c>
      <c r="AO124" s="35"/>
      <c r="AP124" s="35">
        <f t="shared" si="18"/>
        <v>772</v>
      </c>
      <c r="AQ124" s="35">
        <f t="shared" si="20"/>
        <v>772</v>
      </c>
      <c r="AR124" s="35">
        <f t="shared" si="20"/>
        <v>772</v>
      </c>
      <c r="AS124" s="35">
        <f t="shared" si="20"/>
        <v>772</v>
      </c>
    </row>
    <row r="125" spans="3:45">
      <c r="C125" s="259" t="str">
        <f t="shared" si="15"/>
        <v>4.10%, due May 2046</v>
      </c>
      <c r="AB125" s="35"/>
      <c r="AC125" s="35">
        <f t="shared" si="19"/>
        <v>1250</v>
      </c>
      <c r="AD125" s="35">
        <f t="shared" si="19"/>
        <v>1250</v>
      </c>
      <c r="AE125" s="35">
        <f t="shared" si="19"/>
        <v>1250</v>
      </c>
      <c r="AF125" s="35">
        <f t="shared" si="19"/>
        <v>1250</v>
      </c>
      <c r="AO125" s="35"/>
      <c r="AP125" s="35">
        <f t="shared" si="18"/>
        <v>1250</v>
      </c>
      <c r="AQ125" s="35">
        <f t="shared" si="20"/>
        <v>1250</v>
      </c>
      <c r="AR125" s="35">
        <f t="shared" si="20"/>
        <v>1250</v>
      </c>
      <c r="AS125" s="35">
        <f t="shared" si="20"/>
        <v>1250</v>
      </c>
    </row>
    <row r="126" spans="3:45">
      <c r="C126" s="259" t="str">
        <f t="shared" si="15"/>
        <v>4.10%, due May 2047</v>
      </c>
      <c r="AB126" s="35"/>
      <c r="AC126" s="35">
        <f t="shared" si="19"/>
        <v>1000</v>
      </c>
      <c r="AD126" s="35">
        <f t="shared" si="19"/>
        <v>1000</v>
      </c>
      <c r="AE126" s="35">
        <f t="shared" si="19"/>
        <v>1000</v>
      </c>
      <c r="AF126" s="35">
        <f t="shared" si="19"/>
        <v>1000</v>
      </c>
      <c r="AO126" s="35"/>
      <c r="AP126" s="35">
        <f t="shared" si="18"/>
        <v>1000</v>
      </c>
      <c r="AQ126" s="35">
        <f t="shared" si="20"/>
        <v>1000</v>
      </c>
      <c r="AR126" s="35">
        <f t="shared" si="20"/>
        <v>1000</v>
      </c>
      <c r="AS126" s="35">
        <f t="shared" si="20"/>
        <v>1000</v>
      </c>
    </row>
    <row r="127" spans="3:45">
      <c r="C127" s="259" t="str">
        <f t="shared" si="15"/>
        <v>4.10%, due August 2047</v>
      </c>
      <c r="AB127" s="35"/>
      <c r="AC127" s="35">
        <f t="shared" si="19"/>
        <v>640</v>
      </c>
      <c r="AD127" s="35">
        <f t="shared" si="19"/>
        <v>640</v>
      </c>
      <c r="AE127" s="35">
        <f t="shared" si="19"/>
        <v>640</v>
      </c>
      <c r="AF127" s="35">
        <f t="shared" si="19"/>
        <v>640</v>
      </c>
      <c r="AO127" s="35"/>
      <c r="AP127" s="35">
        <f t="shared" si="18"/>
        <v>640</v>
      </c>
      <c r="AQ127" s="35">
        <f t="shared" si="20"/>
        <v>640</v>
      </c>
      <c r="AR127" s="35">
        <f t="shared" si="20"/>
        <v>640</v>
      </c>
      <c r="AS127" s="35">
        <f t="shared" si="20"/>
        <v>640</v>
      </c>
    </row>
    <row r="128" spans="3:45">
      <c r="C128" s="259" t="str">
        <f t="shared" si="15"/>
        <v>3.73%, due December 2047</v>
      </c>
      <c r="AB128" s="35"/>
      <c r="AC128" s="35">
        <f t="shared" si="19"/>
        <v>1967</v>
      </c>
      <c r="AD128" s="35">
        <f t="shared" si="19"/>
        <v>1967</v>
      </c>
      <c r="AE128" s="35">
        <f t="shared" si="19"/>
        <v>1967</v>
      </c>
      <c r="AF128" s="35">
        <f t="shared" si="19"/>
        <v>1967</v>
      </c>
      <c r="AO128" s="35"/>
      <c r="AP128" s="35">
        <f t="shared" si="18"/>
        <v>1967</v>
      </c>
      <c r="AQ128" s="35">
        <f t="shared" si="20"/>
        <v>1967</v>
      </c>
      <c r="AR128" s="35">
        <f t="shared" si="20"/>
        <v>1967</v>
      </c>
      <c r="AS128" s="35">
        <f t="shared" si="20"/>
        <v>1967</v>
      </c>
    </row>
    <row r="129" spans="2:47">
      <c r="C129" s="259" t="str">
        <f t="shared" si="15"/>
        <v>3.25%, due November 2049</v>
      </c>
      <c r="AB129" s="35"/>
      <c r="AC129" s="35">
        <f t="shared" si="19"/>
        <v>2000</v>
      </c>
      <c r="AD129" s="35">
        <f t="shared" si="19"/>
        <v>2000</v>
      </c>
      <c r="AE129" s="35">
        <f t="shared" si="19"/>
        <v>2000</v>
      </c>
      <c r="AF129" s="35">
        <f t="shared" si="19"/>
        <v>2000</v>
      </c>
      <c r="AO129" s="35"/>
      <c r="AP129" s="35">
        <f t="shared" si="18"/>
        <v>2000</v>
      </c>
      <c r="AQ129" s="35">
        <f t="shared" si="20"/>
        <v>2000</v>
      </c>
      <c r="AR129" s="35">
        <f t="shared" si="20"/>
        <v>2000</v>
      </c>
      <c r="AS129" s="35">
        <f t="shared" si="20"/>
        <v>2000</v>
      </c>
    </row>
    <row r="130" spans="2:47">
      <c r="C130" s="259" t="str">
        <f t="shared" si="15"/>
        <v>4.75%, due March 2050</v>
      </c>
      <c r="AB130" s="35"/>
      <c r="AC130" s="35">
        <f t="shared" si="19"/>
        <v>2250</v>
      </c>
      <c r="AD130" s="35">
        <f t="shared" si="19"/>
        <v>2250</v>
      </c>
      <c r="AE130" s="35">
        <f t="shared" si="19"/>
        <v>2250</v>
      </c>
      <c r="AF130" s="35">
        <f t="shared" si="19"/>
        <v>2250</v>
      </c>
      <c r="AO130" s="35">
        <f t="shared" ref="AO130:AO138" si="21">+AB130</f>
        <v>0</v>
      </c>
      <c r="AP130" s="35">
        <f t="shared" si="18"/>
        <v>2250</v>
      </c>
      <c r="AQ130" s="35">
        <f t="shared" si="20"/>
        <v>2250</v>
      </c>
      <c r="AR130" s="35">
        <f t="shared" si="20"/>
        <v>2250</v>
      </c>
      <c r="AS130" s="35">
        <f t="shared" si="20"/>
        <v>2250</v>
      </c>
    </row>
    <row r="131" spans="2:47">
      <c r="C131" s="259" t="str">
        <f t="shared" si="15"/>
        <v>3.05%, due August 2051</v>
      </c>
      <c r="AB131" s="35"/>
      <c r="AC131" s="35">
        <f t="shared" si="19"/>
        <v>1250</v>
      </c>
      <c r="AD131" s="35">
        <f t="shared" si="19"/>
        <v>1250</v>
      </c>
      <c r="AE131" s="35">
        <f t="shared" si="19"/>
        <v>1250</v>
      </c>
      <c r="AF131" s="35">
        <f t="shared" si="19"/>
        <v>1250</v>
      </c>
      <c r="AO131" s="35">
        <f t="shared" si="21"/>
        <v>0</v>
      </c>
      <c r="AP131" s="35">
        <f t="shared" ref="AP131:AP138" si="22">+AF131</f>
        <v>1250</v>
      </c>
      <c r="AQ131" s="35">
        <f t="shared" si="20"/>
        <v>1250</v>
      </c>
      <c r="AR131" s="35">
        <f t="shared" si="20"/>
        <v>1250</v>
      </c>
      <c r="AS131" s="35">
        <f t="shared" si="20"/>
        <v>1250</v>
      </c>
    </row>
    <row r="132" spans="2:47">
      <c r="C132" s="259" t="str">
        <f t="shared" si="15"/>
        <v>3.10%, due February 2060</v>
      </c>
      <c r="AB132" s="35"/>
      <c r="AC132" s="35">
        <f t="shared" si="19"/>
        <v>1000</v>
      </c>
      <c r="AD132" s="35">
        <f t="shared" si="19"/>
        <v>1000</v>
      </c>
      <c r="AE132" s="35">
        <f t="shared" si="19"/>
        <v>1000</v>
      </c>
      <c r="AF132" s="35">
        <f t="shared" si="19"/>
        <v>1000</v>
      </c>
      <c r="AO132" s="35">
        <f t="shared" si="21"/>
        <v>0</v>
      </c>
      <c r="AP132" s="35">
        <f t="shared" si="22"/>
        <v>1000</v>
      </c>
      <c r="AQ132" s="35">
        <f t="shared" si="20"/>
        <v>1000</v>
      </c>
      <c r="AR132" s="35">
        <f t="shared" si="20"/>
        <v>1000</v>
      </c>
      <c r="AS132" s="35">
        <f t="shared" si="20"/>
        <v>1000</v>
      </c>
    </row>
    <row r="133" spans="2:47">
      <c r="C133" s="259" t="str">
        <f t="shared" si="15"/>
        <v>4.95%, due March 2060</v>
      </c>
      <c r="AB133" s="35"/>
      <c r="AC133" s="35">
        <f t="shared" si="19"/>
        <v>1000</v>
      </c>
      <c r="AD133" s="35">
        <f t="shared" si="19"/>
        <v>1000</v>
      </c>
      <c r="AE133" s="35">
        <f t="shared" si="19"/>
        <v>1000</v>
      </c>
      <c r="AF133" s="35">
        <f t="shared" si="19"/>
        <v>1000</v>
      </c>
      <c r="AO133" s="35">
        <f t="shared" si="21"/>
        <v>0</v>
      </c>
      <c r="AP133" s="35">
        <f t="shared" si="22"/>
        <v>1000</v>
      </c>
      <c r="AQ133" s="35">
        <f t="shared" si="20"/>
        <v>1000</v>
      </c>
      <c r="AR133" s="35">
        <f t="shared" si="20"/>
        <v>1000</v>
      </c>
      <c r="AS133" s="35">
        <f t="shared" si="20"/>
        <v>1000</v>
      </c>
    </row>
    <row r="134" spans="2:47">
      <c r="C134" s="261" t="str">
        <f t="shared" si="15"/>
        <v>3.20%, due August 2061</v>
      </c>
      <c r="AB134" s="35"/>
      <c r="AC134" s="35">
        <f t="shared" si="19"/>
        <v>750</v>
      </c>
      <c r="AD134" s="35">
        <f t="shared" si="19"/>
        <v>750</v>
      </c>
      <c r="AE134" s="35">
        <f t="shared" si="19"/>
        <v>750</v>
      </c>
      <c r="AF134" s="35">
        <f t="shared" si="19"/>
        <v>750</v>
      </c>
      <c r="AO134" s="35">
        <f t="shared" si="21"/>
        <v>0</v>
      </c>
      <c r="AP134" s="35">
        <f t="shared" si="22"/>
        <v>750</v>
      </c>
      <c r="AQ134" s="35">
        <f t="shared" si="20"/>
        <v>750</v>
      </c>
      <c r="AR134" s="35">
        <f t="shared" si="20"/>
        <v>750</v>
      </c>
      <c r="AS134" s="35">
        <f t="shared" si="20"/>
        <v>750</v>
      </c>
    </row>
    <row r="135" spans="2:47">
      <c r="C135" s="259" t="str">
        <f t="shared" si="15"/>
        <v>2.40% - 2.70%, due December 2035 - 2040</v>
      </c>
      <c r="AB135" s="35"/>
      <c r="AC135" s="35">
        <f t="shared" si="19"/>
        <v>423</v>
      </c>
      <c r="AD135" s="35">
        <f t="shared" si="19"/>
        <v>423</v>
      </c>
      <c r="AE135" s="35">
        <f t="shared" si="19"/>
        <v>423</v>
      </c>
      <c r="AF135" s="35">
        <f t="shared" si="19"/>
        <v>423</v>
      </c>
      <c r="AO135" s="35">
        <f t="shared" si="21"/>
        <v>0</v>
      </c>
      <c r="AP135" s="35">
        <f t="shared" si="22"/>
        <v>423</v>
      </c>
      <c r="AQ135" s="35">
        <f t="shared" si="20"/>
        <v>423</v>
      </c>
      <c r="AR135" s="35">
        <f t="shared" si="20"/>
        <v>423</v>
      </c>
      <c r="AS135" s="35">
        <f t="shared" si="20"/>
        <v>423</v>
      </c>
    </row>
    <row r="136" spans="2:47">
      <c r="C136" s="259" t="str">
        <f t="shared" si="15"/>
        <v>5.00%, due March 2049</v>
      </c>
      <c r="AB136" s="35"/>
      <c r="AC136" s="35">
        <f t="shared" si="19"/>
        <v>138</v>
      </c>
      <c r="AD136" s="35">
        <f t="shared" si="19"/>
        <v>138</v>
      </c>
      <c r="AE136" s="35">
        <f t="shared" si="19"/>
        <v>138</v>
      </c>
      <c r="AF136" s="35">
        <f t="shared" si="19"/>
        <v>138</v>
      </c>
      <c r="AO136" s="35">
        <f t="shared" si="21"/>
        <v>0</v>
      </c>
      <c r="AP136" s="35">
        <f t="shared" si="22"/>
        <v>138</v>
      </c>
      <c r="AQ136" s="35">
        <f t="shared" si="20"/>
        <v>138</v>
      </c>
      <c r="AR136" s="35">
        <f t="shared" si="20"/>
        <v>138</v>
      </c>
      <c r="AS136" s="35">
        <f t="shared" si="20"/>
        <v>138</v>
      </c>
    </row>
    <row r="137" spans="2:47">
      <c r="C137" s="259" t="str">
        <f t="shared" si="15"/>
        <v>5.00%, due June 2049</v>
      </c>
      <c r="AB137" s="35"/>
      <c r="AC137" s="35">
        <f t="shared" si="19"/>
        <v>438</v>
      </c>
      <c r="AD137" s="35">
        <f t="shared" si="19"/>
        <v>438</v>
      </c>
      <c r="AE137" s="35">
        <f t="shared" si="19"/>
        <v>438</v>
      </c>
      <c r="AF137" s="35">
        <f t="shared" si="19"/>
        <v>438</v>
      </c>
      <c r="AO137" s="35">
        <f t="shared" si="21"/>
        <v>0</v>
      </c>
      <c r="AP137" s="35">
        <f t="shared" si="22"/>
        <v>438</v>
      </c>
      <c r="AQ137" s="35">
        <f t="shared" si="20"/>
        <v>438</v>
      </c>
      <c r="AR137" s="35">
        <f t="shared" si="20"/>
        <v>438</v>
      </c>
      <c r="AS137" s="35">
        <f t="shared" si="20"/>
        <v>438</v>
      </c>
    </row>
    <row r="138" spans="2:47">
      <c r="C138" s="261" t="str">
        <f>C49</f>
        <v>Revolving Credit Facility</v>
      </c>
      <c r="AB138" s="35"/>
      <c r="AC138" s="35">
        <f>+AVERAGE(AB49:AC49)</f>
        <v>0</v>
      </c>
      <c r="AD138" s="35">
        <f>+AVERAGE(AC49:AD49)</f>
        <v>0</v>
      </c>
      <c r="AE138" s="35">
        <f>+AVERAGE(AD49:AE49)</f>
        <v>0</v>
      </c>
      <c r="AF138" s="35">
        <f>+AVERAGE(AE49:AF49)</f>
        <v>0</v>
      </c>
      <c r="AO138" s="35">
        <f t="shared" si="21"/>
        <v>0</v>
      </c>
      <c r="AP138" s="35">
        <f t="shared" si="22"/>
        <v>0</v>
      </c>
      <c r="AQ138" s="35">
        <f>+AVERAGE(AP49:AQ49)</f>
        <v>0</v>
      </c>
      <c r="AR138" s="35">
        <f>+AVERAGE(AQ49:AR49)</f>
        <v>0</v>
      </c>
      <c r="AS138" s="35">
        <f>+AVERAGE(AR49:AS49)</f>
        <v>0</v>
      </c>
    </row>
    <row r="139" spans="2:47">
      <c r="C139" s="33" t="s">
        <v>481</v>
      </c>
      <c r="AB139" s="35"/>
      <c r="AC139" s="239">
        <f>SUM(AC100:AC138)</f>
        <v>37695</v>
      </c>
      <c r="AD139" s="239">
        <f>SUM(AD100:AD138)</f>
        <v>36920</v>
      </c>
      <c r="AE139" s="239">
        <f>SUM(AE100:AE138)</f>
        <v>35645</v>
      </c>
      <c r="AF139" s="239">
        <f>SUM(AF100:AF138)</f>
        <v>34196</v>
      </c>
      <c r="AO139" s="239">
        <f>SUM(AO100:AO138)</f>
        <v>0</v>
      </c>
      <c r="AP139" s="239">
        <f>SUM(AP100:AP138)</f>
        <v>34196</v>
      </c>
      <c r="AQ139" s="239">
        <f>SUM(AQ100:AQ138)</f>
        <v>33047</v>
      </c>
      <c r="AR139" s="239">
        <f>SUM(AR100:AR138)</f>
        <v>31922</v>
      </c>
      <c r="AS139" s="239">
        <f>SUM(AS100:AS138)</f>
        <v>29122</v>
      </c>
    </row>
    <row r="140" spans="2:47">
      <c r="AB140" s="35"/>
    </row>
    <row r="141" spans="2:47">
      <c r="C141" s="261" t="str">
        <f>C52</f>
        <v>Additional drawdown</v>
      </c>
      <c r="AB141" s="35"/>
      <c r="AC141" s="35">
        <f ca="1">+AVERAGE(AB52:AC52)</f>
        <v>0</v>
      </c>
      <c r="AD141" s="35">
        <f ca="1">+AVERAGE(AC52:AD52)</f>
        <v>0</v>
      </c>
      <c r="AE141" s="35">
        <f ca="1">+AVERAGE(AD52:AE52)</f>
        <v>0</v>
      </c>
      <c r="AF141" s="35">
        <f ca="1">+AVERAGE(AE52:AF52)</f>
        <v>0</v>
      </c>
      <c r="AO141" s="35">
        <f>+AB141</f>
        <v>0</v>
      </c>
      <c r="AP141" s="35">
        <f ca="1">+AF141</f>
        <v>0</v>
      </c>
      <c r="AQ141" s="35">
        <f ca="1">+AVERAGE(AP52:AQ52)</f>
        <v>0</v>
      </c>
      <c r="AR141" s="35">
        <f ca="1">+AVERAGE(AQ52:AR52)</f>
        <v>0</v>
      </c>
      <c r="AS141" s="35">
        <f ca="1">+AVERAGE(AR52:AS52)</f>
        <v>377.48653706334335</v>
      </c>
    </row>
    <row r="142" spans="2:47">
      <c r="C142" s="33" t="s">
        <v>482</v>
      </c>
      <c r="AB142" s="35"/>
      <c r="AC142" s="239">
        <f ca="1">+AC139+AC141</f>
        <v>37695</v>
      </c>
      <c r="AD142" s="239">
        <f ca="1">+AD139+AD141</f>
        <v>36920</v>
      </c>
      <c r="AE142" s="239">
        <f ca="1">+AE139+AE141</f>
        <v>35645</v>
      </c>
      <c r="AF142" s="239">
        <f ca="1">+AF139+AF141</f>
        <v>34196</v>
      </c>
      <c r="AO142" s="239">
        <f>+AO139+AO141</f>
        <v>0</v>
      </c>
      <c r="AP142" s="239">
        <f ca="1">+AP139+AP141</f>
        <v>34196</v>
      </c>
      <c r="AQ142" s="239">
        <f ca="1">+AQ139+AQ141</f>
        <v>33047</v>
      </c>
      <c r="AR142" s="239">
        <f ca="1">+AR139+AR141</f>
        <v>31922</v>
      </c>
      <c r="AS142" s="239">
        <f ca="1">+AS139+AS141</f>
        <v>29499.486537063342</v>
      </c>
    </row>
    <row r="143" spans="2:47">
      <c r="C143" s="261"/>
      <c r="AB143" s="35"/>
      <c r="AC143" s="35"/>
      <c r="AD143" s="35"/>
      <c r="AE143" s="35"/>
      <c r="AF143" s="35"/>
      <c r="AQ143" s="35"/>
      <c r="AR143" s="35"/>
      <c r="AS143" s="35"/>
    </row>
    <row r="144" spans="2:47" s="238" customFormat="1" ht="11.25" customHeight="1">
      <c r="B144" s="30" t="s">
        <v>483</v>
      </c>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c r="AH144" s="31"/>
      <c r="AI144" s="31"/>
      <c r="AJ144" s="31"/>
      <c r="AK144" s="31"/>
      <c r="AL144" s="31"/>
      <c r="AM144" s="31"/>
      <c r="AN144" s="31"/>
      <c r="AO144" s="31"/>
      <c r="AP144" s="31"/>
      <c r="AQ144" s="31"/>
      <c r="AR144" s="31"/>
      <c r="AS144" s="31"/>
      <c r="AU144" s="31"/>
    </row>
    <row r="146" spans="3:45">
      <c r="C146" s="259" t="str">
        <f t="shared" ref="C146:C183" si="23">C10</f>
        <v>Three-month LIBOR plus 0.35%, due May 2022</v>
      </c>
      <c r="AC146" s="35">
        <f t="shared" ref="AC146:AF165" si="24">+AC100*$D10/4</f>
        <v>1.0999999999999999</v>
      </c>
      <c r="AD146" s="35">
        <f t="shared" si="24"/>
        <v>0.54999999999999993</v>
      </c>
      <c r="AE146" s="35">
        <f t="shared" si="24"/>
        <v>0</v>
      </c>
      <c r="AF146" s="35">
        <f t="shared" si="24"/>
        <v>0</v>
      </c>
      <c r="AP146" s="344">
        <f t="shared" ref="AP146:AP184" si="25">+SUMIF($E$5:$AF$5,AP$5,$E146:$AF146)</f>
        <v>1.65</v>
      </c>
      <c r="AQ146" s="35">
        <f t="shared" ref="AQ146:AS165" si="26">+AQ100*$D10</f>
        <v>0</v>
      </c>
      <c r="AR146" s="35">
        <f t="shared" si="26"/>
        <v>0</v>
      </c>
      <c r="AS146" s="35">
        <f t="shared" si="26"/>
        <v>0</v>
      </c>
    </row>
    <row r="147" spans="3:45">
      <c r="C147" s="259" t="str">
        <f t="shared" si="23"/>
        <v>1.70%, due May 2021</v>
      </c>
      <c r="AC147" s="35">
        <f t="shared" si="24"/>
        <v>0</v>
      </c>
      <c r="AD147" s="35">
        <f t="shared" si="24"/>
        <v>0</v>
      </c>
      <c r="AE147" s="35">
        <f t="shared" si="24"/>
        <v>0</v>
      </c>
      <c r="AF147" s="35">
        <f t="shared" si="24"/>
        <v>0</v>
      </c>
      <c r="AP147" s="344">
        <f t="shared" si="25"/>
        <v>0</v>
      </c>
      <c r="AQ147" s="35">
        <f t="shared" si="26"/>
        <v>0</v>
      </c>
      <c r="AR147" s="35">
        <f t="shared" si="26"/>
        <v>0</v>
      </c>
      <c r="AS147" s="35">
        <f t="shared" si="26"/>
        <v>0</v>
      </c>
    </row>
    <row r="148" spans="3:45">
      <c r="C148" s="259" t="str">
        <f t="shared" si="23"/>
        <v>3.30%, due October 2021</v>
      </c>
      <c r="AC148" s="35">
        <f t="shared" si="24"/>
        <v>0</v>
      </c>
      <c r="AD148" s="35">
        <f t="shared" si="24"/>
        <v>0</v>
      </c>
      <c r="AE148" s="35">
        <f t="shared" si="24"/>
        <v>0</v>
      </c>
      <c r="AF148" s="35">
        <f t="shared" si="24"/>
        <v>0</v>
      </c>
      <c r="AP148" s="344">
        <f t="shared" si="25"/>
        <v>0</v>
      </c>
      <c r="AQ148" s="35">
        <f t="shared" si="26"/>
        <v>0</v>
      </c>
      <c r="AR148" s="35">
        <f t="shared" si="26"/>
        <v>0</v>
      </c>
      <c r="AS148" s="35">
        <f t="shared" si="26"/>
        <v>0</v>
      </c>
    </row>
    <row r="149" spans="3:45">
      <c r="C149" s="259" t="str">
        <f t="shared" si="23"/>
        <v>2.35%, due May 2022</v>
      </c>
      <c r="AC149" s="35">
        <f t="shared" si="24"/>
        <v>3.6749999999999998</v>
      </c>
      <c r="AD149" s="35">
        <f t="shared" si="24"/>
        <v>1.8374999999999999</v>
      </c>
      <c r="AE149" s="35">
        <f t="shared" si="24"/>
        <v>0</v>
      </c>
      <c r="AF149" s="35">
        <f t="shared" si="24"/>
        <v>0</v>
      </c>
      <c r="AP149" s="344">
        <f t="shared" si="25"/>
        <v>5.5124999999999993</v>
      </c>
      <c r="AQ149" s="35">
        <f t="shared" si="26"/>
        <v>0</v>
      </c>
      <c r="AR149" s="35">
        <f t="shared" si="26"/>
        <v>0</v>
      </c>
      <c r="AS149" s="35">
        <f t="shared" si="26"/>
        <v>0</v>
      </c>
    </row>
    <row r="150" spans="3:45">
      <c r="C150" s="259" t="str">
        <f t="shared" si="23"/>
        <v>3.10%, due July 2022</v>
      </c>
      <c r="AC150" s="35">
        <f t="shared" si="24"/>
        <v>6.75</v>
      </c>
      <c r="AD150" s="35">
        <f t="shared" si="24"/>
        <v>6.75</v>
      </c>
      <c r="AE150" s="35">
        <f t="shared" si="24"/>
        <v>3.375</v>
      </c>
      <c r="AF150" s="35">
        <f t="shared" si="24"/>
        <v>0</v>
      </c>
      <c r="AP150" s="344">
        <f t="shared" si="25"/>
        <v>16.875</v>
      </c>
      <c r="AQ150" s="35">
        <f t="shared" si="26"/>
        <v>0</v>
      </c>
      <c r="AR150" s="35">
        <f t="shared" si="26"/>
        <v>0</v>
      </c>
      <c r="AS150" s="35">
        <f t="shared" si="26"/>
        <v>0</v>
      </c>
    </row>
    <row r="151" spans="3:45">
      <c r="C151" s="259" t="str">
        <f t="shared" si="23"/>
        <v>4.00%, due December 2022</v>
      </c>
      <c r="AC151" s="35">
        <f t="shared" si="24"/>
        <v>2.9452000000000003</v>
      </c>
      <c r="AD151" s="35">
        <f t="shared" si="24"/>
        <v>2.9452000000000003</v>
      </c>
      <c r="AE151" s="35">
        <f t="shared" si="24"/>
        <v>2.9452000000000003</v>
      </c>
      <c r="AF151" s="35">
        <f t="shared" si="24"/>
        <v>1.4726000000000001</v>
      </c>
      <c r="AP151" s="344">
        <f t="shared" si="25"/>
        <v>10.308200000000001</v>
      </c>
      <c r="AQ151" s="35">
        <f t="shared" si="26"/>
        <v>0</v>
      </c>
      <c r="AR151" s="35">
        <f t="shared" si="26"/>
        <v>0</v>
      </c>
      <c r="AS151" s="35">
        <f t="shared" si="26"/>
        <v>0</v>
      </c>
    </row>
    <row r="152" spans="3:45">
      <c r="C152" s="259" t="str">
        <f t="shared" si="23"/>
        <v>2.70%, due December 2022</v>
      </c>
      <c r="AC152" s="35">
        <f t="shared" si="24"/>
        <v>8.5500000000000007</v>
      </c>
      <c r="AD152" s="35">
        <f t="shared" si="24"/>
        <v>8.5500000000000007</v>
      </c>
      <c r="AE152" s="35">
        <f t="shared" si="24"/>
        <v>8.5500000000000007</v>
      </c>
      <c r="AF152" s="35">
        <f t="shared" si="24"/>
        <v>4.2750000000000004</v>
      </c>
      <c r="AP152" s="344">
        <f t="shared" si="25"/>
        <v>29.925000000000004</v>
      </c>
      <c r="AQ152" s="35">
        <f t="shared" si="26"/>
        <v>0</v>
      </c>
      <c r="AR152" s="35">
        <f t="shared" si="26"/>
        <v>0</v>
      </c>
      <c r="AS152" s="35">
        <f t="shared" si="26"/>
        <v>0</v>
      </c>
    </row>
    <row r="153" spans="3:45">
      <c r="C153" s="259" t="str">
        <f t="shared" si="23"/>
        <v>4.10%, due November 2023</v>
      </c>
      <c r="AC153" s="35">
        <f t="shared" si="24"/>
        <v>3.2199999999999998</v>
      </c>
      <c r="AD153" s="35">
        <f t="shared" si="24"/>
        <v>3.2199999999999998</v>
      </c>
      <c r="AE153" s="35">
        <f t="shared" si="24"/>
        <v>3.2199999999999998</v>
      </c>
      <c r="AF153" s="35">
        <f t="shared" si="24"/>
        <v>3.2199999999999998</v>
      </c>
      <c r="AP153" s="344">
        <f t="shared" si="25"/>
        <v>12.879999999999999</v>
      </c>
      <c r="AQ153" s="35">
        <f t="shared" si="26"/>
        <v>6.4399999999999995</v>
      </c>
      <c r="AR153" s="35">
        <f t="shared" si="26"/>
        <v>0</v>
      </c>
      <c r="AS153" s="35">
        <f t="shared" si="26"/>
        <v>0</v>
      </c>
    </row>
    <row r="154" spans="3:45">
      <c r="C154" s="259" t="str">
        <f t="shared" si="23"/>
        <v>2.88%, due May 2024</v>
      </c>
      <c r="AC154" s="35">
        <f t="shared" si="24"/>
        <v>7.21875</v>
      </c>
      <c r="AD154" s="35">
        <f t="shared" si="24"/>
        <v>7.21875</v>
      </c>
      <c r="AE154" s="35">
        <f t="shared" si="24"/>
        <v>7.21875</v>
      </c>
      <c r="AF154" s="35">
        <f t="shared" si="24"/>
        <v>7.21875</v>
      </c>
      <c r="AP154" s="344">
        <f t="shared" si="25"/>
        <v>28.875</v>
      </c>
      <c r="AQ154" s="35">
        <f t="shared" si="26"/>
        <v>28.875</v>
      </c>
      <c r="AR154" s="35">
        <f t="shared" si="26"/>
        <v>14.4375</v>
      </c>
      <c r="AS154" s="35">
        <f t="shared" si="26"/>
        <v>0</v>
      </c>
    </row>
    <row r="155" spans="3:45">
      <c r="C155" s="259" t="str">
        <f t="shared" si="23"/>
        <v>2.70%, due June 2024</v>
      </c>
      <c r="AC155" s="35">
        <f t="shared" si="24"/>
        <v>3.21</v>
      </c>
      <c r="AD155" s="35">
        <f t="shared" si="24"/>
        <v>3.21</v>
      </c>
      <c r="AE155" s="35">
        <f t="shared" si="24"/>
        <v>3.21</v>
      </c>
      <c r="AF155" s="35">
        <f t="shared" si="24"/>
        <v>3.21</v>
      </c>
      <c r="AP155" s="344">
        <f t="shared" si="25"/>
        <v>12.84</v>
      </c>
      <c r="AQ155" s="35">
        <f t="shared" si="26"/>
        <v>12.84</v>
      </c>
      <c r="AR155" s="35">
        <f t="shared" si="26"/>
        <v>6.42</v>
      </c>
      <c r="AS155" s="35">
        <f t="shared" si="26"/>
        <v>0</v>
      </c>
    </row>
    <row r="156" spans="3:45">
      <c r="C156" s="259" t="str">
        <f t="shared" si="23"/>
        <v>3.40%, due March 2025</v>
      </c>
      <c r="AC156" s="35">
        <f t="shared" si="24"/>
        <v>12.937500000000002</v>
      </c>
      <c r="AD156" s="35">
        <f t="shared" si="24"/>
        <v>12.937500000000002</v>
      </c>
      <c r="AE156" s="35">
        <f t="shared" si="24"/>
        <v>12.937500000000002</v>
      </c>
      <c r="AF156" s="35">
        <f t="shared" si="24"/>
        <v>12.937500000000002</v>
      </c>
      <c r="AP156" s="344">
        <f t="shared" si="25"/>
        <v>51.750000000000007</v>
      </c>
      <c r="AQ156" s="35">
        <f t="shared" si="26"/>
        <v>51.750000000000007</v>
      </c>
      <c r="AR156" s="35">
        <f t="shared" si="26"/>
        <v>51.750000000000007</v>
      </c>
      <c r="AS156" s="35">
        <f t="shared" si="26"/>
        <v>25.875000000000004</v>
      </c>
    </row>
    <row r="157" spans="3:45">
      <c r="C157" s="259" t="str">
        <f t="shared" si="23"/>
        <v>3.70%, due July 2025</v>
      </c>
      <c r="AC157" s="35">
        <f t="shared" si="24"/>
        <v>12.15</v>
      </c>
      <c r="AD157" s="35">
        <f t="shared" si="24"/>
        <v>12.15</v>
      </c>
      <c r="AE157" s="35">
        <f t="shared" si="24"/>
        <v>12.15</v>
      </c>
      <c r="AF157" s="35">
        <f t="shared" si="24"/>
        <v>12.15</v>
      </c>
      <c r="AP157" s="344">
        <f t="shared" si="25"/>
        <v>48.6</v>
      </c>
      <c r="AQ157" s="35">
        <f t="shared" si="26"/>
        <v>48.6</v>
      </c>
      <c r="AR157" s="35">
        <f t="shared" si="26"/>
        <v>48.6</v>
      </c>
      <c r="AS157" s="35">
        <f t="shared" si="26"/>
        <v>24.3</v>
      </c>
    </row>
    <row r="158" spans="3:45">
      <c r="C158" s="259" t="str">
        <f t="shared" si="23"/>
        <v>2.60%, due May 2026</v>
      </c>
      <c r="AC158" s="35">
        <f t="shared" si="24"/>
        <v>1.575</v>
      </c>
      <c r="AD158" s="35">
        <f t="shared" si="24"/>
        <v>1.575</v>
      </c>
      <c r="AE158" s="35">
        <f t="shared" si="24"/>
        <v>1.575</v>
      </c>
      <c r="AF158" s="35">
        <f t="shared" si="24"/>
        <v>1.575</v>
      </c>
      <c r="AP158" s="344">
        <f t="shared" si="25"/>
        <v>6.3</v>
      </c>
      <c r="AQ158" s="35">
        <f t="shared" si="26"/>
        <v>6.3</v>
      </c>
      <c r="AR158" s="35">
        <f t="shared" si="26"/>
        <v>6.3</v>
      </c>
      <c r="AS158" s="35">
        <f t="shared" si="26"/>
        <v>6.3</v>
      </c>
    </row>
    <row r="159" spans="3:45">
      <c r="C159" s="259" t="str">
        <f t="shared" si="23"/>
        <v>3.75%, due March 2027</v>
      </c>
      <c r="AC159" s="35">
        <f t="shared" si="24"/>
        <v>9.4750000000000014</v>
      </c>
      <c r="AD159" s="35">
        <f t="shared" si="24"/>
        <v>9.4750000000000014</v>
      </c>
      <c r="AE159" s="35">
        <f t="shared" si="24"/>
        <v>9.4750000000000014</v>
      </c>
      <c r="AF159" s="35">
        <f t="shared" si="24"/>
        <v>9.4750000000000014</v>
      </c>
      <c r="AP159" s="344">
        <f t="shared" si="25"/>
        <v>37.900000000000006</v>
      </c>
      <c r="AQ159" s="35">
        <f t="shared" si="26"/>
        <v>37.900000000000006</v>
      </c>
      <c r="AR159" s="35">
        <f t="shared" si="26"/>
        <v>37.900000000000006</v>
      </c>
      <c r="AS159" s="35">
        <f t="shared" si="26"/>
        <v>37.900000000000006</v>
      </c>
    </row>
    <row r="160" spans="3:45">
      <c r="C160" s="259" t="str">
        <f t="shared" si="23"/>
        <v>3.15%, due May 2027</v>
      </c>
      <c r="AC160" s="35">
        <f t="shared" si="24"/>
        <v>3.0249999999999999</v>
      </c>
      <c r="AD160" s="35">
        <f t="shared" si="24"/>
        <v>3.0249999999999999</v>
      </c>
      <c r="AE160" s="35">
        <f t="shared" si="24"/>
        <v>3.0249999999999999</v>
      </c>
      <c r="AF160" s="35">
        <f t="shared" si="24"/>
        <v>3.0249999999999999</v>
      </c>
      <c r="AP160" s="344">
        <f t="shared" si="25"/>
        <v>12.1</v>
      </c>
      <c r="AQ160" s="35">
        <f t="shared" si="26"/>
        <v>12.1</v>
      </c>
      <c r="AR160" s="35">
        <f t="shared" si="26"/>
        <v>12.1</v>
      </c>
      <c r="AS160" s="35">
        <f t="shared" si="26"/>
        <v>12.1</v>
      </c>
    </row>
    <row r="161" spans="3:45">
      <c r="C161" s="259" t="str">
        <f t="shared" si="23"/>
        <v>1.60%, due August 2028</v>
      </c>
      <c r="AC161" s="35">
        <f t="shared" si="24"/>
        <v>4.2</v>
      </c>
      <c r="AD161" s="35">
        <f t="shared" si="24"/>
        <v>4.2</v>
      </c>
      <c r="AE161" s="35">
        <f t="shared" si="24"/>
        <v>4.2</v>
      </c>
      <c r="AF161" s="35">
        <f t="shared" si="24"/>
        <v>4.2</v>
      </c>
      <c r="AP161" s="344">
        <f t="shared" si="25"/>
        <v>16.8</v>
      </c>
      <c r="AQ161" s="35">
        <f t="shared" si="26"/>
        <v>16.8</v>
      </c>
      <c r="AR161" s="35">
        <f t="shared" si="26"/>
        <v>16.8</v>
      </c>
      <c r="AS161" s="35">
        <f t="shared" si="26"/>
        <v>16.8</v>
      </c>
    </row>
    <row r="162" spans="3:45">
      <c r="C162" s="259" t="str">
        <f t="shared" si="23"/>
        <v>2.45%, due November 2029</v>
      </c>
      <c r="AC162" s="35">
        <f t="shared" si="24"/>
        <v>11.950000000000001</v>
      </c>
      <c r="AD162" s="35">
        <f t="shared" si="24"/>
        <v>11.950000000000001</v>
      </c>
      <c r="AE162" s="35">
        <f t="shared" si="24"/>
        <v>11.950000000000001</v>
      </c>
      <c r="AF162" s="35">
        <f t="shared" si="24"/>
        <v>11.950000000000001</v>
      </c>
      <c r="AP162" s="344">
        <f t="shared" si="25"/>
        <v>47.800000000000004</v>
      </c>
      <c r="AQ162" s="35">
        <f t="shared" si="26"/>
        <v>47.800000000000004</v>
      </c>
      <c r="AR162" s="35">
        <f t="shared" si="26"/>
        <v>47.800000000000004</v>
      </c>
      <c r="AS162" s="35">
        <f t="shared" si="26"/>
        <v>47.800000000000004</v>
      </c>
    </row>
    <row r="163" spans="3:45">
      <c r="C163" s="259" t="str">
        <f t="shared" si="23"/>
        <v>3.90%, due March 2030</v>
      </c>
      <c r="AC163" s="35">
        <f t="shared" si="24"/>
        <v>14.737500000000001</v>
      </c>
      <c r="AD163" s="35">
        <f t="shared" si="24"/>
        <v>14.737500000000001</v>
      </c>
      <c r="AE163" s="35">
        <f t="shared" si="24"/>
        <v>14.737500000000001</v>
      </c>
      <c r="AF163" s="35">
        <f t="shared" si="24"/>
        <v>14.737500000000001</v>
      </c>
      <c r="AP163" s="344">
        <f t="shared" si="25"/>
        <v>58.95</v>
      </c>
      <c r="AQ163" s="35">
        <f t="shared" si="26"/>
        <v>58.95</v>
      </c>
      <c r="AR163" s="35">
        <f t="shared" si="26"/>
        <v>58.95</v>
      </c>
      <c r="AS163" s="35">
        <f t="shared" si="26"/>
        <v>58.95</v>
      </c>
    </row>
    <row r="164" spans="3:45">
      <c r="C164" s="259" t="str">
        <f t="shared" si="23"/>
        <v>2.00%, due August 2031</v>
      </c>
      <c r="AC164" s="35">
        <f t="shared" si="24"/>
        <v>6.3750000000000009</v>
      </c>
      <c r="AD164" s="35">
        <f t="shared" si="24"/>
        <v>6.3750000000000009</v>
      </c>
      <c r="AE164" s="35">
        <f t="shared" si="24"/>
        <v>6.3750000000000009</v>
      </c>
      <c r="AF164" s="35">
        <f t="shared" si="24"/>
        <v>6.3750000000000009</v>
      </c>
      <c r="AP164" s="344">
        <f t="shared" si="25"/>
        <v>25.500000000000004</v>
      </c>
      <c r="AQ164" s="35">
        <f t="shared" si="26"/>
        <v>25.500000000000004</v>
      </c>
      <c r="AR164" s="35">
        <f t="shared" si="26"/>
        <v>25.500000000000004</v>
      </c>
      <c r="AS164" s="35">
        <f t="shared" si="26"/>
        <v>25.500000000000004</v>
      </c>
    </row>
    <row r="165" spans="3:45">
      <c r="C165" s="259" t="str">
        <f t="shared" si="23"/>
        <v>4.00%, due December 2032</v>
      </c>
      <c r="AC165" s="35">
        <f t="shared" si="24"/>
        <v>2.3249999999999997</v>
      </c>
      <c r="AD165" s="35">
        <f t="shared" si="24"/>
        <v>2.3249999999999997</v>
      </c>
      <c r="AE165" s="35">
        <f t="shared" si="24"/>
        <v>2.3249999999999997</v>
      </c>
      <c r="AF165" s="35">
        <f t="shared" si="24"/>
        <v>2.3249999999999997</v>
      </c>
      <c r="AP165" s="344">
        <f t="shared" si="25"/>
        <v>9.2999999999999989</v>
      </c>
      <c r="AQ165" s="35">
        <f t="shared" si="26"/>
        <v>9.2999999999999989</v>
      </c>
      <c r="AR165" s="35">
        <f t="shared" si="26"/>
        <v>9.2999999999999989</v>
      </c>
      <c r="AS165" s="35">
        <f t="shared" si="26"/>
        <v>9.2999999999999989</v>
      </c>
    </row>
    <row r="166" spans="3:45">
      <c r="C166" s="259" t="str">
        <f t="shared" si="23"/>
        <v>4.60%, due March 2040</v>
      </c>
      <c r="AC166" s="35">
        <f t="shared" ref="AC166:AF183" si="27">+AC120*$D30/4</f>
        <v>8.6437500000000007</v>
      </c>
      <c r="AD166" s="35">
        <f t="shared" si="27"/>
        <v>8.6437500000000007</v>
      </c>
      <c r="AE166" s="35">
        <f t="shared" si="27"/>
        <v>8.6437500000000007</v>
      </c>
      <c r="AF166" s="35">
        <f t="shared" si="27"/>
        <v>8.6437500000000007</v>
      </c>
      <c r="AP166" s="344">
        <f t="shared" si="25"/>
        <v>34.575000000000003</v>
      </c>
      <c r="AQ166" s="35">
        <f t="shared" ref="AQ166:AS183" si="28">+AQ120*$D30</f>
        <v>34.575000000000003</v>
      </c>
      <c r="AR166" s="35">
        <f t="shared" si="28"/>
        <v>34.575000000000003</v>
      </c>
      <c r="AS166" s="35">
        <f t="shared" si="28"/>
        <v>34.575000000000003</v>
      </c>
    </row>
    <row r="167" spans="3:45">
      <c r="C167" s="259" t="str">
        <f t="shared" si="23"/>
        <v>2.80%, due August 2041</v>
      </c>
      <c r="AC167" s="35">
        <f t="shared" si="27"/>
        <v>5.2874999999999996</v>
      </c>
      <c r="AD167" s="35">
        <f t="shared" si="27"/>
        <v>5.2874999999999996</v>
      </c>
      <c r="AE167" s="35">
        <f t="shared" si="27"/>
        <v>5.2874999999999996</v>
      </c>
      <c r="AF167" s="35">
        <f t="shared" si="27"/>
        <v>5.2874999999999996</v>
      </c>
      <c r="AP167" s="344">
        <f t="shared" si="25"/>
        <v>21.15</v>
      </c>
      <c r="AQ167" s="35">
        <f t="shared" si="28"/>
        <v>21.15</v>
      </c>
      <c r="AR167" s="35">
        <f t="shared" si="28"/>
        <v>21.15</v>
      </c>
      <c r="AS167" s="35">
        <f t="shared" si="28"/>
        <v>21.15</v>
      </c>
    </row>
    <row r="168" spans="3:45">
      <c r="C168" s="259" t="str">
        <f t="shared" si="23"/>
        <v>4.80%, due October 2041</v>
      </c>
      <c r="AC168" s="35">
        <f t="shared" si="27"/>
        <v>4.0300500000000001</v>
      </c>
      <c r="AD168" s="35">
        <f t="shared" si="27"/>
        <v>4.0300500000000001</v>
      </c>
      <c r="AE168" s="35">
        <f t="shared" si="27"/>
        <v>4.0300500000000001</v>
      </c>
      <c r="AF168" s="35">
        <f t="shared" si="27"/>
        <v>4.0300500000000001</v>
      </c>
      <c r="AP168" s="344">
        <f t="shared" si="25"/>
        <v>16.120200000000001</v>
      </c>
      <c r="AQ168" s="35">
        <f t="shared" si="28"/>
        <v>16.120200000000001</v>
      </c>
      <c r="AR168" s="35">
        <f t="shared" si="28"/>
        <v>16.120200000000001</v>
      </c>
      <c r="AS168" s="35">
        <f t="shared" si="28"/>
        <v>16.120200000000001</v>
      </c>
    </row>
    <row r="169" spans="3:45">
      <c r="C169" s="259" t="str">
        <f t="shared" si="23"/>
        <v>4.25%, due December 2042</v>
      </c>
      <c r="AC169" s="35">
        <f t="shared" si="27"/>
        <v>2.0128500000000003</v>
      </c>
      <c r="AD169" s="35">
        <f t="shared" si="27"/>
        <v>2.0128500000000003</v>
      </c>
      <c r="AE169" s="35">
        <f t="shared" si="27"/>
        <v>2.0128500000000003</v>
      </c>
      <c r="AF169" s="35">
        <f t="shared" si="27"/>
        <v>2.0128500000000003</v>
      </c>
      <c r="AP169" s="344">
        <f t="shared" si="25"/>
        <v>8.051400000000001</v>
      </c>
      <c r="AQ169" s="35">
        <f t="shared" si="28"/>
        <v>8.051400000000001</v>
      </c>
      <c r="AR169" s="35">
        <f t="shared" si="28"/>
        <v>8.051400000000001</v>
      </c>
      <c r="AS169" s="35">
        <f t="shared" si="28"/>
        <v>8.051400000000001</v>
      </c>
    </row>
    <row r="170" spans="3:45">
      <c r="C170" s="259" t="str">
        <f t="shared" si="23"/>
        <v>4.90%, due July 2045</v>
      </c>
      <c r="AC170" s="35">
        <f t="shared" si="27"/>
        <v>4.1109</v>
      </c>
      <c r="AD170" s="35">
        <f t="shared" si="27"/>
        <v>4.1109</v>
      </c>
      <c r="AE170" s="35">
        <f t="shared" si="27"/>
        <v>4.1109</v>
      </c>
      <c r="AF170" s="35">
        <f t="shared" si="27"/>
        <v>4.1109</v>
      </c>
      <c r="AP170" s="344">
        <f t="shared" si="25"/>
        <v>16.4436</v>
      </c>
      <c r="AQ170" s="35">
        <f t="shared" si="28"/>
        <v>16.4436</v>
      </c>
      <c r="AR170" s="35">
        <f t="shared" si="28"/>
        <v>16.4436</v>
      </c>
      <c r="AS170" s="35">
        <f t="shared" si="28"/>
        <v>16.4436</v>
      </c>
    </row>
    <row r="171" spans="3:45">
      <c r="C171" s="259" t="str">
        <f t="shared" si="23"/>
        <v>4.10%, due May 2046</v>
      </c>
      <c r="AC171" s="35">
        <f t="shared" si="27"/>
        <v>4.375</v>
      </c>
      <c r="AD171" s="35">
        <f t="shared" si="27"/>
        <v>4.375</v>
      </c>
      <c r="AE171" s="35">
        <f t="shared" si="27"/>
        <v>4.375</v>
      </c>
      <c r="AF171" s="35">
        <f t="shared" si="27"/>
        <v>4.375</v>
      </c>
      <c r="AP171" s="344">
        <f t="shared" si="25"/>
        <v>17.5</v>
      </c>
      <c r="AQ171" s="35">
        <f t="shared" si="28"/>
        <v>17.5</v>
      </c>
      <c r="AR171" s="35">
        <f t="shared" si="28"/>
        <v>17.5</v>
      </c>
      <c r="AS171" s="35">
        <f t="shared" si="28"/>
        <v>17.5</v>
      </c>
    </row>
    <row r="172" spans="3:45">
      <c r="C172" s="259" t="str">
        <f t="shared" si="23"/>
        <v>4.10%, due May 2047</v>
      </c>
      <c r="AC172" s="35">
        <f t="shared" si="27"/>
        <v>3.4250000000000003</v>
      </c>
      <c r="AD172" s="35">
        <f t="shared" si="27"/>
        <v>3.4250000000000003</v>
      </c>
      <c r="AE172" s="35">
        <f t="shared" si="27"/>
        <v>3.4250000000000003</v>
      </c>
      <c r="AF172" s="35">
        <f t="shared" si="27"/>
        <v>3.4250000000000003</v>
      </c>
      <c r="AP172" s="344">
        <f t="shared" si="25"/>
        <v>13.700000000000001</v>
      </c>
      <c r="AQ172" s="35">
        <f t="shared" si="28"/>
        <v>13.700000000000001</v>
      </c>
      <c r="AR172" s="35">
        <f t="shared" si="28"/>
        <v>13.700000000000001</v>
      </c>
      <c r="AS172" s="35">
        <f t="shared" si="28"/>
        <v>13.700000000000001</v>
      </c>
    </row>
    <row r="173" spans="3:45">
      <c r="C173" s="259" t="str">
        <f t="shared" si="23"/>
        <v>4.10%, due August 2047</v>
      </c>
      <c r="AC173" s="35">
        <f t="shared" si="27"/>
        <v>1.472</v>
      </c>
      <c r="AD173" s="35">
        <f t="shared" si="27"/>
        <v>1.472</v>
      </c>
      <c r="AE173" s="35">
        <f t="shared" si="27"/>
        <v>1.472</v>
      </c>
      <c r="AF173" s="35">
        <f t="shared" si="27"/>
        <v>1.472</v>
      </c>
      <c r="AP173" s="344">
        <f t="shared" si="25"/>
        <v>5.8879999999999999</v>
      </c>
      <c r="AQ173" s="35">
        <f t="shared" si="28"/>
        <v>5.8879999999999999</v>
      </c>
      <c r="AR173" s="35">
        <f t="shared" si="28"/>
        <v>5.8879999999999999</v>
      </c>
      <c r="AS173" s="35">
        <f t="shared" si="28"/>
        <v>5.8879999999999999</v>
      </c>
    </row>
    <row r="174" spans="3:45">
      <c r="C174" s="259" t="str">
        <f t="shared" si="23"/>
        <v>3.73%, due December 2047</v>
      </c>
      <c r="AC174" s="35">
        <f t="shared" si="27"/>
        <v>8.7039749999999998</v>
      </c>
      <c r="AD174" s="35">
        <f t="shared" si="27"/>
        <v>8.7039749999999998</v>
      </c>
      <c r="AE174" s="35">
        <f t="shared" si="27"/>
        <v>8.7039749999999998</v>
      </c>
      <c r="AF174" s="35">
        <f t="shared" si="27"/>
        <v>8.7039749999999998</v>
      </c>
      <c r="AP174" s="344">
        <f t="shared" si="25"/>
        <v>34.815899999999999</v>
      </c>
      <c r="AQ174" s="35">
        <f t="shared" si="28"/>
        <v>34.815899999999999</v>
      </c>
      <c r="AR174" s="35">
        <f t="shared" si="28"/>
        <v>34.815899999999999</v>
      </c>
      <c r="AS174" s="35">
        <f t="shared" si="28"/>
        <v>34.815899999999999</v>
      </c>
    </row>
    <row r="175" spans="3:45">
      <c r="C175" s="259" t="str">
        <f t="shared" si="23"/>
        <v>3.25%, due November 2049</v>
      </c>
      <c r="AC175" s="35">
        <f t="shared" si="27"/>
        <v>16</v>
      </c>
      <c r="AD175" s="35">
        <f t="shared" si="27"/>
        <v>16</v>
      </c>
      <c r="AE175" s="35">
        <f t="shared" si="27"/>
        <v>16</v>
      </c>
      <c r="AF175" s="35">
        <f t="shared" si="27"/>
        <v>16</v>
      </c>
      <c r="AP175" s="344">
        <f t="shared" si="25"/>
        <v>64</v>
      </c>
      <c r="AQ175" s="35">
        <f t="shared" si="28"/>
        <v>64</v>
      </c>
      <c r="AR175" s="35">
        <f t="shared" si="28"/>
        <v>64</v>
      </c>
      <c r="AS175" s="35">
        <f t="shared" si="28"/>
        <v>64</v>
      </c>
    </row>
    <row r="176" spans="3:45">
      <c r="C176" s="259" t="str">
        <f t="shared" si="23"/>
        <v>4.75%, due March 2050</v>
      </c>
      <c r="AC176" s="35">
        <f t="shared" si="27"/>
        <v>26.662499999999998</v>
      </c>
      <c r="AD176" s="35">
        <f t="shared" si="27"/>
        <v>26.662499999999998</v>
      </c>
      <c r="AE176" s="35">
        <f t="shared" si="27"/>
        <v>26.662499999999998</v>
      </c>
      <c r="AF176" s="35">
        <f t="shared" si="27"/>
        <v>26.662499999999998</v>
      </c>
      <c r="AP176" s="344">
        <f t="shared" si="25"/>
        <v>106.64999999999999</v>
      </c>
      <c r="AQ176" s="35">
        <f t="shared" si="28"/>
        <v>106.64999999999999</v>
      </c>
      <c r="AR176" s="35">
        <f t="shared" si="28"/>
        <v>106.64999999999999</v>
      </c>
      <c r="AS176" s="35">
        <f t="shared" si="28"/>
        <v>106.64999999999999</v>
      </c>
    </row>
    <row r="177" spans="2:47">
      <c r="C177" s="259" t="str">
        <f t="shared" si="23"/>
        <v>3.05%, due August 2051</v>
      </c>
      <c r="AC177" s="35">
        <f t="shared" si="27"/>
        <v>9.59375</v>
      </c>
      <c r="AD177" s="35">
        <f t="shared" si="27"/>
        <v>9.59375</v>
      </c>
      <c r="AE177" s="35">
        <f t="shared" si="27"/>
        <v>9.59375</v>
      </c>
      <c r="AF177" s="35">
        <f t="shared" si="27"/>
        <v>9.59375</v>
      </c>
      <c r="AP177" s="344">
        <f t="shared" si="25"/>
        <v>38.375</v>
      </c>
      <c r="AQ177" s="35">
        <f t="shared" si="28"/>
        <v>38.375</v>
      </c>
      <c r="AR177" s="35">
        <f t="shared" si="28"/>
        <v>38.375</v>
      </c>
      <c r="AS177" s="35">
        <f t="shared" si="28"/>
        <v>38.375</v>
      </c>
    </row>
    <row r="178" spans="2:47">
      <c r="C178" s="259" t="str">
        <f t="shared" si="23"/>
        <v>3.10%, due February 2060</v>
      </c>
      <c r="AC178" s="35">
        <f t="shared" si="27"/>
        <v>7.7749999999999995</v>
      </c>
      <c r="AD178" s="35">
        <f t="shared" si="27"/>
        <v>7.7749999999999995</v>
      </c>
      <c r="AE178" s="35">
        <f t="shared" si="27"/>
        <v>7.7749999999999995</v>
      </c>
      <c r="AF178" s="35">
        <f t="shared" si="27"/>
        <v>7.7749999999999995</v>
      </c>
      <c r="AP178" s="344">
        <f t="shared" si="25"/>
        <v>31.099999999999998</v>
      </c>
      <c r="AQ178" s="35">
        <f t="shared" si="28"/>
        <v>31.099999999999998</v>
      </c>
      <c r="AR178" s="35">
        <f t="shared" si="28"/>
        <v>31.099999999999998</v>
      </c>
      <c r="AS178" s="35">
        <f t="shared" si="28"/>
        <v>31.099999999999998</v>
      </c>
    </row>
    <row r="179" spans="2:47">
      <c r="C179" s="259" t="str">
        <f t="shared" si="23"/>
        <v>4.95%, due March 2060</v>
      </c>
      <c r="AC179" s="35">
        <f t="shared" si="27"/>
        <v>12.475</v>
      </c>
      <c r="AD179" s="35">
        <f t="shared" si="27"/>
        <v>12.475</v>
      </c>
      <c r="AE179" s="35">
        <f t="shared" si="27"/>
        <v>12.475</v>
      </c>
      <c r="AF179" s="35">
        <f t="shared" si="27"/>
        <v>12.475</v>
      </c>
      <c r="AP179" s="344">
        <f t="shared" si="25"/>
        <v>49.9</v>
      </c>
      <c r="AQ179" s="35">
        <f t="shared" si="28"/>
        <v>49.9</v>
      </c>
      <c r="AR179" s="35">
        <f t="shared" si="28"/>
        <v>49.9</v>
      </c>
      <c r="AS179" s="35">
        <f t="shared" si="28"/>
        <v>49.9</v>
      </c>
    </row>
    <row r="180" spans="2:47">
      <c r="C180" s="261" t="str">
        <f t="shared" si="23"/>
        <v>3.20%, due August 2061</v>
      </c>
      <c r="AC180" s="35">
        <f t="shared" si="27"/>
        <v>6.0374999999999996</v>
      </c>
      <c r="AD180" s="35">
        <f t="shared" si="27"/>
        <v>6.0374999999999996</v>
      </c>
      <c r="AE180" s="35">
        <f t="shared" si="27"/>
        <v>6.0374999999999996</v>
      </c>
      <c r="AF180" s="35">
        <f t="shared" si="27"/>
        <v>6.0374999999999996</v>
      </c>
      <c r="AP180" s="344">
        <f t="shared" si="25"/>
        <v>24.15</v>
      </c>
      <c r="AQ180" s="35">
        <f t="shared" si="28"/>
        <v>24.15</v>
      </c>
      <c r="AR180" s="35">
        <f t="shared" si="28"/>
        <v>24.15</v>
      </c>
      <c r="AS180" s="35">
        <f t="shared" si="28"/>
        <v>24.15</v>
      </c>
    </row>
    <row r="181" spans="2:47">
      <c r="C181" s="259" t="str">
        <f t="shared" si="23"/>
        <v>2.40% - 2.70%, due December 2035 - 2040</v>
      </c>
      <c r="AC181" s="35">
        <f t="shared" si="27"/>
        <v>2.633175</v>
      </c>
      <c r="AD181" s="35">
        <f t="shared" si="27"/>
        <v>2.633175</v>
      </c>
      <c r="AE181" s="35">
        <f t="shared" si="27"/>
        <v>2.633175</v>
      </c>
      <c r="AF181" s="35">
        <f t="shared" si="27"/>
        <v>2.633175</v>
      </c>
      <c r="AP181" s="344">
        <f t="shared" si="25"/>
        <v>10.5327</v>
      </c>
      <c r="AQ181" s="35">
        <f t="shared" si="28"/>
        <v>10.5327</v>
      </c>
      <c r="AR181" s="35">
        <f t="shared" si="28"/>
        <v>10.5327</v>
      </c>
      <c r="AS181" s="35">
        <f t="shared" si="28"/>
        <v>10.5327</v>
      </c>
    </row>
    <row r="182" spans="2:47">
      <c r="C182" s="259" t="str">
        <f t="shared" si="23"/>
        <v>5.00%, due March 2049</v>
      </c>
      <c r="AC182" s="35">
        <f t="shared" si="27"/>
        <v>0.73485</v>
      </c>
      <c r="AD182" s="35">
        <f t="shared" si="27"/>
        <v>0.73485</v>
      </c>
      <c r="AE182" s="35">
        <f t="shared" si="27"/>
        <v>0.73485</v>
      </c>
      <c r="AF182" s="35">
        <f t="shared" si="27"/>
        <v>0.73485</v>
      </c>
      <c r="AP182" s="344">
        <f t="shared" si="25"/>
        <v>2.9394</v>
      </c>
      <c r="AQ182" s="35">
        <f t="shared" si="28"/>
        <v>2.9394</v>
      </c>
      <c r="AR182" s="35">
        <f t="shared" si="28"/>
        <v>2.9394</v>
      </c>
      <c r="AS182" s="35">
        <f t="shared" si="28"/>
        <v>2.9394</v>
      </c>
    </row>
    <row r="183" spans="2:47">
      <c r="C183" s="259" t="str">
        <f t="shared" si="23"/>
        <v>5.00%, due June 2049</v>
      </c>
      <c r="AC183" s="35">
        <f t="shared" si="27"/>
        <v>2.35425</v>
      </c>
      <c r="AD183" s="35">
        <f t="shared" si="27"/>
        <v>2.35425</v>
      </c>
      <c r="AE183" s="35">
        <f t="shared" si="27"/>
        <v>2.35425</v>
      </c>
      <c r="AF183" s="35">
        <f t="shared" si="27"/>
        <v>2.35425</v>
      </c>
      <c r="AP183" s="344">
        <f t="shared" si="25"/>
        <v>9.4169999999999998</v>
      </c>
      <c r="AQ183" s="35">
        <f t="shared" si="28"/>
        <v>9.4169999999999998</v>
      </c>
      <c r="AR183" s="35">
        <f t="shared" si="28"/>
        <v>9.4169999999999998</v>
      </c>
      <c r="AS183" s="35">
        <f t="shared" si="28"/>
        <v>9.4169999999999998</v>
      </c>
    </row>
    <row r="184" spans="2:47">
      <c r="C184" s="261" t="str">
        <f>C49</f>
        <v>Revolving Credit Facility</v>
      </c>
      <c r="AC184" s="35">
        <f>+AC138*$D49/4</f>
        <v>0</v>
      </c>
      <c r="AD184" s="35">
        <f>+AD138*$D49/4</f>
        <v>0</v>
      </c>
      <c r="AE184" s="35">
        <f>+AE138*$D49/4</f>
        <v>0</v>
      </c>
      <c r="AF184" s="35">
        <f>+AF138*$D49/4</f>
        <v>0</v>
      </c>
      <c r="AP184" s="344">
        <f t="shared" si="25"/>
        <v>0</v>
      </c>
      <c r="AQ184" s="35">
        <f>+AQ138*$D49</f>
        <v>0</v>
      </c>
      <c r="AR184" s="35">
        <f>+AR138*$D49</f>
        <v>0</v>
      </c>
      <c r="AS184" s="35">
        <f>+AS138*$D49</f>
        <v>0</v>
      </c>
    </row>
    <row r="185" spans="2:47" s="36" customFormat="1">
      <c r="C185" s="33" t="s">
        <v>484</v>
      </c>
      <c r="AB185"/>
      <c r="AC185" s="239">
        <f>SUM(AC146:AC184)</f>
        <v>241.74600000000001</v>
      </c>
      <c r="AD185" s="239">
        <f>SUM(AD146:AD184)</f>
        <v>239.35850000000002</v>
      </c>
      <c r="AE185" s="239">
        <f>SUM(AE146:AE184)</f>
        <v>233.59600000000003</v>
      </c>
      <c r="AF185" s="239">
        <f>SUM(AF146:AF184)</f>
        <v>224.4734</v>
      </c>
      <c r="AG185"/>
      <c r="AP185" s="239">
        <f>SUM(AP146:AP184)</f>
        <v>939.17390000000012</v>
      </c>
      <c r="AQ185" s="239">
        <f>SUM(AQ146:AQ184)</f>
        <v>868.46319999999992</v>
      </c>
      <c r="AR185" s="239">
        <f>SUM(AR146:AR184)</f>
        <v>841.1656999999999</v>
      </c>
      <c r="AS185" s="239">
        <f>SUM(AS146:AS184)</f>
        <v>770.13319999999987</v>
      </c>
    </row>
    <row r="186" spans="2:47" ht="5.25" customHeight="1"/>
    <row r="187" spans="2:47">
      <c r="C187" s="261" t="str">
        <f>C52</f>
        <v>Additional drawdown</v>
      </c>
      <c r="AC187" s="35">
        <f ca="1">+AC141*$D52/4</f>
        <v>0</v>
      </c>
      <c r="AD187" s="35">
        <f ca="1">+AD141*$D52/4</f>
        <v>0</v>
      </c>
      <c r="AE187" s="35">
        <f ca="1">+AE141*$D52/4</f>
        <v>0</v>
      </c>
      <c r="AF187" s="35">
        <f ca="1">+AF141*$D52/4</f>
        <v>0</v>
      </c>
      <c r="AP187" s="34">
        <f>+SUMIF($M$5:$AF$5,AO$5,$M187:$AF187)</f>
        <v>0</v>
      </c>
      <c r="AQ187" s="35">
        <f ca="1">+AQ141*$D52</f>
        <v>0</v>
      </c>
      <c r="AR187" s="35">
        <f ca="1">+AR141*$D52</f>
        <v>0</v>
      </c>
      <c r="AS187" s="35">
        <f ca="1">+AS141*$D52</f>
        <v>0</v>
      </c>
    </row>
    <row r="188" spans="2:47" s="36" customFormat="1">
      <c r="C188" s="33" t="s">
        <v>485</v>
      </c>
      <c r="Y188" s="264"/>
      <c r="Z188"/>
      <c r="AA188" s="265"/>
      <c r="AB188"/>
      <c r="AC188" s="239">
        <f ca="1">+IF(Circ=1,0,(AC185+AC187))</f>
        <v>241.74600000000001</v>
      </c>
      <c r="AD188" s="239">
        <f ca="1">+IF(Circ=1,0,(AD185+AD187))</f>
        <v>239.35850000000002</v>
      </c>
      <c r="AE188" s="239">
        <f ca="1">+IF(Circ=1,0,(AE185+AE187))</f>
        <v>233.59600000000003</v>
      </c>
      <c r="AF188" s="239">
        <f ca="1">+IF(Circ=1,0,(AF185+AF187))</f>
        <v>224.4734</v>
      </c>
      <c r="AG188"/>
      <c r="AO188"/>
      <c r="AP188" s="239">
        <f>+IF(Circ=1,0,(AP185+AP187))</f>
        <v>939.17390000000012</v>
      </c>
      <c r="AQ188" s="239">
        <f ca="1">+IF(Circ=1,0,(AQ185+AQ187))</f>
        <v>868.46319999999992</v>
      </c>
      <c r="AR188" s="239">
        <f ca="1">+IF(Circ=1,0,(AR185+AR187))</f>
        <v>841.1656999999999</v>
      </c>
      <c r="AS188" s="239">
        <f ca="1">+IF(Circ=1,0,(AS185+AS187))</f>
        <v>770.13319999999987</v>
      </c>
    </row>
    <row r="190" spans="2:47" s="238" customFormat="1" ht="11.25" customHeight="1">
      <c r="B190" s="30" t="s">
        <v>486</v>
      </c>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c r="AH190" s="31"/>
      <c r="AI190" s="31"/>
      <c r="AJ190" s="31"/>
      <c r="AK190" s="31"/>
      <c r="AL190" s="31"/>
      <c r="AM190" s="31"/>
      <c r="AN190" s="31"/>
      <c r="AO190" s="31"/>
      <c r="AP190" s="31"/>
      <c r="AQ190" s="31"/>
      <c r="AR190" s="31"/>
      <c r="AS190" s="31"/>
      <c r="AU190" s="31"/>
    </row>
    <row r="192" spans="2:47">
      <c r="C192" s="134" t="s">
        <v>487</v>
      </c>
      <c r="AB192" s="204"/>
      <c r="AC192" s="204">
        <f ca="1">Financials!AC324+Financials!AC340</f>
        <v>9122.4823447504805</v>
      </c>
      <c r="AD192" s="204">
        <f ca="1">Financials!AD324+Financials!AD340</f>
        <v>1816.6131360004792</v>
      </c>
      <c r="AE192" s="204">
        <f ca="1">Financials!AE324+Financials!AE340</f>
        <v>1488.6167972504809</v>
      </c>
      <c r="AF192" s="204">
        <f ca="1">Financials!AF324+Financials!AF340</f>
        <v>818.50891125048065</v>
      </c>
      <c r="AQ192" s="204">
        <f ca="1">Financials!AQ324+Financials!AQ340</f>
        <v>2334.6805013752964</v>
      </c>
      <c r="AR192" s="204">
        <f ca="1">Financials!AR324+Financials!AR340</f>
        <v>6165.1587294613491</v>
      </c>
      <c r="AS192" s="204">
        <f ca="1">Financials!AS324+Financials!AS340</f>
        <v>9698.8343307847463</v>
      </c>
    </row>
    <row r="193" spans="3:45">
      <c r="C193" s="134" t="s">
        <v>488</v>
      </c>
      <c r="AB193" s="204"/>
      <c r="AC193" s="204">
        <f>+Financials!AB197</f>
        <v>4827</v>
      </c>
      <c r="AD193" s="204">
        <f ca="1">+Financials!AC197</f>
        <v>12465.832344750481</v>
      </c>
      <c r="AE193" s="204">
        <f ca="1">+Financials!AD197</f>
        <v>11248.79548075096</v>
      </c>
      <c r="AF193" s="204">
        <f ca="1">+Financials!AE197</f>
        <v>10253.762278001441</v>
      </c>
      <c r="AQ193" s="204">
        <f ca="1">+Financials!AP197</f>
        <v>7690.6211892519223</v>
      </c>
      <c r="AR193" s="204">
        <f ca="1">+Financials!AQ197</f>
        <v>3393.971690627217</v>
      </c>
      <c r="AS193" s="204">
        <f ca="1">+Financials!AR197</f>
        <v>1166.2339200885672</v>
      </c>
    </row>
    <row r="194" spans="3:45">
      <c r="C194" s="209" t="s">
        <v>489</v>
      </c>
      <c r="AB194" s="204"/>
      <c r="AC194" s="204">
        <f>+Financials!AC346</f>
        <v>0</v>
      </c>
      <c r="AD194" s="204">
        <f>+Financials!AD346</f>
        <v>0</v>
      </c>
      <c r="AE194" s="204">
        <f>+Financials!AE346</f>
        <v>0</v>
      </c>
      <c r="AF194" s="204">
        <f>+Financials!AF346</f>
        <v>0</v>
      </c>
      <c r="AQ194" s="204">
        <f>+Financials!AQ346</f>
        <v>0</v>
      </c>
      <c r="AR194" s="204">
        <f>+Financials!AR346</f>
        <v>0</v>
      </c>
      <c r="AS194" s="204">
        <f>+Financials!AS346</f>
        <v>0</v>
      </c>
    </row>
    <row r="195" spans="3:45">
      <c r="C195" s="134" t="s">
        <v>490</v>
      </c>
      <c r="AB195" s="204"/>
      <c r="AC195" s="204">
        <f>+Financials!AC348</f>
        <v>-1483.6499999999999</v>
      </c>
      <c r="AD195" s="204">
        <f>+Financials!AD348</f>
        <v>-1483.6499999999999</v>
      </c>
      <c r="AE195" s="204">
        <f>+Financials!AE348</f>
        <v>-1483.6499999999999</v>
      </c>
      <c r="AF195" s="204">
        <f>+Financials!AF348</f>
        <v>-1483.6499999999999</v>
      </c>
      <c r="AQ195" s="204">
        <f>+Financials!AQ348</f>
        <v>-6231.33</v>
      </c>
      <c r="AR195" s="204">
        <f>+Financials!AR348</f>
        <v>-6542.8964999999998</v>
      </c>
      <c r="AS195" s="204">
        <f>+Financials!AS348</f>
        <v>-6870.0413250000001</v>
      </c>
    </row>
    <row r="196" spans="3:45">
      <c r="C196" s="134" t="s">
        <v>491</v>
      </c>
      <c r="D196" s="212">
        <v>1000</v>
      </c>
      <c r="AB196" s="204"/>
      <c r="AC196" s="205">
        <f>-$D$196</f>
        <v>-1000</v>
      </c>
      <c r="AD196" s="205">
        <f>-$D$196</f>
        <v>-1000</v>
      </c>
      <c r="AE196" s="205">
        <f>-$D$196</f>
        <v>-1000</v>
      </c>
      <c r="AF196" s="205">
        <f>-$D$196</f>
        <v>-1000</v>
      </c>
      <c r="AQ196" s="205">
        <f>-$D$196</f>
        <v>-1000</v>
      </c>
      <c r="AR196" s="205">
        <f>-$D$196</f>
        <v>-1000</v>
      </c>
      <c r="AS196" s="205">
        <f>-$D$196</f>
        <v>-1000</v>
      </c>
    </row>
    <row r="197" spans="3:45" s="36" customFormat="1">
      <c r="C197" s="208" t="s">
        <v>492</v>
      </c>
      <c r="E197"/>
      <c r="F197"/>
      <c r="G197"/>
      <c r="H197"/>
      <c r="I197"/>
      <c r="J197"/>
      <c r="K197"/>
      <c r="L197"/>
      <c r="M197"/>
      <c r="N197"/>
      <c r="O197"/>
      <c r="P197"/>
      <c r="Y197"/>
      <c r="Z197"/>
      <c r="AA197"/>
      <c r="AB197" s="204"/>
      <c r="AC197" s="240">
        <f ca="1">SUM(AC192:AC196)</f>
        <v>11465.832344750481</v>
      </c>
      <c r="AD197" s="240">
        <f ca="1">SUM(AD192:AD196)</f>
        <v>11798.795480750961</v>
      </c>
      <c r="AE197" s="240">
        <f ca="1">SUM(AE192:AE196)</f>
        <v>10253.762278001441</v>
      </c>
      <c r="AF197" s="240">
        <f ca="1">SUM(AF192:AF196)</f>
        <v>8588.6211892519223</v>
      </c>
      <c r="AG197"/>
      <c r="AO197"/>
      <c r="AP197"/>
      <c r="AQ197" s="240">
        <f ca="1">SUM(AQ192:AQ196)</f>
        <v>2793.9716906272188</v>
      </c>
      <c r="AR197" s="240">
        <f ca="1">SUM(AR192:AR196)</f>
        <v>2016.2339200885663</v>
      </c>
      <c r="AS197" s="240">
        <f ca="1">SUM(AS192:AS196)</f>
        <v>2995.0269258733133</v>
      </c>
    </row>
    <row r="198" spans="3:45">
      <c r="C198" s="210" t="s">
        <v>493</v>
      </c>
      <c r="AB198" s="204"/>
      <c r="AC198" s="35">
        <f>-AC96</f>
        <v>0</v>
      </c>
      <c r="AD198" s="35">
        <f>-AD96</f>
        <v>-1550</v>
      </c>
      <c r="AE198" s="35">
        <f>-AE96</f>
        <v>-1000</v>
      </c>
      <c r="AF198" s="35">
        <f>-AF96</f>
        <v>-1898</v>
      </c>
      <c r="AQ198" s="35">
        <f>-AQ96</f>
        <v>-400</v>
      </c>
      <c r="AR198" s="35">
        <f>-AR96</f>
        <v>-1850</v>
      </c>
      <c r="AS198" s="35">
        <f>-AS96</f>
        <v>-3750</v>
      </c>
    </row>
    <row r="199" spans="3:45" s="36" customFormat="1">
      <c r="C199" s="211" t="s">
        <v>494</v>
      </c>
      <c r="E199"/>
      <c r="F199"/>
      <c r="G199"/>
      <c r="H199"/>
      <c r="I199"/>
      <c r="J199"/>
      <c r="K199"/>
      <c r="L199"/>
      <c r="M199"/>
      <c r="N199"/>
      <c r="O199"/>
      <c r="P199"/>
      <c r="Y199"/>
      <c r="Z199"/>
      <c r="AA199"/>
      <c r="AB199" s="204"/>
      <c r="AC199" s="240">
        <f ca="1">+AC197+AC198</f>
        <v>11465.832344750481</v>
      </c>
      <c r="AD199" s="240">
        <f ca="1">+AD197+AD198</f>
        <v>10248.795480750961</v>
      </c>
      <c r="AE199" s="240">
        <f ca="1">+AE197+AE198</f>
        <v>9253.7622780014408</v>
      </c>
      <c r="AF199" s="240">
        <f ca="1">+AF197+AF198</f>
        <v>6690.6211892519223</v>
      </c>
      <c r="AG199"/>
      <c r="AO199"/>
      <c r="AP199"/>
      <c r="AQ199" s="240">
        <f ca="1">+AQ197+AQ198</f>
        <v>2393.9716906272188</v>
      </c>
      <c r="AR199" s="240">
        <f ca="1">+AR197+AR198</f>
        <v>166.23392008856626</v>
      </c>
      <c r="AS199" s="240">
        <f ca="1">+AS197+AS198</f>
        <v>-754.9730741266867</v>
      </c>
    </row>
    <row r="200" spans="3:45">
      <c r="AB200" s="204"/>
    </row>
    <row r="201" spans="3:45">
      <c r="C201" s="216" t="s">
        <v>486</v>
      </c>
      <c r="D201" s="212">
        <v>5000</v>
      </c>
    </row>
    <row r="202" spans="3:45">
      <c r="C202" s="210" t="s">
        <v>495</v>
      </c>
      <c r="AC202" s="35">
        <f>+AB204</f>
        <v>0</v>
      </c>
      <c r="AD202" s="35">
        <f>+AC204</f>
        <v>0</v>
      </c>
      <c r="AE202" s="35">
        <f>+AD204</f>
        <v>0</v>
      </c>
      <c r="AF202" s="35">
        <f>+AE204</f>
        <v>0</v>
      </c>
      <c r="AQ202" s="35">
        <f>+AP204</f>
        <v>0</v>
      </c>
      <c r="AR202" s="35">
        <f>+AQ204</f>
        <v>0</v>
      </c>
      <c r="AS202" s="35">
        <f>+AR204</f>
        <v>0</v>
      </c>
    </row>
    <row r="203" spans="3:45">
      <c r="C203" s="210" t="s">
        <v>496</v>
      </c>
      <c r="AC203" s="214">
        <f>IF(AC6&lt;$AU$49,IF(AND(AC199&lt;0,ABS(AC199)&lt;($D$201-AC202)),-AC199,IF(AC199&gt;0,-MIN(AC199,AC202),($D$201-AC202))),-AC202)</f>
        <v>0</v>
      </c>
      <c r="AD203" s="214">
        <f>IF(AD6&lt;$AU$49,IF(AND(AD199&lt;0,ABS(AD199)&lt;($D$201-AD202)),-AD199,IF(AD199&gt;0,-MIN(AD199,AD202),($D$201-AD202))),-AD202)</f>
        <v>0</v>
      </c>
      <c r="AE203" s="214">
        <f>IF(AE6&lt;$AU$49,IF(AND(AE199&lt;0,ABS(AE199)&lt;($D$201-AE202)),-AE199,IF(AE199&gt;0,-MIN(AE199,AE202),($D$201-AE202))),-AE202)</f>
        <v>0</v>
      </c>
      <c r="AF203" s="214">
        <f>IF(AF6&lt;$AU$49,IF(AND(AF199&lt;0,ABS(AF199)&lt;($D$201-AF202)),-AF199,IF(AF199&gt;0,-MIN(AF199,AF202),($D$201-AF202))),-AF202)</f>
        <v>0</v>
      </c>
      <c r="AQ203" s="214">
        <f>IF(AP6&lt;$AU$49,IF(AND(AQ199&lt;0,ABS(AQ199)&lt;($D$201-AQ202)),-AQ199,IF(AQ199&gt;0,-MIN(AQ199,AQ202),($D$201-AQ202))),-AQ202)</f>
        <v>0</v>
      </c>
      <c r="AR203" s="214">
        <f>IF(AQ6&lt;$AU$49,IF(AND(AR199&lt;0,ABS(AR199)&lt;($D$201-AR202)),-AR199,IF(AR199&gt;0,-MIN(AR199,AR202),($D$201-AR202))),-AR202)</f>
        <v>0</v>
      </c>
      <c r="AS203" s="214">
        <f>IF(AR6&lt;$AU$49,IF(AND(AS199&lt;0,ABS(AS199)&lt;($D$201-AS202)),-AS199,IF(AS199&gt;0,-MIN(AS199,AS202),($D$201-AS202))),-AS202)</f>
        <v>0</v>
      </c>
    </row>
    <row r="204" spans="3:45" s="36" customFormat="1">
      <c r="C204" s="211" t="s">
        <v>497</v>
      </c>
      <c r="E204"/>
      <c r="F204"/>
      <c r="G204"/>
      <c r="H204"/>
      <c r="I204"/>
      <c r="J204"/>
      <c r="K204"/>
      <c r="L204"/>
      <c r="M204"/>
      <c r="N204"/>
      <c r="O204"/>
      <c r="P204"/>
      <c r="AA204"/>
      <c r="AB204" s="240">
        <f>+AB49</f>
        <v>0</v>
      </c>
      <c r="AC204" s="240">
        <f>+AC202+AC203</f>
        <v>0</v>
      </c>
      <c r="AD204" s="240">
        <f>+AD202+AD203</f>
        <v>0</v>
      </c>
      <c r="AE204" s="240">
        <f>+AE202+AE203</f>
        <v>0</v>
      </c>
      <c r="AF204" s="240">
        <f>+AF202+AF203</f>
        <v>0</v>
      </c>
      <c r="AG204"/>
      <c r="AO204" s="240">
        <f>+AB204</f>
        <v>0</v>
      </c>
      <c r="AP204" s="240">
        <f>+AF204</f>
        <v>0</v>
      </c>
      <c r="AQ204" s="240">
        <f>+AQ202+AQ203</f>
        <v>0</v>
      </c>
      <c r="AR204" s="240">
        <f>+AR202+AR203</f>
        <v>0</v>
      </c>
      <c r="AS204" s="240">
        <f>+AS202+AS203</f>
        <v>0</v>
      </c>
    </row>
    <row r="205" spans="3:45">
      <c r="C205" s="134"/>
    </row>
    <row r="206" spans="3:45">
      <c r="C206" s="216" t="s">
        <v>498</v>
      </c>
    </row>
    <row r="207" spans="3:45">
      <c r="C207" s="210" t="s">
        <v>499</v>
      </c>
      <c r="AC207" s="35">
        <f>+AB209</f>
        <v>0</v>
      </c>
      <c r="AD207" s="35">
        <f ca="1">+AC209</f>
        <v>0</v>
      </c>
      <c r="AE207" s="35">
        <f ca="1">+AD209</f>
        <v>0</v>
      </c>
      <c r="AF207" s="35">
        <f ca="1">+AE209</f>
        <v>0</v>
      </c>
      <c r="AQ207" s="35">
        <f ca="1">+AP209</f>
        <v>0</v>
      </c>
      <c r="AR207" s="35">
        <f ca="1">+AQ209</f>
        <v>0</v>
      </c>
      <c r="AS207" s="35">
        <f ca="1">+AR209</f>
        <v>0</v>
      </c>
    </row>
    <row r="208" spans="3:45">
      <c r="C208" s="210" t="s">
        <v>496</v>
      </c>
      <c r="AC208" s="214">
        <f ca="1">+IF(AND(AC199&lt;0,ABS(AC199)&gt;(AC203)),-MIN(AC199+AC203),IF(AC199&gt;0,-MIN((AC199+AC203),AC207),0))</f>
        <v>0</v>
      </c>
      <c r="AD208" s="214">
        <f ca="1">+IF(AND(AD199&lt;0,ABS(AD199)&gt;(AD203)),-MIN(AD199+AD203),IF(AD199&gt;0,-MIN((AD199+AD203),AD207),0))</f>
        <v>0</v>
      </c>
      <c r="AE208" s="214">
        <f ca="1">+IF(AND(AE199&lt;0,ABS(AE199)&gt;(AE203)),-MIN(AE199+AE203),IF(AE199&gt;0,-MIN((AE199+AE203),AE207),0))</f>
        <v>0</v>
      </c>
      <c r="AF208" s="214">
        <f ca="1">+IF(AND(AF199&lt;0,ABS(AF199)&gt;(AF203)),-MIN(AF199+AF203),IF(AF199&gt;0,-MIN((AF199+AF203),AF207),0))</f>
        <v>0</v>
      </c>
      <c r="AQ208" s="214">
        <f ca="1">+IF(AND(AQ199&lt;0,ABS(AQ199)&gt;(AQ203)),-MIN(AQ199+AQ203),IF(AQ199&gt;0,-MIN((AQ199+AQ203),AQ207),0))</f>
        <v>0</v>
      </c>
      <c r="AR208" s="214">
        <f ca="1">+IF(AND(AR199&lt;0,ABS(AR199)&gt;(AR203)),-MIN(AR199+AR203),IF(AR199&gt;0,-MIN((AR199+AR203),AR207),0))</f>
        <v>0</v>
      </c>
      <c r="AS208" s="214">
        <f ca="1">+IF(AND(AS199&lt;0,ABS(AS199)&gt;(AS203)),-MIN(AS199+AS203),IF(AS199&gt;0,-MIN((AS199+AS203),AS207),0))</f>
        <v>754.9730741266867</v>
      </c>
    </row>
    <row r="209" spans="2:45" s="36" customFormat="1">
      <c r="C209" s="211" t="s">
        <v>497</v>
      </c>
      <c r="E209"/>
      <c r="F209"/>
      <c r="G209"/>
      <c r="H209"/>
      <c r="I209"/>
      <c r="J209"/>
      <c r="K209"/>
      <c r="L209"/>
      <c r="M209"/>
      <c r="N209"/>
      <c r="O209"/>
      <c r="P209"/>
      <c r="AA209"/>
      <c r="AB209" s="240">
        <f>+AB52</f>
        <v>0</v>
      </c>
      <c r="AC209" s="240">
        <f ca="1">+AC207+AC208</f>
        <v>0</v>
      </c>
      <c r="AD209" s="240">
        <f ca="1">+AD207+AD208</f>
        <v>0</v>
      </c>
      <c r="AE209" s="240">
        <f ca="1">+AE207+AE208</f>
        <v>0</v>
      </c>
      <c r="AF209" s="240">
        <f ca="1">+AF207+AF208</f>
        <v>0</v>
      </c>
      <c r="AG209"/>
      <c r="AO209" s="240">
        <f>+AB209</f>
        <v>0</v>
      </c>
      <c r="AP209" s="240">
        <f ca="1">+AF209</f>
        <v>0</v>
      </c>
      <c r="AQ209" s="240">
        <f ca="1">+AQ207+AQ208</f>
        <v>0</v>
      </c>
      <c r="AR209" s="240">
        <f ca="1">+AR207+AR208</f>
        <v>0</v>
      </c>
      <c r="AS209" s="240">
        <f ca="1">+AS207+AS208</f>
        <v>754.9730741266867</v>
      </c>
    </row>
    <row r="216" spans="2:45">
      <c r="B216" t="s">
        <v>9</v>
      </c>
    </row>
  </sheetData>
  <dataValidations count="1">
    <dataValidation type="list" allowBlank="1" showInputMessage="1" showErrorMessage="1" sqref="AD2" xr:uid="{66F0937B-F2C8-4978-8E2E-B10B37D280E6}">
      <formula1>"0,1"</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ED31-9017-487A-8699-B9C205C8BB84}">
  <sheetPr codeName="Sheet6">
    <pageSetUpPr fitToPage="1"/>
  </sheetPr>
  <dimension ref="A1:Y69"/>
  <sheetViews>
    <sheetView showGridLines="0" zoomScaleNormal="100" workbookViewId="0"/>
  </sheetViews>
  <sheetFormatPr defaultColWidth="9.81640625" defaultRowHeight="10.5" outlineLevelRow="1" outlineLevelCol="1"/>
  <cols>
    <col min="1" max="1" width="2" style="148" customWidth="1"/>
    <col min="2" max="2" width="2" style="146" customWidth="1"/>
    <col min="3" max="3" width="25.81640625" style="147" hidden="1" customWidth="1" outlineLevel="1"/>
    <col min="4" max="4" width="41.6328125" style="148" customWidth="1" collapsed="1"/>
    <col min="5" max="16" width="12.6328125" style="148" customWidth="1"/>
    <col min="17" max="24" width="9.81640625" style="148" hidden="1" customWidth="1" outlineLevel="1"/>
    <col min="25" max="25" width="9.81640625" collapsed="1"/>
  </cols>
  <sheetData>
    <row r="1" spans="1:24">
      <c r="A1" s="145" t="str">
        <f>Financials!A1</f>
        <v>Intel Corporation</v>
      </c>
      <c r="E1" s="149"/>
      <c r="F1" s="149"/>
      <c r="G1" s="150"/>
      <c r="H1" s="150"/>
      <c r="I1" s="149"/>
      <c r="J1" s="150"/>
      <c r="K1" s="149"/>
      <c r="L1" s="149"/>
      <c r="M1" s="149"/>
      <c r="N1" s="149"/>
      <c r="O1" s="150"/>
      <c r="P1" s="150"/>
    </row>
    <row r="2" spans="1:24">
      <c r="A2" s="151" t="str">
        <f>Financials!A2</f>
        <v>(All Values in $ millions, except per share data)</v>
      </c>
    </row>
    <row r="3" spans="1:24">
      <c r="A3" s="151"/>
      <c r="E3" s="152" t="s">
        <v>500</v>
      </c>
      <c r="G3" s="152">
        <f>+'Peer Analysis'!E6</f>
        <v>44607</v>
      </c>
      <c r="I3" s="152" t="s">
        <v>501</v>
      </c>
      <c r="K3" s="114" t="s">
        <v>502</v>
      </c>
      <c r="L3" s="227" cm="1">
        <f t="array" aca="1" ref="L3" ca="1">IF(ISERROR(_xll.TR("INTC.O","TR.WACCBeta")),0,1)</f>
        <v>0</v>
      </c>
      <c r="N3" s="148" t="s">
        <v>503</v>
      </c>
      <c r="O3" s="153">
        <v>0.05</v>
      </c>
    </row>
    <row r="5" spans="1:24" hidden="1" outlineLevel="1">
      <c r="A5" s="147"/>
      <c r="B5" s="318"/>
      <c r="D5" s="147"/>
      <c r="E5" s="147" t="s">
        <v>504</v>
      </c>
      <c r="F5" s="147"/>
      <c r="G5" s="147"/>
      <c r="H5" s="147"/>
      <c r="I5" s="147" t="s">
        <v>505</v>
      </c>
      <c r="J5" s="147"/>
      <c r="K5" s="147"/>
      <c r="L5" s="147"/>
      <c r="M5" s="147" t="s">
        <v>506</v>
      </c>
      <c r="N5" s="147"/>
      <c r="O5" s="147"/>
      <c r="P5" s="147"/>
      <c r="Q5" s="147" t="s">
        <v>507</v>
      </c>
      <c r="R5" s="147"/>
      <c r="S5" s="147"/>
      <c r="T5" s="147"/>
      <c r="U5" s="147" t="s">
        <v>508</v>
      </c>
      <c r="V5" s="147"/>
      <c r="W5" s="147"/>
      <c r="X5" s="147"/>
    </row>
    <row r="6" spans="1:24" collapsed="1">
      <c r="A6" s="146"/>
      <c r="B6" s="154" t="s">
        <v>9</v>
      </c>
      <c r="C6" s="154" t="s">
        <v>509</v>
      </c>
      <c r="D6" s="221" t="s">
        <v>510</v>
      </c>
      <c r="E6" s="219">
        <v>2022</v>
      </c>
      <c r="F6" s="220"/>
      <c r="G6" s="220"/>
      <c r="H6" s="155"/>
      <c r="I6" s="219">
        <f>+E6+1</f>
        <v>2023</v>
      </c>
      <c r="J6" s="220"/>
      <c r="K6" s="220"/>
      <c r="L6" s="155"/>
      <c r="M6" s="219">
        <f>+I6+1</f>
        <v>2024</v>
      </c>
      <c r="N6" s="220"/>
      <c r="O6" s="220"/>
      <c r="P6" s="155"/>
      <c r="Q6" s="219">
        <f>+M6+1</f>
        <v>2025</v>
      </c>
      <c r="R6" s="220"/>
      <c r="S6" s="155"/>
      <c r="T6" s="220"/>
      <c r="U6" s="219">
        <f>+Q6+1</f>
        <v>2026</v>
      </c>
      <c r="V6" s="220"/>
      <c r="W6" s="220"/>
      <c r="X6" s="220"/>
    </row>
    <row r="7" spans="1:24" s="36" customFormat="1">
      <c r="A7" s="146"/>
      <c r="B7" s="156"/>
      <c r="C7" s="157"/>
      <c r="D7" s="158"/>
      <c r="E7" s="159" t="s">
        <v>171</v>
      </c>
      <c r="F7" s="159" t="s">
        <v>511</v>
      </c>
      <c r="G7" s="160" t="s">
        <v>512</v>
      </c>
      <c r="H7" s="158" t="s">
        <v>513</v>
      </c>
      <c r="I7" s="159" t="s">
        <v>171</v>
      </c>
      <c r="J7" s="159" t="s">
        <v>511</v>
      </c>
      <c r="K7" s="160" t="s">
        <v>512</v>
      </c>
      <c r="L7" s="158" t="s">
        <v>513</v>
      </c>
      <c r="M7" s="159" t="s">
        <v>171</v>
      </c>
      <c r="N7" s="159" t="s">
        <v>511</v>
      </c>
      <c r="O7" s="160" t="s">
        <v>512</v>
      </c>
      <c r="P7" s="158" t="s">
        <v>513</v>
      </c>
      <c r="Q7" s="159" t="s">
        <v>171</v>
      </c>
      <c r="R7" s="159" t="s">
        <v>511</v>
      </c>
      <c r="S7" s="160" t="s">
        <v>512</v>
      </c>
      <c r="T7" s="158" t="s">
        <v>513</v>
      </c>
      <c r="U7" s="159" t="s">
        <v>171</v>
      </c>
      <c r="V7" s="159" t="s">
        <v>511</v>
      </c>
      <c r="W7" s="160" t="s">
        <v>512</v>
      </c>
      <c r="X7" s="158" t="s">
        <v>513</v>
      </c>
    </row>
    <row r="8" spans="1:24">
      <c r="B8" s="161"/>
      <c r="D8" s="162"/>
      <c r="E8" s="161"/>
      <c r="F8" s="163"/>
      <c r="G8" s="163"/>
      <c r="H8" s="163"/>
      <c r="I8" s="164"/>
      <c r="J8" s="161"/>
      <c r="K8" s="161"/>
      <c r="L8" s="161"/>
      <c r="M8" s="164"/>
      <c r="N8" s="161"/>
      <c r="O8" s="161"/>
      <c r="P8" s="161"/>
      <c r="Q8" s="164"/>
      <c r="R8" s="161"/>
      <c r="S8" s="161"/>
      <c r="T8" s="161"/>
      <c r="U8" s="164"/>
      <c r="V8" s="161"/>
      <c r="W8" s="161"/>
      <c r="X8" s="161"/>
    </row>
    <row r="9" spans="1:24">
      <c r="D9" s="146" t="s">
        <v>514</v>
      </c>
      <c r="E9" s="165"/>
      <c r="F9" s="165"/>
      <c r="G9" s="165"/>
      <c r="H9" s="165"/>
      <c r="I9" s="165"/>
      <c r="J9" s="165"/>
      <c r="M9" s="165"/>
      <c r="N9" s="165"/>
      <c r="Q9" s="165"/>
      <c r="R9" s="165"/>
      <c r="U9" s="165"/>
      <c r="V9" s="165"/>
    </row>
    <row r="10" spans="1:24">
      <c r="A10" s="166"/>
      <c r="C10" s="167" t="s">
        <v>515</v>
      </c>
      <c r="D10" s="168" t="s">
        <v>14</v>
      </c>
      <c r="E10" s="169" t="e" cm="1">
        <f t="array" ref="E10">IF(Thomson=1,_xll.TR($I$3,$C10,"scale=6 Sdate=#1 Period=#2 Curn=#3 NULL=BLANK",,$G$3,E$5,$E$3),E10)</f>
        <v>#NAME?</v>
      </c>
      <c r="F10" s="163">
        <f>+Financials!AP119</f>
        <v>69628.249999999985</v>
      </c>
      <c r="G10" s="170" t="str">
        <f t="shared" ref="G10:G15" si="0">+IFERROR(F10-E10,"NA ")</f>
        <v xml:space="preserve">NA </v>
      </c>
      <c r="H10" s="171" t="str">
        <f t="shared" ref="H10:H15" si="1">+IFERROR(G10/E10,"NA ")</f>
        <v xml:space="preserve">NA </v>
      </c>
      <c r="I10" s="169" t="e" cm="1">
        <f t="array" ref="I10">IF(Thomson=1,_xll.TR($I$3,$C10,"scale=6 Sdate=#1 Period=#2 Curn=#3 NULL=BLANK",,$G$3,I$5,$E$3),I10)</f>
        <v>#NAME?</v>
      </c>
      <c r="J10" s="163">
        <f>+Financials!AQ119</f>
        <v>65685.492125000004</v>
      </c>
      <c r="K10" s="170" t="str">
        <f t="shared" ref="K10:K15" si="2">+IFERROR(J10-I10,"NA ")</f>
        <v xml:space="preserve">NA </v>
      </c>
      <c r="L10" s="171" t="str">
        <f t="shared" ref="L10:L16" si="3">+IFERROR(K10/I10,"NA ")</f>
        <v xml:space="preserve">NA </v>
      </c>
      <c r="M10" s="169" t="e" cm="1">
        <f t="array" ref="M10">IF(Thomson=1,_xll.TR($I$3,$C10,"scale=6 Sdate=#1 Period=#2 Curn=#3 NULL=BLANK",,$G$3,M$5,$E$3),M10)</f>
        <v>#NAME?</v>
      </c>
      <c r="N10" s="163">
        <f>+Financials!AR119</f>
        <v>67977.672826250011</v>
      </c>
      <c r="O10" s="170" t="str">
        <f t="shared" ref="O10:O15" si="4">+IFERROR(N10-M10,"NA ")</f>
        <v xml:space="preserve">NA </v>
      </c>
      <c r="P10" s="171" t="str">
        <f t="shared" ref="P10:P16" si="5">+IFERROR(O10/M10,"NA ")</f>
        <v xml:space="preserve">NA </v>
      </c>
      <c r="Q10" s="169" t="e" cm="1">
        <f t="array" ref="Q10">IF(Thomson=1,_xll.TR($I$3,$C10,"scale=6 Sdate=#1 Period=#2 Curn=#3 NULL=BLANK",,$G$3,Q$5,$E$3),Q10)</f>
        <v>#NAME?</v>
      </c>
      <c r="R10" s="163"/>
      <c r="S10" s="170" t="str">
        <f t="shared" ref="S10:S16" si="6">+IFERROR(R10-Q10,"NA ")</f>
        <v xml:space="preserve">NA </v>
      </c>
      <c r="T10" s="171" t="str">
        <f t="shared" ref="T10:T16" si="7">+IFERROR(S10/Q10,"NA ")</f>
        <v xml:space="preserve">NA </v>
      </c>
      <c r="U10" s="169" t="e" cm="1">
        <f t="array" ref="U10">IF(Thomson=1,_xll.TR($I$3,$C10,"scale=6 Sdate=#1 Period=#2 Curn=#3 NULL=BLANK",,$G$3,U$5,$E$3),U10)</f>
        <v>#NAME?</v>
      </c>
      <c r="V10" s="163"/>
      <c r="W10" s="170" t="str">
        <f t="shared" ref="W10:W16" si="8">+IFERROR(V10-U10,"NA ")</f>
        <v xml:space="preserve">NA </v>
      </c>
      <c r="X10" s="171" t="str">
        <f t="shared" ref="X10:X16" si="9">+IFERROR(W10/U10,"NA ")</f>
        <v xml:space="preserve">NA </v>
      </c>
    </row>
    <row r="11" spans="1:24">
      <c r="A11" s="166"/>
      <c r="C11" s="147" t="s">
        <v>516</v>
      </c>
      <c r="D11" s="168" t="s">
        <v>74</v>
      </c>
      <c r="E11" s="169" t="e" cm="1">
        <f t="array" ref="E11">IF(Thomson=1,_xll.TR($I$3,$C11,"scale=6 Sdate=#1 Period=#2 Curn=#3 NULL=BLANK",,$G$3,E$5,$E$3),E11)</f>
        <v>#NAME?</v>
      </c>
      <c r="F11" s="163">
        <f>+Financials!AP152</f>
        <v>21973.533321999854</v>
      </c>
      <c r="G11" s="170" t="str">
        <f t="shared" si="0"/>
        <v xml:space="preserve">NA </v>
      </c>
      <c r="H11" s="171" t="str">
        <f t="shared" si="1"/>
        <v xml:space="preserve">NA </v>
      </c>
      <c r="I11" s="169" t="e" cm="1">
        <f t="array" ref="I11">IF(Thomson=1,_xll.TR($I$3,$C11,"scale=6 Sdate=#1 Period=#2 Curn=#3 NULL=BLANK",,$G$3,I$5,$E$3),I11)</f>
        <v>#NAME?</v>
      </c>
      <c r="J11" s="163">
        <f>+Financials!AQ152</f>
        <v>23739.348120223229</v>
      </c>
      <c r="K11" s="170" t="str">
        <f t="shared" si="2"/>
        <v xml:space="preserve">NA </v>
      </c>
      <c r="L11" s="171" t="str">
        <f t="shared" si="3"/>
        <v xml:space="preserve">NA </v>
      </c>
      <c r="M11" s="169" t="e" cm="1">
        <f t="array" ref="M11">IF(Thomson=1,_xll.TR($I$3,$C11,"scale=6 Sdate=#1 Period=#2 Curn=#3 NULL=BLANK",,$G$3,M$5,$E$3),M11)</f>
        <v>#NAME?</v>
      </c>
      <c r="N11" s="163">
        <f>+Financials!AQ152</f>
        <v>23739.348120223229</v>
      </c>
      <c r="O11" s="170" t="str">
        <f t="shared" si="4"/>
        <v xml:space="preserve">NA </v>
      </c>
      <c r="P11" s="171" t="str">
        <f t="shared" si="5"/>
        <v xml:space="preserve">NA </v>
      </c>
      <c r="Q11" s="169" t="e" cm="1">
        <f t="array" ref="Q11">IF(Thomson=1,_xll.TR($I$3,$C11,"scale=6 Sdate=#1 Period=#2 Curn=#3 NULL=BLANK",,$G$3,Q$5,$E$3),Q11)</f>
        <v>#NAME?</v>
      </c>
      <c r="R11" s="163"/>
      <c r="S11" s="170" t="str">
        <f t="shared" si="6"/>
        <v xml:space="preserve">NA </v>
      </c>
      <c r="T11" s="171" t="str">
        <f t="shared" si="7"/>
        <v xml:space="preserve">NA </v>
      </c>
      <c r="U11" s="169" t="e" cm="1">
        <f t="array" ref="U11">IF(Thomson=1,_xll.TR($I$3,$C11,"scale=6 Sdate=#1 Period=#2 Curn=#3 NULL=BLANK",,$G$3,U$5,$E$3),U11)</f>
        <v>#NAME?</v>
      </c>
      <c r="V11" s="163"/>
      <c r="W11" s="170" t="str">
        <f t="shared" si="8"/>
        <v xml:space="preserve">NA </v>
      </c>
      <c r="X11" s="171" t="str">
        <f t="shared" si="9"/>
        <v xml:space="preserve">NA </v>
      </c>
    </row>
    <row r="12" spans="1:24" hidden="1" outlineLevel="1">
      <c r="A12" s="166"/>
      <c r="C12" s="147" t="s">
        <v>517</v>
      </c>
      <c r="D12" s="168" t="s">
        <v>518</v>
      </c>
      <c r="E12" s="169" t="e" cm="1">
        <f t="array" ref="E12">IF(Thomson=1,_xll.TR($I$3,$C12,"scale=6 Sdate=#1 Period=#2 Curn=#3 NULL=BLANK",,$G$3,E$5,$E$3),E12)</f>
        <v>#NAME?</v>
      </c>
      <c r="F12" s="163"/>
      <c r="G12" s="170" t="str">
        <f t="shared" si="0"/>
        <v xml:space="preserve">NA </v>
      </c>
      <c r="H12" s="171" t="str">
        <f t="shared" si="1"/>
        <v xml:space="preserve">NA </v>
      </c>
      <c r="I12" s="169" t="e" cm="1">
        <f t="array" ref="I12">IF(Thomson=1,_xll.TR($I$3,$C12,"scale=6 Sdate=#1 Period=#2 Curn=#3 NULL=BLANK",,$G$3,I$5,$E$3),I12)</f>
        <v>#NAME?</v>
      </c>
      <c r="J12" s="163"/>
      <c r="K12" s="170" t="str">
        <f t="shared" si="2"/>
        <v xml:space="preserve">NA </v>
      </c>
      <c r="L12" s="171" t="str">
        <f t="shared" si="3"/>
        <v xml:space="preserve">NA </v>
      </c>
      <c r="M12" s="169" t="e" cm="1">
        <f t="array" ref="M12">IF(Thomson=1,_xll.TR($I$3,$C12,"scale=6 Sdate=#1 Period=#2 Curn=#3 NULL=BLANK",,$G$3,M$5,$E$3),M12)</f>
        <v>#NAME?</v>
      </c>
      <c r="N12" s="163"/>
      <c r="O12" s="170" t="str">
        <f t="shared" si="4"/>
        <v xml:space="preserve">NA </v>
      </c>
      <c r="P12" s="171" t="str">
        <f t="shared" si="5"/>
        <v xml:space="preserve">NA </v>
      </c>
      <c r="Q12" s="169" t="e" cm="1">
        <f t="array" ref="Q12">IF(Thomson=1,_xll.TR($I$3,$C12,"scale=6 Sdate=#1 Period=#2 Curn=#3 NULL=BLANK",,$G$3,Q$5,$E$3),Q12)</f>
        <v>#NAME?</v>
      </c>
      <c r="R12" s="163"/>
      <c r="S12" s="170" t="str">
        <f t="shared" si="6"/>
        <v xml:space="preserve">NA </v>
      </c>
      <c r="T12" s="171" t="str">
        <f t="shared" si="7"/>
        <v xml:space="preserve">NA </v>
      </c>
      <c r="U12" s="169" t="e" cm="1">
        <f t="array" ref="U12">IF(Thomson=1,_xll.TR($I$3,$C12,"scale=6 Sdate=#1 Period=#2 Curn=#3 NULL=BLANK",,$G$3,U$5,$E$3),U12)</f>
        <v>#NAME?</v>
      </c>
      <c r="V12" s="163"/>
      <c r="W12" s="170" t="str">
        <f t="shared" si="8"/>
        <v xml:space="preserve">NA </v>
      </c>
      <c r="X12" s="171" t="str">
        <f t="shared" si="9"/>
        <v xml:space="preserve">NA </v>
      </c>
    </row>
    <row r="13" spans="1:24" hidden="1" outlineLevel="1">
      <c r="A13" s="166"/>
      <c r="C13" s="147" t="s">
        <v>519</v>
      </c>
      <c r="D13" s="168" t="s">
        <v>520</v>
      </c>
      <c r="E13" s="169" t="e" cm="1">
        <f t="array" ref="E13">IF(Thomson=1,_xll.TR($I$3,$C13,"scale=6 Sdate=#1 Period=#2 Curn=#3 NULL=BLANK",,$G$3,E$5,$E$3),E13)</f>
        <v>#NAME?</v>
      </c>
      <c r="F13" s="163"/>
      <c r="G13" s="170" t="str">
        <f t="shared" si="0"/>
        <v xml:space="preserve">NA </v>
      </c>
      <c r="H13" s="171" t="str">
        <f t="shared" si="1"/>
        <v xml:space="preserve">NA </v>
      </c>
      <c r="I13" s="169" t="e" cm="1">
        <f t="array" ref="I13">IF(Thomson=1,_xll.TR($I$3,$C13,"scale=6 Sdate=#1 Period=#2 Curn=#3 NULL=BLANK",,$G$3,I$5,$E$3),I13)</f>
        <v>#NAME?</v>
      </c>
      <c r="J13" s="163"/>
      <c r="K13" s="170" t="str">
        <f t="shared" si="2"/>
        <v xml:space="preserve">NA </v>
      </c>
      <c r="L13" s="171" t="str">
        <f t="shared" si="3"/>
        <v xml:space="preserve">NA </v>
      </c>
      <c r="M13" s="169" t="e" cm="1">
        <f t="array" ref="M13">IF(Thomson=1,_xll.TR($I$3,$C13,"scale=6 Sdate=#1 Period=#2 Curn=#3 NULL=BLANK",,$G$3,M$5,$E$3),M13)</f>
        <v>#NAME?</v>
      </c>
      <c r="N13" s="163"/>
      <c r="O13" s="170" t="str">
        <f t="shared" si="4"/>
        <v xml:space="preserve">NA </v>
      </c>
      <c r="P13" s="171" t="str">
        <f t="shared" si="5"/>
        <v xml:space="preserve">NA </v>
      </c>
      <c r="Q13" s="169" t="e" cm="1">
        <f t="array" ref="Q13">IF(Thomson=1,_xll.TR($I$3,$C13,"scale=6 Sdate=#1 Period=#2 Curn=#3 NULL=BLANK",,$G$3,Q$5,$E$3),Q13)</f>
        <v>#NAME?</v>
      </c>
      <c r="R13" s="163"/>
      <c r="S13" s="170" t="str">
        <f t="shared" si="6"/>
        <v xml:space="preserve">NA </v>
      </c>
      <c r="T13" s="171" t="str">
        <f t="shared" si="7"/>
        <v xml:space="preserve">NA </v>
      </c>
      <c r="U13" s="169" t="e" cm="1">
        <f t="array" ref="U13">IF(Thomson=1,_xll.TR($I$3,$C13,"scale=6 Sdate=#1 Period=#2 Curn=#3 NULL=BLANK",,$G$3,U$5,$E$3),U13)</f>
        <v>#NAME?</v>
      </c>
      <c r="V13" s="163"/>
      <c r="W13" s="170" t="str">
        <f t="shared" si="8"/>
        <v xml:space="preserve">NA </v>
      </c>
      <c r="X13" s="171" t="str">
        <f t="shared" si="9"/>
        <v xml:space="preserve">NA </v>
      </c>
    </row>
    <row r="14" spans="1:24" hidden="1" outlineLevel="1">
      <c r="A14" s="166"/>
      <c r="C14" s="147" t="s">
        <v>521</v>
      </c>
      <c r="D14" s="168" t="s">
        <v>522</v>
      </c>
      <c r="E14" s="172" t="e" cm="1">
        <f t="array" ref="E14">IF(Thomson=1,_xll.TR($I$3,$C14,"scale=6 Sdate=#1 Period=#2 Curn=#3 NULL=BLANK",,$G$3,E$5,$E$3),E14)</f>
        <v>#NAME?</v>
      </c>
      <c r="F14" s="173"/>
      <c r="G14" s="174" t="str">
        <f t="shared" si="0"/>
        <v xml:space="preserve">NA </v>
      </c>
      <c r="H14" s="171" t="str">
        <f t="shared" si="1"/>
        <v xml:space="preserve">NA </v>
      </c>
      <c r="I14" s="172" t="e" cm="1">
        <f t="array" ref="I14">IF(Thomson=1,_xll.TR($I$3,$C14,"scale=6 Sdate=#1 Period=#2 Curn=#3 NULL=BLANK",,$G$3,I$5,$E$3),I14)</f>
        <v>#NAME?</v>
      </c>
      <c r="J14" s="173"/>
      <c r="K14" s="174" t="str">
        <f t="shared" si="2"/>
        <v xml:space="preserve">NA </v>
      </c>
      <c r="L14" s="171" t="str">
        <f t="shared" si="3"/>
        <v xml:space="preserve">NA </v>
      </c>
      <c r="M14" s="172" t="e" cm="1">
        <f t="array" ref="M14">IF(Thomson=1,_xll.TR($I$3,$C14,"scale=6 Sdate=#1 Period=#2 Curn=#3 NULL=BLANK",,$G$3,M$5,$E$3),M14)</f>
        <v>#NAME?</v>
      </c>
      <c r="N14" s="173"/>
      <c r="O14" s="174" t="str">
        <f t="shared" si="4"/>
        <v xml:space="preserve">NA </v>
      </c>
      <c r="P14" s="171" t="str">
        <f t="shared" si="5"/>
        <v xml:space="preserve">NA </v>
      </c>
      <c r="Q14" s="172" t="e" cm="1">
        <f t="array" ref="Q14">IF(Thomson=1,_xll.TR($I$3,$C14,"scale=6 Sdate=#1 Period=#2 Curn=#3 NULL=BLANK",,$G$3,Q$5,$E$3),Q14)</f>
        <v>#NAME?</v>
      </c>
      <c r="R14" s="173"/>
      <c r="S14" s="174" t="str">
        <f t="shared" si="6"/>
        <v xml:space="preserve">NA </v>
      </c>
      <c r="T14" s="171" t="str">
        <f t="shared" si="7"/>
        <v xml:space="preserve">NA </v>
      </c>
      <c r="U14" s="172" t="e" cm="1">
        <f t="array" ref="U14">IF(Thomson=1,_xll.TR($I$3,$C14,"scale=6 Sdate=#1 Period=#2 Curn=#3 NULL=BLANK",,$G$3,U$5,$E$3),U14)</f>
        <v>#NAME?</v>
      </c>
      <c r="V14" s="173"/>
      <c r="W14" s="174" t="str">
        <f t="shared" si="8"/>
        <v xml:space="preserve">NA </v>
      </c>
      <c r="X14" s="171" t="str">
        <f t="shared" si="9"/>
        <v xml:space="preserve">NA </v>
      </c>
    </row>
    <row r="15" spans="1:24" collapsed="1">
      <c r="A15" s="166"/>
      <c r="C15" s="147" t="s">
        <v>523</v>
      </c>
      <c r="D15" s="168" t="s">
        <v>524</v>
      </c>
      <c r="E15" s="169" t="e" cm="1">
        <f t="array" ref="E15">IF(Thomson=1,_xll.TR($I$3,$C15,"scale=6 Sdate=#1 Period=#2 Curn=#3 NULL=BLANK",,$G$3,E$5,$E$3),E15)</f>
        <v>#NAME?</v>
      </c>
      <c r="F15" s="163">
        <f ca="1">+Financials!AP192</f>
        <v>-5615.778810748081</v>
      </c>
      <c r="G15" s="170" t="str">
        <f t="shared" ca="1" si="0"/>
        <v xml:space="preserve">NA </v>
      </c>
      <c r="H15" s="171" t="str">
        <f t="shared" ca="1" si="1"/>
        <v xml:space="preserve">NA </v>
      </c>
      <c r="I15" s="169" t="e" cm="1">
        <f t="array" ref="I15">IF(Thomson=1,_xll.TR($I$3,$C15,"scale=6 Sdate=#1 Period=#2 Curn=#3 NULL=BLANK",,$G$3,I$5,$E$3),I15)</f>
        <v>#NAME?</v>
      </c>
      <c r="J15" s="163">
        <f ca="1">+Financials!AQ192</f>
        <v>-1145.3194986247036</v>
      </c>
      <c r="K15" s="170" t="str">
        <f t="shared" ca="1" si="2"/>
        <v xml:space="preserve">NA </v>
      </c>
      <c r="L15" s="171" t="str">
        <f t="shared" ca="1" si="3"/>
        <v xml:space="preserve">NA </v>
      </c>
      <c r="M15" s="169" t="e" cm="1">
        <f t="array" ref="M15">IF(Thomson=1,_xll.TR($I$3,$C15,"scale=6 Sdate=#1 Period=#2 Curn=#3 NULL=BLANK",,$G$3,M$5,$E$3),M15)</f>
        <v>#NAME?</v>
      </c>
      <c r="N15" s="163">
        <f ca="1">+Financials!AR192</f>
        <v>3685.1587294613491</v>
      </c>
      <c r="O15" s="170" t="str">
        <f t="shared" ca="1" si="4"/>
        <v xml:space="preserve">NA </v>
      </c>
      <c r="P15" s="171" t="str">
        <f t="shared" ca="1" si="5"/>
        <v xml:space="preserve">NA </v>
      </c>
      <c r="Q15" s="169" t="e" cm="1">
        <f t="array" ref="Q15">IF(Thomson=1,_xll.TR($I$3,$C15,"scale=6 Sdate=#1 Period=#2 Curn=#3 NULL=BLANK",,$G$3,Q$5,$E$3),Q15)</f>
        <v>#NAME?</v>
      </c>
      <c r="R15" s="163"/>
      <c r="S15" s="170" t="str">
        <f t="shared" si="6"/>
        <v xml:space="preserve">NA </v>
      </c>
      <c r="T15" s="171" t="str">
        <f t="shared" si="7"/>
        <v xml:space="preserve">NA </v>
      </c>
      <c r="U15" s="169" t="e" cm="1">
        <f t="array" ref="U15">IF(Thomson=1,_xll.TR($I$3,$C15,"scale=6 Sdate=#1 Period=#2 Curn=#3 NULL=BLANK",,$G$3,U$5,$E$3),U15)</f>
        <v>#NAME?</v>
      </c>
      <c r="V15" s="163"/>
      <c r="W15" s="170" t="str">
        <f t="shared" si="8"/>
        <v xml:space="preserve">NA </v>
      </c>
      <c r="X15" s="171" t="str">
        <f t="shared" si="9"/>
        <v xml:space="preserve">NA </v>
      </c>
    </row>
    <row r="16" spans="1:24">
      <c r="A16" s="166"/>
      <c r="C16" s="147" t="s">
        <v>525</v>
      </c>
      <c r="D16" s="168" t="s">
        <v>526</v>
      </c>
      <c r="E16" s="169" t="e" cm="1">
        <f t="array" ref="E16">IF(Thomson=1,_xll.TR($I$3,$C16,"scale=6 Sdate=#1 Period=#2 Curn=#3 NULL=BLANK",,$G$3,E$5,$E$3),E16)</f>
        <v>#NAME?</v>
      </c>
      <c r="F16" s="163"/>
      <c r="G16" s="170" t="str">
        <f>+IFERROR(F16-E16,"NA ")</f>
        <v xml:space="preserve">NA </v>
      </c>
      <c r="H16" s="171" t="str">
        <f>+IFERROR(G16/E16,"NA ")</f>
        <v xml:space="preserve">NA </v>
      </c>
      <c r="I16" s="169" t="e" cm="1">
        <f t="array" ref="I16">IF(Thomson=1,_xll.TR($I$3,$C16,"scale=6 Sdate=#1 Period=#2 Curn=#3 NULL=BLANK",,$G$3,I$5,$E$3),I16)</f>
        <v>#NAME?</v>
      </c>
      <c r="J16" s="163"/>
      <c r="K16" s="170" t="str">
        <f>+IFERROR(J16-I16,"NA ")</f>
        <v xml:space="preserve">NA </v>
      </c>
      <c r="L16" s="171" t="str">
        <f t="shared" si="3"/>
        <v xml:space="preserve">NA </v>
      </c>
      <c r="M16" s="169" t="e" cm="1">
        <f t="array" ref="M16">IF(Thomson=1,_xll.TR($I$3,$C16,"scale=6 Sdate=#1 Period=#2 Curn=#3 NULL=BLANK",,$G$3,M$5,$E$3),M16)</f>
        <v>#NAME?</v>
      </c>
      <c r="N16" s="163"/>
      <c r="O16" s="170" t="str">
        <f>+IFERROR(N16-M16,"NA ")</f>
        <v xml:space="preserve">NA </v>
      </c>
      <c r="P16" s="171" t="str">
        <f t="shared" si="5"/>
        <v xml:space="preserve">NA </v>
      </c>
      <c r="Q16" s="169" t="e" cm="1">
        <f t="array" ref="Q16">IF(Thomson=1,_xll.TR($I$3,$C16,"scale=6 Sdate=#1 Period=#2 Curn=#3 NULL=BLANK",,$G$3,Q$5,$E$3),Q16)</f>
        <v>#NAME?</v>
      </c>
      <c r="R16" s="163"/>
      <c r="S16" s="170" t="str">
        <f t="shared" si="6"/>
        <v xml:space="preserve">NA </v>
      </c>
      <c r="T16" s="171" t="str">
        <f t="shared" si="7"/>
        <v xml:space="preserve">NA </v>
      </c>
      <c r="U16" s="169" t="e" cm="1">
        <f t="array" ref="U16">IF(Thomson=1,_xll.TR($I$3,$C16,"scale=6 Sdate=#1 Period=#2 Curn=#3 NULL=BLANK",,$G$3,U$5,$E$3),U16)</f>
        <v>#NAME?</v>
      </c>
      <c r="V16" s="163"/>
      <c r="W16" s="170" t="str">
        <f t="shared" si="8"/>
        <v xml:space="preserve">NA </v>
      </c>
      <c r="X16" s="171" t="str">
        <f t="shared" si="9"/>
        <v xml:space="preserve">NA </v>
      </c>
    </row>
    <row r="17" spans="1:24">
      <c r="A17" s="175"/>
      <c r="B17" s="176"/>
      <c r="C17" s="177"/>
      <c r="D17" s="178"/>
      <c r="E17" s="169"/>
      <c r="F17" s="171"/>
      <c r="G17" s="171"/>
      <c r="H17" s="171"/>
      <c r="I17" s="171"/>
      <c r="J17" s="171"/>
      <c r="K17" s="171"/>
      <c r="L17" s="171"/>
      <c r="M17" s="169"/>
      <c r="N17" s="171"/>
      <c r="O17" s="171"/>
      <c r="P17" s="169"/>
      <c r="Q17" s="169"/>
      <c r="R17" s="171"/>
      <c r="S17" s="171"/>
      <c r="T17" s="169"/>
      <c r="U17" s="169"/>
      <c r="V17" s="171"/>
      <c r="W17" s="171"/>
      <c r="X17" s="169"/>
    </row>
    <row r="18" spans="1:24">
      <c r="D18" s="146" t="s">
        <v>527</v>
      </c>
      <c r="E18" s="165"/>
      <c r="F18" s="165"/>
      <c r="I18" s="165"/>
      <c r="J18" s="165"/>
      <c r="M18" s="165"/>
      <c r="N18" s="165"/>
      <c r="Q18" s="165"/>
      <c r="R18" s="165"/>
      <c r="U18" s="165"/>
      <c r="V18" s="165"/>
    </row>
    <row r="19" spans="1:24">
      <c r="A19" s="166"/>
      <c r="C19" s="167" t="s">
        <v>528</v>
      </c>
      <c r="D19" s="168" t="s">
        <v>14</v>
      </c>
      <c r="E19" s="169" t="e" cm="1">
        <f t="array" ref="E19">IF(Thomson=1,_xll.TR($I$3,$C19,"scale=6 Sdate=#1 Period=#2 Curn=#3 NULL=BLANK",,$G$3,E$5,$E$3),E19)</f>
        <v>#NAME?</v>
      </c>
      <c r="F19" s="170">
        <f t="shared" ref="F19:F25" si="10">+F10</f>
        <v>69628.249999999985</v>
      </c>
      <c r="G19" s="170" t="str">
        <f t="shared" ref="G19:G24" si="11">+IFERROR(F19-E19,"NA ")</f>
        <v xml:space="preserve">NA </v>
      </c>
      <c r="H19" s="171" t="str">
        <f t="shared" ref="H19:H25" si="12">+IFERROR(G19/E19,"NA ")</f>
        <v xml:space="preserve">NA </v>
      </c>
      <c r="I19" s="169" t="e" cm="1">
        <f t="array" ref="I19">IF(Thomson=1,_xll.TR($I$3,$C19,"scale=6 Sdate=#1 Period=#2 Curn=#3 NULL=BLANK",,$G$3,I$5,$E$3),I19)</f>
        <v>#NAME?</v>
      </c>
      <c r="J19" s="170">
        <f t="shared" ref="J19:J25" si="13">+J10</f>
        <v>65685.492125000004</v>
      </c>
      <c r="K19" s="170" t="str">
        <f t="shared" ref="K19:K24" si="14">+IFERROR(J19-I19,"NA ")</f>
        <v xml:space="preserve">NA </v>
      </c>
      <c r="L19" s="171" t="str">
        <f t="shared" ref="L19:L25" si="15">+IFERROR(K19/I19,"NA ")</f>
        <v xml:space="preserve">NA </v>
      </c>
      <c r="M19" s="169" t="e" cm="1">
        <f t="array" ref="M19">IF(Thomson=1,_xll.TR($I$3,$C19,"scale=6 Sdate=#1 Period=#2 Curn=#3 NULL=BLANK",,$G$3,M$5,$E$3),M19)</f>
        <v>#NAME?</v>
      </c>
      <c r="N19" s="170">
        <f t="shared" ref="N19:N25" si="16">+N10</f>
        <v>67977.672826250011</v>
      </c>
      <c r="O19" s="170" t="str">
        <f t="shared" ref="O19:O24" si="17">+IFERROR(N19-M19,"NA ")</f>
        <v xml:space="preserve">NA </v>
      </c>
      <c r="P19" s="171" t="str">
        <f t="shared" ref="P19:P25" si="18">+IFERROR(O19/M19,"NA ")</f>
        <v xml:space="preserve">NA </v>
      </c>
      <c r="Q19" s="169" t="e" cm="1">
        <f t="array" ref="Q19">IF(Thomson=1,_xll.TR($I$3,$C19,"scale=6 Sdate=#1 Period=#2 Curn=#3 NULL=BLANK",,$G$3,Q$5,$E$3),Q19)</f>
        <v>#NAME?</v>
      </c>
      <c r="R19" s="170">
        <f t="shared" ref="R19:R25" si="19">+R10</f>
        <v>0</v>
      </c>
      <c r="S19" s="170" t="str">
        <f t="shared" ref="S19:S25" si="20">+IFERROR(R19-Q19,"NA ")</f>
        <v xml:space="preserve">NA </v>
      </c>
      <c r="T19" s="171" t="str">
        <f t="shared" ref="T19:T25" si="21">+IFERROR(S19/Q19,"NA ")</f>
        <v xml:space="preserve">NA </v>
      </c>
      <c r="U19" s="169" t="e" cm="1">
        <f t="array" ref="U19">IF(Thomson=1,_xll.TR($I$3,$C19,"scale=6 Sdate=#1 Period=#2 Curn=#3 NULL=BLANK",,$G$3,U$5,$E$3),U19)</f>
        <v>#NAME?</v>
      </c>
      <c r="V19" s="170">
        <f t="shared" ref="V19:V25" si="22">+V10</f>
        <v>0</v>
      </c>
      <c r="W19" s="170" t="str">
        <f t="shared" ref="W19:W25" si="23">+IFERROR(V19-U19,"NA ")</f>
        <v xml:space="preserve">NA </v>
      </c>
      <c r="X19" s="171" t="str">
        <f t="shared" ref="X19:X25" si="24">+IFERROR(W19/U19,"NA ")</f>
        <v xml:space="preserve">NA </v>
      </c>
    </row>
    <row r="20" spans="1:24">
      <c r="A20" s="166"/>
      <c r="C20" s="147" t="s">
        <v>529</v>
      </c>
      <c r="D20" s="168" t="s">
        <v>74</v>
      </c>
      <c r="E20" s="169" t="e" cm="1">
        <f t="array" ref="E20">IF(Thomson=1,_xll.TR($I$3,$C20,"scale=6 Sdate=#1 Period=#2 Curn=#3 NULL=BLANK",,$G$3,E$5,$E$3),E20)</f>
        <v>#NAME?</v>
      </c>
      <c r="F20" s="170">
        <f t="shared" si="10"/>
        <v>21973.533321999854</v>
      </c>
      <c r="G20" s="170" t="str">
        <f t="shared" si="11"/>
        <v xml:space="preserve">NA </v>
      </c>
      <c r="H20" s="171" t="str">
        <f t="shared" si="12"/>
        <v xml:space="preserve">NA </v>
      </c>
      <c r="I20" s="169" t="e" cm="1">
        <f t="array" ref="I20">IF(Thomson=1,_xll.TR($I$3,$C20,"scale=6 Sdate=#1 Period=#2 Curn=#3 NULL=BLANK",,$G$3,I$5,$E$3),I20)</f>
        <v>#NAME?</v>
      </c>
      <c r="J20" s="170">
        <f t="shared" si="13"/>
        <v>23739.348120223229</v>
      </c>
      <c r="K20" s="170" t="str">
        <f t="shared" si="14"/>
        <v xml:space="preserve">NA </v>
      </c>
      <c r="L20" s="171" t="str">
        <f t="shared" si="15"/>
        <v xml:space="preserve">NA </v>
      </c>
      <c r="M20" s="169" t="e" cm="1">
        <f t="array" ref="M20">IF(Thomson=1,_xll.TR($I$3,$C20,"scale=6 Sdate=#1 Period=#2 Curn=#3 NULL=BLANK",,$G$3,M$5,$E$3),M20)</f>
        <v>#NAME?</v>
      </c>
      <c r="N20" s="170">
        <f t="shared" si="16"/>
        <v>23739.348120223229</v>
      </c>
      <c r="O20" s="170" t="str">
        <f t="shared" si="17"/>
        <v xml:space="preserve">NA </v>
      </c>
      <c r="P20" s="171" t="str">
        <f t="shared" si="18"/>
        <v xml:space="preserve">NA </v>
      </c>
      <c r="Q20" s="169" t="e" cm="1">
        <f t="array" ref="Q20">IF(Thomson=1,_xll.TR($I$3,$C20,"scale=6 Sdate=#1 Period=#2 Curn=#3 NULL=BLANK",,$G$3,Q$5,$E$3),Q20)</f>
        <v>#NAME?</v>
      </c>
      <c r="R20" s="170">
        <f t="shared" si="19"/>
        <v>0</v>
      </c>
      <c r="S20" s="170" t="str">
        <f t="shared" si="20"/>
        <v xml:space="preserve">NA </v>
      </c>
      <c r="T20" s="171" t="str">
        <f t="shared" si="21"/>
        <v xml:space="preserve">NA </v>
      </c>
      <c r="U20" s="169" t="e" cm="1">
        <f t="array" ref="U20">IF(Thomson=1,_xll.TR($I$3,$C20,"scale=6 Sdate=#1 Period=#2 Curn=#3 NULL=BLANK",,$G$3,U$5,$E$3),U20)</f>
        <v>#NAME?</v>
      </c>
      <c r="V20" s="170">
        <f t="shared" si="22"/>
        <v>0</v>
      </c>
      <c r="W20" s="170" t="str">
        <f t="shared" si="23"/>
        <v xml:space="preserve">NA </v>
      </c>
      <c r="X20" s="171" t="str">
        <f t="shared" si="24"/>
        <v xml:space="preserve">NA </v>
      </c>
    </row>
    <row r="21" spans="1:24" hidden="1" outlineLevel="1">
      <c r="A21" s="166"/>
      <c r="C21" s="147" t="s">
        <v>530</v>
      </c>
      <c r="D21" s="168" t="s">
        <v>518</v>
      </c>
      <c r="E21" s="169" t="e" cm="1">
        <f t="array" ref="E21">IF(Thomson=1,_xll.TR($I$3,$C21,"scale=6 Sdate=#1 Period=#2 Curn=#3 NULL=BLANK",,$G$3,E$5,$E$3),E21)</f>
        <v>#NAME?</v>
      </c>
      <c r="F21" s="170">
        <f t="shared" si="10"/>
        <v>0</v>
      </c>
      <c r="G21" s="170" t="str">
        <f t="shared" si="11"/>
        <v xml:space="preserve">NA </v>
      </c>
      <c r="H21" s="171" t="str">
        <f t="shared" si="12"/>
        <v xml:space="preserve">NA </v>
      </c>
      <c r="I21" s="169" t="e" cm="1">
        <f t="array" ref="I21">IF(Thomson=1,_xll.TR($I$3,$C21,"scale=6 Sdate=#1 Period=#2 Curn=#3 NULL=BLANK",,$G$3,I$5,$E$3),I21)</f>
        <v>#NAME?</v>
      </c>
      <c r="J21" s="170">
        <f t="shared" si="13"/>
        <v>0</v>
      </c>
      <c r="K21" s="170" t="str">
        <f t="shared" si="14"/>
        <v xml:space="preserve">NA </v>
      </c>
      <c r="L21" s="171" t="str">
        <f t="shared" si="15"/>
        <v xml:space="preserve">NA </v>
      </c>
      <c r="M21" s="169" t="e" cm="1">
        <f t="array" ref="M21">IF(Thomson=1,_xll.TR($I$3,$C21,"scale=6 Sdate=#1 Period=#2 Curn=#3 NULL=BLANK",,$G$3,M$5,$E$3),M21)</f>
        <v>#NAME?</v>
      </c>
      <c r="N21" s="170">
        <f t="shared" si="16"/>
        <v>0</v>
      </c>
      <c r="O21" s="170" t="str">
        <f t="shared" si="17"/>
        <v xml:space="preserve">NA </v>
      </c>
      <c r="P21" s="171" t="str">
        <f t="shared" si="18"/>
        <v xml:space="preserve">NA </v>
      </c>
      <c r="Q21" s="169" t="e" cm="1">
        <f t="array" ref="Q21">IF(Thomson=1,_xll.TR($I$3,$C21,"scale=6 Sdate=#1 Period=#2 Curn=#3 NULL=BLANK",,$G$3,Q$5,$E$3),Q21)</f>
        <v>#NAME?</v>
      </c>
      <c r="R21" s="170">
        <f t="shared" si="19"/>
        <v>0</v>
      </c>
      <c r="S21" s="170" t="str">
        <f t="shared" si="20"/>
        <v xml:space="preserve">NA </v>
      </c>
      <c r="T21" s="171" t="str">
        <f t="shared" si="21"/>
        <v xml:space="preserve">NA </v>
      </c>
      <c r="U21" s="169" t="e" cm="1">
        <f t="array" ref="U21">IF(Thomson=1,_xll.TR($I$3,$C21,"scale=6 Sdate=#1 Period=#2 Curn=#3 NULL=BLANK",,$G$3,U$5,$E$3),U21)</f>
        <v>#NAME?</v>
      </c>
      <c r="V21" s="170">
        <f t="shared" si="22"/>
        <v>0</v>
      </c>
      <c r="W21" s="170" t="str">
        <f t="shared" si="23"/>
        <v xml:space="preserve">NA </v>
      </c>
      <c r="X21" s="171" t="str">
        <f t="shared" si="24"/>
        <v xml:space="preserve">NA </v>
      </c>
    </row>
    <row r="22" spans="1:24" hidden="1" outlineLevel="1">
      <c r="A22" s="166"/>
      <c r="C22" s="147" t="s">
        <v>531</v>
      </c>
      <c r="D22" s="168" t="s">
        <v>520</v>
      </c>
      <c r="E22" s="169" t="e" cm="1">
        <f t="array" ref="E22">IF(Thomson=1,_xll.TR($I$3,$C22,"scale=6 Sdate=#1 Period=#2 Curn=#3 NULL=BLANK",,$G$3,E$5,$E$3),E22)</f>
        <v>#NAME?</v>
      </c>
      <c r="F22" s="170">
        <f t="shared" si="10"/>
        <v>0</v>
      </c>
      <c r="G22" s="170" t="str">
        <f t="shared" si="11"/>
        <v xml:space="preserve">NA </v>
      </c>
      <c r="H22" s="171" t="str">
        <f t="shared" si="12"/>
        <v xml:space="preserve">NA </v>
      </c>
      <c r="I22" s="169" t="e" cm="1">
        <f t="array" ref="I22">IF(Thomson=1,_xll.TR($I$3,$C22,"scale=6 Sdate=#1 Period=#2 Curn=#3 NULL=BLANK",,$G$3,I$5,$E$3),I22)</f>
        <v>#NAME?</v>
      </c>
      <c r="J22" s="170">
        <f t="shared" si="13"/>
        <v>0</v>
      </c>
      <c r="K22" s="170" t="str">
        <f t="shared" si="14"/>
        <v xml:space="preserve">NA </v>
      </c>
      <c r="L22" s="171" t="str">
        <f t="shared" si="15"/>
        <v xml:space="preserve">NA </v>
      </c>
      <c r="M22" s="169" t="e" cm="1">
        <f t="array" ref="M22">IF(Thomson=1,_xll.TR($I$3,$C22,"scale=6 Sdate=#1 Period=#2 Curn=#3 NULL=BLANK",,$G$3,M$5,$E$3),M22)</f>
        <v>#NAME?</v>
      </c>
      <c r="N22" s="170">
        <f t="shared" si="16"/>
        <v>0</v>
      </c>
      <c r="O22" s="170" t="str">
        <f t="shared" si="17"/>
        <v xml:space="preserve">NA </v>
      </c>
      <c r="P22" s="171" t="str">
        <f t="shared" si="18"/>
        <v xml:space="preserve">NA </v>
      </c>
      <c r="Q22" s="169" t="e" cm="1">
        <f t="array" ref="Q22">IF(Thomson=1,_xll.TR($I$3,$C22,"scale=6 Sdate=#1 Period=#2 Curn=#3 NULL=BLANK",,$G$3,Q$5,$E$3),Q22)</f>
        <v>#NAME?</v>
      </c>
      <c r="R22" s="170">
        <f t="shared" si="19"/>
        <v>0</v>
      </c>
      <c r="S22" s="170" t="str">
        <f t="shared" si="20"/>
        <v xml:space="preserve">NA </v>
      </c>
      <c r="T22" s="171" t="str">
        <f t="shared" si="21"/>
        <v xml:space="preserve">NA </v>
      </c>
      <c r="U22" s="169" t="e" cm="1">
        <f t="array" ref="U22">IF(Thomson=1,_xll.TR($I$3,$C22,"scale=6 Sdate=#1 Period=#2 Curn=#3 NULL=BLANK",,$G$3,U$5,$E$3),U22)</f>
        <v>#NAME?</v>
      </c>
      <c r="V22" s="170">
        <f t="shared" si="22"/>
        <v>0</v>
      </c>
      <c r="W22" s="170" t="str">
        <f t="shared" si="23"/>
        <v xml:space="preserve">NA </v>
      </c>
      <c r="X22" s="171" t="str">
        <f t="shared" si="24"/>
        <v xml:space="preserve">NA </v>
      </c>
    </row>
    <row r="23" spans="1:24" hidden="1" outlineLevel="1">
      <c r="A23" s="166"/>
      <c r="C23" s="147" t="s">
        <v>532</v>
      </c>
      <c r="D23" s="168" t="s">
        <v>522</v>
      </c>
      <c r="E23" s="172" t="e" cm="1">
        <f t="array" ref="E23">IF(Thomson=1,_xll.TR($I$3,$C23,"scale=6 Sdate=#1 Period=#2 Curn=#3 NULL=BLANK",,$G$3,E$5,$E$3),E23)</f>
        <v>#NAME?</v>
      </c>
      <c r="F23" s="170">
        <f t="shared" si="10"/>
        <v>0</v>
      </c>
      <c r="G23" s="170" t="str">
        <f t="shared" si="11"/>
        <v xml:space="preserve">NA </v>
      </c>
      <c r="H23" s="171" t="str">
        <f t="shared" si="12"/>
        <v xml:space="preserve">NA </v>
      </c>
      <c r="I23" s="172" t="e" cm="1">
        <f t="array" ref="I23">IF(Thomson=1,_xll.TR($I$3,$C23,"scale=6 Sdate=#1 Period=#2 Curn=#3 NULL=BLANK",,$G$3,I$5,$E$3),I23)</f>
        <v>#NAME?</v>
      </c>
      <c r="J23" s="170">
        <f t="shared" si="13"/>
        <v>0</v>
      </c>
      <c r="K23" s="170" t="str">
        <f t="shared" si="14"/>
        <v xml:space="preserve">NA </v>
      </c>
      <c r="L23" s="171" t="str">
        <f t="shared" si="15"/>
        <v xml:space="preserve">NA </v>
      </c>
      <c r="M23" s="172" t="e" cm="1">
        <f t="array" ref="M23">IF(Thomson=1,_xll.TR($I$3,$C23,"scale=6 Sdate=#1 Period=#2 Curn=#3 NULL=BLANK",,$G$3,M$5,$E$3),M23)</f>
        <v>#NAME?</v>
      </c>
      <c r="N23" s="170">
        <f t="shared" si="16"/>
        <v>0</v>
      </c>
      <c r="O23" s="170" t="str">
        <f t="shared" si="17"/>
        <v xml:space="preserve">NA </v>
      </c>
      <c r="P23" s="171" t="str">
        <f t="shared" si="18"/>
        <v xml:space="preserve">NA </v>
      </c>
      <c r="Q23" s="172" t="e" cm="1">
        <f t="array" ref="Q23">IF(Thomson=1,_xll.TR($I$3,$C23,"scale=6 Sdate=#1 Period=#2 Curn=#3 NULL=BLANK",,$G$3,Q$5,$E$3),Q23)</f>
        <v>#NAME?</v>
      </c>
      <c r="R23" s="170">
        <f t="shared" si="19"/>
        <v>0</v>
      </c>
      <c r="S23" s="170" t="str">
        <f t="shared" si="20"/>
        <v xml:space="preserve">NA </v>
      </c>
      <c r="T23" s="171" t="str">
        <f t="shared" si="21"/>
        <v xml:space="preserve">NA </v>
      </c>
      <c r="U23" s="172" t="e" cm="1">
        <f t="array" ref="U23">IF(Thomson=1,_xll.TR($I$3,$C23,"scale=6 Sdate=#1 Period=#2 Curn=#3 NULL=BLANK",,$G$3,U$5,$E$3),U23)</f>
        <v>#NAME?</v>
      </c>
      <c r="V23" s="170">
        <f t="shared" si="22"/>
        <v>0</v>
      </c>
      <c r="W23" s="170" t="str">
        <f t="shared" si="23"/>
        <v xml:space="preserve">NA </v>
      </c>
      <c r="X23" s="171" t="str">
        <f t="shared" si="24"/>
        <v xml:space="preserve">NA </v>
      </c>
    </row>
    <row r="24" spans="1:24" collapsed="1">
      <c r="A24" s="166"/>
      <c r="C24" s="147" t="s">
        <v>533</v>
      </c>
      <c r="D24" s="168" t="s">
        <v>524</v>
      </c>
      <c r="E24" s="169" t="e" cm="1">
        <f t="array" ref="E24">IF(Thomson=1,_xll.TR($I$3,$C24,"scale=6 Sdate=#1 Period=#2 Curn=#3 NULL=BLANK",,$G$3,E$5,$E$3),E24)</f>
        <v>#NAME?</v>
      </c>
      <c r="F24" s="170">
        <f t="shared" ca="1" si="10"/>
        <v>-5615.778810748081</v>
      </c>
      <c r="G24" s="170" t="str">
        <f t="shared" ca="1" si="11"/>
        <v xml:space="preserve">NA </v>
      </c>
      <c r="H24" s="171" t="str">
        <f t="shared" ca="1" si="12"/>
        <v xml:space="preserve">NA </v>
      </c>
      <c r="I24" s="169" t="e" cm="1">
        <f t="array" ref="I24">IF(Thomson=1,_xll.TR($I$3,$C24,"scale=6 Sdate=#1 Period=#2 Curn=#3 NULL=BLANK",,$G$3,I$5,$E$3),I24)</f>
        <v>#NAME?</v>
      </c>
      <c r="J24" s="170">
        <f t="shared" ca="1" si="13"/>
        <v>-1145.3194986247036</v>
      </c>
      <c r="K24" s="170" t="str">
        <f t="shared" ca="1" si="14"/>
        <v xml:space="preserve">NA </v>
      </c>
      <c r="L24" s="171" t="str">
        <f t="shared" ca="1" si="15"/>
        <v xml:space="preserve">NA </v>
      </c>
      <c r="M24" s="169" t="e" cm="1">
        <f t="array" ref="M24">IF(Thomson=1,_xll.TR($I$3,$C24,"scale=6 Sdate=#1 Period=#2 Curn=#3 NULL=BLANK",,$G$3,M$5,$E$3),M24)</f>
        <v>#NAME?</v>
      </c>
      <c r="N24" s="170">
        <f t="shared" ca="1" si="16"/>
        <v>3685.1587294613491</v>
      </c>
      <c r="O24" s="170" t="str">
        <f t="shared" ca="1" si="17"/>
        <v xml:space="preserve">NA </v>
      </c>
      <c r="P24" s="171" t="str">
        <f t="shared" ca="1" si="18"/>
        <v xml:space="preserve">NA </v>
      </c>
      <c r="Q24" s="169" t="e" cm="1">
        <f t="array" ref="Q24">IF(Thomson=1,_xll.TR($I$3,$C24,"scale=6 Sdate=#1 Period=#2 Curn=#3 NULL=BLANK",,$G$3,Q$5,$E$3),Q24)</f>
        <v>#NAME?</v>
      </c>
      <c r="R24" s="170">
        <f t="shared" si="19"/>
        <v>0</v>
      </c>
      <c r="S24" s="170" t="str">
        <f t="shared" si="20"/>
        <v xml:space="preserve">NA </v>
      </c>
      <c r="T24" s="171" t="str">
        <f t="shared" si="21"/>
        <v xml:space="preserve">NA </v>
      </c>
      <c r="U24" s="169" t="e" cm="1">
        <f t="array" ref="U24">IF(Thomson=1,_xll.TR($I$3,$C24,"scale=6 Sdate=#1 Period=#2 Curn=#3 NULL=BLANK",,$G$3,U$5,$E$3),U24)</f>
        <v>#NAME?</v>
      </c>
      <c r="V24" s="170">
        <f t="shared" si="22"/>
        <v>0</v>
      </c>
      <c r="W24" s="170" t="str">
        <f t="shared" si="23"/>
        <v xml:space="preserve">NA </v>
      </c>
      <c r="X24" s="171" t="str">
        <f t="shared" si="24"/>
        <v xml:space="preserve">NA </v>
      </c>
    </row>
    <row r="25" spans="1:24">
      <c r="A25" s="166"/>
      <c r="C25" s="147" t="s">
        <v>534</v>
      </c>
      <c r="D25" s="168" t="s">
        <v>526</v>
      </c>
      <c r="E25" s="169" t="e" cm="1">
        <f t="array" ref="E25">IF(Thomson=1,_xll.TR($I$3,$C25,"scale=6 Sdate=#1 Period=#2 Curn=#3 NULL=BLANK",,$G$3,E$5,$E$3),E25)</f>
        <v>#NAME?</v>
      </c>
      <c r="F25" s="170">
        <f t="shared" si="10"/>
        <v>0</v>
      </c>
      <c r="G25" s="170" t="str">
        <f>+IFERROR(F25-E25,"NA ")</f>
        <v xml:space="preserve">NA </v>
      </c>
      <c r="H25" s="171" t="str">
        <f t="shared" si="12"/>
        <v xml:space="preserve">NA </v>
      </c>
      <c r="I25" s="169" t="e" cm="1">
        <f t="array" ref="I25">IF(Thomson=1,_xll.TR($I$3,$C25,"scale=6 Sdate=#1 Period=#2 Curn=#3 NULL=BLANK",,$G$3,I$5,$E$3),I25)</f>
        <v>#NAME?</v>
      </c>
      <c r="J25" s="170">
        <f t="shared" si="13"/>
        <v>0</v>
      </c>
      <c r="K25" s="170" t="str">
        <f>+IFERROR(J25-I25,"NA ")</f>
        <v xml:space="preserve">NA </v>
      </c>
      <c r="L25" s="171" t="str">
        <f t="shared" si="15"/>
        <v xml:space="preserve">NA </v>
      </c>
      <c r="M25" s="169" t="e" cm="1">
        <f t="array" ref="M25">IF(Thomson=1,_xll.TR($I$3,$C25,"scale=6 Sdate=#1 Period=#2 Curn=#3 NULL=BLANK",,$G$3,M$5,$E$3),M25)</f>
        <v>#NAME?</v>
      </c>
      <c r="N25" s="170">
        <f t="shared" si="16"/>
        <v>0</v>
      </c>
      <c r="O25" s="170" t="str">
        <f>+IFERROR(N25-M25,"NA ")</f>
        <v xml:space="preserve">NA </v>
      </c>
      <c r="P25" s="171" t="str">
        <f t="shared" si="18"/>
        <v xml:space="preserve">NA </v>
      </c>
      <c r="Q25" s="169" t="e" cm="1">
        <f t="array" ref="Q25">IF(Thomson=1,_xll.TR($I$3,$C25,"scale=6 Sdate=#1 Period=#2 Curn=#3 NULL=BLANK",,$G$3,Q$5,$E$3),Q25)</f>
        <v>#NAME?</v>
      </c>
      <c r="R25" s="170">
        <f t="shared" si="19"/>
        <v>0</v>
      </c>
      <c r="S25" s="170" t="str">
        <f t="shared" si="20"/>
        <v xml:space="preserve">NA </v>
      </c>
      <c r="T25" s="171" t="str">
        <f t="shared" si="21"/>
        <v xml:space="preserve">NA </v>
      </c>
      <c r="U25" s="169" t="e" cm="1">
        <f t="array" ref="U25">IF(Thomson=1,_xll.TR($I$3,$C25,"scale=6 Sdate=#1 Period=#2 Curn=#3 NULL=BLANK",,$G$3,U$5,$E$3),U25)</f>
        <v>#NAME?</v>
      </c>
      <c r="V25" s="170">
        <f t="shared" si="22"/>
        <v>0</v>
      </c>
      <c r="W25" s="170" t="str">
        <f t="shared" si="23"/>
        <v xml:space="preserve">NA </v>
      </c>
      <c r="X25" s="171" t="str">
        <f t="shared" si="24"/>
        <v xml:space="preserve">NA </v>
      </c>
    </row>
    <row r="26" spans="1:24">
      <c r="A26" s="175"/>
      <c r="B26" s="176"/>
      <c r="C26" s="177"/>
      <c r="D26" s="178"/>
      <c r="E26" s="169"/>
      <c r="F26" s="169"/>
      <c r="G26" s="169"/>
      <c r="H26" s="169"/>
      <c r="I26" s="169"/>
      <c r="J26" s="169"/>
      <c r="K26" s="169"/>
      <c r="L26" s="169"/>
      <c r="M26" s="169"/>
      <c r="N26" s="169"/>
      <c r="O26" s="169"/>
      <c r="P26" s="169"/>
      <c r="Q26" s="169"/>
      <c r="R26" s="169"/>
      <c r="S26" s="169"/>
      <c r="T26" s="169"/>
      <c r="U26" s="169"/>
      <c r="V26" s="169"/>
      <c r="W26" s="169"/>
      <c r="X26" s="169"/>
    </row>
    <row r="27" spans="1:24">
      <c r="D27" s="146" t="s">
        <v>535</v>
      </c>
      <c r="E27" s="165"/>
      <c r="F27" s="165"/>
      <c r="I27" s="165"/>
      <c r="J27" s="165"/>
      <c r="M27" s="165"/>
      <c r="N27" s="165"/>
      <c r="Q27" s="165"/>
      <c r="R27" s="165"/>
      <c r="U27" s="165"/>
      <c r="V27" s="165"/>
    </row>
    <row r="28" spans="1:24">
      <c r="A28" s="166"/>
      <c r="C28" s="167" t="s">
        <v>536</v>
      </c>
      <c r="D28" s="168" t="s">
        <v>14</v>
      </c>
      <c r="E28" s="169" t="e" cm="1">
        <f t="array" ref="E28">IF(Thomson=1,_xll.TR($I$3,$C28,"scale=6 Sdate=#1 Period=#2 Curn=#3 NULL=BLANK",,$G$3,E$5,$E$3),E28)</f>
        <v>#NAME?</v>
      </c>
      <c r="F28" s="170">
        <f t="shared" ref="F28:F34" si="25">+F19</f>
        <v>69628.249999999985</v>
      </c>
      <c r="G28" s="170" t="str">
        <f t="shared" ref="G28:G34" si="26">+IFERROR(F28-E28,"NA ")</f>
        <v xml:space="preserve">NA </v>
      </c>
      <c r="H28" s="171" t="str">
        <f t="shared" ref="H28:H34" si="27">+IFERROR(G28/E28,"NA ")</f>
        <v xml:space="preserve">NA </v>
      </c>
      <c r="I28" s="169" t="e" cm="1">
        <f t="array" ref="I28">IF(Thomson=1,_xll.TR($I$3,$C28,"scale=6 Sdate=#1 Period=#2 Curn=#3 NULL=BLANK",,$G$3,I$5,$E$3),I28)</f>
        <v>#NAME?</v>
      </c>
      <c r="J28" s="170">
        <f t="shared" ref="J28:J34" si="28">+J19</f>
        <v>65685.492125000004</v>
      </c>
      <c r="K28" s="170" t="str">
        <f t="shared" ref="K28:K34" si="29">+IFERROR(J28-I28,"NA ")</f>
        <v xml:space="preserve">NA </v>
      </c>
      <c r="L28" s="171" t="str">
        <f t="shared" ref="L28:L34" si="30">+IFERROR(K28/I28,"NA ")</f>
        <v xml:space="preserve">NA </v>
      </c>
      <c r="M28" s="169" t="e" cm="1">
        <f t="array" ref="M28">IF(Thomson=1,_xll.TR($I$3,$C28,"scale=6 Sdate=#1 Period=#2 Curn=#3 NULL=BLANK",,$G$3,M$5,$E$3),M28)</f>
        <v>#NAME?</v>
      </c>
      <c r="N28" s="170">
        <f t="shared" ref="N28:N34" si="31">+N19</f>
        <v>67977.672826250011</v>
      </c>
      <c r="O28" s="170" t="str">
        <f t="shared" ref="O28:O34" si="32">+IFERROR(N28-M28,"NA ")</f>
        <v xml:space="preserve">NA </v>
      </c>
      <c r="P28" s="171" t="str">
        <f t="shared" ref="P28:P34" si="33">+IFERROR(O28/M28,"NA ")</f>
        <v xml:space="preserve">NA </v>
      </c>
      <c r="Q28" s="169" t="e" cm="1">
        <f t="array" ref="Q28">IF(Thomson=1,_xll.TR($I$3,$C28,"scale=6 Sdate=#1 Period=#2 Curn=#3 NULL=BLANK",,$G$3,Q$5,$E$3),Q28)</f>
        <v>#NAME?</v>
      </c>
      <c r="R28" s="170">
        <f t="shared" ref="R28:R34" si="34">+R19</f>
        <v>0</v>
      </c>
      <c r="S28" s="170" t="str">
        <f t="shared" ref="S28:S34" si="35">+IFERROR(R28-Q28,"NA ")</f>
        <v xml:space="preserve">NA </v>
      </c>
      <c r="T28" s="171" t="str">
        <f t="shared" ref="T28:T34" si="36">+IFERROR(S28/Q28,"NA ")</f>
        <v xml:space="preserve">NA </v>
      </c>
      <c r="U28" s="169" t="e" cm="1">
        <f t="array" ref="U28">IF(Thomson=1,_xll.TR($I$3,$C28,"scale=6 Sdate=#1 Period=#2 Curn=#3 NULL=BLANK",,$G$3,U$5,$E$3),U28)</f>
        <v>#NAME?</v>
      </c>
      <c r="V28" s="170">
        <f t="shared" ref="V28:V34" si="37">+V19</f>
        <v>0</v>
      </c>
      <c r="W28" s="170" t="str">
        <f t="shared" ref="W28:W34" si="38">+IFERROR(V28-U28,"NA ")</f>
        <v xml:space="preserve">NA </v>
      </c>
      <c r="X28" s="171" t="str">
        <f t="shared" ref="X28:X34" si="39">+IFERROR(W28/U28,"NA ")</f>
        <v xml:space="preserve">NA </v>
      </c>
    </row>
    <row r="29" spans="1:24">
      <c r="A29" s="166"/>
      <c r="C29" s="147" t="s">
        <v>537</v>
      </c>
      <c r="D29" s="168" t="s">
        <v>74</v>
      </c>
      <c r="E29" s="169" t="e" cm="1">
        <f t="array" ref="E29">IF(Thomson=1,_xll.TR($I$3,$C29,"scale=6 Sdate=#1 Period=#2 Curn=#3 NULL=BLANK",,$G$3,E$5,$E$3),E29)</f>
        <v>#NAME?</v>
      </c>
      <c r="F29" s="170">
        <f t="shared" si="25"/>
        <v>21973.533321999854</v>
      </c>
      <c r="G29" s="170" t="str">
        <f t="shared" si="26"/>
        <v xml:space="preserve">NA </v>
      </c>
      <c r="H29" s="171" t="str">
        <f t="shared" si="27"/>
        <v xml:space="preserve">NA </v>
      </c>
      <c r="I29" s="169" t="e" cm="1">
        <f t="array" ref="I29">IF(Thomson=1,_xll.TR($I$3,$C29,"scale=6 Sdate=#1 Period=#2 Curn=#3 NULL=BLANK",,$G$3,I$5,$E$3),I29)</f>
        <v>#NAME?</v>
      </c>
      <c r="J29" s="170">
        <f t="shared" si="28"/>
        <v>23739.348120223229</v>
      </c>
      <c r="K29" s="170" t="str">
        <f t="shared" si="29"/>
        <v xml:space="preserve">NA </v>
      </c>
      <c r="L29" s="171" t="str">
        <f t="shared" si="30"/>
        <v xml:space="preserve">NA </v>
      </c>
      <c r="M29" s="169" t="e" cm="1">
        <f t="array" ref="M29">IF(Thomson=1,_xll.TR($I$3,$C29,"scale=6 Sdate=#1 Period=#2 Curn=#3 NULL=BLANK",,$G$3,M$5,$E$3),M29)</f>
        <v>#NAME?</v>
      </c>
      <c r="N29" s="170">
        <f t="shared" si="31"/>
        <v>23739.348120223229</v>
      </c>
      <c r="O29" s="170" t="str">
        <f t="shared" si="32"/>
        <v xml:space="preserve">NA </v>
      </c>
      <c r="P29" s="171" t="str">
        <f t="shared" si="33"/>
        <v xml:space="preserve">NA </v>
      </c>
      <c r="Q29" s="169" t="e" cm="1">
        <f t="array" ref="Q29">IF(Thomson=1,_xll.TR($I$3,$C29,"scale=6 Sdate=#1 Period=#2 Curn=#3 NULL=BLANK",,$G$3,Q$5,$E$3),Q29)</f>
        <v>#NAME?</v>
      </c>
      <c r="R29" s="170">
        <f t="shared" si="34"/>
        <v>0</v>
      </c>
      <c r="S29" s="170" t="str">
        <f t="shared" si="35"/>
        <v xml:space="preserve">NA </v>
      </c>
      <c r="T29" s="171" t="str">
        <f t="shared" si="36"/>
        <v xml:space="preserve">NA </v>
      </c>
      <c r="U29" s="169" t="e" cm="1">
        <f t="array" ref="U29">IF(Thomson=1,_xll.TR($I$3,$C29,"scale=6 Sdate=#1 Period=#2 Curn=#3 NULL=BLANK",,$G$3,U$5,$E$3),U29)</f>
        <v>#NAME?</v>
      </c>
      <c r="V29" s="170">
        <f t="shared" si="37"/>
        <v>0</v>
      </c>
      <c r="W29" s="170" t="str">
        <f t="shared" si="38"/>
        <v xml:space="preserve">NA </v>
      </c>
      <c r="X29" s="171" t="str">
        <f t="shared" si="39"/>
        <v xml:space="preserve">NA </v>
      </c>
    </row>
    <row r="30" spans="1:24" hidden="1" outlineLevel="1">
      <c r="A30" s="166"/>
      <c r="C30" s="147" t="s">
        <v>538</v>
      </c>
      <c r="D30" s="168" t="s">
        <v>518</v>
      </c>
      <c r="E30" s="169" t="e" cm="1">
        <f t="array" ref="E30">IF(Thomson=1,_xll.TR($I$3,$C30,"scale=6 Sdate=#1 Period=#2 Curn=#3 NULL=BLANK",,$G$3,E$5,$E$3),E30)</f>
        <v>#NAME?</v>
      </c>
      <c r="F30" s="170">
        <f t="shared" si="25"/>
        <v>0</v>
      </c>
      <c r="G30" s="170" t="str">
        <f t="shared" si="26"/>
        <v xml:space="preserve">NA </v>
      </c>
      <c r="H30" s="171" t="str">
        <f t="shared" si="27"/>
        <v xml:space="preserve">NA </v>
      </c>
      <c r="I30" s="169" t="e" cm="1">
        <f t="array" ref="I30">IF(Thomson=1,_xll.TR($I$3,$C30,"scale=6 Sdate=#1 Period=#2 Curn=#3 NULL=BLANK",,$G$3,I$5,$E$3),I30)</f>
        <v>#NAME?</v>
      </c>
      <c r="J30" s="170">
        <f t="shared" si="28"/>
        <v>0</v>
      </c>
      <c r="K30" s="170" t="str">
        <f t="shared" si="29"/>
        <v xml:space="preserve">NA </v>
      </c>
      <c r="L30" s="171" t="str">
        <f t="shared" si="30"/>
        <v xml:space="preserve">NA </v>
      </c>
      <c r="M30" s="169" t="e" cm="1">
        <f t="array" ref="M30">IF(Thomson=1,_xll.TR($I$3,$C30,"scale=6 Sdate=#1 Period=#2 Curn=#3 NULL=BLANK",,$G$3,M$5,$E$3),M30)</f>
        <v>#NAME?</v>
      </c>
      <c r="N30" s="170">
        <f t="shared" si="31"/>
        <v>0</v>
      </c>
      <c r="O30" s="170" t="str">
        <f t="shared" si="32"/>
        <v xml:space="preserve">NA </v>
      </c>
      <c r="P30" s="171" t="str">
        <f t="shared" si="33"/>
        <v xml:space="preserve">NA </v>
      </c>
      <c r="Q30" s="169" t="e" cm="1">
        <f t="array" ref="Q30">IF(Thomson=1,_xll.TR($I$3,$C30,"scale=6 Sdate=#1 Period=#2 Curn=#3 NULL=BLANK",,$G$3,Q$5,$E$3),Q30)</f>
        <v>#NAME?</v>
      </c>
      <c r="R30" s="170">
        <f t="shared" si="34"/>
        <v>0</v>
      </c>
      <c r="S30" s="170" t="str">
        <f t="shared" si="35"/>
        <v xml:space="preserve">NA </v>
      </c>
      <c r="T30" s="171" t="str">
        <f t="shared" si="36"/>
        <v xml:space="preserve">NA </v>
      </c>
      <c r="U30" s="169" t="e" cm="1">
        <f t="array" ref="U30">IF(Thomson=1,_xll.TR($I$3,$C30,"scale=6 Sdate=#1 Period=#2 Curn=#3 NULL=BLANK",,$G$3,U$5,$E$3),U30)</f>
        <v>#NAME?</v>
      </c>
      <c r="V30" s="170">
        <f t="shared" si="37"/>
        <v>0</v>
      </c>
      <c r="W30" s="170" t="str">
        <f t="shared" si="38"/>
        <v xml:space="preserve">NA </v>
      </c>
      <c r="X30" s="171" t="str">
        <f t="shared" si="39"/>
        <v xml:space="preserve">NA </v>
      </c>
    </row>
    <row r="31" spans="1:24" hidden="1" outlineLevel="1">
      <c r="A31" s="166"/>
      <c r="C31" s="147" t="s">
        <v>539</v>
      </c>
      <c r="D31" s="168" t="s">
        <v>520</v>
      </c>
      <c r="E31" s="169" t="e" cm="1">
        <f t="array" ref="E31">IF(Thomson=1,_xll.TR($I$3,$C31,"scale=6 Sdate=#1 Period=#2 Curn=#3 NULL=BLANK",,$G$3,E$5,$E$3),E31)</f>
        <v>#NAME?</v>
      </c>
      <c r="F31" s="170">
        <f t="shared" si="25"/>
        <v>0</v>
      </c>
      <c r="G31" s="170" t="str">
        <f t="shared" si="26"/>
        <v xml:space="preserve">NA </v>
      </c>
      <c r="H31" s="171" t="str">
        <f t="shared" si="27"/>
        <v xml:space="preserve">NA </v>
      </c>
      <c r="I31" s="169" t="e" cm="1">
        <f t="array" ref="I31">IF(Thomson=1,_xll.TR($I$3,$C31,"scale=6 Sdate=#1 Period=#2 Curn=#3 NULL=BLANK",,$G$3,I$5,$E$3),I31)</f>
        <v>#NAME?</v>
      </c>
      <c r="J31" s="170">
        <f t="shared" si="28"/>
        <v>0</v>
      </c>
      <c r="K31" s="170" t="str">
        <f t="shared" si="29"/>
        <v xml:space="preserve">NA </v>
      </c>
      <c r="L31" s="171" t="str">
        <f t="shared" si="30"/>
        <v xml:space="preserve">NA </v>
      </c>
      <c r="M31" s="169" t="e" cm="1">
        <f t="array" ref="M31">IF(Thomson=1,_xll.TR($I$3,$C31,"scale=6 Sdate=#1 Period=#2 Curn=#3 NULL=BLANK",,$G$3,M$5,$E$3),M31)</f>
        <v>#NAME?</v>
      </c>
      <c r="N31" s="170">
        <f t="shared" si="31"/>
        <v>0</v>
      </c>
      <c r="O31" s="170" t="str">
        <f t="shared" si="32"/>
        <v xml:space="preserve">NA </v>
      </c>
      <c r="P31" s="171" t="str">
        <f t="shared" si="33"/>
        <v xml:space="preserve">NA </v>
      </c>
      <c r="Q31" s="169" t="e" cm="1">
        <f t="array" ref="Q31">IF(Thomson=1,_xll.TR($I$3,$C31,"scale=6 Sdate=#1 Period=#2 Curn=#3 NULL=BLANK",,$G$3,Q$5,$E$3),Q31)</f>
        <v>#NAME?</v>
      </c>
      <c r="R31" s="170">
        <f t="shared" si="34"/>
        <v>0</v>
      </c>
      <c r="S31" s="170" t="str">
        <f t="shared" si="35"/>
        <v xml:space="preserve">NA </v>
      </c>
      <c r="T31" s="171" t="str">
        <f t="shared" si="36"/>
        <v xml:space="preserve">NA </v>
      </c>
      <c r="U31" s="169" t="e" cm="1">
        <f t="array" ref="U31">IF(Thomson=1,_xll.TR($I$3,$C31,"scale=6 Sdate=#1 Period=#2 Curn=#3 NULL=BLANK",,$G$3,U$5,$E$3),U31)</f>
        <v>#NAME?</v>
      </c>
      <c r="V31" s="170">
        <f t="shared" si="37"/>
        <v>0</v>
      </c>
      <c r="W31" s="170" t="str">
        <f t="shared" si="38"/>
        <v xml:space="preserve">NA </v>
      </c>
      <c r="X31" s="171" t="str">
        <f t="shared" si="39"/>
        <v xml:space="preserve">NA </v>
      </c>
    </row>
    <row r="32" spans="1:24" hidden="1" outlineLevel="1">
      <c r="A32" s="166"/>
      <c r="C32" s="147" t="s">
        <v>540</v>
      </c>
      <c r="D32" s="168" t="s">
        <v>522</v>
      </c>
      <c r="E32" s="172" t="e" cm="1">
        <f t="array" ref="E32">IF(Thomson=1,_xll.TR($I$3,$C32,"scale=6 Sdate=#1 Period=#2 Curn=#3 NULL=BLANK",,$G$3,E$5,$E$3),E32)</f>
        <v>#NAME?</v>
      </c>
      <c r="F32" s="170">
        <f t="shared" si="25"/>
        <v>0</v>
      </c>
      <c r="G32" s="170" t="str">
        <f t="shared" si="26"/>
        <v xml:space="preserve">NA </v>
      </c>
      <c r="H32" s="171" t="str">
        <f t="shared" si="27"/>
        <v xml:space="preserve">NA </v>
      </c>
      <c r="I32" s="172" t="e" cm="1">
        <f t="array" ref="I32">IF(Thomson=1,_xll.TR($I$3,$C32,"scale=6 Sdate=#1 Period=#2 Curn=#3 NULL=BLANK",,$G$3,I$5,$E$3),I32)</f>
        <v>#NAME?</v>
      </c>
      <c r="J32" s="170">
        <f t="shared" si="28"/>
        <v>0</v>
      </c>
      <c r="K32" s="170" t="str">
        <f t="shared" si="29"/>
        <v xml:space="preserve">NA </v>
      </c>
      <c r="L32" s="171" t="str">
        <f t="shared" si="30"/>
        <v xml:space="preserve">NA </v>
      </c>
      <c r="M32" s="172" t="e" cm="1">
        <f t="array" ref="M32">IF(Thomson=1,_xll.TR($I$3,$C32,"scale=6 Sdate=#1 Period=#2 Curn=#3 NULL=BLANK",,$G$3,M$5,$E$3),M32)</f>
        <v>#NAME?</v>
      </c>
      <c r="N32" s="170">
        <f t="shared" si="31"/>
        <v>0</v>
      </c>
      <c r="O32" s="170" t="str">
        <f t="shared" si="32"/>
        <v xml:space="preserve">NA </v>
      </c>
      <c r="P32" s="171" t="str">
        <f t="shared" si="33"/>
        <v xml:space="preserve">NA </v>
      </c>
      <c r="Q32" s="172" t="e" cm="1">
        <f t="array" ref="Q32">IF(Thomson=1,_xll.TR($I$3,$C32,"scale=6 Sdate=#1 Period=#2 Curn=#3 NULL=BLANK",,$G$3,Q$5,$E$3),Q32)</f>
        <v>#NAME?</v>
      </c>
      <c r="R32" s="170">
        <f t="shared" si="34"/>
        <v>0</v>
      </c>
      <c r="S32" s="170" t="str">
        <f t="shared" si="35"/>
        <v xml:space="preserve">NA </v>
      </c>
      <c r="T32" s="171" t="str">
        <f t="shared" si="36"/>
        <v xml:space="preserve">NA </v>
      </c>
      <c r="U32" s="172" t="e" cm="1">
        <f t="array" ref="U32">IF(Thomson=1,_xll.TR($I$3,$C32,"scale=6 Sdate=#1 Period=#2 Curn=#3 NULL=BLANK",,$G$3,U$5,$E$3),U32)</f>
        <v>#NAME?</v>
      </c>
      <c r="V32" s="170">
        <f t="shared" si="37"/>
        <v>0</v>
      </c>
      <c r="W32" s="170" t="str">
        <f t="shared" si="38"/>
        <v xml:space="preserve">NA </v>
      </c>
      <c r="X32" s="171" t="str">
        <f t="shared" si="39"/>
        <v xml:space="preserve">NA </v>
      </c>
    </row>
    <row r="33" spans="1:24" collapsed="1">
      <c r="A33" s="166"/>
      <c r="C33" s="147" t="s">
        <v>541</v>
      </c>
      <c r="D33" s="168" t="s">
        <v>524</v>
      </c>
      <c r="E33" s="169" t="e" cm="1">
        <f t="array" ref="E33">IF(Thomson=1,_xll.TR($I$3,$C33,"scale=6 Sdate=#1 Period=#2 Curn=#3 NULL=BLANK",,$G$3,E$5,$E$3),E33)</f>
        <v>#NAME?</v>
      </c>
      <c r="F33" s="170">
        <f t="shared" ca="1" si="25"/>
        <v>-5615.778810748081</v>
      </c>
      <c r="G33" s="170" t="str">
        <f t="shared" ca="1" si="26"/>
        <v xml:space="preserve">NA </v>
      </c>
      <c r="H33" s="171" t="str">
        <f t="shared" ca="1" si="27"/>
        <v xml:space="preserve">NA </v>
      </c>
      <c r="I33" s="169" t="e" cm="1">
        <f t="array" ref="I33">IF(Thomson=1,_xll.TR($I$3,$C33,"scale=6 Sdate=#1 Period=#2 Curn=#3 NULL=BLANK",,$G$3,I$5,$E$3),I33)</f>
        <v>#NAME?</v>
      </c>
      <c r="J33" s="170">
        <f t="shared" ca="1" si="28"/>
        <v>-1145.3194986247036</v>
      </c>
      <c r="K33" s="170" t="str">
        <f t="shared" ca="1" si="29"/>
        <v xml:space="preserve">NA </v>
      </c>
      <c r="L33" s="171" t="str">
        <f t="shared" ca="1" si="30"/>
        <v xml:space="preserve">NA </v>
      </c>
      <c r="M33" s="169" t="e" cm="1">
        <f t="array" ref="M33">IF(Thomson=1,_xll.TR($I$3,$C33,"scale=6 Sdate=#1 Period=#2 Curn=#3 NULL=BLANK",,$G$3,M$5,$E$3),M33)</f>
        <v>#NAME?</v>
      </c>
      <c r="N33" s="170">
        <f t="shared" ca="1" si="31"/>
        <v>3685.1587294613491</v>
      </c>
      <c r="O33" s="170" t="str">
        <f t="shared" ca="1" si="32"/>
        <v xml:space="preserve">NA </v>
      </c>
      <c r="P33" s="171" t="str">
        <f t="shared" ca="1" si="33"/>
        <v xml:space="preserve">NA </v>
      </c>
      <c r="Q33" s="169" t="e" cm="1">
        <f t="array" ref="Q33">IF(Thomson=1,_xll.TR($I$3,$C33,"scale=6 Sdate=#1 Period=#2 Curn=#3 NULL=BLANK",,$G$3,Q$5,$E$3),Q33)</f>
        <v>#NAME?</v>
      </c>
      <c r="R33" s="170">
        <f t="shared" si="34"/>
        <v>0</v>
      </c>
      <c r="S33" s="170" t="str">
        <f t="shared" si="35"/>
        <v xml:space="preserve">NA </v>
      </c>
      <c r="T33" s="171" t="str">
        <f t="shared" si="36"/>
        <v xml:space="preserve">NA </v>
      </c>
      <c r="U33" s="169" t="e" cm="1">
        <f t="array" ref="U33">IF(Thomson=1,_xll.TR($I$3,$C33,"scale=6 Sdate=#1 Period=#2 Curn=#3 NULL=BLANK",,$G$3,U$5,$E$3),U33)</f>
        <v>#NAME?</v>
      </c>
      <c r="V33" s="170">
        <f t="shared" si="37"/>
        <v>0</v>
      </c>
      <c r="W33" s="170" t="str">
        <f t="shared" si="38"/>
        <v xml:space="preserve">NA </v>
      </c>
      <c r="X33" s="171" t="str">
        <f t="shared" si="39"/>
        <v xml:space="preserve">NA </v>
      </c>
    </row>
    <row r="34" spans="1:24">
      <c r="A34" s="166"/>
      <c r="C34" s="147" t="s">
        <v>542</v>
      </c>
      <c r="D34" s="168" t="s">
        <v>526</v>
      </c>
      <c r="E34" s="169" t="e" cm="1">
        <f t="array" ref="E34">IF(Thomson=1,_xll.TR($I$3,$C34,"scale=6 Sdate=#1 Period=#2 Curn=#3 NULL=BLANK",,$G$3,E$5,$E$3),E34)</f>
        <v>#NAME?</v>
      </c>
      <c r="F34" s="170">
        <f t="shared" si="25"/>
        <v>0</v>
      </c>
      <c r="G34" s="170" t="str">
        <f t="shared" si="26"/>
        <v xml:space="preserve">NA </v>
      </c>
      <c r="H34" s="171" t="str">
        <f t="shared" si="27"/>
        <v xml:space="preserve">NA </v>
      </c>
      <c r="I34" s="169" t="e" cm="1">
        <f t="array" ref="I34">IF(Thomson=1,_xll.TR($I$3,$C34,"scale=6 Sdate=#1 Period=#2 Curn=#3 NULL=BLANK",,$G$3,I$5,$E$3),I34)</f>
        <v>#NAME?</v>
      </c>
      <c r="J34" s="170">
        <f t="shared" si="28"/>
        <v>0</v>
      </c>
      <c r="K34" s="170" t="str">
        <f t="shared" si="29"/>
        <v xml:space="preserve">NA </v>
      </c>
      <c r="L34" s="171" t="str">
        <f t="shared" si="30"/>
        <v xml:space="preserve">NA </v>
      </c>
      <c r="M34" s="169" t="e" cm="1">
        <f t="array" ref="M34">IF(Thomson=1,_xll.TR($I$3,$C34,"scale=6 Sdate=#1 Period=#2 Curn=#3 NULL=BLANK",,$G$3,M$5,$E$3),M34)</f>
        <v>#NAME?</v>
      </c>
      <c r="N34" s="170">
        <f t="shared" si="31"/>
        <v>0</v>
      </c>
      <c r="O34" s="170" t="str">
        <f t="shared" si="32"/>
        <v xml:space="preserve">NA </v>
      </c>
      <c r="P34" s="171" t="str">
        <f t="shared" si="33"/>
        <v xml:space="preserve">NA </v>
      </c>
      <c r="Q34" s="169" t="e" cm="1">
        <f t="array" ref="Q34">IF(Thomson=1,_xll.TR($I$3,$C34,"scale=6 Sdate=#1 Period=#2 Curn=#3 NULL=BLANK",,$G$3,Q$5,$E$3),Q34)</f>
        <v>#NAME?</v>
      </c>
      <c r="R34" s="170">
        <f t="shared" si="34"/>
        <v>0</v>
      </c>
      <c r="S34" s="170" t="str">
        <f t="shared" si="35"/>
        <v xml:space="preserve">NA </v>
      </c>
      <c r="T34" s="171" t="str">
        <f t="shared" si="36"/>
        <v xml:space="preserve">NA </v>
      </c>
      <c r="U34" s="169" t="e" cm="1">
        <f t="array" ref="U34">IF(Thomson=1,_xll.TR($I$3,$C34,"scale=6 Sdate=#1 Period=#2 Curn=#3 NULL=BLANK",,$G$3,U$5,$E$3),U34)</f>
        <v>#NAME?</v>
      </c>
      <c r="V34" s="170">
        <f t="shared" si="37"/>
        <v>0</v>
      </c>
      <c r="W34" s="170" t="str">
        <f t="shared" si="38"/>
        <v xml:space="preserve">NA </v>
      </c>
      <c r="X34" s="171" t="str">
        <f t="shared" si="39"/>
        <v xml:space="preserve">NA </v>
      </c>
    </row>
    <row r="35" spans="1:24">
      <c r="A35"/>
      <c r="B35"/>
      <c r="C35"/>
      <c r="D35"/>
      <c r="E35"/>
      <c r="F35"/>
      <c r="G35"/>
      <c r="H35"/>
      <c r="I35"/>
      <c r="J35"/>
      <c r="K35"/>
      <c r="L35"/>
      <c r="M35"/>
      <c r="N35"/>
      <c r="O35"/>
      <c r="P35"/>
      <c r="Q35"/>
      <c r="R35"/>
      <c r="S35"/>
      <c r="T35"/>
      <c r="U35"/>
      <c r="V35"/>
      <c r="W35"/>
      <c r="X35"/>
    </row>
    <row r="36" spans="1:24">
      <c r="B36" s="154" t="s">
        <v>9</v>
      </c>
      <c r="C36" s="179"/>
      <c r="D36" s="179" t="s">
        <v>543</v>
      </c>
      <c r="E36" s="180"/>
      <c r="F36" s="180"/>
      <c r="G36" s="180"/>
      <c r="H36" s="180"/>
      <c r="I36" s="180"/>
      <c r="J36" s="180"/>
      <c r="K36" s="180"/>
      <c r="L36" s="180"/>
      <c r="M36" s="180"/>
      <c r="N36" s="180"/>
      <c r="O36" s="180"/>
      <c r="P36" s="180"/>
      <c r="Q36" s="180"/>
      <c r="R36" s="180"/>
      <c r="S36" s="180"/>
      <c r="T36" s="180"/>
      <c r="U36" s="180"/>
      <c r="V36" s="180"/>
      <c r="W36" s="180"/>
      <c r="X36" s="180"/>
    </row>
    <row r="37" spans="1:24">
      <c r="A37"/>
      <c r="B37"/>
      <c r="C37"/>
      <c r="D37"/>
      <c r="E37"/>
      <c r="F37"/>
      <c r="G37"/>
      <c r="H37"/>
      <c r="I37"/>
      <c r="J37"/>
      <c r="K37"/>
      <c r="L37"/>
      <c r="M37"/>
      <c r="N37"/>
      <c r="O37"/>
      <c r="P37"/>
      <c r="Q37"/>
      <c r="R37"/>
      <c r="S37"/>
      <c r="T37"/>
      <c r="U37"/>
      <c r="V37"/>
      <c r="W37"/>
      <c r="X37"/>
    </row>
    <row r="38" spans="1:24">
      <c r="A38"/>
      <c r="B38"/>
      <c r="C38"/>
      <c r="D38"/>
      <c r="E38"/>
      <c r="F38"/>
      <c r="G38"/>
      <c r="H38"/>
      <c r="I38"/>
      <c r="J38"/>
      <c r="K38"/>
      <c r="L38"/>
      <c r="M38"/>
      <c r="N38"/>
      <c r="O38"/>
      <c r="P38"/>
      <c r="Q38"/>
      <c r="R38"/>
      <c r="S38"/>
      <c r="T38"/>
      <c r="U38"/>
      <c r="V38"/>
      <c r="W38"/>
      <c r="X38"/>
    </row>
    <row r="39" spans="1:24">
      <c r="A39"/>
      <c r="B39"/>
      <c r="C39"/>
      <c r="D39"/>
      <c r="E39"/>
      <c r="F39"/>
      <c r="G39"/>
      <c r="H39"/>
      <c r="I39"/>
      <c r="J39"/>
      <c r="K39"/>
      <c r="L39"/>
      <c r="M39"/>
      <c r="N39"/>
      <c r="O39"/>
      <c r="P39"/>
      <c r="Q39"/>
      <c r="R39"/>
      <c r="S39"/>
      <c r="T39"/>
      <c r="U39"/>
      <c r="V39"/>
      <c r="W39"/>
      <c r="X39"/>
    </row>
    <row r="40" spans="1:24">
      <c r="A40"/>
      <c r="B40"/>
      <c r="C40"/>
      <c r="D40"/>
      <c r="E40"/>
      <c r="F40"/>
      <c r="G40"/>
      <c r="H40"/>
      <c r="I40"/>
      <c r="J40"/>
      <c r="K40"/>
      <c r="L40"/>
      <c r="M40"/>
      <c r="N40"/>
      <c r="O40"/>
      <c r="P40"/>
      <c r="Q40"/>
      <c r="R40"/>
      <c r="S40"/>
      <c r="T40"/>
      <c r="U40"/>
      <c r="V40"/>
      <c r="W40"/>
      <c r="X40"/>
    </row>
    <row r="41" spans="1:24">
      <c r="A41"/>
      <c r="B41"/>
      <c r="C41"/>
      <c r="D41"/>
      <c r="E41"/>
      <c r="F41"/>
      <c r="G41"/>
      <c r="H41"/>
      <c r="I41"/>
      <c r="J41"/>
      <c r="K41"/>
      <c r="L41"/>
      <c r="M41"/>
      <c r="N41"/>
      <c r="O41"/>
      <c r="P41"/>
      <c r="Q41"/>
      <c r="R41"/>
      <c r="S41"/>
      <c r="T41"/>
      <c r="U41"/>
      <c r="V41"/>
      <c r="W41"/>
      <c r="X41"/>
    </row>
    <row r="42" spans="1:24">
      <c r="A42"/>
      <c r="B42"/>
      <c r="C42"/>
      <c r="D42"/>
      <c r="E42"/>
      <c r="F42"/>
      <c r="G42"/>
      <c r="H42"/>
      <c r="I42"/>
      <c r="J42"/>
      <c r="K42"/>
      <c r="L42"/>
      <c r="M42"/>
      <c r="N42"/>
      <c r="O42"/>
      <c r="P42"/>
      <c r="Q42"/>
      <c r="R42"/>
      <c r="S42"/>
      <c r="T42"/>
      <c r="U42"/>
      <c r="V42"/>
      <c r="W42"/>
      <c r="X42"/>
    </row>
    <row r="43" spans="1:24">
      <c r="A43"/>
      <c r="B43"/>
      <c r="C43"/>
      <c r="D43"/>
      <c r="E43"/>
      <c r="F43"/>
      <c r="G43"/>
      <c r="H43"/>
      <c r="I43"/>
      <c r="J43"/>
      <c r="K43"/>
      <c r="L43"/>
      <c r="M43"/>
      <c r="N43"/>
      <c r="O43"/>
      <c r="P43"/>
      <c r="Q43"/>
      <c r="R43"/>
      <c r="S43"/>
      <c r="T43"/>
      <c r="U43"/>
      <c r="V43"/>
      <c r="W43"/>
      <c r="X43"/>
    </row>
    <row r="44" spans="1:24">
      <c r="A44"/>
      <c r="B44"/>
      <c r="C44"/>
      <c r="D44"/>
      <c r="E44"/>
      <c r="F44"/>
      <c r="G44"/>
      <c r="H44"/>
      <c r="I44"/>
      <c r="J44"/>
      <c r="K44"/>
      <c r="L44"/>
      <c r="M44"/>
      <c r="N44"/>
      <c r="O44"/>
      <c r="P44"/>
      <c r="Q44"/>
      <c r="R44"/>
      <c r="S44"/>
      <c r="T44"/>
      <c r="U44"/>
      <c r="V44"/>
      <c r="W44"/>
      <c r="X44"/>
    </row>
    <row r="45" spans="1:24">
      <c r="A45"/>
      <c r="B45"/>
      <c r="C45"/>
      <c r="D45"/>
      <c r="E45"/>
      <c r="F45"/>
      <c r="G45"/>
      <c r="H45"/>
      <c r="I45"/>
      <c r="J45"/>
      <c r="K45"/>
      <c r="L45"/>
      <c r="M45"/>
      <c r="N45"/>
      <c r="O45"/>
      <c r="P45"/>
      <c r="Q45"/>
      <c r="R45"/>
      <c r="S45"/>
      <c r="T45"/>
      <c r="U45"/>
      <c r="V45"/>
      <c r="W45"/>
      <c r="X45"/>
    </row>
    <row r="46" spans="1:24">
      <c r="A46"/>
      <c r="B46"/>
      <c r="C46"/>
      <c r="D46"/>
      <c r="E46"/>
      <c r="F46"/>
      <c r="G46"/>
      <c r="H46"/>
      <c r="I46"/>
      <c r="J46"/>
      <c r="K46"/>
      <c r="L46"/>
      <c r="M46"/>
      <c r="N46"/>
      <c r="O46"/>
      <c r="P46"/>
      <c r="Q46"/>
      <c r="R46"/>
      <c r="S46"/>
      <c r="T46"/>
      <c r="U46"/>
      <c r="V46"/>
      <c r="W46"/>
      <c r="X46"/>
    </row>
    <row r="47" spans="1:24">
      <c r="A47"/>
      <c r="B47"/>
      <c r="C47"/>
      <c r="D47"/>
      <c r="E47"/>
      <c r="F47"/>
      <c r="G47"/>
      <c r="H47"/>
      <c r="I47"/>
      <c r="J47"/>
      <c r="K47"/>
      <c r="L47"/>
      <c r="M47"/>
      <c r="N47"/>
      <c r="O47"/>
      <c r="P47"/>
      <c r="Q47"/>
      <c r="R47"/>
      <c r="S47"/>
      <c r="T47"/>
      <c r="U47"/>
      <c r="V47"/>
      <c r="W47"/>
      <c r="X47"/>
    </row>
    <row r="48" spans="1:24">
      <c r="A48"/>
      <c r="B48"/>
      <c r="C48"/>
      <c r="D48"/>
      <c r="E48"/>
      <c r="F48"/>
      <c r="G48"/>
      <c r="H48"/>
      <c r="I48"/>
      <c r="J48"/>
      <c r="K48"/>
      <c r="L48"/>
      <c r="M48"/>
      <c r="N48"/>
      <c r="O48"/>
      <c r="P48"/>
      <c r="Q48"/>
      <c r="R48"/>
      <c r="S48"/>
      <c r="T48"/>
      <c r="U48"/>
      <c r="V48"/>
      <c r="W48"/>
      <c r="X48"/>
    </row>
    <row r="49" spans="1:24">
      <c r="A49"/>
      <c r="B49"/>
      <c r="C49"/>
      <c r="D49"/>
      <c r="E49"/>
      <c r="F49"/>
      <c r="G49"/>
      <c r="H49"/>
      <c r="I49"/>
      <c r="J49"/>
      <c r="K49"/>
      <c r="L49"/>
      <c r="M49"/>
      <c r="N49"/>
      <c r="O49"/>
      <c r="P49"/>
      <c r="Q49"/>
      <c r="R49"/>
      <c r="S49"/>
      <c r="T49"/>
      <c r="U49"/>
      <c r="V49"/>
      <c r="W49"/>
      <c r="X49"/>
    </row>
    <row r="50" spans="1:24">
      <c r="A50"/>
      <c r="B50"/>
      <c r="C50"/>
      <c r="D50"/>
      <c r="E50"/>
      <c r="F50"/>
      <c r="G50"/>
      <c r="H50"/>
      <c r="I50"/>
      <c r="J50"/>
      <c r="K50"/>
      <c r="L50"/>
      <c r="M50"/>
      <c r="N50"/>
      <c r="O50"/>
      <c r="P50"/>
      <c r="Q50"/>
      <c r="R50"/>
      <c r="S50"/>
      <c r="T50"/>
      <c r="U50"/>
      <c r="V50"/>
      <c r="W50"/>
      <c r="X50"/>
    </row>
    <row r="51" spans="1:24">
      <c r="A51"/>
      <c r="B51"/>
      <c r="C51"/>
      <c r="D51"/>
      <c r="E51"/>
      <c r="F51"/>
      <c r="G51"/>
      <c r="H51"/>
      <c r="I51"/>
      <c r="J51"/>
      <c r="K51"/>
      <c r="L51"/>
      <c r="M51"/>
      <c r="N51"/>
      <c r="O51"/>
      <c r="P51"/>
      <c r="Q51"/>
      <c r="R51"/>
      <c r="S51"/>
      <c r="T51"/>
      <c r="U51"/>
      <c r="V51"/>
      <c r="W51"/>
      <c r="X51"/>
    </row>
    <row r="52" spans="1:24">
      <c r="A52"/>
      <c r="B52"/>
      <c r="C52"/>
      <c r="D52"/>
      <c r="E52"/>
      <c r="F52"/>
      <c r="G52"/>
      <c r="H52"/>
      <c r="I52"/>
      <c r="J52"/>
      <c r="K52"/>
      <c r="L52"/>
      <c r="M52"/>
      <c r="N52"/>
      <c r="O52"/>
      <c r="P52"/>
      <c r="Q52"/>
      <c r="R52"/>
      <c r="S52"/>
      <c r="T52"/>
      <c r="U52"/>
      <c r="V52"/>
      <c r="W52"/>
      <c r="X52"/>
    </row>
    <row r="53" spans="1:24">
      <c r="A53"/>
      <c r="B53"/>
      <c r="C53"/>
      <c r="D53"/>
      <c r="E53"/>
      <c r="F53"/>
      <c r="G53"/>
      <c r="H53"/>
      <c r="I53"/>
      <c r="J53"/>
      <c r="K53"/>
      <c r="L53"/>
      <c r="M53"/>
      <c r="N53"/>
      <c r="O53"/>
      <c r="P53"/>
      <c r="Q53"/>
      <c r="R53"/>
      <c r="S53"/>
      <c r="T53"/>
      <c r="U53"/>
      <c r="V53"/>
      <c r="W53"/>
      <c r="X53"/>
    </row>
    <row r="54" spans="1:24">
      <c r="A54"/>
      <c r="B54"/>
      <c r="C54"/>
      <c r="D54"/>
      <c r="E54"/>
      <c r="F54"/>
      <c r="G54"/>
      <c r="H54"/>
      <c r="I54"/>
      <c r="J54"/>
      <c r="K54"/>
      <c r="L54"/>
      <c r="M54"/>
      <c r="N54"/>
      <c r="O54"/>
      <c r="P54"/>
      <c r="Q54"/>
      <c r="R54"/>
      <c r="S54"/>
      <c r="T54"/>
      <c r="U54"/>
      <c r="V54"/>
      <c r="W54"/>
      <c r="X54"/>
    </row>
    <row r="55" spans="1:24">
      <c r="A55"/>
      <c r="B55"/>
      <c r="C55"/>
      <c r="D55"/>
      <c r="E55"/>
      <c r="F55"/>
      <c r="G55"/>
      <c r="H55"/>
      <c r="I55"/>
      <c r="J55"/>
      <c r="K55"/>
      <c r="L55"/>
      <c r="M55"/>
      <c r="N55"/>
      <c r="O55"/>
      <c r="P55"/>
      <c r="Q55"/>
      <c r="R55"/>
      <c r="S55"/>
      <c r="T55"/>
      <c r="U55"/>
      <c r="V55"/>
      <c r="W55"/>
      <c r="X55"/>
    </row>
    <row r="56" spans="1:24">
      <c r="A56"/>
      <c r="B56"/>
      <c r="C56"/>
      <c r="D56"/>
      <c r="E56"/>
      <c r="F56"/>
      <c r="G56"/>
      <c r="H56"/>
      <c r="I56"/>
      <c r="J56"/>
      <c r="K56"/>
      <c r="L56"/>
      <c r="M56"/>
      <c r="N56"/>
      <c r="O56"/>
      <c r="P56"/>
      <c r="Q56"/>
      <c r="R56"/>
      <c r="S56"/>
      <c r="T56"/>
      <c r="U56"/>
      <c r="V56"/>
      <c r="W56"/>
      <c r="X56"/>
    </row>
    <row r="57" spans="1:24">
      <c r="A57"/>
      <c r="B57"/>
      <c r="C57"/>
      <c r="D57"/>
      <c r="E57"/>
      <c r="F57"/>
      <c r="G57"/>
      <c r="H57"/>
      <c r="I57"/>
      <c r="J57"/>
      <c r="K57"/>
      <c r="L57"/>
      <c r="M57"/>
      <c r="N57"/>
      <c r="O57"/>
      <c r="P57"/>
      <c r="Q57"/>
      <c r="R57"/>
      <c r="S57"/>
      <c r="T57"/>
      <c r="U57"/>
      <c r="V57"/>
      <c r="W57"/>
      <c r="X57"/>
    </row>
    <row r="58" spans="1:24">
      <c r="A58"/>
      <c r="B58"/>
      <c r="C58"/>
      <c r="D58"/>
      <c r="E58"/>
      <c r="F58"/>
      <c r="G58"/>
      <c r="H58"/>
      <c r="I58"/>
      <c r="J58"/>
      <c r="K58"/>
      <c r="L58"/>
      <c r="M58"/>
      <c r="N58"/>
      <c r="O58"/>
      <c r="P58"/>
      <c r="Q58"/>
      <c r="R58"/>
      <c r="S58"/>
      <c r="T58"/>
      <c r="U58"/>
      <c r="V58"/>
      <c r="W58"/>
      <c r="X58"/>
    </row>
    <row r="59" spans="1:24">
      <c r="A59"/>
      <c r="B59"/>
      <c r="C59"/>
      <c r="D59"/>
      <c r="E59"/>
      <c r="F59"/>
      <c r="G59"/>
      <c r="H59"/>
      <c r="I59"/>
      <c r="J59"/>
      <c r="K59"/>
      <c r="L59"/>
      <c r="M59"/>
      <c r="N59"/>
      <c r="O59"/>
      <c r="P59"/>
      <c r="Q59"/>
      <c r="R59"/>
      <c r="S59"/>
      <c r="T59"/>
      <c r="U59"/>
      <c r="V59"/>
      <c r="W59"/>
      <c r="X59"/>
    </row>
    <row r="60" spans="1:24">
      <c r="A60"/>
      <c r="B60"/>
      <c r="C60"/>
      <c r="D60"/>
      <c r="E60"/>
      <c r="F60"/>
      <c r="G60"/>
      <c r="H60"/>
      <c r="I60"/>
      <c r="J60"/>
      <c r="K60"/>
      <c r="L60"/>
      <c r="M60"/>
      <c r="N60"/>
      <c r="O60"/>
      <c r="P60"/>
      <c r="Q60"/>
      <c r="R60"/>
      <c r="S60"/>
      <c r="T60"/>
      <c r="U60"/>
      <c r="V60"/>
      <c r="W60"/>
      <c r="X60"/>
    </row>
    <row r="61" spans="1:24">
      <c r="B61" s="154" t="s">
        <v>9</v>
      </c>
      <c r="C61" s="179"/>
      <c r="D61" s="179" t="s">
        <v>544</v>
      </c>
      <c r="E61" s="180"/>
      <c r="F61" s="180"/>
      <c r="G61" s="180"/>
      <c r="H61" s="180"/>
      <c r="I61" s="180"/>
      <c r="J61" s="180"/>
      <c r="K61" s="180"/>
      <c r="L61" s="180"/>
      <c r="M61" s="180"/>
      <c r="N61" s="180"/>
      <c r="O61" s="180"/>
      <c r="P61" s="180"/>
      <c r="Q61" s="180"/>
      <c r="R61" s="180"/>
      <c r="S61" s="180"/>
      <c r="T61" s="180"/>
      <c r="U61" s="180"/>
      <c r="V61" s="180"/>
      <c r="W61" s="180"/>
      <c r="X61" s="180"/>
    </row>
    <row r="62" spans="1:24">
      <c r="H62"/>
      <c r="I62"/>
      <c r="J62"/>
      <c r="K62"/>
      <c r="L62"/>
      <c r="M62"/>
      <c r="N62"/>
      <c r="O62"/>
      <c r="P62"/>
      <c r="Q62"/>
      <c r="R62"/>
      <c r="S62"/>
      <c r="T62"/>
      <c r="U62"/>
      <c r="V62"/>
      <c r="W62"/>
      <c r="X62"/>
    </row>
    <row r="63" spans="1:24">
      <c r="H63"/>
      <c r="I63"/>
      <c r="J63"/>
      <c r="K63"/>
      <c r="L63"/>
      <c r="M63"/>
      <c r="N63"/>
      <c r="O63"/>
      <c r="P63"/>
      <c r="Q63"/>
      <c r="R63"/>
      <c r="S63"/>
      <c r="T63"/>
      <c r="U63"/>
      <c r="V63"/>
      <c r="W63"/>
      <c r="X63"/>
    </row>
    <row r="64" spans="1:24">
      <c r="H64"/>
      <c r="I64"/>
      <c r="J64"/>
      <c r="K64"/>
      <c r="L64"/>
      <c r="M64"/>
      <c r="N64"/>
      <c r="O64"/>
      <c r="P64"/>
      <c r="Q64"/>
      <c r="R64"/>
      <c r="S64"/>
      <c r="T64"/>
      <c r="U64"/>
      <c r="V64"/>
      <c r="W64"/>
      <c r="X64"/>
    </row>
    <row r="65" spans="1:24">
      <c r="A65"/>
      <c r="B65"/>
      <c r="C65"/>
      <c r="H65"/>
      <c r="I65"/>
      <c r="J65"/>
      <c r="K65"/>
      <c r="L65"/>
      <c r="M65"/>
      <c r="N65"/>
      <c r="O65"/>
      <c r="P65"/>
      <c r="Q65"/>
      <c r="R65"/>
      <c r="S65"/>
      <c r="T65"/>
      <c r="U65"/>
      <c r="V65"/>
      <c r="W65"/>
      <c r="X65"/>
    </row>
    <row r="66" spans="1:24">
      <c r="A66"/>
      <c r="B66"/>
      <c r="C66"/>
      <c r="D66"/>
      <c r="E66"/>
      <c r="F66"/>
      <c r="G66"/>
      <c r="H66"/>
      <c r="I66"/>
      <c r="J66"/>
      <c r="K66"/>
      <c r="L66"/>
      <c r="M66"/>
      <c r="N66"/>
      <c r="O66"/>
      <c r="P66"/>
      <c r="Q66"/>
      <c r="R66"/>
      <c r="S66"/>
      <c r="T66"/>
      <c r="U66"/>
      <c r="V66"/>
      <c r="W66"/>
      <c r="X66"/>
    </row>
    <row r="67" spans="1:24">
      <c r="A67"/>
      <c r="B67"/>
      <c r="C67"/>
      <c r="D67"/>
      <c r="E67"/>
      <c r="F67"/>
      <c r="G67"/>
      <c r="H67"/>
      <c r="I67"/>
      <c r="J67"/>
      <c r="K67"/>
      <c r="L67"/>
      <c r="M67"/>
      <c r="N67"/>
      <c r="O67"/>
      <c r="P67"/>
      <c r="Q67"/>
      <c r="R67"/>
      <c r="S67"/>
      <c r="T67"/>
      <c r="U67"/>
      <c r="V67"/>
      <c r="W67"/>
      <c r="X67"/>
    </row>
    <row r="68" spans="1:24">
      <c r="A68"/>
      <c r="B68"/>
      <c r="C68"/>
      <c r="D68"/>
      <c r="E68"/>
      <c r="F68"/>
      <c r="G68"/>
      <c r="H68"/>
      <c r="I68"/>
      <c r="J68"/>
      <c r="K68"/>
      <c r="L68"/>
      <c r="M68"/>
      <c r="N68"/>
      <c r="O68"/>
      <c r="P68"/>
      <c r="Q68"/>
      <c r="R68"/>
      <c r="S68"/>
      <c r="T68"/>
      <c r="U68"/>
      <c r="V68"/>
      <c r="W68"/>
      <c r="X68"/>
    </row>
    <row r="69" spans="1:24">
      <c r="H69"/>
      <c r="I69"/>
      <c r="J69"/>
      <c r="K69"/>
      <c r="L69"/>
      <c r="M69"/>
      <c r="N69"/>
      <c r="O69"/>
      <c r="P69"/>
      <c r="Q69"/>
      <c r="R69"/>
      <c r="S69"/>
      <c r="T69"/>
      <c r="U69"/>
      <c r="V69"/>
      <c r="W69"/>
      <c r="X69"/>
    </row>
  </sheetData>
  <conditionalFormatting sqref="H10:H16 L10:L16 P10:P16 T10:T16 X10:X16 H19:H25 L19:L25 P19:P25 T19:T25 X19:X25 H28:H34 L28:L34 P28:P34 T28:T34 X28:X34">
    <cfRule type="expression" dxfId="36" priority="68">
      <formula>ABS(H10)&gt;=$O$3</formula>
    </cfRule>
    <cfRule type="expression" dxfId="35" priority="69">
      <formula>ABS(H10)&lt;$O$3</formula>
    </cfRule>
  </conditionalFormatting>
  <pageMargins left="0.7" right="0.7" top="0.75" bottom="0.75" header="0.3" footer="0.3"/>
  <pageSetup scale="5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E86E2-4D84-434D-AB53-CED6B962BBDA}">
  <dimension ref="A1:C194"/>
  <sheetViews>
    <sheetView showGridLines="0" workbookViewId="0">
      <selection activeCell="W36" sqref="W36"/>
    </sheetView>
  </sheetViews>
  <sheetFormatPr defaultColWidth="9.36328125" defaultRowHeight="10.5"/>
  <cols>
    <col min="1" max="2" width="1.81640625" customWidth="1"/>
  </cols>
  <sheetData>
    <row r="1" spans="1:3">
      <c r="A1" s="36" t="s">
        <v>545</v>
      </c>
    </row>
    <row r="3" spans="1:3">
      <c r="C3" s="36" t="s">
        <v>546</v>
      </c>
    </row>
    <row r="31" spans="3:3">
      <c r="C31" s="36" t="s">
        <v>547</v>
      </c>
    </row>
    <row r="48" spans="3:3">
      <c r="C48" s="475" t="s">
        <v>548</v>
      </c>
    </row>
    <row r="51" spans="3:3">
      <c r="C51" s="36" t="s">
        <v>549</v>
      </c>
    </row>
    <row r="81" spans="3:3">
      <c r="C81" t="s">
        <v>550</v>
      </c>
    </row>
    <row r="83" spans="3:3">
      <c r="C83" t="s">
        <v>551</v>
      </c>
    </row>
    <row r="105" spans="3:3">
      <c r="C105" t="s">
        <v>552</v>
      </c>
    </row>
    <row r="107" spans="3:3">
      <c r="C107" t="s">
        <v>553</v>
      </c>
    </row>
    <row r="108" spans="3:3">
      <c r="C108" t="s">
        <v>554</v>
      </c>
    </row>
    <row r="110" spans="3:3">
      <c r="C110" t="s">
        <v>555</v>
      </c>
    </row>
    <row r="194" spans="3:3">
      <c r="C194" t="s">
        <v>556</v>
      </c>
    </row>
  </sheetData>
  <hyperlinks>
    <hyperlink ref="C48" r:id="rId1" xr:uid="{55602A4F-C3FA-4AFE-BD91-9EC94C51C2F8}"/>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22F7F-AE1F-47C5-A5A6-5B849C0FFA4C}">
  <dimension ref="A3:AE244"/>
  <sheetViews>
    <sheetView showGridLines="0" topLeftCell="A33" zoomScaleNormal="100" workbookViewId="0"/>
  </sheetViews>
  <sheetFormatPr defaultColWidth="9.81640625" defaultRowHeight="10.5"/>
  <cols>
    <col min="1" max="2" width="1.81640625" customWidth="1"/>
  </cols>
  <sheetData>
    <row r="3" spans="2:31">
      <c r="B3" s="36" t="s">
        <v>9</v>
      </c>
      <c r="C3" s="36" t="s">
        <v>15</v>
      </c>
    </row>
    <row r="5" spans="2:31">
      <c r="C5" s="36" t="s">
        <v>557</v>
      </c>
    </row>
    <row r="6" spans="2:31">
      <c r="H6" s="476"/>
      <c r="I6" s="476"/>
    </row>
    <row r="7" spans="2:31">
      <c r="C7" s="37" t="s">
        <v>558</v>
      </c>
      <c r="H7" s="476"/>
      <c r="I7" s="476"/>
      <c r="J7" s="477"/>
      <c r="K7" s="477"/>
      <c r="L7" s="477"/>
      <c r="M7" s="477"/>
      <c r="N7" s="477"/>
      <c r="O7" s="477"/>
      <c r="P7" s="477"/>
      <c r="Q7" s="477"/>
      <c r="R7" s="477"/>
      <c r="S7" s="477"/>
      <c r="T7" s="477"/>
      <c r="U7" s="477"/>
      <c r="V7" s="477"/>
      <c r="W7" s="477"/>
      <c r="X7" s="477"/>
      <c r="Y7" s="477"/>
      <c r="Z7" s="477"/>
      <c r="AA7" s="477"/>
      <c r="AB7" s="477"/>
      <c r="AC7" s="477"/>
      <c r="AD7" s="224"/>
      <c r="AE7" s="224"/>
    </row>
    <row r="8" spans="2:31">
      <c r="H8" s="476"/>
      <c r="I8" s="476"/>
      <c r="J8" s="477"/>
      <c r="K8" s="477"/>
      <c r="L8" s="477"/>
      <c r="M8" s="477"/>
      <c r="N8" s="477"/>
      <c r="O8" s="477"/>
      <c r="P8" s="477"/>
      <c r="Q8" s="477"/>
      <c r="R8" s="477"/>
      <c r="S8" s="477"/>
      <c r="T8" s="477"/>
      <c r="U8" s="477"/>
      <c r="V8" s="477"/>
      <c r="W8" s="477"/>
      <c r="X8" s="477"/>
      <c r="Y8" s="477"/>
      <c r="Z8" s="477"/>
      <c r="AA8" s="477"/>
      <c r="AB8" s="477"/>
      <c r="AC8" s="477"/>
      <c r="AD8" s="224"/>
      <c r="AE8" s="224"/>
    </row>
    <row r="9" spans="2:31">
      <c r="C9" s="476" t="s">
        <v>559</v>
      </c>
      <c r="D9" s="476" t="s">
        <v>560</v>
      </c>
      <c r="E9" s="476" t="s">
        <v>561</v>
      </c>
      <c r="F9" s="476" t="s">
        <v>562</v>
      </c>
      <c r="G9" s="476" t="s">
        <v>563</v>
      </c>
      <c r="H9" s="476" t="s">
        <v>564</v>
      </c>
      <c r="I9" s="476" t="s">
        <v>565</v>
      </c>
      <c r="J9" s="476" t="s">
        <v>566</v>
      </c>
      <c r="K9" s="476" t="s">
        <v>567</v>
      </c>
      <c r="L9" s="476" t="s">
        <v>568</v>
      </c>
      <c r="M9" s="476" t="s">
        <v>569</v>
      </c>
      <c r="N9" s="476" t="s">
        <v>570</v>
      </c>
      <c r="O9" s="476" t="s">
        <v>571</v>
      </c>
      <c r="P9" s="476" t="s">
        <v>572</v>
      </c>
      <c r="Q9" s="476" t="s">
        <v>573</v>
      </c>
      <c r="R9" s="476" t="s">
        <v>574</v>
      </c>
      <c r="S9" s="476" t="s">
        <v>575</v>
      </c>
      <c r="T9" s="476" t="s">
        <v>576</v>
      </c>
      <c r="U9" s="476" t="s">
        <v>577</v>
      </c>
      <c r="V9" s="476" t="s">
        <v>578</v>
      </c>
      <c r="W9" s="476" t="s">
        <v>579</v>
      </c>
      <c r="X9" s="476" t="s">
        <v>580</v>
      </c>
      <c r="Z9" s="477"/>
      <c r="AA9" s="477"/>
      <c r="AB9" s="477"/>
      <c r="AC9" s="477"/>
      <c r="AD9" s="224"/>
      <c r="AE9" s="224"/>
    </row>
    <row r="10" spans="2:31">
      <c r="C10" s="477">
        <v>9.0999999999999998E-2</v>
      </c>
      <c r="D10" s="477">
        <v>9.9000000000000005E-2</v>
      </c>
      <c r="E10" s="477">
        <v>0.114</v>
      </c>
      <c r="F10" s="477">
        <v>0.111</v>
      </c>
      <c r="G10" s="477">
        <v>0.109</v>
      </c>
      <c r="H10" s="477">
        <v>0.12</v>
      </c>
      <c r="I10" s="477">
        <v>0.122</v>
      </c>
      <c r="J10" s="477">
        <v>0.123</v>
      </c>
      <c r="K10" s="477">
        <v>0.13</v>
      </c>
      <c r="L10" s="477">
        <v>0.158</v>
      </c>
      <c r="M10" s="477">
        <v>0.17100000000000001</v>
      </c>
      <c r="N10" s="477">
        <v>0.17100000000000001</v>
      </c>
      <c r="O10" s="477">
        <v>0.18</v>
      </c>
      <c r="P10" s="477">
        <v>0.183</v>
      </c>
      <c r="Q10" s="477">
        <v>0.186</v>
      </c>
      <c r="R10" s="477">
        <v>0.192</v>
      </c>
      <c r="S10" s="477">
        <v>0.20100000000000001</v>
      </c>
      <c r="T10" s="477">
        <v>0.193</v>
      </c>
      <c r="U10" s="477">
        <v>0.193</v>
      </c>
      <c r="V10" s="477">
        <v>0.17100000000000001</v>
      </c>
      <c r="W10" s="224">
        <v>0.17</v>
      </c>
      <c r="X10" s="224">
        <v>0.16200000000000001</v>
      </c>
      <c r="Z10" s="477"/>
      <c r="AA10" s="477"/>
      <c r="AB10" s="477"/>
      <c r="AC10" s="477"/>
      <c r="AD10" s="224"/>
      <c r="AE10" s="224"/>
    </row>
    <row r="11" spans="2:31">
      <c r="H11" s="476"/>
      <c r="I11" s="476"/>
      <c r="J11" s="477"/>
      <c r="K11" s="477"/>
      <c r="L11" s="477"/>
      <c r="M11" s="477"/>
      <c r="N11" s="477"/>
      <c r="O11" s="477"/>
      <c r="P11" s="477"/>
      <c r="Q11" s="477"/>
      <c r="R11" s="477"/>
      <c r="S11" s="477"/>
      <c r="T11" s="477"/>
      <c r="U11" s="477"/>
      <c r="V11" s="477"/>
      <c r="W11" s="477"/>
      <c r="X11" s="477"/>
      <c r="Y11" s="477"/>
      <c r="Z11" s="477"/>
      <c r="AA11" s="477"/>
      <c r="AB11" s="477"/>
      <c r="AC11" s="477"/>
      <c r="AD11" s="224"/>
      <c r="AE11" s="224"/>
    </row>
    <row r="12" spans="2:31">
      <c r="C12" t="s">
        <v>581</v>
      </c>
      <c r="H12" s="476"/>
      <c r="I12" s="476"/>
      <c r="J12" s="477"/>
      <c r="K12" s="477"/>
      <c r="L12" s="477"/>
      <c r="M12" s="477"/>
      <c r="N12" s="477"/>
      <c r="O12" s="477"/>
      <c r="P12" s="477"/>
      <c r="Q12" s="477"/>
      <c r="R12" s="477"/>
      <c r="S12" s="477"/>
      <c r="T12" s="477"/>
      <c r="U12" s="477"/>
      <c r="V12" s="477"/>
      <c r="W12" s="477"/>
      <c r="X12" s="477"/>
      <c r="Y12" s="477"/>
      <c r="Z12" s="477"/>
      <c r="AA12" s="477"/>
      <c r="AB12" s="477"/>
      <c r="AC12" s="477"/>
      <c r="AD12" s="224"/>
      <c r="AE12" s="224"/>
    </row>
    <row r="13" spans="2:31">
      <c r="H13" s="476"/>
      <c r="I13" s="476"/>
      <c r="J13" s="477"/>
      <c r="K13" s="477"/>
      <c r="L13" s="477"/>
      <c r="M13" s="477"/>
      <c r="N13" s="477"/>
      <c r="O13" s="477"/>
      <c r="P13" s="477"/>
      <c r="Q13" s="477"/>
      <c r="R13" s="477"/>
      <c r="S13" s="477"/>
      <c r="T13" s="477"/>
      <c r="U13" s="477"/>
      <c r="V13" s="477"/>
      <c r="W13" s="477"/>
      <c r="X13" s="477"/>
      <c r="Y13" s="477"/>
      <c r="Z13" s="477"/>
      <c r="AA13" s="477"/>
      <c r="AB13" s="477"/>
      <c r="AC13" s="477"/>
      <c r="AD13" s="224"/>
      <c r="AE13" s="224"/>
    </row>
    <row r="14" spans="2:31">
      <c r="C14" s="476" t="s">
        <v>566</v>
      </c>
      <c r="D14" s="476" t="s">
        <v>567</v>
      </c>
      <c r="E14" s="476" t="s">
        <v>568</v>
      </c>
      <c r="F14" s="476" t="s">
        <v>582</v>
      </c>
      <c r="G14" s="476" t="s">
        <v>570</v>
      </c>
      <c r="H14" s="476" t="s">
        <v>571</v>
      </c>
      <c r="I14" s="476" t="s">
        <v>583</v>
      </c>
      <c r="J14" s="476" t="s">
        <v>573</v>
      </c>
      <c r="K14" s="476" t="s">
        <v>574</v>
      </c>
      <c r="L14" s="476" t="s">
        <v>575</v>
      </c>
      <c r="M14" s="476" t="s">
        <v>576</v>
      </c>
      <c r="N14" s="476" t="s">
        <v>577</v>
      </c>
      <c r="O14" s="476" t="s">
        <v>578</v>
      </c>
      <c r="P14" s="476" t="s">
        <v>579</v>
      </c>
      <c r="Q14" s="476" t="s">
        <v>580</v>
      </c>
      <c r="S14" s="477"/>
      <c r="T14" s="477"/>
      <c r="U14" s="477"/>
      <c r="V14" s="477"/>
      <c r="W14" s="477"/>
      <c r="X14" s="477"/>
      <c r="Y14" s="477"/>
      <c r="Z14" s="477"/>
      <c r="AA14" s="477"/>
      <c r="AB14" s="477"/>
      <c r="AC14" s="477"/>
      <c r="AD14" s="224"/>
      <c r="AE14" s="224"/>
    </row>
    <row r="15" spans="2:31">
      <c r="C15" s="477">
        <v>8.7999999999999995E-2</v>
      </c>
      <c r="D15" s="477">
        <v>0.109</v>
      </c>
      <c r="E15" s="477">
        <v>0.122</v>
      </c>
      <c r="F15" s="477">
        <v>0.13100000000000001</v>
      </c>
      <c r="G15" s="477">
        <v>0.14099999999999999</v>
      </c>
      <c r="H15" s="477">
        <v>0.14699999999999999</v>
      </c>
      <c r="I15" s="477">
        <v>0.16200000000000001</v>
      </c>
      <c r="J15" s="477">
        <v>0.17100000000000001</v>
      </c>
      <c r="K15" s="477">
        <v>0.19900000000000001</v>
      </c>
      <c r="L15" s="477">
        <v>0.20200000000000001</v>
      </c>
      <c r="M15" s="477">
        <v>0.19</v>
      </c>
      <c r="N15" s="477">
        <v>0.18</v>
      </c>
      <c r="O15" s="477">
        <v>0.2</v>
      </c>
      <c r="P15" s="477">
        <v>0.22</v>
      </c>
      <c r="Q15" s="477">
        <v>0.216</v>
      </c>
      <c r="S15" s="477"/>
      <c r="T15" s="477"/>
      <c r="U15" s="477"/>
      <c r="V15" s="477"/>
      <c r="W15" s="477"/>
      <c r="X15" s="477"/>
      <c r="Y15" s="477"/>
      <c r="Z15" s="477"/>
      <c r="AA15" s="477"/>
      <c r="AB15" s="477"/>
      <c r="AC15" s="477"/>
      <c r="AD15" s="224"/>
      <c r="AE15" s="224"/>
    </row>
    <row r="16" spans="2:31">
      <c r="H16" s="476"/>
      <c r="J16" s="477"/>
      <c r="K16" s="477"/>
      <c r="L16" s="477"/>
      <c r="M16" s="477"/>
      <c r="N16" s="477"/>
      <c r="O16" s="477"/>
      <c r="P16" s="477"/>
      <c r="Q16" s="477"/>
      <c r="R16" s="477"/>
      <c r="S16" s="477"/>
      <c r="T16" s="477"/>
      <c r="U16" s="477"/>
      <c r="V16" s="477"/>
      <c r="W16" s="477"/>
      <c r="X16" s="477"/>
      <c r="Y16" s="477"/>
      <c r="Z16" s="477"/>
      <c r="AA16" s="477"/>
      <c r="AB16" s="477"/>
      <c r="AC16" s="477"/>
      <c r="AD16" s="224"/>
      <c r="AE16" s="224"/>
    </row>
    <row r="17" spans="8:31">
      <c r="H17" s="476"/>
      <c r="I17" s="476"/>
      <c r="J17" s="477"/>
      <c r="K17" s="477"/>
      <c r="L17" s="477"/>
      <c r="M17" s="477"/>
      <c r="N17" s="477"/>
      <c r="O17" s="477"/>
      <c r="P17" s="477"/>
      <c r="Q17" s="477"/>
      <c r="R17" s="477"/>
      <c r="S17" s="477"/>
      <c r="T17" s="477"/>
      <c r="U17" s="477"/>
      <c r="V17" s="477"/>
      <c r="W17" s="477"/>
      <c r="X17" s="477"/>
      <c r="Y17" s="477"/>
      <c r="Z17" s="477"/>
      <c r="AA17" s="477"/>
      <c r="AB17" s="477"/>
      <c r="AC17" s="477"/>
      <c r="AD17" s="224"/>
      <c r="AE17" s="224"/>
    </row>
    <row r="18" spans="8:31">
      <c r="H18" s="476"/>
      <c r="I18" s="476"/>
      <c r="J18" s="477"/>
      <c r="K18" s="477"/>
      <c r="L18" s="477"/>
      <c r="M18" s="477"/>
      <c r="N18" s="477"/>
      <c r="O18" s="477"/>
      <c r="P18" s="477"/>
      <c r="Q18" s="477"/>
      <c r="R18" s="477"/>
      <c r="S18" s="477"/>
      <c r="T18" s="477"/>
      <c r="U18" s="477"/>
      <c r="V18" s="477"/>
      <c r="W18" s="477"/>
      <c r="X18" s="477"/>
      <c r="Y18" s="477"/>
      <c r="Z18" s="477"/>
      <c r="AA18" s="477"/>
      <c r="AB18" s="477"/>
      <c r="AC18" s="477"/>
      <c r="AD18" s="224"/>
      <c r="AE18" s="224"/>
    </row>
    <row r="19" spans="8:31">
      <c r="H19" s="476"/>
      <c r="I19" s="476"/>
      <c r="J19" s="477"/>
      <c r="K19" s="477"/>
      <c r="L19" s="477"/>
      <c r="M19" s="477"/>
      <c r="N19" s="477"/>
      <c r="O19" s="477"/>
      <c r="P19" s="477"/>
      <c r="Q19" s="477"/>
      <c r="R19" s="477"/>
      <c r="S19" s="477"/>
      <c r="T19" s="477"/>
      <c r="U19" s="477"/>
      <c r="V19" s="477"/>
      <c r="W19" s="477"/>
      <c r="X19" s="477"/>
      <c r="Y19" s="477"/>
      <c r="Z19" s="477"/>
      <c r="AA19" s="477"/>
      <c r="AB19" s="477"/>
      <c r="AC19" s="477"/>
      <c r="AD19" s="224"/>
      <c r="AE19" s="224"/>
    </row>
    <row r="20" spans="8:31">
      <c r="H20" s="476"/>
      <c r="I20" s="476"/>
      <c r="J20" s="477"/>
      <c r="K20" s="477"/>
      <c r="L20" s="477"/>
      <c r="M20" s="477"/>
      <c r="N20" s="477"/>
      <c r="O20" s="477"/>
      <c r="P20" s="477"/>
      <c r="Q20" s="477"/>
      <c r="R20" s="477"/>
      <c r="S20" s="477"/>
      <c r="T20" s="477"/>
      <c r="U20" s="477"/>
      <c r="V20" s="477"/>
      <c r="W20" s="477"/>
      <c r="X20" s="477"/>
      <c r="Y20" s="477"/>
      <c r="Z20" s="477"/>
      <c r="AA20" s="477"/>
      <c r="AB20" s="477"/>
      <c r="AC20" s="477"/>
      <c r="AD20" s="224"/>
      <c r="AE20" s="224"/>
    </row>
    <row r="21" spans="8:31">
      <c r="H21" s="476"/>
      <c r="I21" s="476"/>
      <c r="J21" s="477"/>
      <c r="K21" s="477"/>
      <c r="L21" s="477"/>
      <c r="M21" s="477"/>
      <c r="N21" s="477"/>
      <c r="O21" s="477"/>
      <c r="P21" s="477"/>
      <c r="Q21" s="477"/>
      <c r="R21" s="477"/>
      <c r="S21" s="477"/>
      <c r="T21" s="477"/>
      <c r="U21" s="477"/>
      <c r="V21" s="477"/>
      <c r="W21" s="477"/>
      <c r="X21" s="477"/>
      <c r="Y21" s="477"/>
      <c r="Z21" s="477"/>
      <c r="AA21" s="477"/>
      <c r="AB21" s="477"/>
      <c r="AC21" s="477"/>
      <c r="AD21" s="224"/>
      <c r="AE21" s="224"/>
    </row>
    <row r="22" spans="8:31">
      <c r="H22" s="476"/>
      <c r="I22" s="476"/>
      <c r="J22" s="477"/>
      <c r="K22" s="477"/>
      <c r="L22" s="477"/>
      <c r="M22" s="477"/>
      <c r="N22" s="477"/>
      <c r="O22" s="477"/>
      <c r="P22" s="477"/>
      <c r="Q22" s="477"/>
      <c r="R22" s="477"/>
      <c r="S22" s="477"/>
      <c r="T22" s="477"/>
      <c r="U22" s="477"/>
      <c r="V22" s="477"/>
      <c r="W22" s="477"/>
      <c r="X22" s="477"/>
      <c r="Y22" s="477"/>
      <c r="Z22" s="477"/>
      <c r="AA22" s="477"/>
      <c r="AB22" s="477"/>
      <c r="AC22" s="477"/>
      <c r="AD22" s="224"/>
      <c r="AE22" s="224"/>
    </row>
    <row r="23" spans="8:31">
      <c r="H23" s="476"/>
      <c r="I23" s="476"/>
      <c r="J23" s="477"/>
      <c r="K23" s="477"/>
      <c r="L23" s="477"/>
      <c r="M23" s="477"/>
      <c r="N23" s="477"/>
      <c r="O23" s="477"/>
      <c r="P23" s="477"/>
      <c r="Q23" s="477"/>
      <c r="R23" s="477"/>
      <c r="S23" s="477"/>
      <c r="T23" s="477"/>
      <c r="U23" s="477"/>
      <c r="V23" s="477"/>
      <c r="W23" s="477"/>
      <c r="X23" s="477"/>
      <c r="Y23" s="477"/>
      <c r="Z23" s="477"/>
      <c r="AA23" s="477"/>
      <c r="AB23" s="477"/>
      <c r="AC23" s="477"/>
      <c r="AD23" s="224"/>
      <c r="AE23" s="224"/>
    </row>
    <row r="24" spans="8:31">
      <c r="H24" s="476"/>
      <c r="I24" s="476"/>
      <c r="J24" s="477"/>
      <c r="K24" s="477"/>
      <c r="L24" s="477"/>
      <c r="M24" s="477"/>
      <c r="N24" s="477"/>
      <c r="O24" s="477"/>
      <c r="P24" s="477"/>
      <c r="Q24" s="477"/>
      <c r="R24" s="477"/>
      <c r="S24" s="477"/>
      <c r="T24" s="477"/>
      <c r="U24" s="477"/>
      <c r="V24" s="477"/>
      <c r="W24" s="477"/>
      <c r="X24" s="477"/>
      <c r="Y24" s="477"/>
      <c r="Z24" s="477"/>
      <c r="AA24" s="477"/>
      <c r="AB24" s="477"/>
      <c r="AC24" s="477"/>
      <c r="AD24" s="224"/>
      <c r="AE24" s="224"/>
    </row>
    <row r="25" spans="8:31">
      <c r="H25" s="476"/>
      <c r="I25" s="476"/>
      <c r="J25" s="477"/>
      <c r="K25" s="477"/>
      <c r="L25" s="477"/>
      <c r="M25" s="477"/>
      <c r="N25" s="477"/>
      <c r="O25" s="477"/>
      <c r="P25" s="477"/>
      <c r="Q25" s="477"/>
      <c r="R25" s="477"/>
      <c r="S25" s="477"/>
      <c r="T25" s="477"/>
      <c r="U25" s="477"/>
      <c r="V25" s="477"/>
      <c r="W25" s="477"/>
      <c r="X25" s="477"/>
      <c r="Y25" s="477"/>
      <c r="Z25" s="477"/>
      <c r="AA25" s="477"/>
      <c r="AB25" s="477"/>
      <c r="AC25" s="477"/>
      <c r="AD25" s="224"/>
      <c r="AE25" s="224"/>
    </row>
    <row r="26" spans="8:31">
      <c r="H26" s="476"/>
      <c r="I26" s="476"/>
      <c r="J26" s="477"/>
      <c r="K26" s="477"/>
      <c r="L26" s="477"/>
      <c r="M26" s="477"/>
      <c r="N26" s="477"/>
      <c r="O26" s="477"/>
      <c r="P26" s="477"/>
      <c r="Q26" s="477"/>
      <c r="R26" s="477"/>
      <c r="S26" s="477"/>
      <c r="T26" s="477"/>
      <c r="U26" s="477"/>
      <c r="V26" s="477"/>
      <c r="W26" s="477"/>
      <c r="X26" s="477"/>
      <c r="Y26" s="477"/>
      <c r="Z26" s="477"/>
      <c r="AA26" s="477"/>
      <c r="AB26" s="477"/>
      <c r="AC26" s="477"/>
      <c r="AD26" s="224"/>
      <c r="AE26" s="224"/>
    </row>
    <row r="27" spans="8:31">
      <c r="H27" s="476"/>
      <c r="I27" s="476"/>
      <c r="J27" s="477"/>
      <c r="K27" s="477"/>
      <c r="L27" s="477"/>
      <c r="M27" s="477"/>
      <c r="N27" s="477"/>
      <c r="O27" s="477"/>
      <c r="P27" s="477"/>
      <c r="Q27" s="477"/>
      <c r="R27" s="477"/>
      <c r="S27" s="477"/>
      <c r="T27" s="477"/>
      <c r="U27" s="477"/>
      <c r="V27" s="477"/>
      <c r="W27" s="477"/>
      <c r="X27" s="477"/>
      <c r="Y27" s="477"/>
      <c r="Z27" s="477"/>
      <c r="AA27" s="477"/>
      <c r="AB27" s="477"/>
      <c r="AC27" s="477"/>
      <c r="AD27" s="224"/>
      <c r="AE27" s="224"/>
    </row>
    <row r="28" spans="8:31">
      <c r="H28" s="476"/>
      <c r="I28" s="476"/>
      <c r="J28" s="477"/>
      <c r="K28" s="477"/>
      <c r="L28" s="477"/>
      <c r="M28" s="477"/>
      <c r="N28" s="477"/>
      <c r="O28" s="477"/>
      <c r="P28" s="477"/>
      <c r="Q28" s="477"/>
      <c r="R28" s="477"/>
      <c r="S28" s="477"/>
      <c r="T28" s="477"/>
      <c r="U28" s="477"/>
      <c r="V28" s="477"/>
      <c r="W28" s="477"/>
      <c r="X28" s="477"/>
      <c r="Y28" s="477"/>
      <c r="Z28" s="477"/>
      <c r="AA28" s="477"/>
      <c r="AB28" s="477"/>
      <c r="AC28" s="477"/>
      <c r="AD28" s="224"/>
      <c r="AE28" s="224"/>
    </row>
    <row r="41" spans="2:18">
      <c r="C41" s="476"/>
    </row>
    <row r="43" spans="2:18">
      <c r="B43" s="36" t="s">
        <v>9</v>
      </c>
      <c r="C43" s="36" t="s">
        <v>584</v>
      </c>
    </row>
    <row r="44" spans="2:18">
      <c r="C44" s="36"/>
    </row>
    <row r="45" spans="2:18">
      <c r="C45" t="s">
        <v>585</v>
      </c>
    </row>
    <row r="47" spans="2:18">
      <c r="C47" s="476" t="s">
        <v>564</v>
      </c>
      <c r="D47" s="476" t="s">
        <v>566</v>
      </c>
      <c r="E47" s="476" t="s">
        <v>567</v>
      </c>
      <c r="F47" s="476" t="s">
        <v>568</v>
      </c>
      <c r="G47" s="476" t="s">
        <v>582</v>
      </c>
      <c r="H47" s="476" t="s">
        <v>570</v>
      </c>
      <c r="I47" s="476" t="s">
        <v>571</v>
      </c>
      <c r="J47" s="476" t="s">
        <v>572</v>
      </c>
      <c r="K47" s="476" t="s">
        <v>573</v>
      </c>
      <c r="L47" s="476" t="s">
        <v>574</v>
      </c>
      <c r="M47" s="476" t="s">
        <v>575</v>
      </c>
      <c r="N47" s="476" t="s">
        <v>576</v>
      </c>
      <c r="O47" s="476" t="s">
        <v>577</v>
      </c>
      <c r="P47" s="476" t="s">
        <v>578</v>
      </c>
      <c r="Q47" s="476" t="s">
        <v>579</v>
      </c>
      <c r="R47" s="476" t="s">
        <v>580</v>
      </c>
    </row>
    <row r="48" spans="2:18">
      <c r="C48" s="477">
        <v>8.0000000000000002E-3</v>
      </c>
      <c r="D48" s="477">
        <v>1.4E-2</v>
      </c>
      <c r="E48" s="477">
        <v>1.6E-2</v>
      </c>
      <c r="F48" s="477">
        <v>3.2000000000000001E-2</v>
      </c>
      <c r="G48" s="477">
        <v>2.9000000000000001E-2</v>
      </c>
      <c r="H48" s="477">
        <v>3.4000000000000002E-2</v>
      </c>
      <c r="I48" s="477">
        <v>4.2999999999999997E-2</v>
      </c>
      <c r="J48" s="477">
        <v>4.4999999999999998E-2</v>
      </c>
      <c r="K48" s="477">
        <v>5.0999999999999997E-2</v>
      </c>
      <c r="L48" s="477">
        <v>5.8000000000000003E-2</v>
      </c>
      <c r="M48" s="477">
        <v>6.6000000000000003E-2</v>
      </c>
      <c r="N48" s="477">
        <v>7.0999999999999994E-2</v>
      </c>
      <c r="O48" s="477">
        <v>8.8999999999999996E-2</v>
      </c>
      <c r="P48" s="477">
        <v>9.5000000000000001E-2</v>
      </c>
      <c r="Q48" s="477">
        <v>0.10199999999999999</v>
      </c>
      <c r="R48" s="477">
        <v>0.107</v>
      </c>
    </row>
    <row r="77" spans="3:12" ht="11.25">
      <c r="C77" s="483"/>
    </row>
    <row r="78" spans="3:12">
      <c r="D78" s="476">
        <v>2016</v>
      </c>
      <c r="E78" s="476">
        <v>2017</v>
      </c>
      <c r="F78" s="476">
        <v>2018</v>
      </c>
      <c r="G78" s="476">
        <v>2019</v>
      </c>
      <c r="H78" s="476">
        <v>2020</v>
      </c>
      <c r="I78" s="476" t="s">
        <v>577</v>
      </c>
      <c r="J78" s="476" t="s">
        <v>578</v>
      </c>
      <c r="K78" s="476" t="s">
        <v>579</v>
      </c>
      <c r="L78" s="476" t="s">
        <v>580</v>
      </c>
    </row>
    <row r="79" spans="3:12">
      <c r="C79" t="s">
        <v>586</v>
      </c>
      <c r="D79" s="477">
        <v>0.98599999999999999</v>
      </c>
      <c r="E79" s="477">
        <v>0.98199999999999998</v>
      </c>
      <c r="F79" s="477">
        <v>0.95699999999999996</v>
      </c>
      <c r="G79" s="477">
        <v>0.92100000000000004</v>
      </c>
      <c r="H79" s="477">
        <v>0.874</v>
      </c>
      <c r="I79" s="477">
        <v>0.80300000000000005</v>
      </c>
      <c r="J79" s="477">
        <v>0.79700000000000004</v>
      </c>
      <c r="K79" s="477">
        <v>0.76700000000000002</v>
      </c>
      <c r="L79" s="477">
        <v>0.76</v>
      </c>
    </row>
    <row r="80" spans="3:12">
      <c r="C80" t="s">
        <v>587</v>
      </c>
      <c r="D80" s="477">
        <v>5.0000000000000001E-3</v>
      </c>
      <c r="E80" s="477">
        <v>8.9999999999999993E-3</v>
      </c>
      <c r="F80" s="477">
        <v>3.3000000000000002E-2</v>
      </c>
      <c r="G80" s="477">
        <v>6.7000000000000004E-2</v>
      </c>
      <c r="H80" s="477">
        <v>0.10100000000000001</v>
      </c>
      <c r="I80" s="477">
        <v>0.14499999999999999</v>
      </c>
      <c r="J80" s="477">
        <v>0.159</v>
      </c>
      <c r="K80" s="477">
        <v>0.182</v>
      </c>
      <c r="L80" s="477">
        <v>0.183</v>
      </c>
    </row>
    <row r="81" spans="3:17">
      <c r="C81" t="s">
        <v>588</v>
      </c>
      <c r="D81" s="477">
        <v>1E-3</v>
      </c>
      <c r="E81" s="477">
        <v>2E-3</v>
      </c>
      <c r="F81" s="477">
        <v>3.0000000000000001E-3</v>
      </c>
      <c r="G81" s="477">
        <v>7.0000000000000001E-3</v>
      </c>
      <c r="H81" s="477">
        <v>2.1999999999999999E-2</v>
      </c>
      <c r="I81" s="477">
        <v>4.8000000000000001E-2</v>
      </c>
      <c r="J81" s="477">
        <v>4.1000000000000002E-2</v>
      </c>
      <c r="K81" s="477">
        <v>4.9000000000000002E-2</v>
      </c>
      <c r="L81" s="477">
        <v>5.3999999999999999E-2</v>
      </c>
    </row>
    <row r="83" spans="3:17">
      <c r="C83" t="s">
        <v>589</v>
      </c>
    </row>
    <row r="85" spans="3:17">
      <c r="D85" s="476" t="s">
        <v>567</v>
      </c>
      <c r="E85" s="476" t="s">
        <v>568</v>
      </c>
      <c r="F85" s="476" t="s">
        <v>582</v>
      </c>
      <c r="G85" s="476" t="s">
        <v>570</v>
      </c>
      <c r="H85" s="476" t="s">
        <v>571</v>
      </c>
      <c r="I85" s="476" t="s">
        <v>572</v>
      </c>
      <c r="J85" s="476" t="s">
        <v>573</v>
      </c>
      <c r="K85" s="476" t="s">
        <v>574</v>
      </c>
      <c r="L85" s="476" t="s">
        <v>575</v>
      </c>
      <c r="M85" s="476" t="s">
        <v>576</v>
      </c>
      <c r="N85" s="476" t="s">
        <v>577</v>
      </c>
      <c r="O85" s="476" t="s">
        <v>578</v>
      </c>
      <c r="P85" s="476" t="s">
        <v>579</v>
      </c>
      <c r="Q85" s="476" t="s">
        <v>580</v>
      </c>
    </row>
    <row r="86" spans="3:17">
      <c r="C86" t="s">
        <v>590</v>
      </c>
      <c r="D86" s="477">
        <v>0.106</v>
      </c>
      <c r="E86" s="477">
        <v>0.123</v>
      </c>
      <c r="F86" s="477">
        <v>0.13200000000000001</v>
      </c>
      <c r="G86" s="477">
        <v>0.13900000000000001</v>
      </c>
      <c r="H86" s="477">
        <v>0.14599999999999999</v>
      </c>
      <c r="I86" s="477">
        <v>0.151</v>
      </c>
      <c r="J86" s="477">
        <v>0.14799999999999999</v>
      </c>
      <c r="K86" s="477">
        <v>0.183</v>
      </c>
      <c r="L86" s="477">
        <v>0.224</v>
      </c>
      <c r="M86" s="477">
        <v>0.217</v>
      </c>
      <c r="N86" s="477">
        <v>0.20699999999999999</v>
      </c>
      <c r="O86" s="477">
        <v>0.22500000000000001</v>
      </c>
      <c r="P86" s="477">
        <v>0.246</v>
      </c>
      <c r="Q86" s="477">
        <v>0.25600000000000001</v>
      </c>
    </row>
    <row r="87" spans="3:17">
      <c r="C87" t="s">
        <v>591</v>
      </c>
      <c r="D87" s="45">
        <f>Financials!O136</f>
        <v>0.65939571048374468</v>
      </c>
      <c r="E87" s="45">
        <f>Financials!P136</f>
        <v>0.6167122259741652</v>
      </c>
      <c r="F87" s="45">
        <f>Financials!Q136</f>
        <v>0.58340078450905919</v>
      </c>
      <c r="G87" s="45">
        <f>Financials!R136</f>
        <v>0.61587397758255069</v>
      </c>
      <c r="H87" s="45">
        <f>Financials!S136</f>
        <v>0.60359562272016676</v>
      </c>
      <c r="I87" s="45">
        <f>Financials!T136</f>
        <v>0.60101934781532984</v>
      </c>
      <c r="J87" s="45">
        <f>Financials!U136</f>
        <v>0.64496691235809978</v>
      </c>
      <c r="K87" s="45">
        <f>Financials!V136</f>
        <v>0.56329740431148267</v>
      </c>
      <c r="L87" s="45">
        <f>Financials!W136</f>
        <v>0.56457778292598171</v>
      </c>
      <c r="M87" s="45">
        <f>Financials!X136</f>
        <v>0.60011663044054497</v>
      </c>
      <c r="N87" s="45">
        <f>Financials!Y136</f>
        <v>0.58434773241409033</v>
      </c>
      <c r="O87" s="45">
        <f>Financials!Z136</f>
        <v>0.5922408676415043</v>
      </c>
      <c r="P87" s="45">
        <f>Financials!AA136</f>
        <v>0.57787361088074307</v>
      </c>
      <c r="Q87" s="45">
        <f>Financials!AB136</f>
        <v>0.55426991603522424</v>
      </c>
    </row>
    <row r="89" spans="3:17">
      <c r="C89" s="475" t="s">
        <v>592</v>
      </c>
    </row>
    <row r="99" spans="1:3">
      <c r="C99" s="36"/>
    </row>
    <row r="108" spans="1:3">
      <c r="A108" s="36"/>
      <c r="B108" s="36" t="s">
        <v>9</v>
      </c>
    </row>
    <row r="126" spans="3:3">
      <c r="C126" s="475" t="s">
        <v>593</v>
      </c>
    </row>
    <row r="129" spans="2:3">
      <c r="B129" s="36" t="s">
        <v>9</v>
      </c>
    </row>
    <row r="135" spans="2:3">
      <c r="C135" s="36"/>
    </row>
    <row r="244" spans="3:3">
      <c r="C244" s="475" t="s">
        <v>594</v>
      </c>
    </row>
  </sheetData>
  <hyperlinks>
    <hyperlink ref="C89" r:id="rId1" xr:uid="{D2838A5A-039D-4FEF-8F5A-A8A5235ACF2E}"/>
    <hyperlink ref="C126" r:id="rId2" location=":~:text=Mercury%20states%20Intel%20holds%2083.8,have%20reported%20excellent%20financial%20results." xr:uid="{9A433668-0CEA-4948-A7BD-997C25DF60AA}"/>
    <hyperlink ref="C244" r:id="rId3" xr:uid="{72739D5D-6BE9-47AA-93D1-E7181F2BFBE9}"/>
  </hyperlinks>
  <pageMargins left="0.7" right="0.7" top="0.75" bottom="0.75" header="0.3" footer="0.3"/>
  <pageSetup orientation="portrait" horizontalDpi="90" verticalDpi="90"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Questions</vt:lpstr>
      <vt:lpstr>Assumptions</vt:lpstr>
      <vt:lpstr>Segments</vt:lpstr>
      <vt:lpstr>DCF</vt:lpstr>
      <vt:lpstr>Financials</vt:lpstr>
      <vt:lpstr>Debt</vt:lpstr>
      <vt:lpstr>Consensus Summary</vt:lpstr>
      <vt:lpstr>GPU</vt:lpstr>
      <vt:lpstr>Market Share</vt:lpstr>
      <vt:lpstr>Charts</vt:lpstr>
      <vt:lpstr>Peer Analysis</vt:lpstr>
      <vt:lpstr>Chart EV-EBITDA</vt:lpstr>
      <vt:lpstr>WACC Calculation</vt:lpstr>
      <vt:lpstr>Primer</vt:lpstr>
      <vt:lpstr>Historical EBITDA Est</vt:lpstr>
      <vt:lpstr>Forward EV-EBITDA</vt:lpstr>
      <vt:lpstr>Peers Stock History</vt:lpstr>
      <vt:lpstr>Indexed</vt:lpstr>
      <vt:lpstr>TSR List</vt:lpstr>
      <vt:lpstr>TSR decomposition</vt:lpstr>
      <vt:lpstr>FX</vt:lpstr>
      <vt:lpstr>To Dos</vt:lpstr>
      <vt:lpstr>Forward PE</vt:lpstr>
      <vt:lpstr>Chart Forward PE</vt:lpstr>
      <vt:lpstr>Forward EV Revenue</vt:lpstr>
      <vt:lpstr>Chart EV Revenue</vt:lpstr>
      <vt:lpstr>Case</vt:lpstr>
      <vt:lpstr>Debt!Circ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Vedang Poddar</dc:creator>
  <cp:keywords/>
  <dc:description/>
  <cp:lastModifiedBy>Vedang Poddar</cp:lastModifiedBy>
  <cp:revision/>
  <dcterms:created xsi:type="dcterms:W3CDTF">2021-10-14T06:15:01Z</dcterms:created>
  <dcterms:modified xsi:type="dcterms:W3CDTF">2025-07-25T04:00:33Z</dcterms:modified>
  <cp:category/>
  <cp:contentStatus/>
</cp:coreProperties>
</file>